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namedSheetViews/namedSheetView1.xml" ContentType="application/vnd.ms-excel.namedsheetviews+xml"/>
  <Override PartName="/xl/namedSheetViews/namedSheetView2.xml" ContentType="application/vnd.ms-excel.namedsheetviews+xml"/>
  <Override PartName="/xl/namedSheetViews/namedSheetView3.xml" ContentType="application/vnd.ms-excel.namedsheetview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namedSheetViews/namedSheetView4.xml" ContentType="application/vnd.ms-excel.namedsheetview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filterPrivacy="1" defaultThemeVersion="124226"/>
  <xr:revisionPtr revIDLastSave="0" documentId="8_{D21D12EE-D4A1-4D09-93E0-D70434514399}" xr6:coauthVersionLast="47" xr6:coauthVersionMax="47" xr10:uidLastSave="{00000000-0000-0000-0000-000000000000}"/>
  <bookViews>
    <workbookView xWindow="-120" yWindow="-120" windowWidth="29040" windowHeight="15720" tabRatio="921" firstSheet="5" activeTab="5" xr2:uid="{00000000-000D-0000-FFFF-FFFF00000000}"/>
  </bookViews>
  <sheets>
    <sheet name="README" sheetId="8" r:id="rId1"/>
    <sheet name="Data Quality Indicators" sheetId="29" r:id="rId2"/>
    <sheet name="Materials" sheetId="15" r:id="rId3"/>
    <sheet name="Input_NL" sheetId="20" r:id="rId4"/>
    <sheet name="Input_EU" sheetId="18" r:id="rId5"/>
    <sheet name="Transfer coefficients" sheetId="19" r:id="rId6"/>
    <sheet name="Clothing" sheetId="50" r:id="rId7"/>
    <sheet name="Clothing calculations" sheetId="56" r:id="rId8"/>
    <sheet name="WWTP TCs" sheetId="55" r:id="rId9"/>
    <sheet name="Textiles" sheetId="26" r:id="rId10"/>
    <sheet name="Textile waste collection" sheetId="53" r:id="rId11"/>
    <sheet name="Pellets" sheetId="46" r:id="rId12"/>
    <sheet name="Tyre wear" sheetId="44" r:id="rId13"/>
    <sheet name="Paints and Coatings" sheetId="39" r:id="rId14"/>
    <sheet name="Agriculture" sheetId="38" r:id="rId15"/>
    <sheet name="Intentionally_produced_MPs" sheetId="22" r:id="rId16"/>
    <sheet name="Packaging" sheetId="35" r:id="rId17"/>
    <sheet name="Recycling TCs" sheetId="37" r:id="rId18"/>
    <sheet name="Compost TCs" sheetId="43" r:id="rId19"/>
    <sheet name="Scaling tables" sheetId="45" r:id="rId20"/>
    <sheet name="Input projections" sheetId="47" r:id="rId21"/>
    <sheet name="Lifetimes" sheetId="13" r:id="rId22"/>
    <sheet name="Lifetimes_pairs" sheetId="25" r:id="rId23"/>
    <sheet name="Lifetimes_references" sheetId="48" r:id="rId24"/>
    <sheet name="Compartments" sheetId="33" r:id="rId25"/>
    <sheet name="Compartments_Kawecki&amp;Nowack19" sheetId="23" r:id="rId26"/>
    <sheet name="Compartments_Added" sheetId="36" r:id="rId27"/>
    <sheet name="Check_Compartments" sheetId="30" r:id="rId28"/>
    <sheet name="Input_Global" sheetId="52" r:id="rId29"/>
  </sheets>
  <definedNames>
    <definedName name="_xlnm._FilterDatabase" localSheetId="24" hidden="1">Compartments!$A$1:$D$407</definedName>
    <definedName name="_xlnm._FilterDatabase" localSheetId="26" hidden="1">Compartments_Added!$A$2:$C$197</definedName>
    <definedName name="_xlnm._FilterDatabase" localSheetId="25" hidden="1">'Compartments_Kawecki&amp;Nowack19'!$A$2:$F$136</definedName>
    <definedName name="_xlnm._FilterDatabase" localSheetId="4" hidden="1">Input_EU!$A$1:$L$810</definedName>
    <definedName name="_xlnm._FilterDatabase" localSheetId="3" hidden="1">Input_NL!$A$1:$L$1147</definedName>
    <definedName name="_xlnm._FilterDatabase" localSheetId="22" hidden="1">Lifetimes_pairs!$A$1:$B$93</definedName>
    <definedName name="_xlnm._FilterDatabase" localSheetId="13" hidden="1">'Paints and Coatings'!$A$60:$P$315</definedName>
    <definedName name="_xlnm._FilterDatabase" localSheetId="5" hidden="1">'Transfer coefficients'!$A$1:$P$1988</definedName>
    <definedName name="Aggr_2021">Intentionally_produced_MPs!$J$63</definedName>
    <definedName name="In_EU_2018">Agriculture!$E$4</definedName>
    <definedName name="In_EU_2019">Agriculture!$E$5</definedName>
    <definedName name="IN_NL_2018_high">Agriculture!$E$23</definedName>
    <definedName name="In_NL_2018_low">Agriculture!$E$22</definedName>
    <definedName name="IN_NL_2019_high">Agriculture!$E$25</definedName>
    <definedName name="IN_NL_2019_low">Agriculture!$E$24</definedName>
    <definedName name="Intentional_Agr_EU_2020">Agriculture!$B$232</definedName>
    <definedName name="Intentional_Agr_NL_2020">Agriculture!$C$232</definedName>
    <definedName name="OECD_ref_2018">'Input projections'!$B$40</definedName>
    <definedName name="OECD_ref_2019">'Input projections'!$B$41</definedName>
    <definedName name="OIL_GAS_2020">Intentionally_produced_MPs!$J$65</definedName>
    <definedName name="POP_coef_2020">Intentionally_produced_MPs!$J$61</definedName>
    <definedName name="RiskSelectedCell" hidden="1">"$AF$54"</definedName>
    <definedName name="RiskSelectedNameCell1" hidden="1">"$AE$54"</definedName>
    <definedName name="RiskSelectedNameCell2" hidden="1">"$AF$53"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28" i="19" l="1"/>
  <c r="O306" i="19"/>
  <c r="N306" i="19"/>
  <c r="O305" i="19"/>
  <c r="N305" i="19"/>
  <c r="O299" i="19"/>
  <c r="N299" i="19"/>
  <c r="O1409" i="19"/>
  <c r="N1409" i="19"/>
  <c r="O1408" i="19"/>
  <c r="N1408" i="19"/>
  <c r="O1407" i="19"/>
  <c r="N1407" i="19"/>
  <c r="O1406" i="19"/>
  <c r="N1406" i="19"/>
  <c r="O1405" i="19"/>
  <c r="N1405" i="19"/>
  <c r="O1399" i="19"/>
  <c r="N1399" i="19"/>
  <c r="O1398" i="19"/>
  <c r="N1398" i="19"/>
  <c r="O1397" i="19"/>
  <c r="N1397" i="19"/>
  <c r="O1396" i="19"/>
  <c r="N1396" i="19"/>
  <c r="O1395" i="19"/>
  <c r="N1395" i="19"/>
  <c r="O1393" i="19"/>
  <c r="N1393" i="19"/>
  <c r="O1392" i="19"/>
  <c r="N1392" i="19"/>
  <c r="O1391" i="19"/>
  <c r="N1391" i="19"/>
  <c r="O1110" i="19"/>
  <c r="N1110" i="19"/>
  <c r="O1091" i="19"/>
  <c r="N1091" i="19"/>
  <c r="O1055" i="19"/>
  <c r="N1055" i="19"/>
  <c r="O837" i="19"/>
  <c r="N837" i="19"/>
  <c r="O836" i="19"/>
  <c r="N836" i="19"/>
  <c r="O832" i="19"/>
  <c r="N832" i="19"/>
  <c r="O830" i="19"/>
  <c r="N830" i="19"/>
  <c r="O828" i="19"/>
  <c r="N828" i="19"/>
  <c r="O743" i="19"/>
  <c r="N743" i="19"/>
  <c r="O549" i="19"/>
  <c r="N549" i="19"/>
  <c r="O545" i="19"/>
  <c r="N545" i="19"/>
  <c r="O478" i="19"/>
  <c r="N478" i="19"/>
  <c r="O327" i="19"/>
  <c r="N327" i="19"/>
  <c r="O323" i="19"/>
  <c r="N323" i="19"/>
  <c r="O322" i="19"/>
  <c r="N322" i="19"/>
  <c r="O321" i="19"/>
  <c r="N321" i="19"/>
  <c r="O316" i="19"/>
  <c r="N316" i="19"/>
  <c r="O314" i="19"/>
  <c r="N314" i="19"/>
  <c r="O138" i="19"/>
  <c r="N138" i="19"/>
  <c r="O135" i="19"/>
  <c r="N135" i="19"/>
  <c r="O134" i="19"/>
  <c r="N134" i="19"/>
  <c r="O130" i="19"/>
  <c r="N130" i="19"/>
  <c r="O127" i="19"/>
  <c r="N127" i="19"/>
  <c r="O128" i="19"/>
  <c r="N128" i="19"/>
  <c r="E91" i="56"/>
  <c r="F56" i="56"/>
  <c r="G56" i="56"/>
  <c r="H56" i="56"/>
  <c r="I56" i="56"/>
  <c r="J56" i="56"/>
  <c r="K56" i="56"/>
  <c r="L56" i="56"/>
  <c r="M56" i="56"/>
  <c r="E56" i="56"/>
  <c r="E58" i="53"/>
  <c r="E54" i="53"/>
  <c r="D22" i="53"/>
  <c r="F800" i="18"/>
  <c r="G800" i="18"/>
  <c r="H800" i="18"/>
  <c r="I800" i="18"/>
  <c r="J800" i="18"/>
  <c r="F801" i="18"/>
  <c r="G801" i="18"/>
  <c r="H801" i="18"/>
  <c r="I801" i="18"/>
  <c r="J801" i="18"/>
  <c r="K801" i="18" s="1"/>
  <c r="F802" i="18"/>
  <c r="G802" i="18"/>
  <c r="H802" i="18"/>
  <c r="I802" i="18"/>
  <c r="J802" i="18"/>
  <c r="F803" i="18"/>
  <c r="G803" i="18"/>
  <c r="H803" i="18"/>
  <c r="I803" i="18"/>
  <c r="J803" i="18"/>
  <c r="F804" i="18"/>
  <c r="G804" i="18"/>
  <c r="H804" i="18"/>
  <c r="I804" i="18"/>
  <c r="J804" i="18"/>
  <c r="F805" i="18"/>
  <c r="G805" i="18"/>
  <c r="H805" i="18"/>
  <c r="I805" i="18"/>
  <c r="J805" i="18"/>
  <c r="F806" i="18"/>
  <c r="K806" i="18" s="1"/>
  <c r="G806" i="18"/>
  <c r="H806" i="18"/>
  <c r="I806" i="18"/>
  <c r="J806" i="18"/>
  <c r="F807" i="18"/>
  <c r="K807" i="18" s="1"/>
  <c r="G807" i="18"/>
  <c r="H807" i="18"/>
  <c r="I807" i="18"/>
  <c r="J807" i="18"/>
  <c r="F808" i="18"/>
  <c r="G808" i="18"/>
  <c r="H808" i="18"/>
  <c r="K808" i="18" s="1"/>
  <c r="I808" i="18"/>
  <c r="J808" i="18"/>
  <c r="F809" i="18"/>
  <c r="K809" i="18" s="1"/>
  <c r="G809" i="18"/>
  <c r="H809" i="18"/>
  <c r="I809" i="18"/>
  <c r="J809" i="18"/>
  <c r="F810" i="18"/>
  <c r="G810" i="18"/>
  <c r="H810" i="18"/>
  <c r="I810" i="18"/>
  <c r="J810" i="18"/>
  <c r="K810" i="18" s="1"/>
  <c r="F788" i="18"/>
  <c r="G788" i="18"/>
  <c r="H788" i="18"/>
  <c r="I788" i="18"/>
  <c r="J788" i="18"/>
  <c r="F789" i="18"/>
  <c r="G789" i="18"/>
  <c r="H789" i="18"/>
  <c r="I789" i="18"/>
  <c r="J789" i="18"/>
  <c r="F790" i="18"/>
  <c r="K790" i="18" s="1"/>
  <c r="G790" i="18"/>
  <c r="H790" i="18"/>
  <c r="I790" i="18"/>
  <c r="J790" i="18"/>
  <c r="F791" i="18"/>
  <c r="G791" i="18"/>
  <c r="H791" i="18"/>
  <c r="I791" i="18"/>
  <c r="J791" i="18"/>
  <c r="F792" i="18"/>
  <c r="G792" i="18"/>
  <c r="H792" i="18"/>
  <c r="I792" i="18"/>
  <c r="K792" i="18" s="1"/>
  <c r="J792" i="18"/>
  <c r="F793" i="18"/>
  <c r="G793" i="18"/>
  <c r="H793" i="18"/>
  <c r="I793" i="18"/>
  <c r="J793" i="18"/>
  <c r="F794" i="18"/>
  <c r="K794" i="18" s="1"/>
  <c r="G794" i="18"/>
  <c r="H794" i="18"/>
  <c r="I794" i="18"/>
  <c r="J794" i="18"/>
  <c r="F795" i="18"/>
  <c r="K795" i="18" s="1"/>
  <c r="G795" i="18"/>
  <c r="H795" i="18"/>
  <c r="I795" i="18"/>
  <c r="J795" i="18"/>
  <c r="F796" i="18"/>
  <c r="G796" i="18"/>
  <c r="H796" i="18"/>
  <c r="I796" i="18"/>
  <c r="J796" i="18"/>
  <c r="K796" i="18" s="1"/>
  <c r="F797" i="18"/>
  <c r="K797" i="18" s="1"/>
  <c r="G797" i="18"/>
  <c r="H797" i="18"/>
  <c r="I797" i="18"/>
  <c r="J797" i="18"/>
  <c r="F798" i="18"/>
  <c r="G798" i="18"/>
  <c r="H798" i="18"/>
  <c r="I798" i="18"/>
  <c r="J798" i="18"/>
  <c r="F776" i="18"/>
  <c r="G776" i="18"/>
  <c r="H776" i="18"/>
  <c r="I776" i="18"/>
  <c r="J776" i="18"/>
  <c r="F777" i="18"/>
  <c r="G777" i="18"/>
  <c r="H777" i="18"/>
  <c r="I777" i="18"/>
  <c r="J777" i="18"/>
  <c r="F778" i="18"/>
  <c r="K778" i="18" s="1"/>
  <c r="G778" i="18"/>
  <c r="H778" i="18"/>
  <c r="I778" i="18"/>
  <c r="J778" i="18"/>
  <c r="F779" i="18"/>
  <c r="G779" i="18"/>
  <c r="H779" i="18"/>
  <c r="I779" i="18"/>
  <c r="J779" i="18"/>
  <c r="F780" i="18"/>
  <c r="G780" i="18"/>
  <c r="H780" i="18"/>
  <c r="I780" i="18"/>
  <c r="K780" i="18" s="1"/>
  <c r="J780" i="18"/>
  <c r="F781" i="18"/>
  <c r="G781" i="18"/>
  <c r="H781" i="18"/>
  <c r="I781" i="18"/>
  <c r="J781" i="18"/>
  <c r="F782" i="18"/>
  <c r="K782" i="18" s="1"/>
  <c r="G782" i="18"/>
  <c r="H782" i="18"/>
  <c r="I782" i="18"/>
  <c r="J782" i="18"/>
  <c r="F783" i="18"/>
  <c r="K783" i="18" s="1"/>
  <c r="G783" i="18"/>
  <c r="H783" i="18"/>
  <c r="I783" i="18"/>
  <c r="J783" i="18"/>
  <c r="F784" i="18"/>
  <c r="G784" i="18"/>
  <c r="H784" i="18"/>
  <c r="K784" i="18" s="1"/>
  <c r="I784" i="18"/>
  <c r="J784" i="18"/>
  <c r="F785" i="18"/>
  <c r="K785" i="18" s="1"/>
  <c r="G785" i="18"/>
  <c r="H785" i="18"/>
  <c r="I785" i="18"/>
  <c r="J785" i="18"/>
  <c r="F786" i="18"/>
  <c r="G786" i="18"/>
  <c r="H786" i="18"/>
  <c r="I786" i="18"/>
  <c r="J786" i="18"/>
  <c r="K786" i="18" s="1"/>
  <c r="F764" i="18"/>
  <c r="G764" i="18"/>
  <c r="H764" i="18"/>
  <c r="I764" i="18"/>
  <c r="J764" i="18"/>
  <c r="F765" i="18"/>
  <c r="G765" i="18"/>
  <c r="K765" i="18" s="1"/>
  <c r="H765" i="18"/>
  <c r="I765" i="18"/>
  <c r="J765" i="18"/>
  <c r="F766" i="18"/>
  <c r="G766" i="18"/>
  <c r="K766" i="18" s="1"/>
  <c r="H766" i="18"/>
  <c r="I766" i="18"/>
  <c r="J766" i="18"/>
  <c r="F767" i="18"/>
  <c r="G767" i="18"/>
  <c r="H767" i="18"/>
  <c r="I767" i="18"/>
  <c r="K767" i="18" s="1"/>
  <c r="J767" i="18"/>
  <c r="F768" i="18"/>
  <c r="G768" i="18"/>
  <c r="H768" i="18"/>
  <c r="K768" i="18" s="1"/>
  <c r="I768" i="18"/>
  <c r="J768" i="18"/>
  <c r="F769" i="18"/>
  <c r="G769" i="18"/>
  <c r="H769" i="18"/>
  <c r="I769" i="18"/>
  <c r="J769" i="18"/>
  <c r="F770" i="18"/>
  <c r="K770" i="18" s="1"/>
  <c r="G770" i="18"/>
  <c r="H770" i="18"/>
  <c r="I770" i="18"/>
  <c r="J770" i="18"/>
  <c r="F771" i="18"/>
  <c r="K771" i="18" s="1"/>
  <c r="G771" i="18"/>
  <c r="H771" i="18"/>
  <c r="I771" i="18"/>
  <c r="J771" i="18"/>
  <c r="F772" i="18"/>
  <c r="G772" i="18"/>
  <c r="H772" i="18"/>
  <c r="K772" i="18" s="1"/>
  <c r="I772" i="18"/>
  <c r="J772" i="18"/>
  <c r="F773" i="18"/>
  <c r="K773" i="18" s="1"/>
  <c r="G773" i="18"/>
  <c r="H773" i="18"/>
  <c r="I773" i="18"/>
  <c r="J773" i="18"/>
  <c r="F774" i="18"/>
  <c r="G774" i="18"/>
  <c r="H774" i="18"/>
  <c r="I774" i="18"/>
  <c r="J774" i="18"/>
  <c r="K774" i="18" s="1"/>
  <c r="K763" i="18"/>
  <c r="K764" i="18"/>
  <c r="K769" i="18"/>
  <c r="K775" i="18"/>
  <c r="K776" i="18"/>
  <c r="K777" i="18"/>
  <c r="K779" i="18"/>
  <c r="K781" i="18"/>
  <c r="K787" i="18"/>
  <c r="K788" i="18"/>
  <c r="K789" i="18"/>
  <c r="K791" i="18"/>
  <c r="K793" i="18"/>
  <c r="K798" i="18"/>
  <c r="K799" i="18"/>
  <c r="K800" i="18"/>
  <c r="K802" i="18"/>
  <c r="K803" i="18"/>
  <c r="K804" i="18"/>
  <c r="K805" i="18"/>
  <c r="F1065" i="20"/>
  <c r="G1065" i="20"/>
  <c r="H1065" i="20"/>
  <c r="I1065" i="20"/>
  <c r="J1065" i="20"/>
  <c r="F1066" i="20"/>
  <c r="G1066" i="20"/>
  <c r="H1066" i="20"/>
  <c r="I1066" i="20"/>
  <c r="J1066" i="20"/>
  <c r="F1067" i="20"/>
  <c r="G1067" i="20"/>
  <c r="H1067" i="20"/>
  <c r="I1067" i="20"/>
  <c r="J1067" i="20"/>
  <c r="F1068" i="20"/>
  <c r="G1068" i="20"/>
  <c r="H1068" i="20"/>
  <c r="I1068" i="20"/>
  <c r="J1068" i="20"/>
  <c r="F1069" i="20"/>
  <c r="G1069" i="20"/>
  <c r="H1069" i="20"/>
  <c r="I1069" i="20"/>
  <c r="J1069" i="20"/>
  <c r="F1070" i="20"/>
  <c r="G1070" i="20"/>
  <c r="H1070" i="20"/>
  <c r="I1070" i="20"/>
  <c r="J1070" i="20"/>
  <c r="F1071" i="20"/>
  <c r="G1071" i="20"/>
  <c r="H1071" i="20"/>
  <c r="I1071" i="20"/>
  <c r="J1071" i="20"/>
  <c r="F1072" i="20"/>
  <c r="G1072" i="20"/>
  <c r="H1072" i="20"/>
  <c r="I1072" i="20"/>
  <c r="J1072" i="20"/>
  <c r="F1073" i="20"/>
  <c r="G1073" i="20"/>
  <c r="H1073" i="20"/>
  <c r="I1073" i="20"/>
  <c r="J1073" i="20"/>
  <c r="F1074" i="20"/>
  <c r="G1074" i="20"/>
  <c r="H1074" i="20"/>
  <c r="I1074" i="20"/>
  <c r="J1074" i="20"/>
  <c r="F1075" i="20"/>
  <c r="G1075" i="20"/>
  <c r="H1075" i="20"/>
  <c r="I1075" i="20"/>
  <c r="J1075" i="20"/>
  <c r="F1076" i="20"/>
  <c r="G1076" i="20"/>
  <c r="H1076" i="20"/>
  <c r="I1076" i="20"/>
  <c r="J1076" i="20"/>
  <c r="F1077" i="20"/>
  <c r="G1077" i="20"/>
  <c r="H1077" i="20"/>
  <c r="I1077" i="20"/>
  <c r="J1077" i="20"/>
  <c r="F1078" i="20"/>
  <c r="G1078" i="20"/>
  <c r="H1078" i="20"/>
  <c r="I1078" i="20"/>
  <c r="J1078" i="20"/>
  <c r="F1079" i="20"/>
  <c r="G1079" i="20"/>
  <c r="H1079" i="20"/>
  <c r="I1079" i="20"/>
  <c r="J1079" i="20"/>
  <c r="F1080" i="20"/>
  <c r="G1080" i="20"/>
  <c r="H1080" i="20"/>
  <c r="I1080" i="20"/>
  <c r="J1080" i="20"/>
  <c r="F1081" i="20"/>
  <c r="G1081" i="20"/>
  <c r="H1081" i="20"/>
  <c r="I1081" i="20"/>
  <c r="J1081" i="20"/>
  <c r="F1082" i="20"/>
  <c r="G1082" i="20"/>
  <c r="H1082" i="20"/>
  <c r="I1082" i="20"/>
  <c r="J1082" i="20"/>
  <c r="F1083" i="20"/>
  <c r="G1083" i="20"/>
  <c r="H1083" i="20"/>
  <c r="I1083" i="20"/>
  <c r="J1083" i="20"/>
  <c r="F1084" i="20"/>
  <c r="G1084" i="20"/>
  <c r="H1084" i="20"/>
  <c r="I1084" i="20"/>
  <c r="J1084" i="20"/>
  <c r="F1085" i="20"/>
  <c r="G1085" i="20"/>
  <c r="H1085" i="20"/>
  <c r="I1085" i="20"/>
  <c r="J1085" i="20"/>
  <c r="F1086" i="20"/>
  <c r="G1086" i="20"/>
  <c r="H1086" i="20"/>
  <c r="I1086" i="20"/>
  <c r="J1086" i="20"/>
  <c r="F1087" i="20"/>
  <c r="G1087" i="20"/>
  <c r="H1087" i="20"/>
  <c r="I1087" i="20"/>
  <c r="J1087" i="20"/>
  <c r="F1088" i="20"/>
  <c r="G1088" i="20"/>
  <c r="H1088" i="20"/>
  <c r="I1088" i="20"/>
  <c r="J1088" i="20"/>
  <c r="F1089" i="20"/>
  <c r="G1089" i="20"/>
  <c r="H1089" i="20"/>
  <c r="I1089" i="20"/>
  <c r="J1089" i="20"/>
  <c r="F1090" i="20"/>
  <c r="G1090" i="20"/>
  <c r="H1090" i="20"/>
  <c r="I1090" i="20"/>
  <c r="J1090" i="20"/>
  <c r="F1091" i="20"/>
  <c r="G1091" i="20"/>
  <c r="H1091" i="20"/>
  <c r="I1091" i="20"/>
  <c r="J1091" i="20"/>
  <c r="F1092" i="20"/>
  <c r="G1092" i="20"/>
  <c r="H1092" i="20"/>
  <c r="I1092" i="20"/>
  <c r="J1092" i="20"/>
  <c r="F1093" i="20"/>
  <c r="G1093" i="20"/>
  <c r="H1093" i="20"/>
  <c r="I1093" i="20"/>
  <c r="J1093" i="20"/>
  <c r="F1094" i="20"/>
  <c r="G1094" i="20"/>
  <c r="H1094" i="20"/>
  <c r="I1094" i="20"/>
  <c r="J1094" i="20"/>
  <c r="F1095" i="20"/>
  <c r="G1095" i="20"/>
  <c r="H1095" i="20"/>
  <c r="I1095" i="20"/>
  <c r="J1095" i="20"/>
  <c r="F1096" i="20"/>
  <c r="G1096" i="20"/>
  <c r="H1096" i="20"/>
  <c r="I1096" i="20"/>
  <c r="J1096" i="20"/>
  <c r="F1097" i="20"/>
  <c r="G1097" i="20"/>
  <c r="H1097" i="20"/>
  <c r="I1097" i="20"/>
  <c r="J1097" i="20"/>
  <c r="F1098" i="20"/>
  <c r="G1098" i="20"/>
  <c r="H1098" i="20"/>
  <c r="I1098" i="20"/>
  <c r="J1098" i="20"/>
  <c r="F1099" i="20"/>
  <c r="G1099" i="20"/>
  <c r="H1099" i="20"/>
  <c r="I1099" i="20"/>
  <c r="J1099" i="20"/>
  <c r="F1100" i="20"/>
  <c r="G1100" i="20"/>
  <c r="H1100" i="20"/>
  <c r="I1100" i="20"/>
  <c r="J1100" i="20"/>
  <c r="F1101" i="20"/>
  <c r="G1101" i="20"/>
  <c r="H1101" i="20"/>
  <c r="I1101" i="20"/>
  <c r="J1101" i="20"/>
  <c r="F1102" i="20"/>
  <c r="G1102" i="20"/>
  <c r="H1102" i="20"/>
  <c r="I1102" i="20"/>
  <c r="J1102" i="20"/>
  <c r="F1103" i="20"/>
  <c r="G1103" i="20"/>
  <c r="H1103" i="20"/>
  <c r="I1103" i="20"/>
  <c r="J1103" i="20"/>
  <c r="F1104" i="20"/>
  <c r="G1104" i="20"/>
  <c r="H1104" i="20"/>
  <c r="I1104" i="20"/>
  <c r="J1104" i="20"/>
  <c r="F1105" i="20"/>
  <c r="G1105" i="20"/>
  <c r="H1105" i="20"/>
  <c r="I1105" i="20"/>
  <c r="J1105" i="20"/>
  <c r="F1106" i="20"/>
  <c r="G1106" i="20"/>
  <c r="H1106" i="20"/>
  <c r="I1106" i="20"/>
  <c r="J1106" i="20"/>
  <c r="F1107" i="20"/>
  <c r="G1107" i="20"/>
  <c r="H1107" i="20"/>
  <c r="I1107" i="20"/>
  <c r="J1107" i="20"/>
  <c r="F1108" i="20"/>
  <c r="G1108" i="20"/>
  <c r="H1108" i="20"/>
  <c r="I1108" i="20"/>
  <c r="J1108" i="20"/>
  <c r="F1109" i="20"/>
  <c r="G1109" i="20"/>
  <c r="H1109" i="20"/>
  <c r="I1109" i="20"/>
  <c r="J1109" i="20"/>
  <c r="F1110" i="20"/>
  <c r="G1110" i="20"/>
  <c r="H1110" i="20"/>
  <c r="I1110" i="20"/>
  <c r="J1110" i="20"/>
  <c r="F1111" i="20"/>
  <c r="G1111" i="20"/>
  <c r="H1111" i="20"/>
  <c r="I1111" i="20"/>
  <c r="J1111" i="20"/>
  <c r="F1112" i="20"/>
  <c r="G1112" i="20"/>
  <c r="H1112" i="20"/>
  <c r="I1112" i="20"/>
  <c r="J1112" i="20"/>
  <c r="F1113" i="20"/>
  <c r="G1113" i="20"/>
  <c r="H1113" i="20"/>
  <c r="I1113" i="20"/>
  <c r="J1113" i="20"/>
  <c r="F1114" i="20"/>
  <c r="G1114" i="20"/>
  <c r="H1114" i="20"/>
  <c r="I1114" i="20"/>
  <c r="J1114" i="20"/>
  <c r="F1115" i="20"/>
  <c r="G1115" i="20"/>
  <c r="H1115" i="20"/>
  <c r="I1115" i="20"/>
  <c r="J1115" i="20"/>
  <c r="F1116" i="20"/>
  <c r="G1116" i="20"/>
  <c r="H1116" i="20"/>
  <c r="I1116" i="20"/>
  <c r="J1116" i="20"/>
  <c r="F1117" i="20"/>
  <c r="G1117" i="20"/>
  <c r="H1117" i="20"/>
  <c r="I1117" i="20"/>
  <c r="J1117" i="20"/>
  <c r="F1118" i="20"/>
  <c r="G1118" i="20"/>
  <c r="H1118" i="20"/>
  <c r="I1118" i="20"/>
  <c r="J1118" i="20"/>
  <c r="F1119" i="20"/>
  <c r="G1119" i="20"/>
  <c r="H1119" i="20"/>
  <c r="I1119" i="20"/>
  <c r="J1119" i="20"/>
  <c r="F1120" i="20"/>
  <c r="G1120" i="20"/>
  <c r="H1120" i="20"/>
  <c r="I1120" i="20"/>
  <c r="J1120" i="20"/>
  <c r="F1121" i="20"/>
  <c r="G1121" i="20"/>
  <c r="H1121" i="20"/>
  <c r="I1121" i="20"/>
  <c r="J1121" i="20"/>
  <c r="F1122" i="20"/>
  <c r="G1122" i="20"/>
  <c r="H1122" i="20"/>
  <c r="I1122" i="20"/>
  <c r="J1122" i="20"/>
  <c r="F1123" i="20"/>
  <c r="G1123" i="20"/>
  <c r="H1123" i="20"/>
  <c r="I1123" i="20"/>
  <c r="J1123" i="20"/>
  <c r="F1124" i="20"/>
  <c r="G1124" i="20"/>
  <c r="H1124" i="20"/>
  <c r="I1124" i="20"/>
  <c r="J1124" i="20"/>
  <c r="F1125" i="20"/>
  <c r="G1125" i="20"/>
  <c r="H1125" i="20"/>
  <c r="I1125" i="20"/>
  <c r="J1125" i="20"/>
  <c r="F1126" i="20"/>
  <c r="G1126" i="20"/>
  <c r="H1126" i="20"/>
  <c r="I1126" i="20"/>
  <c r="J1126" i="20"/>
  <c r="F1127" i="20"/>
  <c r="G1127" i="20"/>
  <c r="H1127" i="20"/>
  <c r="I1127" i="20"/>
  <c r="J1127" i="20"/>
  <c r="F1128" i="20"/>
  <c r="G1128" i="20"/>
  <c r="H1128" i="20"/>
  <c r="I1128" i="20"/>
  <c r="J1128" i="20"/>
  <c r="F1129" i="20"/>
  <c r="G1129" i="20"/>
  <c r="H1129" i="20"/>
  <c r="I1129" i="20"/>
  <c r="J1129" i="20"/>
  <c r="F1130" i="20"/>
  <c r="G1130" i="20"/>
  <c r="H1130" i="20"/>
  <c r="I1130" i="20"/>
  <c r="J1130" i="20"/>
  <c r="F1131" i="20"/>
  <c r="G1131" i="20"/>
  <c r="H1131" i="20"/>
  <c r="I1131" i="20"/>
  <c r="J1131" i="20"/>
  <c r="F1132" i="20"/>
  <c r="G1132" i="20"/>
  <c r="H1132" i="20"/>
  <c r="I1132" i="20"/>
  <c r="J1132" i="20"/>
  <c r="F1133" i="20"/>
  <c r="G1133" i="20"/>
  <c r="H1133" i="20"/>
  <c r="I1133" i="20"/>
  <c r="J1133" i="20"/>
  <c r="F1134" i="20"/>
  <c r="G1134" i="20"/>
  <c r="H1134" i="20"/>
  <c r="I1134" i="20"/>
  <c r="J1134" i="20"/>
  <c r="F1135" i="20"/>
  <c r="G1135" i="20"/>
  <c r="H1135" i="20"/>
  <c r="I1135" i="20"/>
  <c r="J1135" i="20"/>
  <c r="F1136" i="20"/>
  <c r="G1136" i="20"/>
  <c r="H1136" i="20"/>
  <c r="I1136" i="20"/>
  <c r="J1136" i="20"/>
  <c r="F1137" i="20"/>
  <c r="G1137" i="20"/>
  <c r="H1137" i="20"/>
  <c r="I1137" i="20"/>
  <c r="J1137" i="20"/>
  <c r="F1138" i="20"/>
  <c r="G1138" i="20"/>
  <c r="H1138" i="20"/>
  <c r="I1138" i="20"/>
  <c r="J1138" i="20"/>
  <c r="F1139" i="20"/>
  <c r="G1139" i="20"/>
  <c r="H1139" i="20"/>
  <c r="I1139" i="20"/>
  <c r="J1139" i="20"/>
  <c r="F1140" i="20"/>
  <c r="G1140" i="20"/>
  <c r="H1140" i="20"/>
  <c r="I1140" i="20"/>
  <c r="J1140" i="20"/>
  <c r="F1141" i="20"/>
  <c r="G1141" i="20"/>
  <c r="H1141" i="20"/>
  <c r="I1141" i="20"/>
  <c r="J1141" i="20"/>
  <c r="F1142" i="20"/>
  <c r="G1142" i="20"/>
  <c r="H1142" i="20"/>
  <c r="I1142" i="20"/>
  <c r="J1142" i="20"/>
  <c r="F1143" i="20"/>
  <c r="G1143" i="20"/>
  <c r="H1143" i="20"/>
  <c r="I1143" i="20"/>
  <c r="J1143" i="20"/>
  <c r="F1144" i="20"/>
  <c r="G1144" i="20"/>
  <c r="H1144" i="20"/>
  <c r="I1144" i="20"/>
  <c r="J1144" i="20"/>
  <c r="F1145" i="20"/>
  <c r="G1145" i="20"/>
  <c r="H1145" i="20"/>
  <c r="I1145" i="20"/>
  <c r="J1145" i="20"/>
  <c r="F1146" i="20"/>
  <c r="G1146" i="20"/>
  <c r="H1146" i="20"/>
  <c r="I1146" i="20"/>
  <c r="J1146" i="20"/>
  <c r="F1147" i="20"/>
  <c r="G1147" i="20"/>
  <c r="H1147" i="20"/>
  <c r="I1147" i="20"/>
  <c r="J1147" i="20"/>
  <c r="F981" i="20"/>
  <c r="G981" i="20"/>
  <c r="H981" i="20"/>
  <c r="I981" i="20"/>
  <c r="J981" i="20"/>
  <c r="F982" i="20"/>
  <c r="G982" i="20"/>
  <c r="H982" i="20"/>
  <c r="I982" i="20"/>
  <c r="J982" i="20"/>
  <c r="F983" i="20"/>
  <c r="G983" i="20"/>
  <c r="H983" i="20"/>
  <c r="I983" i="20"/>
  <c r="J983" i="20"/>
  <c r="F984" i="20"/>
  <c r="G984" i="20"/>
  <c r="H984" i="20"/>
  <c r="I984" i="20"/>
  <c r="J984" i="20"/>
  <c r="F985" i="20"/>
  <c r="G985" i="20"/>
  <c r="H985" i="20"/>
  <c r="I985" i="20"/>
  <c r="J985" i="20"/>
  <c r="F986" i="20"/>
  <c r="G986" i="20"/>
  <c r="H986" i="20"/>
  <c r="I986" i="20"/>
  <c r="J986" i="20"/>
  <c r="F987" i="20"/>
  <c r="G987" i="20"/>
  <c r="H987" i="20"/>
  <c r="I987" i="20"/>
  <c r="J987" i="20"/>
  <c r="F988" i="20"/>
  <c r="G988" i="20"/>
  <c r="H988" i="20"/>
  <c r="I988" i="20"/>
  <c r="J988" i="20"/>
  <c r="F989" i="20"/>
  <c r="G989" i="20"/>
  <c r="H989" i="20"/>
  <c r="I989" i="20"/>
  <c r="J989" i="20"/>
  <c r="F990" i="20"/>
  <c r="G990" i="20"/>
  <c r="H990" i="20"/>
  <c r="I990" i="20"/>
  <c r="J990" i="20"/>
  <c r="F991" i="20"/>
  <c r="G991" i="20"/>
  <c r="H991" i="20"/>
  <c r="I991" i="20"/>
  <c r="J991" i="20"/>
  <c r="F992" i="20"/>
  <c r="G992" i="20"/>
  <c r="H992" i="20"/>
  <c r="I992" i="20"/>
  <c r="J992" i="20"/>
  <c r="F993" i="20"/>
  <c r="G993" i="20"/>
  <c r="H993" i="20"/>
  <c r="I993" i="20"/>
  <c r="J993" i="20"/>
  <c r="F994" i="20"/>
  <c r="G994" i="20"/>
  <c r="H994" i="20"/>
  <c r="I994" i="20"/>
  <c r="J994" i="20"/>
  <c r="F995" i="20"/>
  <c r="G995" i="20"/>
  <c r="H995" i="20"/>
  <c r="I995" i="20"/>
  <c r="J995" i="20"/>
  <c r="F996" i="20"/>
  <c r="G996" i="20"/>
  <c r="H996" i="20"/>
  <c r="I996" i="20"/>
  <c r="J996" i="20"/>
  <c r="F997" i="20"/>
  <c r="G997" i="20"/>
  <c r="H997" i="20"/>
  <c r="I997" i="20"/>
  <c r="J997" i="20"/>
  <c r="F998" i="20"/>
  <c r="G998" i="20"/>
  <c r="H998" i="20"/>
  <c r="I998" i="20"/>
  <c r="J998" i="20"/>
  <c r="F999" i="20"/>
  <c r="G999" i="20"/>
  <c r="H999" i="20"/>
  <c r="I999" i="20"/>
  <c r="J999" i="20"/>
  <c r="F1000" i="20"/>
  <c r="G1000" i="20"/>
  <c r="H1000" i="20"/>
  <c r="I1000" i="20"/>
  <c r="J1000" i="20"/>
  <c r="F1001" i="20"/>
  <c r="G1001" i="20"/>
  <c r="H1001" i="20"/>
  <c r="I1001" i="20"/>
  <c r="J1001" i="20"/>
  <c r="F1002" i="20"/>
  <c r="G1002" i="20"/>
  <c r="H1002" i="20"/>
  <c r="I1002" i="20"/>
  <c r="J1002" i="20"/>
  <c r="F1003" i="20"/>
  <c r="G1003" i="20"/>
  <c r="H1003" i="20"/>
  <c r="I1003" i="20"/>
  <c r="J1003" i="20"/>
  <c r="F1004" i="20"/>
  <c r="G1004" i="20"/>
  <c r="H1004" i="20"/>
  <c r="I1004" i="20"/>
  <c r="J1004" i="20"/>
  <c r="F1005" i="20"/>
  <c r="G1005" i="20"/>
  <c r="H1005" i="20"/>
  <c r="I1005" i="20"/>
  <c r="J1005" i="20"/>
  <c r="F1006" i="20"/>
  <c r="G1006" i="20"/>
  <c r="H1006" i="20"/>
  <c r="I1006" i="20"/>
  <c r="J1006" i="20"/>
  <c r="F1007" i="20"/>
  <c r="G1007" i="20"/>
  <c r="H1007" i="20"/>
  <c r="I1007" i="20"/>
  <c r="J1007" i="20"/>
  <c r="F1008" i="20"/>
  <c r="G1008" i="20"/>
  <c r="H1008" i="20"/>
  <c r="I1008" i="20"/>
  <c r="J1008" i="20"/>
  <c r="F1009" i="20"/>
  <c r="G1009" i="20"/>
  <c r="H1009" i="20"/>
  <c r="I1009" i="20"/>
  <c r="J1009" i="20"/>
  <c r="F1010" i="20"/>
  <c r="G1010" i="20"/>
  <c r="H1010" i="20"/>
  <c r="I1010" i="20"/>
  <c r="J1010" i="20"/>
  <c r="F1011" i="20"/>
  <c r="G1011" i="20"/>
  <c r="H1011" i="20"/>
  <c r="I1011" i="20"/>
  <c r="J1011" i="20"/>
  <c r="F1012" i="20"/>
  <c r="G1012" i="20"/>
  <c r="H1012" i="20"/>
  <c r="I1012" i="20"/>
  <c r="J1012" i="20"/>
  <c r="F1013" i="20"/>
  <c r="G1013" i="20"/>
  <c r="H1013" i="20"/>
  <c r="I1013" i="20"/>
  <c r="J1013" i="20"/>
  <c r="F1014" i="20"/>
  <c r="G1014" i="20"/>
  <c r="H1014" i="20"/>
  <c r="I1014" i="20"/>
  <c r="J1014" i="20"/>
  <c r="F1015" i="20"/>
  <c r="G1015" i="20"/>
  <c r="H1015" i="20"/>
  <c r="I1015" i="20"/>
  <c r="J1015" i="20"/>
  <c r="F1016" i="20"/>
  <c r="G1016" i="20"/>
  <c r="H1016" i="20"/>
  <c r="I1016" i="20"/>
  <c r="J1016" i="20"/>
  <c r="F1017" i="20"/>
  <c r="G1017" i="20"/>
  <c r="H1017" i="20"/>
  <c r="I1017" i="20"/>
  <c r="J1017" i="20"/>
  <c r="F1018" i="20"/>
  <c r="G1018" i="20"/>
  <c r="H1018" i="20"/>
  <c r="I1018" i="20"/>
  <c r="J1018" i="20"/>
  <c r="F1019" i="20"/>
  <c r="G1019" i="20"/>
  <c r="H1019" i="20"/>
  <c r="I1019" i="20"/>
  <c r="J1019" i="20"/>
  <c r="F1020" i="20"/>
  <c r="G1020" i="20"/>
  <c r="H1020" i="20"/>
  <c r="I1020" i="20"/>
  <c r="J1020" i="20"/>
  <c r="F1021" i="20"/>
  <c r="G1021" i="20"/>
  <c r="H1021" i="20"/>
  <c r="I1021" i="20"/>
  <c r="J1021" i="20"/>
  <c r="F1022" i="20"/>
  <c r="G1022" i="20"/>
  <c r="H1022" i="20"/>
  <c r="I1022" i="20"/>
  <c r="J1022" i="20"/>
  <c r="F1023" i="20"/>
  <c r="G1023" i="20"/>
  <c r="H1023" i="20"/>
  <c r="I1023" i="20"/>
  <c r="J1023" i="20"/>
  <c r="F1024" i="20"/>
  <c r="G1024" i="20"/>
  <c r="H1024" i="20"/>
  <c r="I1024" i="20"/>
  <c r="J1024" i="20"/>
  <c r="F1025" i="20"/>
  <c r="G1025" i="20"/>
  <c r="H1025" i="20"/>
  <c r="I1025" i="20"/>
  <c r="J1025" i="20"/>
  <c r="F1026" i="20"/>
  <c r="G1026" i="20"/>
  <c r="H1026" i="20"/>
  <c r="I1026" i="20"/>
  <c r="J1026" i="20"/>
  <c r="F1027" i="20"/>
  <c r="G1027" i="20"/>
  <c r="H1027" i="20"/>
  <c r="I1027" i="20"/>
  <c r="J1027" i="20"/>
  <c r="F1028" i="20"/>
  <c r="G1028" i="20"/>
  <c r="H1028" i="20"/>
  <c r="I1028" i="20"/>
  <c r="J1028" i="20"/>
  <c r="F1029" i="20"/>
  <c r="G1029" i="20"/>
  <c r="H1029" i="20"/>
  <c r="I1029" i="20"/>
  <c r="J1029" i="20"/>
  <c r="F1030" i="20"/>
  <c r="G1030" i="20"/>
  <c r="H1030" i="20"/>
  <c r="I1030" i="20"/>
  <c r="J1030" i="20"/>
  <c r="F1031" i="20"/>
  <c r="G1031" i="20"/>
  <c r="H1031" i="20"/>
  <c r="I1031" i="20"/>
  <c r="J1031" i="20"/>
  <c r="F1032" i="20"/>
  <c r="G1032" i="20"/>
  <c r="H1032" i="20"/>
  <c r="I1032" i="20"/>
  <c r="J1032" i="20"/>
  <c r="F1033" i="20"/>
  <c r="G1033" i="20"/>
  <c r="H1033" i="20"/>
  <c r="I1033" i="20"/>
  <c r="J1033" i="20"/>
  <c r="F1034" i="20"/>
  <c r="G1034" i="20"/>
  <c r="H1034" i="20"/>
  <c r="I1034" i="20"/>
  <c r="J1034" i="20"/>
  <c r="F1035" i="20"/>
  <c r="G1035" i="20"/>
  <c r="H1035" i="20"/>
  <c r="I1035" i="20"/>
  <c r="J1035" i="20"/>
  <c r="F1036" i="20"/>
  <c r="G1036" i="20"/>
  <c r="H1036" i="20"/>
  <c r="I1036" i="20"/>
  <c r="J1036" i="20"/>
  <c r="F1037" i="20"/>
  <c r="G1037" i="20"/>
  <c r="H1037" i="20"/>
  <c r="I1037" i="20"/>
  <c r="J1037" i="20"/>
  <c r="F1038" i="20"/>
  <c r="G1038" i="20"/>
  <c r="H1038" i="20"/>
  <c r="I1038" i="20"/>
  <c r="J1038" i="20"/>
  <c r="F1039" i="20"/>
  <c r="G1039" i="20"/>
  <c r="H1039" i="20"/>
  <c r="I1039" i="20"/>
  <c r="J1039" i="20"/>
  <c r="F1040" i="20"/>
  <c r="G1040" i="20"/>
  <c r="H1040" i="20"/>
  <c r="I1040" i="20"/>
  <c r="J1040" i="20"/>
  <c r="F1041" i="20"/>
  <c r="G1041" i="20"/>
  <c r="H1041" i="20"/>
  <c r="I1041" i="20"/>
  <c r="J1041" i="20"/>
  <c r="F1042" i="20"/>
  <c r="G1042" i="20"/>
  <c r="H1042" i="20"/>
  <c r="I1042" i="20"/>
  <c r="J1042" i="20"/>
  <c r="F1043" i="20"/>
  <c r="G1043" i="20"/>
  <c r="H1043" i="20"/>
  <c r="I1043" i="20"/>
  <c r="J1043" i="20"/>
  <c r="F1044" i="20"/>
  <c r="G1044" i="20"/>
  <c r="H1044" i="20"/>
  <c r="I1044" i="20"/>
  <c r="J1044" i="20"/>
  <c r="F1045" i="20"/>
  <c r="G1045" i="20"/>
  <c r="H1045" i="20"/>
  <c r="I1045" i="20"/>
  <c r="J1045" i="20"/>
  <c r="F1046" i="20"/>
  <c r="G1046" i="20"/>
  <c r="H1046" i="20"/>
  <c r="I1046" i="20"/>
  <c r="J1046" i="20"/>
  <c r="F1047" i="20"/>
  <c r="G1047" i="20"/>
  <c r="H1047" i="20"/>
  <c r="I1047" i="20"/>
  <c r="J1047" i="20"/>
  <c r="F1048" i="20"/>
  <c r="G1048" i="20"/>
  <c r="H1048" i="20"/>
  <c r="I1048" i="20"/>
  <c r="J1048" i="20"/>
  <c r="F1049" i="20"/>
  <c r="G1049" i="20"/>
  <c r="H1049" i="20"/>
  <c r="I1049" i="20"/>
  <c r="J1049" i="20"/>
  <c r="F1050" i="20"/>
  <c r="G1050" i="20"/>
  <c r="H1050" i="20"/>
  <c r="I1050" i="20"/>
  <c r="J1050" i="20"/>
  <c r="F1051" i="20"/>
  <c r="G1051" i="20"/>
  <c r="H1051" i="20"/>
  <c r="I1051" i="20"/>
  <c r="J1051" i="20"/>
  <c r="F1052" i="20"/>
  <c r="G1052" i="20"/>
  <c r="H1052" i="20"/>
  <c r="I1052" i="20"/>
  <c r="J1052" i="20"/>
  <c r="F1053" i="20"/>
  <c r="G1053" i="20"/>
  <c r="H1053" i="20"/>
  <c r="I1053" i="20"/>
  <c r="J1053" i="20"/>
  <c r="F1054" i="20"/>
  <c r="G1054" i="20"/>
  <c r="H1054" i="20"/>
  <c r="I1054" i="20"/>
  <c r="J1054" i="20"/>
  <c r="F1055" i="20"/>
  <c r="G1055" i="20"/>
  <c r="H1055" i="20"/>
  <c r="I1055" i="20"/>
  <c r="J1055" i="20"/>
  <c r="F1056" i="20"/>
  <c r="G1056" i="20"/>
  <c r="H1056" i="20"/>
  <c r="I1056" i="20"/>
  <c r="J1056" i="20"/>
  <c r="F1057" i="20"/>
  <c r="G1057" i="20"/>
  <c r="H1057" i="20"/>
  <c r="I1057" i="20"/>
  <c r="J1057" i="20"/>
  <c r="F1058" i="20"/>
  <c r="G1058" i="20"/>
  <c r="H1058" i="20"/>
  <c r="I1058" i="20"/>
  <c r="J1058" i="20"/>
  <c r="F1059" i="20"/>
  <c r="G1059" i="20"/>
  <c r="H1059" i="20"/>
  <c r="I1059" i="20"/>
  <c r="J1059" i="20"/>
  <c r="F1060" i="20"/>
  <c r="G1060" i="20"/>
  <c r="H1060" i="20"/>
  <c r="I1060" i="20"/>
  <c r="J1060" i="20"/>
  <c r="F1061" i="20"/>
  <c r="G1061" i="20"/>
  <c r="H1061" i="20"/>
  <c r="I1061" i="20"/>
  <c r="J1061" i="20"/>
  <c r="F1062" i="20"/>
  <c r="G1062" i="20"/>
  <c r="H1062" i="20"/>
  <c r="I1062" i="20"/>
  <c r="J1062" i="20"/>
  <c r="F1063" i="20"/>
  <c r="G1063" i="20"/>
  <c r="H1063" i="20"/>
  <c r="I1063" i="20"/>
  <c r="J1063" i="20"/>
  <c r="F897" i="20"/>
  <c r="G897" i="20"/>
  <c r="H897" i="20"/>
  <c r="I897" i="20"/>
  <c r="J897" i="20"/>
  <c r="F898" i="20"/>
  <c r="G898" i="20"/>
  <c r="H898" i="20"/>
  <c r="I898" i="20"/>
  <c r="J898" i="20"/>
  <c r="F899" i="20"/>
  <c r="G899" i="20"/>
  <c r="H899" i="20"/>
  <c r="I899" i="20"/>
  <c r="J899" i="20"/>
  <c r="F900" i="20"/>
  <c r="G900" i="20"/>
  <c r="H900" i="20"/>
  <c r="I900" i="20"/>
  <c r="J900" i="20"/>
  <c r="F901" i="20"/>
  <c r="G901" i="20"/>
  <c r="H901" i="20"/>
  <c r="I901" i="20"/>
  <c r="J901" i="20"/>
  <c r="F902" i="20"/>
  <c r="G902" i="20"/>
  <c r="H902" i="20"/>
  <c r="I902" i="20"/>
  <c r="J902" i="20"/>
  <c r="F903" i="20"/>
  <c r="G903" i="20"/>
  <c r="H903" i="20"/>
  <c r="I903" i="20"/>
  <c r="J903" i="20"/>
  <c r="F904" i="20"/>
  <c r="G904" i="20"/>
  <c r="H904" i="20"/>
  <c r="I904" i="20"/>
  <c r="J904" i="20"/>
  <c r="F905" i="20"/>
  <c r="G905" i="20"/>
  <c r="H905" i="20"/>
  <c r="I905" i="20"/>
  <c r="J905" i="20"/>
  <c r="F906" i="20"/>
  <c r="G906" i="20"/>
  <c r="H906" i="20"/>
  <c r="I906" i="20"/>
  <c r="J906" i="20"/>
  <c r="F907" i="20"/>
  <c r="G907" i="20"/>
  <c r="H907" i="20"/>
  <c r="I907" i="20"/>
  <c r="J907" i="20"/>
  <c r="F908" i="20"/>
  <c r="G908" i="20"/>
  <c r="H908" i="20"/>
  <c r="I908" i="20"/>
  <c r="J908" i="20"/>
  <c r="F909" i="20"/>
  <c r="G909" i="20"/>
  <c r="H909" i="20"/>
  <c r="I909" i="20"/>
  <c r="J909" i="20"/>
  <c r="F910" i="20"/>
  <c r="G910" i="20"/>
  <c r="H910" i="20"/>
  <c r="I910" i="20"/>
  <c r="J910" i="20"/>
  <c r="F911" i="20"/>
  <c r="G911" i="20"/>
  <c r="H911" i="20"/>
  <c r="I911" i="20"/>
  <c r="J911" i="20"/>
  <c r="F912" i="20"/>
  <c r="G912" i="20"/>
  <c r="H912" i="20"/>
  <c r="I912" i="20"/>
  <c r="J912" i="20"/>
  <c r="F913" i="20"/>
  <c r="G913" i="20"/>
  <c r="H913" i="20"/>
  <c r="I913" i="20"/>
  <c r="J913" i="20"/>
  <c r="F914" i="20"/>
  <c r="G914" i="20"/>
  <c r="H914" i="20"/>
  <c r="I914" i="20"/>
  <c r="J914" i="20"/>
  <c r="F915" i="20"/>
  <c r="G915" i="20"/>
  <c r="H915" i="20"/>
  <c r="I915" i="20"/>
  <c r="J915" i="20"/>
  <c r="F916" i="20"/>
  <c r="G916" i="20"/>
  <c r="H916" i="20"/>
  <c r="I916" i="20"/>
  <c r="J916" i="20"/>
  <c r="F917" i="20"/>
  <c r="G917" i="20"/>
  <c r="H917" i="20"/>
  <c r="I917" i="20"/>
  <c r="J917" i="20"/>
  <c r="F918" i="20"/>
  <c r="G918" i="20"/>
  <c r="H918" i="20"/>
  <c r="I918" i="20"/>
  <c r="J918" i="20"/>
  <c r="F919" i="20"/>
  <c r="G919" i="20"/>
  <c r="H919" i="20"/>
  <c r="I919" i="20"/>
  <c r="J919" i="20"/>
  <c r="F920" i="20"/>
  <c r="G920" i="20"/>
  <c r="H920" i="20"/>
  <c r="I920" i="20"/>
  <c r="J920" i="20"/>
  <c r="F921" i="20"/>
  <c r="G921" i="20"/>
  <c r="H921" i="20"/>
  <c r="I921" i="20"/>
  <c r="J921" i="20"/>
  <c r="F922" i="20"/>
  <c r="G922" i="20"/>
  <c r="H922" i="20"/>
  <c r="I922" i="20"/>
  <c r="J922" i="20"/>
  <c r="F923" i="20"/>
  <c r="G923" i="20"/>
  <c r="H923" i="20"/>
  <c r="I923" i="20"/>
  <c r="J923" i="20"/>
  <c r="F924" i="20"/>
  <c r="G924" i="20"/>
  <c r="H924" i="20"/>
  <c r="I924" i="20"/>
  <c r="J924" i="20"/>
  <c r="F925" i="20"/>
  <c r="G925" i="20"/>
  <c r="H925" i="20"/>
  <c r="I925" i="20"/>
  <c r="J925" i="20"/>
  <c r="F926" i="20"/>
  <c r="G926" i="20"/>
  <c r="H926" i="20"/>
  <c r="I926" i="20"/>
  <c r="J926" i="20"/>
  <c r="F927" i="20"/>
  <c r="G927" i="20"/>
  <c r="H927" i="20"/>
  <c r="I927" i="20"/>
  <c r="J927" i="20"/>
  <c r="F928" i="20"/>
  <c r="G928" i="20"/>
  <c r="H928" i="20"/>
  <c r="I928" i="20"/>
  <c r="J928" i="20"/>
  <c r="F929" i="20"/>
  <c r="G929" i="20"/>
  <c r="H929" i="20"/>
  <c r="I929" i="20"/>
  <c r="J929" i="20"/>
  <c r="F930" i="20"/>
  <c r="G930" i="20"/>
  <c r="H930" i="20"/>
  <c r="I930" i="20"/>
  <c r="J930" i="20"/>
  <c r="F931" i="20"/>
  <c r="G931" i="20"/>
  <c r="H931" i="20"/>
  <c r="I931" i="20"/>
  <c r="J931" i="20"/>
  <c r="F932" i="20"/>
  <c r="G932" i="20"/>
  <c r="H932" i="20"/>
  <c r="I932" i="20"/>
  <c r="J932" i="20"/>
  <c r="F933" i="20"/>
  <c r="G933" i="20"/>
  <c r="H933" i="20"/>
  <c r="I933" i="20"/>
  <c r="J933" i="20"/>
  <c r="F934" i="20"/>
  <c r="G934" i="20"/>
  <c r="H934" i="20"/>
  <c r="I934" i="20"/>
  <c r="J934" i="20"/>
  <c r="F935" i="20"/>
  <c r="G935" i="20"/>
  <c r="H935" i="20"/>
  <c r="I935" i="20"/>
  <c r="J935" i="20"/>
  <c r="F936" i="20"/>
  <c r="G936" i="20"/>
  <c r="H936" i="20"/>
  <c r="I936" i="20"/>
  <c r="J936" i="20"/>
  <c r="F937" i="20"/>
  <c r="G937" i="20"/>
  <c r="H937" i="20"/>
  <c r="I937" i="20"/>
  <c r="J937" i="20"/>
  <c r="F938" i="20"/>
  <c r="G938" i="20"/>
  <c r="H938" i="20"/>
  <c r="I938" i="20"/>
  <c r="J938" i="20"/>
  <c r="F939" i="20"/>
  <c r="G939" i="20"/>
  <c r="H939" i="20"/>
  <c r="I939" i="20"/>
  <c r="J939" i="20"/>
  <c r="F940" i="20"/>
  <c r="G940" i="20"/>
  <c r="H940" i="20"/>
  <c r="I940" i="20"/>
  <c r="J940" i="20"/>
  <c r="F941" i="20"/>
  <c r="G941" i="20"/>
  <c r="H941" i="20"/>
  <c r="I941" i="20"/>
  <c r="J941" i="20"/>
  <c r="F942" i="20"/>
  <c r="G942" i="20"/>
  <c r="H942" i="20"/>
  <c r="I942" i="20"/>
  <c r="J942" i="20"/>
  <c r="F943" i="20"/>
  <c r="G943" i="20"/>
  <c r="H943" i="20"/>
  <c r="I943" i="20"/>
  <c r="J943" i="20"/>
  <c r="F944" i="20"/>
  <c r="G944" i="20"/>
  <c r="H944" i="20"/>
  <c r="I944" i="20"/>
  <c r="J944" i="20"/>
  <c r="F945" i="20"/>
  <c r="G945" i="20"/>
  <c r="H945" i="20"/>
  <c r="I945" i="20"/>
  <c r="J945" i="20"/>
  <c r="F946" i="20"/>
  <c r="G946" i="20"/>
  <c r="H946" i="20"/>
  <c r="I946" i="20"/>
  <c r="J946" i="20"/>
  <c r="F947" i="20"/>
  <c r="G947" i="20"/>
  <c r="H947" i="20"/>
  <c r="I947" i="20"/>
  <c r="J947" i="20"/>
  <c r="F948" i="20"/>
  <c r="G948" i="20"/>
  <c r="H948" i="20"/>
  <c r="I948" i="20"/>
  <c r="J948" i="20"/>
  <c r="F949" i="20"/>
  <c r="G949" i="20"/>
  <c r="H949" i="20"/>
  <c r="I949" i="20"/>
  <c r="J949" i="20"/>
  <c r="F950" i="20"/>
  <c r="G950" i="20"/>
  <c r="H950" i="20"/>
  <c r="I950" i="20"/>
  <c r="J950" i="20"/>
  <c r="F951" i="20"/>
  <c r="G951" i="20"/>
  <c r="H951" i="20"/>
  <c r="I951" i="20"/>
  <c r="J951" i="20"/>
  <c r="F952" i="20"/>
  <c r="G952" i="20"/>
  <c r="H952" i="20"/>
  <c r="I952" i="20"/>
  <c r="J952" i="20"/>
  <c r="F953" i="20"/>
  <c r="G953" i="20"/>
  <c r="H953" i="20"/>
  <c r="I953" i="20"/>
  <c r="J953" i="20"/>
  <c r="F954" i="20"/>
  <c r="G954" i="20"/>
  <c r="H954" i="20"/>
  <c r="I954" i="20"/>
  <c r="J954" i="20"/>
  <c r="F955" i="20"/>
  <c r="G955" i="20"/>
  <c r="H955" i="20"/>
  <c r="I955" i="20"/>
  <c r="J955" i="20"/>
  <c r="F956" i="20"/>
  <c r="G956" i="20"/>
  <c r="H956" i="20"/>
  <c r="I956" i="20"/>
  <c r="J956" i="20"/>
  <c r="F957" i="20"/>
  <c r="G957" i="20"/>
  <c r="H957" i="20"/>
  <c r="I957" i="20"/>
  <c r="J957" i="20"/>
  <c r="F958" i="20"/>
  <c r="G958" i="20"/>
  <c r="H958" i="20"/>
  <c r="I958" i="20"/>
  <c r="J958" i="20"/>
  <c r="F959" i="20"/>
  <c r="G959" i="20"/>
  <c r="H959" i="20"/>
  <c r="I959" i="20"/>
  <c r="J959" i="20"/>
  <c r="F960" i="20"/>
  <c r="G960" i="20"/>
  <c r="H960" i="20"/>
  <c r="I960" i="20"/>
  <c r="J960" i="20"/>
  <c r="F961" i="20"/>
  <c r="G961" i="20"/>
  <c r="H961" i="20"/>
  <c r="I961" i="20"/>
  <c r="J961" i="20"/>
  <c r="F962" i="20"/>
  <c r="G962" i="20"/>
  <c r="H962" i="20"/>
  <c r="I962" i="20"/>
  <c r="J962" i="20"/>
  <c r="F963" i="20"/>
  <c r="G963" i="20"/>
  <c r="H963" i="20"/>
  <c r="I963" i="20"/>
  <c r="J963" i="20"/>
  <c r="F964" i="20"/>
  <c r="G964" i="20"/>
  <c r="H964" i="20"/>
  <c r="I964" i="20"/>
  <c r="J964" i="20"/>
  <c r="F965" i="20"/>
  <c r="G965" i="20"/>
  <c r="H965" i="20"/>
  <c r="I965" i="20"/>
  <c r="J965" i="20"/>
  <c r="F966" i="20"/>
  <c r="G966" i="20"/>
  <c r="H966" i="20"/>
  <c r="I966" i="20"/>
  <c r="J966" i="20"/>
  <c r="F967" i="20"/>
  <c r="G967" i="20"/>
  <c r="H967" i="20"/>
  <c r="I967" i="20"/>
  <c r="J967" i="20"/>
  <c r="F968" i="20"/>
  <c r="G968" i="20"/>
  <c r="H968" i="20"/>
  <c r="I968" i="20"/>
  <c r="J968" i="20"/>
  <c r="F969" i="20"/>
  <c r="G969" i="20"/>
  <c r="H969" i="20"/>
  <c r="I969" i="20"/>
  <c r="J969" i="20"/>
  <c r="F970" i="20"/>
  <c r="G970" i="20"/>
  <c r="H970" i="20"/>
  <c r="I970" i="20"/>
  <c r="J970" i="20"/>
  <c r="F971" i="20"/>
  <c r="G971" i="20"/>
  <c r="H971" i="20"/>
  <c r="I971" i="20"/>
  <c r="J971" i="20"/>
  <c r="F972" i="20"/>
  <c r="G972" i="20"/>
  <c r="H972" i="20"/>
  <c r="I972" i="20"/>
  <c r="J972" i="20"/>
  <c r="F973" i="20"/>
  <c r="G973" i="20"/>
  <c r="H973" i="20"/>
  <c r="I973" i="20"/>
  <c r="J973" i="20"/>
  <c r="F974" i="20"/>
  <c r="G974" i="20"/>
  <c r="H974" i="20"/>
  <c r="I974" i="20"/>
  <c r="J974" i="20"/>
  <c r="F975" i="20"/>
  <c r="G975" i="20"/>
  <c r="H975" i="20"/>
  <c r="I975" i="20"/>
  <c r="J975" i="20"/>
  <c r="F976" i="20"/>
  <c r="G976" i="20"/>
  <c r="H976" i="20"/>
  <c r="I976" i="20"/>
  <c r="J976" i="20"/>
  <c r="F977" i="20"/>
  <c r="G977" i="20"/>
  <c r="H977" i="20"/>
  <c r="I977" i="20"/>
  <c r="J977" i="20"/>
  <c r="F978" i="20"/>
  <c r="G978" i="20"/>
  <c r="H978" i="20"/>
  <c r="I978" i="20"/>
  <c r="J978" i="20"/>
  <c r="F979" i="20"/>
  <c r="G979" i="20"/>
  <c r="H979" i="20"/>
  <c r="I979" i="20"/>
  <c r="J979" i="20"/>
  <c r="F980" i="20"/>
  <c r="G980" i="20"/>
  <c r="H980" i="20"/>
  <c r="I980" i="20"/>
  <c r="J980" i="20"/>
  <c r="F896" i="20"/>
  <c r="G896" i="20"/>
  <c r="H896" i="20"/>
  <c r="I896" i="20"/>
  <c r="J896" i="20"/>
  <c r="F815" i="20"/>
  <c r="G815" i="20"/>
  <c r="H815" i="20"/>
  <c r="I815" i="20"/>
  <c r="J815" i="20"/>
  <c r="F816" i="20"/>
  <c r="G816" i="20"/>
  <c r="H816" i="20"/>
  <c r="I816" i="20"/>
  <c r="J816" i="20"/>
  <c r="F817" i="20"/>
  <c r="G817" i="20"/>
  <c r="H817" i="20"/>
  <c r="I817" i="20"/>
  <c r="J817" i="20"/>
  <c r="F818" i="20"/>
  <c r="G818" i="20"/>
  <c r="H818" i="20"/>
  <c r="I818" i="20"/>
  <c r="J818" i="20"/>
  <c r="F819" i="20"/>
  <c r="G819" i="20"/>
  <c r="H819" i="20"/>
  <c r="I819" i="20"/>
  <c r="J819" i="20"/>
  <c r="F820" i="20"/>
  <c r="G820" i="20"/>
  <c r="H820" i="20"/>
  <c r="I820" i="20"/>
  <c r="J820" i="20"/>
  <c r="F821" i="20"/>
  <c r="G821" i="20"/>
  <c r="H821" i="20"/>
  <c r="I821" i="20"/>
  <c r="J821" i="20"/>
  <c r="F822" i="20"/>
  <c r="G822" i="20"/>
  <c r="H822" i="20"/>
  <c r="I822" i="20"/>
  <c r="J822" i="20"/>
  <c r="F823" i="20"/>
  <c r="G823" i="20"/>
  <c r="H823" i="20"/>
  <c r="I823" i="20"/>
  <c r="J823" i="20"/>
  <c r="F824" i="20"/>
  <c r="G824" i="20"/>
  <c r="H824" i="20"/>
  <c r="I824" i="20"/>
  <c r="J824" i="20"/>
  <c r="F825" i="20"/>
  <c r="G825" i="20"/>
  <c r="H825" i="20"/>
  <c r="I825" i="20"/>
  <c r="J825" i="20"/>
  <c r="F826" i="20"/>
  <c r="G826" i="20"/>
  <c r="H826" i="20"/>
  <c r="I826" i="20"/>
  <c r="J826" i="20"/>
  <c r="F827" i="20"/>
  <c r="G827" i="20"/>
  <c r="H827" i="20"/>
  <c r="I827" i="20"/>
  <c r="J827" i="20"/>
  <c r="F828" i="20"/>
  <c r="G828" i="20"/>
  <c r="H828" i="20"/>
  <c r="I828" i="20"/>
  <c r="J828" i="20"/>
  <c r="F829" i="20"/>
  <c r="G829" i="20"/>
  <c r="H829" i="20"/>
  <c r="I829" i="20"/>
  <c r="J829" i="20"/>
  <c r="F830" i="20"/>
  <c r="G830" i="20"/>
  <c r="H830" i="20"/>
  <c r="I830" i="20"/>
  <c r="J830" i="20"/>
  <c r="F831" i="20"/>
  <c r="G831" i="20"/>
  <c r="H831" i="20"/>
  <c r="I831" i="20"/>
  <c r="J831" i="20"/>
  <c r="F832" i="20"/>
  <c r="G832" i="20"/>
  <c r="H832" i="20"/>
  <c r="I832" i="20"/>
  <c r="J832" i="20"/>
  <c r="F833" i="20"/>
  <c r="G833" i="20"/>
  <c r="H833" i="20"/>
  <c r="I833" i="20"/>
  <c r="J833" i="20"/>
  <c r="F834" i="20"/>
  <c r="G834" i="20"/>
  <c r="H834" i="20"/>
  <c r="I834" i="20"/>
  <c r="J834" i="20"/>
  <c r="F835" i="20"/>
  <c r="G835" i="20"/>
  <c r="H835" i="20"/>
  <c r="I835" i="20"/>
  <c r="J835" i="20"/>
  <c r="F836" i="20"/>
  <c r="G836" i="20"/>
  <c r="H836" i="20"/>
  <c r="I836" i="20"/>
  <c r="J836" i="20"/>
  <c r="F837" i="20"/>
  <c r="G837" i="20"/>
  <c r="H837" i="20"/>
  <c r="I837" i="20"/>
  <c r="J837" i="20"/>
  <c r="F838" i="20"/>
  <c r="G838" i="20"/>
  <c r="H838" i="20"/>
  <c r="I838" i="20"/>
  <c r="J838" i="20"/>
  <c r="F839" i="20"/>
  <c r="G839" i="20"/>
  <c r="H839" i="20"/>
  <c r="I839" i="20"/>
  <c r="J839" i="20"/>
  <c r="F840" i="20"/>
  <c r="G840" i="20"/>
  <c r="H840" i="20"/>
  <c r="I840" i="20"/>
  <c r="J840" i="20"/>
  <c r="F841" i="20"/>
  <c r="G841" i="20"/>
  <c r="H841" i="20"/>
  <c r="I841" i="20"/>
  <c r="J841" i="20"/>
  <c r="F842" i="20"/>
  <c r="G842" i="20"/>
  <c r="H842" i="20"/>
  <c r="I842" i="20"/>
  <c r="J842" i="20"/>
  <c r="F843" i="20"/>
  <c r="G843" i="20"/>
  <c r="H843" i="20"/>
  <c r="I843" i="20"/>
  <c r="J843" i="20"/>
  <c r="F844" i="20"/>
  <c r="G844" i="20"/>
  <c r="H844" i="20"/>
  <c r="I844" i="20"/>
  <c r="J844" i="20"/>
  <c r="F845" i="20"/>
  <c r="G845" i="20"/>
  <c r="H845" i="20"/>
  <c r="I845" i="20"/>
  <c r="J845" i="20"/>
  <c r="F846" i="20"/>
  <c r="G846" i="20"/>
  <c r="H846" i="20"/>
  <c r="I846" i="20"/>
  <c r="J846" i="20"/>
  <c r="F847" i="20"/>
  <c r="G847" i="20"/>
  <c r="H847" i="20"/>
  <c r="I847" i="20"/>
  <c r="J847" i="20"/>
  <c r="F848" i="20"/>
  <c r="G848" i="20"/>
  <c r="H848" i="20"/>
  <c r="I848" i="20"/>
  <c r="J848" i="20"/>
  <c r="F849" i="20"/>
  <c r="G849" i="20"/>
  <c r="H849" i="20"/>
  <c r="I849" i="20"/>
  <c r="J849" i="20"/>
  <c r="F850" i="20"/>
  <c r="G850" i="20"/>
  <c r="H850" i="20"/>
  <c r="I850" i="20"/>
  <c r="J850" i="20"/>
  <c r="F851" i="20"/>
  <c r="G851" i="20"/>
  <c r="H851" i="20"/>
  <c r="I851" i="20"/>
  <c r="J851" i="20"/>
  <c r="F852" i="20"/>
  <c r="G852" i="20"/>
  <c r="H852" i="20"/>
  <c r="I852" i="20"/>
  <c r="J852" i="20"/>
  <c r="F853" i="20"/>
  <c r="G853" i="20"/>
  <c r="H853" i="20"/>
  <c r="I853" i="20"/>
  <c r="J853" i="20"/>
  <c r="F854" i="20"/>
  <c r="G854" i="20"/>
  <c r="H854" i="20"/>
  <c r="I854" i="20"/>
  <c r="J854" i="20"/>
  <c r="F855" i="20"/>
  <c r="G855" i="20"/>
  <c r="H855" i="20"/>
  <c r="I855" i="20"/>
  <c r="J855" i="20"/>
  <c r="F856" i="20"/>
  <c r="G856" i="20"/>
  <c r="H856" i="20"/>
  <c r="I856" i="20"/>
  <c r="J856" i="20"/>
  <c r="F857" i="20"/>
  <c r="G857" i="20"/>
  <c r="H857" i="20"/>
  <c r="I857" i="20"/>
  <c r="J857" i="20"/>
  <c r="F858" i="20"/>
  <c r="G858" i="20"/>
  <c r="H858" i="20"/>
  <c r="I858" i="20"/>
  <c r="J858" i="20"/>
  <c r="F859" i="20"/>
  <c r="G859" i="20"/>
  <c r="H859" i="20"/>
  <c r="I859" i="20"/>
  <c r="J859" i="20"/>
  <c r="F860" i="20"/>
  <c r="G860" i="20"/>
  <c r="H860" i="20"/>
  <c r="I860" i="20"/>
  <c r="J860" i="20"/>
  <c r="F861" i="20"/>
  <c r="G861" i="20"/>
  <c r="H861" i="20"/>
  <c r="I861" i="20"/>
  <c r="J861" i="20"/>
  <c r="F862" i="20"/>
  <c r="G862" i="20"/>
  <c r="H862" i="20"/>
  <c r="I862" i="20"/>
  <c r="J862" i="20"/>
  <c r="F863" i="20"/>
  <c r="G863" i="20"/>
  <c r="H863" i="20"/>
  <c r="I863" i="20"/>
  <c r="J863" i="20"/>
  <c r="F864" i="20"/>
  <c r="G864" i="20"/>
  <c r="H864" i="20"/>
  <c r="I864" i="20"/>
  <c r="J864" i="20"/>
  <c r="F865" i="20"/>
  <c r="G865" i="20"/>
  <c r="H865" i="20"/>
  <c r="I865" i="20"/>
  <c r="J865" i="20"/>
  <c r="F866" i="20"/>
  <c r="G866" i="20"/>
  <c r="H866" i="20"/>
  <c r="I866" i="20"/>
  <c r="J866" i="20"/>
  <c r="F867" i="20"/>
  <c r="G867" i="20"/>
  <c r="H867" i="20"/>
  <c r="I867" i="20"/>
  <c r="J867" i="20"/>
  <c r="F868" i="20"/>
  <c r="G868" i="20"/>
  <c r="H868" i="20"/>
  <c r="I868" i="20"/>
  <c r="J868" i="20"/>
  <c r="F869" i="20"/>
  <c r="G869" i="20"/>
  <c r="H869" i="20"/>
  <c r="I869" i="20"/>
  <c r="J869" i="20"/>
  <c r="F870" i="20"/>
  <c r="G870" i="20"/>
  <c r="H870" i="20"/>
  <c r="I870" i="20"/>
  <c r="J870" i="20"/>
  <c r="F871" i="20"/>
  <c r="G871" i="20"/>
  <c r="H871" i="20"/>
  <c r="I871" i="20"/>
  <c r="J871" i="20"/>
  <c r="F872" i="20"/>
  <c r="G872" i="20"/>
  <c r="H872" i="20"/>
  <c r="I872" i="20"/>
  <c r="J872" i="20"/>
  <c r="F873" i="20"/>
  <c r="G873" i="20"/>
  <c r="H873" i="20"/>
  <c r="I873" i="20"/>
  <c r="J873" i="20"/>
  <c r="F874" i="20"/>
  <c r="G874" i="20"/>
  <c r="H874" i="20"/>
  <c r="I874" i="20"/>
  <c r="J874" i="20"/>
  <c r="F875" i="20"/>
  <c r="G875" i="20"/>
  <c r="H875" i="20"/>
  <c r="I875" i="20"/>
  <c r="J875" i="20"/>
  <c r="F876" i="20"/>
  <c r="G876" i="20"/>
  <c r="H876" i="20"/>
  <c r="I876" i="20"/>
  <c r="J876" i="20"/>
  <c r="F877" i="20"/>
  <c r="G877" i="20"/>
  <c r="H877" i="20"/>
  <c r="I877" i="20"/>
  <c r="J877" i="20"/>
  <c r="F878" i="20"/>
  <c r="G878" i="20"/>
  <c r="H878" i="20"/>
  <c r="I878" i="20"/>
  <c r="J878" i="20"/>
  <c r="F879" i="20"/>
  <c r="G879" i="20"/>
  <c r="H879" i="20"/>
  <c r="I879" i="20"/>
  <c r="J879" i="20"/>
  <c r="F880" i="20"/>
  <c r="G880" i="20"/>
  <c r="H880" i="20"/>
  <c r="I880" i="20"/>
  <c r="J880" i="20"/>
  <c r="F881" i="20"/>
  <c r="G881" i="20"/>
  <c r="H881" i="20"/>
  <c r="I881" i="20"/>
  <c r="J881" i="20"/>
  <c r="F882" i="20"/>
  <c r="G882" i="20"/>
  <c r="H882" i="20"/>
  <c r="I882" i="20"/>
  <c r="J882" i="20"/>
  <c r="F883" i="20"/>
  <c r="G883" i="20"/>
  <c r="H883" i="20"/>
  <c r="I883" i="20"/>
  <c r="J883" i="20"/>
  <c r="F884" i="20"/>
  <c r="G884" i="20"/>
  <c r="H884" i="20"/>
  <c r="I884" i="20"/>
  <c r="J884" i="20"/>
  <c r="F885" i="20"/>
  <c r="G885" i="20"/>
  <c r="H885" i="20"/>
  <c r="I885" i="20"/>
  <c r="J885" i="20"/>
  <c r="F886" i="20"/>
  <c r="G886" i="20"/>
  <c r="H886" i="20"/>
  <c r="I886" i="20"/>
  <c r="J886" i="20"/>
  <c r="F887" i="20"/>
  <c r="G887" i="20"/>
  <c r="H887" i="20"/>
  <c r="I887" i="20"/>
  <c r="J887" i="20"/>
  <c r="F888" i="20"/>
  <c r="G888" i="20"/>
  <c r="H888" i="20"/>
  <c r="I888" i="20"/>
  <c r="J888" i="20"/>
  <c r="F889" i="20"/>
  <c r="G889" i="20"/>
  <c r="H889" i="20"/>
  <c r="I889" i="20"/>
  <c r="J889" i="20"/>
  <c r="F890" i="20"/>
  <c r="G890" i="20"/>
  <c r="H890" i="20"/>
  <c r="I890" i="20"/>
  <c r="J890" i="20"/>
  <c r="F891" i="20"/>
  <c r="G891" i="20"/>
  <c r="H891" i="20"/>
  <c r="I891" i="20"/>
  <c r="J891" i="20"/>
  <c r="F892" i="20"/>
  <c r="G892" i="20"/>
  <c r="H892" i="20"/>
  <c r="I892" i="20"/>
  <c r="J892" i="20"/>
  <c r="F893" i="20"/>
  <c r="G893" i="20"/>
  <c r="H893" i="20"/>
  <c r="I893" i="20"/>
  <c r="J893" i="20"/>
  <c r="F894" i="20"/>
  <c r="G894" i="20"/>
  <c r="H894" i="20"/>
  <c r="I894" i="20"/>
  <c r="J894" i="20"/>
  <c r="F895" i="20"/>
  <c r="G895" i="20"/>
  <c r="H895" i="20"/>
  <c r="I895" i="20"/>
  <c r="J895" i="20"/>
  <c r="F814" i="20"/>
  <c r="G814" i="20"/>
  <c r="H814" i="20"/>
  <c r="I814" i="20"/>
  <c r="J814" i="20"/>
  <c r="F812" i="20"/>
  <c r="G812" i="20"/>
  <c r="H812" i="20"/>
  <c r="I812" i="20"/>
  <c r="J812" i="20"/>
  <c r="K812" i="20"/>
  <c r="F813" i="20"/>
  <c r="E323" i="19"/>
  <c r="E322" i="19"/>
  <c r="E321" i="19"/>
  <c r="E206" i="56"/>
  <c r="B219" i="56"/>
  <c r="B227" i="56" s="1"/>
  <c r="D59" i="56" s="1"/>
  <c r="B220" i="56"/>
  <c r="B228" i="56" s="1"/>
  <c r="D60" i="56" s="1"/>
  <c r="B221" i="56"/>
  <c r="B229" i="56" s="1"/>
  <c r="D61" i="56" s="1"/>
  <c r="B222" i="56"/>
  <c r="B230" i="56" s="1"/>
  <c r="D62" i="56" s="1"/>
  <c r="B223" i="56"/>
  <c r="B231" i="56" s="1"/>
  <c r="D63" i="56" s="1"/>
  <c r="C223" i="56"/>
  <c r="C231" i="56" s="1"/>
  <c r="D223" i="56"/>
  <c r="D231" i="56" s="1"/>
  <c r="B224" i="56"/>
  <c r="B232" i="56" s="1"/>
  <c r="D64" i="56" s="1"/>
  <c r="C224" i="56"/>
  <c r="C232" i="56" s="1"/>
  <c r="D224" i="56"/>
  <c r="D232" i="56" s="1"/>
  <c r="B225" i="56"/>
  <c r="B233" i="56" s="1"/>
  <c r="D65" i="56" s="1"/>
  <c r="C225" i="56"/>
  <c r="C233" i="56" s="1"/>
  <c r="D225" i="56"/>
  <c r="D233" i="56" s="1"/>
  <c r="B226" i="56"/>
  <c r="B234" i="56" s="1"/>
  <c r="D66" i="56" s="1"/>
  <c r="C226" i="56"/>
  <c r="C234" i="56" s="1"/>
  <c r="D226" i="56"/>
  <c r="D234" i="56" s="1"/>
  <c r="A226" i="56"/>
  <c r="A220" i="56"/>
  <c r="A221" i="56"/>
  <c r="A222" i="56"/>
  <c r="A223" i="56"/>
  <c r="A224" i="56"/>
  <c r="A225" i="56"/>
  <c r="A219" i="56"/>
  <c r="E204" i="56"/>
  <c r="E205" i="56"/>
  <c r="E203" i="56"/>
  <c r="E202" i="56"/>
  <c r="C203" i="56"/>
  <c r="D203" i="56"/>
  <c r="C204" i="56"/>
  <c r="D204" i="56"/>
  <c r="C205" i="56"/>
  <c r="D205" i="56"/>
  <c r="C206" i="56"/>
  <c r="D206" i="56"/>
  <c r="B203" i="56"/>
  <c r="B204" i="56"/>
  <c r="B205" i="56"/>
  <c r="B206" i="56"/>
  <c r="E200" i="56"/>
  <c r="E201" i="56"/>
  <c r="E199" i="56"/>
  <c r="C199" i="56"/>
  <c r="C214" i="56" s="1"/>
  <c r="C222" i="56" s="1"/>
  <c r="C230" i="56" s="1"/>
  <c r="D199" i="56"/>
  <c r="D214" i="56" s="1"/>
  <c r="D222" i="56" s="1"/>
  <c r="D230" i="56" s="1"/>
  <c r="C200" i="56"/>
  <c r="D200" i="56"/>
  <c r="C201" i="56"/>
  <c r="D201" i="56"/>
  <c r="C202" i="56"/>
  <c r="D202" i="56"/>
  <c r="B200" i="56"/>
  <c r="B201" i="56"/>
  <c r="B202" i="56"/>
  <c r="B199" i="56"/>
  <c r="E196" i="56"/>
  <c r="E197" i="56"/>
  <c r="E198" i="56"/>
  <c r="E195" i="56"/>
  <c r="C196" i="56"/>
  <c r="C211" i="56" s="1"/>
  <c r="C219" i="56" s="1"/>
  <c r="C227" i="56" s="1"/>
  <c r="D196" i="56"/>
  <c r="D211" i="56" s="1"/>
  <c r="D219" i="56" s="1"/>
  <c r="D227" i="56" s="1"/>
  <c r="C197" i="56"/>
  <c r="C212" i="56" s="1"/>
  <c r="C220" i="56" s="1"/>
  <c r="C228" i="56" s="1"/>
  <c r="D197" i="56"/>
  <c r="D212" i="56" s="1"/>
  <c r="D220" i="56" s="1"/>
  <c r="D228" i="56" s="1"/>
  <c r="C198" i="56"/>
  <c r="C213" i="56" s="1"/>
  <c r="C221" i="56" s="1"/>
  <c r="C229" i="56" s="1"/>
  <c r="D198" i="56"/>
  <c r="D213" i="56" s="1"/>
  <c r="D221" i="56" s="1"/>
  <c r="D229" i="56" s="1"/>
  <c r="B196" i="56"/>
  <c r="B197" i="56"/>
  <c r="B198" i="56"/>
  <c r="C195" i="56"/>
  <c r="D195" i="56"/>
  <c r="B195" i="56"/>
  <c r="C148" i="56"/>
  <c r="C149" i="56" s="1"/>
  <c r="E210" i="56" l="1"/>
  <c r="E207" i="56"/>
  <c r="E209" i="56"/>
  <c r="E208" i="56"/>
  <c r="C157" i="56"/>
  <c r="C165" i="56" s="1"/>
  <c r="C155" i="56"/>
  <c r="C163" i="56" s="1"/>
  <c r="C153" i="56"/>
  <c r="C161" i="56" s="1"/>
  <c r="C151" i="56"/>
  <c r="C159" i="56" s="1"/>
  <c r="C150" i="56"/>
  <c r="E217" i="56" l="1"/>
  <c r="E225" i="56" s="1"/>
  <c r="E211" i="56"/>
  <c r="E219" i="56" s="1"/>
  <c r="E213" i="56"/>
  <c r="E221" i="56" s="1"/>
  <c r="E215" i="56"/>
  <c r="E223" i="56" s="1"/>
  <c r="C158" i="56"/>
  <c r="C166" i="56" s="1"/>
  <c r="E218" i="56" s="1"/>
  <c r="E226" i="56" s="1"/>
  <c r="C154" i="56"/>
  <c r="C162" i="56" s="1"/>
  <c r="E214" i="56" s="1"/>
  <c r="E222" i="56" s="1"/>
  <c r="C156" i="56"/>
  <c r="C164" i="56" s="1"/>
  <c r="E216" i="56" s="1"/>
  <c r="E224" i="56" s="1"/>
  <c r="C152" i="56"/>
  <c r="C160" i="56" s="1"/>
  <c r="E212" i="56" s="1"/>
  <c r="E220" i="56" s="1"/>
  <c r="B136" i="56" l="1"/>
  <c r="E94" i="56"/>
  <c r="E233" i="56" l="1"/>
  <c r="E65" i="56" s="1"/>
  <c r="E231" i="56"/>
  <c r="E63" i="56" s="1"/>
  <c r="E228" i="56"/>
  <c r="E60" i="56" s="1"/>
  <c r="E227" i="56"/>
  <c r="E59" i="56" s="1"/>
  <c r="E234" i="56"/>
  <c r="E66" i="56" s="1"/>
  <c r="E232" i="56"/>
  <c r="E64" i="56" s="1"/>
  <c r="E230" i="56"/>
  <c r="E62" i="56" s="1"/>
  <c r="E229" i="56"/>
  <c r="E61" i="56" s="1"/>
  <c r="B21" i="56"/>
  <c r="N1464" i="19"/>
  <c r="O1464" i="19"/>
  <c r="N1465" i="19"/>
  <c r="O1465" i="19"/>
  <c r="N1466" i="19"/>
  <c r="O1466" i="19"/>
  <c r="N1467" i="19"/>
  <c r="O1467" i="19"/>
  <c r="N1468" i="19"/>
  <c r="O1468" i="19"/>
  <c r="N1469" i="19"/>
  <c r="O1469" i="19"/>
  <c r="N1470" i="19"/>
  <c r="O1470" i="19"/>
  <c r="N1471" i="19"/>
  <c r="O1471" i="19"/>
  <c r="N1472" i="19"/>
  <c r="O1472" i="19"/>
  <c r="N1473" i="19"/>
  <c r="O1473" i="19"/>
  <c r="N1474" i="19"/>
  <c r="O1474" i="19"/>
  <c r="N1475" i="19"/>
  <c r="O1475" i="19"/>
  <c r="N1476" i="19"/>
  <c r="O1476" i="19"/>
  <c r="N1477" i="19"/>
  <c r="O1477" i="19"/>
  <c r="N1478" i="19"/>
  <c r="O1478" i="19"/>
  <c r="N1479" i="19"/>
  <c r="O1479" i="19"/>
  <c r="N1480" i="19"/>
  <c r="O1480" i="19"/>
  <c r="N1481" i="19"/>
  <c r="O1481" i="19"/>
  <c r="N1482" i="19"/>
  <c r="O1482" i="19"/>
  <c r="N1483" i="19"/>
  <c r="O1483" i="19"/>
  <c r="N1484" i="19"/>
  <c r="O1484" i="19"/>
  <c r="N1485" i="19"/>
  <c r="O1485" i="19"/>
  <c r="N1486" i="19"/>
  <c r="O1486" i="19"/>
  <c r="N1487" i="19"/>
  <c r="O1487" i="19"/>
  <c r="N1488" i="19"/>
  <c r="O1488" i="19"/>
  <c r="N1489" i="19"/>
  <c r="O1489" i="19"/>
  <c r="N1490" i="19"/>
  <c r="O1490" i="19"/>
  <c r="N1491" i="19"/>
  <c r="O1491" i="19"/>
  <c r="N1492" i="19"/>
  <c r="O1492" i="19"/>
  <c r="N1493" i="19"/>
  <c r="O1493" i="19"/>
  <c r="N1494" i="19"/>
  <c r="O1494" i="19"/>
  <c r="N1495" i="19"/>
  <c r="O1495" i="19"/>
  <c r="N1496" i="19"/>
  <c r="O1496" i="19"/>
  <c r="N1497" i="19"/>
  <c r="O1497" i="19"/>
  <c r="N1498" i="19"/>
  <c r="O1498" i="19"/>
  <c r="N1499" i="19"/>
  <c r="O1499" i="19"/>
  <c r="N1500" i="19"/>
  <c r="O1500" i="19"/>
  <c r="N1501" i="19"/>
  <c r="O1501" i="19"/>
  <c r="N1502" i="19"/>
  <c r="O1502" i="19"/>
  <c r="N1503" i="19"/>
  <c r="O1503" i="19"/>
  <c r="N1504" i="19"/>
  <c r="O1504" i="19"/>
  <c r="N1505" i="19"/>
  <c r="O1505" i="19"/>
  <c r="N1506" i="19"/>
  <c r="O1506" i="19"/>
  <c r="N1507" i="19"/>
  <c r="O1507" i="19"/>
  <c r="N1508" i="19"/>
  <c r="O1508" i="19"/>
  <c r="N1509" i="19"/>
  <c r="O1509" i="19"/>
  <c r="N1510" i="19"/>
  <c r="O1510" i="19"/>
  <c r="N1511" i="19"/>
  <c r="O1511" i="19"/>
  <c r="N1512" i="19"/>
  <c r="O1512" i="19"/>
  <c r="N1513" i="19"/>
  <c r="O1513" i="19"/>
  <c r="N1514" i="19"/>
  <c r="O1514" i="19"/>
  <c r="N1515" i="19"/>
  <c r="O1515" i="19"/>
  <c r="N1516" i="19"/>
  <c r="O1516" i="19"/>
  <c r="N1517" i="19"/>
  <c r="O1517" i="19"/>
  <c r="N1518" i="19"/>
  <c r="O1518" i="19"/>
  <c r="N1519" i="19"/>
  <c r="O1519" i="19"/>
  <c r="N1520" i="19"/>
  <c r="O1520" i="19"/>
  <c r="N1521" i="19"/>
  <c r="O1521" i="19"/>
  <c r="N1522" i="19"/>
  <c r="O1522" i="19"/>
  <c r="N1523" i="19"/>
  <c r="O1523" i="19"/>
  <c r="N1524" i="19"/>
  <c r="O1524" i="19"/>
  <c r="N1525" i="19"/>
  <c r="O1525" i="19"/>
  <c r="N1526" i="19"/>
  <c r="O1526" i="19"/>
  <c r="N1527" i="19"/>
  <c r="O1527" i="19"/>
  <c r="N1528" i="19"/>
  <c r="O1528" i="19"/>
  <c r="N1529" i="19"/>
  <c r="O1529" i="19"/>
  <c r="N1530" i="19"/>
  <c r="O1530" i="19"/>
  <c r="N1531" i="19"/>
  <c r="O1531" i="19"/>
  <c r="N1532" i="19"/>
  <c r="O1532" i="19"/>
  <c r="N1533" i="19"/>
  <c r="O1533" i="19"/>
  <c r="N1534" i="19"/>
  <c r="O1534" i="19"/>
  <c r="N1535" i="19"/>
  <c r="O1535" i="19"/>
  <c r="N1536" i="19"/>
  <c r="O1536" i="19"/>
  <c r="N1537" i="19"/>
  <c r="O1537" i="19"/>
  <c r="N1538" i="19"/>
  <c r="O1538" i="19"/>
  <c r="N1539" i="19"/>
  <c r="O1539" i="19"/>
  <c r="N1540" i="19"/>
  <c r="O1540" i="19"/>
  <c r="N1541" i="19"/>
  <c r="O1541" i="19"/>
  <c r="N1542" i="19"/>
  <c r="O1542" i="19"/>
  <c r="N1543" i="19"/>
  <c r="O1543" i="19"/>
  <c r="N1544" i="19"/>
  <c r="O1544" i="19"/>
  <c r="N1545" i="19"/>
  <c r="O1545" i="19"/>
  <c r="N1546" i="19"/>
  <c r="O1546" i="19"/>
  <c r="N1547" i="19"/>
  <c r="O1547" i="19"/>
  <c r="N1548" i="19"/>
  <c r="O1548" i="19"/>
  <c r="N1549" i="19"/>
  <c r="O1549" i="19"/>
  <c r="N1550" i="19"/>
  <c r="O1550" i="19"/>
  <c r="N1551" i="19"/>
  <c r="O1551" i="19"/>
  <c r="N1552" i="19"/>
  <c r="O1552" i="19"/>
  <c r="N1553" i="19"/>
  <c r="O1553" i="19"/>
  <c r="N1554" i="19"/>
  <c r="O1554" i="19"/>
  <c r="N1555" i="19"/>
  <c r="O1555" i="19"/>
  <c r="N1556" i="19"/>
  <c r="O1556" i="19"/>
  <c r="N1557" i="19"/>
  <c r="O1557" i="19"/>
  <c r="N1558" i="19"/>
  <c r="O1558" i="19"/>
  <c r="N1559" i="19"/>
  <c r="O1559" i="19"/>
  <c r="N1560" i="19"/>
  <c r="O1560" i="19"/>
  <c r="N1561" i="19"/>
  <c r="O1561" i="19"/>
  <c r="N1562" i="19"/>
  <c r="O1562" i="19"/>
  <c r="N1563" i="19"/>
  <c r="O1563" i="19"/>
  <c r="N1564" i="19"/>
  <c r="O1564" i="19"/>
  <c r="N1565" i="19"/>
  <c r="O1565" i="19"/>
  <c r="N1566" i="19"/>
  <c r="O1566" i="19"/>
  <c r="N1567" i="19"/>
  <c r="O1567" i="19"/>
  <c r="N1568" i="19"/>
  <c r="O1568" i="19"/>
  <c r="N1569" i="19"/>
  <c r="O1569" i="19"/>
  <c r="N1570" i="19"/>
  <c r="O1570" i="19"/>
  <c r="N1571" i="19"/>
  <c r="O1571" i="19"/>
  <c r="N1572" i="19"/>
  <c r="O1572" i="19"/>
  <c r="N1573" i="19"/>
  <c r="O1573" i="19"/>
  <c r="N1574" i="19"/>
  <c r="O1574" i="19"/>
  <c r="N1575" i="19"/>
  <c r="O1575" i="19"/>
  <c r="N1576" i="19"/>
  <c r="O1576" i="19"/>
  <c r="N1577" i="19"/>
  <c r="O1577" i="19"/>
  <c r="N1578" i="19"/>
  <c r="O1578" i="19"/>
  <c r="N1579" i="19"/>
  <c r="O1579" i="19"/>
  <c r="N1580" i="19"/>
  <c r="O1580" i="19"/>
  <c r="N1581" i="19"/>
  <c r="O1581" i="19"/>
  <c r="N1582" i="19"/>
  <c r="O1582" i="19"/>
  <c r="N1583" i="19"/>
  <c r="O1583" i="19"/>
  <c r="N1584" i="19"/>
  <c r="O1584" i="19"/>
  <c r="N1585" i="19"/>
  <c r="O1585" i="19"/>
  <c r="N1586" i="19"/>
  <c r="O1586" i="19"/>
  <c r="N1587" i="19"/>
  <c r="O1587" i="19"/>
  <c r="N1588" i="19"/>
  <c r="O1588" i="19"/>
  <c r="N1589" i="19"/>
  <c r="O1589" i="19"/>
  <c r="N1590" i="19"/>
  <c r="O1590" i="19"/>
  <c r="N1591" i="19"/>
  <c r="O1591" i="19"/>
  <c r="N1592" i="19"/>
  <c r="O1592" i="19"/>
  <c r="N1593" i="19"/>
  <c r="O1593" i="19"/>
  <c r="N1594" i="19"/>
  <c r="O1594" i="19"/>
  <c r="N1595" i="19"/>
  <c r="O1595" i="19"/>
  <c r="N1596" i="19"/>
  <c r="O1596" i="19"/>
  <c r="N1597" i="19"/>
  <c r="O1597" i="19"/>
  <c r="N1598" i="19"/>
  <c r="O1598" i="19"/>
  <c r="N1599" i="19"/>
  <c r="O1599" i="19"/>
  <c r="N1600" i="19"/>
  <c r="O1600" i="19"/>
  <c r="N1601" i="19"/>
  <c r="O1601" i="19"/>
  <c r="N1602" i="19"/>
  <c r="O1602" i="19"/>
  <c r="N1603" i="19"/>
  <c r="O1603" i="19"/>
  <c r="N1604" i="19"/>
  <c r="O1604" i="19"/>
  <c r="N1605" i="19"/>
  <c r="O1605" i="19"/>
  <c r="N1606" i="19"/>
  <c r="O1606" i="19"/>
  <c r="N1607" i="19"/>
  <c r="O1607" i="19"/>
  <c r="N1608" i="19"/>
  <c r="O1608" i="19"/>
  <c r="N1609" i="19"/>
  <c r="O1609" i="19"/>
  <c r="N1610" i="19"/>
  <c r="O1610" i="19"/>
  <c r="N1611" i="19"/>
  <c r="O1611" i="19"/>
  <c r="N1612" i="19"/>
  <c r="O1612" i="19"/>
  <c r="N1613" i="19"/>
  <c r="O1613" i="19"/>
  <c r="N1614" i="19"/>
  <c r="O1614" i="19"/>
  <c r="N1615" i="19"/>
  <c r="O1615" i="19"/>
  <c r="N1616" i="19"/>
  <c r="O1616" i="19"/>
  <c r="N1617" i="19"/>
  <c r="O1617" i="19"/>
  <c r="N1618" i="19"/>
  <c r="O1618" i="19"/>
  <c r="N1619" i="19"/>
  <c r="O1619" i="19"/>
  <c r="N1620" i="19"/>
  <c r="O1620" i="19"/>
  <c r="N1621" i="19"/>
  <c r="O1621" i="19"/>
  <c r="N1622" i="19"/>
  <c r="O1622" i="19"/>
  <c r="N1623" i="19"/>
  <c r="O1623" i="19"/>
  <c r="N1624" i="19"/>
  <c r="O1624" i="19"/>
  <c r="N1625" i="19"/>
  <c r="O1625" i="19"/>
  <c r="N1626" i="19"/>
  <c r="O1626" i="19"/>
  <c r="N1627" i="19"/>
  <c r="O1627" i="19"/>
  <c r="N1628" i="19"/>
  <c r="O1628" i="19"/>
  <c r="N1629" i="19"/>
  <c r="O1629" i="19"/>
  <c r="N1630" i="19"/>
  <c r="O1630" i="19"/>
  <c r="N1631" i="19"/>
  <c r="O1631" i="19"/>
  <c r="N1632" i="19"/>
  <c r="O1632" i="19"/>
  <c r="N1633" i="19"/>
  <c r="O1633" i="19"/>
  <c r="N1634" i="19"/>
  <c r="O1634" i="19"/>
  <c r="N1635" i="19"/>
  <c r="O1635" i="19"/>
  <c r="N1636" i="19"/>
  <c r="O1636" i="19"/>
  <c r="N1637" i="19"/>
  <c r="O1637" i="19"/>
  <c r="N1638" i="19"/>
  <c r="O1638" i="19"/>
  <c r="N1639" i="19"/>
  <c r="O1639" i="19"/>
  <c r="N1640" i="19"/>
  <c r="O1640" i="19"/>
  <c r="N1641" i="19"/>
  <c r="O1641" i="19"/>
  <c r="N1642" i="19"/>
  <c r="O1642" i="19"/>
  <c r="N1643" i="19"/>
  <c r="O1643" i="19"/>
  <c r="N1644" i="19"/>
  <c r="O1644" i="19"/>
  <c r="N1645" i="19"/>
  <c r="O1645" i="19"/>
  <c r="N1646" i="19"/>
  <c r="O1646" i="19"/>
  <c r="N1647" i="19"/>
  <c r="O1647" i="19"/>
  <c r="N1648" i="19"/>
  <c r="O1648" i="19"/>
  <c r="N1649" i="19"/>
  <c r="O1649" i="19"/>
  <c r="N1650" i="19"/>
  <c r="O1650" i="19"/>
  <c r="N1651" i="19"/>
  <c r="O1651" i="19"/>
  <c r="N1652" i="19"/>
  <c r="O1652" i="19"/>
  <c r="N1653" i="19"/>
  <c r="O1653" i="19"/>
  <c r="N1654" i="19"/>
  <c r="O1654" i="19"/>
  <c r="N1655" i="19"/>
  <c r="O1655" i="19"/>
  <c r="N1656" i="19"/>
  <c r="O1656" i="19"/>
  <c r="N1657" i="19"/>
  <c r="O1657" i="19"/>
  <c r="N1658" i="19"/>
  <c r="O1658" i="19"/>
  <c r="N1659" i="19"/>
  <c r="O1659" i="19"/>
  <c r="N1660" i="19"/>
  <c r="O1660" i="19"/>
  <c r="N1661" i="19"/>
  <c r="O1661" i="19"/>
  <c r="N1662" i="19"/>
  <c r="O1662" i="19"/>
  <c r="N1663" i="19"/>
  <c r="O1663" i="19"/>
  <c r="N1664" i="19"/>
  <c r="O1664" i="19"/>
  <c r="N1665" i="19"/>
  <c r="O1665" i="19"/>
  <c r="N1666" i="19"/>
  <c r="O1666" i="19"/>
  <c r="N1667" i="19"/>
  <c r="O1667" i="19"/>
  <c r="N1668" i="19"/>
  <c r="O1668" i="19"/>
  <c r="N1669" i="19"/>
  <c r="O1669" i="19"/>
  <c r="N1670" i="19"/>
  <c r="O1670" i="19"/>
  <c r="N1671" i="19"/>
  <c r="O1671" i="19"/>
  <c r="N1672" i="19"/>
  <c r="O1672" i="19"/>
  <c r="N1673" i="19"/>
  <c r="O1673" i="19"/>
  <c r="N1674" i="19"/>
  <c r="O1674" i="19"/>
  <c r="N1675" i="19"/>
  <c r="O1675" i="19"/>
  <c r="N1676" i="19"/>
  <c r="O1676" i="19"/>
  <c r="N1677" i="19"/>
  <c r="O1677" i="19"/>
  <c r="N1678" i="19"/>
  <c r="O1678" i="19"/>
  <c r="N1679" i="19"/>
  <c r="O1679" i="19"/>
  <c r="N1680" i="19"/>
  <c r="O1680" i="19"/>
  <c r="N1681" i="19"/>
  <c r="O1681" i="19"/>
  <c r="N1682" i="19"/>
  <c r="O1682" i="19"/>
  <c r="N1683" i="19"/>
  <c r="O1683" i="19"/>
  <c r="N1684" i="19"/>
  <c r="O1684" i="19"/>
  <c r="N1685" i="19"/>
  <c r="O1685" i="19"/>
  <c r="N1686" i="19"/>
  <c r="O1686" i="19"/>
  <c r="N1687" i="19"/>
  <c r="O1687" i="19"/>
  <c r="N1688" i="19"/>
  <c r="O1688" i="19"/>
  <c r="N1689" i="19"/>
  <c r="O1689" i="19"/>
  <c r="N1690" i="19"/>
  <c r="O1690" i="19"/>
  <c r="N1691" i="19"/>
  <c r="O1691" i="19"/>
  <c r="N1692" i="19"/>
  <c r="O1692" i="19"/>
  <c r="N1693" i="19"/>
  <c r="O1693" i="19"/>
  <c r="N1694" i="19"/>
  <c r="O1694" i="19"/>
  <c r="N1695" i="19"/>
  <c r="O1695" i="19"/>
  <c r="N1696" i="19"/>
  <c r="O1696" i="19"/>
  <c r="N1697" i="19"/>
  <c r="O1697" i="19"/>
  <c r="N1698" i="19"/>
  <c r="O1698" i="19"/>
  <c r="N1699" i="19"/>
  <c r="O1699" i="19"/>
  <c r="N1700" i="19"/>
  <c r="O1700" i="19"/>
  <c r="N1701" i="19"/>
  <c r="O1701" i="19"/>
  <c r="N1702" i="19"/>
  <c r="O1702" i="19"/>
  <c r="N1703" i="19"/>
  <c r="O1703" i="19"/>
  <c r="N1704" i="19"/>
  <c r="O1704" i="19"/>
  <c r="N1705" i="19"/>
  <c r="O1705" i="19"/>
  <c r="N1706" i="19"/>
  <c r="O1706" i="19"/>
  <c r="N1707" i="19"/>
  <c r="O1707" i="19"/>
  <c r="N1708" i="19"/>
  <c r="O1708" i="19"/>
  <c r="N1709" i="19"/>
  <c r="O1709" i="19"/>
  <c r="N1710" i="19"/>
  <c r="O1710" i="19"/>
  <c r="N1711" i="19"/>
  <c r="O1711" i="19"/>
  <c r="N1712" i="19"/>
  <c r="O1712" i="19"/>
  <c r="N1713" i="19"/>
  <c r="O1713" i="19"/>
  <c r="N1714" i="19"/>
  <c r="O1714" i="19"/>
  <c r="N1715" i="19"/>
  <c r="O1715" i="19"/>
  <c r="N1716" i="19"/>
  <c r="O1716" i="19"/>
  <c r="N1717" i="19"/>
  <c r="O1717" i="19"/>
  <c r="N1718" i="19"/>
  <c r="O1718" i="19"/>
  <c r="N1719" i="19"/>
  <c r="O1719" i="19"/>
  <c r="N1720" i="19"/>
  <c r="O1720" i="19"/>
  <c r="N1721" i="19"/>
  <c r="O1721" i="19"/>
  <c r="N1722" i="19"/>
  <c r="O1722" i="19"/>
  <c r="N1723" i="19"/>
  <c r="O1723" i="19"/>
  <c r="N1724" i="19"/>
  <c r="O1724" i="19"/>
  <c r="N1725" i="19"/>
  <c r="O1725" i="19"/>
  <c r="N1726" i="19"/>
  <c r="O1726" i="19"/>
  <c r="N1727" i="19"/>
  <c r="O1727" i="19"/>
  <c r="N1728" i="19"/>
  <c r="O1728" i="19"/>
  <c r="N1729" i="19"/>
  <c r="O1729" i="19"/>
  <c r="N1730" i="19"/>
  <c r="O1730" i="19"/>
  <c r="N1731" i="19"/>
  <c r="O1731" i="19"/>
  <c r="N1732" i="19"/>
  <c r="O1732" i="19"/>
  <c r="N1733" i="19"/>
  <c r="O1733" i="19"/>
  <c r="N1734" i="19"/>
  <c r="O1734" i="19"/>
  <c r="N1735" i="19"/>
  <c r="O1735" i="19"/>
  <c r="N1736" i="19"/>
  <c r="O1736" i="19"/>
  <c r="N1737" i="19"/>
  <c r="O1737" i="19"/>
  <c r="N1738" i="19"/>
  <c r="O1738" i="19"/>
  <c r="N1739" i="19"/>
  <c r="O1739" i="19"/>
  <c r="N1740" i="19"/>
  <c r="O1740" i="19"/>
  <c r="N1741" i="19"/>
  <c r="O1741" i="19"/>
  <c r="N1742" i="19"/>
  <c r="O1742" i="19"/>
  <c r="N1743" i="19"/>
  <c r="O1743" i="19"/>
  <c r="N1744" i="19"/>
  <c r="O1744" i="19"/>
  <c r="N1745" i="19"/>
  <c r="O1745" i="19"/>
  <c r="N1746" i="19"/>
  <c r="O1746" i="19"/>
  <c r="N1747" i="19"/>
  <c r="O1747" i="19"/>
  <c r="N1748" i="19"/>
  <c r="O1748" i="19"/>
  <c r="N1749" i="19"/>
  <c r="O1749" i="19"/>
  <c r="N1750" i="19"/>
  <c r="O1750" i="19"/>
  <c r="N1751" i="19"/>
  <c r="O1751" i="19"/>
  <c r="N1752" i="19"/>
  <c r="O1752" i="19"/>
  <c r="N1753" i="19"/>
  <c r="O1753" i="19"/>
  <c r="N1754" i="19"/>
  <c r="O1754" i="19"/>
  <c r="N1755" i="19"/>
  <c r="O1755" i="19"/>
  <c r="N1756" i="19"/>
  <c r="O1756" i="19"/>
  <c r="N1757" i="19"/>
  <c r="O1757" i="19"/>
  <c r="N1758" i="19"/>
  <c r="O1758" i="19"/>
  <c r="N1759" i="19"/>
  <c r="O1759" i="19"/>
  <c r="N1760" i="19"/>
  <c r="O1760" i="19"/>
  <c r="N1761" i="19"/>
  <c r="O1761" i="19"/>
  <c r="N1762" i="19"/>
  <c r="O1762" i="19"/>
  <c r="N1763" i="19"/>
  <c r="O1763" i="19"/>
  <c r="N1764" i="19"/>
  <c r="O1764" i="19"/>
  <c r="N1765" i="19"/>
  <c r="O1765" i="19"/>
  <c r="N1766" i="19"/>
  <c r="O1766" i="19"/>
  <c r="N1767" i="19"/>
  <c r="O1767" i="19"/>
  <c r="N1768" i="19"/>
  <c r="O1768" i="19"/>
  <c r="N1769" i="19"/>
  <c r="O1769" i="19"/>
  <c r="N1770" i="19"/>
  <c r="O1770" i="19"/>
  <c r="N1771" i="19"/>
  <c r="O1771" i="19"/>
  <c r="N1772" i="19"/>
  <c r="O1772" i="19"/>
  <c r="N1773" i="19"/>
  <c r="O1773" i="19"/>
  <c r="N1774" i="19"/>
  <c r="O1774" i="19"/>
  <c r="N1775" i="19"/>
  <c r="O1775" i="19"/>
  <c r="N1776" i="19"/>
  <c r="O1776" i="19"/>
  <c r="N1777" i="19"/>
  <c r="O1777" i="19"/>
  <c r="N1778" i="19"/>
  <c r="O1778" i="19"/>
  <c r="N1779" i="19"/>
  <c r="O1779" i="19"/>
  <c r="N1780" i="19"/>
  <c r="O1780" i="19"/>
  <c r="N1781" i="19"/>
  <c r="O1781" i="19"/>
  <c r="N1782" i="19"/>
  <c r="O1782" i="19"/>
  <c r="N1783" i="19"/>
  <c r="O1783" i="19"/>
  <c r="N1784" i="19"/>
  <c r="O1784" i="19"/>
  <c r="N1785" i="19"/>
  <c r="O1785" i="19"/>
  <c r="N1786" i="19"/>
  <c r="O1786" i="19"/>
  <c r="N1787" i="19"/>
  <c r="O1787" i="19"/>
  <c r="N1788" i="19"/>
  <c r="O1788" i="19"/>
  <c r="N1789" i="19"/>
  <c r="O1789" i="19"/>
  <c r="N1790" i="19"/>
  <c r="O1790" i="19"/>
  <c r="N1791" i="19"/>
  <c r="O1791" i="19"/>
  <c r="N1792" i="19"/>
  <c r="O1792" i="19"/>
  <c r="N1793" i="19"/>
  <c r="O1793" i="19"/>
  <c r="N1794" i="19"/>
  <c r="O1794" i="19"/>
  <c r="N1795" i="19"/>
  <c r="O1795" i="19"/>
  <c r="N1796" i="19"/>
  <c r="O1796" i="19"/>
  <c r="N1797" i="19"/>
  <c r="O1797" i="19"/>
  <c r="N1798" i="19"/>
  <c r="O1798" i="19"/>
  <c r="N1799" i="19"/>
  <c r="O1799" i="19"/>
  <c r="N1800" i="19"/>
  <c r="O1800" i="19"/>
  <c r="N1801" i="19"/>
  <c r="O1801" i="19"/>
  <c r="N1802" i="19"/>
  <c r="O1802" i="19"/>
  <c r="N1803" i="19"/>
  <c r="O1803" i="19"/>
  <c r="N1804" i="19"/>
  <c r="O1804" i="19"/>
  <c r="N1805" i="19"/>
  <c r="O1805" i="19"/>
  <c r="N1806" i="19"/>
  <c r="O1806" i="19"/>
  <c r="N1807" i="19"/>
  <c r="O1807" i="19"/>
  <c r="N1808" i="19"/>
  <c r="O1808" i="19"/>
  <c r="N1809" i="19"/>
  <c r="O1809" i="19"/>
  <c r="N1810" i="19"/>
  <c r="O1810" i="19"/>
  <c r="N1811" i="19"/>
  <c r="O1811" i="19"/>
  <c r="N1812" i="19"/>
  <c r="O1812" i="19"/>
  <c r="N1813" i="19"/>
  <c r="O1813" i="19"/>
  <c r="N1814" i="19"/>
  <c r="O1814" i="19"/>
  <c r="N1815" i="19"/>
  <c r="O1815" i="19"/>
  <c r="N1816" i="19"/>
  <c r="O1816" i="19"/>
  <c r="N1817" i="19"/>
  <c r="O1817" i="19"/>
  <c r="N1818" i="19"/>
  <c r="O1818" i="19"/>
  <c r="N1819" i="19"/>
  <c r="O1819" i="19"/>
  <c r="N1820" i="19"/>
  <c r="O1820" i="19"/>
  <c r="N1821" i="19"/>
  <c r="O1821" i="19"/>
  <c r="N1822" i="19"/>
  <c r="O1822" i="19"/>
  <c r="N1823" i="19"/>
  <c r="O1823" i="19"/>
  <c r="N1824" i="19"/>
  <c r="O1824" i="19"/>
  <c r="N1825" i="19"/>
  <c r="O1825" i="19"/>
  <c r="N1826" i="19"/>
  <c r="O1826" i="19"/>
  <c r="N1827" i="19"/>
  <c r="O1827" i="19"/>
  <c r="N1828" i="19"/>
  <c r="O1828" i="19"/>
  <c r="N1829" i="19"/>
  <c r="O1829" i="19"/>
  <c r="N1830" i="19"/>
  <c r="O1830" i="19"/>
  <c r="N1831" i="19"/>
  <c r="O1831" i="19"/>
  <c r="N1832" i="19"/>
  <c r="O1832" i="19"/>
  <c r="N1833" i="19"/>
  <c r="O1833" i="19"/>
  <c r="N1834" i="19"/>
  <c r="O1834" i="19"/>
  <c r="N1835" i="19"/>
  <c r="O1835" i="19"/>
  <c r="N1836" i="19"/>
  <c r="O1836" i="19"/>
  <c r="N1837" i="19"/>
  <c r="O1837" i="19"/>
  <c r="N1838" i="19"/>
  <c r="O1838" i="19"/>
  <c r="N1839" i="19"/>
  <c r="O1839" i="19"/>
  <c r="N1840" i="19"/>
  <c r="O1840" i="19"/>
  <c r="N1841" i="19"/>
  <c r="O1841" i="19"/>
  <c r="N1842" i="19"/>
  <c r="O1842" i="19"/>
  <c r="N1843" i="19"/>
  <c r="O1843" i="19"/>
  <c r="N1844" i="19"/>
  <c r="O1844" i="19"/>
  <c r="N1845" i="19"/>
  <c r="O1845" i="19"/>
  <c r="N1846" i="19"/>
  <c r="O1846" i="19"/>
  <c r="N1847" i="19"/>
  <c r="O1847" i="19"/>
  <c r="N1848" i="19"/>
  <c r="O1848" i="19"/>
  <c r="N1849" i="19"/>
  <c r="O1849" i="19"/>
  <c r="N1850" i="19"/>
  <c r="O1850" i="19"/>
  <c r="N1851" i="19"/>
  <c r="O1851" i="19"/>
  <c r="N1852" i="19"/>
  <c r="O1852" i="19"/>
  <c r="N1853" i="19"/>
  <c r="O1853" i="19"/>
  <c r="N1854" i="19"/>
  <c r="O1854" i="19"/>
  <c r="N1855" i="19"/>
  <c r="O1855" i="19"/>
  <c r="N1856" i="19"/>
  <c r="O1856" i="19"/>
  <c r="N1857" i="19"/>
  <c r="O1857" i="19"/>
  <c r="N1858" i="19"/>
  <c r="O1858" i="19"/>
  <c r="N1859" i="19"/>
  <c r="O1859" i="19"/>
  <c r="N1860" i="19"/>
  <c r="O1860" i="19"/>
  <c r="N1861" i="19"/>
  <c r="O1861" i="19"/>
  <c r="N1862" i="19"/>
  <c r="O1862" i="19"/>
  <c r="N1863" i="19"/>
  <c r="O1863" i="19"/>
  <c r="N1864" i="19"/>
  <c r="O1864" i="19"/>
  <c r="N1865" i="19"/>
  <c r="O1865" i="19"/>
  <c r="N1866" i="19"/>
  <c r="O1866" i="19"/>
  <c r="N1867" i="19"/>
  <c r="O1867" i="19"/>
  <c r="N1868" i="19"/>
  <c r="O1868" i="19"/>
  <c r="N1869" i="19"/>
  <c r="O1869" i="19"/>
  <c r="N1870" i="19"/>
  <c r="O1870" i="19"/>
  <c r="N1871" i="19"/>
  <c r="O1871" i="19"/>
  <c r="N1872" i="19"/>
  <c r="O1872" i="19"/>
  <c r="N1873" i="19"/>
  <c r="O1873" i="19"/>
  <c r="N1874" i="19"/>
  <c r="O1874" i="19"/>
  <c r="N1875" i="19"/>
  <c r="O1875" i="19"/>
  <c r="N1876" i="19"/>
  <c r="O1876" i="19"/>
  <c r="N1877" i="19"/>
  <c r="O1877" i="19"/>
  <c r="N1878" i="19"/>
  <c r="O1878" i="19"/>
  <c r="N1879" i="19"/>
  <c r="O1879" i="19"/>
  <c r="N1880" i="19"/>
  <c r="O1880" i="19"/>
  <c r="N1881" i="19"/>
  <c r="O1881" i="19"/>
  <c r="N1882" i="19"/>
  <c r="O1882" i="19"/>
  <c r="N1883" i="19"/>
  <c r="O1883" i="19"/>
  <c r="N1884" i="19"/>
  <c r="O1884" i="19"/>
  <c r="N1885" i="19"/>
  <c r="O1885" i="19"/>
  <c r="N1886" i="19"/>
  <c r="O1886" i="19"/>
  <c r="N1887" i="19"/>
  <c r="O1887" i="19"/>
  <c r="N1888" i="19"/>
  <c r="O1888" i="19"/>
  <c r="N1889" i="19"/>
  <c r="O1889" i="19"/>
  <c r="N1890" i="19"/>
  <c r="O1890" i="19"/>
  <c r="N1891" i="19"/>
  <c r="O1891" i="19"/>
  <c r="N1892" i="19"/>
  <c r="O1892" i="19"/>
  <c r="N1893" i="19"/>
  <c r="O1893" i="19"/>
  <c r="N1894" i="19"/>
  <c r="O1894" i="19"/>
  <c r="N1895" i="19"/>
  <c r="O1895" i="19"/>
  <c r="N1896" i="19"/>
  <c r="O1896" i="19"/>
  <c r="N1897" i="19"/>
  <c r="O1897" i="19"/>
  <c r="N1898" i="19"/>
  <c r="O1898" i="19"/>
  <c r="N1899" i="19"/>
  <c r="O1899" i="19"/>
  <c r="N1900" i="19"/>
  <c r="O1900" i="19"/>
  <c r="N1901" i="19"/>
  <c r="O1901" i="19"/>
  <c r="N1902" i="19"/>
  <c r="O1902" i="19"/>
  <c r="N1903" i="19"/>
  <c r="O1903" i="19"/>
  <c r="N1904" i="19"/>
  <c r="O1904" i="19"/>
  <c r="N1905" i="19"/>
  <c r="O1905" i="19"/>
  <c r="N1906" i="19"/>
  <c r="O1906" i="19"/>
  <c r="N1907" i="19"/>
  <c r="O1907" i="19"/>
  <c r="N1908" i="19"/>
  <c r="O1908" i="19"/>
  <c r="N1909" i="19"/>
  <c r="O1909" i="19"/>
  <c r="N1910" i="19"/>
  <c r="O1910" i="19"/>
  <c r="N1911" i="19"/>
  <c r="O1911" i="19"/>
  <c r="N1912" i="19"/>
  <c r="O1912" i="19"/>
  <c r="N1913" i="19"/>
  <c r="O1913" i="19"/>
  <c r="N1914" i="19"/>
  <c r="O1914" i="19"/>
  <c r="N1915" i="19"/>
  <c r="O1915" i="19"/>
  <c r="N1916" i="19"/>
  <c r="O1916" i="19"/>
  <c r="N1917" i="19"/>
  <c r="O1917" i="19"/>
  <c r="N1918" i="19"/>
  <c r="O1918" i="19"/>
  <c r="N1919" i="19"/>
  <c r="O1919" i="19"/>
  <c r="N1920" i="19"/>
  <c r="O1920" i="19"/>
  <c r="N1921" i="19"/>
  <c r="O1921" i="19"/>
  <c r="N1922" i="19"/>
  <c r="O1922" i="19"/>
  <c r="N1923" i="19"/>
  <c r="O1923" i="19"/>
  <c r="N1924" i="19"/>
  <c r="O1924" i="19"/>
  <c r="N1925" i="19"/>
  <c r="O1925" i="19"/>
  <c r="N1926" i="19"/>
  <c r="O1926" i="19"/>
  <c r="N1927" i="19"/>
  <c r="O1927" i="19"/>
  <c r="N1928" i="19"/>
  <c r="O1928" i="19"/>
  <c r="N1929" i="19"/>
  <c r="O1929" i="19"/>
  <c r="N1930" i="19"/>
  <c r="O1930" i="19"/>
  <c r="N1931" i="19"/>
  <c r="O1931" i="19"/>
  <c r="N1932" i="19"/>
  <c r="O1932" i="19"/>
  <c r="N1933" i="19"/>
  <c r="O1933" i="19"/>
  <c r="N1934" i="19"/>
  <c r="O1934" i="19"/>
  <c r="N1935" i="19"/>
  <c r="O1935" i="19"/>
  <c r="N1936" i="19"/>
  <c r="O1936" i="19"/>
  <c r="N1937" i="19"/>
  <c r="O1937" i="19"/>
  <c r="N1938" i="19"/>
  <c r="O1938" i="19"/>
  <c r="N1939" i="19"/>
  <c r="O1939" i="19"/>
  <c r="N1940" i="19"/>
  <c r="O1940" i="19"/>
  <c r="N1941" i="19"/>
  <c r="O1941" i="19"/>
  <c r="N1942" i="19"/>
  <c r="O1942" i="19"/>
  <c r="N1943" i="19"/>
  <c r="O1943" i="19"/>
  <c r="N1944" i="19"/>
  <c r="O1944" i="19"/>
  <c r="N1945" i="19"/>
  <c r="O1945" i="19"/>
  <c r="N1946" i="19"/>
  <c r="O1946" i="19"/>
  <c r="N1947" i="19"/>
  <c r="O1947" i="19"/>
  <c r="N1948" i="19"/>
  <c r="O1948" i="19"/>
  <c r="N1949" i="19"/>
  <c r="O1949" i="19"/>
  <c r="N1950" i="19"/>
  <c r="O1950" i="19"/>
  <c r="N1951" i="19"/>
  <c r="O1951" i="19"/>
  <c r="N1952" i="19"/>
  <c r="O1952" i="19"/>
  <c r="N1953" i="19"/>
  <c r="O1953" i="19"/>
  <c r="N1954" i="19"/>
  <c r="O1954" i="19"/>
  <c r="N1955" i="19"/>
  <c r="O1955" i="19"/>
  <c r="N1956" i="19"/>
  <c r="O1956" i="19"/>
  <c r="N1957" i="19"/>
  <c r="O1957" i="19"/>
  <c r="N1958" i="19"/>
  <c r="O1958" i="19"/>
  <c r="N1959" i="19"/>
  <c r="O1959" i="19"/>
  <c r="N1960" i="19"/>
  <c r="O1960" i="19"/>
  <c r="N1961" i="19"/>
  <c r="O1961" i="19"/>
  <c r="N1962" i="19"/>
  <c r="O1962" i="19"/>
  <c r="N1963" i="19"/>
  <c r="O1963" i="19"/>
  <c r="N1964" i="19"/>
  <c r="O1964" i="19"/>
  <c r="N1965" i="19"/>
  <c r="O1965" i="19"/>
  <c r="N1966" i="19"/>
  <c r="O1966" i="19"/>
  <c r="N1967" i="19"/>
  <c r="O1967" i="19"/>
  <c r="N1968" i="19"/>
  <c r="O1968" i="19"/>
  <c r="N1969" i="19"/>
  <c r="O1969" i="19"/>
  <c r="N1970" i="19"/>
  <c r="O1970" i="19"/>
  <c r="N1971" i="19"/>
  <c r="O1971" i="19"/>
  <c r="N1972" i="19"/>
  <c r="O1972" i="19"/>
  <c r="N1973" i="19"/>
  <c r="O1973" i="19"/>
  <c r="N1974" i="19"/>
  <c r="O1974" i="19"/>
  <c r="N1975" i="19"/>
  <c r="O1975" i="19"/>
  <c r="N1976" i="19"/>
  <c r="O1976" i="19"/>
  <c r="N1977" i="19"/>
  <c r="O1977" i="19"/>
  <c r="N1978" i="19"/>
  <c r="O1978" i="19"/>
  <c r="N1979" i="19"/>
  <c r="O1979" i="19"/>
  <c r="N1980" i="19"/>
  <c r="O1980" i="19"/>
  <c r="N1981" i="19"/>
  <c r="O1981" i="19"/>
  <c r="N1982" i="19"/>
  <c r="O1982" i="19"/>
  <c r="N1983" i="19"/>
  <c r="O1983" i="19"/>
  <c r="N1984" i="19"/>
  <c r="O1984" i="19"/>
  <c r="N1985" i="19"/>
  <c r="O1985" i="19"/>
  <c r="N1986" i="19"/>
  <c r="O1986" i="19"/>
  <c r="N1987" i="19"/>
  <c r="O1987" i="19"/>
  <c r="N1988" i="19"/>
  <c r="O1988" i="19"/>
  <c r="N1114" i="19"/>
  <c r="O1114" i="19"/>
  <c r="N1115" i="19"/>
  <c r="O1115" i="19"/>
  <c r="N1116" i="19"/>
  <c r="O1116" i="19"/>
  <c r="N1137" i="19"/>
  <c r="O1137" i="19"/>
  <c r="N1138" i="19"/>
  <c r="O1138" i="19"/>
  <c r="N1139" i="19"/>
  <c r="O1139" i="19"/>
  <c r="N1140" i="19"/>
  <c r="O1140" i="19"/>
  <c r="N1141" i="19"/>
  <c r="O1141" i="19"/>
  <c r="N1269" i="19"/>
  <c r="O1269" i="19"/>
  <c r="N1270" i="19"/>
  <c r="O1270" i="19"/>
  <c r="N1271" i="19"/>
  <c r="O1271" i="19"/>
  <c r="N1111" i="19"/>
  <c r="O1111" i="19"/>
  <c r="N1112" i="19"/>
  <c r="O1112" i="19"/>
  <c r="N1113" i="19"/>
  <c r="O1113" i="19"/>
  <c r="N1132" i="19"/>
  <c r="O1132" i="19"/>
  <c r="N1133" i="19"/>
  <c r="O1133" i="19"/>
  <c r="N1134" i="19"/>
  <c r="O1134" i="19"/>
  <c r="N1135" i="19"/>
  <c r="O1135" i="19"/>
  <c r="N1136" i="19"/>
  <c r="O1136" i="19"/>
  <c r="N1266" i="19"/>
  <c r="O1266" i="19"/>
  <c r="N1267" i="19"/>
  <c r="O1267" i="19"/>
  <c r="N1268" i="19"/>
  <c r="O1268" i="19"/>
  <c r="N1463" i="19"/>
  <c r="O1463" i="19"/>
  <c r="N1449" i="19"/>
  <c r="O1449" i="19"/>
  <c r="N1450" i="19"/>
  <c r="O1450" i="19"/>
  <c r="N1451" i="19"/>
  <c r="O1451" i="19"/>
  <c r="N1452" i="19"/>
  <c r="O1452" i="19"/>
  <c r="N1453" i="19"/>
  <c r="O1453" i="19"/>
  <c r="N1454" i="19"/>
  <c r="O1454" i="19"/>
  <c r="N1455" i="19"/>
  <c r="O1455" i="19"/>
  <c r="N1456" i="19"/>
  <c r="O1456" i="19"/>
  <c r="N1457" i="19"/>
  <c r="O1457" i="19"/>
  <c r="N1458" i="19"/>
  <c r="O1458" i="19"/>
  <c r="N1459" i="19"/>
  <c r="O1459" i="19"/>
  <c r="N1460" i="19"/>
  <c r="O1460" i="19"/>
  <c r="N1461" i="19"/>
  <c r="O1461" i="19"/>
  <c r="N1462" i="19"/>
  <c r="O1462" i="19"/>
  <c r="N1414" i="19"/>
  <c r="O1414" i="19"/>
  <c r="N1415" i="19"/>
  <c r="O1415" i="19"/>
  <c r="N1416" i="19"/>
  <c r="O1416" i="19"/>
  <c r="N1417" i="19"/>
  <c r="O1417" i="19"/>
  <c r="N1418" i="19"/>
  <c r="O1418" i="19"/>
  <c r="N1419" i="19"/>
  <c r="O1419" i="19"/>
  <c r="N1420" i="19"/>
  <c r="O1420" i="19"/>
  <c r="N1421" i="19"/>
  <c r="O1421" i="19"/>
  <c r="N1422" i="19"/>
  <c r="O1422" i="19"/>
  <c r="N1423" i="19"/>
  <c r="O1423" i="19"/>
  <c r="N1424" i="19"/>
  <c r="O1424" i="19"/>
  <c r="N1425" i="19"/>
  <c r="O1425" i="19"/>
  <c r="N1426" i="19"/>
  <c r="O1426" i="19"/>
  <c r="N1427" i="19"/>
  <c r="O1427" i="19"/>
  <c r="N1428" i="19"/>
  <c r="O1428" i="19"/>
  <c r="N1429" i="19"/>
  <c r="O1429" i="19"/>
  <c r="N1430" i="19"/>
  <c r="O1430" i="19"/>
  <c r="N1431" i="19"/>
  <c r="O1431" i="19"/>
  <c r="N1432" i="19"/>
  <c r="O1432" i="19"/>
  <c r="N1433" i="19"/>
  <c r="O1433" i="19"/>
  <c r="N1434" i="19"/>
  <c r="O1434" i="19"/>
  <c r="N1435" i="19"/>
  <c r="O1435" i="19"/>
  <c r="N1436" i="19"/>
  <c r="O1436" i="19"/>
  <c r="N1437" i="19"/>
  <c r="O1437" i="19"/>
  <c r="N1438" i="19"/>
  <c r="O1438" i="19"/>
  <c r="N1439" i="19"/>
  <c r="O1439" i="19"/>
  <c r="N1440" i="19"/>
  <c r="O1440" i="19"/>
  <c r="N1441" i="19"/>
  <c r="O1441" i="19"/>
  <c r="N1442" i="19"/>
  <c r="O1442" i="19"/>
  <c r="N1443" i="19"/>
  <c r="O1443" i="19"/>
  <c r="N1444" i="19"/>
  <c r="O1444" i="19"/>
  <c r="N1445" i="19"/>
  <c r="O1445" i="19"/>
  <c r="N1446" i="19"/>
  <c r="O1446" i="19"/>
  <c r="N1447" i="19"/>
  <c r="O1447" i="19"/>
  <c r="N1448" i="19"/>
  <c r="O1448" i="19"/>
  <c r="D25" i="55"/>
  <c r="D24" i="55"/>
  <c r="D23" i="55"/>
  <c r="D22" i="55"/>
  <c r="B28" i="55" s="1"/>
  <c r="D8" i="55"/>
  <c r="D7" i="55"/>
  <c r="D6" i="55"/>
  <c r="D5" i="55"/>
  <c r="E5" i="55" s="1"/>
  <c r="B12" i="55" l="1"/>
  <c r="C12" i="55" s="1"/>
  <c r="E60" i="55" s="1"/>
  <c r="E6" i="55"/>
  <c r="B13" i="55" s="1"/>
  <c r="C28" i="55"/>
  <c r="E68" i="55" s="1"/>
  <c r="E67" i="55"/>
  <c r="B11" i="55"/>
  <c r="E22" i="55"/>
  <c r="E23" i="55" s="1"/>
  <c r="B30" i="55" s="1"/>
  <c r="E75" i="55" s="1"/>
  <c r="C13" i="55"/>
  <c r="E65" i="55" s="1"/>
  <c r="E8" i="55"/>
  <c r="E7" i="55"/>
  <c r="C11" i="55" l="1"/>
  <c r="E57" i="55" s="1"/>
  <c r="E56" i="55"/>
  <c r="E24" i="55"/>
  <c r="B29" i="55"/>
  <c r="E70" i="55" s="1"/>
  <c r="E25" i="55"/>
  <c r="C30" i="55"/>
  <c r="E76" i="55" s="1"/>
  <c r="C29" i="55" l="1"/>
  <c r="E71" i="55" s="1"/>
  <c r="M329" i="19"/>
  <c r="L329" i="19"/>
  <c r="K329" i="19"/>
  <c r="J329" i="19"/>
  <c r="I329" i="19"/>
  <c r="H329" i="19"/>
  <c r="M1190" i="19"/>
  <c r="L1190" i="19"/>
  <c r="K1190" i="19"/>
  <c r="J1190" i="19"/>
  <c r="I1190" i="19"/>
  <c r="H1190" i="19"/>
  <c r="M478" i="19"/>
  <c r="L478" i="19"/>
  <c r="K478" i="19"/>
  <c r="J478" i="19"/>
  <c r="I478" i="19"/>
  <c r="H478" i="19"/>
  <c r="F1064" i="20"/>
  <c r="G1064" i="20"/>
  <c r="H1064" i="20"/>
  <c r="I1064" i="20"/>
  <c r="J1064" i="20"/>
  <c r="J813" i="20"/>
  <c r="I813" i="20"/>
  <c r="H813" i="20"/>
  <c r="G813" i="20"/>
  <c r="B199" i="19"/>
  <c r="B200" i="19"/>
  <c r="B201" i="19"/>
  <c r="B80" i="56"/>
  <c r="C80" i="56"/>
  <c r="D80" i="56"/>
  <c r="F80" i="56"/>
  <c r="F112" i="56" s="1"/>
  <c r="G80" i="56"/>
  <c r="G112" i="56" s="1"/>
  <c r="H80" i="56"/>
  <c r="H101" i="56" s="1"/>
  <c r="I80" i="56"/>
  <c r="I101" i="56" s="1"/>
  <c r="J80" i="56"/>
  <c r="J101" i="56" s="1"/>
  <c r="K80" i="56"/>
  <c r="K101" i="56" s="1"/>
  <c r="L80" i="56"/>
  <c r="L101" i="56" s="1"/>
  <c r="M80" i="56"/>
  <c r="M120" i="56" s="1"/>
  <c r="E86" i="56"/>
  <c r="E103" i="56" s="1"/>
  <c r="E58" i="56" s="1"/>
  <c r="M68" i="56"/>
  <c r="L68" i="56"/>
  <c r="K68" i="56"/>
  <c r="J68" i="56"/>
  <c r="I68" i="56"/>
  <c r="H68" i="56"/>
  <c r="D68" i="56"/>
  <c r="D67" i="56"/>
  <c r="M128" i="56"/>
  <c r="L128" i="56"/>
  <c r="K128" i="56"/>
  <c r="J128" i="56"/>
  <c r="I128" i="56"/>
  <c r="H128" i="56"/>
  <c r="G128" i="56"/>
  <c r="E128" i="56"/>
  <c r="E127" i="56"/>
  <c r="M125" i="56"/>
  <c r="M123" i="56" s="1"/>
  <c r="L125" i="56"/>
  <c r="L123" i="56" s="1"/>
  <c r="K125" i="56"/>
  <c r="K123" i="56" s="1"/>
  <c r="J125" i="56"/>
  <c r="J123" i="56" s="1"/>
  <c r="I125" i="56"/>
  <c r="I123" i="56" s="1"/>
  <c r="H125" i="56"/>
  <c r="H123" i="56" s="1"/>
  <c r="G125" i="56"/>
  <c r="G123" i="56" s="1"/>
  <c r="M103" i="56"/>
  <c r="M58" i="56" s="1"/>
  <c r="L103" i="56"/>
  <c r="L58" i="56" s="1"/>
  <c r="K103" i="56"/>
  <c r="K58" i="56" s="1"/>
  <c r="J103" i="56"/>
  <c r="J58" i="56" s="1"/>
  <c r="I103" i="56"/>
  <c r="I58" i="56" s="1"/>
  <c r="H103" i="56"/>
  <c r="H58" i="56" s="1"/>
  <c r="G103" i="56"/>
  <c r="G58" i="56" s="1"/>
  <c r="M100" i="56"/>
  <c r="L100" i="56"/>
  <c r="K100" i="56"/>
  <c r="J100" i="56"/>
  <c r="I100" i="56"/>
  <c r="H100" i="56"/>
  <c r="G100" i="56"/>
  <c r="E100" i="56"/>
  <c r="E123" i="56" s="1"/>
  <c r="E125" i="56" s="1"/>
  <c r="M122" i="56"/>
  <c r="L122" i="56"/>
  <c r="K122" i="56"/>
  <c r="J122" i="56"/>
  <c r="I122" i="56"/>
  <c r="H122" i="56"/>
  <c r="G122" i="56"/>
  <c r="E122" i="56"/>
  <c r="E121" i="56"/>
  <c r="M119" i="56"/>
  <c r="L119" i="56"/>
  <c r="K119" i="56"/>
  <c r="J119" i="56"/>
  <c r="I119" i="56"/>
  <c r="H119" i="56"/>
  <c r="G119" i="56"/>
  <c r="M118" i="56"/>
  <c r="L118" i="56"/>
  <c r="K118" i="56"/>
  <c r="J118" i="56"/>
  <c r="I118" i="56"/>
  <c r="H118" i="56"/>
  <c r="G118" i="56"/>
  <c r="M117" i="56"/>
  <c r="L117" i="56"/>
  <c r="K117" i="56"/>
  <c r="J117" i="56"/>
  <c r="I117" i="56"/>
  <c r="H117" i="56"/>
  <c r="G117" i="56"/>
  <c r="M115" i="56"/>
  <c r="L115" i="56"/>
  <c r="K115" i="56"/>
  <c r="J115" i="56"/>
  <c r="I115" i="56"/>
  <c r="H115" i="56"/>
  <c r="G115" i="56"/>
  <c r="E99" i="56"/>
  <c r="E98" i="56"/>
  <c r="M97" i="56"/>
  <c r="L97" i="56"/>
  <c r="K97" i="56"/>
  <c r="J97" i="56"/>
  <c r="I97" i="56"/>
  <c r="H97" i="56"/>
  <c r="G97" i="56"/>
  <c r="M114" i="56"/>
  <c r="L114" i="56"/>
  <c r="K114" i="56"/>
  <c r="J114" i="56"/>
  <c r="I114" i="56"/>
  <c r="H114" i="56"/>
  <c r="G114" i="56"/>
  <c r="E114" i="56"/>
  <c r="M111" i="56"/>
  <c r="L111" i="56"/>
  <c r="K111" i="56"/>
  <c r="J111" i="56"/>
  <c r="I111" i="56"/>
  <c r="H111" i="56"/>
  <c r="G111" i="56"/>
  <c r="G99" i="56" s="1"/>
  <c r="M110" i="56"/>
  <c r="L110" i="56"/>
  <c r="K110" i="56"/>
  <c r="J110" i="56"/>
  <c r="I110" i="56"/>
  <c r="H110" i="56"/>
  <c r="G110" i="56"/>
  <c r="M109" i="56"/>
  <c r="L109" i="56"/>
  <c r="K109" i="56"/>
  <c r="J109" i="56"/>
  <c r="I109" i="56"/>
  <c r="H109" i="56"/>
  <c r="G109" i="56"/>
  <c r="M93" i="56"/>
  <c r="M95" i="56" s="1"/>
  <c r="L93" i="56"/>
  <c r="L95" i="56" s="1"/>
  <c r="K93" i="56"/>
  <c r="K95" i="56" s="1"/>
  <c r="J93" i="56"/>
  <c r="J95" i="56" s="1"/>
  <c r="I93" i="56"/>
  <c r="I95" i="56" s="1"/>
  <c r="H93" i="56"/>
  <c r="H95" i="56" s="1"/>
  <c r="G93" i="56"/>
  <c r="G95" i="56" s="1"/>
  <c r="M90" i="56"/>
  <c r="L90" i="56"/>
  <c r="K90" i="56"/>
  <c r="J90" i="56"/>
  <c r="I90" i="56"/>
  <c r="H90" i="56"/>
  <c r="G90" i="56"/>
  <c r="M89" i="56"/>
  <c r="L89" i="56"/>
  <c r="K89" i="56"/>
  <c r="J89" i="56"/>
  <c r="I89" i="56"/>
  <c r="H89" i="56"/>
  <c r="G89" i="56"/>
  <c r="M88" i="56"/>
  <c r="M67" i="56" s="1"/>
  <c r="L88" i="56"/>
  <c r="L67" i="56" s="1"/>
  <c r="K88" i="56"/>
  <c r="K67" i="56" s="1"/>
  <c r="J88" i="56"/>
  <c r="J67" i="56" s="1"/>
  <c r="I88" i="56"/>
  <c r="I67" i="56" s="1"/>
  <c r="H88" i="56"/>
  <c r="H67" i="56" s="1"/>
  <c r="G88" i="56"/>
  <c r="E88" i="56"/>
  <c r="M70" i="56"/>
  <c r="L70" i="56"/>
  <c r="K70" i="56"/>
  <c r="J70" i="56"/>
  <c r="I70" i="56"/>
  <c r="H70" i="56"/>
  <c r="G70" i="56"/>
  <c r="G68" i="56" s="1"/>
  <c r="E70" i="56"/>
  <c r="E68" i="56" s="1"/>
  <c r="M69" i="56"/>
  <c r="L69" i="56"/>
  <c r="K69" i="56"/>
  <c r="J69" i="56"/>
  <c r="I69" i="56"/>
  <c r="H69" i="56"/>
  <c r="G69" i="56"/>
  <c r="G67" i="56" s="1"/>
  <c r="E69" i="56"/>
  <c r="E67" i="56" s="1"/>
  <c r="G52" i="56"/>
  <c r="E52" i="56"/>
  <c r="C52" i="56"/>
  <c r="D52" i="56" s="1"/>
  <c r="G51" i="56"/>
  <c r="E51" i="56"/>
  <c r="C51" i="56"/>
  <c r="D51" i="56" s="1"/>
  <c r="G50" i="56"/>
  <c r="E50" i="56"/>
  <c r="C50" i="56"/>
  <c r="D50" i="56" s="1"/>
  <c r="B22" i="56"/>
  <c r="B13" i="56"/>
  <c r="C30" i="56" s="1"/>
  <c r="B11" i="56"/>
  <c r="B6" i="56"/>
  <c r="B17" i="55"/>
  <c r="I317" i="19"/>
  <c r="J317" i="19"/>
  <c r="K317" i="19"/>
  <c r="L317" i="19"/>
  <c r="M317" i="19"/>
  <c r="H317" i="19"/>
  <c r="B316" i="19"/>
  <c r="C316" i="19"/>
  <c r="D316" i="19"/>
  <c r="F316" i="19"/>
  <c r="G316" i="19"/>
  <c r="H316" i="19"/>
  <c r="I316" i="19"/>
  <c r="J316" i="19"/>
  <c r="K316" i="19"/>
  <c r="L316" i="19"/>
  <c r="M316" i="19"/>
  <c r="A316" i="19"/>
  <c r="E565" i="50"/>
  <c r="E566" i="50" s="1"/>
  <c r="E316" i="19" s="1"/>
  <c r="G20" i="50"/>
  <c r="I20" i="50" s="1"/>
  <c r="E77" i="56" l="1"/>
  <c r="E95" i="56" s="1"/>
  <c r="C32" i="56"/>
  <c r="C33" i="56"/>
  <c r="C34" i="56"/>
  <c r="C35" i="56"/>
  <c r="C31" i="56"/>
  <c r="B18" i="55"/>
  <c r="E62" i="55" s="1"/>
  <c r="E73" i="55" s="1"/>
  <c r="E61" i="55"/>
  <c r="E72" i="55" s="1"/>
  <c r="H51" i="56"/>
  <c r="H112" i="56"/>
  <c r="H52" i="56"/>
  <c r="F52" i="56"/>
  <c r="H50" i="56"/>
  <c r="F50" i="56"/>
  <c r="I112" i="56"/>
  <c r="K112" i="56"/>
  <c r="H91" i="56"/>
  <c r="J91" i="56"/>
  <c r="F51" i="56"/>
  <c r="J112" i="56"/>
  <c r="F126" i="56"/>
  <c r="G126" i="56"/>
  <c r="L112" i="56"/>
  <c r="F120" i="56"/>
  <c r="H126" i="56"/>
  <c r="M101" i="56"/>
  <c r="G91" i="56"/>
  <c r="M112" i="56"/>
  <c r="G120" i="56"/>
  <c r="I126" i="56"/>
  <c r="H120" i="56"/>
  <c r="G101" i="56"/>
  <c r="J126" i="56"/>
  <c r="I91" i="56"/>
  <c r="I120" i="56"/>
  <c r="K126" i="56"/>
  <c r="J120" i="56"/>
  <c r="L126" i="56"/>
  <c r="K91" i="56"/>
  <c r="K120" i="56"/>
  <c r="M126" i="56"/>
  <c r="L91" i="56"/>
  <c r="L120" i="56"/>
  <c r="M91" i="56"/>
  <c r="A324" i="19"/>
  <c r="B324" i="19"/>
  <c r="C324" i="19"/>
  <c r="D324" i="19"/>
  <c r="E324" i="19"/>
  <c r="F324" i="19"/>
  <c r="H324" i="19"/>
  <c r="I324" i="19"/>
  <c r="J324" i="19"/>
  <c r="K324" i="19"/>
  <c r="L324" i="19"/>
  <c r="M324" i="19"/>
  <c r="A325" i="19"/>
  <c r="B325" i="19"/>
  <c r="C325" i="19"/>
  <c r="D325" i="19"/>
  <c r="E325" i="19"/>
  <c r="F325" i="19"/>
  <c r="H325" i="19"/>
  <c r="I325" i="19"/>
  <c r="J325" i="19"/>
  <c r="K325" i="19"/>
  <c r="L325" i="19"/>
  <c r="M325" i="19"/>
  <c r="E78" i="56" l="1"/>
  <c r="E96" i="56" s="1"/>
  <c r="E115" i="56" s="1"/>
  <c r="E118" i="56" s="1"/>
  <c r="E42" i="56"/>
  <c r="E584" i="50" s="1"/>
  <c r="E41" i="56"/>
  <c r="E583" i="50" s="1"/>
  <c r="E39" i="56"/>
  <c r="E581" i="50" s="1"/>
  <c r="E40" i="56"/>
  <c r="E582" i="50" s="1"/>
  <c r="E44" i="56"/>
  <c r="E586" i="50" s="1"/>
  <c r="E43" i="56"/>
  <c r="E585" i="50" s="1"/>
  <c r="E89" i="56"/>
  <c r="B15" i="55"/>
  <c r="D241" i="36"/>
  <c r="D242" i="36"/>
  <c r="D243" i="36"/>
  <c r="D244" i="36"/>
  <c r="D240" i="36"/>
  <c r="D239" i="36"/>
  <c r="A828" i="19"/>
  <c r="A827" i="19"/>
  <c r="A829" i="19"/>
  <c r="A830" i="19"/>
  <c r="A831" i="19"/>
  <c r="A832" i="19"/>
  <c r="A833" i="19"/>
  <c r="A834" i="19"/>
  <c r="A835" i="19"/>
  <c r="A836" i="19"/>
  <c r="A837" i="19"/>
  <c r="A838" i="19"/>
  <c r="A839" i="19"/>
  <c r="A126" i="19"/>
  <c r="A128" i="19"/>
  <c r="A129" i="19"/>
  <c r="A130" i="19"/>
  <c r="A131" i="19"/>
  <c r="A132" i="19"/>
  <c r="A133" i="19"/>
  <c r="A134" i="19"/>
  <c r="A135" i="19"/>
  <c r="A136" i="19"/>
  <c r="A137" i="19"/>
  <c r="A138" i="19"/>
  <c r="A154" i="19"/>
  <c r="A153" i="19"/>
  <c r="A155" i="19"/>
  <c r="A156" i="19"/>
  <c r="A157" i="19"/>
  <c r="A158" i="19"/>
  <c r="A159" i="19"/>
  <c r="A160" i="19"/>
  <c r="A161" i="19"/>
  <c r="A162" i="19"/>
  <c r="A163" i="19"/>
  <c r="A164" i="19"/>
  <c r="A165" i="19"/>
  <c r="A166" i="19"/>
  <c r="A127" i="19"/>
  <c r="F519" i="50"/>
  <c r="F298" i="19" s="1"/>
  <c r="F515" i="50"/>
  <c r="F304" i="19" s="1"/>
  <c r="N1341" i="19"/>
  <c r="O1341" i="19"/>
  <c r="O298" i="19"/>
  <c r="N125" i="19"/>
  <c r="O125" i="19"/>
  <c r="N427" i="19"/>
  <c r="O427" i="19"/>
  <c r="N1057" i="19"/>
  <c r="O1057" i="19"/>
  <c r="N1155" i="19"/>
  <c r="O1155" i="19"/>
  <c r="N1177" i="19"/>
  <c r="O1177" i="19"/>
  <c r="A125" i="19"/>
  <c r="A723" i="19"/>
  <c r="A724" i="19"/>
  <c r="A426" i="19"/>
  <c r="A427" i="19"/>
  <c r="A763" i="19"/>
  <c r="A764" i="19"/>
  <c r="A1056" i="19"/>
  <c r="A1057" i="19"/>
  <c r="A1154" i="19"/>
  <c r="A1155" i="19"/>
  <c r="A1174" i="19"/>
  <c r="A1175" i="19"/>
  <c r="A1176" i="19"/>
  <c r="A1177" i="19"/>
  <c r="A1335" i="19"/>
  <c r="A1336" i="19"/>
  <c r="A1340" i="19"/>
  <c r="A1341" i="19"/>
  <c r="A124" i="19"/>
  <c r="C549" i="50"/>
  <c r="C166" i="19" s="1"/>
  <c r="D549" i="50"/>
  <c r="D166" i="19" s="1"/>
  <c r="F549" i="50"/>
  <c r="F166" i="19" s="1"/>
  <c r="B549" i="50"/>
  <c r="B166" i="19" s="1"/>
  <c r="B517" i="50"/>
  <c r="B300" i="19" s="1"/>
  <c r="C517" i="50"/>
  <c r="C300" i="19" s="1"/>
  <c r="D517" i="50"/>
  <c r="D300" i="19" s="1"/>
  <c r="F517" i="50"/>
  <c r="F300" i="19" s="1"/>
  <c r="B518" i="50"/>
  <c r="B297" i="19" s="1"/>
  <c r="C518" i="50"/>
  <c r="C297" i="19" s="1"/>
  <c r="D518" i="50"/>
  <c r="D297" i="19" s="1"/>
  <c r="B519" i="50"/>
  <c r="B298" i="19" s="1"/>
  <c r="C519" i="50"/>
  <c r="C298" i="19" s="1"/>
  <c r="D519" i="50"/>
  <c r="D298" i="19" s="1"/>
  <c r="B520" i="50"/>
  <c r="B299" i="19" s="1"/>
  <c r="C520" i="50"/>
  <c r="C299" i="19" s="1"/>
  <c r="D520" i="50"/>
  <c r="D299" i="19" s="1"/>
  <c r="F520" i="50"/>
  <c r="F299" i="19" s="1"/>
  <c r="A518" i="50"/>
  <c r="A297" i="19" s="1"/>
  <c r="A519" i="50"/>
  <c r="A298" i="19" s="1"/>
  <c r="A520" i="50"/>
  <c r="A299" i="19" s="1"/>
  <c r="A517" i="50"/>
  <c r="A300" i="19" s="1"/>
  <c r="B511" i="50"/>
  <c r="B306" i="19" s="1"/>
  <c r="C511" i="50"/>
  <c r="C306" i="19" s="1"/>
  <c r="D511" i="50"/>
  <c r="D306" i="19" s="1"/>
  <c r="F511" i="50"/>
  <c r="F306" i="19" s="1"/>
  <c r="B512" i="50"/>
  <c r="B307" i="19" s="1"/>
  <c r="C512" i="50"/>
  <c r="C307" i="19" s="1"/>
  <c r="D512" i="50"/>
  <c r="D307" i="19" s="1"/>
  <c r="F512" i="50"/>
  <c r="F307" i="19" s="1"/>
  <c r="B513" i="50"/>
  <c r="B308" i="19" s="1"/>
  <c r="C513" i="50"/>
  <c r="C308" i="19" s="1"/>
  <c r="D513" i="50"/>
  <c r="D308" i="19" s="1"/>
  <c r="F513" i="50"/>
  <c r="F308" i="19" s="1"/>
  <c r="B514" i="50"/>
  <c r="B303" i="19" s="1"/>
  <c r="C514" i="50"/>
  <c r="C303" i="19" s="1"/>
  <c r="D514" i="50"/>
  <c r="D303" i="19" s="1"/>
  <c r="B515" i="50"/>
  <c r="B304" i="19" s="1"/>
  <c r="C515" i="50"/>
  <c r="C304" i="19" s="1"/>
  <c r="D515" i="50"/>
  <c r="D304" i="19" s="1"/>
  <c r="B516" i="50"/>
  <c r="B305" i="19" s="1"/>
  <c r="C516" i="50"/>
  <c r="C305" i="19" s="1"/>
  <c r="D516" i="50"/>
  <c r="D305" i="19" s="1"/>
  <c r="F516" i="50"/>
  <c r="F305" i="19" s="1"/>
  <c r="A512" i="50"/>
  <c r="A307" i="19" s="1"/>
  <c r="A513" i="50"/>
  <c r="A308" i="19" s="1"/>
  <c r="A514" i="50"/>
  <c r="A303" i="19" s="1"/>
  <c r="A515" i="50"/>
  <c r="A304" i="19" s="1"/>
  <c r="A516" i="50"/>
  <c r="A305" i="19" s="1"/>
  <c r="A511" i="50"/>
  <c r="A306" i="19" s="1"/>
  <c r="B505" i="50"/>
  <c r="B312" i="19" s="1"/>
  <c r="C505" i="50"/>
  <c r="C312" i="19" s="1"/>
  <c r="D505" i="50"/>
  <c r="D312" i="19" s="1"/>
  <c r="F505" i="50"/>
  <c r="F312" i="19" s="1"/>
  <c r="B506" i="50"/>
  <c r="B313" i="19" s="1"/>
  <c r="C506" i="50"/>
  <c r="C313" i="19" s="1"/>
  <c r="D506" i="50"/>
  <c r="D313" i="19" s="1"/>
  <c r="F506" i="50"/>
  <c r="F313" i="19" s="1"/>
  <c r="B507" i="50"/>
  <c r="B314" i="19" s="1"/>
  <c r="C507" i="50"/>
  <c r="C314" i="19" s="1"/>
  <c r="D507" i="50"/>
  <c r="D314" i="19" s="1"/>
  <c r="F507" i="50"/>
  <c r="F314" i="19" s="1"/>
  <c r="B508" i="50"/>
  <c r="B309" i="19" s="1"/>
  <c r="C508" i="50"/>
  <c r="C309" i="19" s="1"/>
  <c r="D508" i="50"/>
  <c r="D309" i="19" s="1"/>
  <c r="B509" i="50"/>
  <c r="B310" i="19" s="1"/>
  <c r="C509" i="50"/>
  <c r="C310" i="19" s="1"/>
  <c r="D509" i="50"/>
  <c r="D310" i="19" s="1"/>
  <c r="E509" i="50"/>
  <c r="E310" i="19" s="1"/>
  <c r="F509" i="50"/>
  <c r="F310" i="19" s="1"/>
  <c r="B510" i="50"/>
  <c r="B311" i="19" s="1"/>
  <c r="C510" i="50"/>
  <c r="C311" i="19" s="1"/>
  <c r="D510" i="50"/>
  <c r="D311" i="19" s="1"/>
  <c r="A506" i="50"/>
  <c r="A313" i="19" s="1"/>
  <c r="A507" i="50"/>
  <c r="A314" i="19" s="1"/>
  <c r="A508" i="50"/>
  <c r="A309" i="19" s="1"/>
  <c r="A509" i="50"/>
  <c r="A310" i="19" s="1"/>
  <c r="A510" i="50"/>
  <c r="A311" i="19" s="1"/>
  <c r="A505" i="50"/>
  <c r="A312" i="19" s="1"/>
  <c r="C501" i="50"/>
  <c r="C1340" i="19" s="1"/>
  <c r="D501" i="50"/>
  <c r="D1340" i="19" s="1"/>
  <c r="F501" i="50"/>
  <c r="F1340" i="19" s="1"/>
  <c r="G501" i="50"/>
  <c r="G1340" i="19" s="1"/>
  <c r="H501" i="50"/>
  <c r="H1340" i="19" s="1"/>
  <c r="I501" i="50"/>
  <c r="I1340" i="19" s="1"/>
  <c r="J501" i="50"/>
  <c r="J1340" i="19" s="1"/>
  <c r="K501" i="50"/>
  <c r="K1340" i="19" s="1"/>
  <c r="L501" i="50"/>
  <c r="L1340" i="19" s="1"/>
  <c r="M501" i="50"/>
  <c r="M1340" i="19" s="1"/>
  <c r="C502" i="50"/>
  <c r="C1341" i="19" s="1"/>
  <c r="D502" i="50"/>
  <c r="D1341" i="19" s="1"/>
  <c r="E502" i="50"/>
  <c r="E1341" i="19" s="1"/>
  <c r="F502" i="50"/>
  <c r="F1341" i="19" s="1"/>
  <c r="B502" i="50"/>
  <c r="B1341" i="19" s="1"/>
  <c r="B501" i="50"/>
  <c r="B1340" i="19" s="1"/>
  <c r="C499" i="50"/>
  <c r="C1335" i="19" s="1"/>
  <c r="D499" i="50"/>
  <c r="D1335" i="19" s="1"/>
  <c r="F499" i="50"/>
  <c r="F1335" i="19" s="1"/>
  <c r="G499" i="50"/>
  <c r="G1335" i="19" s="1"/>
  <c r="H499" i="50"/>
  <c r="H1335" i="19" s="1"/>
  <c r="I499" i="50"/>
  <c r="I1335" i="19" s="1"/>
  <c r="J499" i="50"/>
  <c r="J1335" i="19" s="1"/>
  <c r="K499" i="50"/>
  <c r="K1335" i="19" s="1"/>
  <c r="L499" i="50"/>
  <c r="L1335" i="19" s="1"/>
  <c r="M499" i="50"/>
  <c r="M1335" i="19" s="1"/>
  <c r="C500" i="50"/>
  <c r="C1336" i="19" s="1"/>
  <c r="D500" i="50"/>
  <c r="D1336" i="19" s="1"/>
  <c r="E500" i="50"/>
  <c r="E1336" i="19" s="1"/>
  <c r="F500" i="50"/>
  <c r="F1336" i="19" s="1"/>
  <c r="B500" i="50"/>
  <c r="B1336" i="19" s="1"/>
  <c r="B499" i="50"/>
  <c r="B1335" i="19" s="1"/>
  <c r="C497" i="50"/>
  <c r="C1176" i="19" s="1"/>
  <c r="D497" i="50"/>
  <c r="D1176" i="19" s="1"/>
  <c r="F497" i="50"/>
  <c r="F1176" i="19" s="1"/>
  <c r="G497" i="50"/>
  <c r="G1176" i="19" s="1"/>
  <c r="H497" i="50"/>
  <c r="H1176" i="19" s="1"/>
  <c r="I497" i="50"/>
  <c r="I1176" i="19" s="1"/>
  <c r="J497" i="50"/>
  <c r="J1176" i="19" s="1"/>
  <c r="K497" i="50"/>
  <c r="K1176" i="19" s="1"/>
  <c r="L497" i="50"/>
  <c r="L1176" i="19" s="1"/>
  <c r="M497" i="50"/>
  <c r="M1176" i="19" s="1"/>
  <c r="C498" i="50"/>
  <c r="C1177" i="19" s="1"/>
  <c r="D498" i="50"/>
  <c r="D1177" i="19" s="1"/>
  <c r="E498" i="50"/>
  <c r="E1177" i="19" s="1"/>
  <c r="F498" i="50"/>
  <c r="F1177" i="19" s="1"/>
  <c r="B498" i="50"/>
  <c r="B1177" i="19" s="1"/>
  <c r="B497" i="50"/>
  <c r="B1176" i="19" s="1"/>
  <c r="C495" i="50"/>
  <c r="C1174" i="19" s="1"/>
  <c r="D495" i="50"/>
  <c r="D1174" i="19" s="1"/>
  <c r="F495" i="50"/>
  <c r="F1174" i="19" s="1"/>
  <c r="G495" i="50"/>
  <c r="G1174" i="19" s="1"/>
  <c r="H495" i="50"/>
  <c r="H1174" i="19" s="1"/>
  <c r="I495" i="50"/>
  <c r="I1174" i="19" s="1"/>
  <c r="J495" i="50"/>
  <c r="J1174" i="19" s="1"/>
  <c r="K495" i="50"/>
  <c r="K1174" i="19" s="1"/>
  <c r="L495" i="50"/>
  <c r="L1174" i="19" s="1"/>
  <c r="M495" i="50"/>
  <c r="M1174" i="19" s="1"/>
  <c r="C496" i="50"/>
  <c r="C1175" i="19" s="1"/>
  <c r="D496" i="50"/>
  <c r="D1175" i="19" s="1"/>
  <c r="E496" i="50"/>
  <c r="E1175" i="19" s="1"/>
  <c r="F496" i="50"/>
  <c r="F1175" i="19" s="1"/>
  <c r="B496" i="50"/>
  <c r="B1175" i="19" s="1"/>
  <c r="B495" i="50"/>
  <c r="B1174" i="19" s="1"/>
  <c r="F494" i="50"/>
  <c r="F1155" i="19" s="1"/>
  <c r="E494" i="50"/>
  <c r="E1155" i="19" s="1"/>
  <c r="D494" i="50"/>
  <c r="D1155" i="19" s="1"/>
  <c r="C494" i="50"/>
  <c r="C1155" i="19" s="1"/>
  <c r="M493" i="50"/>
  <c r="M1154" i="19" s="1"/>
  <c r="L493" i="50"/>
  <c r="L1154" i="19" s="1"/>
  <c r="K493" i="50"/>
  <c r="K1154" i="19" s="1"/>
  <c r="J493" i="50"/>
  <c r="J1154" i="19" s="1"/>
  <c r="I493" i="50"/>
  <c r="I1154" i="19" s="1"/>
  <c r="H493" i="50"/>
  <c r="H1154" i="19" s="1"/>
  <c r="G493" i="50"/>
  <c r="G1154" i="19" s="1"/>
  <c r="F493" i="50"/>
  <c r="F1154" i="19" s="1"/>
  <c r="D493" i="50"/>
  <c r="D1154" i="19" s="1"/>
  <c r="C493" i="50"/>
  <c r="C1154" i="19" s="1"/>
  <c r="B493" i="50"/>
  <c r="B1154" i="19" s="1"/>
  <c r="B494" i="50"/>
  <c r="B1155" i="19" s="1"/>
  <c r="C491" i="50"/>
  <c r="C1056" i="19" s="1"/>
  <c r="D491" i="50"/>
  <c r="D1056" i="19" s="1"/>
  <c r="F491" i="50"/>
  <c r="F1056" i="19" s="1"/>
  <c r="G491" i="50"/>
  <c r="G1056" i="19" s="1"/>
  <c r="H491" i="50"/>
  <c r="H1056" i="19" s="1"/>
  <c r="I491" i="50"/>
  <c r="I1056" i="19" s="1"/>
  <c r="J491" i="50"/>
  <c r="J1056" i="19" s="1"/>
  <c r="K491" i="50"/>
  <c r="K1056" i="19" s="1"/>
  <c r="L491" i="50"/>
  <c r="L1056" i="19" s="1"/>
  <c r="M491" i="50"/>
  <c r="M1056" i="19" s="1"/>
  <c r="C492" i="50"/>
  <c r="C1057" i="19" s="1"/>
  <c r="D492" i="50"/>
  <c r="D1057" i="19" s="1"/>
  <c r="E492" i="50"/>
  <c r="E1057" i="19" s="1"/>
  <c r="F492" i="50"/>
  <c r="F1057" i="19" s="1"/>
  <c r="B492" i="50"/>
  <c r="B1057" i="19" s="1"/>
  <c r="B491" i="50"/>
  <c r="B1056" i="19" s="1"/>
  <c r="C489" i="50"/>
  <c r="C763" i="19" s="1"/>
  <c r="D489" i="50"/>
  <c r="D763" i="19" s="1"/>
  <c r="F489" i="50"/>
  <c r="F763" i="19" s="1"/>
  <c r="G489" i="50"/>
  <c r="G763" i="19" s="1"/>
  <c r="H489" i="50"/>
  <c r="H763" i="19" s="1"/>
  <c r="I489" i="50"/>
  <c r="I763" i="19" s="1"/>
  <c r="J489" i="50"/>
  <c r="J763" i="19" s="1"/>
  <c r="K489" i="50"/>
  <c r="K763" i="19" s="1"/>
  <c r="L489" i="50"/>
  <c r="L763" i="19" s="1"/>
  <c r="M489" i="50"/>
  <c r="M763" i="19" s="1"/>
  <c r="C490" i="50"/>
  <c r="C764" i="19" s="1"/>
  <c r="D490" i="50"/>
  <c r="D764" i="19" s="1"/>
  <c r="E490" i="50"/>
  <c r="E764" i="19" s="1"/>
  <c r="F490" i="50"/>
  <c r="F764" i="19" s="1"/>
  <c r="B490" i="50"/>
  <c r="B764" i="19" s="1"/>
  <c r="B489" i="50"/>
  <c r="B763" i="19" s="1"/>
  <c r="C487" i="50"/>
  <c r="C426" i="19" s="1"/>
  <c r="D487" i="50"/>
  <c r="D426" i="19" s="1"/>
  <c r="F487" i="50"/>
  <c r="F426" i="19" s="1"/>
  <c r="G487" i="50"/>
  <c r="G426" i="19" s="1"/>
  <c r="H487" i="50"/>
  <c r="H426" i="19" s="1"/>
  <c r="I487" i="50"/>
  <c r="I426" i="19" s="1"/>
  <c r="J487" i="50"/>
  <c r="J426" i="19" s="1"/>
  <c r="K487" i="50"/>
  <c r="K426" i="19" s="1"/>
  <c r="L487" i="50"/>
  <c r="L426" i="19" s="1"/>
  <c r="M487" i="50"/>
  <c r="M426" i="19" s="1"/>
  <c r="C488" i="50"/>
  <c r="C427" i="19" s="1"/>
  <c r="D488" i="50"/>
  <c r="D427" i="19" s="1"/>
  <c r="E488" i="50"/>
  <c r="E427" i="19" s="1"/>
  <c r="F488" i="50"/>
  <c r="F427" i="19" s="1"/>
  <c r="B488" i="50"/>
  <c r="B427" i="19" s="1"/>
  <c r="B487" i="50"/>
  <c r="B426" i="19" s="1"/>
  <c r="C485" i="50"/>
  <c r="C723" i="19" s="1"/>
  <c r="D485" i="50"/>
  <c r="D723" i="19" s="1"/>
  <c r="F485" i="50"/>
  <c r="F723" i="19" s="1"/>
  <c r="C486" i="50"/>
  <c r="C724" i="19" s="1"/>
  <c r="D486" i="50"/>
  <c r="D724" i="19" s="1"/>
  <c r="E486" i="50"/>
  <c r="E724" i="19" s="1"/>
  <c r="F486" i="50"/>
  <c r="F724" i="19" s="1"/>
  <c r="B486" i="50"/>
  <c r="B724" i="19" s="1"/>
  <c r="B485" i="50"/>
  <c r="B723" i="19" s="1"/>
  <c r="C483" i="50"/>
  <c r="C124" i="19" s="1"/>
  <c r="D483" i="50"/>
  <c r="D124" i="19" s="1"/>
  <c r="F483" i="50"/>
  <c r="F124" i="19" s="1"/>
  <c r="C484" i="50"/>
  <c r="C125" i="19" s="1"/>
  <c r="D484" i="50"/>
  <c r="D125" i="19" s="1"/>
  <c r="E484" i="50"/>
  <c r="E125" i="19" s="1"/>
  <c r="F484" i="50"/>
  <c r="F125" i="19" s="1"/>
  <c r="B484" i="50"/>
  <c r="B125" i="19" s="1"/>
  <c r="B483" i="50"/>
  <c r="B124" i="19" s="1"/>
  <c r="L485" i="50"/>
  <c r="L723" i="19" s="1"/>
  <c r="M485" i="50"/>
  <c r="M723" i="19" s="1"/>
  <c r="G485" i="50"/>
  <c r="G723" i="19" s="1"/>
  <c r="F510" i="50"/>
  <c r="F311" i="19" s="1"/>
  <c r="G510" i="50"/>
  <c r="G311" i="19" s="1"/>
  <c r="H510" i="50"/>
  <c r="H311" i="19" s="1"/>
  <c r="I510" i="50"/>
  <c r="I311" i="19" s="1"/>
  <c r="J510" i="50"/>
  <c r="J311" i="19" s="1"/>
  <c r="K510" i="50"/>
  <c r="K311" i="19" s="1"/>
  <c r="L510" i="50"/>
  <c r="L311" i="19" s="1"/>
  <c r="M510" i="50"/>
  <c r="M311" i="19" s="1"/>
  <c r="H505" i="50"/>
  <c r="H312" i="19" s="1"/>
  <c r="I505" i="50"/>
  <c r="I312" i="19" s="1"/>
  <c r="J505" i="50"/>
  <c r="J312" i="19" s="1"/>
  <c r="K505" i="50"/>
  <c r="K312" i="19" s="1"/>
  <c r="L505" i="50"/>
  <c r="L312" i="19" s="1"/>
  <c r="M505" i="50"/>
  <c r="M312" i="19" s="1"/>
  <c r="H506" i="50"/>
  <c r="H313" i="19" s="1"/>
  <c r="I506" i="50"/>
  <c r="I313" i="19" s="1"/>
  <c r="J506" i="50"/>
  <c r="J313" i="19" s="1"/>
  <c r="K506" i="50"/>
  <c r="K313" i="19" s="1"/>
  <c r="L506" i="50"/>
  <c r="L313" i="19" s="1"/>
  <c r="M506" i="50"/>
  <c r="M313" i="19" s="1"/>
  <c r="H507" i="50"/>
  <c r="H314" i="19" s="1"/>
  <c r="I507" i="50"/>
  <c r="I314" i="19" s="1"/>
  <c r="J507" i="50"/>
  <c r="J314" i="19" s="1"/>
  <c r="K507" i="50"/>
  <c r="K314" i="19" s="1"/>
  <c r="L507" i="50"/>
  <c r="L314" i="19" s="1"/>
  <c r="M507" i="50"/>
  <c r="M314" i="19" s="1"/>
  <c r="G506" i="50"/>
  <c r="G313" i="19" s="1"/>
  <c r="G507" i="50"/>
  <c r="G314" i="19" s="1"/>
  <c r="G505" i="50"/>
  <c r="G312" i="19" s="1"/>
  <c r="H511" i="50"/>
  <c r="H306" i="19" s="1"/>
  <c r="I511" i="50"/>
  <c r="I306" i="19" s="1"/>
  <c r="J511" i="50"/>
  <c r="J306" i="19" s="1"/>
  <c r="K511" i="50"/>
  <c r="K306" i="19" s="1"/>
  <c r="L511" i="50"/>
  <c r="L306" i="19" s="1"/>
  <c r="M511" i="50"/>
  <c r="M306" i="19" s="1"/>
  <c r="H512" i="50"/>
  <c r="H307" i="19" s="1"/>
  <c r="I512" i="50"/>
  <c r="I307" i="19" s="1"/>
  <c r="J512" i="50"/>
  <c r="J307" i="19" s="1"/>
  <c r="L512" i="50"/>
  <c r="L307" i="19" s="1"/>
  <c r="M512" i="50"/>
  <c r="M307" i="19" s="1"/>
  <c r="H513" i="50"/>
  <c r="H308" i="19" s="1"/>
  <c r="I513" i="50"/>
  <c r="I308" i="19" s="1"/>
  <c r="J513" i="50"/>
  <c r="J308" i="19" s="1"/>
  <c r="K513" i="50"/>
  <c r="K308" i="19" s="1"/>
  <c r="L513" i="50"/>
  <c r="L308" i="19" s="1"/>
  <c r="M513" i="50"/>
  <c r="M308" i="19" s="1"/>
  <c r="G512" i="50"/>
  <c r="G307" i="19" s="1"/>
  <c r="G513" i="50"/>
  <c r="G308" i="19" s="1"/>
  <c r="G511" i="50"/>
  <c r="G306" i="19" s="1"/>
  <c r="E515" i="50"/>
  <c r="E304" i="19" s="1"/>
  <c r="G516" i="50"/>
  <c r="G305" i="19" s="1"/>
  <c r="H516" i="50"/>
  <c r="H305" i="19" s="1"/>
  <c r="I516" i="50"/>
  <c r="I305" i="19" s="1"/>
  <c r="J516" i="50"/>
  <c r="J305" i="19" s="1"/>
  <c r="K516" i="50"/>
  <c r="K305" i="19" s="1"/>
  <c r="L516" i="50"/>
  <c r="L305" i="19" s="1"/>
  <c r="M516" i="50"/>
  <c r="M305" i="19" s="1"/>
  <c r="H483" i="50"/>
  <c r="H124" i="19" s="1"/>
  <c r="I483" i="50"/>
  <c r="I124" i="19" s="1"/>
  <c r="J483" i="50"/>
  <c r="J124" i="19" s="1"/>
  <c r="G483" i="50"/>
  <c r="G124" i="19" s="1"/>
  <c r="G520" i="50"/>
  <c r="G299" i="19" s="1"/>
  <c r="H520" i="50"/>
  <c r="H299" i="19" s="1"/>
  <c r="I520" i="50"/>
  <c r="I299" i="19" s="1"/>
  <c r="J520" i="50"/>
  <c r="J299" i="19" s="1"/>
  <c r="K520" i="50"/>
  <c r="K299" i="19" s="1"/>
  <c r="L520" i="50"/>
  <c r="L299" i="19" s="1"/>
  <c r="M520" i="50"/>
  <c r="M299" i="19" s="1"/>
  <c r="E519" i="50"/>
  <c r="E298" i="19" s="1"/>
  <c r="E520" i="50"/>
  <c r="E299" i="19" s="1"/>
  <c r="E516" i="50"/>
  <c r="E305" i="19" s="1"/>
  <c r="E510" i="50"/>
  <c r="E311" i="19" s="1"/>
  <c r="E84" i="56" l="1"/>
  <c r="E85" i="56" s="1"/>
  <c r="E93" i="56" s="1"/>
  <c r="E107" i="56"/>
  <c r="E109" i="56" s="1"/>
  <c r="E90" i="56"/>
  <c r="E117" i="56"/>
  <c r="E59" i="55"/>
  <c r="D17" i="55" s="1"/>
  <c r="E17" i="55" s="1"/>
  <c r="E119" i="56"/>
  <c r="E64" i="55"/>
  <c r="K512" i="50"/>
  <c r="K549" i="50"/>
  <c r="K166" i="19" s="1"/>
  <c r="M549" i="50"/>
  <c r="M166" i="19" s="1"/>
  <c r="L549" i="50"/>
  <c r="L166" i="19" s="1"/>
  <c r="J549" i="50"/>
  <c r="J166" i="19" s="1"/>
  <c r="I549" i="50"/>
  <c r="I166" i="19" s="1"/>
  <c r="H549" i="50"/>
  <c r="H166" i="19" s="1"/>
  <c r="G549" i="50"/>
  <c r="G166" i="19" s="1"/>
  <c r="N313" i="19"/>
  <c r="N126" i="19"/>
  <c r="O1335" i="19"/>
  <c r="O1154" i="19"/>
  <c r="O312" i="19"/>
  <c r="O311" i="19"/>
  <c r="O1176" i="19"/>
  <c r="N1174" i="19"/>
  <c r="N308" i="19"/>
  <c r="O313" i="19"/>
  <c r="N1340" i="19"/>
  <c r="O1340" i="19"/>
  <c r="N1335" i="19"/>
  <c r="N1176" i="19"/>
  <c r="O1174" i="19"/>
  <c r="N1154" i="19"/>
  <c r="N1056" i="19"/>
  <c r="N763" i="19"/>
  <c r="O763" i="19"/>
  <c r="O426" i="19"/>
  <c r="N426" i="19"/>
  <c r="N312" i="19"/>
  <c r="N311" i="19"/>
  <c r="O308" i="19"/>
  <c r="O1056" i="19"/>
  <c r="O126" i="19"/>
  <c r="M517" i="50"/>
  <c r="M300" i="19" s="1"/>
  <c r="L517" i="50"/>
  <c r="L300" i="19" s="1"/>
  <c r="K517" i="50"/>
  <c r="K300" i="19" s="1"/>
  <c r="J517" i="50"/>
  <c r="J300" i="19" s="1"/>
  <c r="I517" i="50"/>
  <c r="I300" i="19" s="1"/>
  <c r="H517" i="50"/>
  <c r="H300" i="19" s="1"/>
  <c r="G517" i="50"/>
  <c r="G300" i="19" s="1"/>
  <c r="M483" i="50"/>
  <c r="M124" i="19" s="1"/>
  <c r="K485" i="50"/>
  <c r="K723" i="19" s="1"/>
  <c r="L483" i="50"/>
  <c r="L124" i="19" s="1"/>
  <c r="J485" i="50"/>
  <c r="J723" i="19" s="1"/>
  <c r="K483" i="50"/>
  <c r="K124" i="19" s="1"/>
  <c r="I485" i="50"/>
  <c r="I723" i="19" s="1"/>
  <c r="H485" i="50"/>
  <c r="H723" i="19" s="1"/>
  <c r="E110" i="56" l="1"/>
  <c r="E111" i="56"/>
  <c r="N166" i="19"/>
  <c r="K307" i="19"/>
  <c r="N307" i="19" s="1"/>
  <c r="O166" i="19"/>
  <c r="N300" i="19"/>
  <c r="O300" i="19"/>
  <c r="N723" i="19"/>
  <c r="O723" i="19"/>
  <c r="O124" i="19"/>
  <c r="N124" i="19"/>
  <c r="A150" i="19"/>
  <c r="O307" i="19" l="1"/>
  <c r="G480" i="19"/>
  <c r="D230" i="36"/>
  <c r="D231" i="36"/>
  <c r="D232" i="36"/>
  <c r="D233" i="36"/>
  <c r="D234" i="36"/>
  <c r="D235" i="36"/>
  <c r="D236" i="36"/>
  <c r="D237" i="36"/>
  <c r="D238" i="36"/>
  <c r="N547" i="19"/>
  <c r="O547" i="19"/>
  <c r="N329" i="19"/>
  <c r="O329" i="19"/>
  <c r="N1190" i="19"/>
  <c r="O1190" i="19"/>
  <c r="N439" i="19"/>
  <c r="O439" i="19"/>
  <c r="B327" i="19"/>
  <c r="C327" i="19"/>
  <c r="D327" i="19"/>
  <c r="F327" i="19"/>
  <c r="G327" i="19"/>
  <c r="H327" i="19"/>
  <c r="I327" i="19"/>
  <c r="J327" i="19"/>
  <c r="K327" i="19"/>
  <c r="L327" i="19"/>
  <c r="M327" i="19"/>
  <c r="B328" i="19"/>
  <c r="C328" i="19"/>
  <c r="D328" i="19"/>
  <c r="F328" i="19"/>
  <c r="G328" i="19"/>
  <c r="H328" i="19"/>
  <c r="I328" i="19"/>
  <c r="J328" i="19"/>
  <c r="K328" i="19"/>
  <c r="L328" i="19"/>
  <c r="M328" i="19"/>
  <c r="B329" i="19"/>
  <c r="C329" i="19"/>
  <c r="D329" i="19"/>
  <c r="E329" i="19"/>
  <c r="F329" i="19"/>
  <c r="G329" i="19"/>
  <c r="B330" i="19"/>
  <c r="C330" i="19"/>
  <c r="D330" i="19"/>
  <c r="E330" i="19"/>
  <c r="F330" i="19"/>
  <c r="G330" i="19"/>
  <c r="H330" i="19"/>
  <c r="I330" i="19"/>
  <c r="J330" i="19"/>
  <c r="K330" i="19"/>
  <c r="L330" i="19"/>
  <c r="M330" i="19"/>
  <c r="B326" i="19"/>
  <c r="C326" i="19"/>
  <c r="D326" i="19"/>
  <c r="F326" i="19"/>
  <c r="G326" i="19"/>
  <c r="H326" i="19"/>
  <c r="I326" i="19"/>
  <c r="J326" i="19"/>
  <c r="K326" i="19"/>
  <c r="L326" i="19"/>
  <c r="M326" i="19"/>
  <c r="B331" i="19"/>
  <c r="C331" i="19"/>
  <c r="D331" i="19"/>
  <c r="E331" i="19"/>
  <c r="F331" i="19"/>
  <c r="G331" i="19"/>
  <c r="B476" i="19"/>
  <c r="C476" i="19"/>
  <c r="D476" i="19"/>
  <c r="F476" i="19"/>
  <c r="G476" i="19"/>
  <c r="H476" i="19"/>
  <c r="I476" i="19"/>
  <c r="J476" i="19"/>
  <c r="K476" i="19"/>
  <c r="L476" i="19"/>
  <c r="M476" i="19"/>
  <c r="B477" i="19"/>
  <c r="C477" i="19"/>
  <c r="D477" i="19"/>
  <c r="F477" i="19"/>
  <c r="G477" i="19"/>
  <c r="H477" i="19"/>
  <c r="I477" i="19"/>
  <c r="J477" i="19"/>
  <c r="K477" i="19"/>
  <c r="L477" i="19"/>
  <c r="M477" i="19"/>
  <c r="B478" i="19"/>
  <c r="C478" i="19"/>
  <c r="D478" i="19"/>
  <c r="E478" i="19"/>
  <c r="F478" i="19"/>
  <c r="G478" i="19"/>
  <c r="B479" i="19"/>
  <c r="C479" i="19"/>
  <c r="D479" i="19"/>
  <c r="E479" i="19"/>
  <c r="F479" i="19"/>
  <c r="G479" i="19"/>
  <c r="H479" i="19"/>
  <c r="I479" i="19"/>
  <c r="J479" i="19"/>
  <c r="K479" i="19"/>
  <c r="L479" i="19"/>
  <c r="M479" i="19"/>
  <c r="B475" i="19"/>
  <c r="C475" i="19"/>
  <c r="D475" i="19"/>
  <c r="F475" i="19"/>
  <c r="G475" i="19"/>
  <c r="H475" i="19"/>
  <c r="I475" i="19"/>
  <c r="J475" i="19"/>
  <c r="K475" i="19"/>
  <c r="L475" i="19"/>
  <c r="M475" i="19"/>
  <c r="B480" i="19"/>
  <c r="C480" i="19"/>
  <c r="D480" i="19"/>
  <c r="E480" i="19"/>
  <c r="F480" i="19"/>
  <c r="B1188" i="19"/>
  <c r="C1188" i="19"/>
  <c r="D1188" i="19"/>
  <c r="F1188" i="19"/>
  <c r="G1188" i="19"/>
  <c r="H1188" i="19"/>
  <c r="I1188" i="19"/>
  <c r="J1188" i="19"/>
  <c r="K1188" i="19"/>
  <c r="L1188" i="19"/>
  <c r="M1188" i="19"/>
  <c r="B1189" i="19"/>
  <c r="C1189" i="19"/>
  <c r="D1189" i="19"/>
  <c r="F1189" i="19"/>
  <c r="G1189" i="19"/>
  <c r="H1189" i="19"/>
  <c r="I1189" i="19"/>
  <c r="J1189" i="19"/>
  <c r="K1189" i="19"/>
  <c r="L1189" i="19"/>
  <c r="M1189" i="19"/>
  <c r="B1190" i="19"/>
  <c r="C1190" i="19"/>
  <c r="D1190" i="19"/>
  <c r="E1190" i="19"/>
  <c r="F1190" i="19"/>
  <c r="G1190" i="19"/>
  <c r="B1191" i="19"/>
  <c r="C1191" i="19"/>
  <c r="D1191" i="19"/>
  <c r="E1191" i="19"/>
  <c r="F1191" i="19"/>
  <c r="G1191" i="19"/>
  <c r="H1191" i="19"/>
  <c r="I1191" i="19"/>
  <c r="J1191" i="19"/>
  <c r="K1191" i="19"/>
  <c r="L1191" i="19"/>
  <c r="M1191" i="19"/>
  <c r="B1193" i="19"/>
  <c r="C1193" i="19"/>
  <c r="D1193" i="19"/>
  <c r="F1193" i="19"/>
  <c r="G1193" i="19"/>
  <c r="H1193" i="19"/>
  <c r="I1193" i="19"/>
  <c r="J1193" i="19"/>
  <c r="K1193" i="19"/>
  <c r="L1193" i="19"/>
  <c r="M1193" i="19"/>
  <c r="B1192" i="19"/>
  <c r="C1192" i="19"/>
  <c r="D1192" i="19"/>
  <c r="E1192" i="19"/>
  <c r="F1192" i="19"/>
  <c r="G1192" i="19"/>
  <c r="B440" i="19"/>
  <c r="C440" i="19"/>
  <c r="D440" i="19"/>
  <c r="E440" i="19"/>
  <c r="F440" i="19"/>
  <c r="G440" i="19"/>
  <c r="H440" i="19"/>
  <c r="I440" i="19"/>
  <c r="J440" i="19"/>
  <c r="K440" i="19"/>
  <c r="L440" i="19"/>
  <c r="M440" i="19"/>
  <c r="B439" i="19"/>
  <c r="C439" i="19"/>
  <c r="D439" i="19"/>
  <c r="E439" i="19"/>
  <c r="F439" i="19"/>
  <c r="B441" i="19"/>
  <c r="C441" i="19"/>
  <c r="D441" i="19"/>
  <c r="E441" i="19"/>
  <c r="F441" i="19"/>
  <c r="G441" i="19"/>
  <c r="H441" i="19"/>
  <c r="I441" i="19"/>
  <c r="J441" i="19"/>
  <c r="K441" i="19"/>
  <c r="L441" i="19"/>
  <c r="M441" i="19"/>
  <c r="B442" i="19"/>
  <c r="C442" i="19"/>
  <c r="D442" i="19"/>
  <c r="E442" i="19"/>
  <c r="F442" i="19"/>
  <c r="G442" i="19"/>
  <c r="H442" i="19"/>
  <c r="I442" i="19"/>
  <c r="J442" i="19"/>
  <c r="K442" i="19"/>
  <c r="L442" i="19"/>
  <c r="M442" i="19"/>
  <c r="B443" i="19"/>
  <c r="C443" i="19"/>
  <c r="D443" i="19"/>
  <c r="E443" i="19"/>
  <c r="F443" i="19"/>
  <c r="G443" i="19"/>
  <c r="H443" i="19"/>
  <c r="I443" i="19"/>
  <c r="J443" i="19"/>
  <c r="K443" i="19"/>
  <c r="L443" i="19"/>
  <c r="M443" i="19"/>
  <c r="A328" i="19"/>
  <c r="A329" i="19"/>
  <c r="A330" i="19"/>
  <c r="A326" i="19"/>
  <c r="A331" i="19"/>
  <c r="A476" i="19"/>
  <c r="A477" i="19"/>
  <c r="A478" i="19"/>
  <c r="A479" i="19"/>
  <c r="A475" i="19"/>
  <c r="A480" i="19"/>
  <c r="A1188" i="19"/>
  <c r="A1189" i="19"/>
  <c r="A1190" i="19"/>
  <c r="A1191" i="19"/>
  <c r="A1193" i="19"/>
  <c r="A1192" i="19"/>
  <c r="A440" i="19"/>
  <c r="A439" i="19"/>
  <c r="A441" i="19"/>
  <c r="A442" i="19"/>
  <c r="A443" i="19"/>
  <c r="A327" i="19"/>
  <c r="B486" i="19"/>
  <c r="C486" i="19"/>
  <c r="D486" i="19"/>
  <c r="F486" i="19"/>
  <c r="G486" i="19"/>
  <c r="H486" i="19"/>
  <c r="I486" i="19"/>
  <c r="J486" i="19"/>
  <c r="K486" i="19"/>
  <c r="L486" i="19"/>
  <c r="M486" i="19"/>
  <c r="B1186" i="19"/>
  <c r="C1186" i="19"/>
  <c r="D1186" i="19"/>
  <c r="F1186" i="19"/>
  <c r="G1186" i="19"/>
  <c r="H1186" i="19"/>
  <c r="I1186" i="19"/>
  <c r="J1186" i="19"/>
  <c r="K1186" i="19"/>
  <c r="L1186" i="19"/>
  <c r="M1186" i="19"/>
  <c r="B1277" i="19"/>
  <c r="C1277" i="19"/>
  <c r="D1277" i="19"/>
  <c r="E1277" i="19"/>
  <c r="F1277" i="19"/>
  <c r="G1277" i="19"/>
  <c r="H1277" i="19"/>
  <c r="I1277" i="19"/>
  <c r="J1277" i="19"/>
  <c r="K1277" i="19"/>
  <c r="L1277" i="19"/>
  <c r="M1277" i="19"/>
  <c r="A1186" i="19"/>
  <c r="A1277" i="19"/>
  <c r="A486" i="19"/>
  <c r="B182" i="26"/>
  <c r="B174" i="26"/>
  <c r="E218" i="26"/>
  <c r="D26" i="53"/>
  <c r="D25" i="53"/>
  <c r="E198" i="50"/>
  <c r="E199" i="50"/>
  <c r="E200" i="50"/>
  <c r="E201" i="50"/>
  <c r="E202" i="50"/>
  <c r="E203" i="50"/>
  <c r="E204" i="50"/>
  <c r="E205" i="50"/>
  <c r="E206" i="50"/>
  <c r="E207" i="50"/>
  <c r="E208" i="50"/>
  <c r="E209" i="50"/>
  <c r="E210" i="50"/>
  <c r="E211" i="50"/>
  <c r="E212" i="50"/>
  <c r="E213" i="50"/>
  <c r="E214" i="50"/>
  <c r="E215" i="50"/>
  <c r="E216" i="50"/>
  <c r="E217" i="50"/>
  <c r="E218" i="50"/>
  <c r="E219" i="50"/>
  <c r="E220" i="50"/>
  <c r="E221" i="50"/>
  <c r="E222" i="50"/>
  <c r="E223" i="50"/>
  <c r="E224" i="50"/>
  <c r="E225" i="50"/>
  <c r="E226" i="50"/>
  <c r="E227" i="50"/>
  <c r="E228" i="50"/>
  <c r="E229" i="50"/>
  <c r="E230" i="50"/>
  <c r="E231" i="50"/>
  <c r="E232" i="50"/>
  <c r="E233" i="50"/>
  <c r="E234" i="50"/>
  <c r="E235" i="50"/>
  <c r="E236" i="50"/>
  <c r="E237" i="50"/>
  <c r="E238" i="50"/>
  <c r="E239" i="50"/>
  <c r="E240" i="50"/>
  <c r="E241" i="50"/>
  <c r="E242" i="50"/>
  <c r="E243" i="50"/>
  <c r="E244" i="50"/>
  <c r="E245" i="50"/>
  <c r="E246" i="50"/>
  <c r="E247" i="50"/>
  <c r="E248" i="50"/>
  <c r="E249" i="50"/>
  <c r="E250" i="50"/>
  <c r="E251" i="50"/>
  <c r="E252" i="50"/>
  <c r="E253" i="50"/>
  <c r="E254" i="50"/>
  <c r="E255" i="50"/>
  <c r="E256" i="50"/>
  <c r="E257" i="50"/>
  <c r="E258" i="50"/>
  <c r="E259" i="50"/>
  <c r="E260" i="50"/>
  <c r="E261" i="50"/>
  <c r="E262" i="50"/>
  <c r="E263" i="50"/>
  <c r="E264" i="50"/>
  <c r="E265" i="50"/>
  <c r="E266" i="50"/>
  <c r="E267" i="50"/>
  <c r="E268" i="50"/>
  <c r="E269" i="50"/>
  <c r="E270" i="50"/>
  <c r="E271" i="50"/>
  <c r="E272" i="50"/>
  <c r="E273" i="50"/>
  <c r="E274" i="50"/>
  <c r="E275" i="50"/>
  <c r="E276" i="50"/>
  <c r="E277" i="50"/>
  <c r="E278" i="50"/>
  <c r="E279" i="50"/>
  <c r="E280" i="50"/>
  <c r="E197" i="50"/>
  <c r="D198" i="50"/>
  <c r="D199" i="50"/>
  <c r="D200" i="50"/>
  <c r="D201" i="50"/>
  <c r="D202" i="50"/>
  <c r="D203" i="50"/>
  <c r="D204" i="50"/>
  <c r="D205" i="50"/>
  <c r="D206" i="50"/>
  <c r="D207" i="50"/>
  <c r="D208" i="50"/>
  <c r="D209" i="50"/>
  <c r="D210" i="50"/>
  <c r="D211" i="50"/>
  <c r="D212" i="50"/>
  <c r="D213" i="50"/>
  <c r="D214" i="50"/>
  <c r="D215" i="50"/>
  <c r="D216" i="50"/>
  <c r="D217" i="50"/>
  <c r="D218" i="50"/>
  <c r="D219" i="50"/>
  <c r="D220" i="50"/>
  <c r="D221" i="50"/>
  <c r="D222" i="50"/>
  <c r="D223" i="50"/>
  <c r="D224" i="50"/>
  <c r="D225" i="50"/>
  <c r="D226" i="50"/>
  <c r="D227" i="50"/>
  <c r="D228" i="50"/>
  <c r="D229" i="50"/>
  <c r="D230" i="50"/>
  <c r="D231" i="50"/>
  <c r="D232" i="50"/>
  <c r="D233" i="50"/>
  <c r="D234" i="50"/>
  <c r="D235" i="50"/>
  <c r="D236" i="50"/>
  <c r="D237" i="50"/>
  <c r="D238" i="50"/>
  <c r="D239" i="50"/>
  <c r="D240" i="50"/>
  <c r="D241" i="50"/>
  <c r="D242" i="50"/>
  <c r="D243" i="50"/>
  <c r="D244" i="50"/>
  <c r="D245" i="50"/>
  <c r="D246" i="50"/>
  <c r="D247" i="50"/>
  <c r="D248" i="50"/>
  <c r="D249" i="50"/>
  <c r="D250" i="50"/>
  <c r="D251" i="50"/>
  <c r="D252" i="50"/>
  <c r="D253" i="50"/>
  <c r="D254" i="50"/>
  <c r="D255" i="50"/>
  <c r="D256" i="50"/>
  <c r="D257" i="50"/>
  <c r="D258" i="50"/>
  <c r="D259" i="50"/>
  <c r="D260" i="50"/>
  <c r="D261" i="50"/>
  <c r="D262" i="50"/>
  <c r="D263" i="50"/>
  <c r="D264" i="50"/>
  <c r="D265" i="50"/>
  <c r="D266" i="50"/>
  <c r="D267" i="50"/>
  <c r="D268" i="50"/>
  <c r="D269" i="50"/>
  <c r="D270" i="50"/>
  <c r="D271" i="50"/>
  <c r="D272" i="50"/>
  <c r="D273" i="50"/>
  <c r="D274" i="50"/>
  <c r="D275" i="50"/>
  <c r="D276" i="50"/>
  <c r="D277" i="50"/>
  <c r="D278" i="50"/>
  <c r="D279" i="50"/>
  <c r="D280" i="50"/>
  <c r="D197" i="50"/>
  <c r="C197" i="50"/>
  <c r="C2" i="52" s="1"/>
  <c r="C198" i="50"/>
  <c r="C3" i="52" s="1"/>
  <c r="C199" i="50"/>
  <c r="C4" i="52" s="1"/>
  <c r="C200" i="50"/>
  <c r="C5" i="52" s="1"/>
  <c r="C201" i="50"/>
  <c r="C6" i="52" s="1"/>
  <c r="C202" i="50"/>
  <c r="C7" i="52" s="1"/>
  <c r="C203" i="50"/>
  <c r="C8" i="52" s="1"/>
  <c r="C204" i="50"/>
  <c r="C9" i="52" s="1"/>
  <c r="C205" i="50"/>
  <c r="C10" i="52" s="1"/>
  <c r="C206" i="50"/>
  <c r="C11" i="52" s="1"/>
  <c r="C207" i="50"/>
  <c r="C12" i="52" s="1"/>
  <c r="C208" i="50"/>
  <c r="C13" i="52" s="1"/>
  <c r="C209" i="50"/>
  <c r="C14" i="52" s="1"/>
  <c r="C210" i="50"/>
  <c r="C15" i="52" s="1"/>
  <c r="C211" i="50"/>
  <c r="C16" i="52" s="1"/>
  <c r="C212" i="50"/>
  <c r="C17" i="52" s="1"/>
  <c r="C213" i="50"/>
  <c r="C18" i="52" s="1"/>
  <c r="C214" i="50"/>
  <c r="C19" i="52" s="1"/>
  <c r="C215" i="50"/>
  <c r="C20" i="52" s="1"/>
  <c r="C216" i="50"/>
  <c r="C21" i="52" s="1"/>
  <c r="C217" i="50"/>
  <c r="C22" i="52" s="1"/>
  <c r="C218" i="50"/>
  <c r="C23" i="52" s="1"/>
  <c r="C219" i="50"/>
  <c r="C24" i="52" s="1"/>
  <c r="C220" i="50"/>
  <c r="C25" i="52" s="1"/>
  <c r="C221" i="50"/>
  <c r="C26" i="52" s="1"/>
  <c r="C222" i="50"/>
  <c r="C27" i="52" s="1"/>
  <c r="C223" i="50"/>
  <c r="C28" i="52" s="1"/>
  <c r="C224" i="50"/>
  <c r="C29" i="52" s="1"/>
  <c r="C225" i="50"/>
  <c r="C30" i="52" s="1"/>
  <c r="C226" i="50"/>
  <c r="C31" i="52" s="1"/>
  <c r="C227" i="50"/>
  <c r="C32" i="52" s="1"/>
  <c r="C228" i="50"/>
  <c r="C33" i="52" s="1"/>
  <c r="C229" i="50"/>
  <c r="C34" i="52" s="1"/>
  <c r="C230" i="50"/>
  <c r="C35" i="52" s="1"/>
  <c r="C231" i="50"/>
  <c r="C36" i="52" s="1"/>
  <c r="C232" i="50"/>
  <c r="C37" i="52" s="1"/>
  <c r="C233" i="50"/>
  <c r="C38" i="52" s="1"/>
  <c r="C234" i="50"/>
  <c r="C39" i="52" s="1"/>
  <c r="C235" i="50"/>
  <c r="C40" i="52" s="1"/>
  <c r="C236" i="50"/>
  <c r="C41" i="52" s="1"/>
  <c r="C237" i="50"/>
  <c r="C42" i="52" s="1"/>
  <c r="C238" i="50"/>
  <c r="C43" i="52" s="1"/>
  <c r="C239" i="50"/>
  <c r="C44" i="52" s="1"/>
  <c r="C240" i="50"/>
  <c r="C45" i="52" s="1"/>
  <c r="C241" i="50"/>
  <c r="C46" i="52" s="1"/>
  <c r="C242" i="50"/>
  <c r="C47" i="52" s="1"/>
  <c r="C243" i="50"/>
  <c r="C48" i="52" s="1"/>
  <c r="C244" i="50"/>
  <c r="C49" i="52" s="1"/>
  <c r="C245" i="50"/>
  <c r="C50" i="52" s="1"/>
  <c r="C246" i="50"/>
  <c r="C51" i="52" s="1"/>
  <c r="C247" i="50"/>
  <c r="C52" i="52" s="1"/>
  <c r="C248" i="50"/>
  <c r="C53" i="52" s="1"/>
  <c r="C249" i="50"/>
  <c r="C54" i="52" s="1"/>
  <c r="C250" i="50"/>
  <c r="C55" i="52" s="1"/>
  <c r="C251" i="50"/>
  <c r="C56" i="52" s="1"/>
  <c r="C252" i="50"/>
  <c r="C57" i="52" s="1"/>
  <c r="C253" i="50"/>
  <c r="C58" i="52" s="1"/>
  <c r="C254" i="50"/>
  <c r="C59" i="52" s="1"/>
  <c r="C255" i="50"/>
  <c r="C60" i="52" s="1"/>
  <c r="C256" i="50"/>
  <c r="C61" i="52" s="1"/>
  <c r="C257" i="50"/>
  <c r="C62" i="52" s="1"/>
  <c r="C258" i="50"/>
  <c r="C63" i="52" s="1"/>
  <c r="C259" i="50"/>
  <c r="C64" i="52" s="1"/>
  <c r="C260" i="50"/>
  <c r="C65" i="52" s="1"/>
  <c r="C261" i="50"/>
  <c r="C66" i="52" s="1"/>
  <c r="C262" i="50"/>
  <c r="C67" i="52" s="1"/>
  <c r="C263" i="50"/>
  <c r="C68" i="52" s="1"/>
  <c r="C264" i="50"/>
  <c r="C69" i="52" s="1"/>
  <c r="C265" i="50"/>
  <c r="C70" i="52" s="1"/>
  <c r="C266" i="50"/>
  <c r="C71" i="52" s="1"/>
  <c r="C267" i="50"/>
  <c r="C72" i="52" s="1"/>
  <c r="C268" i="50"/>
  <c r="C73" i="52" s="1"/>
  <c r="C269" i="50"/>
  <c r="C74" i="52" s="1"/>
  <c r="C270" i="50"/>
  <c r="C75" i="52" s="1"/>
  <c r="C271" i="50"/>
  <c r="C76" i="52" s="1"/>
  <c r="C272" i="50"/>
  <c r="C77" i="52" s="1"/>
  <c r="C273" i="50"/>
  <c r="C78" i="52" s="1"/>
  <c r="C274" i="50"/>
  <c r="C79" i="52" s="1"/>
  <c r="C275" i="50"/>
  <c r="C80" i="52" s="1"/>
  <c r="C276" i="50"/>
  <c r="C81" i="52" s="1"/>
  <c r="C277" i="50"/>
  <c r="C82" i="52" s="1"/>
  <c r="C278" i="50"/>
  <c r="C83" i="52" s="1"/>
  <c r="C279" i="50"/>
  <c r="C84" i="52" s="1"/>
  <c r="C280" i="50"/>
  <c r="C85" i="52" s="1"/>
  <c r="B262" i="50"/>
  <c r="B67" i="52" s="1"/>
  <c r="B263" i="50"/>
  <c r="B68" i="52" s="1"/>
  <c r="B264" i="50"/>
  <c r="B69" i="52" s="1"/>
  <c r="B265" i="50"/>
  <c r="B70" i="52" s="1"/>
  <c r="B266" i="50"/>
  <c r="B71" i="52" s="1"/>
  <c r="B267" i="50"/>
  <c r="B72" i="52" s="1"/>
  <c r="B268" i="50"/>
  <c r="B73" i="52" s="1"/>
  <c r="B269" i="50"/>
  <c r="B74" i="52" s="1"/>
  <c r="B270" i="50"/>
  <c r="B75" i="52" s="1"/>
  <c r="B271" i="50"/>
  <c r="B76" i="52" s="1"/>
  <c r="B272" i="50"/>
  <c r="B77" i="52" s="1"/>
  <c r="B273" i="50"/>
  <c r="B78" i="52" s="1"/>
  <c r="B274" i="50"/>
  <c r="B79" i="52" s="1"/>
  <c r="B275" i="50"/>
  <c r="B80" i="52" s="1"/>
  <c r="B276" i="50"/>
  <c r="B81" i="52" s="1"/>
  <c r="B277" i="50"/>
  <c r="B82" i="52" s="1"/>
  <c r="B278" i="50"/>
  <c r="B83" i="52" s="1"/>
  <c r="B279" i="50"/>
  <c r="B84" i="52" s="1"/>
  <c r="B280" i="50"/>
  <c r="B85" i="52" s="1"/>
  <c r="B245" i="50"/>
  <c r="B50" i="52" s="1"/>
  <c r="B246" i="50"/>
  <c r="B51" i="52" s="1"/>
  <c r="B247" i="50"/>
  <c r="B52" i="52" s="1"/>
  <c r="B248" i="50"/>
  <c r="B53" i="52" s="1"/>
  <c r="B249" i="50"/>
  <c r="B54" i="52" s="1"/>
  <c r="B250" i="50"/>
  <c r="B55" i="52" s="1"/>
  <c r="B251" i="50"/>
  <c r="B56" i="52" s="1"/>
  <c r="B252" i="50"/>
  <c r="B57" i="52" s="1"/>
  <c r="B253" i="50"/>
  <c r="B58" i="52" s="1"/>
  <c r="B254" i="50"/>
  <c r="B59" i="52" s="1"/>
  <c r="B255" i="50"/>
  <c r="B60" i="52" s="1"/>
  <c r="B256" i="50"/>
  <c r="B61" i="52" s="1"/>
  <c r="B257" i="50"/>
  <c r="B258" i="50"/>
  <c r="B259" i="50"/>
  <c r="B260" i="50"/>
  <c r="B261" i="50"/>
  <c r="B66" i="52" s="1"/>
  <c r="B231" i="50"/>
  <c r="B36" i="52" s="1"/>
  <c r="B232" i="50"/>
  <c r="B37" i="52" s="1"/>
  <c r="B233" i="50"/>
  <c r="B38" i="52" s="1"/>
  <c r="B234" i="50"/>
  <c r="B39" i="52" s="1"/>
  <c r="B235" i="50"/>
  <c r="B40" i="52" s="1"/>
  <c r="B236" i="50"/>
  <c r="B41" i="52" s="1"/>
  <c r="B237" i="50"/>
  <c r="B42" i="52" s="1"/>
  <c r="B238" i="50"/>
  <c r="B43" i="52" s="1"/>
  <c r="B239" i="50"/>
  <c r="B44" i="52" s="1"/>
  <c r="B240" i="50"/>
  <c r="B45" i="52" s="1"/>
  <c r="B241" i="50"/>
  <c r="B46" i="52" s="1"/>
  <c r="B242" i="50"/>
  <c r="B47" i="52" s="1"/>
  <c r="B243" i="50"/>
  <c r="B48" i="52" s="1"/>
  <c r="B244" i="50"/>
  <c r="B49" i="52" s="1"/>
  <c r="B198" i="50"/>
  <c r="B3" i="52" s="1"/>
  <c r="B199" i="50"/>
  <c r="B4" i="52" s="1"/>
  <c r="B200" i="50"/>
  <c r="B5" i="52" s="1"/>
  <c r="B201" i="50"/>
  <c r="B6" i="52" s="1"/>
  <c r="B202" i="50"/>
  <c r="B7" i="52" s="1"/>
  <c r="B203" i="50"/>
  <c r="B8" i="52" s="1"/>
  <c r="B204" i="50"/>
  <c r="B9" i="52" s="1"/>
  <c r="B205" i="50"/>
  <c r="B10" i="52" s="1"/>
  <c r="B206" i="50"/>
  <c r="B11" i="52" s="1"/>
  <c r="B207" i="50"/>
  <c r="B12" i="52" s="1"/>
  <c r="B208" i="50"/>
  <c r="B13" i="52" s="1"/>
  <c r="B209" i="50"/>
  <c r="B14" i="52" s="1"/>
  <c r="B210" i="50"/>
  <c r="B15" i="52" s="1"/>
  <c r="B211" i="50"/>
  <c r="B16" i="52" s="1"/>
  <c r="B212" i="50"/>
  <c r="B17" i="52" s="1"/>
  <c r="B213" i="50"/>
  <c r="B18" i="52" s="1"/>
  <c r="B214" i="50"/>
  <c r="B19" i="52" s="1"/>
  <c r="B215" i="50"/>
  <c r="B20" i="52" s="1"/>
  <c r="B216" i="50"/>
  <c r="B21" i="52" s="1"/>
  <c r="B217" i="50"/>
  <c r="B22" i="52" s="1"/>
  <c r="B218" i="50"/>
  <c r="B23" i="52" s="1"/>
  <c r="B219" i="50"/>
  <c r="B24" i="52" s="1"/>
  <c r="B220" i="50"/>
  <c r="B25" i="52" s="1"/>
  <c r="B221" i="50"/>
  <c r="B26" i="52" s="1"/>
  <c r="B222" i="50"/>
  <c r="B27" i="52" s="1"/>
  <c r="B223" i="50"/>
  <c r="B28" i="52" s="1"/>
  <c r="B224" i="50"/>
  <c r="B29" i="52" s="1"/>
  <c r="B225" i="50"/>
  <c r="B30" i="52" s="1"/>
  <c r="B226" i="50"/>
  <c r="B31" i="52" s="1"/>
  <c r="B227" i="50"/>
  <c r="B32" i="52" s="1"/>
  <c r="B228" i="50"/>
  <c r="B33" i="52" s="1"/>
  <c r="B229" i="50"/>
  <c r="B34" i="52" s="1"/>
  <c r="B230" i="50"/>
  <c r="B35" i="52" s="1"/>
  <c r="B197" i="50"/>
  <c r="B2" i="52" s="1"/>
  <c r="D100" i="25"/>
  <c r="D99" i="25"/>
  <c r="D98" i="25"/>
  <c r="D97" i="25"/>
  <c r="D96" i="25"/>
  <c r="D95" i="25"/>
  <c r="D94" i="25"/>
  <c r="D3" i="25"/>
  <c r="D4" i="25"/>
  <c r="D5" i="25"/>
  <c r="D6" i="25"/>
  <c r="D7" i="25"/>
  <c r="D8" i="25"/>
  <c r="D9" i="25"/>
  <c r="D10" i="25"/>
  <c r="D11" i="25"/>
  <c r="D12" i="25"/>
  <c r="D13" i="25"/>
  <c r="D14" i="25"/>
  <c r="D15" i="25"/>
  <c r="D16" i="25"/>
  <c r="D17" i="25"/>
  <c r="D18" i="25"/>
  <c r="D19" i="25"/>
  <c r="D20" i="25"/>
  <c r="D21" i="25"/>
  <c r="D22" i="25"/>
  <c r="D23" i="25"/>
  <c r="D24" i="25"/>
  <c r="D25" i="25"/>
  <c r="D26" i="25"/>
  <c r="D27" i="25"/>
  <c r="D28" i="25"/>
  <c r="D29" i="25"/>
  <c r="D30" i="25"/>
  <c r="D31" i="25"/>
  <c r="D32" i="25"/>
  <c r="D33" i="25"/>
  <c r="D34" i="25"/>
  <c r="D35" i="25"/>
  <c r="D36" i="25"/>
  <c r="D37" i="25"/>
  <c r="D38" i="25"/>
  <c r="D39" i="25"/>
  <c r="D40" i="25"/>
  <c r="D41" i="25"/>
  <c r="D42" i="25"/>
  <c r="D43" i="25"/>
  <c r="D44" i="25"/>
  <c r="D45" i="25"/>
  <c r="D46" i="25"/>
  <c r="D47" i="25"/>
  <c r="D48" i="25"/>
  <c r="D49" i="25"/>
  <c r="D50" i="25"/>
  <c r="D51" i="25"/>
  <c r="D52" i="25"/>
  <c r="D53" i="25"/>
  <c r="D54" i="25"/>
  <c r="D55" i="25"/>
  <c r="D56" i="25"/>
  <c r="D57" i="25"/>
  <c r="D58" i="25"/>
  <c r="D59" i="25"/>
  <c r="D60" i="25"/>
  <c r="D61" i="25"/>
  <c r="D62" i="25"/>
  <c r="D63" i="25"/>
  <c r="D64" i="25"/>
  <c r="D65" i="25"/>
  <c r="D66" i="25"/>
  <c r="D67" i="25"/>
  <c r="D68" i="25"/>
  <c r="D69" i="25"/>
  <c r="D70" i="25"/>
  <c r="D71" i="25"/>
  <c r="D72" i="25"/>
  <c r="D73" i="25"/>
  <c r="D74" i="25"/>
  <c r="D75" i="25"/>
  <c r="D76" i="25"/>
  <c r="D77" i="25"/>
  <c r="D78" i="25"/>
  <c r="D79" i="25"/>
  <c r="D80" i="25"/>
  <c r="D81" i="25"/>
  <c r="D82" i="25"/>
  <c r="D83" i="25"/>
  <c r="D84" i="25"/>
  <c r="D85" i="25"/>
  <c r="D86" i="25"/>
  <c r="D87" i="25"/>
  <c r="D88" i="25"/>
  <c r="D89" i="25"/>
  <c r="D90" i="25"/>
  <c r="D91" i="25"/>
  <c r="D92" i="25"/>
  <c r="D93" i="25"/>
  <c r="B88" i="25"/>
  <c r="C88" i="25" s="1"/>
  <c r="B89" i="25"/>
  <c r="B90" i="25"/>
  <c r="B91" i="25"/>
  <c r="B92" i="25"/>
  <c r="B93" i="25"/>
  <c r="B94" i="25"/>
  <c r="B95" i="25"/>
  <c r="B96" i="25"/>
  <c r="B97" i="25"/>
  <c r="B98" i="25"/>
  <c r="B99" i="25"/>
  <c r="B100" i="25"/>
  <c r="A89" i="25"/>
  <c r="A90" i="25"/>
  <c r="A91" i="25"/>
  <c r="A92" i="25"/>
  <c r="A93" i="25"/>
  <c r="A94" i="25"/>
  <c r="A95" i="25"/>
  <c r="A96" i="25"/>
  <c r="A97" i="25"/>
  <c r="A98" i="25"/>
  <c r="A99" i="25"/>
  <c r="A100" i="25"/>
  <c r="A88" i="25"/>
  <c r="O448" i="19"/>
  <c r="N448" i="19"/>
  <c r="O444" i="19"/>
  <c r="N444" i="19"/>
  <c r="N152" i="19"/>
  <c r="O152" i="19"/>
  <c r="H445" i="19"/>
  <c r="I445" i="19"/>
  <c r="J445" i="19"/>
  <c r="K445" i="19"/>
  <c r="L445" i="19"/>
  <c r="M445" i="19"/>
  <c r="H446" i="19"/>
  <c r="I446" i="19"/>
  <c r="J446" i="19"/>
  <c r="K446" i="19"/>
  <c r="L446" i="19"/>
  <c r="M446" i="19"/>
  <c r="H447" i="19"/>
  <c r="I447" i="19"/>
  <c r="J447" i="19"/>
  <c r="K447" i="19"/>
  <c r="L447" i="19"/>
  <c r="M447" i="19"/>
  <c r="B447" i="19"/>
  <c r="C447" i="19"/>
  <c r="D447" i="19"/>
  <c r="F447" i="19"/>
  <c r="G447" i="19"/>
  <c r="B448" i="19"/>
  <c r="C448" i="19"/>
  <c r="D448" i="19"/>
  <c r="E448" i="19"/>
  <c r="F448" i="19"/>
  <c r="G448" i="19"/>
  <c r="A448" i="19"/>
  <c r="A447" i="19"/>
  <c r="B444" i="19"/>
  <c r="C444" i="19"/>
  <c r="D444" i="19"/>
  <c r="E444" i="19"/>
  <c r="F444" i="19"/>
  <c r="G444" i="19"/>
  <c r="B445" i="19"/>
  <c r="C445" i="19"/>
  <c r="D445" i="19"/>
  <c r="E445" i="19"/>
  <c r="F445" i="19"/>
  <c r="G445" i="19"/>
  <c r="B446" i="19"/>
  <c r="C446" i="19"/>
  <c r="D446" i="19"/>
  <c r="E446" i="19"/>
  <c r="F446" i="19"/>
  <c r="G446" i="19"/>
  <c r="A445" i="19"/>
  <c r="A446" i="19"/>
  <c r="A444" i="19"/>
  <c r="E614" i="50"/>
  <c r="E447" i="19" s="1"/>
  <c r="N546" i="19"/>
  <c r="O546" i="19"/>
  <c r="O770" i="19"/>
  <c r="O768" i="19"/>
  <c r="O766" i="19"/>
  <c r="O149" i="19"/>
  <c r="H783" i="19"/>
  <c r="I783" i="19"/>
  <c r="J783" i="19"/>
  <c r="K783" i="19"/>
  <c r="L783" i="19"/>
  <c r="M783" i="19"/>
  <c r="H784" i="19"/>
  <c r="I784" i="19"/>
  <c r="J784" i="19"/>
  <c r="K784" i="19"/>
  <c r="L784" i="19"/>
  <c r="M784" i="19"/>
  <c r="I332" i="19"/>
  <c r="J332" i="19"/>
  <c r="K332" i="19"/>
  <c r="L332" i="19"/>
  <c r="M332" i="19"/>
  <c r="H332" i="19"/>
  <c r="G767" i="19"/>
  <c r="C550" i="50"/>
  <c r="C828" i="19" s="1"/>
  <c r="D550" i="50"/>
  <c r="D828" i="19" s="1"/>
  <c r="F550" i="50"/>
  <c r="F828" i="19" s="1"/>
  <c r="C551" i="50"/>
  <c r="C827" i="19" s="1"/>
  <c r="D551" i="50"/>
  <c r="D827" i="19" s="1"/>
  <c r="E551" i="50"/>
  <c r="E827" i="19" s="1"/>
  <c r="F551" i="50"/>
  <c r="F827" i="19" s="1"/>
  <c r="C552" i="50"/>
  <c r="C829" i="19" s="1"/>
  <c r="D552" i="50"/>
  <c r="D829" i="19" s="1"/>
  <c r="F552" i="50"/>
  <c r="F829" i="19" s="1"/>
  <c r="C553" i="50"/>
  <c r="C830" i="19" s="1"/>
  <c r="F553" i="50"/>
  <c r="F830" i="19" s="1"/>
  <c r="C554" i="50"/>
  <c r="C831" i="19" s="1"/>
  <c r="F554" i="50"/>
  <c r="F831" i="19" s="1"/>
  <c r="C555" i="50"/>
  <c r="C832" i="19" s="1"/>
  <c r="F555" i="50"/>
  <c r="F832" i="19" s="1"/>
  <c r="C556" i="50"/>
  <c r="C833" i="19" s="1"/>
  <c r="F556" i="50"/>
  <c r="F833" i="19" s="1"/>
  <c r="C557" i="50"/>
  <c r="C834" i="19" s="1"/>
  <c r="F557" i="50"/>
  <c r="F834" i="19" s="1"/>
  <c r="C558" i="50"/>
  <c r="C835" i="19" s="1"/>
  <c r="F558" i="50"/>
  <c r="F835" i="19" s="1"/>
  <c r="C559" i="50"/>
  <c r="C836" i="19" s="1"/>
  <c r="F559" i="50"/>
  <c r="F836" i="19" s="1"/>
  <c r="C560" i="50"/>
  <c r="C837" i="19" s="1"/>
  <c r="F560" i="50"/>
  <c r="F837" i="19" s="1"/>
  <c r="C561" i="50"/>
  <c r="C838" i="19" s="1"/>
  <c r="F561" i="50"/>
  <c r="F838" i="19" s="1"/>
  <c r="C562" i="50"/>
  <c r="C839" i="19" s="1"/>
  <c r="F562" i="50"/>
  <c r="F839" i="19" s="1"/>
  <c r="B551" i="50"/>
  <c r="B827" i="19" s="1"/>
  <c r="B552" i="50"/>
  <c r="B829" i="19" s="1"/>
  <c r="B553" i="50"/>
  <c r="B830" i="19" s="1"/>
  <c r="B554" i="50"/>
  <c r="B831" i="19" s="1"/>
  <c r="B555" i="50"/>
  <c r="B832" i="19" s="1"/>
  <c r="B556" i="50"/>
  <c r="B833" i="19" s="1"/>
  <c r="B557" i="50"/>
  <c r="B834" i="19" s="1"/>
  <c r="B558" i="50"/>
  <c r="B835" i="19" s="1"/>
  <c r="B559" i="50"/>
  <c r="B836" i="19" s="1"/>
  <c r="B560" i="50"/>
  <c r="B837" i="19" s="1"/>
  <c r="B561" i="50"/>
  <c r="B838" i="19" s="1"/>
  <c r="B562" i="50"/>
  <c r="B839" i="19" s="1"/>
  <c r="B550" i="50"/>
  <c r="B828" i="19" s="1"/>
  <c r="C536" i="50"/>
  <c r="C154" i="19" s="1"/>
  <c r="D536" i="50"/>
  <c r="D154" i="19" s="1"/>
  <c r="F536" i="50"/>
  <c r="F154" i="19" s="1"/>
  <c r="C537" i="50"/>
  <c r="C153" i="19" s="1"/>
  <c r="D537" i="50"/>
  <c r="D153" i="19" s="1"/>
  <c r="E537" i="50"/>
  <c r="E153" i="19" s="1"/>
  <c r="F537" i="50"/>
  <c r="F153" i="19" s="1"/>
  <c r="C538" i="50"/>
  <c r="C155" i="19" s="1"/>
  <c r="D538" i="50"/>
  <c r="D155" i="19" s="1"/>
  <c r="F538" i="50"/>
  <c r="F155" i="19" s="1"/>
  <c r="C539" i="50"/>
  <c r="C156" i="19" s="1"/>
  <c r="F539" i="50"/>
  <c r="F156" i="19" s="1"/>
  <c r="C540" i="50"/>
  <c r="C157" i="19" s="1"/>
  <c r="F540" i="50"/>
  <c r="F157" i="19" s="1"/>
  <c r="C541" i="50"/>
  <c r="C158" i="19" s="1"/>
  <c r="F541" i="50"/>
  <c r="F158" i="19" s="1"/>
  <c r="C542" i="50"/>
  <c r="C159" i="19" s="1"/>
  <c r="F542" i="50"/>
  <c r="F159" i="19" s="1"/>
  <c r="C543" i="50"/>
  <c r="C160" i="19" s="1"/>
  <c r="F543" i="50"/>
  <c r="F160" i="19" s="1"/>
  <c r="C544" i="50"/>
  <c r="C161" i="19" s="1"/>
  <c r="F544" i="50"/>
  <c r="F161" i="19" s="1"/>
  <c r="C545" i="50"/>
  <c r="C162" i="19" s="1"/>
  <c r="F545" i="50"/>
  <c r="F162" i="19" s="1"/>
  <c r="C546" i="50"/>
  <c r="C163" i="19" s="1"/>
  <c r="F546" i="50"/>
  <c r="F163" i="19" s="1"/>
  <c r="C547" i="50"/>
  <c r="C164" i="19" s="1"/>
  <c r="F547" i="50"/>
  <c r="F164" i="19" s="1"/>
  <c r="C548" i="50"/>
  <c r="C165" i="19" s="1"/>
  <c r="F548" i="50"/>
  <c r="F165" i="19" s="1"/>
  <c r="B541" i="50"/>
  <c r="B158" i="19" s="1"/>
  <c r="B542" i="50"/>
  <c r="B159" i="19" s="1"/>
  <c r="B543" i="50"/>
  <c r="B160" i="19" s="1"/>
  <c r="B544" i="50"/>
  <c r="B161" i="19" s="1"/>
  <c r="B545" i="50"/>
  <c r="B162" i="19" s="1"/>
  <c r="B546" i="50"/>
  <c r="B163" i="19" s="1"/>
  <c r="B547" i="50"/>
  <c r="B164" i="19" s="1"/>
  <c r="B548" i="50"/>
  <c r="B165" i="19" s="1"/>
  <c r="B537" i="50"/>
  <c r="B153" i="19" s="1"/>
  <c r="B538" i="50"/>
  <c r="B155" i="19" s="1"/>
  <c r="B539" i="50"/>
  <c r="B156" i="19" s="1"/>
  <c r="B540" i="50"/>
  <c r="B157" i="19" s="1"/>
  <c r="B536" i="50"/>
  <c r="B154" i="19" s="1"/>
  <c r="F524" i="50"/>
  <c r="F126" i="19" s="1"/>
  <c r="F525" i="50"/>
  <c r="F128" i="19" s="1"/>
  <c r="F526" i="50"/>
  <c r="F129" i="19" s="1"/>
  <c r="F527" i="50"/>
  <c r="F130" i="19" s="1"/>
  <c r="F528" i="50"/>
  <c r="F131" i="19" s="1"/>
  <c r="F529" i="50"/>
  <c r="F132" i="19" s="1"/>
  <c r="F530" i="50"/>
  <c r="F133" i="19" s="1"/>
  <c r="F531" i="50"/>
  <c r="F134" i="19" s="1"/>
  <c r="F532" i="50"/>
  <c r="F135" i="19" s="1"/>
  <c r="F533" i="50"/>
  <c r="F136" i="19" s="1"/>
  <c r="F534" i="50"/>
  <c r="F137" i="19" s="1"/>
  <c r="F535" i="50"/>
  <c r="F138" i="19" s="1"/>
  <c r="F523" i="50"/>
  <c r="F127" i="19" s="1"/>
  <c r="E524" i="50"/>
  <c r="E126" i="19" s="1"/>
  <c r="D524" i="50"/>
  <c r="D126" i="19" s="1"/>
  <c r="D525" i="50"/>
  <c r="D128" i="19" s="1"/>
  <c r="D523" i="50"/>
  <c r="D127" i="19" s="1"/>
  <c r="C524" i="50"/>
  <c r="C126" i="19" s="1"/>
  <c r="C525" i="50"/>
  <c r="C128" i="19" s="1"/>
  <c r="C526" i="50"/>
  <c r="C129" i="19" s="1"/>
  <c r="C527" i="50"/>
  <c r="C130" i="19" s="1"/>
  <c r="C528" i="50"/>
  <c r="C131" i="19" s="1"/>
  <c r="C529" i="50"/>
  <c r="C132" i="19" s="1"/>
  <c r="C530" i="50"/>
  <c r="C133" i="19" s="1"/>
  <c r="C531" i="50"/>
  <c r="C134" i="19" s="1"/>
  <c r="C532" i="50"/>
  <c r="C135" i="19" s="1"/>
  <c r="C533" i="50"/>
  <c r="C136" i="19" s="1"/>
  <c r="C534" i="50"/>
  <c r="C137" i="19" s="1"/>
  <c r="C535" i="50"/>
  <c r="C138" i="19" s="1"/>
  <c r="C523" i="50"/>
  <c r="C127" i="19" s="1"/>
  <c r="B524" i="50"/>
  <c r="B126" i="19" s="1"/>
  <c r="B525" i="50"/>
  <c r="B128" i="19" s="1"/>
  <c r="B526" i="50"/>
  <c r="B129" i="19" s="1"/>
  <c r="B527" i="50"/>
  <c r="B130" i="19" s="1"/>
  <c r="B528" i="50"/>
  <c r="B131" i="19" s="1"/>
  <c r="B529" i="50"/>
  <c r="B132" i="19" s="1"/>
  <c r="B530" i="50"/>
  <c r="B133" i="19" s="1"/>
  <c r="B531" i="50"/>
  <c r="B134" i="19" s="1"/>
  <c r="B532" i="50"/>
  <c r="B135" i="19" s="1"/>
  <c r="B533" i="50"/>
  <c r="B136" i="19" s="1"/>
  <c r="B534" i="50"/>
  <c r="B137" i="19" s="1"/>
  <c r="B535" i="50"/>
  <c r="B138" i="19" s="1"/>
  <c r="B523" i="50"/>
  <c r="B127" i="19" s="1"/>
  <c r="I526" i="50"/>
  <c r="I129" i="19" s="1"/>
  <c r="J526" i="50"/>
  <c r="J129" i="19" s="1"/>
  <c r="K526" i="50"/>
  <c r="K129" i="19" s="1"/>
  <c r="L526" i="50"/>
  <c r="L129" i="19" s="1"/>
  <c r="M526" i="50"/>
  <c r="M129" i="19" s="1"/>
  <c r="I527" i="50"/>
  <c r="I130" i="19" s="1"/>
  <c r="J527" i="50"/>
  <c r="J130" i="19" s="1"/>
  <c r="K527" i="50"/>
  <c r="K130" i="19" s="1"/>
  <c r="L527" i="50"/>
  <c r="L130" i="19" s="1"/>
  <c r="M527" i="50"/>
  <c r="M130" i="19" s="1"/>
  <c r="I528" i="50"/>
  <c r="I131" i="19" s="1"/>
  <c r="J541" i="50"/>
  <c r="J158" i="19" s="1"/>
  <c r="K541" i="50"/>
  <c r="K158" i="19" s="1"/>
  <c r="L541" i="50"/>
  <c r="L158" i="19" s="1"/>
  <c r="M528" i="50"/>
  <c r="M131" i="19" s="1"/>
  <c r="I529" i="50"/>
  <c r="I132" i="19" s="1"/>
  <c r="J529" i="50"/>
  <c r="J132" i="19" s="1"/>
  <c r="K529" i="50"/>
  <c r="K132" i="19" s="1"/>
  <c r="L529" i="50"/>
  <c r="L132" i="19" s="1"/>
  <c r="M529" i="50"/>
  <c r="M132" i="19" s="1"/>
  <c r="I543" i="50"/>
  <c r="I160" i="19" s="1"/>
  <c r="J530" i="50"/>
  <c r="J133" i="19" s="1"/>
  <c r="K543" i="50"/>
  <c r="K160" i="19" s="1"/>
  <c r="L543" i="50"/>
  <c r="L160" i="19" s="1"/>
  <c r="M530" i="50"/>
  <c r="M133" i="19" s="1"/>
  <c r="I531" i="50"/>
  <c r="I134" i="19" s="1"/>
  <c r="J531" i="50"/>
  <c r="J134" i="19" s="1"/>
  <c r="K531" i="50"/>
  <c r="K134" i="19" s="1"/>
  <c r="L531" i="50"/>
  <c r="L134" i="19" s="1"/>
  <c r="M531" i="50"/>
  <c r="M134" i="19" s="1"/>
  <c r="I532" i="50"/>
  <c r="I135" i="19" s="1"/>
  <c r="J545" i="50"/>
  <c r="J162" i="19" s="1"/>
  <c r="K532" i="50"/>
  <c r="K135" i="19" s="1"/>
  <c r="L532" i="50"/>
  <c r="L135" i="19" s="1"/>
  <c r="M532" i="50"/>
  <c r="M135" i="19" s="1"/>
  <c r="I533" i="50"/>
  <c r="I136" i="19" s="1"/>
  <c r="J533" i="50"/>
  <c r="J136" i="19" s="1"/>
  <c r="K533" i="50"/>
  <c r="K136" i="19" s="1"/>
  <c r="L533" i="50"/>
  <c r="L136" i="19" s="1"/>
  <c r="M533" i="50"/>
  <c r="M136" i="19" s="1"/>
  <c r="H527" i="50"/>
  <c r="H130" i="19" s="1"/>
  <c r="H528" i="50"/>
  <c r="H131" i="19" s="1"/>
  <c r="H529" i="50"/>
  <c r="H132" i="19" s="1"/>
  <c r="H543" i="50"/>
  <c r="H160" i="19" s="1"/>
  <c r="H531" i="50"/>
  <c r="H134" i="19" s="1"/>
  <c r="H532" i="50"/>
  <c r="H135" i="19" s="1"/>
  <c r="H533" i="50"/>
  <c r="H136" i="19" s="1"/>
  <c r="H526" i="50"/>
  <c r="H129" i="19" s="1"/>
  <c r="M535" i="50"/>
  <c r="M138" i="19" s="1"/>
  <c r="I535" i="50"/>
  <c r="I138" i="19" s="1"/>
  <c r="J535" i="50"/>
  <c r="J138" i="19" s="1"/>
  <c r="K535" i="50"/>
  <c r="K138" i="19" s="1"/>
  <c r="L535" i="50"/>
  <c r="L138" i="19" s="1"/>
  <c r="H535" i="50"/>
  <c r="H138" i="19" s="1"/>
  <c r="G540" i="50"/>
  <c r="G157" i="19" s="1"/>
  <c r="G528" i="50"/>
  <c r="G131" i="19" s="1"/>
  <c r="G529" i="50"/>
  <c r="G132" i="19" s="1"/>
  <c r="G530" i="50"/>
  <c r="G133" i="19" s="1"/>
  <c r="G531" i="50"/>
  <c r="G134" i="19" s="1"/>
  <c r="G545" i="50"/>
  <c r="G162" i="19" s="1"/>
  <c r="G533" i="50"/>
  <c r="G136" i="19" s="1"/>
  <c r="G526" i="50"/>
  <c r="G129" i="19" s="1"/>
  <c r="D535" i="50"/>
  <c r="D138" i="19" s="1"/>
  <c r="D534" i="50"/>
  <c r="D137" i="19" s="1"/>
  <c r="D527" i="50"/>
  <c r="D130" i="19" s="1"/>
  <c r="D528" i="50"/>
  <c r="D131" i="19" s="1"/>
  <c r="D529" i="50"/>
  <c r="D132" i="19" s="1"/>
  <c r="D543" i="50"/>
  <c r="D160" i="19" s="1"/>
  <c r="D531" i="50"/>
  <c r="D134" i="19" s="1"/>
  <c r="D532" i="50"/>
  <c r="D135" i="19" s="1"/>
  <c r="D533" i="50"/>
  <c r="D136" i="19" s="1"/>
  <c r="D526" i="50"/>
  <c r="D129" i="19" s="1"/>
  <c r="G535" i="50"/>
  <c r="G138" i="19" s="1"/>
  <c r="G534" i="50"/>
  <c r="G137" i="19" s="1"/>
  <c r="E535" i="50"/>
  <c r="E138" i="19" s="1"/>
  <c r="E547" i="50"/>
  <c r="E164" i="19" s="1"/>
  <c r="D229" i="36"/>
  <c r="B546" i="19"/>
  <c r="C546" i="19"/>
  <c r="D546" i="19"/>
  <c r="E546" i="19"/>
  <c r="F546" i="19"/>
  <c r="G546" i="19"/>
  <c r="B782" i="19"/>
  <c r="C782" i="19"/>
  <c r="D782" i="19"/>
  <c r="E782" i="19"/>
  <c r="F782" i="19"/>
  <c r="B783" i="19"/>
  <c r="C783" i="19"/>
  <c r="D783" i="19"/>
  <c r="F783" i="19"/>
  <c r="G783" i="19"/>
  <c r="B784" i="19"/>
  <c r="C784" i="19"/>
  <c r="D784" i="19"/>
  <c r="F784" i="19"/>
  <c r="G784" i="19"/>
  <c r="B547" i="19"/>
  <c r="C547" i="19"/>
  <c r="D547" i="19"/>
  <c r="E547" i="19"/>
  <c r="F547" i="19"/>
  <c r="G547" i="19"/>
  <c r="B549" i="19"/>
  <c r="C549" i="19"/>
  <c r="D549" i="19"/>
  <c r="E549" i="19"/>
  <c r="F549" i="19"/>
  <c r="G549" i="19"/>
  <c r="A546" i="19"/>
  <c r="A782" i="19"/>
  <c r="A783" i="19"/>
  <c r="A784" i="19"/>
  <c r="A547" i="19"/>
  <c r="A549" i="19"/>
  <c r="N326" i="19" l="1"/>
  <c r="O441" i="19"/>
  <c r="N441" i="19"/>
  <c r="O1193" i="19"/>
  <c r="O1188" i="19"/>
  <c r="N1193" i="19"/>
  <c r="N1188" i="19"/>
  <c r="O326" i="19"/>
  <c r="N136" i="19"/>
  <c r="N129" i="19"/>
  <c r="O136" i="19"/>
  <c r="N132" i="19"/>
  <c r="O132" i="19"/>
  <c r="O129" i="19"/>
  <c r="N1277" i="19"/>
  <c r="N477" i="19"/>
  <c r="O331" i="19"/>
  <c r="O1186" i="19"/>
  <c r="B64" i="52"/>
  <c r="B63" i="52"/>
  <c r="B62" i="52"/>
  <c r="B65" i="52"/>
  <c r="M508" i="50"/>
  <c r="M309" i="19" s="1"/>
  <c r="M518" i="50"/>
  <c r="M297" i="19" s="1"/>
  <c r="M514" i="50"/>
  <c r="M303" i="19" s="1"/>
  <c r="L508" i="50"/>
  <c r="L309" i="19" s="1"/>
  <c r="L518" i="50"/>
  <c r="L297" i="19" s="1"/>
  <c r="L514" i="50"/>
  <c r="L303" i="19" s="1"/>
  <c r="K508" i="50"/>
  <c r="K309" i="19" s="1"/>
  <c r="K518" i="50"/>
  <c r="K297" i="19" s="1"/>
  <c r="K514" i="50"/>
  <c r="K303" i="19" s="1"/>
  <c r="J508" i="50"/>
  <c r="J309" i="19" s="1"/>
  <c r="J518" i="50"/>
  <c r="J297" i="19" s="1"/>
  <c r="J514" i="50"/>
  <c r="J303" i="19" s="1"/>
  <c r="I508" i="50"/>
  <c r="I309" i="19" s="1"/>
  <c r="I518" i="50"/>
  <c r="I297" i="19" s="1"/>
  <c r="I514" i="50"/>
  <c r="I303" i="19" s="1"/>
  <c r="H508" i="50"/>
  <c r="H309" i="19" s="1"/>
  <c r="H518" i="50"/>
  <c r="H297" i="19" s="1"/>
  <c r="H514" i="50"/>
  <c r="H303" i="19" s="1"/>
  <c r="G518" i="50"/>
  <c r="G297" i="19" s="1"/>
  <c r="G514" i="50"/>
  <c r="G303" i="19" s="1"/>
  <c r="G508" i="50"/>
  <c r="G309" i="19" s="1"/>
  <c r="F518" i="50"/>
  <c r="F297" i="19" s="1"/>
  <c r="F514" i="50"/>
  <c r="F303" i="19" s="1"/>
  <c r="F508" i="50"/>
  <c r="F309" i="19" s="1"/>
  <c r="O1277" i="19"/>
  <c r="O442" i="19"/>
  <c r="N480" i="19"/>
  <c r="N475" i="19"/>
  <c r="N330" i="19"/>
  <c r="O443" i="19"/>
  <c r="O476" i="19"/>
  <c r="O486" i="19"/>
  <c r="O330" i="19"/>
  <c r="N331" i="19"/>
  <c r="N442" i="19"/>
  <c r="O477" i="19"/>
  <c r="N476" i="19"/>
  <c r="N328" i="19"/>
  <c r="N486" i="19"/>
  <c r="N1186" i="19"/>
  <c r="O1191" i="19"/>
  <c r="O440" i="19"/>
  <c r="O1192" i="19"/>
  <c r="N1191" i="19"/>
  <c r="N479" i="19"/>
  <c r="N440" i="19"/>
  <c r="N1192" i="19"/>
  <c r="N1189" i="19"/>
  <c r="N443" i="19"/>
  <c r="O1189" i="19"/>
  <c r="O480" i="19"/>
  <c r="O475" i="19"/>
  <c r="O479" i="19"/>
  <c r="O328" i="19"/>
  <c r="O445" i="19"/>
  <c r="N447" i="19"/>
  <c r="N445" i="19"/>
  <c r="O446" i="19"/>
  <c r="N446" i="19"/>
  <c r="O447" i="19"/>
  <c r="O783" i="19"/>
  <c r="N783" i="19"/>
  <c r="N784" i="19"/>
  <c r="O784" i="19"/>
  <c r="I562" i="50"/>
  <c r="I839" i="19" s="1"/>
  <c r="H562" i="50"/>
  <c r="H839" i="19" s="1"/>
  <c r="D558" i="50"/>
  <c r="D835" i="19" s="1"/>
  <c r="M554" i="50"/>
  <c r="M831" i="19" s="1"/>
  <c r="L554" i="50"/>
  <c r="L831" i="19" s="1"/>
  <c r="J554" i="50"/>
  <c r="J831" i="19" s="1"/>
  <c r="G561" i="50"/>
  <c r="G838" i="19" s="1"/>
  <c r="D557" i="50"/>
  <c r="D834" i="19" s="1"/>
  <c r="I554" i="50"/>
  <c r="I831" i="19" s="1"/>
  <c r="L556" i="50"/>
  <c r="L833" i="19" s="1"/>
  <c r="K556" i="50"/>
  <c r="K833" i="19" s="1"/>
  <c r="L553" i="50"/>
  <c r="L830" i="19" s="1"/>
  <c r="K553" i="50"/>
  <c r="K830" i="19" s="1"/>
  <c r="M555" i="50"/>
  <c r="M832" i="19" s="1"/>
  <c r="L562" i="50"/>
  <c r="L839" i="19" s="1"/>
  <c r="M558" i="50"/>
  <c r="M835" i="19" s="1"/>
  <c r="G562" i="50"/>
  <c r="G839" i="19" s="1"/>
  <c r="D559" i="50"/>
  <c r="D836" i="19" s="1"/>
  <c r="M556" i="50"/>
  <c r="M833" i="19" s="1"/>
  <c r="L555" i="50"/>
  <c r="L832" i="19" s="1"/>
  <c r="K554" i="50"/>
  <c r="K831" i="19" s="1"/>
  <c r="J553" i="50"/>
  <c r="J830" i="19" s="1"/>
  <c r="L546" i="50"/>
  <c r="L163" i="19" s="1"/>
  <c r="E561" i="50"/>
  <c r="E838" i="19" s="1"/>
  <c r="D560" i="50"/>
  <c r="D837" i="19" s="1"/>
  <c r="M557" i="50"/>
  <c r="M834" i="19" s="1"/>
  <c r="K555" i="50"/>
  <c r="K832" i="19" s="1"/>
  <c r="I553" i="50"/>
  <c r="I830" i="19" s="1"/>
  <c r="E562" i="50"/>
  <c r="E839" i="19" s="1"/>
  <c r="D561" i="50"/>
  <c r="D838" i="19" s="1"/>
  <c r="L557" i="50"/>
  <c r="L834" i="19" s="1"/>
  <c r="J555" i="50"/>
  <c r="J832" i="19" s="1"/>
  <c r="H553" i="50"/>
  <c r="H830" i="19" s="1"/>
  <c r="D562" i="50"/>
  <c r="D839" i="19" s="1"/>
  <c r="M559" i="50"/>
  <c r="M836" i="19" s="1"/>
  <c r="L558" i="50"/>
  <c r="L835" i="19" s="1"/>
  <c r="K557" i="50"/>
  <c r="K834" i="19" s="1"/>
  <c r="J556" i="50"/>
  <c r="J833" i="19" s="1"/>
  <c r="I555" i="50"/>
  <c r="I832" i="19" s="1"/>
  <c r="H554" i="50"/>
  <c r="H831" i="19" s="1"/>
  <c r="G553" i="50"/>
  <c r="G830" i="19" s="1"/>
  <c r="M560" i="50"/>
  <c r="M837" i="19" s="1"/>
  <c r="L559" i="50"/>
  <c r="L836" i="19" s="1"/>
  <c r="K558" i="50"/>
  <c r="K835" i="19" s="1"/>
  <c r="J557" i="50"/>
  <c r="J834" i="19" s="1"/>
  <c r="I556" i="50"/>
  <c r="I833" i="19" s="1"/>
  <c r="H555" i="50"/>
  <c r="H832" i="19" s="1"/>
  <c r="G554" i="50"/>
  <c r="G831" i="19" s="1"/>
  <c r="D539" i="50"/>
  <c r="D156" i="19" s="1"/>
  <c r="L560" i="50"/>
  <c r="L837" i="19" s="1"/>
  <c r="K559" i="50"/>
  <c r="K836" i="19" s="1"/>
  <c r="J558" i="50"/>
  <c r="J835" i="19" s="1"/>
  <c r="I557" i="50"/>
  <c r="I834" i="19" s="1"/>
  <c r="H556" i="50"/>
  <c r="H833" i="19" s="1"/>
  <c r="G555" i="50"/>
  <c r="G832" i="19" s="1"/>
  <c r="M562" i="50"/>
  <c r="M839" i="19" s="1"/>
  <c r="K560" i="50"/>
  <c r="K837" i="19" s="1"/>
  <c r="J559" i="50"/>
  <c r="J836" i="19" s="1"/>
  <c r="I558" i="50"/>
  <c r="I835" i="19" s="1"/>
  <c r="H557" i="50"/>
  <c r="H834" i="19" s="1"/>
  <c r="G556" i="50"/>
  <c r="G833" i="19" s="1"/>
  <c r="D553" i="50"/>
  <c r="D830" i="19" s="1"/>
  <c r="J532" i="50"/>
  <c r="J135" i="19" s="1"/>
  <c r="J560" i="50"/>
  <c r="J837" i="19" s="1"/>
  <c r="I559" i="50"/>
  <c r="I836" i="19" s="1"/>
  <c r="H558" i="50"/>
  <c r="H835" i="19" s="1"/>
  <c r="G557" i="50"/>
  <c r="G834" i="19" s="1"/>
  <c r="D554" i="50"/>
  <c r="D831" i="19" s="1"/>
  <c r="K562" i="50"/>
  <c r="K839" i="19" s="1"/>
  <c r="I560" i="50"/>
  <c r="I837" i="19" s="1"/>
  <c r="H559" i="50"/>
  <c r="H836" i="19" s="1"/>
  <c r="G558" i="50"/>
  <c r="G835" i="19" s="1"/>
  <c r="D555" i="50"/>
  <c r="D832" i="19" s="1"/>
  <c r="G560" i="50"/>
  <c r="G837" i="19" s="1"/>
  <c r="J562" i="50"/>
  <c r="J839" i="19" s="1"/>
  <c r="H560" i="50"/>
  <c r="H837" i="19" s="1"/>
  <c r="G559" i="50"/>
  <c r="G836" i="19" s="1"/>
  <c r="D556" i="50"/>
  <c r="D833" i="19" s="1"/>
  <c r="M553" i="50"/>
  <c r="M830" i="19" s="1"/>
  <c r="G532" i="50"/>
  <c r="G135" i="19" s="1"/>
  <c r="K546" i="50"/>
  <c r="K163" i="19" s="1"/>
  <c r="H542" i="50"/>
  <c r="H159" i="19" s="1"/>
  <c r="L530" i="50"/>
  <c r="L133" i="19" s="1"/>
  <c r="J546" i="50"/>
  <c r="J163" i="19" s="1"/>
  <c r="J544" i="50"/>
  <c r="J161" i="19" s="1"/>
  <c r="G542" i="50"/>
  <c r="G159" i="19" s="1"/>
  <c r="K530" i="50"/>
  <c r="K133" i="19" s="1"/>
  <c r="I546" i="50"/>
  <c r="I163" i="19" s="1"/>
  <c r="I544" i="50"/>
  <c r="I161" i="19" s="1"/>
  <c r="I530" i="50"/>
  <c r="I133" i="19" s="1"/>
  <c r="H546" i="50"/>
  <c r="H163" i="19" s="1"/>
  <c r="H544" i="50"/>
  <c r="H161" i="19" s="1"/>
  <c r="D542" i="50"/>
  <c r="D159" i="19" s="1"/>
  <c r="H530" i="50"/>
  <c r="H133" i="19" s="1"/>
  <c r="G544" i="50"/>
  <c r="G161" i="19" s="1"/>
  <c r="D530" i="50"/>
  <c r="D133" i="19" s="1"/>
  <c r="G541" i="50"/>
  <c r="G158" i="19" s="1"/>
  <c r="M548" i="50"/>
  <c r="M165" i="19" s="1"/>
  <c r="K545" i="50"/>
  <c r="K162" i="19" s="1"/>
  <c r="I545" i="50"/>
  <c r="I162" i="19" s="1"/>
  <c r="H545" i="50"/>
  <c r="H162" i="19" s="1"/>
  <c r="G543" i="50"/>
  <c r="G160" i="19" s="1"/>
  <c r="E534" i="50"/>
  <c r="E137" i="19" s="1"/>
  <c r="J548" i="50"/>
  <c r="J165" i="19" s="1"/>
  <c r="I548" i="50"/>
  <c r="I165" i="19" s="1"/>
  <c r="G546" i="50"/>
  <c r="G163" i="19" s="1"/>
  <c r="M540" i="50"/>
  <c r="M157" i="19" s="1"/>
  <c r="L539" i="50"/>
  <c r="L156" i="19" s="1"/>
  <c r="D541" i="50"/>
  <c r="D158" i="19" s="1"/>
  <c r="L528" i="50"/>
  <c r="L131" i="19" s="1"/>
  <c r="H548" i="50"/>
  <c r="H165" i="19" s="1"/>
  <c r="G547" i="50"/>
  <c r="G164" i="19" s="1"/>
  <c r="D544" i="50"/>
  <c r="D161" i="19" s="1"/>
  <c r="M541" i="50"/>
  <c r="M158" i="19" s="1"/>
  <c r="L540" i="50"/>
  <c r="L157" i="19" s="1"/>
  <c r="K539" i="50"/>
  <c r="K156" i="19" s="1"/>
  <c r="M539" i="50"/>
  <c r="M156" i="19" s="1"/>
  <c r="K528" i="50"/>
  <c r="K131" i="19" s="1"/>
  <c r="G548" i="50"/>
  <c r="G165" i="19" s="1"/>
  <c r="D545" i="50"/>
  <c r="D162" i="19" s="1"/>
  <c r="M542" i="50"/>
  <c r="M159" i="19" s="1"/>
  <c r="K540" i="50"/>
  <c r="K157" i="19" s="1"/>
  <c r="J539" i="50"/>
  <c r="J156" i="19" s="1"/>
  <c r="K548" i="50"/>
  <c r="K165" i="19" s="1"/>
  <c r="J528" i="50"/>
  <c r="J131" i="19" s="1"/>
  <c r="D546" i="50"/>
  <c r="D163" i="19" s="1"/>
  <c r="M543" i="50"/>
  <c r="M160" i="19" s="1"/>
  <c r="L542" i="50"/>
  <c r="L159" i="19" s="1"/>
  <c r="J540" i="50"/>
  <c r="J157" i="19" s="1"/>
  <c r="I539" i="50"/>
  <c r="I156" i="19" s="1"/>
  <c r="D540" i="50"/>
  <c r="D157" i="19" s="1"/>
  <c r="G527" i="50"/>
  <c r="G130" i="19" s="1"/>
  <c r="D547" i="50"/>
  <c r="D164" i="19" s="1"/>
  <c r="M544" i="50"/>
  <c r="M161" i="19" s="1"/>
  <c r="K542" i="50"/>
  <c r="K159" i="19" s="1"/>
  <c r="I540" i="50"/>
  <c r="I157" i="19" s="1"/>
  <c r="H539" i="50"/>
  <c r="H156" i="19" s="1"/>
  <c r="D548" i="50"/>
  <c r="D165" i="19" s="1"/>
  <c r="M545" i="50"/>
  <c r="M162" i="19" s="1"/>
  <c r="L544" i="50"/>
  <c r="L161" i="19" s="1"/>
  <c r="J542" i="50"/>
  <c r="J159" i="19" s="1"/>
  <c r="I541" i="50"/>
  <c r="I158" i="19" s="1"/>
  <c r="H540" i="50"/>
  <c r="H157" i="19" s="1"/>
  <c r="G539" i="50"/>
  <c r="G156" i="19" s="1"/>
  <c r="L548" i="50"/>
  <c r="L165" i="19" s="1"/>
  <c r="M546" i="50"/>
  <c r="M163" i="19" s="1"/>
  <c r="L545" i="50"/>
  <c r="L162" i="19" s="1"/>
  <c r="K544" i="50"/>
  <c r="K161" i="19" s="1"/>
  <c r="J543" i="50"/>
  <c r="J160" i="19" s="1"/>
  <c r="I542" i="50"/>
  <c r="I159" i="19" s="1"/>
  <c r="H541" i="50"/>
  <c r="H158" i="19" s="1"/>
  <c r="B1325" i="19"/>
  <c r="C1325" i="19"/>
  <c r="F1325" i="19"/>
  <c r="G1325" i="19"/>
  <c r="B1326" i="19"/>
  <c r="C1326" i="19"/>
  <c r="F1326" i="19"/>
  <c r="G1326" i="19"/>
  <c r="B1327" i="19"/>
  <c r="C1327" i="19"/>
  <c r="F1327" i="19"/>
  <c r="G1327" i="19"/>
  <c r="B1328" i="19"/>
  <c r="C1328" i="19"/>
  <c r="F1328" i="19"/>
  <c r="G1328" i="19"/>
  <c r="B1329" i="19"/>
  <c r="C1329" i="19"/>
  <c r="F1329" i="19"/>
  <c r="G1329" i="19"/>
  <c r="B1330" i="19"/>
  <c r="C1330" i="19"/>
  <c r="F1330" i="19"/>
  <c r="G1330" i="19"/>
  <c r="B1331" i="19"/>
  <c r="C1331" i="19"/>
  <c r="F1331" i="19"/>
  <c r="G1331" i="19"/>
  <c r="B1332" i="19"/>
  <c r="C1332" i="19"/>
  <c r="F1332" i="19"/>
  <c r="G1332" i="19"/>
  <c r="B1333" i="19"/>
  <c r="C1333" i="19"/>
  <c r="F1333" i="19"/>
  <c r="G1333" i="19"/>
  <c r="B1334" i="19"/>
  <c r="C1334" i="19"/>
  <c r="F1334" i="19"/>
  <c r="G1334" i="19"/>
  <c r="A1326" i="19"/>
  <c r="A1327" i="19"/>
  <c r="A1328" i="19"/>
  <c r="A1329" i="19"/>
  <c r="A1330" i="19"/>
  <c r="A1331" i="19"/>
  <c r="A1332" i="19"/>
  <c r="A1333" i="19"/>
  <c r="A1334" i="19"/>
  <c r="A1325" i="19"/>
  <c r="B763" i="18"/>
  <c r="C763" i="18"/>
  <c r="E763" i="18"/>
  <c r="B764" i="18"/>
  <c r="C764" i="18"/>
  <c r="E764" i="18"/>
  <c r="B765" i="18"/>
  <c r="C765" i="18"/>
  <c r="E765" i="18"/>
  <c r="B766" i="18"/>
  <c r="C766" i="18"/>
  <c r="E766" i="18"/>
  <c r="B767" i="18"/>
  <c r="C767" i="18"/>
  <c r="E767" i="18"/>
  <c r="B768" i="18"/>
  <c r="C768" i="18"/>
  <c r="E768" i="18"/>
  <c r="B769" i="18"/>
  <c r="C769" i="18"/>
  <c r="E769" i="18"/>
  <c r="B770" i="18"/>
  <c r="C770" i="18"/>
  <c r="E770" i="18"/>
  <c r="B771" i="18"/>
  <c r="C771" i="18"/>
  <c r="E771" i="18"/>
  <c r="B772" i="18"/>
  <c r="C772" i="18"/>
  <c r="E772" i="18"/>
  <c r="B773" i="18"/>
  <c r="C773" i="18"/>
  <c r="E773" i="18"/>
  <c r="B774" i="18"/>
  <c r="C774" i="18"/>
  <c r="E774" i="18"/>
  <c r="B775" i="18"/>
  <c r="C775" i="18"/>
  <c r="E775" i="18"/>
  <c r="B776" i="18"/>
  <c r="C776" i="18"/>
  <c r="E776" i="18"/>
  <c r="B777" i="18"/>
  <c r="C777" i="18"/>
  <c r="E777" i="18"/>
  <c r="B778" i="18"/>
  <c r="C778" i="18"/>
  <c r="E778" i="18"/>
  <c r="B779" i="18"/>
  <c r="C779" i="18"/>
  <c r="E779" i="18"/>
  <c r="B780" i="18"/>
  <c r="C780" i="18"/>
  <c r="E780" i="18"/>
  <c r="B781" i="18"/>
  <c r="C781" i="18"/>
  <c r="E781" i="18"/>
  <c r="B782" i="18"/>
  <c r="C782" i="18"/>
  <c r="E782" i="18"/>
  <c r="B783" i="18"/>
  <c r="C783" i="18"/>
  <c r="E783" i="18"/>
  <c r="B784" i="18"/>
  <c r="C784" i="18"/>
  <c r="E784" i="18"/>
  <c r="B785" i="18"/>
  <c r="C785" i="18"/>
  <c r="E785" i="18"/>
  <c r="B786" i="18"/>
  <c r="C786" i="18"/>
  <c r="E786" i="18"/>
  <c r="B787" i="18"/>
  <c r="C787" i="18"/>
  <c r="E787" i="18"/>
  <c r="B788" i="18"/>
  <c r="C788" i="18"/>
  <c r="E788" i="18"/>
  <c r="B789" i="18"/>
  <c r="C789" i="18"/>
  <c r="E789" i="18"/>
  <c r="B790" i="18"/>
  <c r="C790" i="18"/>
  <c r="E790" i="18"/>
  <c r="B791" i="18"/>
  <c r="C791" i="18"/>
  <c r="E791" i="18"/>
  <c r="B792" i="18"/>
  <c r="C792" i="18"/>
  <c r="E792" i="18"/>
  <c r="B793" i="18"/>
  <c r="C793" i="18"/>
  <c r="E793" i="18"/>
  <c r="B794" i="18"/>
  <c r="C794" i="18"/>
  <c r="E794" i="18"/>
  <c r="B795" i="18"/>
  <c r="C795" i="18"/>
  <c r="E795" i="18"/>
  <c r="B796" i="18"/>
  <c r="C796" i="18"/>
  <c r="E796" i="18"/>
  <c r="B797" i="18"/>
  <c r="C797" i="18"/>
  <c r="E797" i="18"/>
  <c r="B798" i="18"/>
  <c r="C798" i="18"/>
  <c r="E798" i="18"/>
  <c r="B799" i="18"/>
  <c r="C799" i="18"/>
  <c r="E799" i="18"/>
  <c r="B800" i="18"/>
  <c r="C800" i="18"/>
  <c r="E800" i="18"/>
  <c r="B801" i="18"/>
  <c r="C801" i="18"/>
  <c r="E801" i="18"/>
  <c r="B802" i="18"/>
  <c r="C802" i="18"/>
  <c r="E802" i="18"/>
  <c r="B803" i="18"/>
  <c r="C803" i="18"/>
  <c r="E803" i="18"/>
  <c r="B804" i="18"/>
  <c r="C804" i="18"/>
  <c r="E804" i="18"/>
  <c r="B805" i="18"/>
  <c r="C805" i="18"/>
  <c r="E805" i="18"/>
  <c r="B806" i="18"/>
  <c r="C806" i="18"/>
  <c r="E806" i="18"/>
  <c r="B807" i="18"/>
  <c r="C807" i="18"/>
  <c r="E807" i="18"/>
  <c r="B808" i="18"/>
  <c r="C808" i="18"/>
  <c r="E808" i="18"/>
  <c r="B809" i="18"/>
  <c r="C809" i="18"/>
  <c r="E809" i="18"/>
  <c r="B810" i="18"/>
  <c r="C810" i="18"/>
  <c r="E810" i="18"/>
  <c r="A810" i="18"/>
  <c r="A807" i="18"/>
  <c r="A808" i="18"/>
  <c r="A809" i="18"/>
  <c r="A789" i="18"/>
  <c r="A790" i="18"/>
  <c r="A791" i="18"/>
  <c r="A792" i="18"/>
  <c r="A793" i="18"/>
  <c r="A794" i="18"/>
  <c r="A795" i="18"/>
  <c r="A796" i="18"/>
  <c r="A797" i="18"/>
  <c r="A798" i="18"/>
  <c r="A799" i="18"/>
  <c r="A800" i="18"/>
  <c r="A801" i="18"/>
  <c r="A802" i="18"/>
  <c r="A803" i="18"/>
  <c r="A804" i="18"/>
  <c r="A805" i="18"/>
  <c r="A806" i="18"/>
  <c r="A764" i="18"/>
  <c r="A765" i="18"/>
  <c r="A766" i="18"/>
  <c r="A767" i="18"/>
  <c r="A768" i="18"/>
  <c r="A769" i="18"/>
  <c r="A770" i="18"/>
  <c r="A771" i="18"/>
  <c r="A772" i="18"/>
  <c r="A773" i="18"/>
  <c r="A774" i="18"/>
  <c r="A775" i="18"/>
  <c r="A776" i="18"/>
  <c r="A777" i="18"/>
  <c r="A778" i="18"/>
  <c r="A779" i="18"/>
  <c r="A780" i="18"/>
  <c r="A781" i="18"/>
  <c r="A782" i="18"/>
  <c r="A783" i="18"/>
  <c r="A784" i="18"/>
  <c r="A785" i="18"/>
  <c r="A786" i="18"/>
  <c r="A787" i="18"/>
  <c r="A788" i="18"/>
  <c r="A763" i="18"/>
  <c r="F286" i="50"/>
  <c r="G286" i="50"/>
  <c r="H286" i="50"/>
  <c r="I286" i="50"/>
  <c r="J286" i="50"/>
  <c r="F287" i="50"/>
  <c r="G287" i="50"/>
  <c r="H287" i="50"/>
  <c r="I287" i="50"/>
  <c r="J287" i="50"/>
  <c r="F288" i="50"/>
  <c r="G288" i="50"/>
  <c r="H288" i="50"/>
  <c r="I288" i="50"/>
  <c r="J288" i="50"/>
  <c r="F289" i="50"/>
  <c r="G289" i="50"/>
  <c r="H289" i="50"/>
  <c r="I289" i="50"/>
  <c r="J289" i="50"/>
  <c r="F290" i="50"/>
  <c r="G290" i="50"/>
  <c r="H290" i="50"/>
  <c r="I290" i="50"/>
  <c r="J290" i="50"/>
  <c r="F291" i="50"/>
  <c r="G291" i="50"/>
  <c r="H291" i="50"/>
  <c r="I291" i="50"/>
  <c r="J291" i="50"/>
  <c r="F292" i="50"/>
  <c r="G292" i="50"/>
  <c r="H292" i="50"/>
  <c r="I292" i="50"/>
  <c r="J292" i="50"/>
  <c r="F293" i="50"/>
  <c r="G293" i="50"/>
  <c r="H293" i="50"/>
  <c r="I293" i="50"/>
  <c r="J293" i="50"/>
  <c r="F294" i="50"/>
  <c r="G294" i="50"/>
  <c r="H294" i="50"/>
  <c r="I294" i="50"/>
  <c r="J294" i="50"/>
  <c r="F295" i="50"/>
  <c r="G295" i="50"/>
  <c r="H295" i="50"/>
  <c r="I295" i="50"/>
  <c r="J295" i="50"/>
  <c r="F296" i="50"/>
  <c r="G296" i="50"/>
  <c r="H296" i="50"/>
  <c r="I296" i="50"/>
  <c r="J296" i="50"/>
  <c r="F297" i="50"/>
  <c r="F775" i="18" s="1"/>
  <c r="G297" i="50"/>
  <c r="G775" i="18" s="1"/>
  <c r="H297" i="50"/>
  <c r="H775" i="18" s="1"/>
  <c r="I297" i="50"/>
  <c r="I775" i="18" s="1"/>
  <c r="J297" i="50"/>
  <c r="J775" i="18" s="1"/>
  <c r="F298" i="50"/>
  <c r="G298" i="50"/>
  <c r="H298" i="50"/>
  <c r="I298" i="50"/>
  <c r="J298" i="50"/>
  <c r="F299" i="50"/>
  <c r="G299" i="50"/>
  <c r="H299" i="50"/>
  <c r="I299" i="50"/>
  <c r="J299" i="50"/>
  <c r="F300" i="50"/>
  <c r="G300" i="50"/>
  <c r="H300" i="50"/>
  <c r="I300" i="50"/>
  <c r="J300" i="50"/>
  <c r="F301" i="50"/>
  <c r="G301" i="50"/>
  <c r="H301" i="50"/>
  <c r="I301" i="50"/>
  <c r="J301" i="50"/>
  <c r="F302" i="50"/>
  <c r="G302" i="50"/>
  <c r="H302" i="50"/>
  <c r="I302" i="50"/>
  <c r="J302" i="50"/>
  <c r="F303" i="50"/>
  <c r="G303" i="50"/>
  <c r="H303" i="50"/>
  <c r="I303" i="50"/>
  <c r="J303" i="50"/>
  <c r="F304" i="50"/>
  <c r="G304" i="50"/>
  <c r="H304" i="50"/>
  <c r="I304" i="50"/>
  <c r="J304" i="50"/>
  <c r="F305" i="50"/>
  <c r="G305" i="50"/>
  <c r="H305" i="50"/>
  <c r="I305" i="50"/>
  <c r="J305" i="50"/>
  <c r="F306" i="50"/>
  <c r="G306" i="50"/>
  <c r="H306" i="50"/>
  <c r="I306" i="50"/>
  <c r="J306" i="50"/>
  <c r="F307" i="50"/>
  <c r="G307" i="50"/>
  <c r="H307" i="50"/>
  <c r="I307" i="50"/>
  <c r="J307" i="50"/>
  <c r="F308" i="50"/>
  <c r="G308" i="50"/>
  <c r="H308" i="50"/>
  <c r="I308" i="50"/>
  <c r="J308" i="50"/>
  <c r="G285" i="50"/>
  <c r="G763" i="18" s="1"/>
  <c r="H285" i="50"/>
  <c r="H763" i="18" s="1"/>
  <c r="I285" i="50"/>
  <c r="I763" i="18" s="1"/>
  <c r="J285" i="50"/>
  <c r="J763" i="18" s="1"/>
  <c r="F285" i="50"/>
  <c r="F763" i="18" s="1"/>
  <c r="F310" i="50"/>
  <c r="G310" i="50"/>
  <c r="H310" i="50"/>
  <c r="I310" i="50"/>
  <c r="J310" i="50"/>
  <c r="F311" i="50"/>
  <c r="G311" i="50"/>
  <c r="H311" i="50"/>
  <c r="I311" i="50"/>
  <c r="J311" i="50"/>
  <c r="F312" i="50"/>
  <c r="G312" i="50"/>
  <c r="H312" i="50"/>
  <c r="I312" i="50"/>
  <c r="J312" i="50"/>
  <c r="F313" i="50"/>
  <c r="G313" i="50"/>
  <c r="H313" i="50"/>
  <c r="I313" i="50"/>
  <c r="J313" i="50"/>
  <c r="F314" i="50"/>
  <c r="G314" i="50"/>
  <c r="H314" i="50"/>
  <c r="I314" i="50"/>
  <c r="J314" i="50"/>
  <c r="F315" i="50"/>
  <c r="G315" i="50"/>
  <c r="H315" i="50"/>
  <c r="I315" i="50"/>
  <c r="J315" i="50"/>
  <c r="F316" i="50"/>
  <c r="G316" i="50"/>
  <c r="H316" i="50"/>
  <c r="I316" i="50"/>
  <c r="J316" i="50"/>
  <c r="F317" i="50"/>
  <c r="G317" i="50"/>
  <c r="H317" i="50"/>
  <c r="I317" i="50"/>
  <c r="J317" i="50"/>
  <c r="F318" i="50"/>
  <c r="G318" i="50"/>
  <c r="H318" i="50"/>
  <c r="I318" i="50"/>
  <c r="J318" i="50"/>
  <c r="F319" i="50"/>
  <c r="G319" i="50"/>
  <c r="H319" i="50"/>
  <c r="I319" i="50"/>
  <c r="J319" i="50"/>
  <c r="F320" i="50"/>
  <c r="G320" i="50"/>
  <c r="H320" i="50"/>
  <c r="I320" i="50"/>
  <c r="J320" i="50"/>
  <c r="F321" i="50"/>
  <c r="F799" i="18" s="1"/>
  <c r="G321" i="50"/>
  <c r="G799" i="18" s="1"/>
  <c r="H321" i="50"/>
  <c r="H799" i="18" s="1"/>
  <c r="I321" i="50"/>
  <c r="I799" i="18" s="1"/>
  <c r="J321" i="50"/>
  <c r="J799" i="18" s="1"/>
  <c r="F322" i="50"/>
  <c r="G322" i="50"/>
  <c r="H322" i="50"/>
  <c r="I322" i="50"/>
  <c r="J322" i="50"/>
  <c r="F323" i="50"/>
  <c r="G323" i="50"/>
  <c r="H323" i="50"/>
  <c r="I323" i="50"/>
  <c r="J323" i="50"/>
  <c r="F324" i="50"/>
  <c r="G324" i="50"/>
  <c r="H324" i="50"/>
  <c r="I324" i="50"/>
  <c r="J324" i="50"/>
  <c r="F325" i="50"/>
  <c r="G325" i="50"/>
  <c r="H325" i="50"/>
  <c r="I325" i="50"/>
  <c r="J325" i="50"/>
  <c r="F326" i="50"/>
  <c r="G326" i="50"/>
  <c r="H326" i="50"/>
  <c r="I326" i="50"/>
  <c r="J326" i="50"/>
  <c r="F327" i="50"/>
  <c r="G327" i="50"/>
  <c r="H327" i="50"/>
  <c r="I327" i="50"/>
  <c r="J327" i="50"/>
  <c r="F328" i="50"/>
  <c r="G328" i="50"/>
  <c r="H328" i="50"/>
  <c r="I328" i="50"/>
  <c r="J328" i="50"/>
  <c r="F329" i="50"/>
  <c r="G329" i="50"/>
  <c r="H329" i="50"/>
  <c r="I329" i="50"/>
  <c r="J329" i="50"/>
  <c r="F330" i="50"/>
  <c r="G330" i="50"/>
  <c r="H330" i="50"/>
  <c r="I330" i="50"/>
  <c r="J330" i="50"/>
  <c r="F331" i="50"/>
  <c r="G331" i="50"/>
  <c r="H331" i="50"/>
  <c r="I331" i="50"/>
  <c r="J331" i="50"/>
  <c r="F332" i="50"/>
  <c r="G332" i="50"/>
  <c r="H332" i="50"/>
  <c r="I332" i="50"/>
  <c r="J332" i="50"/>
  <c r="G309" i="50"/>
  <c r="G787" i="18" s="1"/>
  <c r="H309" i="50"/>
  <c r="H787" i="18" s="1"/>
  <c r="I309" i="50"/>
  <c r="I787" i="18" s="1"/>
  <c r="J309" i="50"/>
  <c r="J787" i="18" s="1"/>
  <c r="F309" i="50"/>
  <c r="F787" i="18" s="1"/>
  <c r="I337" i="50"/>
  <c r="I1325" i="19" s="1"/>
  <c r="J337" i="50"/>
  <c r="J1325" i="19" s="1"/>
  <c r="K337" i="50"/>
  <c r="K1325" i="19" s="1"/>
  <c r="L337" i="50"/>
  <c r="L1325" i="19" s="1"/>
  <c r="M337" i="50"/>
  <c r="M1325" i="19" s="1"/>
  <c r="I338" i="50"/>
  <c r="I1326" i="19" s="1"/>
  <c r="J338" i="50"/>
  <c r="J1326" i="19" s="1"/>
  <c r="K338" i="50"/>
  <c r="K1326" i="19" s="1"/>
  <c r="L338" i="50"/>
  <c r="L1326" i="19" s="1"/>
  <c r="M338" i="50"/>
  <c r="M1326" i="19" s="1"/>
  <c r="I339" i="50"/>
  <c r="I1327" i="19" s="1"/>
  <c r="J339" i="50"/>
  <c r="J1327" i="19" s="1"/>
  <c r="K339" i="50"/>
  <c r="K1327" i="19" s="1"/>
  <c r="L339" i="50"/>
  <c r="L1327" i="19" s="1"/>
  <c r="M339" i="50"/>
  <c r="M1327" i="19" s="1"/>
  <c r="I340" i="50"/>
  <c r="I1328" i="19" s="1"/>
  <c r="J340" i="50"/>
  <c r="J1328" i="19" s="1"/>
  <c r="K340" i="50"/>
  <c r="K1328" i="19" s="1"/>
  <c r="L340" i="50"/>
  <c r="L1328" i="19" s="1"/>
  <c r="M340" i="50"/>
  <c r="M1328" i="19" s="1"/>
  <c r="I341" i="50"/>
  <c r="I1329" i="19" s="1"/>
  <c r="J341" i="50"/>
  <c r="J1329" i="19" s="1"/>
  <c r="K341" i="50"/>
  <c r="K1329" i="19" s="1"/>
  <c r="L341" i="50"/>
  <c r="L1329" i="19" s="1"/>
  <c r="M341" i="50"/>
  <c r="M1329" i="19" s="1"/>
  <c r="I342" i="50"/>
  <c r="I1330" i="19" s="1"/>
  <c r="J342" i="50"/>
  <c r="J1330" i="19" s="1"/>
  <c r="K342" i="50"/>
  <c r="K1330" i="19" s="1"/>
  <c r="L342" i="50"/>
  <c r="L1330" i="19" s="1"/>
  <c r="M342" i="50"/>
  <c r="M1330" i="19" s="1"/>
  <c r="I343" i="50"/>
  <c r="I1331" i="19" s="1"/>
  <c r="J343" i="50"/>
  <c r="J1331" i="19" s="1"/>
  <c r="K343" i="50"/>
  <c r="K1331" i="19" s="1"/>
  <c r="L343" i="50"/>
  <c r="L1331" i="19" s="1"/>
  <c r="M343" i="50"/>
  <c r="M1331" i="19" s="1"/>
  <c r="I344" i="50"/>
  <c r="I1332" i="19" s="1"/>
  <c r="J344" i="50"/>
  <c r="J1332" i="19" s="1"/>
  <c r="K344" i="50"/>
  <c r="K1332" i="19" s="1"/>
  <c r="L344" i="50"/>
  <c r="L1332" i="19" s="1"/>
  <c r="M344" i="50"/>
  <c r="M1332" i="19" s="1"/>
  <c r="I345" i="50"/>
  <c r="I1333" i="19" s="1"/>
  <c r="J345" i="50"/>
  <c r="J1333" i="19" s="1"/>
  <c r="K345" i="50"/>
  <c r="K1333" i="19" s="1"/>
  <c r="L345" i="50"/>
  <c r="L1333" i="19" s="1"/>
  <c r="M345" i="50"/>
  <c r="M1333" i="19" s="1"/>
  <c r="I346" i="50"/>
  <c r="I1334" i="19" s="1"/>
  <c r="J346" i="50"/>
  <c r="J1334" i="19" s="1"/>
  <c r="K346" i="50"/>
  <c r="K1334" i="19" s="1"/>
  <c r="L346" i="50"/>
  <c r="L1334" i="19" s="1"/>
  <c r="M346" i="50"/>
  <c r="M1334" i="19" s="1"/>
  <c r="D342" i="50"/>
  <c r="D1330" i="19" s="1"/>
  <c r="D343" i="50"/>
  <c r="D1331" i="19" s="1"/>
  <c r="D344" i="50"/>
  <c r="D1332" i="19" s="1"/>
  <c r="D345" i="50"/>
  <c r="D1333" i="19" s="1"/>
  <c r="D346" i="50"/>
  <c r="D1334" i="19" s="1"/>
  <c r="D337" i="50"/>
  <c r="D1325" i="19" s="1"/>
  <c r="D338" i="50"/>
  <c r="D1326" i="19" s="1"/>
  <c r="D339" i="50"/>
  <c r="D1327" i="19" s="1"/>
  <c r="D340" i="50"/>
  <c r="D1328" i="19" s="1"/>
  <c r="D341" i="50"/>
  <c r="D1329" i="19" s="1"/>
  <c r="E477" i="50"/>
  <c r="E784" i="19" s="1"/>
  <c r="E476" i="50"/>
  <c r="E783" i="19" s="1"/>
  <c r="C97" i="25"/>
  <c r="C98" i="25"/>
  <c r="C99" i="25"/>
  <c r="C100" i="25"/>
  <c r="G620" i="50"/>
  <c r="G621" i="50"/>
  <c r="G622" i="50"/>
  <c r="G623" i="50"/>
  <c r="G624" i="50"/>
  <c r="G625" i="50"/>
  <c r="G626" i="50"/>
  <c r="G627" i="50"/>
  <c r="G628" i="50"/>
  <c r="G630" i="50"/>
  <c r="G631" i="50"/>
  <c r="G632" i="50"/>
  <c r="G629" i="50"/>
  <c r="J621" i="50" s="1"/>
  <c r="F621" i="50"/>
  <c r="F622" i="50"/>
  <c r="F623" i="50"/>
  <c r="F624" i="50"/>
  <c r="F625" i="50"/>
  <c r="F626" i="50"/>
  <c r="F627" i="50"/>
  <c r="F628" i="50"/>
  <c r="F629" i="50"/>
  <c r="F630" i="50"/>
  <c r="F631" i="50"/>
  <c r="F632" i="50"/>
  <c r="F620" i="50"/>
  <c r="Z3" i="13"/>
  <c r="Z4" i="13"/>
  <c r="Z5" i="13"/>
  <c r="Z2" i="13"/>
  <c r="Y3" i="13"/>
  <c r="Y4" i="13"/>
  <c r="Y2" i="13"/>
  <c r="X3" i="13"/>
  <c r="X2" i="13"/>
  <c r="F315" i="19"/>
  <c r="E315" i="19"/>
  <c r="D315" i="19"/>
  <c r="C315" i="19"/>
  <c r="B315" i="19"/>
  <c r="A315" i="19"/>
  <c r="G290" i="19"/>
  <c r="F290" i="19"/>
  <c r="E290" i="19"/>
  <c r="D290" i="19"/>
  <c r="C290" i="19"/>
  <c r="B290" i="19"/>
  <c r="A290" i="19"/>
  <c r="M289" i="19"/>
  <c r="L289" i="19"/>
  <c r="K289" i="19"/>
  <c r="J289" i="19"/>
  <c r="I289" i="19"/>
  <c r="H289" i="19"/>
  <c r="G289" i="19"/>
  <c r="F289" i="19"/>
  <c r="E289" i="19"/>
  <c r="D289" i="19"/>
  <c r="C289" i="19"/>
  <c r="B289" i="19"/>
  <c r="A289" i="19"/>
  <c r="G292" i="19"/>
  <c r="F292" i="19"/>
  <c r="E292" i="19"/>
  <c r="D292" i="19"/>
  <c r="C292" i="19"/>
  <c r="B292" i="19"/>
  <c r="A292" i="19"/>
  <c r="M291" i="19"/>
  <c r="L291" i="19"/>
  <c r="K291" i="19"/>
  <c r="J291" i="19"/>
  <c r="I291" i="19"/>
  <c r="H291" i="19"/>
  <c r="G291" i="19"/>
  <c r="F291" i="19"/>
  <c r="E291" i="19"/>
  <c r="D291" i="19"/>
  <c r="C291" i="19"/>
  <c r="B291" i="19"/>
  <c r="A291" i="19"/>
  <c r="G294" i="19"/>
  <c r="F294" i="19"/>
  <c r="E294" i="19"/>
  <c r="D294" i="19"/>
  <c r="C294" i="19"/>
  <c r="B294" i="19"/>
  <c r="A294" i="19"/>
  <c r="M293" i="19"/>
  <c r="L293" i="19"/>
  <c r="K293" i="19"/>
  <c r="J293" i="19"/>
  <c r="I293" i="19"/>
  <c r="H293" i="19"/>
  <c r="G293" i="19"/>
  <c r="F293" i="19"/>
  <c r="E293" i="19"/>
  <c r="D293" i="19"/>
  <c r="C293" i="19"/>
  <c r="B293" i="19"/>
  <c r="A293" i="19"/>
  <c r="G302" i="19"/>
  <c r="F302" i="19"/>
  <c r="E302" i="19"/>
  <c r="D302" i="19"/>
  <c r="C302" i="19"/>
  <c r="B302" i="19"/>
  <c r="A302" i="19"/>
  <c r="M301" i="19"/>
  <c r="L301" i="19"/>
  <c r="K301" i="19"/>
  <c r="J301" i="19"/>
  <c r="I301" i="19"/>
  <c r="H301" i="19"/>
  <c r="G301" i="19"/>
  <c r="F301" i="19"/>
  <c r="E301" i="19"/>
  <c r="D301" i="19"/>
  <c r="C301" i="19"/>
  <c r="B301" i="19"/>
  <c r="A301" i="19"/>
  <c r="G296" i="19"/>
  <c r="F296" i="19"/>
  <c r="E296" i="19"/>
  <c r="D296" i="19"/>
  <c r="C296" i="19"/>
  <c r="B296" i="19"/>
  <c r="A296" i="19"/>
  <c r="M295" i="19"/>
  <c r="L295" i="19"/>
  <c r="K295" i="19"/>
  <c r="J295" i="19"/>
  <c r="I295" i="19"/>
  <c r="H295" i="19"/>
  <c r="G295" i="19"/>
  <c r="F295" i="19"/>
  <c r="E295" i="19"/>
  <c r="D295" i="19"/>
  <c r="C295" i="19"/>
  <c r="B295" i="19"/>
  <c r="A295" i="19"/>
  <c r="M288" i="19"/>
  <c r="L288" i="19"/>
  <c r="K288" i="19"/>
  <c r="J288" i="19"/>
  <c r="I288" i="19"/>
  <c r="H288" i="19"/>
  <c r="G288" i="19"/>
  <c r="F288" i="19"/>
  <c r="E288" i="19"/>
  <c r="D288" i="19"/>
  <c r="C288" i="19"/>
  <c r="B288" i="19"/>
  <c r="A288" i="19"/>
  <c r="M287" i="19"/>
  <c r="L287" i="19"/>
  <c r="K287" i="19"/>
  <c r="J287" i="19"/>
  <c r="I287" i="19"/>
  <c r="H287" i="19"/>
  <c r="G287" i="19"/>
  <c r="F287" i="19"/>
  <c r="E287" i="19"/>
  <c r="D287" i="19"/>
  <c r="C287" i="19"/>
  <c r="B287" i="19"/>
  <c r="A287" i="19"/>
  <c r="M286" i="19"/>
  <c r="L286" i="19"/>
  <c r="K286" i="19"/>
  <c r="J286" i="19"/>
  <c r="I286" i="19"/>
  <c r="H286" i="19"/>
  <c r="G286" i="19"/>
  <c r="F286" i="19"/>
  <c r="E286" i="19"/>
  <c r="D286" i="19"/>
  <c r="C286" i="19"/>
  <c r="B286" i="19"/>
  <c r="A286" i="19"/>
  <c r="M285" i="19"/>
  <c r="L285" i="19"/>
  <c r="K285" i="19"/>
  <c r="J285" i="19"/>
  <c r="I285" i="19"/>
  <c r="H285" i="19"/>
  <c r="G285" i="19"/>
  <c r="F285" i="19"/>
  <c r="E285" i="19"/>
  <c r="D285" i="19"/>
  <c r="C285" i="19"/>
  <c r="B285" i="19"/>
  <c r="A285" i="19"/>
  <c r="M284" i="19"/>
  <c r="L284" i="19"/>
  <c r="K284" i="19"/>
  <c r="J284" i="19"/>
  <c r="I284" i="19"/>
  <c r="H284" i="19"/>
  <c r="G284" i="19"/>
  <c r="F284" i="19"/>
  <c r="E284" i="19"/>
  <c r="D284" i="19"/>
  <c r="C284" i="19"/>
  <c r="B284" i="19"/>
  <c r="A284" i="19"/>
  <c r="H769" i="19"/>
  <c r="I769" i="19"/>
  <c r="J769" i="19"/>
  <c r="K769" i="19"/>
  <c r="L769" i="19"/>
  <c r="M769" i="19"/>
  <c r="H767" i="19"/>
  <c r="I767" i="19"/>
  <c r="J767" i="19"/>
  <c r="K767" i="19"/>
  <c r="L767" i="19"/>
  <c r="M767" i="19"/>
  <c r="H765" i="19"/>
  <c r="I765" i="19"/>
  <c r="J765" i="19"/>
  <c r="K765" i="19"/>
  <c r="L765" i="19"/>
  <c r="M765" i="19"/>
  <c r="H150" i="19"/>
  <c r="I150" i="19"/>
  <c r="J150" i="19"/>
  <c r="K150" i="19"/>
  <c r="L150" i="19"/>
  <c r="M150" i="19"/>
  <c r="H151" i="19"/>
  <c r="I151" i="19"/>
  <c r="J151" i="19"/>
  <c r="K151" i="19"/>
  <c r="L151" i="19"/>
  <c r="M151" i="19"/>
  <c r="I283" i="19"/>
  <c r="J283" i="19"/>
  <c r="K283" i="19"/>
  <c r="L283" i="19"/>
  <c r="M283" i="19"/>
  <c r="H283" i="19"/>
  <c r="N318" i="19"/>
  <c r="H319" i="19"/>
  <c r="I319" i="19"/>
  <c r="J319" i="19"/>
  <c r="K319" i="19"/>
  <c r="L319" i="19"/>
  <c r="M319" i="19"/>
  <c r="A149" i="19"/>
  <c r="B149" i="19"/>
  <c r="C149" i="19"/>
  <c r="D149" i="19"/>
  <c r="E149" i="19"/>
  <c r="F149" i="19"/>
  <c r="A151" i="19"/>
  <c r="B151" i="19"/>
  <c r="C151" i="19"/>
  <c r="D151" i="19"/>
  <c r="E151" i="19"/>
  <c r="F151" i="19"/>
  <c r="G151" i="19"/>
  <c r="A152" i="19"/>
  <c r="B152" i="19"/>
  <c r="C152" i="19"/>
  <c r="D152" i="19"/>
  <c r="E152" i="19"/>
  <c r="F152" i="19"/>
  <c r="A768" i="19"/>
  <c r="B768" i="19"/>
  <c r="C768" i="19"/>
  <c r="D768" i="19"/>
  <c r="E768" i="19"/>
  <c r="F768" i="19"/>
  <c r="A765" i="19"/>
  <c r="B765" i="19"/>
  <c r="C765" i="19"/>
  <c r="D765" i="19"/>
  <c r="E765" i="19"/>
  <c r="F765" i="19"/>
  <c r="G765" i="19"/>
  <c r="A766" i="19"/>
  <c r="B766" i="19"/>
  <c r="C766" i="19"/>
  <c r="D766" i="19"/>
  <c r="E766" i="19"/>
  <c r="F766" i="19"/>
  <c r="B150" i="19"/>
  <c r="C150" i="19"/>
  <c r="D150" i="19"/>
  <c r="E150" i="19"/>
  <c r="F150" i="19"/>
  <c r="G150" i="19"/>
  <c r="A769" i="19"/>
  <c r="B769" i="19"/>
  <c r="C769" i="19"/>
  <c r="D769" i="19"/>
  <c r="E769" i="19"/>
  <c r="F769" i="19"/>
  <c r="G769" i="19"/>
  <c r="A770" i="19"/>
  <c r="B770" i="19"/>
  <c r="C770" i="19"/>
  <c r="D770" i="19"/>
  <c r="E770" i="19"/>
  <c r="F770" i="19"/>
  <c r="A767" i="19"/>
  <c r="B767" i="19"/>
  <c r="C767" i="19"/>
  <c r="D767" i="19"/>
  <c r="E767" i="19"/>
  <c r="F767" i="19"/>
  <c r="B283" i="19"/>
  <c r="C283" i="19"/>
  <c r="D283" i="19"/>
  <c r="E283" i="19"/>
  <c r="F283" i="19"/>
  <c r="G283" i="19"/>
  <c r="A283" i="19"/>
  <c r="A333" i="19"/>
  <c r="B333" i="19"/>
  <c r="C333" i="19"/>
  <c r="D333" i="19"/>
  <c r="E333" i="19"/>
  <c r="F333" i="19"/>
  <c r="G333" i="19"/>
  <c r="B332" i="19"/>
  <c r="C332" i="19"/>
  <c r="D332" i="19"/>
  <c r="E332" i="19"/>
  <c r="F332" i="19"/>
  <c r="G332" i="19"/>
  <c r="A332" i="19"/>
  <c r="A318" i="19"/>
  <c r="B318" i="19"/>
  <c r="C318" i="19"/>
  <c r="D318" i="19"/>
  <c r="E318" i="19"/>
  <c r="F318" i="19"/>
  <c r="A319" i="19"/>
  <c r="B319" i="19"/>
  <c r="C319" i="19"/>
  <c r="D319" i="19"/>
  <c r="F319" i="19"/>
  <c r="A320" i="19"/>
  <c r="B320" i="19"/>
  <c r="C320" i="19"/>
  <c r="D320" i="19"/>
  <c r="E320" i="19"/>
  <c r="F320" i="19"/>
  <c r="B317" i="19"/>
  <c r="C317" i="19"/>
  <c r="D317" i="19"/>
  <c r="F317" i="19"/>
  <c r="G317" i="19"/>
  <c r="A317" i="19"/>
  <c r="O578" i="50"/>
  <c r="N578" i="50"/>
  <c r="O577" i="50"/>
  <c r="N577" i="50"/>
  <c r="E52" i="53" l="1"/>
  <c r="E1193" i="19" s="1"/>
  <c r="D24" i="53"/>
  <c r="N158" i="19"/>
  <c r="N156" i="19"/>
  <c r="O158" i="19"/>
  <c r="O156" i="19"/>
  <c r="N163" i="19"/>
  <c r="O163" i="19"/>
  <c r="O162" i="19"/>
  <c r="N162" i="19"/>
  <c r="O160" i="19"/>
  <c r="N131" i="19"/>
  <c r="N165" i="19"/>
  <c r="O165" i="19"/>
  <c r="N297" i="19"/>
  <c r="O303" i="19"/>
  <c r="N831" i="19"/>
  <c r="O835" i="19"/>
  <c r="O833" i="19"/>
  <c r="O834" i="19"/>
  <c r="O161" i="19"/>
  <c r="O157" i="19"/>
  <c r="N309" i="19"/>
  <c r="N839" i="19"/>
  <c r="O297" i="19"/>
  <c r="O839" i="19"/>
  <c r="O309" i="19"/>
  <c r="O131" i="19"/>
  <c r="N834" i="19"/>
  <c r="N157" i="19"/>
  <c r="N133" i="19"/>
  <c r="N159" i="19"/>
  <c r="O831" i="19"/>
  <c r="N161" i="19"/>
  <c r="N160" i="19"/>
  <c r="O159" i="19"/>
  <c r="O133" i="19"/>
  <c r="N835" i="19"/>
  <c r="N833" i="19"/>
  <c r="N303" i="19"/>
  <c r="J552" i="50"/>
  <c r="J829" i="19" s="1"/>
  <c r="I552" i="50"/>
  <c r="I829" i="19" s="1"/>
  <c r="I550" i="50"/>
  <c r="I828" i="19" s="1"/>
  <c r="K561" i="50"/>
  <c r="K838" i="19" s="1"/>
  <c r="H550" i="50"/>
  <c r="H828" i="19" s="1"/>
  <c r="M550" i="50"/>
  <c r="M828" i="19" s="1"/>
  <c r="L550" i="50"/>
  <c r="L828" i="19" s="1"/>
  <c r="J550" i="50"/>
  <c r="J828" i="19" s="1"/>
  <c r="M552" i="50"/>
  <c r="M829" i="19" s="1"/>
  <c r="K550" i="50"/>
  <c r="K828" i="19" s="1"/>
  <c r="H561" i="50"/>
  <c r="H838" i="19" s="1"/>
  <c r="L552" i="50"/>
  <c r="L829" i="19" s="1"/>
  <c r="H552" i="50"/>
  <c r="H829" i="19" s="1"/>
  <c r="M561" i="50"/>
  <c r="M838" i="19" s="1"/>
  <c r="K552" i="50"/>
  <c r="K829" i="19" s="1"/>
  <c r="J622" i="50"/>
  <c r="J623" i="50"/>
  <c r="J624" i="50"/>
  <c r="K20" i="50"/>
  <c r="E36" i="53"/>
  <c r="E327" i="19" s="1"/>
  <c r="E37" i="53"/>
  <c r="E328" i="19" s="1"/>
  <c r="E40" i="53"/>
  <c r="E326" i="19" s="1"/>
  <c r="E42" i="53"/>
  <c r="E476" i="19" s="1"/>
  <c r="E43" i="53"/>
  <c r="E477" i="19" s="1"/>
  <c r="E48" i="53"/>
  <c r="E1188" i="19" s="1"/>
  <c r="E49" i="53"/>
  <c r="E1189" i="19" s="1"/>
  <c r="E46" i="53"/>
  <c r="E475" i="19" s="1"/>
  <c r="O1325" i="19"/>
  <c r="N1325" i="19"/>
  <c r="J620" i="50"/>
  <c r="N1326" i="19"/>
  <c r="O1326" i="19"/>
  <c r="N1331" i="19"/>
  <c r="N1333" i="19"/>
  <c r="N1332" i="19"/>
  <c r="O1332" i="19"/>
  <c r="O769" i="19"/>
  <c r="N1334" i="19"/>
  <c r="O1327" i="19"/>
  <c r="O765" i="19"/>
  <c r="O1334" i="19"/>
  <c r="N1329" i="19"/>
  <c r="N1327" i="19"/>
  <c r="O151" i="19"/>
  <c r="O1329" i="19"/>
  <c r="O1331" i="19"/>
  <c r="O150" i="19"/>
  <c r="O1333" i="19"/>
  <c r="N1328" i="19"/>
  <c r="O767" i="19"/>
  <c r="O1328" i="19"/>
  <c r="N1330" i="19"/>
  <c r="O1330" i="19"/>
  <c r="I523" i="50"/>
  <c r="I127" i="19" s="1"/>
  <c r="I536" i="50"/>
  <c r="I154" i="19" s="1"/>
  <c r="J525" i="50"/>
  <c r="J128" i="19" s="1"/>
  <c r="J538" i="50"/>
  <c r="J155" i="19" s="1"/>
  <c r="H523" i="50"/>
  <c r="H127" i="19" s="1"/>
  <c r="H536" i="50"/>
  <c r="H154" i="19" s="1"/>
  <c r="M523" i="50"/>
  <c r="M127" i="19" s="1"/>
  <c r="M536" i="50"/>
  <c r="M154" i="19" s="1"/>
  <c r="L523" i="50"/>
  <c r="L127" i="19" s="1"/>
  <c r="L536" i="50"/>
  <c r="L154" i="19" s="1"/>
  <c r="J523" i="50"/>
  <c r="J127" i="19" s="1"/>
  <c r="J536" i="50"/>
  <c r="J154" i="19" s="1"/>
  <c r="K523" i="50"/>
  <c r="K127" i="19" s="1"/>
  <c r="K536" i="50"/>
  <c r="K154" i="19" s="1"/>
  <c r="L561" i="50"/>
  <c r="L838" i="19" s="1"/>
  <c r="J561" i="50"/>
  <c r="J838" i="19" s="1"/>
  <c r="I561" i="50"/>
  <c r="I838" i="19" s="1"/>
  <c r="K619" i="18"/>
  <c r="K622" i="18"/>
  <c r="K625" i="18"/>
  <c r="K628" i="18"/>
  <c r="K631" i="18"/>
  <c r="K634" i="18"/>
  <c r="K637" i="18"/>
  <c r="K640" i="18"/>
  <c r="K643" i="18"/>
  <c r="K646" i="18"/>
  <c r="K649" i="18"/>
  <c r="K652" i="18"/>
  <c r="K655" i="18"/>
  <c r="K658" i="18"/>
  <c r="K661" i="18"/>
  <c r="K664" i="18"/>
  <c r="K667" i="18"/>
  <c r="K670" i="18"/>
  <c r="K673" i="18"/>
  <c r="K676" i="18"/>
  <c r="K679" i="18"/>
  <c r="K682" i="18"/>
  <c r="K685" i="18"/>
  <c r="K688" i="18"/>
  <c r="K691" i="18"/>
  <c r="K694" i="18"/>
  <c r="K697" i="18"/>
  <c r="K700" i="18"/>
  <c r="K703" i="18"/>
  <c r="K706" i="18"/>
  <c r="K709" i="18"/>
  <c r="K712" i="18"/>
  <c r="K715" i="18"/>
  <c r="K718" i="18"/>
  <c r="K721" i="18"/>
  <c r="K724" i="18"/>
  <c r="K727" i="18"/>
  <c r="K730" i="18"/>
  <c r="K733" i="18"/>
  <c r="K736" i="18"/>
  <c r="K739" i="18"/>
  <c r="K742" i="18"/>
  <c r="K745" i="18"/>
  <c r="K748" i="18"/>
  <c r="K751" i="18"/>
  <c r="K754" i="18"/>
  <c r="K757" i="18"/>
  <c r="K760" i="18"/>
  <c r="K597" i="18"/>
  <c r="K600" i="18"/>
  <c r="K603" i="18"/>
  <c r="K606" i="18"/>
  <c r="K609" i="18"/>
  <c r="K612" i="18"/>
  <c r="K615" i="18"/>
  <c r="K618" i="18"/>
  <c r="K595" i="18"/>
  <c r="K596" i="18"/>
  <c r="K599" i="18"/>
  <c r="K602" i="18"/>
  <c r="K605" i="18"/>
  <c r="K604" i="18"/>
  <c r="K608" i="18"/>
  <c r="K611" i="18"/>
  <c r="K614" i="18"/>
  <c r="K617" i="18"/>
  <c r="K621" i="18"/>
  <c r="K624" i="18"/>
  <c r="K627" i="18"/>
  <c r="K630" i="18"/>
  <c r="K633" i="18"/>
  <c r="K636" i="18"/>
  <c r="K639" i="18"/>
  <c r="K642" i="18"/>
  <c r="K645" i="18"/>
  <c r="K648" i="18"/>
  <c r="K651" i="18"/>
  <c r="K654" i="18"/>
  <c r="K657" i="18"/>
  <c r="K660" i="18"/>
  <c r="K663" i="18"/>
  <c r="K666" i="18"/>
  <c r="K669" i="18"/>
  <c r="K672" i="18"/>
  <c r="K675" i="18"/>
  <c r="K678" i="18"/>
  <c r="K681" i="18"/>
  <c r="K684" i="18"/>
  <c r="K687" i="18"/>
  <c r="K690" i="18"/>
  <c r="K693" i="18"/>
  <c r="K696" i="18"/>
  <c r="K699" i="18"/>
  <c r="K702" i="18"/>
  <c r="K705" i="18"/>
  <c r="K708" i="18"/>
  <c r="K711" i="18"/>
  <c r="K714" i="18"/>
  <c r="K717" i="18"/>
  <c r="K720" i="18"/>
  <c r="K723" i="18"/>
  <c r="K726" i="18"/>
  <c r="K729" i="18"/>
  <c r="K732" i="18"/>
  <c r="K735" i="18"/>
  <c r="K738" i="18"/>
  <c r="K741" i="18"/>
  <c r="K744" i="18"/>
  <c r="K747" i="18"/>
  <c r="K750" i="18"/>
  <c r="K753" i="18"/>
  <c r="K756" i="18"/>
  <c r="K759" i="18"/>
  <c r="K762" i="18"/>
  <c r="K610" i="18"/>
  <c r="K613" i="18"/>
  <c r="K616" i="18"/>
  <c r="K620" i="18"/>
  <c r="K623" i="18"/>
  <c r="K626" i="18"/>
  <c r="K629" i="18"/>
  <c r="K632" i="18"/>
  <c r="K635" i="18"/>
  <c r="K638" i="18"/>
  <c r="K641" i="18"/>
  <c r="K644" i="18"/>
  <c r="K647" i="18"/>
  <c r="K650" i="18"/>
  <c r="K653" i="18"/>
  <c r="K656" i="18"/>
  <c r="K659" i="18"/>
  <c r="K662" i="18"/>
  <c r="K665" i="18"/>
  <c r="K668" i="18"/>
  <c r="K671" i="18"/>
  <c r="K674" i="18"/>
  <c r="K677" i="18"/>
  <c r="K680" i="18"/>
  <c r="K683" i="18"/>
  <c r="K686" i="18"/>
  <c r="K689" i="18"/>
  <c r="K692" i="18"/>
  <c r="K695" i="18"/>
  <c r="K698" i="18"/>
  <c r="K701" i="18"/>
  <c r="K704" i="18"/>
  <c r="K707" i="18"/>
  <c r="K710" i="18"/>
  <c r="K713" i="18"/>
  <c r="K716" i="18"/>
  <c r="K719" i="18"/>
  <c r="K722" i="18"/>
  <c r="K725" i="18"/>
  <c r="K728" i="18"/>
  <c r="K731" i="18"/>
  <c r="K734" i="18"/>
  <c r="K737" i="18"/>
  <c r="K740" i="18"/>
  <c r="K743" i="18"/>
  <c r="K746" i="18"/>
  <c r="K749" i="18"/>
  <c r="K752" i="18"/>
  <c r="K755" i="18"/>
  <c r="K758" i="18"/>
  <c r="K761" i="18"/>
  <c r="K598" i="18"/>
  <c r="K607" i="18"/>
  <c r="K601" i="18"/>
  <c r="K863" i="20"/>
  <c r="K836" i="20"/>
  <c r="K1043" i="20"/>
  <c r="K1034" i="20"/>
  <c r="K1016" i="20"/>
  <c r="K1007" i="20"/>
  <c r="K989" i="20"/>
  <c r="K980" i="20"/>
  <c r="K962" i="20"/>
  <c r="K953" i="20"/>
  <c r="K935" i="20"/>
  <c r="K926" i="20"/>
  <c r="K908" i="20"/>
  <c r="K899" i="20"/>
  <c r="K881" i="20"/>
  <c r="K872" i="20"/>
  <c r="K854" i="20"/>
  <c r="K845" i="20"/>
  <c r="K827" i="20"/>
  <c r="K818" i="20"/>
  <c r="N283" i="19"/>
  <c r="O283" i="19"/>
  <c r="K1146" i="20"/>
  <c r="K1143" i="20"/>
  <c r="K1140" i="20"/>
  <c r="K1137" i="20"/>
  <c r="K1134" i="20"/>
  <c r="K1131" i="20"/>
  <c r="K1128" i="20"/>
  <c r="K1125" i="20"/>
  <c r="K1122" i="20"/>
  <c r="K1119" i="20"/>
  <c r="K1116" i="20"/>
  <c r="K1113" i="20"/>
  <c r="K1110" i="20"/>
  <c r="K1107" i="20"/>
  <c r="K1104" i="20"/>
  <c r="K1101" i="20"/>
  <c r="K1098" i="20"/>
  <c r="K1095" i="20"/>
  <c r="K1092" i="20"/>
  <c r="K1089" i="20"/>
  <c r="K1086" i="20"/>
  <c r="K1083" i="20"/>
  <c r="K1080" i="20"/>
  <c r="K1077" i="20"/>
  <c r="K1074" i="20"/>
  <c r="K1071" i="20"/>
  <c r="K1068" i="20"/>
  <c r="K1065" i="20"/>
  <c r="K1062" i="20"/>
  <c r="K1059" i="20"/>
  <c r="K1056" i="20"/>
  <c r="K1053" i="20"/>
  <c r="K1050" i="20"/>
  <c r="K1049" i="20"/>
  <c r="K1029" i="20"/>
  <c r="K1025" i="20"/>
  <c r="K998" i="20"/>
  <c r="K996" i="20"/>
  <c r="K971" i="20"/>
  <c r="K957" i="20"/>
  <c r="K944" i="20"/>
  <c r="K917" i="20"/>
  <c r="K890" i="20"/>
  <c r="K987" i="20"/>
  <c r="K984" i="20"/>
  <c r="K981" i="20"/>
  <c r="K978" i="20"/>
  <c r="K975" i="20"/>
  <c r="K972" i="20"/>
  <c r="K969" i="20"/>
  <c r="K966" i="20"/>
  <c r="K963" i="20"/>
  <c r="K960" i="20"/>
  <c r="K954" i="20"/>
  <c r="K951" i="20"/>
  <c r="K948" i="20"/>
  <c r="K945" i="20"/>
  <c r="K942" i="20"/>
  <c r="K939" i="20"/>
  <c r="K936" i="20"/>
  <c r="K933" i="20"/>
  <c r="K930" i="20"/>
  <c r="K927" i="20"/>
  <c r="K924" i="20"/>
  <c r="K921" i="20"/>
  <c r="K918" i="20"/>
  <c r="K915" i="20"/>
  <c r="K912" i="20"/>
  <c r="K909" i="20"/>
  <c r="K906" i="20"/>
  <c r="K903" i="20"/>
  <c r="K900" i="20"/>
  <c r="K897" i="20"/>
  <c r="K894" i="20"/>
  <c r="K891" i="20"/>
  <c r="K888" i="20"/>
  <c r="K885" i="20"/>
  <c r="K1147" i="20"/>
  <c r="K1144" i="20"/>
  <c r="K1141" i="20"/>
  <c r="K1138" i="20"/>
  <c r="K1135" i="20"/>
  <c r="K1132" i="20"/>
  <c r="K1129" i="20"/>
  <c r="K1126" i="20"/>
  <c r="K1123" i="20"/>
  <c r="K1120" i="20"/>
  <c r="K1117" i="20"/>
  <c r="K1114" i="20"/>
  <c r="K1111" i="20"/>
  <c r="K1108" i="20"/>
  <c r="K1105" i="20"/>
  <c r="K1102" i="20"/>
  <c r="K1099" i="20"/>
  <c r="K1096" i="20"/>
  <c r="K1093" i="20"/>
  <c r="K1090" i="20"/>
  <c r="K1087" i="20"/>
  <c r="K1084" i="20"/>
  <c r="K1081" i="20"/>
  <c r="K1078" i="20"/>
  <c r="K1075" i="20"/>
  <c r="K1072" i="20"/>
  <c r="K1069" i="20"/>
  <c r="K1066" i="20"/>
  <c r="K1063" i="20"/>
  <c r="K1060" i="20"/>
  <c r="K1057" i="20"/>
  <c r="K1054" i="20"/>
  <c r="K1051" i="20"/>
  <c r="K1048" i="20"/>
  <c r="K1045" i="20"/>
  <c r="K1042" i="20"/>
  <c r="K1039" i="20"/>
  <c r="K1036" i="20"/>
  <c r="K1033" i="20"/>
  <c r="K1030" i="20"/>
  <c r="K1027" i="20"/>
  <c r="K1024" i="20"/>
  <c r="K1021" i="20"/>
  <c r="K1018" i="20"/>
  <c r="K1015" i="20"/>
  <c r="K1012" i="20"/>
  <c r="K1009" i="20"/>
  <c r="K1006" i="20"/>
  <c r="K1003" i="20"/>
  <c r="K1000" i="20"/>
  <c r="K997" i="20"/>
  <c r="K994" i="20"/>
  <c r="K991" i="20"/>
  <c r="K988" i="20"/>
  <c r="K985" i="20"/>
  <c r="K982" i="20"/>
  <c r="K979" i="20"/>
  <c r="K976" i="20"/>
  <c r="K973" i="20"/>
  <c r="K970" i="20"/>
  <c r="K967" i="20"/>
  <c r="K964" i="20"/>
  <c r="K961" i="20"/>
  <c r="K958" i="20"/>
  <c r="K955" i="20"/>
  <c r="K952" i="20"/>
  <c r="K949" i="20"/>
  <c r="K946" i="20"/>
  <c r="K943" i="20"/>
  <c r="K940" i="20"/>
  <c r="K937" i="20"/>
  <c r="K934" i="20"/>
  <c r="K931" i="20"/>
  <c r="K928" i="20"/>
  <c r="K925" i="20"/>
  <c r="K922" i="20"/>
  <c r="K919" i="20"/>
  <c r="K916" i="20"/>
  <c r="K913" i="20"/>
  <c r="K910" i="20"/>
  <c r="K907" i="20"/>
  <c r="K904" i="20"/>
  <c r="K901" i="20"/>
  <c r="K898" i="20"/>
  <c r="K1047" i="20"/>
  <c r="K1044" i="20"/>
  <c r="K1041" i="20"/>
  <c r="K1038" i="20"/>
  <c r="K1035" i="20"/>
  <c r="K1032" i="20"/>
  <c r="K1026" i="20"/>
  <c r="K1023" i="20"/>
  <c r="K1020" i="20"/>
  <c r="K1017" i="20"/>
  <c r="K1014" i="20"/>
  <c r="K1011" i="20"/>
  <c r="K1008" i="20"/>
  <c r="K1005" i="20"/>
  <c r="K1002" i="20"/>
  <c r="K999" i="20"/>
  <c r="K993" i="20"/>
  <c r="K990" i="20"/>
  <c r="K1145" i="20"/>
  <c r="K1142" i="20"/>
  <c r="K1139" i="20"/>
  <c r="K1136" i="20"/>
  <c r="K1133" i="20"/>
  <c r="K1130" i="20"/>
  <c r="K1127" i="20"/>
  <c r="K1124" i="20"/>
  <c r="K1121" i="20"/>
  <c r="K1118" i="20"/>
  <c r="K1115" i="20"/>
  <c r="K1112" i="20"/>
  <c r="K1109" i="20"/>
  <c r="K1106" i="20"/>
  <c r="K1103" i="20"/>
  <c r="K1100" i="20"/>
  <c r="K1097" i="20"/>
  <c r="K1094" i="20"/>
  <c r="K1091" i="20"/>
  <c r="K1088" i="20"/>
  <c r="K1085" i="20"/>
  <c r="K1082" i="20"/>
  <c r="K1079" i="20"/>
  <c r="K1076" i="20"/>
  <c r="K1073" i="20"/>
  <c r="K1070" i="20"/>
  <c r="K1067" i="20"/>
  <c r="K1064" i="20"/>
  <c r="K1061" i="20"/>
  <c r="K1058" i="20"/>
  <c r="K1055" i="20"/>
  <c r="K1052" i="20"/>
  <c r="K1046" i="20"/>
  <c r="K1040" i="20"/>
  <c r="K1037" i="20"/>
  <c r="K1031" i="20"/>
  <c r="K1028" i="20"/>
  <c r="K1022" i="20"/>
  <c r="K1019" i="20"/>
  <c r="K1013" i="20"/>
  <c r="K1010" i="20"/>
  <c r="K1004" i="20"/>
  <c r="K1001" i="20"/>
  <c r="K995" i="20"/>
  <c r="K992" i="20"/>
  <c r="K986" i="20"/>
  <c r="K983" i="20"/>
  <c r="K977" i="20"/>
  <c r="K974" i="20"/>
  <c r="K968" i="20"/>
  <c r="K965" i="20"/>
  <c r="K959" i="20"/>
  <c r="K956" i="20"/>
  <c r="K950" i="20"/>
  <c r="K947" i="20"/>
  <c r="K941" i="20"/>
  <c r="K938" i="20"/>
  <c r="K932" i="20"/>
  <c r="K929" i="20"/>
  <c r="K923" i="20"/>
  <c r="K920" i="20"/>
  <c r="K914" i="20"/>
  <c r="K911" i="20"/>
  <c r="K905" i="20"/>
  <c r="K902" i="20"/>
  <c r="K896" i="20"/>
  <c r="K893" i="20"/>
  <c r="K887" i="20"/>
  <c r="K884" i="20"/>
  <c r="K878" i="20"/>
  <c r="K875" i="20"/>
  <c r="K869" i="20"/>
  <c r="K866" i="20"/>
  <c r="K860" i="20"/>
  <c r="K857" i="20"/>
  <c r="K851" i="20"/>
  <c r="K848" i="20"/>
  <c r="K842" i="20"/>
  <c r="K839" i="20"/>
  <c r="K833" i="20"/>
  <c r="K830" i="20"/>
  <c r="K824" i="20"/>
  <c r="K821" i="20"/>
  <c r="K815" i="20"/>
  <c r="K882" i="20"/>
  <c r="K879" i="20"/>
  <c r="K876" i="20"/>
  <c r="K873" i="20"/>
  <c r="K870" i="20"/>
  <c r="K867" i="20"/>
  <c r="K864" i="20"/>
  <c r="K861" i="20"/>
  <c r="K858" i="20"/>
  <c r="K855" i="20"/>
  <c r="K852" i="20"/>
  <c r="K849" i="20"/>
  <c r="K846" i="20"/>
  <c r="K843" i="20"/>
  <c r="K840" i="20"/>
  <c r="K837" i="20"/>
  <c r="K834" i="20"/>
  <c r="K831" i="20"/>
  <c r="K828" i="20"/>
  <c r="K825" i="20"/>
  <c r="K822" i="20"/>
  <c r="K819" i="20"/>
  <c r="K816" i="20"/>
  <c r="K813" i="20"/>
  <c r="K895" i="20"/>
  <c r="K892" i="20"/>
  <c r="K889" i="20"/>
  <c r="K886" i="20"/>
  <c r="K883" i="20"/>
  <c r="K880" i="20"/>
  <c r="K877" i="20"/>
  <c r="K874" i="20"/>
  <c r="K871" i="20"/>
  <c r="K868" i="20"/>
  <c r="K865" i="20"/>
  <c r="K862" i="20"/>
  <c r="K859" i="20"/>
  <c r="K856" i="20"/>
  <c r="K853" i="20"/>
  <c r="K850" i="20"/>
  <c r="K847" i="20"/>
  <c r="K844" i="20"/>
  <c r="K841" i="20"/>
  <c r="K838" i="20"/>
  <c r="K835" i="20"/>
  <c r="K832" i="20"/>
  <c r="K829" i="20"/>
  <c r="K826" i="20"/>
  <c r="K823" i="20"/>
  <c r="K820" i="20"/>
  <c r="K817" i="20"/>
  <c r="K814" i="20"/>
  <c r="N284" i="19"/>
  <c r="N769" i="19"/>
  <c r="O319" i="19"/>
  <c r="O291" i="19"/>
  <c r="N295" i="19"/>
  <c r="N320" i="19"/>
  <c r="N324" i="19"/>
  <c r="O324" i="19"/>
  <c r="N766" i="19"/>
  <c r="N768" i="19"/>
  <c r="N767" i="19"/>
  <c r="N294" i="19"/>
  <c r="N293" i="19"/>
  <c r="N301" i="19"/>
  <c r="O332" i="19"/>
  <c r="N765" i="19"/>
  <c r="N770" i="19"/>
  <c r="N315" i="19"/>
  <c r="O290" i="19"/>
  <c r="N289" i="19"/>
  <c r="N292" i="19"/>
  <c r="N291" i="19"/>
  <c r="N302" i="19"/>
  <c r="N296" i="19"/>
  <c r="O295" i="19"/>
  <c r="N288" i="19"/>
  <c r="N287" i="19"/>
  <c r="N286" i="19"/>
  <c r="N285" i="19"/>
  <c r="N290" i="19"/>
  <c r="O287" i="19"/>
  <c r="N332" i="19"/>
  <c r="O320" i="19"/>
  <c r="N325" i="19"/>
  <c r="O293" i="19"/>
  <c r="O302" i="19"/>
  <c r="O284" i="19"/>
  <c r="N151" i="19"/>
  <c r="N150" i="19"/>
  <c r="N149" i="19"/>
  <c r="O292" i="19"/>
  <c r="O286" i="19"/>
  <c r="N333" i="19"/>
  <c r="N319" i="19"/>
  <c r="O318" i="19"/>
  <c r="N317" i="19"/>
  <c r="O315" i="19"/>
  <c r="O296" i="19"/>
  <c r="O289" i="19"/>
  <c r="O294" i="19"/>
  <c r="O301" i="19"/>
  <c r="O288" i="19"/>
  <c r="O285" i="19"/>
  <c r="O333" i="19"/>
  <c r="O325" i="19"/>
  <c r="O317" i="19"/>
  <c r="D23" i="53" l="1"/>
  <c r="N154" i="19"/>
  <c r="O154" i="19"/>
  <c r="I538" i="50"/>
  <c r="I155" i="19" s="1"/>
  <c r="I525" i="50"/>
  <c r="I128" i="19" s="1"/>
  <c r="K547" i="50"/>
  <c r="K164" i="19" s="1"/>
  <c r="O838" i="19"/>
  <c r="N829" i="19"/>
  <c r="O829" i="19"/>
  <c r="N838" i="19"/>
  <c r="H538" i="50"/>
  <c r="H155" i="19" s="1"/>
  <c r="H525" i="50"/>
  <c r="H128" i="19" s="1"/>
  <c r="K525" i="50"/>
  <c r="K128" i="19" s="1"/>
  <c r="K534" i="50"/>
  <c r="K137" i="19" s="1"/>
  <c r="L525" i="50"/>
  <c r="L128" i="19" s="1"/>
  <c r="K538" i="50"/>
  <c r="K155" i="19" s="1"/>
  <c r="H547" i="50"/>
  <c r="H164" i="19" s="1"/>
  <c r="H534" i="50"/>
  <c r="H137" i="19" s="1"/>
  <c r="M534" i="50"/>
  <c r="M137" i="19" s="1"/>
  <c r="M525" i="50"/>
  <c r="M128" i="19" s="1"/>
  <c r="M538" i="50"/>
  <c r="M155" i="19" s="1"/>
  <c r="L538" i="50"/>
  <c r="L155" i="19" s="1"/>
  <c r="E559" i="50"/>
  <c r="E836" i="19" s="1"/>
  <c r="E557" i="50"/>
  <c r="E834" i="19" s="1"/>
  <c r="M547" i="50"/>
  <c r="M164" i="19" s="1"/>
  <c r="J625" i="50"/>
  <c r="K620" i="50"/>
  <c r="AB2" i="13"/>
  <c r="AB3" i="13"/>
  <c r="K621" i="50"/>
  <c r="K624" i="50"/>
  <c r="AB6" i="13"/>
  <c r="K623" i="50"/>
  <c r="AB5" i="13"/>
  <c r="K622" i="50"/>
  <c r="AB4" i="13"/>
  <c r="J534" i="50"/>
  <c r="J137" i="19" s="1"/>
  <c r="J547" i="50"/>
  <c r="J164" i="19" s="1"/>
  <c r="L534" i="50"/>
  <c r="L137" i="19" s="1"/>
  <c r="L547" i="50"/>
  <c r="L164" i="19" s="1"/>
  <c r="I534" i="50"/>
  <c r="I137" i="19" s="1"/>
  <c r="I547" i="50"/>
  <c r="I164" i="19" s="1"/>
  <c r="E33" i="53" l="1"/>
  <c r="E32" i="53"/>
  <c r="E31" i="53"/>
  <c r="E80" i="56" s="1"/>
  <c r="E101" i="56" s="1"/>
  <c r="E560" i="50"/>
  <c r="E837" i="19" s="1"/>
  <c r="E556" i="50"/>
  <c r="E833" i="19" s="1"/>
  <c r="E543" i="50"/>
  <c r="E160" i="19" s="1"/>
  <c r="O155" i="19"/>
  <c r="N137" i="19"/>
  <c r="E530" i="50"/>
  <c r="E133" i="19" s="1"/>
  <c r="N164" i="19"/>
  <c r="N155" i="19"/>
  <c r="O137" i="19"/>
  <c r="O164" i="19"/>
  <c r="E545" i="50"/>
  <c r="E162" i="19" s="1"/>
  <c r="E532" i="50"/>
  <c r="E135" i="19" s="1"/>
  <c r="E558" i="50"/>
  <c r="E835" i="19" s="1"/>
  <c r="E531" i="50"/>
  <c r="E134" i="19" s="1"/>
  <c r="E544" i="50"/>
  <c r="E161" i="19" s="1"/>
  <c r="E542" i="50"/>
  <c r="E159" i="19" s="1"/>
  <c r="E529" i="50"/>
  <c r="E132" i="19" s="1"/>
  <c r="E553" i="50"/>
  <c r="E830" i="19" s="1"/>
  <c r="AC5" i="13"/>
  <c r="L623" i="50"/>
  <c r="AD5" i="13" s="1"/>
  <c r="AC6" i="13"/>
  <c r="L624" i="50"/>
  <c r="AD6" i="13" s="1"/>
  <c r="AC4" i="13"/>
  <c r="L622" i="50"/>
  <c r="AD4" i="13" s="1"/>
  <c r="L621" i="50"/>
  <c r="AD3" i="13" s="1"/>
  <c r="AC3" i="13"/>
  <c r="K625" i="50"/>
  <c r="K626" i="50" s="1"/>
  <c r="AC8" i="13" s="1"/>
  <c r="AB7" i="13"/>
  <c r="L620" i="50"/>
  <c r="AD2" i="13" s="1"/>
  <c r="AC2" i="13"/>
  <c r="E126" i="56" l="1"/>
  <c r="E518" i="50" s="1"/>
  <c r="E297" i="19" s="1"/>
  <c r="E120" i="56"/>
  <c r="E514" i="50" s="1"/>
  <c r="E303" i="19" s="1"/>
  <c r="E112" i="56"/>
  <c r="E508" i="50" s="1"/>
  <c r="E309" i="19" s="1"/>
  <c r="E97" i="56"/>
  <c r="E174" i="26"/>
  <c r="E486" i="19"/>
  <c r="E182" i="26"/>
  <c r="E1186" i="19"/>
  <c r="E533" i="50"/>
  <c r="E136" i="19" s="1"/>
  <c r="E546" i="50"/>
  <c r="E163" i="19" s="1"/>
  <c r="E526" i="50"/>
  <c r="E129" i="19" s="1"/>
  <c r="E554" i="50"/>
  <c r="E831" i="19" s="1"/>
  <c r="E527" i="50"/>
  <c r="E130" i="19" s="1"/>
  <c r="E540" i="50"/>
  <c r="E157" i="19" s="1"/>
  <c r="E555" i="50"/>
  <c r="E832" i="19" s="1"/>
  <c r="E528" i="50"/>
  <c r="E131" i="19" s="1"/>
  <c r="E541" i="50"/>
  <c r="E158" i="19" s="1"/>
  <c r="E539" i="50"/>
  <c r="E156" i="19" s="1"/>
  <c r="L625" i="50"/>
  <c r="AD7" i="13" s="1"/>
  <c r="AC7" i="13"/>
  <c r="L626" i="50"/>
  <c r="AD8" i="13" s="1"/>
  <c r="O1159" i="19"/>
  <c r="N1159" i="19"/>
  <c r="O1158" i="19"/>
  <c r="N1158" i="19"/>
  <c r="O1157" i="19"/>
  <c r="N1157" i="19"/>
  <c r="O1156" i="19"/>
  <c r="N1156" i="19"/>
  <c r="O1161" i="19"/>
  <c r="N1161" i="19"/>
  <c r="O1165" i="19"/>
  <c r="N1165" i="19"/>
  <c r="O1164" i="19"/>
  <c r="N1164" i="19"/>
  <c r="O1163" i="19"/>
  <c r="N1163" i="19"/>
  <c r="O1162" i="19"/>
  <c r="N1162" i="19"/>
  <c r="O1167" i="19"/>
  <c r="N1167" i="19"/>
  <c r="I226" i="19"/>
  <c r="J226" i="19"/>
  <c r="K226" i="19"/>
  <c r="L226" i="19"/>
  <c r="M226" i="19"/>
  <c r="I227" i="19"/>
  <c r="J227" i="19"/>
  <c r="K227" i="19"/>
  <c r="L227" i="19"/>
  <c r="M227" i="19"/>
  <c r="I228" i="19"/>
  <c r="J228" i="19"/>
  <c r="K228" i="19"/>
  <c r="L228" i="19"/>
  <c r="M228" i="19"/>
  <c r="I229" i="19"/>
  <c r="J229" i="19"/>
  <c r="K229" i="19"/>
  <c r="L229" i="19"/>
  <c r="M229" i="19"/>
  <c r="I230" i="19"/>
  <c r="J230" i="19"/>
  <c r="K230" i="19"/>
  <c r="L230" i="19"/>
  <c r="M230" i="19"/>
  <c r="I231" i="19"/>
  <c r="J231" i="19"/>
  <c r="K231" i="19"/>
  <c r="L231" i="19"/>
  <c r="M231" i="19"/>
  <c r="I232" i="19"/>
  <c r="J232" i="19"/>
  <c r="K232" i="19"/>
  <c r="L232" i="19"/>
  <c r="M232" i="19"/>
  <c r="I233" i="19"/>
  <c r="J233" i="19"/>
  <c r="K233" i="19"/>
  <c r="L233" i="19"/>
  <c r="M233" i="19"/>
  <c r="I234" i="19"/>
  <c r="J234" i="19"/>
  <c r="K234" i="19"/>
  <c r="L234" i="19"/>
  <c r="M234" i="19"/>
  <c r="I235" i="19"/>
  <c r="J235" i="19"/>
  <c r="K235" i="19"/>
  <c r="L235" i="19"/>
  <c r="M235" i="19"/>
  <c r="I236" i="19"/>
  <c r="J236" i="19"/>
  <c r="K236" i="19"/>
  <c r="L236" i="19"/>
  <c r="M236" i="19"/>
  <c r="I237" i="19"/>
  <c r="J237" i="19"/>
  <c r="K237" i="19"/>
  <c r="L237" i="19"/>
  <c r="M237" i="19"/>
  <c r="I238" i="19"/>
  <c r="J238" i="19"/>
  <c r="K238" i="19"/>
  <c r="L238" i="19"/>
  <c r="M238" i="19"/>
  <c r="I239" i="19"/>
  <c r="J239" i="19"/>
  <c r="K239" i="19"/>
  <c r="L239" i="19"/>
  <c r="M239" i="19"/>
  <c r="I240" i="19"/>
  <c r="J240" i="19"/>
  <c r="K240" i="19"/>
  <c r="L240" i="19"/>
  <c r="M240" i="19"/>
  <c r="I241" i="19"/>
  <c r="J241" i="19"/>
  <c r="K241" i="19"/>
  <c r="L241" i="19"/>
  <c r="M241" i="19"/>
  <c r="I242" i="19"/>
  <c r="J242" i="19"/>
  <c r="K242" i="19"/>
  <c r="L242" i="19"/>
  <c r="M242" i="19"/>
  <c r="I243" i="19"/>
  <c r="J243" i="19"/>
  <c r="K243" i="19"/>
  <c r="L243" i="19"/>
  <c r="M243" i="19"/>
  <c r="I244" i="19"/>
  <c r="J244" i="19"/>
  <c r="K244" i="19"/>
  <c r="L244" i="19"/>
  <c r="M244" i="19"/>
  <c r="I245" i="19"/>
  <c r="J245" i="19"/>
  <c r="K245" i="19"/>
  <c r="L245" i="19"/>
  <c r="M245" i="19"/>
  <c r="I246" i="19"/>
  <c r="J246" i="19"/>
  <c r="K246" i="19"/>
  <c r="L246" i="19"/>
  <c r="M246" i="19"/>
  <c r="I247" i="19"/>
  <c r="J247" i="19"/>
  <c r="K247" i="19"/>
  <c r="L247" i="19"/>
  <c r="M247" i="19"/>
  <c r="I248" i="19"/>
  <c r="J248" i="19"/>
  <c r="K248" i="19"/>
  <c r="L248" i="19"/>
  <c r="M248" i="19"/>
  <c r="I249" i="19"/>
  <c r="J249" i="19"/>
  <c r="K249" i="19"/>
  <c r="L249" i="19"/>
  <c r="M249" i="19"/>
  <c r="I250" i="19"/>
  <c r="J250" i="19"/>
  <c r="K250" i="19"/>
  <c r="L250" i="19"/>
  <c r="M250" i="19"/>
  <c r="I251" i="19"/>
  <c r="J251" i="19"/>
  <c r="K251" i="19"/>
  <c r="L251" i="19"/>
  <c r="M251" i="19"/>
  <c r="I252" i="19"/>
  <c r="J252" i="19"/>
  <c r="K252" i="19"/>
  <c r="L252" i="19"/>
  <c r="M252" i="19"/>
  <c r="I253" i="19"/>
  <c r="J253" i="19"/>
  <c r="K253" i="19"/>
  <c r="L253" i="19"/>
  <c r="M253" i="19"/>
  <c r="I254" i="19"/>
  <c r="J254" i="19"/>
  <c r="K254" i="19"/>
  <c r="L254" i="19"/>
  <c r="M254" i="19"/>
  <c r="I255" i="19"/>
  <c r="J255" i="19"/>
  <c r="K255" i="19"/>
  <c r="L255" i="19"/>
  <c r="M255" i="19"/>
  <c r="I256" i="19"/>
  <c r="J256" i="19"/>
  <c r="K256" i="19"/>
  <c r="L256" i="19"/>
  <c r="M256" i="19"/>
  <c r="I257" i="19"/>
  <c r="J257" i="19"/>
  <c r="K257" i="19"/>
  <c r="L257" i="19"/>
  <c r="M257" i="19"/>
  <c r="I258" i="19"/>
  <c r="J258" i="19"/>
  <c r="K258" i="19"/>
  <c r="L258" i="19"/>
  <c r="M258" i="19"/>
  <c r="I259" i="19"/>
  <c r="J259" i="19"/>
  <c r="K259" i="19"/>
  <c r="L259" i="19"/>
  <c r="M259" i="19"/>
  <c r="I260" i="19"/>
  <c r="J260" i="19"/>
  <c r="K260" i="19"/>
  <c r="L260" i="19"/>
  <c r="M260" i="19"/>
  <c r="I261" i="19"/>
  <c r="J261" i="19"/>
  <c r="K261" i="19"/>
  <c r="L261" i="19"/>
  <c r="M261" i="19"/>
  <c r="I262" i="19"/>
  <c r="J262" i="19"/>
  <c r="K262" i="19"/>
  <c r="L262" i="19"/>
  <c r="M262" i="19"/>
  <c r="I263" i="19"/>
  <c r="J263" i="19"/>
  <c r="K263" i="19"/>
  <c r="L263" i="19"/>
  <c r="M263" i="19"/>
  <c r="I264" i="19"/>
  <c r="J264" i="19"/>
  <c r="K264" i="19"/>
  <c r="L264" i="19"/>
  <c r="M264" i="19"/>
  <c r="I265" i="19"/>
  <c r="J265" i="19"/>
  <c r="K265" i="19"/>
  <c r="L265" i="19"/>
  <c r="M265" i="19"/>
  <c r="I266" i="19"/>
  <c r="J266" i="19"/>
  <c r="K266" i="19"/>
  <c r="L266" i="19"/>
  <c r="M266" i="19"/>
  <c r="I267" i="19"/>
  <c r="J267" i="19"/>
  <c r="K267" i="19"/>
  <c r="L267" i="19"/>
  <c r="M267" i="19"/>
  <c r="I268" i="19"/>
  <c r="J268" i="19"/>
  <c r="K268" i="19"/>
  <c r="L268" i="19"/>
  <c r="M268" i="19"/>
  <c r="I269" i="19"/>
  <c r="J269" i="19"/>
  <c r="K269" i="19"/>
  <c r="L269" i="19"/>
  <c r="M269" i="19"/>
  <c r="I270" i="19"/>
  <c r="J270" i="19"/>
  <c r="K270" i="19"/>
  <c r="L270" i="19"/>
  <c r="M270" i="19"/>
  <c r="I271" i="19"/>
  <c r="J271" i="19"/>
  <c r="K271" i="19"/>
  <c r="L271" i="19"/>
  <c r="M271" i="19"/>
  <c r="I272" i="19"/>
  <c r="J272" i="19"/>
  <c r="K272" i="19"/>
  <c r="L272" i="19"/>
  <c r="M272" i="19"/>
  <c r="I273" i="19"/>
  <c r="J273" i="19"/>
  <c r="K273" i="19"/>
  <c r="L273" i="19"/>
  <c r="M273" i="19"/>
  <c r="I274" i="19"/>
  <c r="J274" i="19"/>
  <c r="K274" i="19"/>
  <c r="L274" i="19"/>
  <c r="M274" i="19"/>
  <c r="I275" i="19"/>
  <c r="J275" i="19"/>
  <c r="K275" i="19"/>
  <c r="L275" i="19"/>
  <c r="M275" i="19"/>
  <c r="I276" i="19"/>
  <c r="J276" i="19"/>
  <c r="K276" i="19"/>
  <c r="L276" i="19"/>
  <c r="M276" i="19"/>
  <c r="I277" i="19"/>
  <c r="J277" i="19"/>
  <c r="K277" i="19"/>
  <c r="L277" i="19"/>
  <c r="M277" i="19"/>
  <c r="I278" i="19"/>
  <c r="J278" i="19"/>
  <c r="K278" i="19"/>
  <c r="L278" i="19"/>
  <c r="M278" i="19"/>
  <c r="I279" i="19"/>
  <c r="J279" i="19"/>
  <c r="K279" i="19"/>
  <c r="L279" i="19"/>
  <c r="M279" i="19"/>
  <c r="I280" i="19"/>
  <c r="J280" i="19"/>
  <c r="K280" i="19"/>
  <c r="L280" i="19"/>
  <c r="M280" i="19"/>
  <c r="I281" i="19"/>
  <c r="J281" i="19"/>
  <c r="K281" i="19"/>
  <c r="L281" i="19"/>
  <c r="M281" i="19"/>
  <c r="I282" i="19"/>
  <c r="J282" i="19"/>
  <c r="K282" i="19"/>
  <c r="L282" i="19"/>
  <c r="M282" i="19"/>
  <c r="I225" i="19"/>
  <c r="J225" i="19"/>
  <c r="K225" i="19"/>
  <c r="L225" i="19"/>
  <c r="M225" i="19"/>
  <c r="A226" i="19"/>
  <c r="B226" i="19"/>
  <c r="C226" i="19"/>
  <c r="D226" i="19"/>
  <c r="E226" i="19"/>
  <c r="F226" i="19"/>
  <c r="G226" i="19"/>
  <c r="A227" i="19"/>
  <c r="B227" i="19"/>
  <c r="C227" i="19"/>
  <c r="D227" i="19"/>
  <c r="E227" i="19"/>
  <c r="F227" i="19"/>
  <c r="G227" i="19"/>
  <c r="A228" i="19"/>
  <c r="B228" i="19"/>
  <c r="C228" i="19"/>
  <c r="D228" i="19"/>
  <c r="E228" i="19"/>
  <c r="F228" i="19"/>
  <c r="G228" i="19"/>
  <c r="A229" i="19"/>
  <c r="B229" i="19"/>
  <c r="C229" i="19"/>
  <c r="D229" i="19"/>
  <c r="E229" i="19"/>
  <c r="F229" i="19"/>
  <c r="G229" i="19"/>
  <c r="A230" i="19"/>
  <c r="B230" i="19"/>
  <c r="C230" i="19"/>
  <c r="D230" i="19"/>
  <c r="E230" i="19"/>
  <c r="F230" i="19"/>
  <c r="G230" i="19"/>
  <c r="A231" i="19"/>
  <c r="B231" i="19"/>
  <c r="C231" i="19"/>
  <c r="D231" i="19"/>
  <c r="E231" i="19"/>
  <c r="F231" i="19"/>
  <c r="G231" i="19"/>
  <c r="A232" i="19"/>
  <c r="B232" i="19"/>
  <c r="C232" i="19"/>
  <c r="D232" i="19"/>
  <c r="E232" i="19"/>
  <c r="F232" i="19"/>
  <c r="G232" i="19"/>
  <c r="A233" i="19"/>
  <c r="B233" i="19"/>
  <c r="C233" i="19"/>
  <c r="D233" i="19"/>
  <c r="E233" i="19"/>
  <c r="F233" i="19"/>
  <c r="G233" i="19"/>
  <c r="A234" i="19"/>
  <c r="B234" i="19"/>
  <c r="C234" i="19"/>
  <c r="D234" i="19"/>
  <c r="E234" i="19"/>
  <c r="F234" i="19"/>
  <c r="G234" i="19"/>
  <c r="A235" i="19"/>
  <c r="B235" i="19"/>
  <c r="C235" i="19"/>
  <c r="D235" i="19"/>
  <c r="E235" i="19"/>
  <c r="F235" i="19"/>
  <c r="G235" i="19"/>
  <c r="A236" i="19"/>
  <c r="B236" i="19"/>
  <c r="C236" i="19"/>
  <c r="D236" i="19"/>
  <c r="E236" i="19"/>
  <c r="F236" i="19"/>
  <c r="G236" i="19"/>
  <c r="A237" i="19"/>
  <c r="B237" i="19"/>
  <c r="C237" i="19"/>
  <c r="D237" i="19"/>
  <c r="E237" i="19"/>
  <c r="F237" i="19"/>
  <c r="G237" i="19"/>
  <c r="A238" i="19"/>
  <c r="B238" i="19"/>
  <c r="C238" i="19"/>
  <c r="D238" i="19"/>
  <c r="E238" i="19"/>
  <c r="F238" i="19"/>
  <c r="G238" i="19"/>
  <c r="A239" i="19"/>
  <c r="B239" i="19"/>
  <c r="C239" i="19"/>
  <c r="D239" i="19"/>
  <c r="E239" i="19"/>
  <c r="F239" i="19"/>
  <c r="G239" i="19"/>
  <c r="A240" i="19"/>
  <c r="B240" i="19"/>
  <c r="C240" i="19"/>
  <c r="D240" i="19"/>
  <c r="E240" i="19"/>
  <c r="F240" i="19"/>
  <c r="G240" i="19"/>
  <c r="A241" i="19"/>
  <c r="B241" i="19"/>
  <c r="C241" i="19"/>
  <c r="D241" i="19"/>
  <c r="E241" i="19"/>
  <c r="F241" i="19"/>
  <c r="G241" i="19"/>
  <c r="A242" i="19"/>
  <c r="B242" i="19"/>
  <c r="C242" i="19"/>
  <c r="D242" i="19"/>
  <c r="E242" i="19"/>
  <c r="F242" i="19"/>
  <c r="G242" i="19"/>
  <c r="A243" i="19"/>
  <c r="B243" i="19"/>
  <c r="C243" i="19"/>
  <c r="D243" i="19"/>
  <c r="E243" i="19"/>
  <c r="F243" i="19"/>
  <c r="G243" i="19"/>
  <c r="A244" i="19"/>
  <c r="B244" i="19"/>
  <c r="C244" i="19"/>
  <c r="D244" i="19"/>
  <c r="E244" i="19"/>
  <c r="F244" i="19"/>
  <c r="G244" i="19"/>
  <c r="A245" i="19"/>
  <c r="B245" i="19"/>
  <c r="C245" i="19"/>
  <c r="D245" i="19"/>
  <c r="E245" i="19"/>
  <c r="F245" i="19"/>
  <c r="G245" i="19"/>
  <c r="A246" i="19"/>
  <c r="B246" i="19"/>
  <c r="C246" i="19"/>
  <c r="D246" i="19"/>
  <c r="E246" i="19"/>
  <c r="F246" i="19"/>
  <c r="G246" i="19"/>
  <c r="A247" i="19"/>
  <c r="B247" i="19"/>
  <c r="C247" i="19"/>
  <c r="D247" i="19"/>
  <c r="E247" i="19"/>
  <c r="F247" i="19"/>
  <c r="G247" i="19"/>
  <c r="A248" i="19"/>
  <c r="B248" i="19"/>
  <c r="C248" i="19"/>
  <c r="D248" i="19"/>
  <c r="E248" i="19"/>
  <c r="F248" i="19"/>
  <c r="G248" i="19"/>
  <c r="A249" i="19"/>
  <c r="B249" i="19"/>
  <c r="C249" i="19"/>
  <c r="D249" i="19"/>
  <c r="E249" i="19"/>
  <c r="F249" i="19"/>
  <c r="G249" i="19"/>
  <c r="A250" i="19"/>
  <c r="B250" i="19"/>
  <c r="C250" i="19"/>
  <c r="D250" i="19"/>
  <c r="E250" i="19"/>
  <c r="F250" i="19"/>
  <c r="G250" i="19"/>
  <c r="A251" i="19"/>
  <c r="B251" i="19"/>
  <c r="C251" i="19"/>
  <c r="D251" i="19"/>
  <c r="E251" i="19"/>
  <c r="F251" i="19"/>
  <c r="G251" i="19"/>
  <c r="A252" i="19"/>
  <c r="B252" i="19"/>
  <c r="C252" i="19"/>
  <c r="D252" i="19"/>
  <c r="E252" i="19"/>
  <c r="F252" i="19"/>
  <c r="G252" i="19"/>
  <c r="A253" i="19"/>
  <c r="B253" i="19"/>
  <c r="C253" i="19"/>
  <c r="D253" i="19"/>
  <c r="E253" i="19"/>
  <c r="F253" i="19"/>
  <c r="G253" i="19"/>
  <c r="A254" i="19"/>
  <c r="B254" i="19"/>
  <c r="C254" i="19"/>
  <c r="D254" i="19"/>
  <c r="E254" i="19"/>
  <c r="F254" i="19"/>
  <c r="G254" i="19"/>
  <c r="A255" i="19"/>
  <c r="B255" i="19"/>
  <c r="C255" i="19"/>
  <c r="D255" i="19"/>
  <c r="E255" i="19"/>
  <c r="F255" i="19"/>
  <c r="G255" i="19"/>
  <c r="A256" i="19"/>
  <c r="B256" i="19"/>
  <c r="C256" i="19"/>
  <c r="D256" i="19"/>
  <c r="E256" i="19"/>
  <c r="F256" i="19"/>
  <c r="G256" i="19"/>
  <c r="A257" i="19"/>
  <c r="B257" i="19"/>
  <c r="C257" i="19"/>
  <c r="D257" i="19"/>
  <c r="E257" i="19"/>
  <c r="F257" i="19"/>
  <c r="G257" i="19"/>
  <c r="A258" i="19"/>
  <c r="B258" i="19"/>
  <c r="C258" i="19"/>
  <c r="D258" i="19"/>
  <c r="E258" i="19"/>
  <c r="F258" i="19"/>
  <c r="G258" i="19"/>
  <c r="A259" i="19"/>
  <c r="B259" i="19"/>
  <c r="C259" i="19"/>
  <c r="D259" i="19"/>
  <c r="E259" i="19"/>
  <c r="F259" i="19"/>
  <c r="G259" i="19"/>
  <c r="A260" i="19"/>
  <c r="B260" i="19"/>
  <c r="C260" i="19"/>
  <c r="D260" i="19"/>
  <c r="E260" i="19"/>
  <c r="F260" i="19"/>
  <c r="G260" i="19"/>
  <c r="A261" i="19"/>
  <c r="B261" i="19"/>
  <c r="C261" i="19"/>
  <c r="D261" i="19"/>
  <c r="E261" i="19"/>
  <c r="F261" i="19"/>
  <c r="G261" i="19"/>
  <c r="A262" i="19"/>
  <c r="B262" i="19"/>
  <c r="C262" i="19"/>
  <c r="D262" i="19"/>
  <c r="E262" i="19"/>
  <c r="F262" i="19"/>
  <c r="G262" i="19"/>
  <c r="A263" i="19"/>
  <c r="B263" i="19"/>
  <c r="C263" i="19"/>
  <c r="D263" i="19"/>
  <c r="E263" i="19"/>
  <c r="F263" i="19"/>
  <c r="G263" i="19"/>
  <c r="A264" i="19"/>
  <c r="B264" i="19"/>
  <c r="C264" i="19"/>
  <c r="D264" i="19"/>
  <c r="E264" i="19"/>
  <c r="F264" i="19"/>
  <c r="G264" i="19"/>
  <c r="A265" i="19"/>
  <c r="B265" i="19"/>
  <c r="C265" i="19"/>
  <c r="D265" i="19"/>
  <c r="E265" i="19"/>
  <c r="F265" i="19"/>
  <c r="G265" i="19"/>
  <c r="A266" i="19"/>
  <c r="B266" i="19"/>
  <c r="C266" i="19"/>
  <c r="D266" i="19"/>
  <c r="E266" i="19"/>
  <c r="F266" i="19"/>
  <c r="G266" i="19"/>
  <c r="A267" i="19"/>
  <c r="B267" i="19"/>
  <c r="C267" i="19"/>
  <c r="D267" i="19"/>
  <c r="E267" i="19"/>
  <c r="F267" i="19"/>
  <c r="G267" i="19"/>
  <c r="A268" i="19"/>
  <c r="B268" i="19"/>
  <c r="C268" i="19"/>
  <c r="D268" i="19"/>
  <c r="E268" i="19"/>
  <c r="F268" i="19"/>
  <c r="G268" i="19"/>
  <c r="A269" i="19"/>
  <c r="B269" i="19"/>
  <c r="C269" i="19"/>
  <c r="D269" i="19"/>
  <c r="E269" i="19"/>
  <c r="F269" i="19"/>
  <c r="G269" i="19"/>
  <c r="A270" i="19"/>
  <c r="B270" i="19"/>
  <c r="C270" i="19"/>
  <c r="D270" i="19"/>
  <c r="E270" i="19"/>
  <c r="F270" i="19"/>
  <c r="G270" i="19"/>
  <c r="A271" i="19"/>
  <c r="B271" i="19"/>
  <c r="C271" i="19"/>
  <c r="D271" i="19"/>
  <c r="E271" i="19"/>
  <c r="F271" i="19"/>
  <c r="G271" i="19"/>
  <c r="A272" i="19"/>
  <c r="B272" i="19"/>
  <c r="C272" i="19"/>
  <c r="D272" i="19"/>
  <c r="E272" i="19"/>
  <c r="F272" i="19"/>
  <c r="G272" i="19"/>
  <c r="A273" i="19"/>
  <c r="B273" i="19"/>
  <c r="C273" i="19"/>
  <c r="D273" i="19"/>
  <c r="E273" i="19"/>
  <c r="F273" i="19"/>
  <c r="G273" i="19"/>
  <c r="A274" i="19"/>
  <c r="B274" i="19"/>
  <c r="C274" i="19"/>
  <c r="D274" i="19"/>
  <c r="E274" i="19"/>
  <c r="F274" i="19"/>
  <c r="G274" i="19"/>
  <c r="A275" i="19"/>
  <c r="B275" i="19"/>
  <c r="C275" i="19"/>
  <c r="D275" i="19"/>
  <c r="E275" i="19"/>
  <c r="F275" i="19"/>
  <c r="G275" i="19"/>
  <c r="A276" i="19"/>
  <c r="B276" i="19"/>
  <c r="C276" i="19"/>
  <c r="D276" i="19"/>
  <c r="E276" i="19"/>
  <c r="F276" i="19"/>
  <c r="G276" i="19"/>
  <c r="A277" i="19"/>
  <c r="B277" i="19"/>
  <c r="C277" i="19"/>
  <c r="D277" i="19"/>
  <c r="E277" i="19"/>
  <c r="F277" i="19"/>
  <c r="G277" i="19"/>
  <c r="A278" i="19"/>
  <c r="B278" i="19"/>
  <c r="C278" i="19"/>
  <c r="D278" i="19"/>
  <c r="E278" i="19"/>
  <c r="F278" i="19"/>
  <c r="G278" i="19"/>
  <c r="A279" i="19"/>
  <c r="B279" i="19"/>
  <c r="C279" i="19"/>
  <c r="D279" i="19"/>
  <c r="E279" i="19"/>
  <c r="F279" i="19"/>
  <c r="G279" i="19"/>
  <c r="A280" i="19"/>
  <c r="B280" i="19"/>
  <c r="C280" i="19"/>
  <c r="D280" i="19"/>
  <c r="E280" i="19"/>
  <c r="F280" i="19"/>
  <c r="G280" i="19"/>
  <c r="A281" i="19"/>
  <c r="B281" i="19"/>
  <c r="C281" i="19"/>
  <c r="D281" i="19"/>
  <c r="E281" i="19"/>
  <c r="F281" i="19"/>
  <c r="G281" i="19"/>
  <c r="A282" i="19"/>
  <c r="B282" i="19"/>
  <c r="C282" i="19"/>
  <c r="D282" i="19"/>
  <c r="E282" i="19"/>
  <c r="F282" i="19"/>
  <c r="G282" i="19"/>
  <c r="B225" i="19"/>
  <c r="C225" i="19"/>
  <c r="D225" i="19"/>
  <c r="E225" i="19"/>
  <c r="F225" i="19"/>
  <c r="G225" i="19"/>
  <c r="A225" i="19"/>
  <c r="G568" i="50"/>
  <c r="G319" i="19" s="1"/>
  <c r="G567" i="50"/>
  <c r="G318" i="19" s="1"/>
  <c r="E317" i="19"/>
  <c r="E568" i="50"/>
  <c r="E319" i="19" s="1"/>
  <c r="E517" i="50" l="1"/>
  <c r="E300" i="19" s="1"/>
  <c r="E483" i="50"/>
  <c r="E124" i="19" s="1"/>
  <c r="L627" i="50"/>
  <c r="AD9" i="13" s="1"/>
  <c r="G552" i="50"/>
  <c r="G829" i="19" s="1"/>
  <c r="G550" i="50"/>
  <c r="G828" i="19" s="1"/>
  <c r="N263" i="19"/>
  <c r="N281" i="19"/>
  <c r="N272" i="19"/>
  <c r="N229" i="19"/>
  <c r="N226" i="19"/>
  <c r="N261" i="19"/>
  <c r="N254" i="19"/>
  <c r="N252" i="19"/>
  <c r="N245" i="19"/>
  <c r="N243" i="19"/>
  <c r="N241" i="19"/>
  <c r="N238" i="19"/>
  <c r="N235" i="19"/>
  <c r="N232" i="19"/>
  <c r="O276" i="19"/>
  <c r="O267" i="19"/>
  <c r="O258" i="19"/>
  <c r="O256" i="19"/>
  <c r="O249" i="19"/>
  <c r="O247" i="19"/>
  <c r="O239" i="19"/>
  <c r="O236" i="19"/>
  <c r="O233" i="19"/>
  <c r="O230" i="19"/>
  <c r="O227" i="19"/>
  <c r="O225" i="19"/>
  <c r="O282" i="19"/>
  <c r="O281" i="19"/>
  <c r="O280" i="19"/>
  <c r="O279" i="19"/>
  <c r="O278" i="19"/>
  <c r="O277" i="19"/>
  <c r="O275" i="19"/>
  <c r="O274" i="19"/>
  <c r="O273" i="19"/>
  <c r="O272" i="19"/>
  <c r="O271" i="19"/>
  <c r="O270" i="19"/>
  <c r="O269" i="19"/>
  <c r="O268" i="19"/>
  <c r="O266" i="19"/>
  <c r="O265" i="19"/>
  <c r="O264" i="19"/>
  <c r="O263" i="19"/>
  <c r="O262" i="19"/>
  <c r="O261" i="19"/>
  <c r="O260" i="19"/>
  <c r="O259" i="19"/>
  <c r="O257" i="19"/>
  <c r="O255" i="19"/>
  <c r="O254" i="19"/>
  <c r="O253" i="19"/>
  <c r="O252" i="19"/>
  <c r="O251" i="19"/>
  <c r="O250" i="19"/>
  <c r="O248" i="19"/>
  <c r="O246" i="19"/>
  <c r="O245" i="19"/>
  <c r="O244" i="19"/>
  <c r="O243" i="19"/>
  <c r="O242" i="19"/>
  <c r="O241" i="19"/>
  <c r="O240" i="19"/>
  <c r="O238" i="19"/>
  <c r="O237" i="19"/>
  <c r="O235" i="19"/>
  <c r="O234" i="19"/>
  <c r="O232" i="19"/>
  <c r="O231" i="19"/>
  <c r="O229" i="19"/>
  <c r="O228" i="19"/>
  <c r="O226" i="19"/>
  <c r="N225" i="19"/>
  <c r="N282" i="19"/>
  <c r="N280" i="19"/>
  <c r="N279" i="19"/>
  <c r="N278" i="19"/>
  <c r="N277" i="19"/>
  <c r="N276" i="19"/>
  <c r="N275" i="19"/>
  <c r="N274" i="19"/>
  <c r="N273" i="19"/>
  <c r="N271" i="19"/>
  <c r="N270" i="19"/>
  <c r="N269" i="19"/>
  <c r="N268" i="19"/>
  <c r="N267" i="19"/>
  <c r="N266" i="19"/>
  <c r="N265" i="19"/>
  <c r="N264" i="19"/>
  <c r="N262" i="19"/>
  <c r="N260" i="19"/>
  <c r="N259" i="19"/>
  <c r="N258" i="19"/>
  <c r="N257" i="19"/>
  <c r="N256" i="19"/>
  <c r="N255" i="19"/>
  <c r="N253" i="19"/>
  <c r="N251" i="19"/>
  <c r="N250" i="19"/>
  <c r="N249" i="19"/>
  <c r="N248" i="19"/>
  <c r="N247" i="19"/>
  <c r="N246" i="19"/>
  <c r="N244" i="19"/>
  <c r="N242" i="19"/>
  <c r="N240" i="19"/>
  <c r="N239" i="19"/>
  <c r="N237" i="19"/>
  <c r="N236" i="19"/>
  <c r="N234" i="19"/>
  <c r="N233" i="19"/>
  <c r="N231" i="19"/>
  <c r="N230" i="19"/>
  <c r="N228" i="19"/>
  <c r="N227" i="19"/>
  <c r="E549" i="50"/>
  <c r="E166" i="19" s="1"/>
  <c r="E505" i="50" l="1"/>
  <c r="E312" i="19" s="1"/>
  <c r="E550" i="50"/>
  <c r="E828" i="19" s="1"/>
  <c r="E523" i="50"/>
  <c r="E127" i="19" s="1"/>
  <c r="E536" i="50"/>
  <c r="E154" i="19" s="1"/>
  <c r="G523" i="50"/>
  <c r="G127" i="19" s="1"/>
  <c r="G536" i="50"/>
  <c r="G154" i="19" s="1"/>
  <c r="G525" i="50"/>
  <c r="G128" i="19" s="1"/>
  <c r="G538" i="50"/>
  <c r="G155" i="19" s="1"/>
  <c r="E552" i="50"/>
  <c r="E829" i="19" s="1"/>
  <c r="E511" i="50" l="1"/>
  <c r="E306" i="19" s="1"/>
  <c r="E485" i="50"/>
  <c r="E723" i="19" s="1"/>
  <c r="E497" i="50"/>
  <c r="E1176" i="19" s="1"/>
  <c r="E489" i="50"/>
  <c r="E763" i="19" s="1"/>
  <c r="E487" i="50"/>
  <c r="E426" i="19" s="1"/>
  <c r="E499" i="50"/>
  <c r="E1335" i="19" s="1"/>
  <c r="E501" i="50"/>
  <c r="E1340" i="19" s="1"/>
  <c r="E491" i="50"/>
  <c r="E1056" i="19" s="1"/>
  <c r="E495" i="50"/>
  <c r="E1174" i="19" s="1"/>
  <c r="E493" i="50"/>
  <c r="E1154" i="19" s="1"/>
  <c r="E513" i="50"/>
  <c r="E308" i="19" s="1"/>
  <c r="E507" i="50"/>
  <c r="E314" i="19" s="1"/>
  <c r="E506" i="50"/>
  <c r="E313" i="19" s="1"/>
  <c r="E525" i="50"/>
  <c r="E128" i="19" s="1"/>
  <c r="E538" i="50"/>
  <c r="E155" i="19" s="1"/>
  <c r="E512" i="50" l="1"/>
  <c r="E307" i="19" s="1"/>
  <c r="E548" i="50"/>
  <c r="E165" i="19" s="1"/>
  <c r="A168" i="19"/>
  <c r="B168" i="19"/>
  <c r="C168" i="19"/>
  <c r="D168" i="19"/>
  <c r="E168" i="19"/>
  <c r="F168" i="19"/>
  <c r="G168" i="19"/>
  <c r="H168" i="19"/>
  <c r="J168" i="19"/>
  <c r="K168" i="19"/>
  <c r="L168" i="19"/>
  <c r="M168" i="19"/>
  <c r="A169" i="19"/>
  <c r="B169" i="19"/>
  <c r="C169" i="19"/>
  <c r="D169" i="19"/>
  <c r="E169" i="19"/>
  <c r="F169" i="19"/>
  <c r="G169" i="19"/>
  <c r="H169" i="19"/>
  <c r="J169" i="19"/>
  <c r="K169" i="19"/>
  <c r="L169" i="19"/>
  <c r="M169" i="19"/>
  <c r="A170" i="19"/>
  <c r="B170" i="19"/>
  <c r="C170" i="19"/>
  <c r="D170" i="19"/>
  <c r="E170" i="19"/>
  <c r="F170" i="19"/>
  <c r="G170" i="19"/>
  <c r="H170" i="19"/>
  <c r="J170" i="19"/>
  <c r="K170" i="19"/>
  <c r="L170" i="19"/>
  <c r="M170" i="19"/>
  <c r="A171" i="19"/>
  <c r="B171" i="19"/>
  <c r="C171" i="19"/>
  <c r="D171" i="19"/>
  <c r="E171" i="19"/>
  <c r="F171" i="19"/>
  <c r="G171" i="19"/>
  <c r="H171" i="19"/>
  <c r="J171" i="19"/>
  <c r="K171" i="19"/>
  <c r="L171" i="19"/>
  <c r="M171" i="19"/>
  <c r="A172" i="19"/>
  <c r="B172" i="19"/>
  <c r="C172" i="19"/>
  <c r="D172" i="19"/>
  <c r="E172" i="19"/>
  <c r="F172" i="19"/>
  <c r="G172" i="19"/>
  <c r="H172" i="19"/>
  <c r="J172" i="19"/>
  <c r="K172" i="19"/>
  <c r="L172" i="19"/>
  <c r="M172" i="19"/>
  <c r="A173" i="19"/>
  <c r="B173" i="19"/>
  <c r="C173" i="19"/>
  <c r="D173" i="19"/>
  <c r="E173" i="19"/>
  <c r="F173" i="19"/>
  <c r="G173" i="19"/>
  <c r="H173" i="19"/>
  <c r="J173" i="19"/>
  <c r="K173" i="19"/>
  <c r="L173" i="19"/>
  <c r="M173" i="19"/>
  <c r="A174" i="19"/>
  <c r="B174" i="19"/>
  <c r="C174" i="19"/>
  <c r="D174" i="19"/>
  <c r="E174" i="19"/>
  <c r="F174" i="19"/>
  <c r="G174" i="19"/>
  <c r="H174" i="19"/>
  <c r="J174" i="19"/>
  <c r="K174" i="19"/>
  <c r="L174" i="19"/>
  <c r="M174" i="19"/>
  <c r="A175" i="19"/>
  <c r="B175" i="19"/>
  <c r="C175" i="19"/>
  <c r="D175" i="19"/>
  <c r="E175" i="19"/>
  <c r="F175" i="19"/>
  <c r="G175" i="19"/>
  <c r="H175" i="19"/>
  <c r="J175" i="19"/>
  <c r="K175" i="19"/>
  <c r="L175" i="19"/>
  <c r="M175" i="19"/>
  <c r="A176" i="19"/>
  <c r="B176" i="19"/>
  <c r="C176" i="19"/>
  <c r="D176" i="19"/>
  <c r="E176" i="19"/>
  <c r="F176" i="19"/>
  <c r="G176" i="19"/>
  <c r="H176" i="19"/>
  <c r="J176" i="19"/>
  <c r="K176" i="19"/>
  <c r="L176" i="19"/>
  <c r="M176" i="19"/>
  <c r="A177" i="19"/>
  <c r="B177" i="19"/>
  <c r="C177" i="19"/>
  <c r="D177" i="19"/>
  <c r="E177" i="19"/>
  <c r="F177" i="19"/>
  <c r="G177" i="19"/>
  <c r="H177" i="19"/>
  <c r="J177" i="19"/>
  <c r="K177" i="19"/>
  <c r="L177" i="19"/>
  <c r="M177" i="19"/>
  <c r="A178" i="19"/>
  <c r="B178" i="19"/>
  <c r="C178" i="19"/>
  <c r="D178" i="19"/>
  <c r="E178" i="19"/>
  <c r="F178" i="19"/>
  <c r="G178" i="19"/>
  <c r="H178" i="19"/>
  <c r="J178" i="19"/>
  <c r="K178" i="19"/>
  <c r="L178" i="19"/>
  <c r="M178" i="19"/>
  <c r="A179" i="19"/>
  <c r="B179" i="19"/>
  <c r="C179" i="19"/>
  <c r="D179" i="19"/>
  <c r="E179" i="19"/>
  <c r="F179" i="19"/>
  <c r="G179" i="19"/>
  <c r="H179" i="19"/>
  <c r="J179" i="19"/>
  <c r="K179" i="19"/>
  <c r="L179" i="19"/>
  <c r="M179" i="19"/>
  <c r="A180" i="19"/>
  <c r="B180" i="19"/>
  <c r="C180" i="19"/>
  <c r="D180" i="19"/>
  <c r="E180" i="19"/>
  <c r="F180" i="19"/>
  <c r="G180" i="19"/>
  <c r="H180" i="19"/>
  <c r="J180" i="19"/>
  <c r="K180" i="19"/>
  <c r="L180" i="19"/>
  <c r="M180" i="19"/>
  <c r="A181" i="19"/>
  <c r="B181" i="19"/>
  <c r="C181" i="19"/>
  <c r="D181" i="19"/>
  <c r="E181" i="19"/>
  <c r="F181" i="19"/>
  <c r="G181" i="19"/>
  <c r="H181" i="19"/>
  <c r="J181" i="19"/>
  <c r="K181" i="19"/>
  <c r="L181" i="19"/>
  <c r="M181" i="19"/>
  <c r="A182" i="19"/>
  <c r="B182" i="19"/>
  <c r="C182" i="19"/>
  <c r="D182" i="19"/>
  <c r="E182" i="19"/>
  <c r="F182" i="19"/>
  <c r="G182" i="19"/>
  <c r="H182" i="19"/>
  <c r="J182" i="19"/>
  <c r="K182" i="19"/>
  <c r="L182" i="19"/>
  <c r="M182" i="19"/>
  <c r="A183" i="19"/>
  <c r="B183" i="19"/>
  <c r="C183" i="19"/>
  <c r="D183" i="19"/>
  <c r="E183" i="19"/>
  <c r="F183" i="19"/>
  <c r="G183" i="19"/>
  <c r="H183" i="19"/>
  <c r="J183" i="19"/>
  <c r="K183" i="19"/>
  <c r="L183" i="19"/>
  <c r="M183" i="19"/>
  <c r="A184" i="19"/>
  <c r="B184" i="19"/>
  <c r="C184" i="19"/>
  <c r="D184" i="19"/>
  <c r="E184" i="19"/>
  <c r="F184" i="19"/>
  <c r="G184" i="19"/>
  <c r="H184" i="19"/>
  <c r="J184" i="19"/>
  <c r="K184" i="19"/>
  <c r="L184" i="19"/>
  <c r="M184" i="19"/>
  <c r="A185" i="19"/>
  <c r="B185" i="19"/>
  <c r="C185" i="19"/>
  <c r="D185" i="19"/>
  <c r="E185" i="19"/>
  <c r="F185" i="19"/>
  <c r="G185" i="19"/>
  <c r="H185" i="19"/>
  <c r="J185" i="19"/>
  <c r="K185" i="19"/>
  <c r="L185" i="19"/>
  <c r="M185" i="19"/>
  <c r="A186" i="19"/>
  <c r="B186" i="19"/>
  <c r="C186" i="19"/>
  <c r="D186" i="19"/>
  <c r="E186" i="19"/>
  <c r="F186" i="19"/>
  <c r="G186" i="19"/>
  <c r="H186" i="19"/>
  <c r="J186" i="19"/>
  <c r="K186" i="19"/>
  <c r="L186" i="19"/>
  <c r="M186" i="19"/>
  <c r="A187" i="19"/>
  <c r="B187" i="19"/>
  <c r="C187" i="19"/>
  <c r="D187" i="19"/>
  <c r="E187" i="19"/>
  <c r="F187" i="19"/>
  <c r="G187" i="19"/>
  <c r="H187" i="19"/>
  <c r="J187" i="19"/>
  <c r="K187" i="19"/>
  <c r="L187" i="19"/>
  <c r="M187" i="19"/>
  <c r="A188" i="19"/>
  <c r="B188" i="19"/>
  <c r="C188" i="19"/>
  <c r="D188" i="19"/>
  <c r="E188" i="19"/>
  <c r="F188" i="19"/>
  <c r="G188" i="19"/>
  <c r="H188" i="19"/>
  <c r="J188" i="19"/>
  <c r="K188" i="19"/>
  <c r="L188" i="19"/>
  <c r="M188" i="19"/>
  <c r="A189" i="19"/>
  <c r="B189" i="19"/>
  <c r="C189" i="19"/>
  <c r="D189" i="19"/>
  <c r="E189" i="19"/>
  <c r="F189" i="19"/>
  <c r="G189" i="19"/>
  <c r="H189" i="19"/>
  <c r="J189" i="19"/>
  <c r="K189" i="19"/>
  <c r="L189" i="19"/>
  <c r="M189" i="19"/>
  <c r="A190" i="19"/>
  <c r="B190" i="19"/>
  <c r="C190" i="19"/>
  <c r="D190" i="19"/>
  <c r="E190" i="19"/>
  <c r="F190" i="19"/>
  <c r="G190" i="19"/>
  <c r="H190" i="19"/>
  <c r="J190" i="19"/>
  <c r="K190" i="19"/>
  <c r="L190" i="19"/>
  <c r="M190" i="19"/>
  <c r="A191" i="19"/>
  <c r="B191" i="19"/>
  <c r="C191" i="19"/>
  <c r="D191" i="19"/>
  <c r="E191" i="19"/>
  <c r="F191" i="19"/>
  <c r="G191" i="19"/>
  <c r="H191" i="19"/>
  <c r="J191" i="19"/>
  <c r="K191" i="19"/>
  <c r="L191" i="19"/>
  <c r="M191" i="19"/>
  <c r="A192" i="19"/>
  <c r="B192" i="19"/>
  <c r="C192" i="19"/>
  <c r="D192" i="19"/>
  <c r="E192" i="19"/>
  <c r="F192" i="19"/>
  <c r="G192" i="19"/>
  <c r="H192" i="19"/>
  <c r="J192" i="19"/>
  <c r="K192" i="19"/>
  <c r="L192" i="19"/>
  <c r="M192" i="19"/>
  <c r="A193" i="19"/>
  <c r="B193" i="19"/>
  <c r="C193" i="19"/>
  <c r="D193" i="19"/>
  <c r="E193" i="19"/>
  <c r="F193" i="19"/>
  <c r="G193" i="19"/>
  <c r="H193" i="19"/>
  <c r="J193" i="19"/>
  <c r="K193" i="19"/>
  <c r="L193" i="19"/>
  <c r="M193" i="19"/>
  <c r="A194" i="19"/>
  <c r="B194" i="19"/>
  <c r="C194" i="19"/>
  <c r="D194" i="19"/>
  <c r="E194" i="19"/>
  <c r="F194" i="19"/>
  <c r="G194" i="19"/>
  <c r="H194" i="19"/>
  <c r="J194" i="19"/>
  <c r="K194" i="19"/>
  <c r="L194" i="19"/>
  <c r="M194" i="19"/>
  <c r="A195" i="19"/>
  <c r="B195" i="19"/>
  <c r="C195" i="19"/>
  <c r="D195" i="19"/>
  <c r="E195" i="19"/>
  <c r="F195" i="19"/>
  <c r="G195" i="19"/>
  <c r="H195" i="19"/>
  <c r="J195" i="19"/>
  <c r="K195" i="19"/>
  <c r="L195" i="19"/>
  <c r="M195" i="19"/>
  <c r="A196" i="19"/>
  <c r="B196" i="19"/>
  <c r="C196" i="19"/>
  <c r="D196" i="19"/>
  <c r="E196" i="19"/>
  <c r="F196" i="19"/>
  <c r="G196" i="19"/>
  <c r="H196" i="19"/>
  <c r="J196" i="19"/>
  <c r="K196" i="19"/>
  <c r="L196" i="19"/>
  <c r="M196" i="19"/>
  <c r="A197" i="19"/>
  <c r="B197" i="19"/>
  <c r="C197" i="19"/>
  <c r="D197" i="19"/>
  <c r="E197" i="19"/>
  <c r="F197" i="19"/>
  <c r="G197" i="19"/>
  <c r="H197" i="19"/>
  <c r="J197" i="19"/>
  <c r="K197" i="19"/>
  <c r="L197" i="19"/>
  <c r="M197" i="19"/>
  <c r="A198" i="19"/>
  <c r="B198" i="19"/>
  <c r="C198" i="19"/>
  <c r="D198" i="19"/>
  <c r="E198" i="19"/>
  <c r="F198" i="19"/>
  <c r="G198" i="19"/>
  <c r="H198" i="19"/>
  <c r="J198" i="19"/>
  <c r="K198" i="19"/>
  <c r="L198" i="19"/>
  <c r="M198" i="19"/>
  <c r="A199" i="19"/>
  <c r="C199" i="19"/>
  <c r="D199" i="19"/>
  <c r="E199" i="19"/>
  <c r="F199" i="19"/>
  <c r="G199" i="19"/>
  <c r="H199" i="19"/>
  <c r="J199" i="19"/>
  <c r="K199" i="19"/>
  <c r="L199" i="19"/>
  <c r="M199" i="19"/>
  <c r="A200" i="19"/>
  <c r="C200" i="19"/>
  <c r="D200" i="19"/>
  <c r="E200" i="19"/>
  <c r="F200" i="19"/>
  <c r="G200" i="19"/>
  <c r="H200" i="19"/>
  <c r="J200" i="19"/>
  <c r="K200" i="19"/>
  <c r="L200" i="19"/>
  <c r="M200" i="19"/>
  <c r="A201" i="19"/>
  <c r="C201" i="19"/>
  <c r="D201" i="19"/>
  <c r="E201" i="19"/>
  <c r="F201" i="19"/>
  <c r="G201" i="19"/>
  <c r="H201" i="19"/>
  <c r="J201" i="19"/>
  <c r="K201" i="19"/>
  <c r="L201" i="19"/>
  <c r="M201" i="19"/>
  <c r="A202" i="19"/>
  <c r="B202" i="19"/>
  <c r="C202" i="19"/>
  <c r="D202" i="19"/>
  <c r="E202" i="19"/>
  <c r="F202" i="19"/>
  <c r="G202" i="19"/>
  <c r="H202" i="19"/>
  <c r="J202" i="19"/>
  <c r="K202" i="19"/>
  <c r="L202" i="19"/>
  <c r="M202" i="19"/>
  <c r="A203" i="19"/>
  <c r="B203" i="19"/>
  <c r="C203" i="19"/>
  <c r="D203" i="19"/>
  <c r="E203" i="19"/>
  <c r="F203" i="19"/>
  <c r="G203" i="19"/>
  <c r="H203" i="19"/>
  <c r="J203" i="19"/>
  <c r="K203" i="19"/>
  <c r="L203" i="19"/>
  <c r="M203" i="19"/>
  <c r="A204" i="19"/>
  <c r="B204" i="19"/>
  <c r="C204" i="19"/>
  <c r="D204" i="19"/>
  <c r="E204" i="19"/>
  <c r="F204" i="19"/>
  <c r="G204" i="19"/>
  <c r="H204" i="19"/>
  <c r="J204" i="19"/>
  <c r="K204" i="19"/>
  <c r="L204" i="19"/>
  <c r="M204" i="19"/>
  <c r="A205" i="19"/>
  <c r="B205" i="19"/>
  <c r="C205" i="19"/>
  <c r="D205" i="19"/>
  <c r="E205" i="19"/>
  <c r="F205" i="19"/>
  <c r="G205" i="19"/>
  <c r="H205" i="19"/>
  <c r="J205" i="19"/>
  <c r="K205" i="19"/>
  <c r="L205" i="19"/>
  <c r="M205" i="19"/>
  <c r="A206" i="19"/>
  <c r="B206" i="19"/>
  <c r="C206" i="19"/>
  <c r="D206" i="19"/>
  <c r="E206" i="19"/>
  <c r="F206" i="19"/>
  <c r="G206" i="19"/>
  <c r="H206" i="19"/>
  <c r="J206" i="19"/>
  <c r="K206" i="19"/>
  <c r="L206" i="19"/>
  <c r="M206" i="19"/>
  <c r="A207" i="19"/>
  <c r="B207" i="19"/>
  <c r="C207" i="19"/>
  <c r="D207" i="19"/>
  <c r="E207" i="19"/>
  <c r="F207" i="19"/>
  <c r="G207" i="19"/>
  <c r="H207" i="19"/>
  <c r="J207" i="19"/>
  <c r="K207" i="19"/>
  <c r="L207" i="19"/>
  <c r="M207" i="19"/>
  <c r="A208" i="19"/>
  <c r="B208" i="19"/>
  <c r="C208" i="19"/>
  <c r="D208" i="19"/>
  <c r="E208" i="19"/>
  <c r="F208" i="19"/>
  <c r="G208" i="19"/>
  <c r="H208" i="19"/>
  <c r="J208" i="19"/>
  <c r="K208" i="19"/>
  <c r="L208" i="19"/>
  <c r="M208" i="19"/>
  <c r="A209" i="19"/>
  <c r="B209" i="19"/>
  <c r="C209" i="19"/>
  <c r="D209" i="19"/>
  <c r="E209" i="19"/>
  <c r="F209" i="19"/>
  <c r="G209" i="19"/>
  <c r="H209" i="19"/>
  <c r="J209" i="19"/>
  <c r="K209" i="19"/>
  <c r="L209" i="19"/>
  <c r="M209" i="19"/>
  <c r="A210" i="19"/>
  <c r="B210" i="19"/>
  <c r="C210" i="19"/>
  <c r="D210" i="19"/>
  <c r="E210" i="19"/>
  <c r="F210" i="19"/>
  <c r="G210" i="19"/>
  <c r="H210" i="19"/>
  <c r="J210" i="19"/>
  <c r="K210" i="19"/>
  <c r="L210" i="19"/>
  <c r="M210" i="19"/>
  <c r="A211" i="19"/>
  <c r="B211" i="19"/>
  <c r="C211" i="19"/>
  <c r="D211" i="19"/>
  <c r="E211" i="19"/>
  <c r="F211" i="19"/>
  <c r="G211" i="19"/>
  <c r="H211" i="19"/>
  <c r="J211" i="19"/>
  <c r="K211" i="19"/>
  <c r="L211" i="19"/>
  <c r="M211" i="19"/>
  <c r="A212" i="19"/>
  <c r="B212" i="19"/>
  <c r="C212" i="19"/>
  <c r="D212" i="19"/>
  <c r="E212" i="19"/>
  <c r="F212" i="19"/>
  <c r="G212" i="19"/>
  <c r="H212" i="19"/>
  <c r="J212" i="19"/>
  <c r="K212" i="19"/>
  <c r="L212" i="19"/>
  <c r="M212" i="19"/>
  <c r="A213" i="19"/>
  <c r="B213" i="19"/>
  <c r="C213" i="19"/>
  <c r="D213" i="19"/>
  <c r="E213" i="19"/>
  <c r="F213" i="19"/>
  <c r="G213" i="19"/>
  <c r="H213" i="19"/>
  <c r="J213" i="19"/>
  <c r="K213" i="19"/>
  <c r="L213" i="19"/>
  <c r="M213" i="19"/>
  <c r="A214" i="19"/>
  <c r="B214" i="19"/>
  <c r="C214" i="19"/>
  <c r="D214" i="19"/>
  <c r="E214" i="19"/>
  <c r="F214" i="19"/>
  <c r="G214" i="19"/>
  <c r="H214" i="19"/>
  <c r="J214" i="19"/>
  <c r="K214" i="19"/>
  <c r="L214" i="19"/>
  <c r="M214" i="19"/>
  <c r="A215" i="19"/>
  <c r="B215" i="19"/>
  <c r="C215" i="19"/>
  <c r="D215" i="19"/>
  <c r="E215" i="19"/>
  <c r="F215" i="19"/>
  <c r="G215" i="19"/>
  <c r="H215" i="19"/>
  <c r="J215" i="19"/>
  <c r="K215" i="19"/>
  <c r="L215" i="19"/>
  <c r="M215" i="19"/>
  <c r="A216" i="19"/>
  <c r="B216" i="19"/>
  <c r="C216" i="19"/>
  <c r="D216" i="19"/>
  <c r="E216" i="19"/>
  <c r="F216" i="19"/>
  <c r="G216" i="19"/>
  <c r="H216" i="19"/>
  <c r="J216" i="19"/>
  <c r="K216" i="19"/>
  <c r="L216" i="19"/>
  <c r="M216" i="19"/>
  <c r="A217" i="19"/>
  <c r="B217" i="19"/>
  <c r="C217" i="19"/>
  <c r="D217" i="19"/>
  <c r="E217" i="19"/>
  <c r="F217" i="19"/>
  <c r="G217" i="19"/>
  <c r="H217" i="19"/>
  <c r="J217" i="19"/>
  <c r="K217" i="19"/>
  <c r="L217" i="19"/>
  <c r="M217" i="19"/>
  <c r="A218" i="19"/>
  <c r="B218" i="19"/>
  <c r="C218" i="19"/>
  <c r="D218" i="19"/>
  <c r="E218" i="19"/>
  <c r="F218" i="19"/>
  <c r="G218" i="19"/>
  <c r="H218" i="19"/>
  <c r="J218" i="19"/>
  <c r="K218" i="19"/>
  <c r="L218" i="19"/>
  <c r="M218" i="19"/>
  <c r="A219" i="19"/>
  <c r="B219" i="19"/>
  <c r="C219" i="19"/>
  <c r="D219" i="19"/>
  <c r="E219" i="19"/>
  <c r="F219" i="19"/>
  <c r="G219" i="19"/>
  <c r="H219" i="19"/>
  <c r="J219" i="19"/>
  <c r="K219" i="19"/>
  <c r="L219" i="19"/>
  <c r="M219" i="19"/>
  <c r="A220" i="19"/>
  <c r="B220" i="19"/>
  <c r="C220" i="19"/>
  <c r="D220" i="19"/>
  <c r="E220" i="19"/>
  <c r="F220" i="19"/>
  <c r="G220" i="19"/>
  <c r="H220" i="19"/>
  <c r="J220" i="19"/>
  <c r="K220" i="19"/>
  <c r="L220" i="19"/>
  <c r="M220" i="19"/>
  <c r="A221" i="19"/>
  <c r="B221" i="19"/>
  <c r="C221" i="19"/>
  <c r="D221" i="19"/>
  <c r="E221" i="19"/>
  <c r="F221" i="19"/>
  <c r="G221" i="19"/>
  <c r="H221" i="19"/>
  <c r="J221" i="19"/>
  <c r="K221" i="19"/>
  <c r="L221" i="19"/>
  <c r="M221" i="19"/>
  <c r="A222" i="19"/>
  <c r="B222" i="19"/>
  <c r="C222" i="19"/>
  <c r="D222" i="19"/>
  <c r="E222" i="19"/>
  <c r="F222" i="19"/>
  <c r="G222" i="19"/>
  <c r="H222" i="19"/>
  <c r="J222" i="19"/>
  <c r="K222" i="19"/>
  <c r="L222" i="19"/>
  <c r="M222" i="19"/>
  <c r="A223" i="19"/>
  <c r="B223" i="19"/>
  <c r="C223" i="19"/>
  <c r="D223" i="19"/>
  <c r="E223" i="19"/>
  <c r="F223" i="19"/>
  <c r="G223" i="19"/>
  <c r="H223" i="19"/>
  <c r="J223" i="19"/>
  <c r="K223" i="19"/>
  <c r="L223" i="19"/>
  <c r="M223" i="19"/>
  <c r="A224" i="19"/>
  <c r="B224" i="19"/>
  <c r="C224" i="19"/>
  <c r="D224" i="19"/>
  <c r="E224" i="19"/>
  <c r="F224" i="19"/>
  <c r="G224" i="19"/>
  <c r="H224" i="19"/>
  <c r="J224" i="19"/>
  <c r="K224" i="19"/>
  <c r="L224" i="19"/>
  <c r="M224" i="19"/>
  <c r="J167" i="19"/>
  <c r="K167" i="19"/>
  <c r="L167" i="19"/>
  <c r="M167" i="19"/>
  <c r="H167" i="19"/>
  <c r="G167" i="19"/>
  <c r="F167" i="19"/>
  <c r="E167" i="19"/>
  <c r="D167" i="19"/>
  <c r="C167" i="19"/>
  <c r="B167" i="19"/>
  <c r="A167" i="19"/>
  <c r="B7" i="50"/>
  <c r="B6" i="50"/>
  <c r="B1134" i="20"/>
  <c r="C1134" i="20"/>
  <c r="B1135" i="20"/>
  <c r="C1135" i="20"/>
  <c r="B1136" i="20"/>
  <c r="C1136" i="20"/>
  <c r="B1137" i="20"/>
  <c r="C1137" i="20"/>
  <c r="B1138" i="20"/>
  <c r="C1138" i="20"/>
  <c r="B1139" i="20"/>
  <c r="C1139" i="20"/>
  <c r="B1140" i="20"/>
  <c r="C1140" i="20"/>
  <c r="B1141" i="20"/>
  <c r="C1141" i="20"/>
  <c r="B1142" i="20"/>
  <c r="C1142" i="20"/>
  <c r="B1143" i="20"/>
  <c r="C1143" i="20"/>
  <c r="B1144" i="20"/>
  <c r="C1144" i="20"/>
  <c r="B1145" i="20"/>
  <c r="C1145" i="20"/>
  <c r="B1146" i="20"/>
  <c r="C1146" i="20"/>
  <c r="B1147" i="20"/>
  <c r="C1147" i="20"/>
  <c r="B1065" i="20"/>
  <c r="C1065" i="20"/>
  <c r="B1066" i="20"/>
  <c r="C1066" i="20"/>
  <c r="B1067" i="20"/>
  <c r="C1067" i="20"/>
  <c r="B1068" i="20"/>
  <c r="C1068" i="20"/>
  <c r="B1069" i="20"/>
  <c r="C1069" i="20"/>
  <c r="B1070" i="20"/>
  <c r="C1070" i="20"/>
  <c r="B1071" i="20"/>
  <c r="C1071" i="20"/>
  <c r="B1072" i="20"/>
  <c r="C1072" i="20"/>
  <c r="B1073" i="20"/>
  <c r="C1073" i="20"/>
  <c r="B1074" i="20"/>
  <c r="C1074" i="20"/>
  <c r="B1075" i="20"/>
  <c r="C1075" i="20"/>
  <c r="B1076" i="20"/>
  <c r="C1076" i="20"/>
  <c r="B1077" i="20"/>
  <c r="C1077" i="20"/>
  <c r="B1078" i="20"/>
  <c r="C1078" i="20"/>
  <c r="B1079" i="20"/>
  <c r="C1079" i="20"/>
  <c r="B1080" i="20"/>
  <c r="C1080" i="20"/>
  <c r="B1081" i="20"/>
  <c r="C1081" i="20"/>
  <c r="B1082" i="20"/>
  <c r="C1082" i="20"/>
  <c r="B1083" i="20"/>
  <c r="C1083" i="20"/>
  <c r="B1084" i="20"/>
  <c r="C1084" i="20"/>
  <c r="B1085" i="20"/>
  <c r="C1085" i="20"/>
  <c r="B1086" i="20"/>
  <c r="C1086" i="20"/>
  <c r="B1087" i="20"/>
  <c r="C1087" i="20"/>
  <c r="B1088" i="20"/>
  <c r="C1088" i="20"/>
  <c r="B1089" i="20"/>
  <c r="C1089" i="20"/>
  <c r="B1090" i="20"/>
  <c r="C1090" i="20"/>
  <c r="B1091" i="20"/>
  <c r="C1091" i="20"/>
  <c r="B1092" i="20"/>
  <c r="C1092" i="20"/>
  <c r="B1093" i="20"/>
  <c r="C1093" i="20"/>
  <c r="B1094" i="20"/>
  <c r="C1094" i="20"/>
  <c r="B1095" i="20"/>
  <c r="C1095" i="20"/>
  <c r="B1096" i="20"/>
  <c r="C1096" i="20"/>
  <c r="B1097" i="20"/>
  <c r="C1097" i="20"/>
  <c r="B1098" i="20"/>
  <c r="C1098" i="20"/>
  <c r="B1099" i="20"/>
  <c r="C1099" i="20"/>
  <c r="B1100" i="20"/>
  <c r="C1100" i="20"/>
  <c r="B1101" i="20"/>
  <c r="C1101" i="20"/>
  <c r="B1102" i="20"/>
  <c r="C1102" i="20"/>
  <c r="B1103" i="20"/>
  <c r="C1103" i="20"/>
  <c r="B1104" i="20"/>
  <c r="C1104" i="20"/>
  <c r="B1105" i="20"/>
  <c r="C1105" i="20"/>
  <c r="B1106" i="20"/>
  <c r="C1106" i="20"/>
  <c r="B1107" i="20"/>
  <c r="C1107" i="20"/>
  <c r="B1108" i="20"/>
  <c r="C1108" i="20"/>
  <c r="B1109" i="20"/>
  <c r="C1109" i="20"/>
  <c r="B1110" i="20"/>
  <c r="C1110" i="20"/>
  <c r="B1111" i="20"/>
  <c r="C1111" i="20"/>
  <c r="B1112" i="20"/>
  <c r="C1112" i="20"/>
  <c r="B1113" i="20"/>
  <c r="C1113" i="20"/>
  <c r="B1114" i="20"/>
  <c r="C1114" i="20"/>
  <c r="B1115" i="20"/>
  <c r="C1115" i="20"/>
  <c r="B1116" i="20"/>
  <c r="C1116" i="20"/>
  <c r="B1117" i="20"/>
  <c r="C1117" i="20"/>
  <c r="B1118" i="20"/>
  <c r="C1118" i="20"/>
  <c r="B1119" i="20"/>
  <c r="C1119" i="20"/>
  <c r="B1120" i="20"/>
  <c r="C1120" i="20"/>
  <c r="B1121" i="20"/>
  <c r="C1121" i="20"/>
  <c r="B1122" i="20"/>
  <c r="C1122" i="20"/>
  <c r="B1123" i="20"/>
  <c r="C1123" i="20"/>
  <c r="B1124" i="20"/>
  <c r="C1124" i="20"/>
  <c r="B1125" i="20"/>
  <c r="C1125" i="20"/>
  <c r="B1126" i="20"/>
  <c r="C1126" i="20"/>
  <c r="B1127" i="20"/>
  <c r="C1127" i="20"/>
  <c r="B1128" i="20"/>
  <c r="C1128" i="20"/>
  <c r="B1129" i="20"/>
  <c r="C1129" i="20"/>
  <c r="B1130" i="20"/>
  <c r="C1130" i="20"/>
  <c r="B1131" i="20"/>
  <c r="C1131" i="20"/>
  <c r="B1132" i="20"/>
  <c r="C1132" i="20"/>
  <c r="B1133" i="20"/>
  <c r="C1133" i="20"/>
  <c r="C1064" i="20"/>
  <c r="B1064" i="20"/>
  <c r="B981" i="20"/>
  <c r="C981" i="20"/>
  <c r="B982" i="20"/>
  <c r="C982" i="20"/>
  <c r="B983" i="20"/>
  <c r="C983" i="20"/>
  <c r="B984" i="20"/>
  <c r="C984" i="20"/>
  <c r="B985" i="20"/>
  <c r="C985" i="20"/>
  <c r="B986" i="20"/>
  <c r="C986" i="20"/>
  <c r="B987" i="20"/>
  <c r="C987" i="20"/>
  <c r="B988" i="20"/>
  <c r="C988" i="20"/>
  <c r="B989" i="20"/>
  <c r="C989" i="20"/>
  <c r="B990" i="20"/>
  <c r="C990" i="20"/>
  <c r="B991" i="20"/>
  <c r="C991" i="20"/>
  <c r="B992" i="20"/>
  <c r="C992" i="20"/>
  <c r="B993" i="20"/>
  <c r="C993" i="20"/>
  <c r="B994" i="20"/>
  <c r="C994" i="20"/>
  <c r="B995" i="20"/>
  <c r="C995" i="20"/>
  <c r="B996" i="20"/>
  <c r="C996" i="20"/>
  <c r="B997" i="20"/>
  <c r="C997" i="20"/>
  <c r="B998" i="20"/>
  <c r="C998" i="20"/>
  <c r="B999" i="20"/>
  <c r="C999" i="20"/>
  <c r="B1000" i="20"/>
  <c r="C1000" i="20"/>
  <c r="B1001" i="20"/>
  <c r="C1001" i="20"/>
  <c r="B1002" i="20"/>
  <c r="C1002" i="20"/>
  <c r="B1003" i="20"/>
  <c r="C1003" i="20"/>
  <c r="B1004" i="20"/>
  <c r="C1004" i="20"/>
  <c r="B1005" i="20"/>
  <c r="C1005" i="20"/>
  <c r="B1006" i="20"/>
  <c r="C1006" i="20"/>
  <c r="B1007" i="20"/>
  <c r="C1007" i="20"/>
  <c r="B1008" i="20"/>
  <c r="C1008" i="20"/>
  <c r="B1009" i="20"/>
  <c r="C1009" i="20"/>
  <c r="B1010" i="20"/>
  <c r="C1010" i="20"/>
  <c r="B1011" i="20"/>
  <c r="C1011" i="20"/>
  <c r="B1012" i="20"/>
  <c r="C1012" i="20"/>
  <c r="B1013" i="20"/>
  <c r="C1013" i="20"/>
  <c r="B1014" i="20"/>
  <c r="C1014" i="20"/>
  <c r="B1015" i="20"/>
  <c r="C1015" i="20"/>
  <c r="B1016" i="20"/>
  <c r="C1016" i="20"/>
  <c r="B1017" i="20"/>
  <c r="C1017" i="20"/>
  <c r="B1018" i="20"/>
  <c r="C1018" i="20"/>
  <c r="B1019" i="20"/>
  <c r="C1019" i="20"/>
  <c r="B1020" i="20"/>
  <c r="C1020" i="20"/>
  <c r="B1021" i="20"/>
  <c r="C1021" i="20"/>
  <c r="B1022" i="20"/>
  <c r="C1022" i="20"/>
  <c r="B1023" i="20"/>
  <c r="C1023" i="20"/>
  <c r="B1024" i="20"/>
  <c r="C1024" i="20"/>
  <c r="B1025" i="20"/>
  <c r="C1025" i="20"/>
  <c r="B1026" i="20"/>
  <c r="C1026" i="20"/>
  <c r="B1027" i="20"/>
  <c r="C1027" i="20"/>
  <c r="B1028" i="20"/>
  <c r="C1028" i="20"/>
  <c r="B1029" i="20"/>
  <c r="C1029" i="20"/>
  <c r="B1030" i="20"/>
  <c r="C1030" i="20"/>
  <c r="B1031" i="20"/>
  <c r="C1031" i="20"/>
  <c r="B1032" i="20"/>
  <c r="C1032" i="20"/>
  <c r="B1033" i="20"/>
  <c r="C1033" i="20"/>
  <c r="B1034" i="20"/>
  <c r="C1034" i="20"/>
  <c r="B1035" i="20"/>
  <c r="C1035" i="20"/>
  <c r="B1036" i="20"/>
  <c r="C1036" i="20"/>
  <c r="B1037" i="20"/>
  <c r="C1037" i="20"/>
  <c r="B1038" i="20"/>
  <c r="C1038" i="20"/>
  <c r="B1039" i="20"/>
  <c r="C1039" i="20"/>
  <c r="B1040" i="20"/>
  <c r="C1040" i="20"/>
  <c r="B1041" i="20"/>
  <c r="C1041" i="20"/>
  <c r="B1042" i="20"/>
  <c r="C1042" i="20"/>
  <c r="B1043" i="20"/>
  <c r="C1043" i="20"/>
  <c r="B1044" i="20"/>
  <c r="C1044" i="20"/>
  <c r="B1045" i="20"/>
  <c r="C1045" i="20"/>
  <c r="B1046" i="20"/>
  <c r="C1046" i="20"/>
  <c r="B1047" i="20"/>
  <c r="C1047" i="20"/>
  <c r="B1048" i="20"/>
  <c r="C1048" i="20"/>
  <c r="B1049" i="20"/>
  <c r="C1049" i="20"/>
  <c r="B1050" i="20"/>
  <c r="C1050" i="20"/>
  <c r="B1051" i="20"/>
  <c r="C1051" i="20"/>
  <c r="B1052" i="20"/>
  <c r="C1052" i="20"/>
  <c r="B1053" i="20"/>
  <c r="C1053" i="20"/>
  <c r="B1054" i="20"/>
  <c r="C1054" i="20"/>
  <c r="B1055" i="20"/>
  <c r="C1055" i="20"/>
  <c r="B1056" i="20"/>
  <c r="C1056" i="20"/>
  <c r="B1057" i="20"/>
  <c r="C1057" i="20"/>
  <c r="B1058" i="20"/>
  <c r="C1058" i="20"/>
  <c r="B1059" i="20"/>
  <c r="C1059" i="20"/>
  <c r="B1060" i="20"/>
  <c r="C1060" i="20"/>
  <c r="B1061" i="20"/>
  <c r="C1061" i="20"/>
  <c r="B1062" i="20"/>
  <c r="C1062" i="20"/>
  <c r="B1063" i="20"/>
  <c r="C1063" i="20"/>
  <c r="C980" i="20"/>
  <c r="B980" i="20"/>
  <c r="B897" i="20"/>
  <c r="C897" i="20"/>
  <c r="B898" i="20"/>
  <c r="C898" i="20"/>
  <c r="B899" i="20"/>
  <c r="C899" i="20"/>
  <c r="B900" i="20"/>
  <c r="C900" i="20"/>
  <c r="B901" i="20"/>
  <c r="C901" i="20"/>
  <c r="B902" i="20"/>
  <c r="C902" i="20"/>
  <c r="B903" i="20"/>
  <c r="C903" i="20"/>
  <c r="B904" i="20"/>
  <c r="C904" i="20"/>
  <c r="B905" i="20"/>
  <c r="C905" i="20"/>
  <c r="B906" i="20"/>
  <c r="C906" i="20"/>
  <c r="B907" i="20"/>
  <c r="C907" i="20"/>
  <c r="B908" i="20"/>
  <c r="C908" i="20"/>
  <c r="B909" i="20"/>
  <c r="C909" i="20"/>
  <c r="B910" i="20"/>
  <c r="C910" i="20"/>
  <c r="B911" i="20"/>
  <c r="C911" i="20"/>
  <c r="B912" i="20"/>
  <c r="C912" i="20"/>
  <c r="B913" i="20"/>
  <c r="C913" i="20"/>
  <c r="B914" i="20"/>
  <c r="C914" i="20"/>
  <c r="B915" i="20"/>
  <c r="C915" i="20"/>
  <c r="B916" i="20"/>
  <c r="C916" i="20"/>
  <c r="B917" i="20"/>
  <c r="C917" i="20"/>
  <c r="B918" i="20"/>
  <c r="C918" i="20"/>
  <c r="B919" i="20"/>
  <c r="C919" i="20"/>
  <c r="B920" i="20"/>
  <c r="C920" i="20"/>
  <c r="B921" i="20"/>
  <c r="C921" i="20"/>
  <c r="B922" i="20"/>
  <c r="C922" i="20"/>
  <c r="B923" i="20"/>
  <c r="C923" i="20"/>
  <c r="B924" i="20"/>
  <c r="C924" i="20"/>
  <c r="B925" i="20"/>
  <c r="C925" i="20"/>
  <c r="B926" i="20"/>
  <c r="C926" i="20"/>
  <c r="B927" i="20"/>
  <c r="C927" i="20"/>
  <c r="B928" i="20"/>
  <c r="C928" i="20"/>
  <c r="B929" i="20"/>
  <c r="C929" i="20"/>
  <c r="B930" i="20"/>
  <c r="C930" i="20"/>
  <c r="B931" i="20"/>
  <c r="C931" i="20"/>
  <c r="B932" i="20"/>
  <c r="C932" i="20"/>
  <c r="B933" i="20"/>
  <c r="C933" i="20"/>
  <c r="B934" i="20"/>
  <c r="C934" i="20"/>
  <c r="B935" i="20"/>
  <c r="C935" i="20"/>
  <c r="B936" i="20"/>
  <c r="C936" i="20"/>
  <c r="B937" i="20"/>
  <c r="C937" i="20"/>
  <c r="B938" i="20"/>
  <c r="C938" i="20"/>
  <c r="B939" i="20"/>
  <c r="C939" i="20"/>
  <c r="B940" i="20"/>
  <c r="C940" i="20"/>
  <c r="B941" i="20"/>
  <c r="C941" i="20"/>
  <c r="B942" i="20"/>
  <c r="C942" i="20"/>
  <c r="B943" i="20"/>
  <c r="C943" i="20"/>
  <c r="B944" i="20"/>
  <c r="C944" i="20"/>
  <c r="B945" i="20"/>
  <c r="C945" i="20"/>
  <c r="B946" i="20"/>
  <c r="C946" i="20"/>
  <c r="B947" i="20"/>
  <c r="C947" i="20"/>
  <c r="B948" i="20"/>
  <c r="C948" i="20"/>
  <c r="B949" i="20"/>
  <c r="C949" i="20"/>
  <c r="B950" i="20"/>
  <c r="C950" i="20"/>
  <c r="B951" i="20"/>
  <c r="C951" i="20"/>
  <c r="B952" i="20"/>
  <c r="C952" i="20"/>
  <c r="B953" i="20"/>
  <c r="C953" i="20"/>
  <c r="B954" i="20"/>
  <c r="C954" i="20"/>
  <c r="B955" i="20"/>
  <c r="C955" i="20"/>
  <c r="B956" i="20"/>
  <c r="C956" i="20"/>
  <c r="B957" i="20"/>
  <c r="C957" i="20"/>
  <c r="B958" i="20"/>
  <c r="C958" i="20"/>
  <c r="B959" i="20"/>
  <c r="C959" i="20"/>
  <c r="B960" i="20"/>
  <c r="C960" i="20"/>
  <c r="B961" i="20"/>
  <c r="C961" i="20"/>
  <c r="B962" i="20"/>
  <c r="C962" i="20"/>
  <c r="B963" i="20"/>
  <c r="C963" i="20"/>
  <c r="B964" i="20"/>
  <c r="C964" i="20"/>
  <c r="B965" i="20"/>
  <c r="C965" i="20"/>
  <c r="B966" i="20"/>
  <c r="C966" i="20"/>
  <c r="B967" i="20"/>
  <c r="C967" i="20"/>
  <c r="B968" i="20"/>
  <c r="C968" i="20"/>
  <c r="B969" i="20"/>
  <c r="C969" i="20"/>
  <c r="B970" i="20"/>
  <c r="C970" i="20"/>
  <c r="B971" i="20"/>
  <c r="C971" i="20"/>
  <c r="B972" i="20"/>
  <c r="C972" i="20"/>
  <c r="B973" i="20"/>
  <c r="C973" i="20"/>
  <c r="B974" i="20"/>
  <c r="C974" i="20"/>
  <c r="B975" i="20"/>
  <c r="C975" i="20"/>
  <c r="B976" i="20"/>
  <c r="C976" i="20"/>
  <c r="B977" i="20"/>
  <c r="C977" i="20"/>
  <c r="B978" i="20"/>
  <c r="C978" i="20"/>
  <c r="B979" i="20"/>
  <c r="C979" i="20"/>
  <c r="C896" i="20"/>
  <c r="B896" i="20"/>
  <c r="B812" i="20"/>
  <c r="C812" i="20"/>
  <c r="B813" i="20"/>
  <c r="C813" i="20"/>
  <c r="B814" i="20"/>
  <c r="C814" i="20"/>
  <c r="B815" i="20"/>
  <c r="C815" i="20"/>
  <c r="B816" i="20"/>
  <c r="C816" i="20"/>
  <c r="B817" i="20"/>
  <c r="C817" i="20"/>
  <c r="B818" i="20"/>
  <c r="C818" i="20"/>
  <c r="B819" i="20"/>
  <c r="C819" i="20"/>
  <c r="B820" i="20"/>
  <c r="C820" i="20"/>
  <c r="B821" i="20"/>
  <c r="C821" i="20"/>
  <c r="B822" i="20"/>
  <c r="C822" i="20"/>
  <c r="B823" i="20"/>
  <c r="C823" i="20"/>
  <c r="B824" i="20"/>
  <c r="C824" i="20"/>
  <c r="B825" i="20"/>
  <c r="C825" i="20"/>
  <c r="B826" i="20"/>
  <c r="C826" i="20"/>
  <c r="B827" i="20"/>
  <c r="C827" i="20"/>
  <c r="B828" i="20"/>
  <c r="C828" i="20"/>
  <c r="B829" i="20"/>
  <c r="C829" i="20"/>
  <c r="B830" i="20"/>
  <c r="C830" i="20"/>
  <c r="B831" i="20"/>
  <c r="C831" i="20"/>
  <c r="B832" i="20"/>
  <c r="C832" i="20"/>
  <c r="B833" i="20"/>
  <c r="C833" i="20"/>
  <c r="B834" i="20"/>
  <c r="C834" i="20"/>
  <c r="B835" i="20"/>
  <c r="C835" i="20"/>
  <c r="B836" i="20"/>
  <c r="C836" i="20"/>
  <c r="B837" i="20"/>
  <c r="C837" i="20"/>
  <c r="B838" i="20"/>
  <c r="C838" i="20"/>
  <c r="B839" i="20"/>
  <c r="C839" i="20"/>
  <c r="B840" i="20"/>
  <c r="C840" i="20"/>
  <c r="B841" i="20"/>
  <c r="C841" i="20"/>
  <c r="B842" i="20"/>
  <c r="C842" i="20"/>
  <c r="B843" i="20"/>
  <c r="C843" i="20"/>
  <c r="B844" i="20"/>
  <c r="C844" i="20"/>
  <c r="B845" i="20"/>
  <c r="C845" i="20"/>
  <c r="B846" i="20"/>
  <c r="C846" i="20"/>
  <c r="B847" i="20"/>
  <c r="C847" i="20"/>
  <c r="B848" i="20"/>
  <c r="C848" i="20"/>
  <c r="B849" i="20"/>
  <c r="C849" i="20"/>
  <c r="B850" i="20"/>
  <c r="C850" i="20"/>
  <c r="B851" i="20"/>
  <c r="C851" i="20"/>
  <c r="B852" i="20"/>
  <c r="C852" i="20"/>
  <c r="B853" i="20"/>
  <c r="C853" i="20"/>
  <c r="B854" i="20"/>
  <c r="C854" i="20"/>
  <c r="B855" i="20"/>
  <c r="C855" i="20"/>
  <c r="B856" i="20"/>
  <c r="C856" i="20"/>
  <c r="B857" i="20"/>
  <c r="C857" i="20"/>
  <c r="B858" i="20"/>
  <c r="C858" i="20"/>
  <c r="B859" i="20"/>
  <c r="C859" i="20"/>
  <c r="B860" i="20"/>
  <c r="C860" i="20"/>
  <c r="B861" i="20"/>
  <c r="C861" i="20"/>
  <c r="B862" i="20"/>
  <c r="C862" i="20"/>
  <c r="B863" i="20"/>
  <c r="C863" i="20"/>
  <c r="B864" i="20"/>
  <c r="C864" i="20"/>
  <c r="B865" i="20"/>
  <c r="C865" i="20"/>
  <c r="B866" i="20"/>
  <c r="C866" i="20"/>
  <c r="B867" i="20"/>
  <c r="C867" i="20"/>
  <c r="B868" i="20"/>
  <c r="C868" i="20"/>
  <c r="B869" i="20"/>
  <c r="C869" i="20"/>
  <c r="B870" i="20"/>
  <c r="C870" i="20"/>
  <c r="B871" i="20"/>
  <c r="C871" i="20"/>
  <c r="B872" i="20"/>
  <c r="C872" i="20"/>
  <c r="B873" i="20"/>
  <c r="C873" i="20"/>
  <c r="B874" i="20"/>
  <c r="C874" i="20"/>
  <c r="B875" i="20"/>
  <c r="C875" i="20"/>
  <c r="B876" i="20"/>
  <c r="C876" i="20"/>
  <c r="B877" i="20"/>
  <c r="C877" i="20"/>
  <c r="B878" i="20"/>
  <c r="C878" i="20"/>
  <c r="B879" i="20"/>
  <c r="C879" i="20"/>
  <c r="B880" i="20"/>
  <c r="C880" i="20"/>
  <c r="B881" i="20"/>
  <c r="C881" i="20"/>
  <c r="B882" i="20"/>
  <c r="C882" i="20"/>
  <c r="B883" i="20"/>
  <c r="C883" i="20"/>
  <c r="B884" i="20"/>
  <c r="C884" i="20"/>
  <c r="B885" i="20"/>
  <c r="C885" i="20"/>
  <c r="B886" i="20"/>
  <c r="C886" i="20"/>
  <c r="B887" i="20"/>
  <c r="C887" i="20"/>
  <c r="B888" i="20"/>
  <c r="C888" i="20"/>
  <c r="B889" i="20"/>
  <c r="C889" i="20"/>
  <c r="B890" i="20"/>
  <c r="C890" i="20"/>
  <c r="B891" i="20"/>
  <c r="C891" i="20"/>
  <c r="B892" i="20"/>
  <c r="C892" i="20"/>
  <c r="B893" i="20"/>
  <c r="C893" i="20"/>
  <c r="B894" i="20"/>
  <c r="C894" i="20"/>
  <c r="B895" i="20"/>
  <c r="C895" i="20"/>
  <c r="G110" i="50"/>
  <c r="G111" i="50"/>
  <c r="I111" i="50" s="1"/>
  <c r="K111" i="50" s="1"/>
  <c r="G112" i="50"/>
  <c r="I112" i="50" s="1"/>
  <c r="L112" i="50" s="1"/>
  <c r="G113" i="50"/>
  <c r="G114" i="50"/>
  <c r="I114" i="50" s="1"/>
  <c r="K114" i="50" s="1"/>
  <c r="G115" i="50"/>
  <c r="I115" i="50" s="1"/>
  <c r="K115" i="50" s="1"/>
  <c r="G116" i="50"/>
  <c r="G117" i="50"/>
  <c r="I117" i="50" s="1"/>
  <c r="K117" i="50" s="1"/>
  <c r="G118" i="50"/>
  <c r="I118" i="50" s="1"/>
  <c r="L118" i="50" s="1"/>
  <c r="G119" i="50"/>
  <c r="G120" i="50"/>
  <c r="I120" i="50" s="1"/>
  <c r="K120" i="50" s="1"/>
  <c r="G121" i="50"/>
  <c r="I121" i="50" s="1"/>
  <c r="L121" i="50" s="1"/>
  <c r="G122" i="50"/>
  <c r="G123" i="50"/>
  <c r="I123" i="50" s="1"/>
  <c r="K123" i="50" s="1"/>
  <c r="G124" i="50"/>
  <c r="I124" i="50" s="1"/>
  <c r="K124" i="50" s="1"/>
  <c r="G125" i="50"/>
  <c r="G126" i="50"/>
  <c r="I126" i="50" s="1"/>
  <c r="K126" i="50" s="1"/>
  <c r="G127" i="50"/>
  <c r="I127" i="50" s="1"/>
  <c r="L127" i="50" s="1"/>
  <c r="G128" i="50"/>
  <c r="G129" i="50"/>
  <c r="I129" i="50" s="1"/>
  <c r="K129" i="50" s="1"/>
  <c r="G130" i="50"/>
  <c r="I130" i="50" s="1"/>
  <c r="L130" i="50" s="1"/>
  <c r="G131" i="50"/>
  <c r="G132" i="50"/>
  <c r="I132" i="50" s="1"/>
  <c r="L132" i="50" s="1"/>
  <c r="G133" i="50"/>
  <c r="H133" i="50" s="1"/>
  <c r="J133" i="50" s="1"/>
  <c r="G134" i="50"/>
  <c r="G135" i="50"/>
  <c r="I135" i="50" s="1"/>
  <c r="K135" i="50" s="1"/>
  <c r="G136" i="50"/>
  <c r="I136" i="50" s="1"/>
  <c r="L136" i="50" s="1"/>
  <c r="G137" i="50"/>
  <c r="G138" i="50"/>
  <c r="I138" i="50" s="1"/>
  <c r="K138" i="50" s="1"/>
  <c r="G139" i="50"/>
  <c r="I139" i="50" s="1"/>
  <c r="L139" i="50" s="1"/>
  <c r="G140" i="50"/>
  <c r="G141" i="50"/>
  <c r="I141" i="50" s="1"/>
  <c r="K141" i="50" s="1"/>
  <c r="G142" i="50"/>
  <c r="H142" i="50" s="1"/>
  <c r="J142" i="50" s="1"/>
  <c r="G143" i="50"/>
  <c r="G144" i="50"/>
  <c r="I144" i="50" s="1"/>
  <c r="K144" i="50" s="1"/>
  <c r="G145" i="50"/>
  <c r="I145" i="50" s="1"/>
  <c r="L145" i="50" s="1"/>
  <c r="G146" i="50"/>
  <c r="G147" i="50"/>
  <c r="I147" i="50" s="1"/>
  <c r="K147" i="50" s="1"/>
  <c r="G148" i="50"/>
  <c r="I148" i="50" s="1"/>
  <c r="L148" i="50" s="1"/>
  <c r="G149" i="50"/>
  <c r="G150" i="50"/>
  <c r="I150" i="50" s="1"/>
  <c r="K150" i="50" s="1"/>
  <c r="G151" i="50"/>
  <c r="H151" i="50" s="1"/>
  <c r="J151" i="50" s="1"/>
  <c r="G152" i="50"/>
  <c r="G153" i="50"/>
  <c r="I153" i="50" s="1"/>
  <c r="K153" i="50" s="1"/>
  <c r="G154" i="50"/>
  <c r="I154" i="50" s="1"/>
  <c r="L154" i="50" s="1"/>
  <c r="G155" i="50"/>
  <c r="G156" i="50"/>
  <c r="I156" i="50" s="1"/>
  <c r="K156" i="50" s="1"/>
  <c r="G157" i="50"/>
  <c r="I157" i="50" s="1"/>
  <c r="L157" i="50" s="1"/>
  <c r="G158" i="50"/>
  <c r="G159" i="50"/>
  <c r="I159" i="50" s="1"/>
  <c r="L159" i="50" s="1"/>
  <c r="G160" i="50"/>
  <c r="H160" i="50" s="1"/>
  <c r="J160" i="50" s="1"/>
  <c r="G161" i="50"/>
  <c r="G162" i="50"/>
  <c r="I162" i="50" s="1"/>
  <c r="K162" i="50" s="1"/>
  <c r="G163" i="50"/>
  <c r="I163" i="50" s="1"/>
  <c r="L163" i="50" s="1"/>
  <c r="G164" i="50"/>
  <c r="G165" i="50"/>
  <c r="I165" i="50" s="1"/>
  <c r="K165" i="50" s="1"/>
  <c r="G166" i="50"/>
  <c r="I166" i="50" s="1"/>
  <c r="L166" i="50" s="1"/>
  <c r="G167" i="50"/>
  <c r="G168" i="50"/>
  <c r="I168" i="50" s="1"/>
  <c r="K168" i="50" s="1"/>
  <c r="G169" i="50"/>
  <c r="H169" i="50" s="1"/>
  <c r="J169" i="50" s="1"/>
  <c r="G170" i="50"/>
  <c r="G171" i="50"/>
  <c r="I171" i="50" s="1"/>
  <c r="K171" i="50" s="1"/>
  <c r="G172" i="50"/>
  <c r="I172" i="50" s="1"/>
  <c r="L172" i="50" s="1"/>
  <c r="G173" i="50"/>
  <c r="G174" i="50"/>
  <c r="I174" i="50" s="1"/>
  <c r="K174" i="50" s="1"/>
  <c r="G175" i="50"/>
  <c r="I175" i="50" s="1"/>
  <c r="L175" i="50" s="1"/>
  <c r="G176" i="50"/>
  <c r="G177" i="50"/>
  <c r="I177" i="50" s="1"/>
  <c r="K177" i="50" s="1"/>
  <c r="G178" i="50"/>
  <c r="H178" i="50" s="1"/>
  <c r="J178" i="50" s="1"/>
  <c r="G179" i="50"/>
  <c r="G180" i="50"/>
  <c r="I180" i="50" s="1"/>
  <c r="K180" i="50" s="1"/>
  <c r="G181" i="50"/>
  <c r="I181" i="50" s="1"/>
  <c r="L181" i="50" s="1"/>
  <c r="G182" i="50"/>
  <c r="G183" i="50"/>
  <c r="I183" i="50" s="1"/>
  <c r="K183" i="50" s="1"/>
  <c r="G184" i="50"/>
  <c r="I184" i="50" s="1"/>
  <c r="L184" i="50" s="1"/>
  <c r="G185" i="50"/>
  <c r="G186" i="50"/>
  <c r="I186" i="50" s="1"/>
  <c r="L186" i="50" s="1"/>
  <c r="G187" i="50"/>
  <c r="H187" i="50" s="1"/>
  <c r="J187" i="50" s="1"/>
  <c r="G188" i="50"/>
  <c r="G189" i="50"/>
  <c r="I189" i="50" s="1"/>
  <c r="K189" i="50" s="1"/>
  <c r="G190" i="50"/>
  <c r="I190" i="50" s="1"/>
  <c r="L190" i="50" s="1"/>
  <c r="G191" i="50"/>
  <c r="G192" i="50"/>
  <c r="I192" i="50" s="1"/>
  <c r="K192" i="50" s="1"/>
  <c r="G109" i="50"/>
  <c r="H109" i="50" s="1"/>
  <c r="J109" i="50" s="1"/>
  <c r="G21" i="50"/>
  <c r="G22" i="50"/>
  <c r="H22" i="50" s="1"/>
  <c r="J22" i="50" s="1"/>
  <c r="N22" i="50" s="1"/>
  <c r="D1066" i="20" s="1"/>
  <c r="G23" i="50"/>
  <c r="G24" i="50"/>
  <c r="I24" i="50" s="1"/>
  <c r="K24" i="50" s="1"/>
  <c r="D816" i="20" s="1"/>
  <c r="G25" i="50"/>
  <c r="I25" i="50" s="1"/>
  <c r="L25" i="50" s="1"/>
  <c r="D901" i="20" s="1"/>
  <c r="G26" i="50"/>
  <c r="H26" i="50" s="1"/>
  <c r="J26" i="50" s="1"/>
  <c r="M26" i="50" s="1"/>
  <c r="D986" i="20" s="1"/>
  <c r="G27" i="50"/>
  <c r="I27" i="50" s="1"/>
  <c r="K27" i="50" s="1"/>
  <c r="D819" i="20" s="1"/>
  <c r="G28" i="50"/>
  <c r="I28" i="50" s="1"/>
  <c r="L28" i="50" s="1"/>
  <c r="D904" i="20" s="1"/>
  <c r="G29" i="50"/>
  <c r="I29" i="50" s="1"/>
  <c r="G30" i="50"/>
  <c r="I30" i="50" s="1"/>
  <c r="L30" i="50" s="1"/>
  <c r="D906" i="20" s="1"/>
  <c r="G31" i="50"/>
  <c r="H31" i="50" s="1"/>
  <c r="J31" i="50" s="1"/>
  <c r="N31" i="50" s="1"/>
  <c r="D1075" i="20" s="1"/>
  <c r="G32" i="50"/>
  <c r="H32" i="50" s="1"/>
  <c r="J32" i="50" s="1"/>
  <c r="G33" i="50"/>
  <c r="I33" i="50" s="1"/>
  <c r="K33" i="50" s="1"/>
  <c r="D825" i="20" s="1"/>
  <c r="G34" i="50"/>
  <c r="I34" i="50" s="1"/>
  <c r="L34" i="50" s="1"/>
  <c r="D910" i="20" s="1"/>
  <c r="G35" i="50"/>
  <c r="H35" i="50" s="1"/>
  <c r="J35" i="50" s="1"/>
  <c r="M35" i="50" s="1"/>
  <c r="D995" i="20" s="1"/>
  <c r="G36" i="50"/>
  <c r="I36" i="50" s="1"/>
  <c r="K36" i="50" s="1"/>
  <c r="D828" i="20" s="1"/>
  <c r="G37" i="50"/>
  <c r="I37" i="50" s="1"/>
  <c r="L37" i="50" s="1"/>
  <c r="D913" i="20" s="1"/>
  <c r="G38" i="50"/>
  <c r="I38" i="50" s="1"/>
  <c r="G39" i="50"/>
  <c r="I39" i="50" s="1"/>
  <c r="L39" i="50" s="1"/>
  <c r="D915" i="20" s="1"/>
  <c r="G40" i="50"/>
  <c r="H40" i="50" s="1"/>
  <c r="J40" i="50" s="1"/>
  <c r="G41" i="50"/>
  <c r="H41" i="50" s="1"/>
  <c r="J41" i="50" s="1"/>
  <c r="N41" i="50" s="1"/>
  <c r="D1085" i="20" s="1"/>
  <c r="G42" i="50"/>
  <c r="I42" i="50" s="1"/>
  <c r="K42" i="50" s="1"/>
  <c r="D834" i="20" s="1"/>
  <c r="G43" i="50"/>
  <c r="I43" i="50" s="1"/>
  <c r="L43" i="50" s="1"/>
  <c r="D919" i="20" s="1"/>
  <c r="G44" i="50"/>
  <c r="H44" i="50" s="1"/>
  <c r="J44" i="50" s="1"/>
  <c r="N44" i="50" s="1"/>
  <c r="D1088" i="20" s="1"/>
  <c r="G45" i="50"/>
  <c r="I45" i="50" s="1"/>
  <c r="K45" i="50" s="1"/>
  <c r="D837" i="20" s="1"/>
  <c r="G46" i="50"/>
  <c r="I46" i="50" s="1"/>
  <c r="K46" i="50" s="1"/>
  <c r="D838" i="20" s="1"/>
  <c r="G47" i="50"/>
  <c r="I47" i="50" s="1"/>
  <c r="G48" i="50"/>
  <c r="I48" i="50" s="1"/>
  <c r="L48" i="50" s="1"/>
  <c r="D924" i="20" s="1"/>
  <c r="G49" i="50"/>
  <c r="H49" i="50" s="1"/>
  <c r="J49" i="50" s="1"/>
  <c r="G50" i="50"/>
  <c r="H50" i="50" s="1"/>
  <c r="J50" i="50" s="1"/>
  <c r="N50" i="50" s="1"/>
  <c r="D1094" i="20" s="1"/>
  <c r="G51" i="50"/>
  <c r="I51" i="50" s="1"/>
  <c r="K51" i="50" s="1"/>
  <c r="D843" i="20" s="1"/>
  <c r="G52" i="50"/>
  <c r="I52" i="50" s="1"/>
  <c r="L52" i="50" s="1"/>
  <c r="D928" i="20" s="1"/>
  <c r="G53" i="50"/>
  <c r="H53" i="50" s="1"/>
  <c r="J53" i="50" s="1"/>
  <c r="N53" i="50" s="1"/>
  <c r="D1097" i="20" s="1"/>
  <c r="G54" i="50"/>
  <c r="I54" i="50" s="1"/>
  <c r="K54" i="50" s="1"/>
  <c r="D846" i="20" s="1"/>
  <c r="G55" i="50"/>
  <c r="I55" i="50" s="1"/>
  <c r="L55" i="50" s="1"/>
  <c r="D931" i="20" s="1"/>
  <c r="G56" i="50"/>
  <c r="I56" i="50" s="1"/>
  <c r="G57" i="50"/>
  <c r="I57" i="50" s="1"/>
  <c r="L57" i="50" s="1"/>
  <c r="D933" i="20" s="1"/>
  <c r="G58" i="50"/>
  <c r="H58" i="50" s="1"/>
  <c r="J58" i="50" s="1"/>
  <c r="G59" i="50"/>
  <c r="H59" i="50" s="1"/>
  <c r="J59" i="50" s="1"/>
  <c r="N59" i="50" s="1"/>
  <c r="D1103" i="20" s="1"/>
  <c r="G60" i="50"/>
  <c r="I60" i="50" s="1"/>
  <c r="K60" i="50" s="1"/>
  <c r="D852" i="20" s="1"/>
  <c r="G61" i="50"/>
  <c r="I61" i="50" s="1"/>
  <c r="L61" i="50" s="1"/>
  <c r="D937" i="20" s="1"/>
  <c r="G62" i="50"/>
  <c r="H62" i="50" s="1"/>
  <c r="J62" i="50" s="1"/>
  <c r="N62" i="50" s="1"/>
  <c r="D1106" i="20" s="1"/>
  <c r="G63" i="50"/>
  <c r="I63" i="50" s="1"/>
  <c r="K63" i="50" s="1"/>
  <c r="D855" i="20" s="1"/>
  <c r="G64" i="50"/>
  <c r="I64" i="50" s="1"/>
  <c r="L64" i="50" s="1"/>
  <c r="D940" i="20" s="1"/>
  <c r="G65" i="50"/>
  <c r="I65" i="50" s="1"/>
  <c r="G66" i="50"/>
  <c r="I66" i="50" s="1"/>
  <c r="L66" i="50" s="1"/>
  <c r="D942" i="20" s="1"/>
  <c r="G67" i="50"/>
  <c r="H67" i="50" s="1"/>
  <c r="J67" i="50" s="1"/>
  <c r="G68" i="50"/>
  <c r="H68" i="50" s="1"/>
  <c r="J68" i="50" s="1"/>
  <c r="N68" i="50" s="1"/>
  <c r="D1112" i="20" s="1"/>
  <c r="G69" i="50"/>
  <c r="I69" i="50" s="1"/>
  <c r="K69" i="50" s="1"/>
  <c r="D861" i="20" s="1"/>
  <c r="G70" i="50"/>
  <c r="I70" i="50" s="1"/>
  <c r="L70" i="50" s="1"/>
  <c r="D946" i="20" s="1"/>
  <c r="G71" i="50"/>
  <c r="H71" i="50" s="1"/>
  <c r="J71" i="50" s="1"/>
  <c r="N71" i="50" s="1"/>
  <c r="D1115" i="20" s="1"/>
  <c r="G72" i="50"/>
  <c r="I72" i="50" s="1"/>
  <c r="K72" i="50" s="1"/>
  <c r="D864" i="20" s="1"/>
  <c r="G73" i="50"/>
  <c r="I73" i="50" s="1"/>
  <c r="K73" i="50" s="1"/>
  <c r="D865" i="20" s="1"/>
  <c r="G74" i="50"/>
  <c r="I74" i="50" s="1"/>
  <c r="G75" i="50"/>
  <c r="I75" i="50" s="1"/>
  <c r="L75" i="50" s="1"/>
  <c r="D951" i="20" s="1"/>
  <c r="G76" i="50"/>
  <c r="H76" i="50" s="1"/>
  <c r="J76" i="50" s="1"/>
  <c r="G77" i="50"/>
  <c r="H77" i="50" s="1"/>
  <c r="J77" i="50" s="1"/>
  <c r="N77" i="50" s="1"/>
  <c r="D1121" i="20" s="1"/>
  <c r="G78" i="50"/>
  <c r="I78" i="50" s="1"/>
  <c r="K78" i="50" s="1"/>
  <c r="D870" i="20" s="1"/>
  <c r="G79" i="50"/>
  <c r="I79" i="50" s="1"/>
  <c r="L79" i="50" s="1"/>
  <c r="D955" i="20" s="1"/>
  <c r="G80" i="50"/>
  <c r="H80" i="50" s="1"/>
  <c r="J80" i="50" s="1"/>
  <c r="N80" i="50" s="1"/>
  <c r="D1124" i="20" s="1"/>
  <c r="G81" i="50"/>
  <c r="I81" i="50" s="1"/>
  <c r="K81" i="50" s="1"/>
  <c r="D873" i="20" s="1"/>
  <c r="G82" i="50"/>
  <c r="I82" i="50" s="1"/>
  <c r="K82" i="50" s="1"/>
  <c r="D874" i="20" s="1"/>
  <c r="G83" i="50"/>
  <c r="I83" i="50" s="1"/>
  <c r="G84" i="50"/>
  <c r="I84" i="50" s="1"/>
  <c r="L84" i="50" s="1"/>
  <c r="D960" i="20" s="1"/>
  <c r="G85" i="50"/>
  <c r="H85" i="50" s="1"/>
  <c r="J85" i="50" s="1"/>
  <c r="G86" i="50"/>
  <c r="H86" i="50" s="1"/>
  <c r="J86" i="50" s="1"/>
  <c r="N86" i="50" s="1"/>
  <c r="D1130" i="20" s="1"/>
  <c r="G87" i="50"/>
  <c r="I87" i="50" s="1"/>
  <c r="K87" i="50" s="1"/>
  <c r="D879" i="20" s="1"/>
  <c r="G88" i="50"/>
  <c r="I88" i="50" s="1"/>
  <c r="L88" i="50" s="1"/>
  <c r="D964" i="20" s="1"/>
  <c r="G89" i="50"/>
  <c r="H89" i="50" s="1"/>
  <c r="J89" i="50" s="1"/>
  <c r="N89" i="50" s="1"/>
  <c r="D1133" i="20" s="1"/>
  <c r="G90" i="50"/>
  <c r="I90" i="50" s="1"/>
  <c r="K90" i="50" s="1"/>
  <c r="D882" i="20" s="1"/>
  <c r="G91" i="50"/>
  <c r="I91" i="50" s="1"/>
  <c r="L91" i="50" s="1"/>
  <c r="D967" i="20" s="1"/>
  <c r="G92" i="50"/>
  <c r="I92" i="50" s="1"/>
  <c r="G93" i="50"/>
  <c r="I93" i="50" s="1"/>
  <c r="L93" i="50" s="1"/>
  <c r="D969" i="20" s="1"/>
  <c r="G94" i="50"/>
  <c r="H94" i="50" s="1"/>
  <c r="J94" i="50" s="1"/>
  <c r="M94" i="50" s="1"/>
  <c r="D1054" i="20" s="1"/>
  <c r="G95" i="50"/>
  <c r="H95" i="50" s="1"/>
  <c r="J95" i="50" s="1"/>
  <c r="N95" i="50" s="1"/>
  <c r="D1139" i="20" s="1"/>
  <c r="G96" i="50"/>
  <c r="I96" i="50" s="1"/>
  <c r="K96" i="50" s="1"/>
  <c r="D888" i="20" s="1"/>
  <c r="G97" i="50"/>
  <c r="I97" i="50" s="1"/>
  <c r="L97" i="50" s="1"/>
  <c r="D973" i="20" s="1"/>
  <c r="G98" i="50"/>
  <c r="H98" i="50" s="1"/>
  <c r="J98" i="50" s="1"/>
  <c r="N98" i="50" s="1"/>
  <c r="D1142" i="20" s="1"/>
  <c r="G99" i="50"/>
  <c r="I99" i="50" s="1"/>
  <c r="K99" i="50" s="1"/>
  <c r="D891" i="20" s="1"/>
  <c r="G100" i="50"/>
  <c r="I100" i="50" s="1"/>
  <c r="L100" i="50" s="1"/>
  <c r="D976" i="20" s="1"/>
  <c r="G101" i="50"/>
  <c r="I101" i="50" s="1"/>
  <c r="G102" i="50"/>
  <c r="I102" i="50" s="1"/>
  <c r="L102" i="50" s="1"/>
  <c r="D978" i="20" s="1"/>
  <c r="G103" i="50"/>
  <c r="H103" i="50" s="1"/>
  <c r="J103" i="50" s="1"/>
  <c r="M103" i="50" s="1"/>
  <c r="D1063" i="20" s="1"/>
  <c r="H20" i="50"/>
  <c r="J20" i="50" s="1"/>
  <c r="M20" i="50" s="1"/>
  <c r="D980" i="20" s="1"/>
  <c r="O86" i="44"/>
  <c r="O87" i="44"/>
  <c r="O82" i="44"/>
  <c r="D158" i="22"/>
  <c r="I21" i="50" l="1"/>
  <c r="L21" i="50" s="1"/>
  <c r="D897" i="20" s="1"/>
  <c r="G275" i="50"/>
  <c r="I215" i="50"/>
  <c r="I238" i="50"/>
  <c r="I201" i="50"/>
  <c r="G247" i="50"/>
  <c r="G225" i="50"/>
  <c r="I234" i="50"/>
  <c r="I197" i="50"/>
  <c r="G244" i="50"/>
  <c r="I272" i="50"/>
  <c r="I231" i="50"/>
  <c r="I266" i="50"/>
  <c r="G217" i="50"/>
  <c r="G252" i="50"/>
  <c r="G263" i="50"/>
  <c r="I203" i="50"/>
  <c r="I226" i="50"/>
  <c r="G237" i="50"/>
  <c r="G235" i="50"/>
  <c r="I212" i="50"/>
  <c r="I222" i="50"/>
  <c r="I269" i="50"/>
  <c r="G232" i="50"/>
  <c r="G279" i="50"/>
  <c r="I219" i="50"/>
  <c r="I254" i="50"/>
  <c r="G205" i="50"/>
  <c r="G240" i="50"/>
  <c r="G251" i="50"/>
  <c r="G274" i="50"/>
  <c r="I214" i="50"/>
  <c r="G272" i="50"/>
  <c r="G223" i="50"/>
  <c r="G270" i="50"/>
  <c r="I210" i="50"/>
  <c r="I257" i="50"/>
  <c r="G220" i="50"/>
  <c r="G267" i="50"/>
  <c r="I207" i="50"/>
  <c r="I242" i="50"/>
  <c r="I277" i="50"/>
  <c r="G228" i="50"/>
  <c r="G239" i="50"/>
  <c r="G262" i="50"/>
  <c r="I202" i="50"/>
  <c r="G260" i="50"/>
  <c r="G211" i="50"/>
  <c r="G258" i="50"/>
  <c r="I198" i="50"/>
  <c r="I245" i="50"/>
  <c r="G208" i="50"/>
  <c r="G255" i="50"/>
  <c r="G200" i="50"/>
  <c r="I230" i="50"/>
  <c r="I265" i="50"/>
  <c r="G216" i="50"/>
  <c r="G227" i="50"/>
  <c r="G250" i="50"/>
  <c r="G273" i="50"/>
  <c r="G248" i="50"/>
  <c r="G199" i="50"/>
  <c r="G246" i="50"/>
  <c r="G224" i="50"/>
  <c r="I233" i="50"/>
  <c r="I280" i="50"/>
  <c r="G243" i="50"/>
  <c r="G278" i="50"/>
  <c r="I218" i="50"/>
  <c r="I253" i="50"/>
  <c r="G204" i="50"/>
  <c r="G215" i="50"/>
  <c r="G238" i="50"/>
  <c r="G261" i="50"/>
  <c r="G236" i="50"/>
  <c r="I271" i="50"/>
  <c r="G234" i="50"/>
  <c r="G197" i="50"/>
  <c r="I221" i="50"/>
  <c r="I268" i="50"/>
  <c r="G231" i="50"/>
  <c r="G266" i="50"/>
  <c r="I206" i="50"/>
  <c r="I241" i="50"/>
  <c r="I276" i="50"/>
  <c r="G203" i="50"/>
  <c r="G226" i="50"/>
  <c r="I273" i="50"/>
  <c r="G212" i="50"/>
  <c r="I259" i="50"/>
  <c r="G222" i="50"/>
  <c r="G269" i="50"/>
  <c r="I209" i="50"/>
  <c r="I256" i="50"/>
  <c r="G219" i="50"/>
  <c r="G254" i="50"/>
  <c r="I248" i="50"/>
  <c r="I229" i="50"/>
  <c r="I264" i="50"/>
  <c r="I275" i="50"/>
  <c r="G214" i="50"/>
  <c r="I261" i="50"/>
  <c r="I200" i="50"/>
  <c r="I247" i="50"/>
  <c r="G210" i="50"/>
  <c r="G257" i="50"/>
  <c r="G201" i="50"/>
  <c r="I244" i="50"/>
  <c r="G207" i="50"/>
  <c r="G242" i="50"/>
  <c r="G277" i="50"/>
  <c r="I217" i="50"/>
  <c r="I252" i="50"/>
  <c r="I263" i="50"/>
  <c r="G202" i="50"/>
  <c r="I249" i="50"/>
  <c r="G213" i="50"/>
  <c r="I235" i="50"/>
  <c r="G198" i="50"/>
  <c r="G245" i="50"/>
  <c r="I260" i="50"/>
  <c r="I232" i="50"/>
  <c r="I279" i="50"/>
  <c r="G230" i="50"/>
  <c r="G265" i="50"/>
  <c r="I205" i="50"/>
  <c r="I240" i="50"/>
  <c r="I251" i="50"/>
  <c r="I274" i="50"/>
  <c r="I237" i="50"/>
  <c r="I224" i="50"/>
  <c r="I223" i="50"/>
  <c r="I270" i="50"/>
  <c r="G233" i="50"/>
  <c r="G280" i="50"/>
  <c r="I220" i="50"/>
  <c r="I267" i="50"/>
  <c r="G218" i="50"/>
  <c r="G253" i="50"/>
  <c r="I236" i="50"/>
  <c r="I228" i="50"/>
  <c r="I239" i="50"/>
  <c r="I262" i="50"/>
  <c r="I225" i="50"/>
  <c r="G271" i="50"/>
  <c r="I211" i="50"/>
  <c r="I258" i="50"/>
  <c r="G221" i="50"/>
  <c r="G268" i="50"/>
  <c r="I208" i="50"/>
  <c r="I255" i="50"/>
  <c r="G206" i="50"/>
  <c r="G241" i="50"/>
  <c r="G276" i="50"/>
  <c r="I216" i="50"/>
  <c r="I227" i="50"/>
  <c r="I250" i="50"/>
  <c r="I213" i="50"/>
  <c r="G259" i="50"/>
  <c r="I199" i="50"/>
  <c r="I246" i="50"/>
  <c r="G209" i="50"/>
  <c r="G256" i="50"/>
  <c r="G249" i="50"/>
  <c r="I243" i="50"/>
  <c r="I278" i="50"/>
  <c r="G229" i="50"/>
  <c r="G264" i="50"/>
  <c r="I204" i="50"/>
  <c r="F273" i="50"/>
  <c r="D78" i="52" s="1"/>
  <c r="H213" i="50"/>
  <c r="H236" i="50"/>
  <c r="H259" i="50"/>
  <c r="F198" i="50"/>
  <c r="D3" i="52" s="1"/>
  <c r="F233" i="50"/>
  <c r="D38" i="52" s="1"/>
  <c r="F256" i="50"/>
  <c r="D61" i="52" s="1"/>
  <c r="F279" i="50"/>
  <c r="D84" i="52" s="1"/>
  <c r="H219" i="50"/>
  <c r="H242" i="50"/>
  <c r="H265" i="50"/>
  <c r="F204" i="50"/>
  <c r="D9" i="52" s="1"/>
  <c r="F227" i="50"/>
  <c r="D32" i="52" s="1"/>
  <c r="F250" i="50"/>
  <c r="D55" i="52" s="1"/>
  <c r="F261" i="50"/>
  <c r="D66" i="52" s="1"/>
  <c r="H201" i="50"/>
  <c r="H224" i="50"/>
  <c r="H247" i="50"/>
  <c r="H270" i="50"/>
  <c r="F221" i="50"/>
  <c r="D26" i="52" s="1"/>
  <c r="F244" i="50"/>
  <c r="D49" i="52" s="1"/>
  <c r="F267" i="50"/>
  <c r="D72" i="52" s="1"/>
  <c r="H207" i="50"/>
  <c r="H230" i="50"/>
  <c r="H253" i="50"/>
  <c r="H276" i="50"/>
  <c r="F215" i="50"/>
  <c r="D20" i="52" s="1"/>
  <c r="F238" i="50"/>
  <c r="D43" i="52" s="1"/>
  <c r="F249" i="50"/>
  <c r="D54" i="52" s="1"/>
  <c r="F272" i="50"/>
  <c r="D77" i="52" s="1"/>
  <c r="H212" i="50"/>
  <c r="H235" i="50"/>
  <c r="H258" i="50"/>
  <c r="F209" i="50"/>
  <c r="D14" i="52" s="1"/>
  <c r="F232" i="50"/>
  <c r="D37" i="52" s="1"/>
  <c r="F255" i="50"/>
  <c r="D60" i="52" s="1"/>
  <c r="F278" i="50"/>
  <c r="D83" i="52" s="1"/>
  <c r="H218" i="50"/>
  <c r="H241" i="50"/>
  <c r="H264" i="50"/>
  <c r="F203" i="50"/>
  <c r="D8" i="52" s="1"/>
  <c r="F226" i="50"/>
  <c r="D31" i="52" s="1"/>
  <c r="F237" i="50"/>
  <c r="D42" i="52" s="1"/>
  <c r="F260" i="50"/>
  <c r="D65" i="52" s="1"/>
  <c r="H200" i="50"/>
  <c r="H223" i="50"/>
  <c r="H246" i="50"/>
  <c r="H197" i="50"/>
  <c r="F220" i="50"/>
  <c r="D25" i="52" s="1"/>
  <c r="F243" i="50"/>
  <c r="D48" i="52" s="1"/>
  <c r="F266" i="50"/>
  <c r="D71" i="52" s="1"/>
  <c r="H206" i="50"/>
  <c r="H229" i="50"/>
  <c r="H252" i="50"/>
  <c r="H275" i="50"/>
  <c r="F214" i="50"/>
  <c r="D19" i="52" s="1"/>
  <c r="F225" i="50"/>
  <c r="D30" i="52" s="1"/>
  <c r="F248" i="50"/>
  <c r="D53" i="52" s="1"/>
  <c r="F271" i="50"/>
  <c r="D76" i="52" s="1"/>
  <c r="H211" i="50"/>
  <c r="H234" i="50"/>
  <c r="H269" i="50"/>
  <c r="F208" i="50"/>
  <c r="D13" i="52" s="1"/>
  <c r="F231" i="50"/>
  <c r="D36" i="52" s="1"/>
  <c r="F254" i="50"/>
  <c r="D59" i="52" s="1"/>
  <c r="F277" i="50"/>
  <c r="D82" i="52" s="1"/>
  <c r="H217" i="50"/>
  <c r="H240" i="50"/>
  <c r="H263" i="50"/>
  <c r="F202" i="50"/>
  <c r="D7" i="52" s="1"/>
  <c r="F213" i="50"/>
  <c r="D18" i="52" s="1"/>
  <c r="F236" i="50"/>
  <c r="D41" i="52" s="1"/>
  <c r="F259" i="50"/>
  <c r="D64" i="52" s="1"/>
  <c r="H199" i="50"/>
  <c r="H222" i="50"/>
  <c r="H257" i="50"/>
  <c r="H280" i="50"/>
  <c r="F219" i="50"/>
  <c r="D24" i="52" s="1"/>
  <c r="F242" i="50"/>
  <c r="D47" i="52" s="1"/>
  <c r="F265" i="50"/>
  <c r="D70" i="52" s="1"/>
  <c r="H205" i="50"/>
  <c r="H228" i="50"/>
  <c r="H251" i="50"/>
  <c r="H274" i="50"/>
  <c r="F201" i="50"/>
  <c r="D6" i="52" s="1"/>
  <c r="F224" i="50"/>
  <c r="D29" i="52" s="1"/>
  <c r="F247" i="50"/>
  <c r="D52" i="52" s="1"/>
  <c r="F270" i="50"/>
  <c r="D75" i="52" s="1"/>
  <c r="H210" i="50"/>
  <c r="H245" i="50"/>
  <c r="H268" i="50"/>
  <c r="F207" i="50"/>
  <c r="D12" i="52" s="1"/>
  <c r="F230" i="50"/>
  <c r="D35" i="52" s="1"/>
  <c r="F253" i="50"/>
  <c r="D58" i="52" s="1"/>
  <c r="F276" i="50"/>
  <c r="D81" i="52" s="1"/>
  <c r="H216" i="50"/>
  <c r="H239" i="50"/>
  <c r="H262" i="50"/>
  <c r="H273" i="50"/>
  <c r="F212" i="50"/>
  <c r="D17" i="52" s="1"/>
  <c r="F235" i="50"/>
  <c r="D40" i="52" s="1"/>
  <c r="F258" i="50"/>
  <c r="D63" i="52" s="1"/>
  <c r="H198" i="50"/>
  <c r="H233" i="50"/>
  <c r="H256" i="50"/>
  <c r="H279" i="50"/>
  <c r="F218" i="50"/>
  <c r="D23" i="52" s="1"/>
  <c r="F241" i="50"/>
  <c r="D46" i="52" s="1"/>
  <c r="F264" i="50"/>
  <c r="D69" i="52" s="1"/>
  <c r="H204" i="50"/>
  <c r="H227" i="50"/>
  <c r="H250" i="50"/>
  <c r="H261" i="50"/>
  <c r="F200" i="50"/>
  <c r="D5" i="52" s="1"/>
  <c r="F223" i="50"/>
  <c r="D28" i="52" s="1"/>
  <c r="F246" i="50"/>
  <c r="D51" i="52" s="1"/>
  <c r="F197" i="50"/>
  <c r="D2" i="52" s="1"/>
  <c r="H221" i="50"/>
  <c r="H244" i="50"/>
  <c r="H267" i="50"/>
  <c r="F206" i="50"/>
  <c r="D11" i="52" s="1"/>
  <c r="F229" i="50"/>
  <c r="D34" i="52" s="1"/>
  <c r="F252" i="50"/>
  <c r="D57" i="52" s="1"/>
  <c r="F275" i="50"/>
  <c r="D80" i="52" s="1"/>
  <c r="H215" i="50"/>
  <c r="H238" i="50"/>
  <c r="H249" i="50"/>
  <c r="H272" i="50"/>
  <c r="F211" i="50"/>
  <c r="D16" i="52" s="1"/>
  <c r="F234" i="50"/>
  <c r="D39" i="52" s="1"/>
  <c r="F269" i="50"/>
  <c r="D74" i="52" s="1"/>
  <c r="H209" i="50"/>
  <c r="H232" i="50"/>
  <c r="H255" i="50"/>
  <c r="H278" i="50"/>
  <c r="F217" i="50"/>
  <c r="D22" i="52" s="1"/>
  <c r="F240" i="50"/>
  <c r="D45" i="52" s="1"/>
  <c r="F263" i="50"/>
  <c r="D68" i="52" s="1"/>
  <c r="H203" i="50"/>
  <c r="H226" i="50"/>
  <c r="H237" i="50"/>
  <c r="H260" i="50"/>
  <c r="F199" i="50"/>
  <c r="D4" i="52" s="1"/>
  <c r="F222" i="50"/>
  <c r="D27" i="52" s="1"/>
  <c r="F257" i="50"/>
  <c r="D62" i="52" s="1"/>
  <c r="F280" i="50"/>
  <c r="D85" i="52" s="1"/>
  <c r="H220" i="50"/>
  <c r="H243" i="50"/>
  <c r="H266" i="50"/>
  <c r="F205" i="50"/>
  <c r="D10" i="52" s="1"/>
  <c r="F228" i="50"/>
  <c r="D33" i="52" s="1"/>
  <c r="F251" i="50"/>
  <c r="D56" i="52" s="1"/>
  <c r="F274" i="50"/>
  <c r="D79" i="52" s="1"/>
  <c r="H214" i="50"/>
  <c r="H225" i="50"/>
  <c r="H248" i="50"/>
  <c r="H271" i="50"/>
  <c r="F210" i="50"/>
  <c r="D15" i="52" s="1"/>
  <c r="F245" i="50"/>
  <c r="D50" i="52" s="1"/>
  <c r="F268" i="50"/>
  <c r="D73" i="52" s="1"/>
  <c r="H208" i="50"/>
  <c r="H231" i="50"/>
  <c r="H254" i="50"/>
  <c r="H277" i="50"/>
  <c r="F216" i="50"/>
  <c r="D21" i="52" s="1"/>
  <c r="F239" i="50"/>
  <c r="D44" i="52" s="1"/>
  <c r="F262" i="50"/>
  <c r="D67" i="52" s="1"/>
  <c r="H202" i="50"/>
  <c r="O167" i="19"/>
  <c r="N224" i="19"/>
  <c r="O223" i="19"/>
  <c r="N221" i="19"/>
  <c r="O220" i="19"/>
  <c r="N218" i="19"/>
  <c r="O217" i="19"/>
  <c r="N215" i="19"/>
  <c r="O214" i="19"/>
  <c r="N212" i="19"/>
  <c r="O211" i="19"/>
  <c r="N209" i="19"/>
  <c r="O208" i="19"/>
  <c r="N206" i="19"/>
  <c r="O205" i="19"/>
  <c r="N203" i="19"/>
  <c r="O202" i="19"/>
  <c r="N200" i="19"/>
  <c r="O199" i="19"/>
  <c r="N197" i="19"/>
  <c r="O196" i="19"/>
  <c r="N194" i="19"/>
  <c r="O193" i="19"/>
  <c r="N191" i="19"/>
  <c r="O190" i="19"/>
  <c r="N188" i="19"/>
  <c r="O187" i="19"/>
  <c r="N185" i="19"/>
  <c r="O184" i="19"/>
  <c r="N182" i="19"/>
  <c r="O181" i="19"/>
  <c r="N179" i="19"/>
  <c r="O178" i="19"/>
  <c r="N176" i="19"/>
  <c r="O175" i="19"/>
  <c r="N173" i="19"/>
  <c r="O172" i="19"/>
  <c r="N170" i="19"/>
  <c r="O169" i="19"/>
  <c r="N167" i="19"/>
  <c r="N223" i="19"/>
  <c r="O222" i="19"/>
  <c r="N220" i="19"/>
  <c r="O219" i="19"/>
  <c r="N217" i="19"/>
  <c r="O216" i="19"/>
  <c r="N214" i="19"/>
  <c r="O213" i="19"/>
  <c r="N211" i="19"/>
  <c r="O210" i="19"/>
  <c r="N208" i="19"/>
  <c r="O207" i="19"/>
  <c r="N205" i="19"/>
  <c r="O204" i="19"/>
  <c r="N202" i="19"/>
  <c r="O201" i="19"/>
  <c r="N199" i="19"/>
  <c r="O198" i="19"/>
  <c r="N196" i="19"/>
  <c r="O195" i="19"/>
  <c r="N193" i="19"/>
  <c r="O192" i="19"/>
  <c r="N190" i="19"/>
  <c r="O189" i="19"/>
  <c r="N187" i="19"/>
  <c r="O186" i="19"/>
  <c r="N184" i="19"/>
  <c r="O183" i="19"/>
  <c r="N181" i="19"/>
  <c r="O180" i="19"/>
  <c r="N178" i="19"/>
  <c r="O177" i="19"/>
  <c r="N175" i="19"/>
  <c r="O174" i="19"/>
  <c r="N172" i="19"/>
  <c r="O171" i="19"/>
  <c r="N169" i="19"/>
  <c r="O168" i="19"/>
  <c r="O224" i="19"/>
  <c r="N222" i="19"/>
  <c r="O221" i="19"/>
  <c r="N219" i="19"/>
  <c r="O218" i="19"/>
  <c r="N216" i="19"/>
  <c r="O215" i="19"/>
  <c r="N213" i="19"/>
  <c r="O212" i="19"/>
  <c r="N210" i="19"/>
  <c r="O209" i="19"/>
  <c r="N207" i="19"/>
  <c r="O206" i="19"/>
  <c r="N204" i="19"/>
  <c r="O203" i="19"/>
  <c r="N201" i="19"/>
  <c r="O200" i="19"/>
  <c r="N198" i="19"/>
  <c r="O197" i="19"/>
  <c r="N195" i="19"/>
  <c r="O194" i="19"/>
  <c r="N192" i="19"/>
  <c r="O191" i="19"/>
  <c r="N189" i="19"/>
  <c r="O188" i="19"/>
  <c r="N186" i="19"/>
  <c r="O185" i="19"/>
  <c r="N183" i="19"/>
  <c r="O182" i="19"/>
  <c r="N180" i="19"/>
  <c r="O179" i="19"/>
  <c r="N177" i="19"/>
  <c r="O176" i="19"/>
  <c r="N174" i="19"/>
  <c r="O173" i="19"/>
  <c r="N171" i="19"/>
  <c r="O170" i="19"/>
  <c r="N168" i="19"/>
  <c r="L189" i="50"/>
  <c r="L162" i="50"/>
  <c r="L135" i="50"/>
  <c r="K186" i="50"/>
  <c r="L171" i="50"/>
  <c r="L144" i="50"/>
  <c r="L117" i="50"/>
  <c r="K132" i="50"/>
  <c r="L180" i="50"/>
  <c r="L153" i="50"/>
  <c r="L126" i="50"/>
  <c r="K159" i="50"/>
  <c r="L177" i="50"/>
  <c r="L168" i="50"/>
  <c r="L150" i="50"/>
  <c r="L141" i="50"/>
  <c r="L123" i="50"/>
  <c r="L114" i="50"/>
  <c r="L192" i="50"/>
  <c r="L183" i="50"/>
  <c r="L174" i="50"/>
  <c r="L165" i="50"/>
  <c r="L156" i="50"/>
  <c r="L147" i="50"/>
  <c r="L138" i="50"/>
  <c r="L129" i="50"/>
  <c r="L120" i="50"/>
  <c r="L111" i="50"/>
  <c r="N109" i="50"/>
  <c r="D321" i="50" s="1"/>
  <c r="D799" i="18" s="1"/>
  <c r="M109" i="50"/>
  <c r="D309" i="50" s="1"/>
  <c r="D787" i="18" s="1"/>
  <c r="N187" i="50"/>
  <c r="M187" i="50"/>
  <c r="N178" i="50"/>
  <c r="D306" i="50" s="1"/>
  <c r="D784" i="18" s="1"/>
  <c r="M178" i="50"/>
  <c r="D294" i="50" s="1"/>
  <c r="D772" i="18" s="1"/>
  <c r="N160" i="50"/>
  <c r="M160" i="50"/>
  <c r="N151" i="50"/>
  <c r="D327" i="50" s="1"/>
  <c r="D805" i="18" s="1"/>
  <c r="M151" i="50"/>
  <c r="D315" i="50" s="1"/>
  <c r="D793" i="18" s="1"/>
  <c r="N142" i="50"/>
  <c r="M142" i="50"/>
  <c r="K190" i="50"/>
  <c r="K181" i="50"/>
  <c r="K172" i="50"/>
  <c r="K163" i="50"/>
  <c r="K154" i="50"/>
  <c r="K145" i="50"/>
  <c r="K136" i="50"/>
  <c r="K127" i="50"/>
  <c r="K121" i="50"/>
  <c r="K112" i="50"/>
  <c r="N169" i="50"/>
  <c r="M169" i="50"/>
  <c r="M68" i="50"/>
  <c r="D1028" i="20" s="1"/>
  <c r="K184" i="50"/>
  <c r="K175" i="50"/>
  <c r="K166" i="50"/>
  <c r="K157" i="50"/>
  <c r="K148" i="50"/>
  <c r="K139" i="50"/>
  <c r="K130" i="50"/>
  <c r="K118" i="50"/>
  <c r="N133" i="50"/>
  <c r="M133" i="50"/>
  <c r="L124" i="50"/>
  <c r="L115" i="50"/>
  <c r="M41" i="50"/>
  <c r="D1001" i="20" s="1"/>
  <c r="M95" i="50"/>
  <c r="D1055" i="20" s="1"/>
  <c r="K57" i="50"/>
  <c r="D849" i="20" s="1"/>
  <c r="L87" i="50"/>
  <c r="D963" i="20" s="1"/>
  <c r="L33" i="50"/>
  <c r="D909" i="20" s="1"/>
  <c r="K102" i="50"/>
  <c r="D894" i="20" s="1"/>
  <c r="K75" i="50"/>
  <c r="D867" i="20" s="1"/>
  <c r="K48" i="50"/>
  <c r="D840" i="20" s="1"/>
  <c r="K21" i="50"/>
  <c r="D813" i="20" s="1"/>
  <c r="L78" i="50"/>
  <c r="D954" i="20" s="1"/>
  <c r="L51" i="50"/>
  <c r="D927" i="20" s="1"/>
  <c r="L24" i="50"/>
  <c r="D900" i="20" s="1"/>
  <c r="M86" i="50"/>
  <c r="D1046" i="20" s="1"/>
  <c r="M59" i="50"/>
  <c r="D1019" i="20" s="1"/>
  <c r="N35" i="50"/>
  <c r="D1079" i="20" s="1"/>
  <c r="K84" i="50"/>
  <c r="D876" i="20" s="1"/>
  <c r="K30" i="50"/>
  <c r="D822" i="20" s="1"/>
  <c r="L60" i="50"/>
  <c r="D936" i="20" s="1"/>
  <c r="K93" i="50"/>
  <c r="D885" i="20" s="1"/>
  <c r="K66" i="50"/>
  <c r="D858" i="20" s="1"/>
  <c r="K39" i="50"/>
  <c r="D831" i="20" s="1"/>
  <c r="L96" i="50"/>
  <c r="D972" i="20" s="1"/>
  <c r="L69" i="50"/>
  <c r="D945" i="20" s="1"/>
  <c r="L42" i="50"/>
  <c r="D918" i="20" s="1"/>
  <c r="N20" i="50"/>
  <c r="D1064" i="20" s="1"/>
  <c r="M77" i="50"/>
  <c r="D1037" i="20" s="1"/>
  <c r="M50" i="50"/>
  <c r="D1010" i="20" s="1"/>
  <c r="N26" i="50"/>
  <c r="D1070" i="20" s="1"/>
  <c r="M76" i="50"/>
  <c r="D1036" i="20" s="1"/>
  <c r="N76" i="50"/>
  <c r="D1120" i="20" s="1"/>
  <c r="M58" i="50"/>
  <c r="D1018" i="20" s="1"/>
  <c r="N58" i="50"/>
  <c r="D1102" i="20" s="1"/>
  <c r="M40" i="50"/>
  <c r="D1000" i="20" s="1"/>
  <c r="N40" i="50"/>
  <c r="D1084" i="20" s="1"/>
  <c r="K79" i="50"/>
  <c r="D871" i="20" s="1"/>
  <c r="K70" i="50"/>
  <c r="D862" i="20" s="1"/>
  <c r="K43" i="50"/>
  <c r="D835" i="20" s="1"/>
  <c r="K34" i="50"/>
  <c r="D826" i="20" s="1"/>
  <c r="L82" i="50"/>
  <c r="D958" i="20" s="1"/>
  <c r="L73" i="50"/>
  <c r="D949" i="20" s="1"/>
  <c r="L46" i="50"/>
  <c r="D922" i="20" s="1"/>
  <c r="M22" i="50"/>
  <c r="D982" i="20" s="1"/>
  <c r="K100" i="50"/>
  <c r="D892" i="20" s="1"/>
  <c r="K91" i="50"/>
  <c r="D883" i="20" s="1"/>
  <c r="K64" i="50"/>
  <c r="D856" i="20" s="1"/>
  <c r="K55" i="50"/>
  <c r="D847" i="20" s="1"/>
  <c r="K37" i="50"/>
  <c r="D829" i="20" s="1"/>
  <c r="K28" i="50"/>
  <c r="D820" i="20" s="1"/>
  <c r="L99" i="50"/>
  <c r="D975" i="20" s="1"/>
  <c r="L90" i="50"/>
  <c r="D966" i="20" s="1"/>
  <c r="L81" i="50"/>
  <c r="D957" i="20" s="1"/>
  <c r="L72" i="50"/>
  <c r="D948" i="20" s="1"/>
  <c r="L63" i="50"/>
  <c r="D939" i="20" s="1"/>
  <c r="L54" i="50"/>
  <c r="D930" i="20" s="1"/>
  <c r="L45" i="50"/>
  <c r="D921" i="20" s="1"/>
  <c r="L36" i="50"/>
  <c r="D912" i="20" s="1"/>
  <c r="L27" i="50"/>
  <c r="D903" i="20" s="1"/>
  <c r="N103" i="50"/>
  <c r="D1147" i="20" s="1"/>
  <c r="N94" i="50"/>
  <c r="D1138" i="20" s="1"/>
  <c r="M80" i="50"/>
  <c r="D1040" i="20" s="1"/>
  <c r="M71" i="50"/>
  <c r="D1031" i="20" s="1"/>
  <c r="M62" i="50"/>
  <c r="D1022" i="20" s="1"/>
  <c r="M53" i="50"/>
  <c r="D1013" i="20" s="1"/>
  <c r="M44" i="50"/>
  <c r="D1004" i="20" s="1"/>
  <c r="M85" i="50"/>
  <c r="D1045" i="20" s="1"/>
  <c r="N85" i="50"/>
  <c r="D1129" i="20" s="1"/>
  <c r="M67" i="50"/>
  <c r="D1027" i="20" s="1"/>
  <c r="N67" i="50"/>
  <c r="D1111" i="20" s="1"/>
  <c r="M49" i="50"/>
  <c r="D1009" i="20" s="1"/>
  <c r="N49" i="50"/>
  <c r="D1093" i="20" s="1"/>
  <c r="K97" i="50"/>
  <c r="D889" i="20" s="1"/>
  <c r="K88" i="50"/>
  <c r="D880" i="20" s="1"/>
  <c r="K61" i="50"/>
  <c r="D853" i="20" s="1"/>
  <c r="K52" i="50"/>
  <c r="D844" i="20" s="1"/>
  <c r="K25" i="50"/>
  <c r="D817" i="20" s="1"/>
  <c r="L101" i="50"/>
  <c r="D977" i="20" s="1"/>
  <c r="K101" i="50"/>
  <c r="D893" i="20" s="1"/>
  <c r="L92" i="50"/>
  <c r="D968" i="20" s="1"/>
  <c r="K92" i="50"/>
  <c r="D884" i="20" s="1"/>
  <c r="L83" i="50"/>
  <c r="D959" i="20" s="1"/>
  <c r="K83" i="50"/>
  <c r="D875" i="20" s="1"/>
  <c r="L74" i="50"/>
  <c r="D950" i="20" s="1"/>
  <c r="K74" i="50"/>
  <c r="D866" i="20" s="1"/>
  <c r="L65" i="50"/>
  <c r="D941" i="20" s="1"/>
  <c r="K65" i="50"/>
  <c r="D857" i="20" s="1"/>
  <c r="L56" i="50"/>
  <c r="D932" i="20" s="1"/>
  <c r="K56" i="50"/>
  <c r="D848" i="20" s="1"/>
  <c r="L47" i="50"/>
  <c r="D923" i="20" s="1"/>
  <c r="K47" i="50"/>
  <c r="D839" i="20" s="1"/>
  <c r="L38" i="50"/>
  <c r="D914" i="20" s="1"/>
  <c r="K38" i="50"/>
  <c r="D830" i="20" s="1"/>
  <c r="M32" i="50"/>
  <c r="D992" i="20" s="1"/>
  <c r="N32" i="50"/>
  <c r="D1076" i="20" s="1"/>
  <c r="L29" i="50"/>
  <c r="D905" i="20" s="1"/>
  <c r="K29" i="50"/>
  <c r="D821" i="20" s="1"/>
  <c r="M98" i="50"/>
  <c r="D1058" i="20" s="1"/>
  <c r="M89" i="50"/>
  <c r="D1049" i="20" s="1"/>
  <c r="M31" i="50"/>
  <c r="D991" i="20" s="1"/>
  <c r="H184" i="50"/>
  <c r="J184" i="50" s="1"/>
  <c r="H157" i="50"/>
  <c r="J157" i="50" s="1"/>
  <c r="H130" i="50"/>
  <c r="J130" i="50" s="1"/>
  <c r="H118" i="50"/>
  <c r="J118" i="50" s="1"/>
  <c r="I187" i="50"/>
  <c r="I160" i="50"/>
  <c r="I133" i="50"/>
  <c r="H175" i="50"/>
  <c r="J175" i="50" s="1"/>
  <c r="H148" i="50"/>
  <c r="J148" i="50" s="1"/>
  <c r="H124" i="50"/>
  <c r="J124" i="50" s="1"/>
  <c r="H115" i="50"/>
  <c r="J115" i="50" s="1"/>
  <c r="I178" i="50"/>
  <c r="I151" i="50"/>
  <c r="I22" i="50"/>
  <c r="H166" i="50"/>
  <c r="J166" i="50" s="1"/>
  <c r="H139" i="50"/>
  <c r="J139" i="50" s="1"/>
  <c r="H121" i="50"/>
  <c r="J121" i="50" s="1"/>
  <c r="H112" i="50"/>
  <c r="J112" i="50" s="1"/>
  <c r="I169" i="50"/>
  <c r="I142" i="50"/>
  <c r="H23" i="50"/>
  <c r="J23" i="50" s="1"/>
  <c r="I23" i="50"/>
  <c r="H101" i="50"/>
  <c r="J101" i="50" s="1"/>
  <c r="H92" i="50"/>
  <c r="J92" i="50" s="1"/>
  <c r="H83" i="50"/>
  <c r="J83" i="50" s="1"/>
  <c r="H74" i="50"/>
  <c r="J74" i="50" s="1"/>
  <c r="H65" i="50"/>
  <c r="J65" i="50" s="1"/>
  <c r="H56" i="50"/>
  <c r="J56" i="50" s="1"/>
  <c r="H47" i="50"/>
  <c r="J47" i="50" s="1"/>
  <c r="H38" i="50"/>
  <c r="J38" i="50" s="1"/>
  <c r="H29" i="50"/>
  <c r="J29" i="50" s="1"/>
  <c r="I95" i="50"/>
  <c r="I86" i="50"/>
  <c r="I77" i="50"/>
  <c r="I68" i="50"/>
  <c r="I59" i="50"/>
  <c r="I50" i="50"/>
  <c r="I41" i="50"/>
  <c r="I32" i="50"/>
  <c r="I191" i="50"/>
  <c r="H191" i="50"/>
  <c r="J191" i="50" s="1"/>
  <c r="I188" i="50"/>
  <c r="H188" i="50"/>
  <c r="J188" i="50" s="1"/>
  <c r="I185" i="50"/>
  <c r="H185" i="50"/>
  <c r="J185" i="50" s="1"/>
  <c r="I182" i="50"/>
  <c r="H182" i="50"/>
  <c r="J182" i="50" s="1"/>
  <c r="I179" i="50"/>
  <c r="H179" i="50"/>
  <c r="J179" i="50" s="1"/>
  <c r="I176" i="50"/>
  <c r="H176" i="50"/>
  <c r="J176" i="50" s="1"/>
  <c r="I173" i="50"/>
  <c r="H173" i="50"/>
  <c r="J173" i="50" s="1"/>
  <c r="I170" i="50"/>
  <c r="H170" i="50"/>
  <c r="J170" i="50" s="1"/>
  <c r="I167" i="50"/>
  <c r="H167" i="50"/>
  <c r="J167" i="50" s="1"/>
  <c r="I164" i="50"/>
  <c r="H164" i="50"/>
  <c r="J164" i="50" s="1"/>
  <c r="I161" i="50"/>
  <c r="H161" i="50"/>
  <c r="J161" i="50" s="1"/>
  <c r="I158" i="50"/>
  <c r="H158" i="50"/>
  <c r="J158" i="50" s="1"/>
  <c r="I155" i="50"/>
  <c r="H155" i="50"/>
  <c r="J155" i="50" s="1"/>
  <c r="I152" i="50"/>
  <c r="H152" i="50"/>
  <c r="J152" i="50" s="1"/>
  <c r="I149" i="50"/>
  <c r="H149" i="50"/>
  <c r="J149" i="50" s="1"/>
  <c r="I146" i="50"/>
  <c r="H146" i="50"/>
  <c r="J146" i="50" s="1"/>
  <c r="I143" i="50"/>
  <c r="H143" i="50"/>
  <c r="J143" i="50" s="1"/>
  <c r="I140" i="50"/>
  <c r="H140" i="50"/>
  <c r="J140" i="50" s="1"/>
  <c r="I137" i="50"/>
  <c r="H137" i="50"/>
  <c r="J137" i="50" s="1"/>
  <c r="I134" i="50"/>
  <c r="H134" i="50"/>
  <c r="J134" i="50" s="1"/>
  <c r="I131" i="50"/>
  <c r="H131" i="50"/>
  <c r="J131" i="50" s="1"/>
  <c r="I128" i="50"/>
  <c r="H128" i="50"/>
  <c r="J128" i="50" s="1"/>
  <c r="I125" i="50"/>
  <c r="H125" i="50"/>
  <c r="J125" i="50" s="1"/>
  <c r="I122" i="50"/>
  <c r="H122" i="50"/>
  <c r="J122" i="50" s="1"/>
  <c r="I119" i="50"/>
  <c r="H119" i="50"/>
  <c r="J119" i="50" s="1"/>
  <c r="I116" i="50"/>
  <c r="H116" i="50"/>
  <c r="J116" i="50" s="1"/>
  <c r="I113" i="50"/>
  <c r="H113" i="50"/>
  <c r="J113" i="50" s="1"/>
  <c r="I110" i="50"/>
  <c r="H110" i="50"/>
  <c r="J110" i="50" s="1"/>
  <c r="H100" i="50"/>
  <c r="J100" i="50" s="1"/>
  <c r="H91" i="50"/>
  <c r="J91" i="50" s="1"/>
  <c r="H82" i="50"/>
  <c r="J82" i="50" s="1"/>
  <c r="H73" i="50"/>
  <c r="J73" i="50" s="1"/>
  <c r="H64" i="50"/>
  <c r="J64" i="50" s="1"/>
  <c r="H55" i="50"/>
  <c r="J55" i="50" s="1"/>
  <c r="H46" i="50"/>
  <c r="J46" i="50" s="1"/>
  <c r="H37" i="50"/>
  <c r="J37" i="50" s="1"/>
  <c r="H28" i="50"/>
  <c r="J28" i="50" s="1"/>
  <c r="I103" i="50"/>
  <c r="I94" i="50"/>
  <c r="I85" i="50"/>
  <c r="I76" i="50"/>
  <c r="I67" i="50"/>
  <c r="I58" i="50"/>
  <c r="I49" i="50"/>
  <c r="I40" i="50"/>
  <c r="I31" i="50"/>
  <c r="H190" i="50"/>
  <c r="J190" i="50" s="1"/>
  <c r="H181" i="50"/>
  <c r="J181" i="50" s="1"/>
  <c r="H172" i="50"/>
  <c r="J172" i="50" s="1"/>
  <c r="H163" i="50"/>
  <c r="J163" i="50" s="1"/>
  <c r="H154" i="50"/>
  <c r="J154" i="50" s="1"/>
  <c r="H145" i="50"/>
  <c r="J145" i="50" s="1"/>
  <c r="H136" i="50"/>
  <c r="J136" i="50" s="1"/>
  <c r="H127" i="50"/>
  <c r="J127" i="50" s="1"/>
  <c r="I109" i="50"/>
  <c r="H97" i="50"/>
  <c r="J97" i="50" s="1"/>
  <c r="H88" i="50"/>
  <c r="J88" i="50" s="1"/>
  <c r="H79" i="50"/>
  <c r="J79" i="50" s="1"/>
  <c r="H70" i="50"/>
  <c r="J70" i="50" s="1"/>
  <c r="H61" i="50"/>
  <c r="J61" i="50" s="1"/>
  <c r="H52" i="50"/>
  <c r="J52" i="50" s="1"/>
  <c r="H43" i="50"/>
  <c r="J43" i="50" s="1"/>
  <c r="H34" i="50"/>
  <c r="J34" i="50" s="1"/>
  <c r="H25" i="50"/>
  <c r="J25" i="50" s="1"/>
  <c r="H192" i="50"/>
  <c r="J192" i="50" s="1"/>
  <c r="H189" i="50"/>
  <c r="J189" i="50" s="1"/>
  <c r="H186" i="50"/>
  <c r="J186" i="50" s="1"/>
  <c r="H183" i="50"/>
  <c r="J183" i="50" s="1"/>
  <c r="H180" i="50"/>
  <c r="J180" i="50" s="1"/>
  <c r="H177" i="50"/>
  <c r="J177" i="50" s="1"/>
  <c r="H174" i="50"/>
  <c r="J174" i="50" s="1"/>
  <c r="H171" i="50"/>
  <c r="J171" i="50" s="1"/>
  <c r="H168" i="50"/>
  <c r="J168" i="50" s="1"/>
  <c r="H165" i="50"/>
  <c r="J165" i="50" s="1"/>
  <c r="H162" i="50"/>
  <c r="J162" i="50" s="1"/>
  <c r="H159" i="50"/>
  <c r="J159" i="50" s="1"/>
  <c r="H156" i="50"/>
  <c r="J156" i="50" s="1"/>
  <c r="H153" i="50"/>
  <c r="J153" i="50" s="1"/>
  <c r="H150" i="50"/>
  <c r="J150" i="50" s="1"/>
  <c r="H147" i="50"/>
  <c r="J147" i="50" s="1"/>
  <c r="H144" i="50"/>
  <c r="J144" i="50" s="1"/>
  <c r="H141" i="50"/>
  <c r="J141" i="50" s="1"/>
  <c r="H138" i="50"/>
  <c r="J138" i="50" s="1"/>
  <c r="H135" i="50"/>
  <c r="J135" i="50" s="1"/>
  <c r="H132" i="50"/>
  <c r="J132" i="50" s="1"/>
  <c r="H129" i="50"/>
  <c r="J129" i="50" s="1"/>
  <c r="H126" i="50"/>
  <c r="J126" i="50" s="1"/>
  <c r="H123" i="50"/>
  <c r="J123" i="50" s="1"/>
  <c r="H120" i="50"/>
  <c r="J120" i="50" s="1"/>
  <c r="H117" i="50"/>
  <c r="J117" i="50" s="1"/>
  <c r="H114" i="50"/>
  <c r="J114" i="50" s="1"/>
  <c r="H111" i="50"/>
  <c r="J111" i="50" s="1"/>
  <c r="I98" i="50"/>
  <c r="I89" i="50"/>
  <c r="I80" i="50"/>
  <c r="I71" i="50"/>
  <c r="I62" i="50"/>
  <c r="I53" i="50"/>
  <c r="I44" i="50"/>
  <c r="I35" i="50"/>
  <c r="I26" i="50"/>
  <c r="H102" i="50"/>
  <c r="J102" i="50" s="1"/>
  <c r="H99" i="50"/>
  <c r="J99" i="50" s="1"/>
  <c r="H96" i="50"/>
  <c r="J96" i="50" s="1"/>
  <c r="H93" i="50"/>
  <c r="J93" i="50" s="1"/>
  <c r="H90" i="50"/>
  <c r="J90" i="50" s="1"/>
  <c r="H87" i="50"/>
  <c r="J87" i="50" s="1"/>
  <c r="H84" i="50"/>
  <c r="J84" i="50" s="1"/>
  <c r="H81" i="50"/>
  <c r="J81" i="50" s="1"/>
  <c r="H78" i="50"/>
  <c r="J78" i="50" s="1"/>
  <c r="H75" i="50"/>
  <c r="J75" i="50" s="1"/>
  <c r="H72" i="50"/>
  <c r="J72" i="50" s="1"/>
  <c r="H69" i="50"/>
  <c r="J69" i="50" s="1"/>
  <c r="H66" i="50"/>
  <c r="J66" i="50" s="1"/>
  <c r="H63" i="50"/>
  <c r="J63" i="50" s="1"/>
  <c r="H60" i="50"/>
  <c r="J60" i="50" s="1"/>
  <c r="H57" i="50"/>
  <c r="J57" i="50" s="1"/>
  <c r="H54" i="50"/>
  <c r="J54" i="50" s="1"/>
  <c r="H51" i="50"/>
  <c r="J51" i="50" s="1"/>
  <c r="H48" i="50"/>
  <c r="J48" i="50" s="1"/>
  <c r="H45" i="50"/>
  <c r="J45" i="50" s="1"/>
  <c r="H42" i="50"/>
  <c r="J42" i="50" s="1"/>
  <c r="H39" i="50"/>
  <c r="J39" i="50" s="1"/>
  <c r="H36" i="50"/>
  <c r="J36" i="50" s="1"/>
  <c r="H33" i="50"/>
  <c r="J33" i="50" s="1"/>
  <c r="H30" i="50"/>
  <c r="J30" i="50" s="1"/>
  <c r="H27" i="50"/>
  <c r="J27" i="50" s="1"/>
  <c r="H24" i="50"/>
  <c r="J24" i="50" s="1"/>
  <c r="H21" i="50"/>
  <c r="J21" i="50" s="1"/>
  <c r="E1324" i="19"/>
  <c r="E1322" i="19"/>
  <c r="E397" i="46"/>
  <c r="E399" i="46"/>
  <c r="O762" i="19"/>
  <c r="N762" i="19"/>
  <c r="O368" i="19"/>
  <c r="N368" i="19"/>
  <c r="N1023" i="19"/>
  <c r="O1023" i="19"/>
  <c r="O1024" i="19"/>
  <c r="N1025" i="19"/>
  <c r="O1025" i="19"/>
  <c r="N1026" i="19"/>
  <c r="O1026" i="19"/>
  <c r="N1027" i="19"/>
  <c r="O1027" i="19"/>
  <c r="N1028" i="19"/>
  <c r="O1028" i="19"/>
  <c r="N1029" i="19"/>
  <c r="O1029" i="19"/>
  <c r="N1030" i="19"/>
  <c r="O1030" i="19"/>
  <c r="N1031" i="19"/>
  <c r="O1031" i="19"/>
  <c r="N1032" i="19"/>
  <c r="O1032" i="19"/>
  <c r="N1033" i="19"/>
  <c r="O1033" i="19"/>
  <c r="N1034" i="19"/>
  <c r="O1034" i="19"/>
  <c r="N1035" i="19"/>
  <c r="O1035" i="19"/>
  <c r="N1036" i="19"/>
  <c r="O1036" i="19"/>
  <c r="N1144" i="19"/>
  <c r="O1144" i="19"/>
  <c r="N1145" i="19"/>
  <c r="O1145" i="19"/>
  <c r="N1148" i="19"/>
  <c r="O1148" i="19"/>
  <c r="N1149" i="19"/>
  <c r="O1149" i="19"/>
  <c r="N1150" i="19"/>
  <c r="O1150" i="19"/>
  <c r="N1153" i="19"/>
  <c r="O1153" i="19"/>
  <c r="N1146" i="19"/>
  <c r="O1146" i="19"/>
  <c r="N1147" i="19"/>
  <c r="O1147" i="19"/>
  <c r="N1151" i="19"/>
  <c r="O1151" i="19"/>
  <c r="N1152" i="19"/>
  <c r="O1152" i="19"/>
  <c r="E351" i="19"/>
  <c r="N351" i="19"/>
  <c r="O351" i="19"/>
  <c r="E352" i="19"/>
  <c r="N352" i="19"/>
  <c r="O352" i="19"/>
  <c r="N350" i="19"/>
  <c r="O350" i="19"/>
  <c r="N358" i="19"/>
  <c r="O358" i="19"/>
  <c r="N359" i="19"/>
  <c r="O359" i="19"/>
  <c r="N365" i="19"/>
  <c r="O365" i="19"/>
  <c r="N366" i="19"/>
  <c r="O366" i="19"/>
  <c r="N367" i="19"/>
  <c r="O367" i="19"/>
  <c r="E353" i="19"/>
  <c r="N353" i="19"/>
  <c r="O353" i="19"/>
  <c r="N354" i="19"/>
  <c r="O354" i="19"/>
  <c r="N357" i="19"/>
  <c r="O357" i="19"/>
  <c r="N361" i="19"/>
  <c r="O361" i="19"/>
  <c r="N362" i="19"/>
  <c r="O362" i="19"/>
  <c r="N363" i="19"/>
  <c r="O363" i="19"/>
  <c r="N364" i="19"/>
  <c r="O364" i="19"/>
  <c r="N360" i="19"/>
  <c r="O360" i="19"/>
  <c r="N356" i="19"/>
  <c r="O356" i="19"/>
  <c r="N355" i="19"/>
  <c r="O355" i="19"/>
  <c r="E745" i="19"/>
  <c r="N745" i="19"/>
  <c r="O745" i="19"/>
  <c r="E746" i="19"/>
  <c r="N746" i="19"/>
  <c r="O746" i="19"/>
  <c r="N744" i="19"/>
  <c r="O744" i="19"/>
  <c r="N752" i="19"/>
  <c r="O752" i="19"/>
  <c r="N753" i="19"/>
  <c r="O753" i="19"/>
  <c r="N759" i="19"/>
  <c r="O759" i="19"/>
  <c r="N760" i="19"/>
  <c r="O760" i="19"/>
  <c r="N761" i="19"/>
  <c r="O761" i="19"/>
  <c r="E747" i="19"/>
  <c r="N747" i="19"/>
  <c r="O747" i="19"/>
  <c r="N748" i="19"/>
  <c r="O748" i="19"/>
  <c r="N751" i="19"/>
  <c r="O751" i="19"/>
  <c r="N755" i="19"/>
  <c r="O755" i="19"/>
  <c r="N756" i="19"/>
  <c r="O756" i="19"/>
  <c r="N757" i="19"/>
  <c r="O757" i="19"/>
  <c r="N758" i="19"/>
  <c r="O758" i="19"/>
  <c r="N754" i="19"/>
  <c r="O754" i="19"/>
  <c r="N750" i="19"/>
  <c r="O750" i="19"/>
  <c r="N749" i="19"/>
  <c r="O749" i="19"/>
  <c r="E1444" i="19"/>
  <c r="E1445" i="19"/>
  <c r="E1447" i="19"/>
  <c r="E1370" i="19"/>
  <c r="N1370" i="19"/>
  <c r="O1370" i="19"/>
  <c r="E1371" i="19"/>
  <c r="N1371" i="19"/>
  <c r="O1371" i="19"/>
  <c r="N1372" i="19"/>
  <c r="O1372" i="19"/>
  <c r="N1378" i="19"/>
  <c r="O1378" i="19"/>
  <c r="N1379" i="19"/>
  <c r="O1379" i="19"/>
  <c r="N1385" i="19"/>
  <c r="O1385" i="19"/>
  <c r="N1386" i="19"/>
  <c r="O1386" i="19"/>
  <c r="N1387" i="19"/>
  <c r="O1387" i="19"/>
  <c r="E1373" i="19"/>
  <c r="N1373" i="19"/>
  <c r="O1373" i="19"/>
  <c r="N1374" i="19"/>
  <c r="O1374" i="19"/>
  <c r="N1377" i="19"/>
  <c r="O1377" i="19"/>
  <c r="N1380" i="19"/>
  <c r="O1380" i="19"/>
  <c r="N1381" i="19"/>
  <c r="O1381" i="19"/>
  <c r="N1382" i="19"/>
  <c r="O1382" i="19"/>
  <c r="N1383" i="19"/>
  <c r="O1383" i="19"/>
  <c r="N1384" i="19"/>
  <c r="O1384" i="19"/>
  <c r="N1375" i="19"/>
  <c r="O1375" i="19"/>
  <c r="N1376" i="19"/>
  <c r="O1376" i="19"/>
  <c r="E1092" i="19"/>
  <c r="N1092" i="19"/>
  <c r="O1092" i="19"/>
  <c r="E1093" i="19"/>
  <c r="N1093" i="19"/>
  <c r="O1093" i="19"/>
  <c r="N1094" i="19"/>
  <c r="O1094" i="19"/>
  <c r="N1100" i="19"/>
  <c r="O1100" i="19"/>
  <c r="N1101" i="19"/>
  <c r="O1101" i="19"/>
  <c r="N1107" i="19"/>
  <c r="O1107" i="19"/>
  <c r="N1108" i="19"/>
  <c r="O1108" i="19"/>
  <c r="N1109" i="19"/>
  <c r="O1109" i="19"/>
  <c r="E1095" i="19"/>
  <c r="N1095" i="19"/>
  <c r="O1095" i="19"/>
  <c r="N1096" i="19"/>
  <c r="O1096" i="19"/>
  <c r="N1099" i="19"/>
  <c r="O1099" i="19"/>
  <c r="N1102" i="19"/>
  <c r="O1102" i="19"/>
  <c r="N1103" i="19"/>
  <c r="O1103" i="19"/>
  <c r="N1104" i="19"/>
  <c r="O1104" i="19"/>
  <c r="N1105" i="19"/>
  <c r="O1105" i="19"/>
  <c r="N1106" i="19"/>
  <c r="O1106" i="19"/>
  <c r="N1097" i="19"/>
  <c r="O1097" i="19"/>
  <c r="N1098" i="19"/>
  <c r="O1098" i="19"/>
  <c r="E887" i="19"/>
  <c r="N887" i="19"/>
  <c r="O887" i="19"/>
  <c r="E888" i="19"/>
  <c r="N888" i="19"/>
  <c r="O888" i="19"/>
  <c r="N886" i="19"/>
  <c r="O886" i="19"/>
  <c r="N894" i="19"/>
  <c r="O894" i="19"/>
  <c r="N895" i="19"/>
  <c r="O895" i="19"/>
  <c r="N901" i="19"/>
  <c r="O901" i="19"/>
  <c r="N902" i="19"/>
  <c r="O902" i="19"/>
  <c r="N903" i="19"/>
  <c r="O903" i="19"/>
  <c r="E889" i="19"/>
  <c r="N889" i="19"/>
  <c r="O889" i="19"/>
  <c r="N890" i="19"/>
  <c r="O890" i="19"/>
  <c r="N893" i="19"/>
  <c r="O893" i="19"/>
  <c r="N897" i="19"/>
  <c r="O897" i="19"/>
  <c r="N898" i="19"/>
  <c r="O898" i="19"/>
  <c r="N899" i="19"/>
  <c r="O899" i="19"/>
  <c r="N900" i="19"/>
  <c r="O900" i="19"/>
  <c r="N896" i="19"/>
  <c r="O896" i="19"/>
  <c r="N892" i="19"/>
  <c r="O892" i="19"/>
  <c r="N891" i="19"/>
  <c r="O891" i="19"/>
  <c r="E1038" i="19"/>
  <c r="N1038" i="19"/>
  <c r="O1038" i="19"/>
  <c r="E1039" i="19"/>
  <c r="N1039" i="19"/>
  <c r="O1039" i="19"/>
  <c r="N1037" i="19"/>
  <c r="O1037" i="19"/>
  <c r="N1045" i="19"/>
  <c r="O1045" i="19"/>
  <c r="N1046" i="19"/>
  <c r="O1046" i="19"/>
  <c r="N1052" i="19"/>
  <c r="O1052" i="19"/>
  <c r="N1053" i="19"/>
  <c r="O1053" i="19"/>
  <c r="N1054" i="19"/>
  <c r="O1054" i="19"/>
  <c r="E1040" i="19"/>
  <c r="N1040" i="19"/>
  <c r="O1040" i="19"/>
  <c r="N1041" i="19"/>
  <c r="O1041" i="19"/>
  <c r="N1044" i="19"/>
  <c r="O1044" i="19"/>
  <c r="N1048" i="19"/>
  <c r="O1048" i="19"/>
  <c r="N1049" i="19"/>
  <c r="O1049" i="19"/>
  <c r="N1050" i="19"/>
  <c r="O1050" i="19"/>
  <c r="N1051" i="19"/>
  <c r="O1051" i="19"/>
  <c r="N1047" i="19"/>
  <c r="O1047" i="19"/>
  <c r="N1043" i="19"/>
  <c r="O1043" i="19"/>
  <c r="N1042" i="19"/>
  <c r="O1042" i="19"/>
  <c r="E726" i="19"/>
  <c r="N726" i="19"/>
  <c r="O726" i="19"/>
  <c r="E727" i="19"/>
  <c r="N727" i="19"/>
  <c r="O727" i="19"/>
  <c r="N725" i="19"/>
  <c r="O725" i="19"/>
  <c r="N733" i="19"/>
  <c r="O733" i="19"/>
  <c r="N734" i="19"/>
  <c r="O734" i="19"/>
  <c r="N740" i="19"/>
  <c r="O740" i="19"/>
  <c r="N741" i="19"/>
  <c r="O741" i="19"/>
  <c r="N742" i="19"/>
  <c r="O742" i="19"/>
  <c r="N728" i="19"/>
  <c r="O728" i="19"/>
  <c r="N729" i="19"/>
  <c r="O729" i="19"/>
  <c r="N732" i="19"/>
  <c r="O732" i="19"/>
  <c r="N736" i="19"/>
  <c r="O736" i="19"/>
  <c r="N737" i="19"/>
  <c r="O737" i="19"/>
  <c r="N738" i="19"/>
  <c r="O738" i="19"/>
  <c r="N739" i="19"/>
  <c r="O739" i="19"/>
  <c r="N735" i="19"/>
  <c r="O735" i="19"/>
  <c r="N731" i="19"/>
  <c r="O731" i="19"/>
  <c r="N730" i="19"/>
  <c r="O730" i="19"/>
  <c r="E1425" i="19"/>
  <c r="E1426" i="19"/>
  <c r="E1428" i="19"/>
  <c r="N1348" i="19"/>
  <c r="O1348" i="19"/>
  <c r="N1349" i="19"/>
  <c r="O1349" i="19"/>
  <c r="N1350" i="19"/>
  <c r="O1350" i="19"/>
  <c r="N1359" i="19"/>
  <c r="O1359" i="19"/>
  <c r="N1360" i="19"/>
  <c r="O1360" i="19"/>
  <c r="N1366" i="19"/>
  <c r="O1366" i="19"/>
  <c r="N1367" i="19"/>
  <c r="O1367" i="19"/>
  <c r="N1368" i="19"/>
  <c r="O1368" i="19"/>
  <c r="N1351" i="19"/>
  <c r="O1351" i="19"/>
  <c r="E1352" i="19"/>
  <c r="N1352" i="19"/>
  <c r="O1352" i="19"/>
  <c r="E1353" i="19"/>
  <c r="N1353" i="19"/>
  <c r="O1353" i="19"/>
  <c r="N1354" i="19"/>
  <c r="O1354" i="19"/>
  <c r="N1357" i="19"/>
  <c r="O1357" i="19"/>
  <c r="N1358" i="19"/>
  <c r="O1358" i="19"/>
  <c r="N1361" i="19"/>
  <c r="O1361" i="19"/>
  <c r="N1362" i="19"/>
  <c r="O1362" i="19"/>
  <c r="N1363" i="19"/>
  <c r="O1363" i="19"/>
  <c r="N1364" i="19"/>
  <c r="O1364" i="19"/>
  <c r="N1365" i="19"/>
  <c r="O1365" i="19"/>
  <c r="N1355" i="19"/>
  <c r="O1355" i="19"/>
  <c r="N1356" i="19"/>
  <c r="O1356" i="19"/>
  <c r="N1074" i="19"/>
  <c r="O1074" i="19"/>
  <c r="N1075" i="19"/>
  <c r="O1075" i="19"/>
  <c r="N1073" i="19"/>
  <c r="O1073" i="19"/>
  <c r="N1081" i="19"/>
  <c r="O1081" i="19"/>
  <c r="N1082" i="19"/>
  <c r="O1082" i="19"/>
  <c r="N1088" i="19"/>
  <c r="O1088" i="19"/>
  <c r="N1089" i="19"/>
  <c r="O1089" i="19"/>
  <c r="N1090" i="19"/>
  <c r="O1090" i="19"/>
  <c r="E1076" i="19"/>
  <c r="N1076" i="19"/>
  <c r="O1076" i="19"/>
  <c r="N1077" i="19"/>
  <c r="O1077" i="19"/>
  <c r="N1080" i="19"/>
  <c r="O1080" i="19"/>
  <c r="N1084" i="19"/>
  <c r="O1084" i="19"/>
  <c r="N1085" i="19"/>
  <c r="O1085" i="19"/>
  <c r="N1086" i="19"/>
  <c r="O1086" i="19"/>
  <c r="N1087" i="19"/>
  <c r="O1087" i="19"/>
  <c r="N1083" i="19"/>
  <c r="O1083" i="19"/>
  <c r="N1079" i="19"/>
  <c r="O1079" i="19"/>
  <c r="N1078" i="19"/>
  <c r="O1078" i="19"/>
  <c r="N868" i="19"/>
  <c r="O868" i="19"/>
  <c r="N869" i="19"/>
  <c r="O869" i="19"/>
  <c r="N867" i="19"/>
  <c r="O867" i="19"/>
  <c r="N875" i="19"/>
  <c r="O875" i="19"/>
  <c r="N876" i="19"/>
  <c r="O876" i="19"/>
  <c r="N882" i="19"/>
  <c r="O882" i="19"/>
  <c r="N883" i="19"/>
  <c r="O883" i="19"/>
  <c r="N884" i="19"/>
  <c r="O884" i="19"/>
  <c r="E870" i="19"/>
  <c r="N870" i="19"/>
  <c r="O870" i="19"/>
  <c r="N871" i="19"/>
  <c r="O871" i="19"/>
  <c r="N874" i="19"/>
  <c r="O874" i="19"/>
  <c r="N878" i="19"/>
  <c r="O878" i="19"/>
  <c r="N879" i="19"/>
  <c r="O879" i="19"/>
  <c r="N880" i="19"/>
  <c r="O880" i="19"/>
  <c r="N881" i="19"/>
  <c r="O881" i="19"/>
  <c r="N877" i="19"/>
  <c r="O877" i="19"/>
  <c r="N873" i="19"/>
  <c r="O873" i="19"/>
  <c r="N872" i="19"/>
  <c r="O872" i="19"/>
  <c r="E1018" i="19"/>
  <c r="E1016" i="19"/>
  <c r="E1013" i="19"/>
  <c r="E1014" i="19"/>
  <c r="E41" i="19"/>
  <c r="E42" i="19"/>
  <c r="E38" i="19"/>
  <c r="E39" i="19"/>
  <c r="E1288" i="19"/>
  <c r="E1289" i="19"/>
  <c r="E1290" i="19"/>
  <c r="E1291" i="19"/>
  <c r="E1292" i="19"/>
  <c r="E1293" i="19"/>
  <c r="E10" i="37"/>
  <c r="E11" i="37"/>
  <c r="E12" i="37"/>
  <c r="E13" i="37"/>
  <c r="E8" i="37"/>
  <c r="E9" i="37"/>
  <c r="E15" i="37"/>
  <c r="E16" i="37"/>
  <c r="E17" i="37"/>
  <c r="E18" i="37"/>
  <c r="E6" i="37"/>
  <c r="E5" i="37"/>
  <c r="E4" i="37"/>
  <c r="E3" i="37"/>
  <c r="N20" i="37"/>
  <c r="O20" i="37"/>
  <c r="N21" i="37"/>
  <c r="O21" i="37"/>
  <c r="N1321" i="19"/>
  <c r="O1321" i="19"/>
  <c r="N1322" i="19"/>
  <c r="O1322" i="19"/>
  <c r="N1323" i="19"/>
  <c r="O1323" i="19"/>
  <c r="N1324" i="19"/>
  <c r="O1324" i="19"/>
  <c r="N1069" i="19"/>
  <c r="O1069" i="19"/>
  <c r="N1070" i="19"/>
  <c r="O1070" i="19"/>
  <c r="N1065" i="19"/>
  <c r="O1065" i="19"/>
  <c r="N1066" i="19"/>
  <c r="O1066" i="19"/>
  <c r="N424" i="19"/>
  <c r="O424" i="19"/>
  <c r="N425" i="19"/>
  <c r="O425" i="19"/>
  <c r="N1067" i="19"/>
  <c r="O1067" i="19"/>
  <c r="N1068" i="19"/>
  <c r="O1068" i="19"/>
  <c r="N398" i="46"/>
  <c r="N399" i="46"/>
  <c r="N400" i="46"/>
  <c r="N401" i="46"/>
  <c r="N402" i="46"/>
  <c r="N403" i="46"/>
  <c r="N404" i="46"/>
  <c r="N405" i="46"/>
  <c r="N406" i="46"/>
  <c r="N407" i="46"/>
  <c r="O398" i="46"/>
  <c r="O399" i="46"/>
  <c r="O400" i="46"/>
  <c r="O401" i="46"/>
  <c r="O402" i="46"/>
  <c r="O403" i="46"/>
  <c r="O404" i="46"/>
  <c r="O405" i="46"/>
  <c r="O406" i="46"/>
  <c r="O407" i="46"/>
  <c r="N396" i="46"/>
  <c r="O396" i="46"/>
  <c r="N397" i="46"/>
  <c r="O397" i="46"/>
  <c r="N312" i="39"/>
  <c r="O312" i="39"/>
  <c r="N293" i="39"/>
  <c r="O293" i="39"/>
  <c r="N274" i="39"/>
  <c r="O274" i="39"/>
  <c r="N252" i="39"/>
  <c r="O252" i="39"/>
  <c r="N233" i="39"/>
  <c r="O233" i="39"/>
  <c r="N214" i="39"/>
  <c r="O214" i="39"/>
  <c r="N195" i="39"/>
  <c r="O195" i="39"/>
  <c r="N176" i="39"/>
  <c r="O176" i="39"/>
  <c r="N157" i="39"/>
  <c r="O157" i="39"/>
  <c r="N138" i="39"/>
  <c r="O138" i="39"/>
  <c r="N119" i="39"/>
  <c r="O119" i="39"/>
  <c r="N99" i="39"/>
  <c r="O99" i="39"/>
  <c r="N100" i="39"/>
  <c r="O100" i="39"/>
  <c r="O92" i="39"/>
  <c r="N92" i="39"/>
  <c r="N1288" i="19"/>
  <c r="N1289" i="19"/>
  <c r="N1290" i="19"/>
  <c r="N1291" i="19"/>
  <c r="N1292" i="19"/>
  <c r="N1293" i="19"/>
  <c r="N1287" i="19"/>
  <c r="O1287" i="19"/>
  <c r="N13" i="37"/>
  <c r="N12" i="37"/>
  <c r="E140" i="38"/>
  <c r="N15" i="37"/>
  <c r="N16" i="37"/>
  <c r="N17" i="37"/>
  <c r="N18" i="37"/>
  <c r="N8" i="37"/>
  <c r="N9" i="37"/>
  <c r="N10" i="37"/>
  <c r="N11" i="37"/>
  <c r="E137" i="38"/>
  <c r="E138" i="38"/>
  <c r="E141" i="38"/>
  <c r="N3" i="37"/>
  <c r="N4" i="37"/>
  <c r="N5" i="37"/>
  <c r="N6" i="37"/>
  <c r="N189" i="50" l="1"/>
  <c r="M189" i="50"/>
  <c r="N114" i="50"/>
  <c r="M114" i="50"/>
  <c r="N123" i="50"/>
  <c r="D323" i="50" s="1"/>
  <c r="D801" i="18" s="1"/>
  <c r="M123" i="50"/>
  <c r="D311" i="50" s="1"/>
  <c r="D789" i="18" s="1"/>
  <c r="N132" i="50"/>
  <c r="M132" i="50"/>
  <c r="N141" i="50"/>
  <c r="M141" i="50"/>
  <c r="N150" i="50"/>
  <c r="D302" i="50" s="1"/>
  <c r="D780" i="18" s="1"/>
  <c r="M150" i="50"/>
  <c r="D290" i="50" s="1"/>
  <c r="D768" i="18" s="1"/>
  <c r="N159" i="50"/>
  <c r="M159" i="50"/>
  <c r="N168" i="50"/>
  <c r="M168" i="50"/>
  <c r="N177" i="50"/>
  <c r="M177" i="50"/>
  <c r="N186" i="50"/>
  <c r="D332" i="50" s="1"/>
  <c r="D810" i="18" s="1"/>
  <c r="M186" i="50"/>
  <c r="D320" i="50" s="1"/>
  <c r="D798" i="18" s="1"/>
  <c r="K109" i="50"/>
  <c r="L109" i="50"/>
  <c r="N145" i="50"/>
  <c r="M145" i="50"/>
  <c r="N172" i="50"/>
  <c r="D330" i="50" s="1"/>
  <c r="D808" i="18" s="1"/>
  <c r="M172" i="50"/>
  <c r="D318" i="50" s="1"/>
  <c r="D796" i="18" s="1"/>
  <c r="M110" i="50"/>
  <c r="N110" i="50"/>
  <c r="K113" i="50"/>
  <c r="L113" i="50"/>
  <c r="M119" i="50"/>
  <c r="N119" i="50"/>
  <c r="K122" i="50"/>
  <c r="L122" i="50"/>
  <c r="M128" i="50"/>
  <c r="N128" i="50"/>
  <c r="K131" i="50"/>
  <c r="L131" i="50"/>
  <c r="M137" i="50"/>
  <c r="D313" i="50" s="1"/>
  <c r="D791" i="18" s="1"/>
  <c r="N137" i="50"/>
  <c r="D325" i="50" s="1"/>
  <c r="D803" i="18" s="1"/>
  <c r="K140" i="50"/>
  <c r="L140" i="50"/>
  <c r="M146" i="50"/>
  <c r="N146" i="50"/>
  <c r="K149" i="50"/>
  <c r="L149" i="50"/>
  <c r="M155" i="50"/>
  <c r="N155" i="50"/>
  <c r="K158" i="50"/>
  <c r="L158" i="50"/>
  <c r="M164" i="50"/>
  <c r="D292" i="50" s="1"/>
  <c r="D770" i="18" s="1"/>
  <c r="N164" i="50"/>
  <c r="D304" i="50" s="1"/>
  <c r="D782" i="18" s="1"/>
  <c r="K167" i="50"/>
  <c r="L167" i="50"/>
  <c r="M173" i="50"/>
  <c r="N173" i="50"/>
  <c r="K176" i="50"/>
  <c r="L176" i="50"/>
  <c r="M182" i="50"/>
  <c r="N182" i="50"/>
  <c r="K185" i="50"/>
  <c r="L185" i="50"/>
  <c r="M191" i="50"/>
  <c r="N191" i="50"/>
  <c r="N112" i="50"/>
  <c r="M112" i="50"/>
  <c r="N166" i="50"/>
  <c r="M166" i="50"/>
  <c r="K178" i="50"/>
  <c r="L178" i="50"/>
  <c r="N148" i="50"/>
  <c r="M148" i="50"/>
  <c r="K160" i="50"/>
  <c r="L160" i="50"/>
  <c r="N130" i="50"/>
  <c r="D324" i="50" s="1"/>
  <c r="D802" i="18" s="1"/>
  <c r="M130" i="50"/>
  <c r="D312" i="50" s="1"/>
  <c r="D790" i="18" s="1"/>
  <c r="N126" i="50"/>
  <c r="M126" i="50"/>
  <c r="N153" i="50"/>
  <c r="M153" i="50"/>
  <c r="N171" i="50"/>
  <c r="D305" i="50" s="1"/>
  <c r="D783" i="18" s="1"/>
  <c r="M171" i="50"/>
  <c r="D293" i="50" s="1"/>
  <c r="D771" i="18" s="1"/>
  <c r="N180" i="50"/>
  <c r="M180" i="50"/>
  <c r="N127" i="50"/>
  <c r="M127" i="50"/>
  <c r="N154" i="50"/>
  <c r="M154" i="50"/>
  <c r="N181" i="50"/>
  <c r="M181" i="50"/>
  <c r="K110" i="50"/>
  <c r="L110" i="50"/>
  <c r="N116" i="50"/>
  <c r="D322" i="50" s="1"/>
  <c r="D800" i="18" s="1"/>
  <c r="M116" i="50"/>
  <c r="D310" i="50" s="1"/>
  <c r="D788" i="18" s="1"/>
  <c r="K119" i="50"/>
  <c r="L119" i="50"/>
  <c r="N125" i="50"/>
  <c r="M125" i="50"/>
  <c r="K128" i="50"/>
  <c r="L128" i="50"/>
  <c r="N134" i="50"/>
  <c r="M134" i="50"/>
  <c r="K137" i="50"/>
  <c r="L137" i="50"/>
  <c r="N143" i="50"/>
  <c r="D301" i="50" s="1"/>
  <c r="D779" i="18" s="1"/>
  <c r="M143" i="50"/>
  <c r="D289" i="50" s="1"/>
  <c r="D767" i="18" s="1"/>
  <c r="K146" i="50"/>
  <c r="L146" i="50"/>
  <c r="N152" i="50"/>
  <c r="M152" i="50"/>
  <c r="K155" i="50"/>
  <c r="L155" i="50"/>
  <c r="N161" i="50"/>
  <c r="M161" i="50"/>
  <c r="K164" i="50"/>
  <c r="L164" i="50"/>
  <c r="N170" i="50"/>
  <c r="M170" i="50"/>
  <c r="K173" i="50"/>
  <c r="L173" i="50"/>
  <c r="N179" i="50"/>
  <c r="D331" i="50" s="1"/>
  <c r="D809" i="18" s="1"/>
  <c r="M179" i="50"/>
  <c r="D319" i="50" s="1"/>
  <c r="D797" i="18" s="1"/>
  <c r="K182" i="50"/>
  <c r="L182" i="50"/>
  <c r="N188" i="50"/>
  <c r="M188" i="50"/>
  <c r="K191" i="50"/>
  <c r="L191" i="50"/>
  <c r="K142" i="50"/>
  <c r="L142" i="50"/>
  <c r="N121" i="50"/>
  <c r="M121" i="50"/>
  <c r="N115" i="50"/>
  <c r="D297" i="50" s="1"/>
  <c r="D775" i="18" s="1"/>
  <c r="M115" i="50"/>
  <c r="D285" i="50" s="1"/>
  <c r="D763" i="18" s="1"/>
  <c r="N175" i="50"/>
  <c r="M175" i="50"/>
  <c r="K187" i="50"/>
  <c r="L187" i="50"/>
  <c r="N157" i="50"/>
  <c r="D303" i="50" s="1"/>
  <c r="D781" i="18" s="1"/>
  <c r="M157" i="50"/>
  <c r="D291" i="50" s="1"/>
  <c r="D769" i="18" s="1"/>
  <c r="N117" i="50"/>
  <c r="M117" i="50"/>
  <c r="N135" i="50"/>
  <c r="M135" i="50"/>
  <c r="N144" i="50"/>
  <c r="D326" i="50" s="1"/>
  <c r="D804" i="18" s="1"/>
  <c r="M144" i="50"/>
  <c r="D314" i="50" s="1"/>
  <c r="D792" i="18" s="1"/>
  <c r="N162" i="50"/>
  <c r="M162" i="50"/>
  <c r="N111" i="50"/>
  <c r="M111" i="50"/>
  <c r="N120" i="50"/>
  <c r="M120" i="50"/>
  <c r="N129" i="50"/>
  <c r="D299" i="50" s="1"/>
  <c r="D777" i="18" s="1"/>
  <c r="M129" i="50"/>
  <c r="D287" i="50" s="1"/>
  <c r="D765" i="18" s="1"/>
  <c r="N138" i="50"/>
  <c r="M138" i="50"/>
  <c r="N147" i="50"/>
  <c r="M147" i="50"/>
  <c r="N156" i="50"/>
  <c r="M156" i="50"/>
  <c r="N165" i="50"/>
  <c r="D329" i="50" s="1"/>
  <c r="D807" i="18" s="1"/>
  <c r="M165" i="50"/>
  <c r="D317" i="50" s="1"/>
  <c r="D795" i="18" s="1"/>
  <c r="N174" i="50"/>
  <c r="M174" i="50"/>
  <c r="N183" i="50"/>
  <c r="M183" i="50"/>
  <c r="N192" i="50"/>
  <c r="D308" i="50" s="1"/>
  <c r="D786" i="18" s="1"/>
  <c r="M192" i="50"/>
  <c r="D296" i="50" s="1"/>
  <c r="D774" i="18" s="1"/>
  <c r="N136" i="50"/>
  <c r="D300" i="50" s="1"/>
  <c r="D778" i="18" s="1"/>
  <c r="M136" i="50"/>
  <c r="D288" i="50" s="1"/>
  <c r="D766" i="18" s="1"/>
  <c r="N163" i="50"/>
  <c r="M163" i="50"/>
  <c r="N190" i="50"/>
  <c r="M190" i="50"/>
  <c r="N113" i="50"/>
  <c r="M113" i="50"/>
  <c r="K116" i="50"/>
  <c r="L116" i="50"/>
  <c r="N122" i="50"/>
  <c r="D298" i="50" s="1"/>
  <c r="D776" i="18" s="1"/>
  <c r="M122" i="50"/>
  <c r="D286" i="50" s="1"/>
  <c r="D764" i="18" s="1"/>
  <c r="K125" i="50"/>
  <c r="L125" i="50"/>
  <c r="N131" i="50"/>
  <c r="M131" i="50"/>
  <c r="K134" i="50"/>
  <c r="L134" i="50"/>
  <c r="N140" i="50"/>
  <c r="M140" i="50"/>
  <c r="K143" i="50"/>
  <c r="L143" i="50"/>
  <c r="N149" i="50"/>
  <c r="M149" i="50"/>
  <c r="K152" i="50"/>
  <c r="L152" i="50"/>
  <c r="N158" i="50"/>
  <c r="D328" i="50" s="1"/>
  <c r="D806" i="18" s="1"/>
  <c r="M158" i="50"/>
  <c r="D316" i="50" s="1"/>
  <c r="D794" i="18" s="1"/>
  <c r="K161" i="50"/>
  <c r="L161" i="50"/>
  <c r="N167" i="50"/>
  <c r="M167" i="50"/>
  <c r="K170" i="50"/>
  <c r="L170" i="50"/>
  <c r="N176" i="50"/>
  <c r="M176" i="50"/>
  <c r="K179" i="50"/>
  <c r="L179" i="50"/>
  <c r="N185" i="50"/>
  <c r="D307" i="50" s="1"/>
  <c r="D785" i="18" s="1"/>
  <c r="M185" i="50"/>
  <c r="D295" i="50" s="1"/>
  <c r="D773" i="18" s="1"/>
  <c r="K188" i="50"/>
  <c r="L188" i="50"/>
  <c r="K169" i="50"/>
  <c r="L169" i="50"/>
  <c r="N139" i="50"/>
  <c r="M139" i="50"/>
  <c r="K151" i="50"/>
  <c r="L151" i="50"/>
  <c r="N124" i="50"/>
  <c r="M124" i="50"/>
  <c r="K133" i="50"/>
  <c r="L133" i="50"/>
  <c r="N118" i="50"/>
  <c r="M118" i="50"/>
  <c r="N184" i="50"/>
  <c r="M184" i="50"/>
  <c r="N24" i="50"/>
  <c r="D1068" i="20" s="1"/>
  <c r="M24" i="50"/>
  <c r="D984" i="20" s="1"/>
  <c r="N33" i="50"/>
  <c r="D1077" i="20" s="1"/>
  <c r="M33" i="50"/>
  <c r="D993" i="20" s="1"/>
  <c r="M42" i="50"/>
  <c r="D1002" i="20" s="1"/>
  <c r="N42" i="50"/>
  <c r="D1086" i="20" s="1"/>
  <c r="M51" i="50"/>
  <c r="D1011" i="20" s="1"/>
  <c r="N51" i="50"/>
  <c r="D1095" i="20" s="1"/>
  <c r="M60" i="50"/>
  <c r="D1020" i="20" s="1"/>
  <c r="N60" i="50"/>
  <c r="D1104" i="20" s="1"/>
  <c r="M69" i="50"/>
  <c r="D1029" i="20" s="1"/>
  <c r="N69" i="50"/>
  <c r="D1113" i="20" s="1"/>
  <c r="M78" i="50"/>
  <c r="D1038" i="20" s="1"/>
  <c r="N78" i="50"/>
  <c r="D1122" i="20" s="1"/>
  <c r="M87" i="50"/>
  <c r="D1047" i="20" s="1"/>
  <c r="N87" i="50"/>
  <c r="D1131" i="20" s="1"/>
  <c r="M96" i="50"/>
  <c r="D1056" i="20" s="1"/>
  <c r="N96" i="50"/>
  <c r="D1140" i="20" s="1"/>
  <c r="L26" i="50"/>
  <c r="D902" i="20" s="1"/>
  <c r="K26" i="50"/>
  <c r="D818" i="20" s="1"/>
  <c r="L53" i="50"/>
  <c r="D929" i="20" s="1"/>
  <c r="K53" i="50"/>
  <c r="D845" i="20" s="1"/>
  <c r="L80" i="50"/>
  <c r="D956" i="20" s="1"/>
  <c r="K80" i="50"/>
  <c r="D872" i="20" s="1"/>
  <c r="M43" i="50"/>
  <c r="D1003" i="20" s="1"/>
  <c r="N43" i="50"/>
  <c r="D1087" i="20" s="1"/>
  <c r="M70" i="50"/>
  <c r="D1030" i="20" s="1"/>
  <c r="N70" i="50"/>
  <c r="D1114" i="20" s="1"/>
  <c r="M97" i="50"/>
  <c r="D1057" i="20" s="1"/>
  <c r="N97" i="50"/>
  <c r="D1141" i="20" s="1"/>
  <c r="K49" i="50"/>
  <c r="D841" i="20" s="1"/>
  <c r="L49" i="50"/>
  <c r="D925" i="20" s="1"/>
  <c r="K76" i="50"/>
  <c r="D868" i="20" s="1"/>
  <c r="L76" i="50"/>
  <c r="D952" i="20" s="1"/>
  <c r="K103" i="50"/>
  <c r="D895" i="20" s="1"/>
  <c r="L103" i="50"/>
  <c r="D979" i="20" s="1"/>
  <c r="M46" i="50"/>
  <c r="D1006" i="20" s="1"/>
  <c r="N46" i="50"/>
  <c r="D1090" i="20" s="1"/>
  <c r="M73" i="50"/>
  <c r="D1033" i="20" s="1"/>
  <c r="N73" i="50"/>
  <c r="D1117" i="20" s="1"/>
  <c r="M100" i="50"/>
  <c r="D1060" i="20" s="1"/>
  <c r="N100" i="50"/>
  <c r="D1144" i="20" s="1"/>
  <c r="L32" i="50"/>
  <c r="D908" i="20" s="1"/>
  <c r="K32" i="50"/>
  <c r="D824" i="20" s="1"/>
  <c r="L59" i="50"/>
  <c r="D935" i="20" s="1"/>
  <c r="K59" i="50"/>
  <c r="D851" i="20" s="1"/>
  <c r="L86" i="50"/>
  <c r="D962" i="20" s="1"/>
  <c r="K86" i="50"/>
  <c r="D878" i="20" s="1"/>
  <c r="M29" i="50"/>
  <c r="D989" i="20" s="1"/>
  <c r="N29" i="50"/>
  <c r="D1073" i="20" s="1"/>
  <c r="N56" i="50"/>
  <c r="D1100" i="20" s="1"/>
  <c r="M56" i="50"/>
  <c r="D1016" i="20" s="1"/>
  <c r="N83" i="50"/>
  <c r="D1127" i="20" s="1"/>
  <c r="M83" i="50"/>
  <c r="D1043" i="20" s="1"/>
  <c r="L23" i="50"/>
  <c r="D899" i="20" s="1"/>
  <c r="K23" i="50"/>
  <c r="D815" i="20" s="1"/>
  <c r="N27" i="50"/>
  <c r="D1071" i="20" s="1"/>
  <c r="M27" i="50"/>
  <c r="D987" i="20" s="1"/>
  <c r="N36" i="50"/>
  <c r="D1080" i="20" s="1"/>
  <c r="M36" i="50"/>
  <c r="D996" i="20" s="1"/>
  <c r="M45" i="50"/>
  <c r="D1005" i="20" s="1"/>
  <c r="N45" i="50"/>
  <c r="D1089" i="20" s="1"/>
  <c r="M54" i="50"/>
  <c r="D1014" i="20" s="1"/>
  <c r="N54" i="50"/>
  <c r="D1098" i="20" s="1"/>
  <c r="M63" i="50"/>
  <c r="D1023" i="20" s="1"/>
  <c r="N63" i="50"/>
  <c r="D1107" i="20" s="1"/>
  <c r="M72" i="50"/>
  <c r="D1032" i="20" s="1"/>
  <c r="N72" i="50"/>
  <c r="D1116" i="20" s="1"/>
  <c r="M81" i="50"/>
  <c r="D1041" i="20" s="1"/>
  <c r="N81" i="50"/>
  <c r="D1125" i="20" s="1"/>
  <c r="M90" i="50"/>
  <c r="D1050" i="20" s="1"/>
  <c r="N90" i="50"/>
  <c r="D1134" i="20" s="1"/>
  <c r="M99" i="50"/>
  <c r="D1059" i="20" s="1"/>
  <c r="N99" i="50"/>
  <c r="D1143" i="20" s="1"/>
  <c r="L35" i="50"/>
  <c r="D911" i="20" s="1"/>
  <c r="K35" i="50"/>
  <c r="D827" i="20" s="1"/>
  <c r="L62" i="50"/>
  <c r="D938" i="20" s="1"/>
  <c r="K62" i="50"/>
  <c r="D854" i="20" s="1"/>
  <c r="L89" i="50"/>
  <c r="D965" i="20" s="1"/>
  <c r="K89" i="50"/>
  <c r="D881" i="20" s="1"/>
  <c r="M25" i="50"/>
  <c r="D985" i="20" s="1"/>
  <c r="N25" i="50"/>
  <c r="D1069" i="20" s="1"/>
  <c r="M52" i="50"/>
  <c r="D1012" i="20" s="1"/>
  <c r="N52" i="50"/>
  <c r="D1096" i="20" s="1"/>
  <c r="M79" i="50"/>
  <c r="D1039" i="20" s="1"/>
  <c r="N79" i="50"/>
  <c r="D1123" i="20" s="1"/>
  <c r="K31" i="50"/>
  <c r="D823" i="20" s="1"/>
  <c r="L31" i="50"/>
  <c r="D907" i="20" s="1"/>
  <c r="K58" i="50"/>
  <c r="D850" i="20" s="1"/>
  <c r="L58" i="50"/>
  <c r="D934" i="20" s="1"/>
  <c r="K85" i="50"/>
  <c r="D877" i="20" s="1"/>
  <c r="L85" i="50"/>
  <c r="D961" i="20" s="1"/>
  <c r="M28" i="50"/>
  <c r="D988" i="20" s="1"/>
  <c r="N28" i="50"/>
  <c r="D1072" i="20" s="1"/>
  <c r="M55" i="50"/>
  <c r="D1015" i="20" s="1"/>
  <c r="N55" i="50"/>
  <c r="D1099" i="20" s="1"/>
  <c r="M82" i="50"/>
  <c r="D1042" i="20" s="1"/>
  <c r="N82" i="50"/>
  <c r="D1126" i="20" s="1"/>
  <c r="L41" i="50"/>
  <c r="D917" i="20" s="1"/>
  <c r="K41" i="50"/>
  <c r="D833" i="20" s="1"/>
  <c r="L68" i="50"/>
  <c r="D944" i="20" s="1"/>
  <c r="K68" i="50"/>
  <c r="D860" i="20" s="1"/>
  <c r="L95" i="50"/>
  <c r="D971" i="20" s="1"/>
  <c r="K95" i="50"/>
  <c r="D887" i="20" s="1"/>
  <c r="M38" i="50"/>
  <c r="D998" i="20" s="1"/>
  <c r="N38" i="50"/>
  <c r="D1082" i="20" s="1"/>
  <c r="N65" i="50"/>
  <c r="D1109" i="20" s="1"/>
  <c r="M65" i="50"/>
  <c r="D1025" i="20" s="1"/>
  <c r="N92" i="50"/>
  <c r="D1136" i="20" s="1"/>
  <c r="M92" i="50"/>
  <c r="D1052" i="20" s="1"/>
  <c r="M23" i="50"/>
  <c r="D983" i="20" s="1"/>
  <c r="N23" i="50"/>
  <c r="D1067" i="20" s="1"/>
  <c r="N21" i="50"/>
  <c r="D1065" i="20" s="1"/>
  <c r="M21" i="50"/>
  <c r="D981" i="20" s="1"/>
  <c r="N30" i="50"/>
  <c r="D1074" i="20" s="1"/>
  <c r="M30" i="50"/>
  <c r="D990" i="20" s="1"/>
  <c r="M39" i="50"/>
  <c r="D999" i="20" s="1"/>
  <c r="N39" i="50"/>
  <c r="D1083" i="20" s="1"/>
  <c r="M48" i="50"/>
  <c r="D1008" i="20" s="1"/>
  <c r="N48" i="50"/>
  <c r="D1092" i="20" s="1"/>
  <c r="M57" i="50"/>
  <c r="D1017" i="20" s="1"/>
  <c r="N57" i="50"/>
  <c r="D1101" i="20" s="1"/>
  <c r="M66" i="50"/>
  <c r="D1026" i="20" s="1"/>
  <c r="N66" i="50"/>
  <c r="D1110" i="20" s="1"/>
  <c r="M75" i="50"/>
  <c r="D1035" i="20" s="1"/>
  <c r="N75" i="50"/>
  <c r="D1119" i="20" s="1"/>
  <c r="M84" i="50"/>
  <c r="D1044" i="20" s="1"/>
  <c r="N84" i="50"/>
  <c r="D1128" i="20" s="1"/>
  <c r="N93" i="50"/>
  <c r="D1137" i="20" s="1"/>
  <c r="M93" i="50"/>
  <c r="D1053" i="20" s="1"/>
  <c r="N102" i="50"/>
  <c r="D1146" i="20" s="1"/>
  <c r="M102" i="50"/>
  <c r="D1062" i="20" s="1"/>
  <c r="L44" i="50"/>
  <c r="D920" i="20" s="1"/>
  <c r="K44" i="50"/>
  <c r="D836" i="20" s="1"/>
  <c r="L71" i="50"/>
  <c r="D947" i="20" s="1"/>
  <c r="K71" i="50"/>
  <c r="D863" i="20" s="1"/>
  <c r="L98" i="50"/>
  <c r="D974" i="20" s="1"/>
  <c r="K98" i="50"/>
  <c r="D890" i="20" s="1"/>
  <c r="M34" i="50"/>
  <c r="D994" i="20" s="1"/>
  <c r="N34" i="50"/>
  <c r="D1078" i="20" s="1"/>
  <c r="M61" i="50"/>
  <c r="D1021" i="20" s="1"/>
  <c r="N61" i="50"/>
  <c r="D1105" i="20" s="1"/>
  <c r="M88" i="50"/>
  <c r="D1048" i="20" s="1"/>
  <c r="N88" i="50"/>
  <c r="D1132" i="20" s="1"/>
  <c r="K40" i="50"/>
  <c r="D832" i="20" s="1"/>
  <c r="L40" i="50"/>
  <c r="D916" i="20" s="1"/>
  <c r="K67" i="50"/>
  <c r="D859" i="20" s="1"/>
  <c r="L67" i="50"/>
  <c r="D943" i="20" s="1"/>
  <c r="K94" i="50"/>
  <c r="D886" i="20" s="1"/>
  <c r="L94" i="50"/>
  <c r="D970" i="20" s="1"/>
  <c r="M37" i="50"/>
  <c r="D997" i="20" s="1"/>
  <c r="N37" i="50"/>
  <c r="D1081" i="20" s="1"/>
  <c r="M64" i="50"/>
  <c r="D1024" i="20" s="1"/>
  <c r="N64" i="50"/>
  <c r="D1108" i="20" s="1"/>
  <c r="M91" i="50"/>
  <c r="D1051" i="20" s="1"/>
  <c r="N91" i="50"/>
  <c r="D1135" i="20" s="1"/>
  <c r="L50" i="50"/>
  <c r="D926" i="20" s="1"/>
  <c r="K50" i="50"/>
  <c r="D842" i="20" s="1"/>
  <c r="L77" i="50"/>
  <c r="D953" i="20" s="1"/>
  <c r="K77" i="50"/>
  <c r="D869" i="20" s="1"/>
  <c r="L20" i="50"/>
  <c r="D896" i="20" s="1"/>
  <c r="D812" i="20"/>
  <c r="N47" i="50"/>
  <c r="D1091" i="20" s="1"/>
  <c r="M47" i="50"/>
  <c r="D1007" i="20" s="1"/>
  <c r="N74" i="50"/>
  <c r="D1118" i="20" s="1"/>
  <c r="M74" i="50"/>
  <c r="D1034" i="20" s="1"/>
  <c r="N101" i="50"/>
  <c r="D1145" i="20" s="1"/>
  <c r="M101" i="50"/>
  <c r="D1061" i="20" s="1"/>
  <c r="K22" i="50"/>
  <c r="D814" i="20" s="1"/>
  <c r="L22" i="50"/>
  <c r="D898" i="20" s="1"/>
  <c r="S372" i="46"/>
  <c r="K269" i="18"/>
  <c r="K270" i="18"/>
  <c r="K271" i="18"/>
  <c r="K272" i="18"/>
  <c r="K273" i="18"/>
  <c r="K274" i="18"/>
  <c r="K275" i="18"/>
  <c r="K276" i="18"/>
  <c r="K277" i="18"/>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O1318" i="19"/>
  <c r="N1318" i="19"/>
  <c r="O1305" i="19"/>
  <c r="N1305" i="19"/>
  <c r="N1294" i="19"/>
  <c r="O1294" i="19"/>
  <c r="N1295" i="19"/>
  <c r="O1295" i="19"/>
  <c r="N1296" i="19"/>
  <c r="O1296" i="19"/>
  <c r="N1297" i="19"/>
  <c r="O1297" i="19"/>
  <c r="N1298" i="19"/>
  <c r="O1298" i="19"/>
  <c r="N1299" i="19"/>
  <c r="O1299" i="19"/>
  <c r="N1300" i="19"/>
  <c r="O1300" i="19"/>
  <c r="N1301" i="19"/>
  <c r="O1301" i="19"/>
  <c r="N1302" i="19"/>
  <c r="O1302" i="19"/>
  <c r="N1303" i="19"/>
  <c r="O1303" i="19"/>
  <c r="N1304" i="19"/>
  <c r="O1304" i="19"/>
  <c r="N1306" i="19"/>
  <c r="O1306" i="19"/>
  <c r="N1307" i="19"/>
  <c r="O1307" i="19"/>
  <c r="N1308" i="19"/>
  <c r="O1308" i="19"/>
  <c r="N1309" i="19"/>
  <c r="O1309" i="19"/>
  <c r="N1310" i="19"/>
  <c r="O1310" i="19"/>
  <c r="N1311" i="19"/>
  <c r="O1311" i="19"/>
  <c r="N1312" i="19"/>
  <c r="O1312" i="19"/>
  <c r="N1313" i="19"/>
  <c r="O1313" i="19"/>
  <c r="N1314" i="19"/>
  <c r="O1314" i="19"/>
  <c r="N1315" i="19"/>
  <c r="O1315" i="19"/>
  <c r="N1316" i="19"/>
  <c r="O1316" i="19"/>
  <c r="N1317" i="19"/>
  <c r="O1317" i="19"/>
  <c r="N1319" i="19"/>
  <c r="O1319" i="19"/>
  <c r="N1320" i="19"/>
  <c r="O1320" i="19"/>
  <c r="K268" i="18"/>
  <c r="K175" i="18"/>
  <c r="K205" i="18"/>
  <c r="K83" i="18"/>
  <c r="K52" i="18"/>
  <c r="K189" i="18"/>
  <c r="K122" i="18"/>
  <c r="K15" i="18"/>
  <c r="K47" i="18"/>
  <c r="K149" i="18"/>
  <c r="K96" i="18"/>
  <c r="K147" i="18"/>
  <c r="K241" i="18"/>
  <c r="K228" i="18"/>
  <c r="K170" i="18"/>
  <c r="K206" i="18"/>
  <c r="K65" i="18"/>
  <c r="K48" i="18"/>
  <c r="K193" i="18"/>
  <c r="K124" i="18"/>
  <c r="K25" i="18"/>
  <c r="K37" i="18"/>
  <c r="K139" i="18"/>
  <c r="K88" i="18"/>
  <c r="K148" i="18"/>
  <c r="K232" i="18"/>
  <c r="K229" i="18"/>
  <c r="K169" i="18"/>
  <c r="K208" i="18"/>
  <c r="K67" i="18"/>
  <c r="K39" i="18"/>
  <c r="K190" i="18"/>
  <c r="K163" i="18"/>
  <c r="K23" i="18"/>
  <c r="K40" i="18"/>
  <c r="K156" i="18"/>
  <c r="K106" i="18"/>
  <c r="K153" i="18"/>
  <c r="K251" i="18"/>
  <c r="K230" i="18"/>
  <c r="K165" i="18"/>
  <c r="K216" i="18"/>
  <c r="K97" i="18"/>
  <c r="K44" i="18"/>
  <c r="K188" i="18"/>
  <c r="K138" i="18"/>
  <c r="K26" i="18"/>
  <c r="K36" i="18"/>
  <c r="K151" i="18"/>
  <c r="K112" i="18"/>
  <c r="K154" i="18"/>
  <c r="K258" i="18"/>
  <c r="K257" i="18"/>
  <c r="K182" i="18"/>
  <c r="K221" i="18"/>
  <c r="K85" i="18"/>
  <c r="K55" i="18"/>
  <c r="K184" i="18"/>
  <c r="K129" i="18"/>
  <c r="K32" i="18"/>
  <c r="K51" i="18"/>
  <c r="K159" i="18"/>
  <c r="K123" i="18"/>
  <c r="K120" i="18"/>
  <c r="K256" i="18"/>
  <c r="K237" i="18"/>
  <c r="K167" i="18"/>
  <c r="K217" i="18"/>
  <c r="K73" i="18"/>
  <c r="K53" i="18"/>
  <c r="K173" i="18"/>
  <c r="K143" i="18"/>
  <c r="K30" i="18"/>
  <c r="K50" i="18"/>
  <c r="K162" i="18"/>
  <c r="K116" i="18"/>
  <c r="K128" i="18"/>
  <c r="K254" i="18"/>
  <c r="K222" i="18"/>
  <c r="K164" i="18"/>
  <c r="K215" i="18"/>
  <c r="K69" i="18"/>
  <c r="K66" i="18"/>
  <c r="K180" i="18"/>
  <c r="K137" i="18"/>
  <c r="K22" i="18"/>
  <c r="K49" i="18"/>
  <c r="K155" i="18"/>
  <c r="K93" i="18"/>
  <c r="K105" i="18"/>
  <c r="K255" i="18"/>
  <c r="K223" i="18"/>
  <c r="K166" i="18"/>
  <c r="K207" i="18"/>
  <c r="K59" i="18"/>
  <c r="K64" i="18"/>
  <c r="K174" i="18"/>
  <c r="K142" i="18"/>
  <c r="K21" i="18"/>
  <c r="K45" i="18"/>
  <c r="K152" i="18"/>
  <c r="K121" i="18"/>
  <c r="K91" i="18"/>
  <c r="K250" i="18"/>
  <c r="K231" i="18"/>
  <c r="K172" i="18"/>
  <c r="K219" i="18"/>
  <c r="K71" i="18"/>
  <c r="K56" i="18"/>
  <c r="K183" i="18"/>
  <c r="K140" i="18"/>
  <c r="K28" i="18"/>
  <c r="K54" i="18"/>
  <c r="K160" i="18"/>
  <c r="K103" i="18"/>
  <c r="K92" i="18"/>
  <c r="K252" i="18"/>
  <c r="K246" i="18"/>
  <c r="K186" i="18"/>
  <c r="K212" i="18"/>
  <c r="K79" i="18"/>
  <c r="K80" i="18"/>
  <c r="K202" i="18"/>
  <c r="K107" i="18"/>
  <c r="K16" i="18"/>
  <c r="K31" i="18"/>
  <c r="K118" i="18"/>
  <c r="K82" i="18"/>
  <c r="K158" i="18"/>
  <c r="K244" i="18"/>
  <c r="K233" i="18"/>
  <c r="K187" i="18"/>
  <c r="K214" i="18"/>
  <c r="K70" i="18"/>
  <c r="K81" i="18"/>
  <c r="K192" i="18"/>
  <c r="K108" i="18"/>
  <c r="K13" i="18"/>
  <c r="K29" i="18"/>
  <c r="K98" i="18"/>
  <c r="K77" i="18"/>
  <c r="K104" i="18"/>
  <c r="K220" i="18"/>
  <c r="K227" i="18"/>
  <c r="K181" i="18"/>
  <c r="K204" i="18"/>
  <c r="K68" i="18"/>
  <c r="K89" i="18"/>
  <c r="K198" i="18"/>
  <c r="K126" i="18"/>
  <c r="K27" i="18"/>
  <c r="K34" i="18"/>
  <c r="K150" i="18"/>
  <c r="K115" i="18"/>
  <c r="K141" i="18"/>
  <c r="K240" i="18"/>
  <c r="K225" i="18"/>
  <c r="K171" i="18"/>
  <c r="K201" i="18"/>
  <c r="K58" i="18"/>
  <c r="K63" i="18"/>
  <c r="K197" i="18"/>
  <c r="K133" i="18"/>
  <c r="K12" i="18"/>
  <c r="K33" i="18"/>
  <c r="K99" i="18"/>
  <c r="K113" i="18"/>
  <c r="K110" i="18"/>
  <c r="K239" i="18"/>
  <c r="K224" i="18"/>
  <c r="K168" i="18"/>
  <c r="K203" i="18"/>
  <c r="K72" i="18"/>
  <c r="K57" i="18"/>
  <c r="K176" i="18"/>
  <c r="K127" i="18"/>
  <c r="K14" i="18"/>
  <c r="K38" i="18"/>
  <c r="K86" i="18"/>
  <c r="K109" i="18"/>
  <c r="K111" i="18"/>
  <c r="K238" i="18"/>
  <c r="K234" i="18"/>
  <c r="K177" i="18"/>
  <c r="K209" i="18"/>
  <c r="K74" i="18"/>
  <c r="K60" i="18"/>
  <c r="K194" i="18"/>
  <c r="K134" i="18"/>
  <c r="K18" i="18"/>
  <c r="K41" i="18"/>
  <c r="K144" i="18"/>
  <c r="K100" i="18"/>
  <c r="K130" i="18"/>
  <c r="K247" i="18"/>
  <c r="K235" i="18"/>
  <c r="K178" i="18"/>
  <c r="K210" i="18"/>
  <c r="K75" i="18"/>
  <c r="K61" i="18"/>
  <c r="K195" i="18"/>
  <c r="K135" i="18"/>
  <c r="K19" i="18"/>
  <c r="K42" i="18"/>
  <c r="K145" i="18"/>
  <c r="K101" i="18"/>
  <c r="K131" i="18"/>
  <c r="K248" i="18"/>
  <c r="K236" i="18"/>
  <c r="K179" i="18"/>
  <c r="K211" i="18"/>
  <c r="K76" i="18"/>
  <c r="K62" i="18"/>
  <c r="K196" i="18"/>
  <c r="K136" i="18"/>
  <c r="K20" i="18"/>
  <c r="K43" i="18"/>
  <c r="K146" i="18"/>
  <c r="K102" i="18"/>
  <c r="K132" i="18"/>
  <c r="K249" i="18"/>
  <c r="K242" i="18"/>
  <c r="K185" i="18"/>
  <c r="K218" i="18"/>
  <c r="K87" i="18"/>
  <c r="K78" i="18"/>
  <c r="K200" i="18"/>
  <c r="K117" i="18"/>
  <c r="K17" i="18"/>
  <c r="K35" i="18"/>
  <c r="K114" i="18"/>
  <c r="K94" i="18"/>
  <c r="K161" i="18"/>
  <c r="K245" i="18"/>
  <c r="K243" i="18"/>
  <c r="K191" i="18"/>
  <c r="K213" i="18"/>
  <c r="K90" i="18"/>
  <c r="K84" i="18"/>
  <c r="K199" i="18"/>
  <c r="K125" i="18"/>
  <c r="K24" i="18"/>
  <c r="K46" i="18"/>
  <c r="K119" i="18"/>
  <c r="K95" i="18"/>
  <c r="K157" i="18"/>
  <c r="K253" i="18"/>
  <c r="K226" i="18"/>
  <c r="K728" i="20"/>
  <c r="K727" i="20"/>
  <c r="K726" i="20"/>
  <c r="K725" i="20"/>
  <c r="K724" i="20"/>
  <c r="K723" i="20"/>
  <c r="K722" i="20"/>
  <c r="K721" i="20"/>
  <c r="K720" i="20"/>
  <c r="K719" i="20"/>
  <c r="K718" i="20"/>
  <c r="K717" i="20"/>
  <c r="K716" i="20"/>
  <c r="K715" i="20"/>
  <c r="K714" i="20"/>
  <c r="K713" i="20"/>
  <c r="K712" i="20"/>
  <c r="K711" i="20"/>
  <c r="K710" i="20"/>
  <c r="K709" i="20"/>
  <c r="K708" i="20"/>
  <c r="K707" i="20"/>
  <c r="K706" i="20"/>
  <c r="K705" i="20"/>
  <c r="K704" i="20"/>
  <c r="K703" i="20"/>
  <c r="K702" i="20"/>
  <c r="K701" i="20"/>
  <c r="K700" i="20"/>
  <c r="K699" i="20"/>
  <c r="K698" i="20"/>
  <c r="K697" i="20"/>
  <c r="K696" i="20"/>
  <c r="K695" i="20"/>
  <c r="K694" i="20"/>
  <c r="K693" i="20"/>
  <c r="K692" i="20"/>
  <c r="K691" i="20"/>
  <c r="K690" i="20"/>
  <c r="K689" i="20"/>
  <c r="K688" i="20"/>
  <c r="K687" i="20"/>
  <c r="K686" i="20"/>
  <c r="K685" i="20"/>
  <c r="K684" i="20"/>
  <c r="K683" i="20"/>
  <c r="K682" i="20"/>
  <c r="K681" i="20"/>
  <c r="K680" i="20"/>
  <c r="K679" i="20"/>
  <c r="K678" i="20"/>
  <c r="K677" i="20"/>
  <c r="K676" i="20"/>
  <c r="K675" i="20"/>
  <c r="K674" i="20"/>
  <c r="K673" i="20"/>
  <c r="K672" i="20"/>
  <c r="K671" i="20"/>
  <c r="K670" i="20"/>
  <c r="K669" i="20"/>
  <c r="K668" i="20"/>
  <c r="K667" i="20"/>
  <c r="K666" i="20"/>
  <c r="K665" i="20"/>
  <c r="K664" i="20"/>
  <c r="K663" i="20"/>
  <c r="K662" i="20"/>
  <c r="K661" i="20"/>
  <c r="K660" i="20"/>
  <c r="K659" i="20"/>
  <c r="K658" i="20"/>
  <c r="K657" i="20"/>
  <c r="K656" i="20"/>
  <c r="K655" i="20"/>
  <c r="K654" i="20"/>
  <c r="K653" i="20"/>
  <c r="K652" i="20"/>
  <c r="K651" i="20"/>
  <c r="K650" i="20"/>
  <c r="K649" i="20"/>
  <c r="K648" i="20"/>
  <c r="K647" i="20"/>
  <c r="K646" i="20"/>
  <c r="K645" i="20"/>
  <c r="K644" i="20"/>
  <c r="K643" i="20"/>
  <c r="K642" i="20"/>
  <c r="K641" i="20"/>
  <c r="K640" i="20"/>
  <c r="K639" i="20"/>
  <c r="K638" i="20"/>
  <c r="K637" i="20"/>
  <c r="K636" i="20"/>
  <c r="K635" i="20"/>
  <c r="K634" i="20"/>
  <c r="K633" i="20"/>
  <c r="K632" i="20"/>
  <c r="K631" i="20"/>
  <c r="K630" i="20"/>
  <c r="K629" i="20"/>
  <c r="K628" i="20"/>
  <c r="K627" i="20"/>
  <c r="K626" i="20"/>
  <c r="K625" i="20"/>
  <c r="K624" i="20"/>
  <c r="K623" i="20"/>
  <c r="K622" i="20"/>
  <c r="K621" i="20"/>
  <c r="K620" i="20"/>
  <c r="K619" i="20"/>
  <c r="K618" i="20"/>
  <c r="K617" i="20"/>
  <c r="K616" i="20"/>
  <c r="K615" i="20"/>
  <c r="K614" i="20"/>
  <c r="K613" i="20"/>
  <c r="K612" i="20"/>
  <c r="K611" i="20"/>
  <c r="K610" i="20"/>
  <c r="K609" i="20"/>
  <c r="K608" i="20"/>
  <c r="K607" i="20"/>
  <c r="K606" i="20"/>
  <c r="K605" i="20"/>
  <c r="K604" i="20"/>
  <c r="K603" i="20"/>
  <c r="K602" i="20"/>
  <c r="K601" i="20"/>
  <c r="K600" i="20"/>
  <c r="K599" i="20"/>
  <c r="K598" i="20"/>
  <c r="K597" i="20"/>
  <c r="K596" i="20"/>
  <c r="K595" i="20"/>
  <c r="K594" i="20"/>
  <c r="K593" i="20"/>
  <c r="K592" i="20"/>
  <c r="K591" i="20"/>
  <c r="K590" i="20"/>
  <c r="K589" i="20"/>
  <c r="K588" i="20"/>
  <c r="K587" i="20"/>
  <c r="K586" i="20"/>
  <c r="K585" i="20"/>
  <c r="K584" i="20"/>
  <c r="K583" i="20"/>
  <c r="K582" i="20"/>
  <c r="K581" i="20"/>
  <c r="K580" i="20"/>
  <c r="K579" i="20"/>
  <c r="K578" i="20"/>
  <c r="K577" i="20"/>
  <c r="K576" i="20"/>
  <c r="K575" i="20"/>
  <c r="K574" i="20"/>
  <c r="K573" i="20"/>
  <c r="K572" i="20"/>
  <c r="K571" i="20"/>
  <c r="K570" i="20"/>
  <c r="K569" i="20"/>
  <c r="K568" i="20"/>
  <c r="K567" i="20"/>
  <c r="K566" i="20"/>
  <c r="K565" i="20"/>
  <c r="K564" i="20"/>
  <c r="K563" i="20"/>
  <c r="K562" i="20"/>
  <c r="K561" i="20"/>
  <c r="K560" i="20"/>
  <c r="K559" i="20"/>
  <c r="K558" i="20"/>
  <c r="K557" i="20"/>
  <c r="K556" i="20"/>
  <c r="K555" i="20"/>
  <c r="K554" i="20"/>
  <c r="K553" i="20"/>
  <c r="K552" i="20"/>
  <c r="K551" i="20"/>
  <c r="K550" i="20"/>
  <c r="K549" i="20"/>
  <c r="K548" i="20"/>
  <c r="K547" i="20"/>
  <c r="K546" i="20"/>
  <c r="K545" i="20"/>
  <c r="K544" i="20"/>
  <c r="K543" i="20"/>
  <c r="K542" i="20"/>
  <c r="K541" i="20"/>
  <c r="K540" i="20"/>
  <c r="K539" i="20"/>
  <c r="K538" i="20"/>
  <c r="K537" i="20"/>
  <c r="K536" i="20"/>
  <c r="K535" i="20"/>
  <c r="K534" i="20"/>
  <c r="K533" i="20"/>
  <c r="K532" i="20"/>
  <c r="K531" i="20"/>
  <c r="K530" i="20"/>
  <c r="K529" i="20"/>
  <c r="K528" i="20"/>
  <c r="K527" i="20"/>
  <c r="K526" i="20"/>
  <c r="K525" i="20"/>
  <c r="K524" i="20"/>
  <c r="K523" i="20"/>
  <c r="K522" i="20"/>
  <c r="K521" i="20"/>
  <c r="K520" i="20"/>
  <c r="K519" i="20"/>
  <c r="K518" i="20"/>
  <c r="K517" i="20"/>
  <c r="K516" i="20"/>
  <c r="K515" i="20"/>
  <c r="K514" i="20"/>
  <c r="K513" i="20"/>
  <c r="K512" i="20"/>
  <c r="K511" i="20"/>
  <c r="K510" i="20"/>
  <c r="K509" i="20"/>
  <c r="K508" i="20"/>
  <c r="K507" i="20"/>
  <c r="K506" i="20"/>
  <c r="K505" i="20"/>
  <c r="K504" i="20"/>
  <c r="K503" i="20"/>
  <c r="K502" i="20"/>
  <c r="K501" i="20"/>
  <c r="K500" i="20"/>
  <c r="K499" i="20"/>
  <c r="K498" i="20"/>
  <c r="K497" i="20"/>
  <c r="K496" i="20"/>
  <c r="K495" i="20"/>
  <c r="K494" i="20"/>
  <c r="K493" i="20"/>
  <c r="K492" i="20"/>
  <c r="K491" i="20"/>
  <c r="K490" i="20"/>
  <c r="K489" i="20"/>
  <c r="K488" i="20"/>
  <c r="K487" i="20"/>
  <c r="K486" i="20"/>
  <c r="K485" i="20"/>
  <c r="K484" i="20"/>
  <c r="K483" i="20"/>
  <c r="K482" i="20"/>
  <c r="K481" i="20"/>
  <c r="K480" i="20"/>
  <c r="K479" i="20"/>
  <c r="K478" i="20"/>
  <c r="K477" i="20"/>
  <c r="K476" i="20"/>
  <c r="K475" i="20"/>
  <c r="K474" i="20"/>
  <c r="K473" i="20"/>
  <c r="K472" i="20"/>
  <c r="K471" i="20"/>
  <c r="K470" i="20"/>
  <c r="K469" i="20"/>
  <c r="K468" i="20"/>
  <c r="K467" i="20"/>
  <c r="K466" i="20"/>
  <c r="K465" i="20"/>
  <c r="K464" i="20"/>
  <c r="K463" i="20"/>
  <c r="K462" i="20"/>
  <c r="K461" i="20"/>
  <c r="K460" i="20"/>
  <c r="K459" i="20"/>
  <c r="K458" i="20"/>
  <c r="K457" i="20"/>
  <c r="K456" i="20"/>
  <c r="K455" i="20"/>
  <c r="K454" i="20"/>
  <c r="K453" i="20"/>
  <c r="K452" i="20"/>
  <c r="K451" i="20"/>
  <c r="K450" i="20"/>
  <c r="K449" i="20"/>
  <c r="K448" i="20"/>
  <c r="K447" i="20"/>
  <c r="K446" i="20"/>
  <c r="K445" i="20"/>
  <c r="K444" i="20"/>
  <c r="K443" i="20"/>
  <c r="K442" i="20"/>
  <c r="K441" i="20"/>
  <c r="K440" i="20"/>
  <c r="K439" i="20"/>
  <c r="K438" i="20"/>
  <c r="K437" i="20"/>
  <c r="K436" i="20"/>
  <c r="K435" i="20"/>
  <c r="K434" i="20"/>
  <c r="K433" i="20"/>
  <c r="K432" i="20"/>
  <c r="K431" i="20"/>
  <c r="K430" i="20"/>
  <c r="K429" i="20"/>
  <c r="K428" i="20"/>
  <c r="K427" i="20"/>
  <c r="K426" i="20"/>
  <c r="K425" i="20"/>
  <c r="K424" i="20"/>
  <c r="K423" i="20"/>
  <c r="K422" i="20"/>
  <c r="K421" i="20"/>
  <c r="K420" i="20"/>
  <c r="K419" i="20"/>
  <c r="K418" i="20"/>
  <c r="K417" i="20"/>
  <c r="K416" i="20"/>
  <c r="K415" i="20"/>
  <c r="K414" i="20"/>
  <c r="K413" i="20"/>
  <c r="K412" i="20"/>
  <c r="K411" i="20"/>
  <c r="K410" i="20"/>
  <c r="K409" i="20"/>
  <c r="K408" i="20"/>
  <c r="K407" i="20"/>
  <c r="K406" i="20"/>
  <c r="K405" i="20"/>
  <c r="K404" i="20"/>
  <c r="K403" i="20"/>
  <c r="K402" i="20"/>
  <c r="K401" i="20"/>
  <c r="K400" i="20"/>
  <c r="K399" i="20"/>
  <c r="K398" i="20"/>
  <c r="K397" i="20"/>
  <c r="K396" i="20"/>
  <c r="K395" i="20"/>
  <c r="K394" i="20"/>
  <c r="K393" i="20"/>
  <c r="K392" i="20"/>
  <c r="K391" i="20"/>
  <c r="K390" i="20"/>
  <c r="K389" i="20"/>
  <c r="K388" i="20"/>
  <c r="K387" i="20"/>
  <c r="K386" i="20"/>
  <c r="K385" i="20"/>
  <c r="K384" i="20"/>
  <c r="K383" i="20"/>
  <c r="K382" i="20"/>
  <c r="K381" i="20"/>
  <c r="K380" i="20"/>
  <c r="K379" i="20"/>
  <c r="K378"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K93" i="20"/>
  <c r="K94" i="20"/>
  <c r="K95" i="20"/>
  <c r="K96" i="20"/>
  <c r="K97" i="20"/>
  <c r="K98" i="20"/>
  <c r="K99" i="20"/>
  <c r="K100" i="20"/>
  <c r="K101" i="20"/>
  <c r="K102" i="20"/>
  <c r="K103" i="20"/>
  <c r="K104" i="20"/>
  <c r="K105" i="20"/>
  <c r="K106" i="20"/>
  <c r="K107" i="20"/>
  <c r="K108" i="20"/>
  <c r="K109" i="20"/>
  <c r="K110" i="20"/>
  <c r="K111" i="20"/>
  <c r="K112" i="20"/>
  <c r="K113" i="20"/>
  <c r="K114" i="20"/>
  <c r="K115" i="20"/>
  <c r="K116" i="20"/>
  <c r="K117" i="20"/>
  <c r="K118" i="20"/>
  <c r="K119" i="20"/>
  <c r="K120" i="20"/>
  <c r="K121" i="20"/>
  <c r="K122" i="20"/>
  <c r="K123" i="20"/>
  <c r="K124" i="20"/>
  <c r="K125" i="20"/>
  <c r="K126" i="20"/>
  <c r="K127" i="20"/>
  <c r="K128" i="20"/>
  <c r="K129" i="20"/>
  <c r="K130" i="20"/>
  <c r="K131" i="20"/>
  <c r="K132" i="20"/>
  <c r="K133" i="20"/>
  <c r="K134" i="20"/>
  <c r="K135" i="20"/>
  <c r="K136" i="20"/>
  <c r="K137" i="20"/>
  <c r="K138" i="20"/>
  <c r="K139" i="20"/>
  <c r="K140" i="20"/>
  <c r="K141" i="20"/>
  <c r="K142" i="20"/>
  <c r="K143" i="20"/>
  <c r="K144" i="20"/>
  <c r="K145" i="20"/>
  <c r="K146" i="20"/>
  <c r="K147" i="20"/>
  <c r="K148" i="20"/>
  <c r="K149" i="20"/>
  <c r="K150" i="20"/>
  <c r="K151" i="20"/>
  <c r="K152" i="20"/>
  <c r="K153" i="20"/>
  <c r="K154" i="20"/>
  <c r="K155" i="20"/>
  <c r="K156" i="20"/>
  <c r="K157" i="20"/>
  <c r="K158" i="20"/>
  <c r="K159" i="20"/>
  <c r="K160" i="20"/>
  <c r="K161" i="20"/>
  <c r="K162" i="20"/>
  <c r="K163" i="20"/>
  <c r="K164" i="20"/>
  <c r="K165" i="20"/>
  <c r="K166" i="20"/>
  <c r="K167" i="20"/>
  <c r="K168" i="20"/>
  <c r="K169" i="20"/>
  <c r="K170" i="20"/>
  <c r="K171" i="20"/>
  <c r="K172" i="20"/>
  <c r="K173" i="20"/>
  <c r="K174" i="20"/>
  <c r="K175" i="20"/>
  <c r="K176" i="20"/>
  <c r="K177" i="20"/>
  <c r="K178" i="20"/>
  <c r="K179" i="20"/>
  <c r="K180" i="20"/>
  <c r="K181" i="20"/>
  <c r="K182" i="20"/>
  <c r="K183" i="20"/>
  <c r="K184" i="20"/>
  <c r="K185" i="20"/>
  <c r="K186" i="20"/>
  <c r="K187" i="20"/>
  <c r="K188" i="20"/>
  <c r="K189" i="20"/>
  <c r="K190" i="20"/>
  <c r="K191" i="20"/>
  <c r="K192" i="20"/>
  <c r="K193" i="20"/>
  <c r="K194" i="20"/>
  <c r="K195" i="20"/>
  <c r="K196" i="20"/>
  <c r="K197" i="20"/>
  <c r="K198" i="20"/>
  <c r="K199" i="20"/>
  <c r="K200" i="20"/>
  <c r="K201" i="20"/>
  <c r="K202" i="20"/>
  <c r="K203" i="20"/>
  <c r="K204" i="20"/>
  <c r="K205" i="20"/>
  <c r="K206" i="20"/>
  <c r="K207" i="20"/>
  <c r="K208" i="20"/>
  <c r="K209" i="20"/>
  <c r="K210" i="20"/>
  <c r="K211" i="20"/>
  <c r="K212" i="20"/>
  <c r="K213" i="20"/>
  <c r="K214" i="20"/>
  <c r="K215" i="20"/>
  <c r="K216" i="20"/>
  <c r="K217" i="20"/>
  <c r="K218" i="20"/>
  <c r="K219" i="20"/>
  <c r="K220" i="20"/>
  <c r="K221" i="20"/>
  <c r="K222" i="20"/>
  <c r="K223" i="20"/>
  <c r="K224" i="20"/>
  <c r="K225" i="20"/>
  <c r="K226" i="20"/>
  <c r="K227" i="20"/>
  <c r="K228" i="20"/>
  <c r="K229" i="20"/>
  <c r="K230" i="20"/>
  <c r="K231" i="20"/>
  <c r="K232" i="20"/>
  <c r="K233" i="20"/>
  <c r="K234" i="20"/>
  <c r="K235" i="20"/>
  <c r="K236" i="20"/>
  <c r="K237" i="20"/>
  <c r="K238" i="20"/>
  <c r="K239" i="20"/>
  <c r="K240" i="20"/>
  <c r="K241" i="20"/>
  <c r="K242" i="20"/>
  <c r="K243" i="20"/>
  <c r="K244" i="20"/>
  <c r="K245" i="20"/>
  <c r="K246" i="20"/>
  <c r="K247" i="20"/>
  <c r="K248" i="20"/>
  <c r="K249" i="20"/>
  <c r="K250" i="20"/>
  <c r="K251" i="20"/>
  <c r="K252" i="20"/>
  <c r="K253" i="20"/>
  <c r="K254" i="20"/>
  <c r="K255" i="20"/>
  <c r="K256" i="20"/>
  <c r="K257" i="20"/>
  <c r="K258" i="20"/>
  <c r="K259" i="20"/>
  <c r="K260" i="20"/>
  <c r="K261" i="20"/>
  <c r="K262" i="20"/>
  <c r="K263" i="20"/>
  <c r="K264" i="20"/>
  <c r="K265" i="20"/>
  <c r="K266" i="20"/>
  <c r="K267" i="20"/>
  <c r="K268" i="20"/>
  <c r="K269" i="20"/>
  <c r="K270" i="20"/>
  <c r="K271" i="20"/>
  <c r="K272" i="20"/>
  <c r="K273" i="20"/>
  <c r="K274" i="20"/>
  <c r="K275" i="20"/>
  <c r="K276" i="20"/>
  <c r="K277" i="20"/>
  <c r="K278" i="20"/>
  <c r="K279" i="20"/>
  <c r="K280" i="20"/>
  <c r="K281" i="20"/>
  <c r="K282" i="20"/>
  <c r="K283" i="20"/>
  <c r="K284" i="20"/>
  <c r="K285" i="20"/>
  <c r="K286" i="20"/>
  <c r="K287" i="20"/>
  <c r="K288" i="20"/>
  <c r="K289" i="20"/>
  <c r="K290" i="20"/>
  <c r="K291" i="20"/>
  <c r="K292" i="20"/>
  <c r="K293" i="20"/>
  <c r="K294" i="20"/>
  <c r="K295" i="20"/>
  <c r="K296" i="20"/>
  <c r="K297" i="20"/>
  <c r="K298" i="20"/>
  <c r="K299" i="20"/>
  <c r="K300" i="20"/>
  <c r="K301" i="20"/>
  <c r="K302" i="20"/>
  <c r="K303" i="20"/>
  <c r="K304" i="20"/>
  <c r="K305" i="20"/>
  <c r="K306" i="20"/>
  <c r="K307" i="20"/>
  <c r="K308" i="20"/>
  <c r="K309" i="20"/>
  <c r="K310" i="20"/>
  <c r="K311" i="20"/>
  <c r="K312" i="20"/>
  <c r="K313" i="20"/>
  <c r="K314" i="20"/>
  <c r="K315" i="20"/>
  <c r="K316" i="20"/>
  <c r="K317" i="20"/>
  <c r="K318" i="20"/>
  <c r="K319" i="20"/>
  <c r="K320" i="20"/>
  <c r="K321" i="20"/>
  <c r="K322" i="20"/>
  <c r="K323" i="20"/>
  <c r="K324" i="20"/>
  <c r="K325" i="20"/>
  <c r="K326" i="20"/>
  <c r="K327" i="20"/>
  <c r="K328" i="20"/>
  <c r="K329" i="20"/>
  <c r="K330" i="20"/>
  <c r="K331" i="20"/>
  <c r="K332" i="20"/>
  <c r="K333" i="20"/>
  <c r="K334" i="20"/>
  <c r="K335" i="20"/>
  <c r="K336" i="20"/>
  <c r="K337" i="20"/>
  <c r="K338" i="20"/>
  <c r="K339" i="20"/>
  <c r="K340" i="20"/>
  <c r="K341" i="20"/>
  <c r="K342" i="20"/>
  <c r="K343" i="20"/>
  <c r="K344" i="20"/>
  <c r="K345" i="20"/>
  <c r="K346" i="20"/>
  <c r="K347" i="20"/>
  <c r="K348" i="20"/>
  <c r="K349" i="20"/>
  <c r="K350" i="20"/>
  <c r="K351" i="20"/>
  <c r="K352" i="20"/>
  <c r="K353" i="20"/>
  <c r="K354" i="20"/>
  <c r="K355" i="20"/>
  <c r="K356" i="20"/>
  <c r="K357" i="20"/>
  <c r="K358" i="20"/>
  <c r="K359" i="20"/>
  <c r="K360" i="20"/>
  <c r="K361" i="20"/>
  <c r="K362" i="20"/>
  <c r="K363" i="20"/>
  <c r="K364" i="20"/>
  <c r="K365" i="20"/>
  <c r="K366" i="20"/>
  <c r="K367" i="20"/>
  <c r="K368" i="20"/>
  <c r="K369" i="20"/>
  <c r="K370" i="20"/>
  <c r="K371" i="20"/>
  <c r="K372" i="20"/>
  <c r="K23" i="20"/>
  <c r="K24" i="20"/>
  <c r="K25" i="20"/>
  <c r="K26" i="20"/>
  <c r="K27" i="20"/>
  <c r="K28" i="20"/>
  <c r="K29" i="20"/>
  <c r="K30" i="20"/>
  <c r="K31" i="20"/>
  <c r="K32" i="20"/>
  <c r="K33" i="20"/>
  <c r="K34" i="20"/>
  <c r="K35" i="20"/>
  <c r="K22" i="20"/>
  <c r="F505" i="46"/>
  <c r="F504" i="46"/>
  <c r="F503" i="46"/>
  <c r="F502" i="46"/>
  <c r="F501" i="46"/>
  <c r="F500" i="46"/>
  <c r="F499" i="46"/>
  <c r="F498" i="46"/>
  <c r="F497" i="46"/>
  <c r="F496" i="46"/>
  <c r="F495" i="46"/>
  <c r="F494" i="46"/>
  <c r="F493" i="46"/>
  <c r="F492" i="46"/>
  <c r="F491" i="46"/>
  <c r="F490" i="46"/>
  <c r="F489" i="46"/>
  <c r="F488" i="46"/>
  <c r="F487" i="46"/>
  <c r="F486" i="46"/>
  <c r="F485" i="46"/>
  <c r="F484" i="46"/>
  <c r="F483" i="46"/>
  <c r="F482" i="46"/>
  <c r="F481" i="46"/>
  <c r="F480" i="46"/>
  <c r="F479" i="46"/>
  <c r="F478" i="46"/>
  <c r="F477" i="46"/>
  <c r="F476" i="46"/>
  <c r="F475" i="46"/>
  <c r="F474" i="46"/>
  <c r="F473" i="46"/>
  <c r="F472" i="46"/>
  <c r="F471" i="46"/>
  <c r="F470" i="46"/>
  <c r="F469" i="46"/>
  <c r="F468" i="46"/>
  <c r="F467" i="46"/>
  <c r="F466" i="46"/>
  <c r="F465" i="46"/>
  <c r="F464" i="46"/>
  <c r="F463" i="46"/>
  <c r="F462" i="46"/>
  <c r="F461" i="46"/>
  <c r="F460" i="46"/>
  <c r="F459" i="46"/>
  <c r="F458" i="46"/>
  <c r="N392" i="46"/>
  <c r="N380" i="46"/>
  <c r="N367" i="46"/>
  <c r="O367" i="46"/>
  <c r="N368" i="46"/>
  <c r="N369" i="46"/>
  <c r="N370" i="46"/>
  <c r="N371" i="46"/>
  <c r="N372" i="46"/>
  <c r="N373" i="46"/>
  <c r="N374" i="46"/>
  <c r="N375" i="46"/>
  <c r="N376" i="46"/>
  <c r="N377" i="46"/>
  <c r="N378" i="46"/>
  <c r="N379" i="46"/>
  <c r="N381" i="46"/>
  <c r="N382" i="46"/>
  <c r="N383" i="46"/>
  <c r="N384" i="46"/>
  <c r="N385" i="46"/>
  <c r="N386" i="46"/>
  <c r="N387" i="46"/>
  <c r="N388" i="46"/>
  <c r="N389" i="46"/>
  <c r="N390" i="46"/>
  <c r="N391" i="46"/>
  <c r="N393" i="46"/>
  <c r="O7" i="46"/>
  <c r="O8" i="46"/>
  <c r="O9" i="46"/>
  <c r="O10" i="46"/>
  <c r="O11" i="46"/>
  <c r="O12" i="46"/>
  <c r="O13" i="46"/>
  <c r="O14" i="46"/>
  <c r="O15" i="46"/>
  <c r="O16" i="46"/>
  <c r="O17" i="46"/>
  <c r="O18" i="46"/>
  <c r="O19" i="46"/>
  <c r="O20" i="46"/>
  <c r="O21" i="46"/>
  <c r="O22" i="46"/>
  <c r="O23" i="46"/>
  <c r="O24" i="46"/>
  <c r="O25" i="46"/>
  <c r="O26" i="46"/>
  <c r="O27" i="46"/>
  <c r="O28" i="46"/>
  <c r="O29" i="46"/>
  <c r="O30" i="46"/>
  <c r="O31" i="46"/>
  <c r="O32" i="46"/>
  <c r="O33" i="46"/>
  <c r="O34" i="46"/>
  <c r="O35" i="46"/>
  <c r="O36" i="46"/>
  <c r="O37" i="46"/>
  <c r="O38" i="46"/>
  <c r="O39" i="46"/>
  <c r="O40" i="46"/>
  <c r="O41" i="46"/>
  <c r="O42" i="46"/>
  <c r="O43" i="46"/>
  <c r="O44" i="46"/>
  <c r="O45" i="46"/>
  <c r="O46" i="46"/>
  <c r="O47" i="46"/>
  <c r="O48" i="46"/>
  <c r="O49" i="46"/>
  <c r="O50" i="46"/>
  <c r="O51" i="46"/>
  <c r="O52" i="46"/>
  <c r="O53" i="46"/>
  <c r="O54" i="46"/>
  <c r="O55" i="46"/>
  <c r="O56" i="46"/>
  <c r="O57" i="46"/>
  <c r="O58" i="46"/>
  <c r="O59" i="46"/>
  <c r="O60" i="46"/>
  <c r="O61" i="46"/>
  <c r="O62" i="46"/>
  <c r="O63" i="46"/>
  <c r="O64" i="46"/>
  <c r="O65" i="46"/>
  <c r="O66" i="46"/>
  <c r="O67" i="46"/>
  <c r="O68" i="46"/>
  <c r="O69" i="46"/>
  <c r="O70" i="46"/>
  <c r="O71" i="46"/>
  <c r="O72" i="46"/>
  <c r="O73" i="46"/>
  <c r="O74" i="46"/>
  <c r="O75" i="46"/>
  <c r="O76" i="46"/>
  <c r="O77" i="46"/>
  <c r="O78" i="46"/>
  <c r="O79" i="46"/>
  <c r="O80" i="46"/>
  <c r="O81" i="46"/>
  <c r="O82" i="46"/>
  <c r="O83" i="46"/>
  <c r="O84" i="46"/>
  <c r="O85" i="46"/>
  <c r="O86" i="46"/>
  <c r="O87" i="46"/>
  <c r="O88" i="46"/>
  <c r="O89" i="46"/>
  <c r="O90" i="46"/>
  <c r="O91" i="46"/>
  <c r="O92" i="46"/>
  <c r="O93" i="46"/>
  <c r="O94" i="46"/>
  <c r="O95" i="46"/>
  <c r="O96" i="46"/>
  <c r="O97" i="46"/>
  <c r="O98" i="46"/>
  <c r="O99" i="46"/>
  <c r="O100" i="46"/>
  <c r="O101" i="46"/>
  <c r="O102" i="46"/>
  <c r="O103" i="46"/>
  <c r="O104" i="46"/>
  <c r="O105" i="46"/>
  <c r="O106" i="46"/>
  <c r="O107" i="46"/>
  <c r="O108" i="46"/>
  <c r="O109" i="46"/>
  <c r="O110" i="46"/>
  <c r="O111" i="46"/>
  <c r="O112" i="46"/>
  <c r="O113" i="46"/>
  <c r="O114" i="46"/>
  <c r="O115" i="46"/>
  <c r="O116" i="46"/>
  <c r="O117" i="46"/>
  <c r="O118" i="46"/>
  <c r="O119" i="46"/>
  <c r="O120" i="46"/>
  <c r="O121" i="46"/>
  <c r="O122" i="46"/>
  <c r="O123" i="46"/>
  <c r="O124" i="46"/>
  <c r="O125" i="46"/>
  <c r="O126" i="46"/>
  <c r="O127" i="46"/>
  <c r="O128" i="46"/>
  <c r="O129" i="46"/>
  <c r="O130" i="46"/>
  <c r="O131" i="46"/>
  <c r="O132" i="46"/>
  <c r="O133" i="46"/>
  <c r="O134" i="46"/>
  <c r="O135" i="46"/>
  <c r="O136" i="46"/>
  <c r="O137" i="46"/>
  <c r="O138" i="46"/>
  <c r="O139" i="46"/>
  <c r="O140" i="46"/>
  <c r="O141" i="46"/>
  <c r="O142" i="46"/>
  <c r="O143" i="46"/>
  <c r="O144" i="46"/>
  <c r="O145" i="46"/>
  <c r="O146" i="46"/>
  <c r="O147" i="46"/>
  <c r="O148" i="46"/>
  <c r="O149" i="46"/>
  <c r="O150" i="46"/>
  <c r="O151" i="46"/>
  <c r="O152" i="46"/>
  <c r="O153" i="46"/>
  <c r="O154" i="46"/>
  <c r="O155" i="46"/>
  <c r="O156" i="46"/>
  <c r="O157" i="46"/>
  <c r="O158" i="46"/>
  <c r="O159" i="46"/>
  <c r="O160" i="46"/>
  <c r="O161" i="46"/>
  <c r="O162" i="46"/>
  <c r="O163" i="46"/>
  <c r="O164" i="46"/>
  <c r="O165" i="46"/>
  <c r="O166" i="46"/>
  <c r="O167" i="46"/>
  <c r="O168" i="46"/>
  <c r="O169" i="46"/>
  <c r="O170" i="46"/>
  <c r="O171" i="46"/>
  <c r="O172" i="46"/>
  <c r="O173" i="46"/>
  <c r="O174" i="46"/>
  <c r="O175" i="46"/>
  <c r="O176" i="46"/>
  <c r="O177" i="46"/>
  <c r="O178" i="46"/>
  <c r="O179" i="46"/>
  <c r="O180" i="46"/>
  <c r="O181" i="46"/>
  <c r="O182" i="46"/>
  <c r="O183" i="46"/>
  <c r="O184" i="46"/>
  <c r="O185" i="46"/>
  <c r="O186" i="46"/>
  <c r="O187" i="46"/>
  <c r="O188" i="46"/>
  <c r="O189" i="46"/>
  <c r="O190" i="46"/>
  <c r="O191" i="46"/>
  <c r="O192" i="46"/>
  <c r="O193" i="46"/>
  <c r="O194" i="46"/>
  <c r="O195" i="46"/>
  <c r="O196" i="46"/>
  <c r="O197" i="46"/>
  <c r="O198" i="46"/>
  <c r="O199" i="46"/>
  <c r="O200" i="46"/>
  <c r="O201" i="46"/>
  <c r="O202" i="46"/>
  <c r="O203" i="46"/>
  <c r="O204" i="46"/>
  <c r="O205" i="46"/>
  <c r="O206" i="46"/>
  <c r="O207" i="46"/>
  <c r="O208" i="46"/>
  <c r="O209" i="46"/>
  <c r="O210" i="46"/>
  <c r="O211" i="46"/>
  <c r="O212" i="46"/>
  <c r="O213" i="46"/>
  <c r="O214" i="46"/>
  <c r="O215" i="46"/>
  <c r="O216" i="46"/>
  <c r="O217" i="46"/>
  <c r="O218" i="46"/>
  <c r="O219" i="46"/>
  <c r="O220" i="46"/>
  <c r="O221" i="46"/>
  <c r="O222" i="46"/>
  <c r="O223" i="46"/>
  <c r="O224" i="46"/>
  <c r="O225" i="46"/>
  <c r="O226" i="46"/>
  <c r="O227" i="46"/>
  <c r="O228" i="46"/>
  <c r="O229" i="46"/>
  <c r="O230" i="46"/>
  <c r="O231" i="46"/>
  <c r="O232" i="46"/>
  <c r="O233" i="46"/>
  <c r="O234" i="46"/>
  <c r="O235" i="46"/>
  <c r="O236" i="46"/>
  <c r="O237" i="46"/>
  <c r="O238" i="46"/>
  <c r="O239" i="46"/>
  <c r="O240" i="46"/>
  <c r="O241" i="46"/>
  <c r="O242" i="46"/>
  <c r="O243" i="46"/>
  <c r="O244" i="46"/>
  <c r="O245" i="46"/>
  <c r="O246" i="46"/>
  <c r="O247" i="46"/>
  <c r="O248" i="46"/>
  <c r="O249" i="46"/>
  <c r="O250" i="46"/>
  <c r="O251" i="46"/>
  <c r="O252" i="46"/>
  <c r="O253" i="46"/>
  <c r="O254" i="46"/>
  <c r="O255" i="46"/>
  <c r="O256" i="46"/>
  <c r="O257" i="46"/>
  <c r="O258" i="46"/>
  <c r="O259" i="46"/>
  <c r="O260" i="46"/>
  <c r="O261" i="46"/>
  <c r="O262" i="46"/>
  <c r="O263" i="46"/>
  <c r="O264" i="46"/>
  <c r="O265" i="46"/>
  <c r="O266" i="46"/>
  <c r="O267" i="46"/>
  <c r="O268" i="46"/>
  <c r="O269" i="46"/>
  <c r="O270" i="46"/>
  <c r="O271" i="46"/>
  <c r="O272" i="46"/>
  <c r="O273" i="46"/>
  <c r="O274" i="46"/>
  <c r="O275" i="46"/>
  <c r="O276" i="46"/>
  <c r="O277" i="46"/>
  <c r="O278" i="46"/>
  <c r="O279" i="46"/>
  <c r="O280" i="46"/>
  <c r="O281" i="46"/>
  <c r="O282" i="46"/>
  <c r="O283" i="46"/>
  <c r="O284" i="46"/>
  <c r="O285" i="46"/>
  <c r="O286" i="46"/>
  <c r="O287" i="46"/>
  <c r="O288" i="46"/>
  <c r="O289" i="46"/>
  <c r="O290" i="46"/>
  <c r="O291" i="46"/>
  <c r="O292" i="46"/>
  <c r="O293" i="46"/>
  <c r="O294" i="46"/>
  <c r="O295" i="46"/>
  <c r="O296" i="46"/>
  <c r="O297" i="46"/>
  <c r="O298" i="46"/>
  <c r="O299" i="46"/>
  <c r="O300" i="46"/>
  <c r="O301" i="46"/>
  <c r="O302" i="46"/>
  <c r="O303" i="46"/>
  <c r="O304" i="46"/>
  <c r="O305" i="46"/>
  <c r="O306" i="46"/>
  <c r="O307" i="46"/>
  <c r="O308" i="46"/>
  <c r="O309" i="46"/>
  <c r="O310" i="46"/>
  <c r="O311" i="46"/>
  <c r="O312" i="46"/>
  <c r="O313" i="46"/>
  <c r="O314" i="46"/>
  <c r="O315" i="46"/>
  <c r="O316" i="46"/>
  <c r="O317" i="46"/>
  <c r="O318" i="46"/>
  <c r="O319" i="46"/>
  <c r="O320" i="46"/>
  <c r="O321" i="46"/>
  <c r="O322" i="46"/>
  <c r="O323" i="46"/>
  <c r="O324" i="46"/>
  <c r="O325" i="46"/>
  <c r="O326" i="46"/>
  <c r="O327" i="46"/>
  <c r="O328" i="46"/>
  <c r="O329" i="46"/>
  <c r="O330" i="46"/>
  <c r="O331" i="46"/>
  <c r="O332" i="46"/>
  <c r="O333" i="46"/>
  <c r="O334" i="46"/>
  <c r="O335" i="46"/>
  <c r="O336" i="46"/>
  <c r="O337" i="46"/>
  <c r="O338" i="46"/>
  <c r="O339" i="46"/>
  <c r="O340" i="46"/>
  <c r="O341" i="46"/>
  <c r="O342" i="46"/>
  <c r="O343" i="46"/>
  <c r="O344" i="46"/>
  <c r="O345" i="46"/>
  <c r="O346" i="46"/>
  <c r="O347" i="46"/>
  <c r="O348" i="46"/>
  <c r="O349" i="46"/>
  <c r="O350" i="46"/>
  <c r="O351" i="46"/>
  <c r="O352" i="46"/>
  <c r="O353" i="46"/>
  <c r="O354" i="46"/>
  <c r="O355" i="46"/>
  <c r="O356" i="46"/>
  <c r="O6" i="46"/>
  <c r="E344" i="50" l="1"/>
  <c r="E1332" i="19" s="1"/>
  <c r="E340" i="50"/>
  <c r="E1328" i="19" s="1"/>
  <c r="E345" i="50"/>
  <c r="E1333" i="19" s="1"/>
  <c r="E342" i="50"/>
  <c r="E1330" i="19" s="1"/>
  <c r="E339" i="50"/>
  <c r="E1327" i="19" s="1"/>
  <c r="E341" i="50"/>
  <c r="E1329" i="19" s="1"/>
  <c r="E346" i="50"/>
  <c r="E1334" i="19" s="1"/>
  <c r="E1331" i="19"/>
  <c r="E343" i="50"/>
  <c r="E337" i="50"/>
  <c r="E1325" i="19" s="1"/>
  <c r="E338" i="50"/>
  <c r="E1326" i="19" s="1"/>
  <c r="N62" i="39"/>
  <c r="O62" i="39"/>
  <c r="N63" i="39"/>
  <c r="O63" i="39"/>
  <c r="N64" i="39"/>
  <c r="O64" i="39"/>
  <c r="N65" i="39"/>
  <c r="O65" i="39"/>
  <c r="N66" i="39"/>
  <c r="O66" i="39"/>
  <c r="N67" i="39"/>
  <c r="O67" i="39"/>
  <c r="N68" i="39"/>
  <c r="O68" i="39"/>
  <c r="N69" i="39"/>
  <c r="O69" i="39"/>
  <c r="N70" i="39"/>
  <c r="O70" i="39"/>
  <c r="N71" i="39"/>
  <c r="O71" i="39"/>
  <c r="N72" i="39"/>
  <c r="O72" i="39"/>
  <c r="N73" i="39"/>
  <c r="O73" i="39"/>
  <c r="N74" i="39"/>
  <c r="O74" i="39"/>
  <c r="N75" i="39"/>
  <c r="O75" i="39"/>
  <c r="N76" i="39"/>
  <c r="O76" i="39"/>
  <c r="N77" i="39"/>
  <c r="O77" i="39"/>
  <c r="N78" i="39"/>
  <c r="O78" i="39"/>
  <c r="N79" i="39"/>
  <c r="O79" i="39"/>
  <c r="N80" i="39"/>
  <c r="O80" i="39"/>
  <c r="N81" i="39"/>
  <c r="O81" i="39"/>
  <c r="N82" i="39"/>
  <c r="O82" i="39"/>
  <c r="N83" i="39"/>
  <c r="O83" i="39"/>
  <c r="N84" i="39"/>
  <c r="O84" i="39"/>
  <c r="N85" i="39"/>
  <c r="O85" i="39"/>
  <c r="N86" i="39"/>
  <c r="O86" i="39"/>
  <c r="N87" i="39"/>
  <c r="O87" i="39"/>
  <c r="N88" i="39"/>
  <c r="O88" i="39"/>
  <c r="N89" i="39"/>
  <c r="O89" i="39"/>
  <c r="N91" i="39"/>
  <c r="O91" i="39"/>
  <c r="N90" i="39"/>
  <c r="O90" i="39"/>
  <c r="N94" i="39"/>
  <c r="O94" i="39"/>
  <c r="N95" i="39"/>
  <c r="O95" i="39"/>
  <c r="N96" i="39"/>
  <c r="O96" i="39"/>
  <c r="N97" i="39"/>
  <c r="O97" i="39"/>
  <c r="N98" i="39"/>
  <c r="O98" i="39"/>
  <c r="N101" i="39"/>
  <c r="O101" i="39"/>
  <c r="N102" i="39"/>
  <c r="O102" i="39"/>
  <c r="N103" i="39"/>
  <c r="O103" i="39"/>
  <c r="N104" i="39"/>
  <c r="O104" i="39"/>
  <c r="N105" i="39"/>
  <c r="O105" i="39"/>
  <c r="N106" i="39"/>
  <c r="O106" i="39"/>
  <c r="N107" i="39"/>
  <c r="O107" i="39"/>
  <c r="N108" i="39"/>
  <c r="O108" i="39"/>
  <c r="N109" i="39"/>
  <c r="O109" i="39"/>
  <c r="N110" i="39"/>
  <c r="O110" i="39"/>
  <c r="N111" i="39"/>
  <c r="O111" i="39"/>
  <c r="N113" i="39"/>
  <c r="O113" i="39"/>
  <c r="N114" i="39"/>
  <c r="O114" i="39"/>
  <c r="N115" i="39"/>
  <c r="O115" i="39"/>
  <c r="N116" i="39"/>
  <c r="O116" i="39"/>
  <c r="N117" i="39"/>
  <c r="O117" i="39"/>
  <c r="N118" i="39"/>
  <c r="O118" i="39"/>
  <c r="N120" i="39"/>
  <c r="O120" i="39"/>
  <c r="N121" i="39"/>
  <c r="O121" i="39"/>
  <c r="N122" i="39"/>
  <c r="O122" i="39"/>
  <c r="N123" i="39"/>
  <c r="O123" i="39"/>
  <c r="N124" i="39"/>
  <c r="O124" i="39"/>
  <c r="N125" i="39"/>
  <c r="O125" i="39"/>
  <c r="N126" i="39"/>
  <c r="O126" i="39"/>
  <c r="N127" i="39"/>
  <c r="O127" i="39"/>
  <c r="N128" i="39"/>
  <c r="O128" i="39"/>
  <c r="N129" i="39"/>
  <c r="O129" i="39"/>
  <c r="N130" i="39"/>
  <c r="O130" i="39"/>
  <c r="N132" i="39"/>
  <c r="O132" i="39"/>
  <c r="N133" i="39"/>
  <c r="O133" i="39"/>
  <c r="N134" i="39"/>
  <c r="O134" i="39"/>
  <c r="N135" i="39"/>
  <c r="O135" i="39"/>
  <c r="N136" i="39"/>
  <c r="O136" i="39"/>
  <c r="N137" i="39"/>
  <c r="O137" i="39"/>
  <c r="N139" i="39"/>
  <c r="O139" i="39"/>
  <c r="N140" i="39"/>
  <c r="O140" i="39"/>
  <c r="N141" i="39"/>
  <c r="O141" i="39"/>
  <c r="N142" i="39"/>
  <c r="O142" i="39"/>
  <c r="N143" i="39"/>
  <c r="O143" i="39"/>
  <c r="N144" i="39"/>
  <c r="O144" i="39"/>
  <c r="N145" i="39"/>
  <c r="O145" i="39"/>
  <c r="N146" i="39"/>
  <c r="O146" i="39"/>
  <c r="N147" i="39"/>
  <c r="O147" i="39"/>
  <c r="N148" i="39"/>
  <c r="O148" i="39"/>
  <c r="N149" i="39"/>
  <c r="O149" i="39"/>
  <c r="N151" i="39"/>
  <c r="O151" i="39"/>
  <c r="N152" i="39"/>
  <c r="O152" i="39"/>
  <c r="N153" i="39"/>
  <c r="O153" i="39"/>
  <c r="N154" i="39"/>
  <c r="O154" i="39"/>
  <c r="N155" i="39"/>
  <c r="O155" i="39"/>
  <c r="N156" i="39"/>
  <c r="O156" i="39"/>
  <c r="N158" i="39"/>
  <c r="O158" i="39"/>
  <c r="N159" i="39"/>
  <c r="O159" i="39"/>
  <c r="N160" i="39"/>
  <c r="O160" i="39"/>
  <c r="N161" i="39"/>
  <c r="O161" i="39"/>
  <c r="N162" i="39"/>
  <c r="O162" i="39"/>
  <c r="N163" i="39"/>
  <c r="O163" i="39"/>
  <c r="N164" i="39"/>
  <c r="O164" i="39"/>
  <c r="N165" i="39"/>
  <c r="O165" i="39"/>
  <c r="N166" i="39"/>
  <c r="O166" i="39"/>
  <c r="N167" i="39"/>
  <c r="O167" i="39"/>
  <c r="N168" i="39"/>
  <c r="O168" i="39"/>
  <c r="N170" i="39"/>
  <c r="O170" i="39"/>
  <c r="N171" i="39"/>
  <c r="O171" i="39"/>
  <c r="N172" i="39"/>
  <c r="O172" i="39"/>
  <c r="N173" i="39"/>
  <c r="O173" i="39"/>
  <c r="N174" i="39"/>
  <c r="O174" i="39"/>
  <c r="N175" i="39"/>
  <c r="O175" i="39"/>
  <c r="N177" i="39"/>
  <c r="O177" i="39"/>
  <c r="N178" i="39"/>
  <c r="O178" i="39"/>
  <c r="N179" i="39"/>
  <c r="O179" i="39"/>
  <c r="N180" i="39"/>
  <c r="O180" i="39"/>
  <c r="N181" i="39"/>
  <c r="O181" i="39"/>
  <c r="N182" i="39"/>
  <c r="O182" i="39"/>
  <c r="N183" i="39"/>
  <c r="O183" i="39"/>
  <c r="N184" i="39"/>
  <c r="O184" i="39"/>
  <c r="N185" i="39"/>
  <c r="O185" i="39"/>
  <c r="N186" i="39"/>
  <c r="O186" i="39"/>
  <c r="N187" i="39"/>
  <c r="O187" i="39"/>
  <c r="N189" i="39"/>
  <c r="O189" i="39"/>
  <c r="N190" i="39"/>
  <c r="O190" i="39"/>
  <c r="N191" i="39"/>
  <c r="O191" i="39"/>
  <c r="N192" i="39"/>
  <c r="O192" i="39"/>
  <c r="N193" i="39"/>
  <c r="O193" i="39"/>
  <c r="N194" i="39"/>
  <c r="O194" i="39"/>
  <c r="N196" i="39"/>
  <c r="O196" i="39"/>
  <c r="N197" i="39"/>
  <c r="O197" i="39"/>
  <c r="N198" i="39"/>
  <c r="O198" i="39"/>
  <c r="N199" i="39"/>
  <c r="O199" i="39"/>
  <c r="N200" i="39"/>
  <c r="O200" i="39"/>
  <c r="N201" i="39"/>
  <c r="O201" i="39"/>
  <c r="N202" i="39"/>
  <c r="O202" i="39"/>
  <c r="N203" i="39"/>
  <c r="O203" i="39"/>
  <c r="N204" i="39"/>
  <c r="O204" i="39"/>
  <c r="N205" i="39"/>
  <c r="O205" i="39"/>
  <c r="N206" i="39"/>
  <c r="O206" i="39"/>
  <c r="N208" i="39"/>
  <c r="O208" i="39"/>
  <c r="N209" i="39"/>
  <c r="O209" i="39"/>
  <c r="N210" i="39"/>
  <c r="O210" i="39"/>
  <c r="N211" i="39"/>
  <c r="O211" i="39"/>
  <c r="N212" i="39"/>
  <c r="O212" i="39"/>
  <c r="N213" i="39"/>
  <c r="O213" i="39"/>
  <c r="N215" i="39"/>
  <c r="O215" i="39"/>
  <c r="N216" i="39"/>
  <c r="O216" i="39"/>
  <c r="N217" i="39"/>
  <c r="O217" i="39"/>
  <c r="N218" i="39"/>
  <c r="O218" i="39"/>
  <c r="N219" i="39"/>
  <c r="O219" i="39"/>
  <c r="N220" i="39"/>
  <c r="O220" i="39"/>
  <c r="N221" i="39"/>
  <c r="O221" i="39"/>
  <c r="N222" i="39"/>
  <c r="O222" i="39"/>
  <c r="N223" i="39"/>
  <c r="O223" i="39"/>
  <c r="N224" i="39"/>
  <c r="O224" i="39"/>
  <c r="N225" i="39"/>
  <c r="O225" i="39"/>
  <c r="N227" i="39"/>
  <c r="O227" i="39"/>
  <c r="N228" i="39"/>
  <c r="O228" i="39"/>
  <c r="N229" i="39"/>
  <c r="O229" i="39"/>
  <c r="N230" i="39"/>
  <c r="O230" i="39"/>
  <c r="N231" i="39"/>
  <c r="O231" i="39"/>
  <c r="N232" i="39"/>
  <c r="O232" i="39"/>
  <c r="N234" i="39"/>
  <c r="O234" i="39"/>
  <c r="N235" i="39"/>
  <c r="O235" i="39"/>
  <c r="N236" i="39"/>
  <c r="O236" i="39"/>
  <c r="N237" i="39"/>
  <c r="O237" i="39"/>
  <c r="N238" i="39"/>
  <c r="O238" i="39"/>
  <c r="N239" i="39"/>
  <c r="O239" i="39"/>
  <c r="N240" i="39"/>
  <c r="O240" i="39"/>
  <c r="N241" i="39"/>
  <c r="O241" i="39"/>
  <c r="N242" i="39"/>
  <c r="O242" i="39"/>
  <c r="N243" i="39"/>
  <c r="O243" i="39"/>
  <c r="N244" i="39"/>
  <c r="O244" i="39"/>
  <c r="N246" i="39"/>
  <c r="O246" i="39"/>
  <c r="N247" i="39"/>
  <c r="O247" i="39"/>
  <c r="N248" i="39"/>
  <c r="O248" i="39"/>
  <c r="N249" i="39"/>
  <c r="O249" i="39"/>
  <c r="N250" i="39"/>
  <c r="O250" i="39"/>
  <c r="N251" i="39"/>
  <c r="O251" i="39"/>
  <c r="N253" i="39"/>
  <c r="O253" i="39"/>
  <c r="N254" i="39"/>
  <c r="O254" i="39"/>
  <c r="N255" i="39"/>
  <c r="O255" i="39"/>
  <c r="N256" i="39"/>
  <c r="O256" i="39"/>
  <c r="N257" i="39"/>
  <c r="O257" i="39"/>
  <c r="N258" i="39"/>
  <c r="O258" i="39"/>
  <c r="N259" i="39"/>
  <c r="O259" i="39"/>
  <c r="N260" i="39"/>
  <c r="O260" i="39"/>
  <c r="N261" i="39"/>
  <c r="O261" i="39"/>
  <c r="N262" i="39"/>
  <c r="O262" i="39"/>
  <c r="N263" i="39"/>
  <c r="O263" i="39"/>
  <c r="N265" i="39"/>
  <c r="O265" i="39"/>
  <c r="N266" i="39"/>
  <c r="O266" i="39"/>
  <c r="N267" i="39"/>
  <c r="O267" i="39"/>
  <c r="N268" i="39"/>
  <c r="O268" i="39"/>
  <c r="N269" i="39"/>
  <c r="O269" i="39"/>
  <c r="N270" i="39"/>
  <c r="O270" i="39"/>
  <c r="N271" i="39"/>
  <c r="O271" i="39"/>
  <c r="N272" i="39"/>
  <c r="O272" i="39"/>
  <c r="N273" i="39"/>
  <c r="O273" i="39"/>
  <c r="N275" i="39"/>
  <c r="O275" i="39"/>
  <c r="N276" i="39"/>
  <c r="O276" i="39"/>
  <c r="N277" i="39"/>
  <c r="O277" i="39"/>
  <c r="N278" i="39"/>
  <c r="O278" i="39"/>
  <c r="N279" i="39"/>
  <c r="O279" i="39"/>
  <c r="N280" i="39"/>
  <c r="O280" i="39"/>
  <c r="N281" i="39"/>
  <c r="O281" i="39"/>
  <c r="N282" i="39"/>
  <c r="O282" i="39"/>
  <c r="N283" i="39"/>
  <c r="O283" i="39"/>
  <c r="N284" i="39"/>
  <c r="O284" i="39"/>
  <c r="N285" i="39"/>
  <c r="O285" i="39"/>
  <c r="N287" i="39"/>
  <c r="O287" i="39"/>
  <c r="N288" i="39"/>
  <c r="O288" i="39"/>
  <c r="N289" i="39"/>
  <c r="O289" i="39"/>
  <c r="N290" i="39"/>
  <c r="O290" i="39"/>
  <c r="N291" i="39"/>
  <c r="O291" i="39"/>
  <c r="N292" i="39"/>
  <c r="O292" i="39"/>
  <c r="N294" i="39"/>
  <c r="O294" i="39"/>
  <c r="N295" i="39"/>
  <c r="O295" i="39"/>
  <c r="N296" i="39"/>
  <c r="O296" i="39"/>
  <c r="N297" i="39"/>
  <c r="O297" i="39"/>
  <c r="N298" i="39"/>
  <c r="O298" i="39"/>
  <c r="N299" i="39"/>
  <c r="O299" i="39"/>
  <c r="N300" i="39"/>
  <c r="O300" i="39"/>
  <c r="N301" i="39"/>
  <c r="O301" i="39"/>
  <c r="N302" i="39"/>
  <c r="O302" i="39"/>
  <c r="N303" i="39"/>
  <c r="O303" i="39"/>
  <c r="N304" i="39"/>
  <c r="O304" i="39"/>
  <c r="N306" i="39"/>
  <c r="O306" i="39"/>
  <c r="N307" i="39"/>
  <c r="O307" i="39"/>
  <c r="N308" i="39"/>
  <c r="O308" i="39"/>
  <c r="N309" i="39"/>
  <c r="O309" i="39"/>
  <c r="N310" i="39"/>
  <c r="O310" i="39"/>
  <c r="N311" i="39"/>
  <c r="O311" i="39"/>
  <c r="N313" i="39"/>
  <c r="O313" i="39"/>
  <c r="N314" i="39"/>
  <c r="O314" i="39"/>
  <c r="N315" i="39"/>
  <c r="O315" i="39"/>
  <c r="O433" i="19"/>
  <c r="N433" i="19"/>
  <c r="O434" i="19"/>
  <c r="N434" i="19"/>
  <c r="N341" i="19"/>
  <c r="O341" i="19"/>
  <c r="AQ4" i="13"/>
  <c r="AQ5" i="13"/>
  <c r="AQ6" i="13"/>
  <c r="AQ7" i="13"/>
  <c r="AQ8" i="13"/>
  <c r="AQ9" i="13"/>
  <c r="AQ10" i="13"/>
  <c r="AQ11" i="13"/>
  <c r="AQ12" i="13"/>
  <c r="AQ13" i="13"/>
  <c r="AQ14" i="13"/>
  <c r="AQ15" i="13"/>
  <c r="AQ16" i="13"/>
  <c r="AQ17" i="13"/>
  <c r="AQ18" i="13"/>
  <c r="AQ19" i="13"/>
  <c r="AQ20" i="13"/>
  <c r="AQ21" i="13"/>
  <c r="AQ22" i="13"/>
  <c r="AQ23" i="13"/>
  <c r="AQ24" i="13"/>
  <c r="AQ25" i="13"/>
  <c r="AQ26" i="13"/>
  <c r="AQ27" i="13"/>
  <c r="AQ28" i="13"/>
  <c r="AQ29" i="13"/>
  <c r="AQ30" i="13"/>
  <c r="AQ31" i="13"/>
  <c r="AQ32" i="13"/>
  <c r="AQ33" i="13"/>
  <c r="AQ34" i="13"/>
  <c r="AQ35" i="13"/>
  <c r="AQ36" i="13"/>
  <c r="AQ37" i="13"/>
  <c r="AQ38" i="13"/>
  <c r="AQ39" i="13"/>
  <c r="AQ40" i="13"/>
  <c r="AQ41" i="13"/>
  <c r="AQ42" i="13"/>
  <c r="AQ43" i="13"/>
  <c r="AQ44" i="13"/>
  <c r="AQ45" i="13"/>
  <c r="AQ46" i="13"/>
  <c r="AQ47" i="13"/>
  <c r="AQ48" i="13"/>
  <c r="AQ49" i="13"/>
  <c r="AQ50" i="13"/>
  <c r="AQ51" i="13"/>
  <c r="AQ52" i="13"/>
  <c r="AQ53" i="13"/>
  <c r="AQ54" i="13"/>
  <c r="AQ55" i="13"/>
  <c r="AQ56" i="13"/>
  <c r="AQ57" i="13"/>
  <c r="AQ58" i="13"/>
  <c r="AQ59" i="13"/>
  <c r="AQ60" i="13"/>
  <c r="AQ61" i="13"/>
  <c r="AQ62" i="13"/>
  <c r="AQ63" i="13"/>
  <c r="AQ64" i="13"/>
  <c r="AQ65" i="13"/>
  <c r="AQ66" i="13"/>
  <c r="AQ67" i="13"/>
  <c r="AQ68" i="13"/>
  <c r="AQ69" i="13"/>
  <c r="AQ70" i="13"/>
  <c r="AQ71" i="13"/>
  <c r="AQ72" i="13"/>
  <c r="AQ73" i="13"/>
  <c r="AQ74" i="13"/>
  <c r="AQ75" i="13"/>
  <c r="AQ76" i="13"/>
  <c r="AQ77" i="13"/>
  <c r="AQ78" i="13"/>
  <c r="AQ79" i="13"/>
  <c r="AQ80" i="13"/>
  <c r="AQ81" i="13"/>
  <c r="AQ82" i="13"/>
  <c r="AQ83" i="13"/>
  <c r="AQ84" i="13"/>
  <c r="AQ85" i="13"/>
  <c r="AQ86" i="13"/>
  <c r="AQ87" i="13"/>
  <c r="AQ88" i="13"/>
  <c r="AQ89" i="13"/>
  <c r="AQ90" i="13"/>
  <c r="AQ91" i="13"/>
  <c r="AQ92" i="13"/>
  <c r="AQ93" i="13"/>
  <c r="AQ94" i="13"/>
  <c r="AQ95" i="13"/>
  <c r="AQ96" i="13"/>
  <c r="AQ97" i="13"/>
  <c r="AQ98" i="13"/>
  <c r="AQ99" i="13"/>
  <c r="AQ100" i="13"/>
  <c r="AQ101" i="13"/>
  <c r="AQ102" i="13"/>
  <c r="AQ103" i="13"/>
  <c r="AQ104" i="13"/>
  <c r="AQ105" i="13"/>
  <c r="AQ106" i="13"/>
  <c r="AQ107" i="13"/>
  <c r="AQ108" i="13"/>
  <c r="AQ109" i="13"/>
  <c r="AQ110" i="13"/>
  <c r="AQ111" i="13"/>
  <c r="AQ112" i="13"/>
  <c r="AQ113" i="13"/>
  <c r="AQ114" i="13"/>
  <c r="AQ115" i="13"/>
  <c r="AQ116" i="13"/>
  <c r="AQ117" i="13"/>
  <c r="AQ118" i="13"/>
  <c r="AQ119" i="13"/>
  <c r="AQ120" i="13"/>
  <c r="AQ121" i="13"/>
  <c r="AQ122" i="13"/>
  <c r="AQ123" i="13"/>
  <c r="AQ124" i="13"/>
  <c r="AQ125" i="13"/>
  <c r="AQ126" i="13"/>
  <c r="AQ127" i="13"/>
  <c r="AQ128" i="13"/>
  <c r="AQ129" i="13"/>
  <c r="AQ130" i="13"/>
  <c r="AQ131" i="13"/>
  <c r="AQ132" i="13"/>
  <c r="AQ133" i="13"/>
  <c r="AQ134" i="13"/>
  <c r="AQ135" i="13"/>
  <c r="AQ136" i="13"/>
  <c r="AQ137" i="13"/>
  <c r="AQ138" i="13"/>
  <c r="AQ139" i="13"/>
  <c r="AQ140" i="13"/>
  <c r="AQ141" i="13"/>
  <c r="AQ3" i="13"/>
  <c r="AQ2" i="13"/>
  <c r="O470" i="19" l="1"/>
  <c r="N470" i="19"/>
  <c r="O469" i="19"/>
  <c r="N469" i="19"/>
  <c r="O79" i="44"/>
  <c r="O75" i="44"/>
  <c r="O774" i="19" l="1"/>
  <c r="N774" i="19"/>
  <c r="P61" i="30"/>
  <c r="P62" i="30"/>
  <c r="P63" i="30"/>
  <c r="P64" i="30"/>
  <c r="P65" i="30"/>
  <c r="P66" i="30"/>
  <c r="P67" i="30"/>
  <c r="P68" i="30"/>
  <c r="P69" i="30"/>
  <c r="P70" i="30"/>
  <c r="P71" i="30"/>
  <c r="P72" i="30"/>
  <c r="P73" i="30"/>
  <c r="P74" i="30"/>
  <c r="P75" i="30"/>
  <c r="P76" i="30"/>
  <c r="P77" i="30"/>
  <c r="P78" i="30"/>
  <c r="P79" i="30"/>
  <c r="P80" i="30"/>
  <c r="P81" i="30"/>
  <c r="P82" i="30"/>
  <c r="P83" i="30"/>
  <c r="P84" i="30"/>
  <c r="P85" i="30"/>
  <c r="P86" i="30"/>
  <c r="P87" i="30"/>
  <c r="P88" i="30"/>
  <c r="P89" i="30"/>
  <c r="P90" i="30"/>
  <c r="P91" i="30"/>
  <c r="P92" i="30"/>
  <c r="P93" i="30"/>
  <c r="P94" i="30"/>
  <c r="P95" i="30"/>
  <c r="P96" i="30"/>
  <c r="P97" i="30"/>
  <c r="P98" i="30"/>
  <c r="P99" i="30"/>
  <c r="P100" i="30"/>
  <c r="P101" i="30"/>
  <c r="P102" i="30"/>
  <c r="P103" i="30"/>
  <c r="P104" i="30"/>
  <c r="P105" i="30"/>
  <c r="P106" i="30"/>
  <c r="P107" i="30"/>
  <c r="P108" i="30"/>
  <c r="P109" i="30"/>
  <c r="P110" i="30"/>
  <c r="P111" i="30"/>
  <c r="P112" i="30"/>
  <c r="P113" i="30"/>
  <c r="P114" i="30"/>
  <c r="P115" i="30"/>
  <c r="P116" i="30"/>
  <c r="P117" i="30"/>
  <c r="P118" i="30"/>
  <c r="P119" i="30"/>
  <c r="P120" i="30"/>
  <c r="P121" i="30"/>
  <c r="P122" i="30"/>
  <c r="P123" i="30"/>
  <c r="P124" i="30"/>
  <c r="P125" i="30"/>
  <c r="P126" i="30"/>
  <c r="P127" i="30"/>
  <c r="P128" i="30"/>
  <c r="P129" i="30"/>
  <c r="P130" i="30"/>
  <c r="P131" i="30"/>
  <c r="P132" i="30"/>
  <c r="P133" i="30"/>
  <c r="P134" i="30"/>
  <c r="P135" i="30"/>
  <c r="P136" i="30"/>
  <c r="P137" i="30"/>
  <c r="P138" i="30"/>
  <c r="P139" i="30"/>
  <c r="P140" i="30"/>
  <c r="P141" i="30"/>
  <c r="P142" i="30"/>
  <c r="P143" i="30"/>
  <c r="P144" i="30"/>
  <c r="P145" i="30"/>
  <c r="P146" i="30"/>
  <c r="P147" i="30"/>
  <c r="P148" i="30"/>
  <c r="P149" i="30"/>
  <c r="P150" i="30"/>
  <c r="O61" i="30"/>
  <c r="O62" i="30"/>
  <c r="O63" i="30"/>
  <c r="O64" i="30"/>
  <c r="O65" i="30"/>
  <c r="O66" i="30"/>
  <c r="O67" i="30"/>
  <c r="O68" i="30"/>
  <c r="O69" i="30"/>
  <c r="O70" i="30"/>
  <c r="O71" i="30"/>
  <c r="O72" i="30"/>
  <c r="O73" i="30"/>
  <c r="O74" i="30"/>
  <c r="O75" i="30"/>
  <c r="O76" i="30"/>
  <c r="O77" i="30"/>
  <c r="O78" i="30"/>
  <c r="O79" i="30"/>
  <c r="O80" i="30"/>
  <c r="O81" i="30"/>
  <c r="O82" i="30"/>
  <c r="O83" i="30"/>
  <c r="O84" i="30"/>
  <c r="O85" i="30"/>
  <c r="O86" i="30"/>
  <c r="O87" i="30"/>
  <c r="O88" i="30"/>
  <c r="O89" i="30"/>
  <c r="O90" i="30"/>
  <c r="O91" i="30"/>
  <c r="O92" i="30"/>
  <c r="O93" i="30"/>
  <c r="O94" i="30"/>
  <c r="O95" i="30"/>
  <c r="O96" i="30"/>
  <c r="O97" i="30"/>
  <c r="O98" i="30"/>
  <c r="O99" i="30"/>
  <c r="O100" i="30"/>
  <c r="O101" i="30"/>
  <c r="O102" i="30"/>
  <c r="O103" i="30"/>
  <c r="O104" i="30"/>
  <c r="O105" i="30"/>
  <c r="O106" i="30"/>
  <c r="O107" i="30"/>
  <c r="O108" i="30"/>
  <c r="O109" i="30"/>
  <c r="O110" i="30"/>
  <c r="O111" i="30"/>
  <c r="O112" i="30"/>
  <c r="O113" i="30"/>
  <c r="O114" i="30"/>
  <c r="O115" i="30"/>
  <c r="O116" i="30"/>
  <c r="O117" i="30"/>
  <c r="O118" i="30"/>
  <c r="O119" i="30"/>
  <c r="O120" i="30"/>
  <c r="O121" i="30"/>
  <c r="O122" i="30"/>
  <c r="O123" i="30"/>
  <c r="O124" i="30"/>
  <c r="O125" i="30"/>
  <c r="O126" i="30"/>
  <c r="O127" i="30"/>
  <c r="O128" i="30"/>
  <c r="O129" i="30"/>
  <c r="O130" i="30"/>
  <c r="O131" i="30"/>
  <c r="O132" i="30"/>
  <c r="O133" i="30"/>
  <c r="O134" i="30"/>
  <c r="O135" i="30"/>
  <c r="O136" i="30"/>
  <c r="O137" i="30"/>
  <c r="O138" i="30"/>
  <c r="O139" i="30"/>
  <c r="O140" i="30"/>
  <c r="O141" i="30"/>
  <c r="O142" i="30"/>
  <c r="O143" i="30"/>
  <c r="O144" i="30"/>
  <c r="O145" i="30"/>
  <c r="O146" i="30"/>
  <c r="O147" i="30"/>
  <c r="O148" i="30"/>
  <c r="O149" i="30"/>
  <c r="O150" i="30"/>
  <c r="G97" i="25"/>
  <c r="G98" i="25"/>
  <c r="G99" i="25"/>
  <c r="A587" i="18" l="1"/>
  <c r="B587" i="18"/>
  <c r="C587" i="18"/>
  <c r="E587" i="18"/>
  <c r="F587" i="18"/>
  <c r="G587" i="18"/>
  <c r="H587" i="18"/>
  <c r="I587" i="18"/>
  <c r="J587" i="18"/>
  <c r="A588" i="18"/>
  <c r="B588" i="18"/>
  <c r="C588" i="18"/>
  <c r="E588" i="18"/>
  <c r="F588" i="18"/>
  <c r="G588" i="18"/>
  <c r="H588" i="18"/>
  <c r="I588" i="18"/>
  <c r="J588" i="18"/>
  <c r="A590" i="18"/>
  <c r="B590" i="18"/>
  <c r="C590" i="18"/>
  <c r="E590" i="18"/>
  <c r="F590" i="18"/>
  <c r="G590" i="18"/>
  <c r="H590" i="18"/>
  <c r="I590" i="18"/>
  <c r="J590" i="18"/>
  <c r="A591" i="18"/>
  <c r="B591" i="18"/>
  <c r="C591" i="18"/>
  <c r="E591" i="18"/>
  <c r="F591" i="18"/>
  <c r="G591" i="18"/>
  <c r="H591" i="18"/>
  <c r="I591" i="18"/>
  <c r="J591" i="18"/>
  <c r="A593" i="18"/>
  <c r="B593" i="18"/>
  <c r="C593" i="18"/>
  <c r="E593" i="18"/>
  <c r="F593" i="18"/>
  <c r="G593" i="18"/>
  <c r="H593" i="18"/>
  <c r="I593" i="18"/>
  <c r="J593" i="18"/>
  <c r="A592" i="18"/>
  <c r="B592" i="18"/>
  <c r="C592" i="18"/>
  <c r="E592" i="18"/>
  <c r="F592" i="18"/>
  <c r="G592" i="18"/>
  <c r="H592" i="18"/>
  <c r="I592" i="18"/>
  <c r="J592" i="18"/>
  <c r="A594" i="18"/>
  <c r="B594" i="18"/>
  <c r="C594" i="18"/>
  <c r="E594" i="18"/>
  <c r="F594" i="18"/>
  <c r="G594" i="18"/>
  <c r="H594" i="18"/>
  <c r="I594" i="18"/>
  <c r="J594" i="18"/>
  <c r="A589" i="18"/>
  <c r="B589" i="18"/>
  <c r="C589" i="18"/>
  <c r="E589" i="18"/>
  <c r="F589" i="18"/>
  <c r="G589" i="18"/>
  <c r="H589" i="18"/>
  <c r="I589" i="18"/>
  <c r="J589" i="18"/>
  <c r="A579" i="18"/>
  <c r="B579" i="18"/>
  <c r="C579" i="18"/>
  <c r="E579" i="18"/>
  <c r="F579" i="18"/>
  <c r="G579" i="18"/>
  <c r="H579" i="18"/>
  <c r="I579" i="18"/>
  <c r="J579" i="18"/>
  <c r="A580" i="18"/>
  <c r="B580" i="18"/>
  <c r="C580" i="18"/>
  <c r="E580" i="18"/>
  <c r="F580" i="18"/>
  <c r="G580" i="18"/>
  <c r="H580" i="18"/>
  <c r="I580" i="18"/>
  <c r="J580" i="18"/>
  <c r="A582" i="18"/>
  <c r="B582" i="18"/>
  <c r="C582" i="18"/>
  <c r="E582" i="18"/>
  <c r="F582" i="18"/>
  <c r="G582" i="18"/>
  <c r="H582" i="18"/>
  <c r="I582" i="18"/>
  <c r="J582" i="18"/>
  <c r="A583" i="18"/>
  <c r="B583" i="18"/>
  <c r="C583" i="18"/>
  <c r="E583" i="18"/>
  <c r="F583" i="18"/>
  <c r="G583" i="18"/>
  <c r="H583" i="18"/>
  <c r="I583" i="18"/>
  <c r="J583" i="18"/>
  <c r="A585" i="18"/>
  <c r="B585" i="18"/>
  <c r="C585" i="18"/>
  <c r="E585" i="18"/>
  <c r="F585" i="18"/>
  <c r="G585" i="18"/>
  <c r="H585" i="18"/>
  <c r="I585" i="18"/>
  <c r="J585" i="18"/>
  <c r="A584" i="18"/>
  <c r="B584" i="18"/>
  <c r="C584" i="18"/>
  <c r="E584" i="18"/>
  <c r="F584" i="18"/>
  <c r="G584" i="18"/>
  <c r="H584" i="18"/>
  <c r="I584" i="18"/>
  <c r="J584" i="18"/>
  <c r="A586" i="18"/>
  <c r="B586" i="18"/>
  <c r="C586" i="18"/>
  <c r="E586" i="18"/>
  <c r="F586" i="18"/>
  <c r="G586" i="18"/>
  <c r="H586" i="18"/>
  <c r="I586" i="18"/>
  <c r="J586" i="18"/>
  <c r="A581" i="18"/>
  <c r="B581" i="18"/>
  <c r="C581" i="18"/>
  <c r="E581" i="18"/>
  <c r="F581" i="18"/>
  <c r="G581" i="18"/>
  <c r="H581" i="18"/>
  <c r="I581" i="18"/>
  <c r="J581" i="18"/>
  <c r="A804" i="20"/>
  <c r="B804" i="20"/>
  <c r="C804" i="20"/>
  <c r="D804" i="20"/>
  <c r="E804" i="20"/>
  <c r="F804" i="20"/>
  <c r="K804" i="20" s="1"/>
  <c r="G804" i="20"/>
  <c r="H804" i="20"/>
  <c r="I804" i="20"/>
  <c r="J804" i="20"/>
  <c r="A805" i="20"/>
  <c r="B805" i="20"/>
  <c r="C805" i="20"/>
  <c r="D805" i="20"/>
  <c r="E805" i="20"/>
  <c r="F805" i="20"/>
  <c r="G805" i="20"/>
  <c r="H805" i="20"/>
  <c r="I805" i="20"/>
  <c r="J805" i="20"/>
  <c r="A806" i="20"/>
  <c r="B806" i="20"/>
  <c r="C806" i="20"/>
  <c r="D806" i="20"/>
  <c r="E806" i="20"/>
  <c r="F806" i="20"/>
  <c r="G806" i="20"/>
  <c r="H806" i="20"/>
  <c r="I806" i="20"/>
  <c r="J806" i="20"/>
  <c r="A807" i="20"/>
  <c r="B807" i="20"/>
  <c r="C807" i="20"/>
  <c r="D807" i="20"/>
  <c r="E807" i="20"/>
  <c r="F807" i="20"/>
  <c r="G807" i="20"/>
  <c r="H807" i="20"/>
  <c r="I807" i="20"/>
  <c r="J807" i="20"/>
  <c r="A808" i="20"/>
  <c r="B808" i="20"/>
  <c r="C808" i="20"/>
  <c r="D808" i="20"/>
  <c r="E808" i="20"/>
  <c r="F808" i="20"/>
  <c r="G808" i="20"/>
  <c r="H808" i="20"/>
  <c r="I808" i="20"/>
  <c r="J808" i="20"/>
  <c r="A809" i="20"/>
  <c r="B809" i="20"/>
  <c r="C809" i="20"/>
  <c r="D809" i="20"/>
  <c r="E809" i="20"/>
  <c r="F809" i="20"/>
  <c r="G809" i="20"/>
  <c r="H809" i="20"/>
  <c r="I809" i="20"/>
  <c r="J809" i="20"/>
  <c r="A810" i="20"/>
  <c r="B810" i="20"/>
  <c r="C810" i="20"/>
  <c r="D810" i="20"/>
  <c r="E810" i="20"/>
  <c r="F810" i="20"/>
  <c r="K810" i="20" s="1"/>
  <c r="G810" i="20"/>
  <c r="H810" i="20"/>
  <c r="I810" i="20"/>
  <c r="J810" i="20"/>
  <c r="A811" i="20"/>
  <c r="B811" i="20"/>
  <c r="C811" i="20"/>
  <c r="D811" i="20"/>
  <c r="E811" i="20"/>
  <c r="F811" i="20"/>
  <c r="G811" i="20"/>
  <c r="H811" i="20"/>
  <c r="I811" i="20"/>
  <c r="J811" i="20"/>
  <c r="A796" i="20"/>
  <c r="B796" i="20"/>
  <c r="C796" i="20"/>
  <c r="D796" i="20"/>
  <c r="E796" i="20"/>
  <c r="F796" i="20"/>
  <c r="G796" i="20"/>
  <c r="H796" i="20"/>
  <c r="I796" i="20"/>
  <c r="J796" i="20"/>
  <c r="A797" i="20"/>
  <c r="B797" i="20"/>
  <c r="C797" i="20"/>
  <c r="D797" i="20"/>
  <c r="E797" i="20"/>
  <c r="F797" i="20"/>
  <c r="G797" i="20"/>
  <c r="H797" i="20"/>
  <c r="I797" i="20"/>
  <c r="J797" i="20"/>
  <c r="A798" i="20"/>
  <c r="B798" i="20"/>
  <c r="C798" i="20"/>
  <c r="D798" i="20"/>
  <c r="E798" i="20"/>
  <c r="F798" i="20"/>
  <c r="G798" i="20"/>
  <c r="H798" i="20"/>
  <c r="I798" i="20"/>
  <c r="J798" i="20"/>
  <c r="A799" i="20"/>
  <c r="B799" i="20"/>
  <c r="C799" i="20"/>
  <c r="D799" i="20"/>
  <c r="E799" i="20"/>
  <c r="F799" i="20"/>
  <c r="G799" i="20"/>
  <c r="H799" i="20"/>
  <c r="I799" i="20"/>
  <c r="J799" i="20"/>
  <c r="A800" i="20"/>
  <c r="B800" i="20"/>
  <c r="C800" i="20"/>
  <c r="D800" i="20"/>
  <c r="E800" i="20"/>
  <c r="F800" i="20"/>
  <c r="K800" i="20" s="1"/>
  <c r="G800" i="20"/>
  <c r="H800" i="20"/>
  <c r="I800" i="20"/>
  <c r="J800" i="20"/>
  <c r="A801" i="20"/>
  <c r="B801" i="20"/>
  <c r="C801" i="20"/>
  <c r="D801" i="20"/>
  <c r="E801" i="20"/>
  <c r="F801" i="20"/>
  <c r="G801" i="20"/>
  <c r="H801" i="20"/>
  <c r="I801" i="20"/>
  <c r="J801" i="20"/>
  <c r="A802" i="20"/>
  <c r="B802" i="20"/>
  <c r="C802" i="20"/>
  <c r="D802" i="20"/>
  <c r="E802" i="20"/>
  <c r="F802" i="20"/>
  <c r="G802" i="20"/>
  <c r="H802" i="20"/>
  <c r="I802" i="20"/>
  <c r="J802" i="20"/>
  <c r="A803" i="20"/>
  <c r="B803" i="20"/>
  <c r="C803" i="20"/>
  <c r="D803" i="20"/>
  <c r="E803" i="20"/>
  <c r="F803" i="20"/>
  <c r="G803" i="20"/>
  <c r="H803" i="20"/>
  <c r="I803" i="20"/>
  <c r="J803" i="20"/>
  <c r="K802" i="20" l="1"/>
  <c r="K799" i="20"/>
  <c r="K796" i="20"/>
  <c r="K809" i="20"/>
  <c r="K806" i="20"/>
  <c r="K803" i="20"/>
  <c r="K797" i="20"/>
  <c r="K807" i="20"/>
  <c r="K801" i="20"/>
  <c r="K798" i="20"/>
  <c r="K811" i="20"/>
  <c r="K808" i="20"/>
  <c r="K805" i="20"/>
  <c r="E56" i="44"/>
  <c r="D588" i="18" s="1"/>
  <c r="E57" i="44"/>
  <c r="D590" i="18" s="1"/>
  <c r="E58" i="44"/>
  <c r="D591" i="18" s="1"/>
  <c r="E59" i="44"/>
  <c r="D593" i="18" s="1"/>
  <c r="E60" i="44"/>
  <c r="D592" i="18" s="1"/>
  <c r="E61" i="44"/>
  <c r="D594" i="18" s="1"/>
  <c r="E62" i="44"/>
  <c r="D589" i="18" s="1"/>
  <c r="E55" i="44"/>
  <c r="D587" i="18" s="1"/>
  <c r="E47" i="44"/>
  <c r="D580" i="18" s="1"/>
  <c r="E48" i="44"/>
  <c r="D582" i="18" s="1"/>
  <c r="E49" i="44"/>
  <c r="D583" i="18" s="1"/>
  <c r="E50" i="44"/>
  <c r="D585" i="18" s="1"/>
  <c r="E51" i="44"/>
  <c r="D584" i="18" s="1"/>
  <c r="E52" i="44"/>
  <c r="D586" i="18" s="1"/>
  <c r="E53" i="44"/>
  <c r="D581" i="18" s="1"/>
  <c r="E46" i="44"/>
  <c r="D579" i="18" s="1"/>
  <c r="L55" i="44"/>
  <c r="L56" i="44"/>
  <c r="L57" i="44"/>
  <c r="L58" i="44"/>
  <c r="L59" i="44"/>
  <c r="L60" i="44"/>
  <c r="L61" i="44"/>
  <c r="L62" i="44"/>
  <c r="L46" i="44"/>
  <c r="K579" i="18" s="1"/>
  <c r="L47" i="44"/>
  <c r="K580" i="18" s="1"/>
  <c r="L48" i="44"/>
  <c r="K582" i="18" s="1"/>
  <c r="L49" i="44"/>
  <c r="K583" i="18" s="1"/>
  <c r="L50" i="44"/>
  <c r="K585" i="18" s="1"/>
  <c r="L51" i="44"/>
  <c r="K584" i="18" s="1"/>
  <c r="L52" i="44"/>
  <c r="K586" i="18" s="1"/>
  <c r="L53" i="44"/>
  <c r="K581" i="18" s="1"/>
  <c r="L24" i="44"/>
  <c r="L25" i="44"/>
  <c r="L26" i="44"/>
  <c r="L27" i="44"/>
  <c r="L28" i="44"/>
  <c r="L29" i="44"/>
  <c r="L30" i="44"/>
  <c r="L31" i="44"/>
  <c r="L15" i="44"/>
  <c r="L16" i="44"/>
  <c r="L17" i="44"/>
  <c r="L18" i="44"/>
  <c r="L19" i="44"/>
  <c r="L20" i="44"/>
  <c r="L21" i="44"/>
  <c r="L22" i="44"/>
  <c r="K53" i="39"/>
  <c r="E266" i="39"/>
  <c r="E267" i="39"/>
  <c r="E306" i="39"/>
  <c r="E287" i="39"/>
  <c r="E132" i="39"/>
  <c r="E151" i="39"/>
  <c r="E170" i="39"/>
  <c r="E189" i="39"/>
  <c r="E208" i="39"/>
  <c r="E227" i="39"/>
  <c r="E246" i="39"/>
  <c r="E238" i="39"/>
  <c r="E237" i="39"/>
  <c r="E219" i="39"/>
  <c r="E218" i="39"/>
  <c r="E200" i="39"/>
  <c r="E199" i="39"/>
  <c r="E181" i="39"/>
  <c r="E180" i="39"/>
  <c r="E162" i="39"/>
  <c r="E161" i="39"/>
  <c r="E143" i="39"/>
  <c r="E142" i="39"/>
  <c r="E124" i="39"/>
  <c r="E123" i="39"/>
  <c r="E113" i="39"/>
  <c r="E105" i="39"/>
  <c r="E104" i="39"/>
  <c r="E94" i="39"/>
  <c r="E86" i="39"/>
  <c r="E85" i="39"/>
  <c r="O61" i="39"/>
  <c r="N61" i="39"/>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O101" i="44"/>
  <c r="O370" i="19"/>
  <c r="O372" i="19"/>
  <c r="O376" i="19"/>
  <c r="O375" i="19"/>
  <c r="O139" i="19"/>
  <c r="O140" i="19"/>
  <c r="O142" i="19"/>
  <c r="O141" i="19"/>
  <c r="N370" i="19"/>
  <c r="N372" i="19"/>
  <c r="N376" i="19"/>
  <c r="N375" i="19"/>
  <c r="N139" i="19"/>
  <c r="N140" i="19"/>
  <c r="N142" i="19"/>
  <c r="N141" i="19"/>
  <c r="N797" i="19"/>
  <c r="O797" i="19"/>
  <c r="K788" i="19"/>
  <c r="O788" i="19" s="1"/>
  <c r="N791" i="19"/>
  <c r="O791" i="19"/>
  <c r="K794" i="19"/>
  <c r="O794" i="19" s="1"/>
  <c r="O796" i="19"/>
  <c r="N796" i="19"/>
  <c r="O790" i="19"/>
  <c r="N790" i="19"/>
  <c r="O5" i="30"/>
  <c r="O6" i="30"/>
  <c r="O7" i="30"/>
  <c r="O8" i="30"/>
  <c r="O9" i="30"/>
  <c r="O10" i="30"/>
  <c r="O11" i="30"/>
  <c r="O12" i="30"/>
  <c r="O13" i="30"/>
  <c r="O14" i="30"/>
  <c r="O15" i="30"/>
  <c r="O16" i="30"/>
  <c r="O17" i="30"/>
  <c r="O18" i="30"/>
  <c r="O19" i="30"/>
  <c r="O20" i="30"/>
  <c r="O21" i="30"/>
  <c r="O22" i="30"/>
  <c r="O23" i="30"/>
  <c r="O24" i="30"/>
  <c r="O25" i="30"/>
  <c r="O26" i="30"/>
  <c r="O27" i="30"/>
  <c r="O28" i="30"/>
  <c r="O29" i="30"/>
  <c r="O30" i="30"/>
  <c r="O31" i="30"/>
  <c r="O32" i="30"/>
  <c r="O33" i="30"/>
  <c r="O34" i="30"/>
  <c r="O35" i="30"/>
  <c r="O36" i="30"/>
  <c r="O37" i="30"/>
  <c r="O38" i="30"/>
  <c r="O39" i="30"/>
  <c r="O40" i="30"/>
  <c r="O41" i="30"/>
  <c r="O42" i="30"/>
  <c r="O43" i="30"/>
  <c r="O44" i="30"/>
  <c r="O45" i="30"/>
  <c r="O46" i="30"/>
  <c r="O47" i="30"/>
  <c r="O48" i="30"/>
  <c r="O49" i="30"/>
  <c r="O50" i="30"/>
  <c r="O51" i="30"/>
  <c r="O52" i="30"/>
  <c r="O53" i="30"/>
  <c r="O54" i="30"/>
  <c r="O55" i="30"/>
  <c r="O56" i="30"/>
  <c r="O57" i="30"/>
  <c r="O58" i="30"/>
  <c r="O59" i="30"/>
  <c r="O60" i="30"/>
  <c r="P5" i="30"/>
  <c r="P6" i="30"/>
  <c r="P8" i="30"/>
  <c r="P9" i="30"/>
  <c r="P10" i="30"/>
  <c r="P11" i="30"/>
  <c r="P12" i="30"/>
  <c r="P13" i="30"/>
  <c r="P14" i="30"/>
  <c r="P17" i="30"/>
  <c r="P18" i="30"/>
  <c r="P19" i="30"/>
  <c r="P20" i="30"/>
  <c r="P21" i="30"/>
  <c r="P22" i="30"/>
  <c r="P23" i="30"/>
  <c r="P24" i="30"/>
  <c r="P25" i="30"/>
  <c r="P26" i="30"/>
  <c r="P28" i="30"/>
  <c r="P29" i="30"/>
  <c r="P30" i="30"/>
  <c r="P31" i="30"/>
  <c r="P32" i="30"/>
  <c r="P33" i="30"/>
  <c r="P34" i="30"/>
  <c r="P35" i="30"/>
  <c r="P36" i="30"/>
  <c r="P37" i="30"/>
  <c r="P38" i="30"/>
  <c r="P41" i="30"/>
  <c r="P42" i="30"/>
  <c r="P43" i="30"/>
  <c r="P44" i="30"/>
  <c r="P45" i="30"/>
  <c r="P46" i="30"/>
  <c r="P47" i="30"/>
  <c r="P48" i="30"/>
  <c r="P49" i="30"/>
  <c r="P50" i="30"/>
  <c r="P51" i="30"/>
  <c r="P52" i="30"/>
  <c r="P54" i="30"/>
  <c r="P55" i="30"/>
  <c r="P56" i="30"/>
  <c r="P57" i="30"/>
  <c r="P58" i="30"/>
  <c r="P59" i="30"/>
  <c r="P60" i="30"/>
  <c r="N788" i="19" l="1"/>
  <c r="N794" i="19"/>
  <c r="Q210" i="30" l="1"/>
  <c r="Q209" i="30"/>
  <c r="Q208" i="30"/>
  <c r="Q207" i="30"/>
  <c r="Q206" i="30"/>
  <c r="Q205" i="30"/>
  <c r="Q204" i="30"/>
  <c r="Q203" i="30"/>
  <c r="Q202" i="30"/>
  <c r="Q201" i="30"/>
  <c r="Q200" i="30"/>
  <c r="Q199" i="30"/>
  <c r="Q198" i="30"/>
  <c r="Q197" i="30"/>
  <c r="Q196" i="30"/>
  <c r="Q195" i="30"/>
  <c r="Q194" i="30"/>
  <c r="Q193" i="30"/>
  <c r="Q192" i="30"/>
  <c r="Q191" i="30"/>
  <c r="Q190" i="30"/>
  <c r="Q189" i="30"/>
  <c r="Q188" i="30"/>
  <c r="Q187" i="30"/>
  <c r="Q186" i="30"/>
  <c r="Q185" i="30"/>
  <c r="Q184" i="30"/>
  <c r="Q183" i="30"/>
  <c r="Q182" i="30"/>
  <c r="Q181" i="30"/>
  <c r="Q180" i="30"/>
  <c r="Q179" i="30"/>
  <c r="Q178" i="30"/>
  <c r="Q177" i="30"/>
  <c r="Q176" i="30"/>
  <c r="Q175" i="30"/>
  <c r="Q174" i="30"/>
  <c r="Q173" i="30"/>
  <c r="Q172" i="30"/>
  <c r="Q171" i="30"/>
  <c r="Q170" i="30"/>
  <c r="Q169" i="30"/>
  <c r="Q168" i="30"/>
  <c r="Q167" i="30"/>
  <c r="Q166" i="30"/>
  <c r="Q165" i="30"/>
  <c r="Q164" i="30"/>
  <c r="Q163" i="30"/>
  <c r="Q162" i="30"/>
  <c r="Q161" i="30"/>
  <c r="Q160" i="30"/>
  <c r="Q159" i="30"/>
  <c r="Q158" i="30"/>
  <c r="Q157" i="30"/>
  <c r="Q156" i="30"/>
  <c r="Q155" i="30"/>
  <c r="Q154" i="30"/>
  <c r="Q153" i="30"/>
  <c r="Q152" i="30"/>
  <c r="Q151" i="30"/>
  <c r="Q150" i="30"/>
  <c r="Q149" i="30"/>
  <c r="Q148" i="30"/>
  <c r="Q147" i="30"/>
  <c r="Q146" i="30"/>
  <c r="Q145" i="30"/>
  <c r="Q144" i="30"/>
  <c r="Q143" i="30"/>
  <c r="Q142" i="30"/>
  <c r="Q141" i="30"/>
  <c r="Q140" i="30"/>
  <c r="Q139" i="30"/>
  <c r="Q138" i="30"/>
  <c r="Q137" i="30"/>
  <c r="Q136" i="30"/>
  <c r="Q135" i="30"/>
  <c r="Q134" i="30"/>
  <c r="Q133" i="30"/>
  <c r="Q132" i="30"/>
  <c r="Q131" i="30"/>
  <c r="Q130" i="30"/>
  <c r="Q129" i="30"/>
  <c r="Q128" i="30"/>
  <c r="Q127" i="30"/>
  <c r="Q126" i="30"/>
  <c r="Q125" i="30"/>
  <c r="Q124" i="30"/>
  <c r="Q123" i="30"/>
  <c r="Q122" i="30"/>
  <c r="Q121" i="30"/>
  <c r="Q120" i="30"/>
  <c r="Q119" i="30"/>
  <c r="Q118" i="30"/>
  <c r="Q117" i="30"/>
  <c r="Q116" i="30"/>
  <c r="Q115" i="30"/>
  <c r="Q114" i="30"/>
  <c r="Q113" i="30"/>
  <c r="Q112" i="30"/>
  <c r="Q111" i="30"/>
  <c r="Q110" i="30"/>
  <c r="Q109" i="30"/>
  <c r="Q108" i="30"/>
  <c r="Q107" i="30"/>
  <c r="Q106" i="30"/>
  <c r="Q105" i="30"/>
  <c r="Q104" i="30"/>
  <c r="Q103" i="30"/>
  <c r="Q102" i="30"/>
  <c r="Q101" i="30"/>
  <c r="Q100" i="30"/>
  <c r="Q99" i="30"/>
  <c r="Q98" i="30"/>
  <c r="Q97" i="30"/>
  <c r="Q96" i="30"/>
  <c r="Q95" i="30"/>
  <c r="Q94" i="30"/>
  <c r="Q93" i="30"/>
  <c r="Q92" i="30"/>
  <c r="Q91" i="30"/>
  <c r="Q90" i="30"/>
  <c r="Q89" i="30"/>
  <c r="Q88" i="30"/>
  <c r="Q87" i="30"/>
  <c r="Q86" i="30"/>
  <c r="Q85" i="30"/>
  <c r="Q84" i="30"/>
  <c r="Q83" i="30"/>
  <c r="Q82" i="30"/>
  <c r="Q81" i="30"/>
  <c r="Q80" i="30"/>
  <c r="Q79" i="30"/>
  <c r="Q78" i="30"/>
  <c r="Q77" i="30"/>
  <c r="Q76" i="30"/>
  <c r="Q75" i="30"/>
  <c r="Q74" i="30"/>
  <c r="Q73" i="30"/>
  <c r="Q72" i="30"/>
  <c r="Q71" i="30"/>
  <c r="Q70" i="30"/>
  <c r="Q69" i="30"/>
  <c r="Q68" i="30"/>
  <c r="Q67" i="30"/>
  <c r="Q66" i="30"/>
  <c r="Q65" i="30"/>
  <c r="Q64" i="30"/>
  <c r="Q63" i="30"/>
  <c r="Q62" i="30"/>
  <c r="Q61" i="30"/>
  <c r="Q60" i="30"/>
  <c r="Q59" i="30"/>
  <c r="Q58" i="30"/>
  <c r="Q57" i="30"/>
  <c r="Q56" i="30"/>
  <c r="Q55" i="30"/>
  <c r="Q54" i="30"/>
  <c r="Q53" i="30"/>
  <c r="Q52" i="30"/>
  <c r="Q51" i="30"/>
  <c r="Q50" i="30"/>
  <c r="Q49" i="30"/>
  <c r="Q48" i="30"/>
  <c r="Q47" i="30"/>
  <c r="Q46" i="30"/>
  <c r="Q45" i="30"/>
  <c r="Q44" i="30"/>
  <c r="Q43" i="30"/>
  <c r="Q42" i="30"/>
  <c r="Q41" i="30"/>
  <c r="Q40" i="30"/>
  <c r="Q39" i="30"/>
  <c r="Q38" i="30"/>
  <c r="Q37" i="30"/>
  <c r="Q36" i="30"/>
  <c r="Q35" i="30"/>
  <c r="Q34" i="30"/>
  <c r="Q33" i="30"/>
  <c r="Q32" i="30"/>
  <c r="Q31" i="30"/>
  <c r="Q30" i="30"/>
  <c r="Q29" i="30"/>
  <c r="Q28" i="30"/>
  <c r="Q27" i="30"/>
  <c r="Q26" i="30"/>
  <c r="Q25" i="30"/>
  <c r="Q24" i="30"/>
  <c r="Q23" i="30"/>
  <c r="Q22" i="30"/>
  <c r="Q21" i="30"/>
  <c r="Q20" i="30"/>
  <c r="Q19" i="30"/>
  <c r="Q18" i="30"/>
  <c r="Q17" i="30"/>
  <c r="Q16" i="30"/>
  <c r="Q15" i="30"/>
  <c r="Q14" i="30"/>
  <c r="Q13" i="30"/>
  <c r="Q12" i="30"/>
  <c r="Q11" i="30"/>
  <c r="Q10" i="30"/>
  <c r="Q9" i="30"/>
  <c r="Q8" i="30"/>
  <c r="Q7" i="30"/>
  <c r="Q6" i="30"/>
  <c r="Q5" i="30"/>
  <c r="Q4" i="30"/>
  <c r="K729" i="20"/>
  <c r="K731" i="20"/>
  <c r="K732" i="20"/>
  <c r="O563" i="19"/>
  <c r="N563" i="19"/>
  <c r="O564" i="19"/>
  <c r="N564" i="19"/>
  <c r="O565" i="19"/>
  <c r="N565" i="19"/>
  <c r="O566" i="19"/>
  <c r="N566" i="19"/>
  <c r="O562" i="19"/>
  <c r="N562" i="19"/>
  <c r="O561" i="19"/>
  <c r="N561" i="19"/>
  <c r="N149" i="22"/>
  <c r="N150" i="22"/>
  <c r="O149" i="22"/>
  <c r="O150" i="22"/>
  <c r="K795" i="19"/>
  <c r="N795" i="19" s="1"/>
  <c r="O798" i="19"/>
  <c r="N798" i="19"/>
  <c r="N799" i="19"/>
  <c r="O799" i="19"/>
  <c r="P16" i="30"/>
  <c r="E156" i="22"/>
  <c r="O795" i="19" l="1"/>
  <c r="E154" i="22" l="1"/>
  <c r="O146" i="22"/>
  <c r="N146" i="22"/>
  <c r="O145" i="22"/>
  <c r="N145" i="22"/>
  <c r="O148" i="22"/>
  <c r="N148" i="22"/>
  <c r="O147" i="22"/>
  <c r="N147" i="22"/>
  <c r="F4" i="23"/>
  <c r="F3" i="23"/>
  <c r="F5" i="23"/>
  <c r="F6" i="23"/>
  <c r="F7" i="23"/>
  <c r="F8" i="23"/>
  <c r="F9" i="23"/>
  <c r="F10" i="23"/>
  <c r="F11" i="23"/>
  <c r="F12" i="23"/>
  <c r="F13" i="23"/>
  <c r="F14" i="23"/>
  <c r="F15" i="23"/>
  <c r="F16" i="23"/>
  <c r="F17" i="23"/>
  <c r="F18" i="23"/>
  <c r="F19" i="23"/>
  <c r="F20" i="23"/>
  <c r="F21" i="23"/>
  <c r="F22" i="23"/>
  <c r="F23" i="23"/>
  <c r="F24" i="23"/>
  <c r="F25" i="23"/>
  <c r="F26" i="23"/>
  <c r="F27" i="23"/>
  <c r="F28" i="23"/>
  <c r="F29" i="23"/>
  <c r="F30" i="23"/>
  <c r="F31" i="23"/>
  <c r="F32" i="23"/>
  <c r="F33" i="23"/>
  <c r="F34" i="23"/>
  <c r="F35" i="23"/>
  <c r="F36" i="23"/>
  <c r="F37" i="23"/>
  <c r="F38" i="23"/>
  <c r="F39" i="23"/>
  <c r="F40" i="23"/>
  <c r="F41" i="23"/>
  <c r="F42" i="23"/>
  <c r="F43" i="23"/>
  <c r="F44" i="23"/>
  <c r="F45" i="23"/>
  <c r="F46" i="23"/>
  <c r="F47" i="23"/>
  <c r="F48" i="23"/>
  <c r="F49" i="23"/>
  <c r="F50" i="23"/>
  <c r="F51" i="23"/>
  <c r="F52" i="23"/>
  <c r="F53" i="23"/>
  <c r="F54" i="23"/>
  <c r="F55" i="23"/>
  <c r="F56" i="23"/>
  <c r="F57" i="23"/>
  <c r="F58" i="23"/>
  <c r="F59" i="23"/>
  <c r="F60" i="23"/>
  <c r="F61" i="23"/>
  <c r="F62" i="23"/>
  <c r="F63" i="23"/>
  <c r="F64" i="23"/>
  <c r="F65" i="23"/>
  <c r="F66" i="23"/>
  <c r="F67" i="23"/>
  <c r="F68" i="23"/>
  <c r="F69" i="23"/>
  <c r="F70" i="23"/>
  <c r="F71" i="23"/>
  <c r="F72" i="23"/>
  <c r="F73" i="23"/>
  <c r="F74" i="23"/>
  <c r="F75" i="23"/>
  <c r="F76" i="23"/>
  <c r="F77" i="23"/>
  <c r="F78" i="23"/>
  <c r="F79" i="23"/>
  <c r="F80" i="23"/>
  <c r="F81" i="23"/>
  <c r="F82" i="23"/>
  <c r="F83" i="23"/>
  <c r="F84" i="23"/>
  <c r="F85" i="23"/>
  <c r="F86" i="23"/>
  <c r="F87" i="23"/>
  <c r="F88" i="23"/>
  <c r="F89" i="23"/>
  <c r="F90" i="23"/>
  <c r="F91" i="23"/>
  <c r="F92" i="23"/>
  <c r="F93" i="23"/>
  <c r="F94" i="23"/>
  <c r="F26"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5" i="36"/>
  <c r="F24" i="36"/>
  <c r="F23" i="36"/>
  <c r="F22" i="36"/>
  <c r="F21" i="36"/>
  <c r="F20" i="36"/>
  <c r="F19" i="36"/>
  <c r="F18" i="36"/>
  <c r="F17" i="36"/>
  <c r="F16" i="36"/>
  <c r="F15" i="36"/>
  <c r="F14" i="36"/>
  <c r="F13" i="36"/>
  <c r="F12" i="36"/>
  <c r="F11" i="36"/>
  <c r="F10" i="36"/>
  <c r="F9" i="36"/>
  <c r="F8" i="36"/>
  <c r="F7" i="36"/>
  <c r="F6" i="36"/>
  <c r="F5" i="36"/>
  <c r="F4" i="36"/>
  <c r="F3" i="36"/>
  <c r="P40" i="30"/>
  <c r="P39" i="30"/>
  <c r="P27" i="30"/>
  <c r="P7" i="30"/>
  <c r="D2" i="25"/>
  <c r="C89" i="25" l="1"/>
  <c r="C92" i="25"/>
  <c r="C95" i="25"/>
  <c r="C90" i="25"/>
  <c r="C93" i="25"/>
  <c r="C96" i="25"/>
  <c r="C91" i="25"/>
  <c r="C94" i="25"/>
  <c r="D197" i="36"/>
  <c r="D200" i="36"/>
  <c r="D203" i="36"/>
  <c r="D206" i="36"/>
  <c r="D209" i="36"/>
  <c r="D212" i="36"/>
  <c r="D215" i="36"/>
  <c r="D218" i="36"/>
  <c r="D221" i="36"/>
  <c r="D224" i="36"/>
  <c r="D227" i="36"/>
  <c r="D202" i="36"/>
  <c r="D208" i="36"/>
  <c r="D214" i="36"/>
  <c r="D220" i="36"/>
  <c r="D226" i="36"/>
  <c r="D198" i="36"/>
  <c r="D201" i="36"/>
  <c r="D204" i="36"/>
  <c r="D207" i="36"/>
  <c r="D210" i="36"/>
  <c r="D213" i="36"/>
  <c r="D216" i="36"/>
  <c r="D219" i="36"/>
  <c r="D222" i="36"/>
  <c r="D225" i="36"/>
  <c r="D228" i="36"/>
  <c r="D199" i="36"/>
  <c r="D205" i="36"/>
  <c r="D211" i="36"/>
  <c r="D217" i="36"/>
  <c r="D223" i="36"/>
  <c r="C87" i="25"/>
  <c r="P15" i="30"/>
  <c r="C86" i="25"/>
  <c r="P53" i="30"/>
  <c r="C83" i="25"/>
  <c r="C2" i="25"/>
  <c r="C79" i="25"/>
  <c r="C76" i="25"/>
  <c r="C78" i="25"/>
  <c r="C77" i="25"/>
  <c r="C80" i="25"/>
  <c r="C74" i="25"/>
  <c r="C72" i="25"/>
  <c r="C75" i="25"/>
  <c r="C73" i="25"/>
  <c r="C82" i="25"/>
  <c r="C81" i="25"/>
  <c r="C84" i="25"/>
  <c r="C85" i="25"/>
  <c r="D193" i="36"/>
  <c r="D8" i="36"/>
  <c r="D104" i="36"/>
  <c r="D190" i="36"/>
  <c r="D40" i="36"/>
  <c r="D64" i="36"/>
  <c r="D96" i="36"/>
  <c r="D194" i="36"/>
  <c r="D16" i="36"/>
  <c r="D112" i="36"/>
  <c r="D191" i="36"/>
  <c r="D136" i="36"/>
  <c r="D176" i="36"/>
  <c r="D182" i="36"/>
  <c r="D195" i="36"/>
  <c r="D24" i="36"/>
  <c r="D120" i="36"/>
  <c r="D192" i="36"/>
  <c r="D72" i="36"/>
  <c r="D88" i="36"/>
  <c r="D196" i="36"/>
  <c r="D32" i="36"/>
  <c r="D128" i="36"/>
  <c r="D3" i="36"/>
  <c r="D152" i="36"/>
  <c r="D168" i="36"/>
  <c r="D48" i="36"/>
  <c r="D144" i="36"/>
  <c r="D56" i="36"/>
  <c r="D160" i="36"/>
  <c r="D80" i="36"/>
  <c r="D184" i="36"/>
  <c r="D9" i="36"/>
  <c r="D119" i="36"/>
  <c r="D23" i="36"/>
  <c r="D102" i="36"/>
  <c r="D6" i="36"/>
  <c r="D93" i="36"/>
  <c r="D180" i="36"/>
  <c r="D84" i="36"/>
  <c r="D179" i="36"/>
  <c r="D83" i="36"/>
  <c r="D186" i="36"/>
  <c r="D90" i="36"/>
  <c r="D177" i="36"/>
  <c r="D81" i="36"/>
  <c r="D15" i="36"/>
  <c r="D94" i="36"/>
  <c r="D181" i="36"/>
  <c r="D85" i="36"/>
  <c r="D76" i="36"/>
  <c r="D75" i="36"/>
  <c r="D82" i="36"/>
  <c r="D73" i="36"/>
  <c r="D189" i="36"/>
  <c r="D5" i="36"/>
  <c r="D111" i="36"/>
  <c r="D172" i="36"/>
  <c r="D171" i="36"/>
  <c r="D178" i="36"/>
  <c r="D169" i="36"/>
  <c r="D106" i="36"/>
  <c r="D188" i="36"/>
  <c r="D103" i="36"/>
  <c r="D7" i="36"/>
  <c r="D86" i="36"/>
  <c r="D173" i="36"/>
  <c r="D77" i="36"/>
  <c r="D164" i="36"/>
  <c r="D68" i="36"/>
  <c r="D163" i="36"/>
  <c r="D67" i="36"/>
  <c r="D170" i="36"/>
  <c r="D74" i="36"/>
  <c r="D161" i="36"/>
  <c r="D65" i="36"/>
  <c r="D30" i="36"/>
  <c r="D107" i="36"/>
  <c r="D105" i="36"/>
  <c r="D118" i="36"/>
  <c r="D13" i="36"/>
  <c r="D99" i="36"/>
  <c r="D127" i="36"/>
  <c r="D14" i="36"/>
  <c r="D187" i="36"/>
  <c r="D89" i="36"/>
  <c r="D95" i="36"/>
  <c r="D174" i="36"/>
  <c r="D78" i="36"/>
  <c r="D165" i="36"/>
  <c r="D69" i="36"/>
  <c r="D156" i="36"/>
  <c r="D60" i="36"/>
  <c r="D155" i="36"/>
  <c r="D59" i="36"/>
  <c r="D162" i="36"/>
  <c r="D66" i="36"/>
  <c r="D153" i="36"/>
  <c r="D57" i="36"/>
  <c r="D26" i="36"/>
  <c r="D17" i="36"/>
  <c r="D108" i="36"/>
  <c r="D18" i="36"/>
  <c r="D39" i="36"/>
  <c r="D109" i="36"/>
  <c r="D4" i="36"/>
  <c r="D10" i="36"/>
  <c r="D31" i="36"/>
  <c r="D101" i="36"/>
  <c r="D91" i="36"/>
  <c r="D185" i="36"/>
  <c r="D183" i="36"/>
  <c r="D87" i="36"/>
  <c r="D166" i="36"/>
  <c r="D70" i="36"/>
  <c r="D157" i="36"/>
  <c r="D61" i="36"/>
  <c r="D148" i="36"/>
  <c r="D52" i="36"/>
  <c r="D147" i="36"/>
  <c r="D51" i="36"/>
  <c r="D154" i="36"/>
  <c r="D58" i="36"/>
  <c r="D145" i="36"/>
  <c r="D49" i="36"/>
  <c r="D124" i="36"/>
  <c r="D130" i="36"/>
  <c r="D121" i="36"/>
  <c r="D122" i="36"/>
  <c r="D143" i="36"/>
  <c r="D126" i="36"/>
  <c r="D21" i="36"/>
  <c r="D11" i="36"/>
  <c r="D175" i="36"/>
  <c r="D79" i="36"/>
  <c r="D158" i="36"/>
  <c r="D62" i="36"/>
  <c r="D149" i="36"/>
  <c r="D53" i="36"/>
  <c r="D140" i="36"/>
  <c r="D44" i="36"/>
  <c r="D139" i="36"/>
  <c r="D43" i="36"/>
  <c r="D146" i="36"/>
  <c r="D50" i="36"/>
  <c r="D137" i="36"/>
  <c r="D41" i="36"/>
  <c r="D167" i="36"/>
  <c r="D71" i="36"/>
  <c r="D150" i="36"/>
  <c r="D54" i="36"/>
  <c r="D141" i="36"/>
  <c r="D45" i="36"/>
  <c r="D132" i="36"/>
  <c r="D36" i="36"/>
  <c r="D131" i="36"/>
  <c r="D35" i="36"/>
  <c r="D138" i="36"/>
  <c r="D42" i="36"/>
  <c r="D129" i="36"/>
  <c r="D33" i="36"/>
  <c r="D159" i="36"/>
  <c r="D63" i="36"/>
  <c r="D142" i="36"/>
  <c r="D46" i="36"/>
  <c r="D133" i="36"/>
  <c r="D37" i="36"/>
  <c r="D28" i="36"/>
  <c r="D123" i="36"/>
  <c r="D27" i="36"/>
  <c r="D34" i="36"/>
  <c r="D25" i="36"/>
  <c r="D151" i="36"/>
  <c r="D55" i="36"/>
  <c r="D134" i="36"/>
  <c r="D38" i="36"/>
  <c r="D125" i="36"/>
  <c r="D29" i="36"/>
  <c r="D116" i="36"/>
  <c r="D20" i="36"/>
  <c r="D115" i="36"/>
  <c r="D19" i="36"/>
  <c r="D113" i="36"/>
  <c r="D47" i="36"/>
  <c r="D117" i="36"/>
  <c r="D12" i="36"/>
  <c r="D114" i="36"/>
  <c r="D135" i="36"/>
  <c r="D22" i="36"/>
  <c r="D100" i="36"/>
  <c r="D97" i="36"/>
  <c r="D110" i="36"/>
  <c r="D92" i="36"/>
  <c r="D98" i="36"/>
  <c r="C3" i="25"/>
  <c r="C11" i="25"/>
  <c r="C19" i="25"/>
  <c r="C27" i="25"/>
  <c r="C35" i="25"/>
  <c r="C43" i="25"/>
  <c r="C51" i="25"/>
  <c r="C65" i="25"/>
  <c r="C4" i="25"/>
  <c r="C12" i="25"/>
  <c r="C20" i="25"/>
  <c r="C28" i="25"/>
  <c r="C36" i="25"/>
  <c r="C44" i="25"/>
  <c r="C52" i="25"/>
  <c r="C66" i="25"/>
  <c r="C64" i="25"/>
  <c r="C5" i="25"/>
  <c r="C13" i="25"/>
  <c r="C21" i="25"/>
  <c r="C29" i="25"/>
  <c r="C37" i="25"/>
  <c r="C45" i="25"/>
  <c r="C53" i="25"/>
  <c r="C59" i="25"/>
  <c r="C67" i="25"/>
  <c r="C23" i="25"/>
  <c r="C31" i="25"/>
  <c r="C47" i="25"/>
  <c r="C61" i="25"/>
  <c r="C16" i="25"/>
  <c r="C24" i="25"/>
  <c r="C40" i="25"/>
  <c r="C48" i="25"/>
  <c r="C62" i="25"/>
  <c r="C17" i="25"/>
  <c r="C25" i="25"/>
  <c r="C41" i="25"/>
  <c r="C63" i="25"/>
  <c r="C71" i="25"/>
  <c r="C10" i="25"/>
  <c r="C26" i="25"/>
  <c r="C42" i="25"/>
  <c r="C58" i="25"/>
  <c r="C6" i="25"/>
  <c r="C14" i="25"/>
  <c r="C22" i="25"/>
  <c r="C30" i="25"/>
  <c r="C38" i="25"/>
  <c r="C46" i="25"/>
  <c r="C54" i="25"/>
  <c r="C60" i="25"/>
  <c r="C68" i="25"/>
  <c r="C15" i="25"/>
  <c r="C39" i="25"/>
  <c r="C55" i="25"/>
  <c r="C69" i="25"/>
  <c r="C32" i="25"/>
  <c r="C56" i="25"/>
  <c r="C70" i="25"/>
  <c r="C9" i="25"/>
  <c r="C33" i="25"/>
  <c r="C49" i="25"/>
  <c r="C57" i="25"/>
  <c r="C18" i="25"/>
  <c r="C34" i="25"/>
  <c r="C50" i="25"/>
  <c r="C7" i="25"/>
  <c r="C8" i="25"/>
  <c r="W8" i="13" l="1"/>
  <c r="F2" i="13"/>
  <c r="AS2" i="13"/>
  <c r="AX2" i="13"/>
  <c r="AZ2" i="13"/>
  <c r="BB2" i="13"/>
  <c r="BD2" i="13"/>
  <c r="BF2" i="13"/>
  <c r="BH2" i="13"/>
  <c r="BJ2" i="13"/>
  <c r="BN2" i="13"/>
  <c r="BR2" i="13"/>
  <c r="BV2" i="13"/>
  <c r="BZ2" i="13"/>
  <c r="CB2" i="13"/>
  <c r="CN2" i="13"/>
  <c r="CT2" i="13"/>
  <c r="F3" i="13"/>
  <c r="AS3" i="13"/>
  <c r="AX3" i="13"/>
  <c r="AZ3" i="13"/>
  <c r="BB3" i="13"/>
  <c r="BD3" i="13"/>
  <c r="BF3" i="13"/>
  <c r="BH3" i="13"/>
  <c r="BJ3" i="13"/>
  <c r="BN3" i="13"/>
  <c r="BR3" i="13"/>
  <c r="BV3" i="13"/>
  <c r="BZ3" i="13"/>
  <c r="CB3" i="13"/>
  <c r="CN3" i="13"/>
  <c r="CT3" i="13"/>
  <c r="F4" i="13"/>
  <c r="AS4" i="13"/>
  <c r="AX4" i="13"/>
  <c r="AZ4" i="13"/>
  <c r="BB4" i="13"/>
  <c r="BD4" i="13"/>
  <c r="BF4" i="13"/>
  <c r="BH4" i="13"/>
  <c r="BJ4" i="13"/>
  <c r="BN4" i="13"/>
  <c r="BR4" i="13"/>
  <c r="BV4" i="13"/>
  <c r="BZ4" i="13"/>
  <c r="CB4" i="13"/>
  <c r="CN4" i="13"/>
  <c r="CT4" i="13"/>
  <c r="F5" i="13"/>
  <c r="AS5" i="13"/>
  <c r="AX5" i="13"/>
  <c r="AZ5" i="13"/>
  <c r="BB5" i="13"/>
  <c r="BF5" i="13"/>
  <c r="BH5" i="13"/>
  <c r="BJ5" i="13"/>
  <c r="BN5" i="13"/>
  <c r="BR5" i="13"/>
  <c r="BV5" i="13"/>
  <c r="BZ5" i="13"/>
  <c r="CB5" i="13"/>
  <c r="CN5" i="13"/>
  <c r="CT5" i="13"/>
  <c r="F6" i="13"/>
  <c r="AS6" i="13"/>
  <c r="AX6" i="13"/>
  <c r="AZ6" i="13"/>
  <c r="BB6" i="13"/>
  <c r="BF6" i="13"/>
  <c r="BH6" i="13"/>
  <c r="BJ6" i="13"/>
  <c r="BN6" i="13"/>
  <c r="BR6" i="13"/>
  <c r="BV6" i="13"/>
  <c r="BZ6" i="13"/>
  <c r="CB6" i="13"/>
  <c r="CN6" i="13"/>
  <c r="CT6" i="13"/>
  <c r="F7" i="13"/>
  <c r="AS7" i="13"/>
  <c r="AX7" i="13"/>
  <c r="AZ7" i="13"/>
  <c r="BB7" i="13"/>
  <c r="BF7" i="13"/>
  <c r="BH7" i="13"/>
  <c r="BJ7" i="13"/>
  <c r="BN7" i="13"/>
  <c r="BR7" i="13"/>
  <c r="BV7" i="13"/>
  <c r="BZ7" i="13"/>
  <c r="CB7" i="13"/>
  <c r="CN7" i="13"/>
  <c r="CT7" i="13"/>
  <c r="F8" i="13"/>
  <c r="AS8" i="13"/>
  <c r="AX8" i="13"/>
  <c r="AZ8" i="13"/>
  <c r="BF8" i="13"/>
  <c r="BH8" i="13"/>
  <c r="BJ8" i="13"/>
  <c r="BN8" i="13"/>
  <c r="BR8" i="13"/>
  <c r="BV8" i="13"/>
  <c r="BZ8" i="13"/>
  <c r="CB8" i="13"/>
  <c r="CN8" i="13"/>
  <c r="CT8" i="13"/>
  <c r="F9" i="13"/>
  <c r="AS9" i="13"/>
  <c r="AX9" i="13"/>
  <c r="AZ9" i="13"/>
  <c r="BF9" i="13"/>
  <c r="BH9" i="13"/>
  <c r="BR9" i="13"/>
  <c r="BV9" i="13"/>
  <c r="BZ9" i="13"/>
  <c r="CB9" i="13"/>
  <c r="CT9" i="13"/>
  <c r="F10" i="13"/>
  <c r="AS10" i="13"/>
  <c r="AX10" i="13"/>
  <c r="BF10" i="13"/>
  <c r="BR10" i="13"/>
  <c r="BV10" i="13"/>
  <c r="BZ10" i="13"/>
  <c r="CB10" i="13"/>
  <c r="F11" i="13"/>
  <c r="AS11" i="13"/>
  <c r="AX11" i="13"/>
  <c r="BF11" i="13"/>
  <c r="BR11" i="13"/>
  <c r="BV11" i="13"/>
  <c r="BZ11" i="13"/>
  <c r="CB11" i="13"/>
  <c r="F12" i="13"/>
  <c r="AS12" i="13"/>
  <c r="AX12" i="13"/>
  <c r="BF12" i="13"/>
  <c r="BR12" i="13"/>
  <c r="BV12" i="13"/>
  <c r="BZ12" i="13"/>
  <c r="CB12" i="13"/>
  <c r="F13" i="13"/>
  <c r="AS13" i="13"/>
  <c r="BF13" i="13"/>
  <c r="BR13" i="13"/>
  <c r="BV13" i="13"/>
  <c r="BZ13" i="13"/>
  <c r="CB13" i="13"/>
  <c r="F14" i="13"/>
  <c r="AS14" i="13"/>
  <c r="BF14" i="13"/>
  <c r="BR14" i="13"/>
  <c r="BV14" i="13"/>
  <c r="BZ14" i="13"/>
  <c r="CB14" i="13"/>
  <c r="F15" i="13"/>
  <c r="AS15" i="13"/>
  <c r="BF15" i="13"/>
  <c r="BR15" i="13"/>
  <c r="BV15" i="13"/>
  <c r="BZ15" i="13"/>
  <c r="CB15" i="13"/>
  <c r="F16" i="13"/>
  <c r="AS16" i="13"/>
  <c r="BF16" i="13"/>
  <c r="BR16" i="13"/>
  <c r="BV16" i="13"/>
  <c r="BZ16" i="13"/>
  <c r="CB16" i="13"/>
  <c r="F17" i="13"/>
  <c r="AS17" i="13"/>
  <c r="BF17" i="13"/>
  <c r="BZ17" i="13"/>
  <c r="F18" i="13"/>
  <c r="AS18" i="13"/>
  <c r="BZ18" i="13"/>
  <c r="F19" i="13"/>
  <c r="AS19" i="13"/>
  <c r="BZ19" i="13"/>
  <c r="F20" i="13"/>
  <c r="AS20" i="13"/>
  <c r="BZ20" i="13"/>
  <c r="F21" i="13"/>
  <c r="AS21" i="13"/>
  <c r="BZ21" i="13"/>
  <c r="F22" i="13"/>
  <c r="AS22" i="13"/>
  <c r="F23" i="13"/>
  <c r="AS23" i="13"/>
  <c r="F24" i="13"/>
  <c r="AS24" i="13"/>
  <c r="F25" i="13"/>
  <c r="AS25" i="13"/>
  <c r="F26" i="13"/>
  <c r="AS26" i="13"/>
  <c r="F27" i="13"/>
  <c r="AS27" i="13"/>
  <c r="F28" i="13"/>
  <c r="AS28" i="13"/>
  <c r="F29" i="13"/>
  <c r="AS29" i="13"/>
  <c r="F30" i="13"/>
  <c r="AS30" i="13"/>
  <c r="F31" i="13"/>
  <c r="AS31" i="13"/>
  <c r="F32" i="13"/>
  <c r="AS32" i="13"/>
  <c r="F33" i="13"/>
  <c r="AS33" i="13"/>
  <c r="F34" i="13"/>
  <c r="AS34" i="13"/>
  <c r="F35" i="13"/>
  <c r="AS35" i="13"/>
  <c r="F36" i="13"/>
  <c r="AS36" i="13"/>
  <c r="F37" i="13"/>
  <c r="AS37" i="13"/>
  <c r="F38" i="13"/>
  <c r="AS38" i="13"/>
  <c r="F39" i="13"/>
  <c r="AS39" i="13"/>
  <c r="F40" i="13"/>
  <c r="AS40" i="13"/>
  <c r="F41" i="13"/>
  <c r="AS41" i="13"/>
  <c r="F42" i="13"/>
  <c r="AS42" i="13"/>
  <c r="F43" i="13"/>
  <c r="AS43" i="13"/>
  <c r="F44" i="13"/>
  <c r="AS44" i="13"/>
  <c r="F45" i="13"/>
  <c r="AS45" i="13"/>
  <c r="F46" i="13"/>
  <c r="AS46" i="13"/>
  <c r="F47" i="13"/>
  <c r="AS47" i="13"/>
  <c r="F48" i="13"/>
  <c r="AS48" i="13"/>
  <c r="F49" i="13"/>
  <c r="AS49" i="13"/>
  <c r="F50" i="13"/>
  <c r="AS50" i="13"/>
  <c r="F51" i="13"/>
  <c r="AS51" i="13"/>
  <c r="F52" i="13"/>
  <c r="AS52" i="13"/>
  <c r="F53" i="13"/>
  <c r="AS53" i="13"/>
  <c r="F54" i="13"/>
  <c r="AS54" i="13"/>
  <c r="F55" i="13"/>
  <c r="AS55" i="13"/>
  <c r="F56" i="13"/>
  <c r="AS56" i="13"/>
  <c r="F57" i="13"/>
  <c r="AS57" i="13"/>
  <c r="F58" i="13"/>
  <c r="AS58" i="13"/>
  <c r="F59" i="13"/>
  <c r="AS59" i="13"/>
  <c r="F60" i="13"/>
  <c r="AS60" i="13"/>
  <c r="F61" i="13"/>
  <c r="AS61" i="13"/>
  <c r="F62" i="13"/>
  <c r="AS62" i="13"/>
  <c r="F63" i="13"/>
  <c r="AS63" i="13"/>
  <c r="F64" i="13"/>
  <c r="AS64" i="13"/>
  <c r="F65" i="13"/>
  <c r="AS65" i="13"/>
  <c r="F66" i="13"/>
  <c r="AS66" i="13"/>
  <c r="F67" i="13"/>
  <c r="AS67" i="13"/>
  <c r="F68" i="13"/>
  <c r="AS68" i="13"/>
  <c r="F69" i="13"/>
  <c r="AS69" i="13"/>
  <c r="F70" i="13"/>
  <c r="AS70" i="13"/>
  <c r="F71" i="13"/>
  <c r="AS71" i="13"/>
  <c r="F72" i="13"/>
  <c r="AS72" i="13"/>
  <c r="F73" i="13"/>
  <c r="AS73" i="13"/>
  <c r="F74" i="13"/>
  <c r="AS74" i="13"/>
  <c r="F75" i="13"/>
  <c r="AS75" i="13"/>
  <c r="F76" i="13"/>
  <c r="AS76" i="13"/>
  <c r="F77" i="13"/>
  <c r="AS77" i="13"/>
  <c r="F78" i="13"/>
  <c r="AS78" i="13"/>
  <c r="F79" i="13"/>
  <c r="AS79" i="13"/>
  <c r="F80" i="13"/>
  <c r="AS80" i="13"/>
  <c r="F81" i="13"/>
  <c r="AS81" i="13"/>
  <c r="D94" i="23" l="1"/>
  <c r="D126" i="23"/>
  <c r="D11" i="23"/>
  <c r="D61" i="23"/>
  <c r="D27" i="23"/>
  <c r="D127" i="23"/>
  <c r="D6" i="23"/>
  <c r="D42" i="23"/>
  <c r="D3" i="23"/>
  <c r="D120" i="23"/>
  <c r="D96" i="23"/>
  <c r="D87" i="23"/>
  <c r="D79" i="23"/>
  <c r="D71" i="23"/>
  <c r="D63" i="23"/>
  <c r="D54" i="23"/>
  <c r="D46" i="23"/>
  <c r="D37" i="23"/>
  <c r="D29" i="23"/>
  <c r="D21" i="23"/>
  <c r="D13" i="23"/>
  <c r="D136" i="23"/>
  <c r="D128" i="23"/>
  <c r="D119" i="23"/>
  <c r="D111" i="23"/>
  <c r="D103" i="23"/>
  <c r="D95" i="23"/>
  <c r="D86" i="23"/>
  <c r="D78" i="23"/>
  <c r="D70" i="23"/>
  <c r="D62" i="23"/>
  <c r="D53" i="23"/>
  <c r="D45" i="23"/>
  <c r="D36" i="23"/>
  <c r="D28" i="23"/>
  <c r="D20" i="23"/>
  <c r="D12" i="23"/>
  <c r="D60" i="23"/>
  <c r="D134" i="23"/>
  <c r="D125" i="23"/>
  <c r="D117" i="23"/>
  <c r="D109" i="23"/>
  <c r="D101" i="23"/>
  <c r="D92" i="23"/>
  <c r="D84" i="23"/>
  <c r="D76" i="23"/>
  <c r="D68" i="23"/>
  <c r="D59" i="23"/>
  <c r="D51" i="23"/>
  <c r="D43" i="23"/>
  <c r="D34" i="23"/>
  <c r="D26" i="23"/>
  <c r="D18" i="23"/>
  <c r="D10" i="23"/>
  <c r="D112" i="23"/>
  <c r="D110" i="23"/>
  <c r="D77" i="23"/>
  <c r="D44" i="23"/>
  <c r="D35" i="23"/>
  <c r="D133" i="23"/>
  <c r="D124" i="23"/>
  <c r="D116" i="23"/>
  <c r="D108" i="23"/>
  <c r="D100" i="23"/>
  <c r="D91" i="23"/>
  <c r="D83" i="23"/>
  <c r="D75" i="23"/>
  <c r="D67" i="23"/>
  <c r="D58" i="23"/>
  <c r="D50" i="23"/>
  <c r="D41" i="23"/>
  <c r="D33" i="23"/>
  <c r="D25" i="23"/>
  <c r="D17" i="23"/>
  <c r="D9" i="23"/>
  <c r="D129" i="23"/>
  <c r="D118" i="23"/>
  <c r="D93" i="23"/>
  <c r="D52" i="23"/>
  <c r="D19" i="23"/>
  <c r="D132" i="23"/>
  <c r="D123" i="23"/>
  <c r="D115" i="23"/>
  <c r="D107" i="23"/>
  <c r="D99" i="23"/>
  <c r="D90" i="23"/>
  <c r="D82" i="23"/>
  <c r="D74" i="23"/>
  <c r="D66" i="23"/>
  <c r="D57" i="23"/>
  <c r="D49" i="23"/>
  <c r="D40" i="23"/>
  <c r="D32" i="23"/>
  <c r="D24" i="23"/>
  <c r="D16" i="23"/>
  <c r="D8" i="23"/>
  <c r="D104" i="23"/>
  <c r="D135" i="23"/>
  <c r="D102" i="23"/>
  <c r="D85" i="23"/>
  <c r="D69" i="23"/>
  <c r="D5" i="23"/>
  <c r="D131" i="23"/>
  <c r="D122" i="23"/>
  <c r="D114" i="23"/>
  <c r="D106" i="23"/>
  <c r="D98" i="23"/>
  <c r="D89" i="23"/>
  <c r="D81" i="23"/>
  <c r="D73" i="23"/>
  <c r="D65" i="23"/>
  <c r="D56" i="23"/>
  <c r="D48" i="23"/>
  <c r="D39" i="23"/>
  <c r="D31" i="23"/>
  <c r="D23" i="23"/>
  <c r="D15" i="23"/>
  <c r="D7" i="23"/>
  <c r="D4" i="23"/>
  <c r="D130" i="23"/>
  <c r="D121" i="23"/>
  <c r="D113" i="23"/>
  <c r="D105" i="23"/>
  <c r="D97" i="23"/>
  <c r="D88" i="23"/>
  <c r="D80" i="23"/>
  <c r="D72" i="23"/>
  <c r="D64" i="23"/>
  <c r="D55" i="23"/>
  <c r="D47" i="23"/>
  <c r="D38" i="23"/>
  <c r="D30" i="23"/>
  <c r="D22" i="23"/>
  <c r="D14" i="23"/>
  <c r="N909" i="19"/>
  <c r="O909" i="19"/>
  <c r="N910" i="19"/>
  <c r="O910" i="19"/>
  <c r="N911" i="19"/>
  <c r="O911" i="19"/>
  <c r="N912" i="19"/>
  <c r="O912" i="19"/>
  <c r="N913" i="19"/>
  <c r="O913" i="19"/>
  <c r="N986" i="19"/>
  <c r="O986" i="19"/>
  <c r="N978" i="19"/>
  <c r="O978" i="19"/>
  <c r="N970" i="19"/>
  <c r="O970" i="19"/>
  <c r="N962" i="19"/>
  <c r="O962" i="19"/>
  <c r="N954" i="19"/>
  <c r="O954" i="19"/>
  <c r="N946" i="19"/>
  <c r="O946" i="19"/>
  <c r="N938" i="19"/>
  <c r="O938" i="19"/>
  <c r="N930" i="19"/>
  <c r="O930" i="19"/>
  <c r="N922" i="19"/>
  <c r="O922" i="19"/>
  <c r="N914" i="19"/>
  <c r="O914" i="19"/>
  <c r="N123" i="35"/>
  <c r="N124" i="35"/>
  <c r="N125" i="35"/>
  <c r="N126" i="35"/>
  <c r="N127" i="35"/>
  <c r="N128" i="35"/>
  <c r="N129" i="35"/>
  <c r="N130" i="35"/>
  <c r="N131" i="35"/>
  <c r="N122" i="35"/>
  <c r="D327" i="35"/>
  <c r="D324" i="35"/>
  <c r="C274" i="35"/>
  <c r="D328" i="35"/>
  <c r="D330" i="35"/>
  <c r="D326" i="35"/>
  <c r="O321" i="35"/>
  <c r="N321" i="35"/>
  <c r="O320" i="35"/>
  <c r="N320" i="35"/>
  <c r="O319" i="35"/>
  <c r="N319" i="35"/>
  <c r="O318" i="35"/>
  <c r="N318" i="35"/>
  <c r="O317" i="35"/>
  <c r="N317" i="35"/>
  <c r="O316" i="35"/>
  <c r="N316" i="35"/>
  <c r="O315" i="35"/>
  <c r="N315" i="35"/>
  <c r="O314" i="35"/>
  <c r="N314" i="35"/>
  <c r="O313" i="35"/>
  <c r="N313" i="35"/>
  <c r="O312" i="35"/>
  <c r="N312" i="35"/>
  <c r="O311" i="35"/>
  <c r="N311" i="35"/>
  <c r="O310" i="35"/>
  <c r="N310" i="35"/>
  <c r="O309" i="35"/>
  <c r="N309" i="35"/>
  <c r="O308" i="35"/>
  <c r="N308" i="35"/>
  <c r="O307" i="35"/>
  <c r="N307" i="35"/>
  <c r="O306" i="35"/>
  <c r="N306" i="35"/>
  <c r="O305" i="35"/>
  <c r="N305" i="35"/>
  <c r="O304" i="35"/>
  <c r="N304" i="35"/>
  <c r="O303" i="35"/>
  <c r="N303" i="35"/>
  <c r="O302" i="35"/>
  <c r="N302" i="35"/>
  <c r="O301" i="35"/>
  <c r="N301" i="35"/>
  <c r="O300" i="35"/>
  <c r="N300" i="35"/>
  <c r="O299" i="35"/>
  <c r="N299" i="35"/>
  <c r="O298" i="35"/>
  <c r="N298" i="35"/>
  <c r="O297" i="35"/>
  <c r="N297" i="35"/>
  <c r="O296" i="35"/>
  <c r="N296" i="35"/>
  <c r="O295" i="35"/>
  <c r="N295" i="35"/>
  <c r="O294" i="35"/>
  <c r="N294" i="35"/>
  <c r="O293" i="35"/>
  <c r="N293" i="35"/>
  <c r="O292" i="35"/>
  <c r="N292" i="35"/>
  <c r="O291" i="35"/>
  <c r="N291" i="35"/>
  <c r="O290" i="35"/>
  <c r="N290" i="35"/>
  <c r="O289" i="35"/>
  <c r="N289" i="35"/>
  <c r="O288" i="35"/>
  <c r="N288" i="35"/>
  <c r="O287" i="35"/>
  <c r="N287" i="35"/>
  <c r="O286" i="35"/>
  <c r="N286" i="35"/>
  <c r="O285" i="35"/>
  <c r="N285" i="35"/>
  <c r="O284" i="35"/>
  <c r="N284" i="35"/>
  <c r="O283" i="35"/>
  <c r="N283" i="35"/>
  <c r="O282" i="35"/>
  <c r="N282" i="35"/>
  <c r="O281" i="35"/>
  <c r="N281" i="35"/>
  <c r="O280" i="35"/>
  <c r="N280" i="35"/>
  <c r="O279" i="35"/>
  <c r="N279" i="35"/>
  <c r="O278" i="35"/>
  <c r="N278" i="35"/>
  <c r="O277" i="35"/>
  <c r="N277" i="35"/>
  <c r="D332" i="35" l="1"/>
  <c r="E324" i="35" s="1"/>
  <c r="G331" i="35" s="1"/>
  <c r="P4" i="30"/>
  <c r="O4" i="30"/>
  <c r="E327" i="35" l="1"/>
  <c r="G327" i="35" s="1"/>
  <c r="E331" i="35"/>
  <c r="G324" i="35" s="1"/>
  <c r="E323" i="35"/>
  <c r="E325" i="35"/>
  <c r="G330" i="35" s="1"/>
  <c r="E329" i="35"/>
  <c r="G326" i="35" s="1"/>
  <c r="E326" i="35"/>
  <c r="G329" i="35" s="1"/>
  <c r="E330" i="35"/>
  <c r="G323" i="35" s="1"/>
  <c r="E328" i="35"/>
  <c r="G325" i="35" s="1"/>
  <c r="R4" i="30"/>
  <c r="R9" i="30"/>
  <c r="R5" i="30"/>
  <c r="R13" i="30"/>
  <c r="R21" i="30"/>
  <c r="R29" i="30"/>
  <c r="R37" i="30"/>
  <c r="R45" i="30"/>
  <c r="R53" i="30"/>
  <c r="R61" i="30"/>
  <c r="R69" i="30"/>
  <c r="R77" i="30"/>
  <c r="R78" i="30"/>
  <c r="R46" i="30"/>
  <c r="R7" i="30"/>
  <c r="R15" i="30"/>
  <c r="R23" i="30"/>
  <c r="R31" i="30"/>
  <c r="R39" i="30"/>
  <c r="R47" i="30"/>
  <c r="R55" i="30"/>
  <c r="R63" i="30"/>
  <c r="R71" i="30"/>
  <c r="R79" i="30"/>
  <c r="R14" i="30"/>
  <c r="R70" i="30"/>
  <c r="R8" i="30"/>
  <c r="R16" i="30"/>
  <c r="R24" i="30"/>
  <c r="R32" i="30"/>
  <c r="R40" i="30"/>
  <c r="R48" i="30"/>
  <c r="R56" i="30"/>
  <c r="R64" i="30"/>
  <c r="R72" i="30"/>
  <c r="R80" i="30"/>
  <c r="R22" i="30"/>
  <c r="R62" i="30"/>
  <c r="R132" i="30"/>
  <c r="R17" i="30"/>
  <c r="R25" i="30"/>
  <c r="R33" i="30"/>
  <c r="R41" i="30"/>
  <c r="R49" i="30"/>
  <c r="R57" i="30"/>
  <c r="R65" i="30"/>
  <c r="R73" i="30"/>
  <c r="R6" i="30"/>
  <c r="R30" i="30"/>
  <c r="R38" i="30"/>
  <c r="R54" i="30"/>
  <c r="R85" i="30"/>
  <c r="R11" i="30"/>
  <c r="R19" i="30"/>
  <c r="R27" i="30"/>
  <c r="R35" i="30"/>
  <c r="R43" i="30"/>
  <c r="R51" i="30"/>
  <c r="R59" i="30"/>
  <c r="R67" i="30"/>
  <c r="R75" i="30"/>
  <c r="R204" i="30"/>
  <c r="R156" i="30"/>
  <c r="R148" i="30"/>
  <c r="R124" i="30"/>
  <c r="R100" i="30"/>
  <c r="R92" i="30"/>
  <c r="R84" i="30"/>
  <c r="R76" i="30"/>
  <c r="R68" i="30"/>
  <c r="R60" i="30"/>
  <c r="R52" i="30"/>
  <c r="R44" i="30"/>
  <c r="R36" i="30"/>
  <c r="R28" i="30"/>
  <c r="R20" i="30"/>
  <c r="R12" i="30"/>
  <c r="R235" i="30"/>
  <c r="R227" i="30"/>
  <c r="R219" i="30"/>
  <c r="R211" i="30"/>
  <c r="R203" i="30"/>
  <c r="R195" i="30"/>
  <c r="R187" i="30"/>
  <c r="R179" i="30"/>
  <c r="R171" i="30"/>
  <c r="R163" i="30"/>
  <c r="R155" i="30"/>
  <c r="R147" i="30"/>
  <c r="R139" i="30"/>
  <c r="R131" i="30"/>
  <c r="R123" i="30"/>
  <c r="R115" i="30"/>
  <c r="R107" i="30"/>
  <c r="R99" i="30"/>
  <c r="R91" i="30"/>
  <c r="R83" i="30"/>
  <c r="R196" i="30"/>
  <c r="R172" i="30"/>
  <c r="R140" i="30"/>
  <c r="R234" i="30"/>
  <c r="R202" i="30"/>
  <c r="R170" i="30"/>
  <c r="R138" i="30"/>
  <c r="R106" i="30"/>
  <c r="R74" i="30"/>
  <c r="R42" i="30"/>
  <c r="R10" i="30"/>
  <c r="R209" i="30"/>
  <c r="R177" i="30"/>
  <c r="R145" i="30"/>
  <c r="R129" i="30"/>
  <c r="R97" i="30"/>
  <c r="R232" i="30"/>
  <c r="R224" i="30"/>
  <c r="R216" i="30"/>
  <c r="R208" i="30"/>
  <c r="R200" i="30"/>
  <c r="R192" i="30"/>
  <c r="R184" i="30"/>
  <c r="R176" i="30"/>
  <c r="R168" i="30"/>
  <c r="R160" i="30"/>
  <c r="R152" i="30"/>
  <c r="R144" i="30"/>
  <c r="R136" i="30"/>
  <c r="R128" i="30"/>
  <c r="R120" i="30"/>
  <c r="R112" i="30"/>
  <c r="R104" i="30"/>
  <c r="R96" i="30"/>
  <c r="R88" i="30"/>
  <c r="R220" i="30"/>
  <c r="R164" i="30"/>
  <c r="R108" i="30"/>
  <c r="R226" i="30"/>
  <c r="R194" i="30"/>
  <c r="R162" i="30"/>
  <c r="R122" i="30"/>
  <c r="R82" i="30"/>
  <c r="R58" i="30"/>
  <c r="R26" i="30"/>
  <c r="R225" i="30"/>
  <c r="R193" i="30"/>
  <c r="R153" i="30"/>
  <c r="R113" i="30"/>
  <c r="R89" i="30"/>
  <c r="R231" i="30"/>
  <c r="R223" i="30"/>
  <c r="R215" i="30"/>
  <c r="R207" i="30"/>
  <c r="R199" i="30"/>
  <c r="R191" i="30"/>
  <c r="R183" i="30"/>
  <c r="R175" i="30"/>
  <c r="R167" i="30"/>
  <c r="R159" i="30"/>
  <c r="R151" i="30"/>
  <c r="R143" i="30"/>
  <c r="R135" i="30"/>
  <c r="R127" i="30"/>
  <c r="R119" i="30"/>
  <c r="R111" i="30"/>
  <c r="R103" i="30"/>
  <c r="R95" i="30"/>
  <c r="R87" i="30"/>
  <c r="R228" i="30"/>
  <c r="R180" i="30"/>
  <c r="R116" i="30"/>
  <c r="R218" i="30"/>
  <c r="R186" i="30"/>
  <c r="R154" i="30"/>
  <c r="R114" i="30"/>
  <c r="R90" i="30"/>
  <c r="R50" i="30"/>
  <c r="R18" i="30"/>
  <c r="R233" i="30"/>
  <c r="R201" i="30"/>
  <c r="R161" i="30"/>
  <c r="R121" i="30"/>
  <c r="R81" i="30"/>
  <c r="R230" i="30"/>
  <c r="R222" i="30"/>
  <c r="R214" i="30"/>
  <c r="R206" i="30"/>
  <c r="R198" i="30"/>
  <c r="R190" i="30"/>
  <c r="R182" i="30"/>
  <c r="R174" i="30"/>
  <c r="R166" i="30"/>
  <c r="R158" i="30"/>
  <c r="R150" i="30"/>
  <c r="R142" i="30"/>
  <c r="R134" i="30"/>
  <c r="R126" i="30"/>
  <c r="R118" i="30"/>
  <c r="R110" i="30"/>
  <c r="R102" i="30"/>
  <c r="R94" i="30"/>
  <c r="R86" i="30"/>
  <c r="R212" i="30"/>
  <c r="R188" i="30"/>
  <c r="R210" i="30"/>
  <c r="R178" i="30"/>
  <c r="R146" i="30"/>
  <c r="R130" i="30"/>
  <c r="R98" i="30"/>
  <c r="R66" i="30"/>
  <c r="R34" i="30"/>
  <c r="R217" i="30"/>
  <c r="R185" i="30"/>
  <c r="R169" i="30"/>
  <c r="R137" i="30"/>
  <c r="R105" i="30"/>
  <c r="R229" i="30"/>
  <c r="R221" i="30"/>
  <c r="R213" i="30"/>
  <c r="R205" i="30"/>
  <c r="R197" i="30"/>
  <c r="R189" i="30"/>
  <c r="R181" i="30"/>
  <c r="R173" i="30"/>
  <c r="R165" i="30"/>
  <c r="R157" i="30"/>
  <c r="R149" i="30"/>
  <c r="R141" i="30"/>
  <c r="R133" i="30"/>
  <c r="R125" i="30"/>
  <c r="R117" i="30"/>
  <c r="R109" i="30"/>
  <c r="R101" i="30"/>
  <c r="R93" i="30"/>
  <c r="G332" i="35" l="1"/>
  <c r="G333" i="35" s="1"/>
  <c r="E333" i="35"/>
  <c r="P10" i="19"/>
  <c r="P34" i="19"/>
  <c r="P32" i="19"/>
  <c r="P33" i="19"/>
  <c r="P35" i="19"/>
  <c r="P4" i="19"/>
  <c r="P5" i="19"/>
  <c r="P7" i="19"/>
  <c r="P31" i="19"/>
  <c r="P3" i="19"/>
  <c r="P46" i="19"/>
  <c r="A98" i="19"/>
  <c r="B98" i="19"/>
  <c r="C98" i="19"/>
  <c r="D98" i="19"/>
  <c r="F98" i="19"/>
  <c r="G98" i="19"/>
  <c r="A99" i="19"/>
  <c r="B99" i="19"/>
  <c r="C99" i="19"/>
  <c r="D99" i="19"/>
  <c r="F99" i="19"/>
  <c r="G99" i="19"/>
  <c r="A100" i="19"/>
  <c r="B100" i="19"/>
  <c r="C100" i="19"/>
  <c r="D100" i="19"/>
  <c r="F100" i="19"/>
  <c r="G100" i="19"/>
  <c r="A101" i="19"/>
  <c r="B101" i="19"/>
  <c r="C101" i="19"/>
  <c r="D101" i="19"/>
  <c r="F101" i="19"/>
  <c r="G101" i="19"/>
  <c r="A102" i="19"/>
  <c r="B102" i="19"/>
  <c r="C102" i="19"/>
  <c r="D102" i="19"/>
  <c r="F102" i="19"/>
  <c r="G102" i="19"/>
  <c r="A103" i="19"/>
  <c r="B103" i="19"/>
  <c r="C103" i="19"/>
  <c r="D103" i="19"/>
  <c r="F103" i="19"/>
  <c r="G103" i="19"/>
  <c r="A104" i="19"/>
  <c r="B104" i="19"/>
  <c r="C104" i="19"/>
  <c r="D104" i="19"/>
  <c r="F104" i="19"/>
  <c r="G104" i="19"/>
  <c r="A105" i="19"/>
  <c r="B105" i="19"/>
  <c r="C105" i="19"/>
  <c r="D105" i="19"/>
  <c r="F105" i="19"/>
  <c r="G105" i="19"/>
  <c r="A106" i="19"/>
  <c r="B106" i="19"/>
  <c r="C106" i="19"/>
  <c r="D106" i="19"/>
  <c r="F106" i="19"/>
  <c r="G106" i="19"/>
  <c r="A87" i="19"/>
  <c r="B87" i="19"/>
  <c r="C87" i="19"/>
  <c r="D87" i="19"/>
  <c r="F87" i="19"/>
  <c r="G87" i="19"/>
  <c r="A88" i="19"/>
  <c r="B88" i="19"/>
  <c r="C88" i="19"/>
  <c r="D88" i="19"/>
  <c r="F88" i="19"/>
  <c r="G88" i="19"/>
  <c r="A89" i="19"/>
  <c r="B89" i="19"/>
  <c r="C89" i="19"/>
  <c r="D89" i="19"/>
  <c r="F89" i="19"/>
  <c r="G89" i="19"/>
  <c r="A90" i="19"/>
  <c r="B90" i="19"/>
  <c r="C90" i="19"/>
  <c r="D90" i="19"/>
  <c r="F90" i="19"/>
  <c r="G90" i="19"/>
  <c r="A91" i="19"/>
  <c r="B91" i="19"/>
  <c r="C91" i="19"/>
  <c r="D91" i="19"/>
  <c r="F91" i="19"/>
  <c r="G91" i="19"/>
  <c r="A92" i="19"/>
  <c r="B92" i="19"/>
  <c r="C92" i="19"/>
  <c r="D92" i="19"/>
  <c r="F92" i="19"/>
  <c r="G92" i="19"/>
  <c r="A93" i="19"/>
  <c r="B93" i="19"/>
  <c r="C93" i="19"/>
  <c r="D93" i="19"/>
  <c r="F93" i="19"/>
  <c r="G93" i="19"/>
  <c r="A94" i="19"/>
  <c r="B94" i="19"/>
  <c r="C94" i="19"/>
  <c r="D94" i="19"/>
  <c r="F94" i="19"/>
  <c r="G94" i="19"/>
  <c r="A95" i="19"/>
  <c r="B95" i="19"/>
  <c r="C95" i="19"/>
  <c r="D95" i="19"/>
  <c r="F95" i="19"/>
  <c r="G95" i="19"/>
  <c r="A96" i="19"/>
  <c r="B96" i="19"/>
  <c r="C96" i="19"/>
  <c r="D96" i="19"/>
  <c r="F96" i="19"/>
  <c r="G96" i="19"/>
  <c r="A67" i="19"/>
  <c r="B67" i="19"/>
  <c r="C67" i="19"/>
  <c r="D67" i="19"/>
  <c r="F67" i="19"/>
  <c r="G67" i="19"/>
  <c r="A68" i="19"/>
  <c r="B68" i="19"/>
  <c r="C68" i="19"/>
  <c r="D68" i="19"/>
  <c r="F68" i="19"/>
  <c r="G68" i="19"/>
  <c r="A69" i="19"/>
  <c r="B69" i="19"/>
  <c r="C69" i="19"/>
  <c r="D69" i="19"/>
  <c r="F69" i="19"/>
  <c r="G69" i="19"/>
  <c r="A70" i="19"/>
  <c r="B70" i="19"/>
  <c r="C70" i="19"/>
  <c r="D70" i="19"/>
  <c r="F70" i="19"/>
  <c r="G70" i="19"/>
  <c r="A71" i="19"/>
  <c r="B71" i="19"/>
  <c r="C71" i="19"/>
  <c r="D71" i="19"/>
  <c r="F71" i="19"/>
  <c r="G71" i="19"/>
  <c r="A72" i="19"/>
  <c r="B72" i="19"/>
  <c r="C72" i="19"/>
  <c r="D72" i="19"/>
  <c r="F72" i="19"/>
  <c r="G72" i="19"/>
  <c r="A73" i="19"/>
  <c r="B73" i="19"/>
  <c r="C73" i="19"/>
  <c r="D73" i="19"/>
  <c r="F73" i="19"/>
  <c r="G73" i="19"/>
  <c r="A74" i="19"/>
  <c r="B74" i="19"/>
  <c r="C74" i="19"/>
  <c r="D74" i="19"/>
  <c r="F74" i="19"/>
  <c r="G74" i="19"/>
  <c r="A75" i="19"/>
  <c r="B75" i="19"/>
  <c r="C75" i="19"/>
  <c r="D75" i="19"/>
  <c r="F75" i="19"/>
  <c r="G75" i="19"/>
  <c r="A76" i="19"/>
  <c r="B76" i="19"/>
  <c r="C76" i="19"/>
  <c r="D76" i="19"/>
  <c r="F76" i="19"/>
  <c r="G76" i="19"/>
  <c r="A107" i="19"/>
  <c r="B107" i="19"/>
  <c r="C107" i="19"/>
  <c r="D107" i="19"/>
  <c r="F107" i="19"/>
  <c r="G107" i="19"/>
  <c r="A108" i="19"/>
  <c r="B108" i="19"/>
  <c r="C108" i="19"/>
  <c r="D108" i="19"/>
  <c r="F108" i="19"/>
  <c r="G108" i="19"/>
  <c r="A109" i="19"/>
  <c r="B109" i="19"/>
  <c r="C109" i="19"/>
  <c r="D109" i="19"/>
  <c r="F109" i="19"/>
  <c r="G109" i="19"/>
  <c r="A110" i="19"/>
  <c r="B110" i="19"/>
  <c r="C110" i="19"/>
  <c r="D110" i="19"/>
  <c r="F110" i="19"/>
  <c r="G110" i="19"/>
  <c r="A111" i="19"/>
  <c r="B111" i="19"/>
  <c r="C111" i="19"/>
  <c r="D111" i="19"/>
  <c r="F111" i="19"/>
  <c r="G111" i="19"/>
  <c r="A112" i="19"/>
  <c r="B112" i="19"/>
  <c r="C112" i="19"/>
  <c r="D112" i="19"/>
  <c r="F112" i="19"/>
  <c r="G112" i="19"/>
  <c r="A113" i="19"/>
  <c r="B113" i="19"/>
  <c r="C113" i="19"/>
  <c r="D113" i="19"/>
  <c r="F113" i="19"/>
  <c r="G113" i="19"/>
  <c r="A114" i="19"/>
  <c r="B114" i="19"/>
  <c r="C114" i="19"/>
  <c r="D114" i="19"/>
  <c r="F114" i="19"/>
  <c r="G114" i="19"/>
  <c r="A115" i="19"/>
  <c r="B115" i="19"/>
  <c r="C115" i="19"/>
  <c r="D115" i="19"/>
  <c r="F115" i="19"/>
  <c r="G115" i="19"/>
  <c r="A116" i="19"/>
  <c r="B116" i="19"/>
  <c r="C116" i="19"/>
  <c r="D116" i="19"/>
  <c r="F116" i="19"/>
  <c r="G116" i="19"/>
  <c r="A57" i="19"/>
  <c r="B57" i="19"/>
  <c r="C57" i="19"/>
  <c r="D57" i="19"/>
  <c r="F57" i="19"/>
  <c r="G57" i="19"/>
  <c r="A58" i="19"/>
  <c r="B58" i="19"/>
  <c r="C58" i="19"/>
  <c r="D58" i="19"/>
  <c r="F58" i="19"/>
  <c r="G58" i="19"/>
  <c r="A59" i="19"/>
  <c r="B59" i="19"/>
  <c r="C59" i="19"/>
  <c r="D59" i="19"/>
  <c r="F59" i="19"/>
  <c r="G59" i="19"/>
  <c r="A60" i="19"/>
  <c r="B60" i="19"/>
  <c r="C60" i="19"/>
  <c r="D60" i="19"/>
  <c r="F60" i="19"/>
  <c r="G60" i="19"/>
  <c r="A61" i="19"/>
  <c r="B61" i="19"/>
  <c r="C61" i="19"/>
  <c r="D61" i="19"/>
  <c r="F61" i="19"/>
  <c r="G61" i="19"/>
  <c r="A62" i="19"/>
  <c r="B62" i="19"/>
  <c r="C62" i="19"/>
  <c r="D62" i="19"/>
  <c r="F62" i="19"/>
  <c r="G62" i="19"/>
  <c r="A63" i="19"/>
  <c r="B63" i="19"/>
  <c r="C63" i="19"/>
  <c r="D63" i="19"/>
  <c r="F63" i="19"/>
  <c r="G63" i="19"/>
  <c r="A64" i="19"/>
  <c r="B64" i="19"/>
  <c r="C64" i="19"/>
  <c r="D64" i="19"/>
  <c r="F64" i="19"/>
  <c r="G64" i="19"/>
  <c r="A65" i="19"/>
  <c r="B65" i="19"/>
  <c r="C65" i="19"/>
  <c r="D65" i="19"/>
  <c r="F65" i="19"/>
  <c r="G65" i="19"/>
  <c r="A66" i="19"/>
  <c r="B66" i="19"/>
  <c r="C66" i="19"/>
  <c r="D66" i="19"/>
  <c r="F66" i="19"/>
  <c r="G66" i="19"/>
  <c r="A77" i="19"/>
  <c r="B77" i="19"/>
  <c r="C77" i="19"/>
  <c r="D77" i="19"/>
  <c r="F77" i="19"/>
  <c r="G77" i="19"/>
  <c r="A78" i="19"/>
  <c r="B78" i="19"/>
  <c r="C78" i="19"/>
  <c r="D78" i="19"/>
  <c r="F78" i="19"/>
  <c r="G78" i="19"/>
  <c r="A79" i="19"/>
  <c r="B79" i="19"/>
  <c r="C79" i="19"/>
  <c r="D79" i="19"/>
  <c r="F79" i="19"/>
  <c r="G79" i="19"/>
  <c r="A80" i="19"/>
  <c r="B80" i="19"/>
  <c r="C80" i="19"/>
  <c r="D80" i="19"/>
  <c r="F80" i="19"/>
  <c r="G80" i="19"/>
  <c r="A81" i="19"/>
  <c r="B81" i="19"/>
  <c r="C81" i="19"/>
  <c r="D81" i="19"/>
  <c r="F81" i="19"/>
  <c r="G81" i="19"/>
  <c r="A82" i="19"/>
  <c r="B82" i="19"/>
  <c r="C82" i="19"/>
  <c r="D82" i="19"/>
  <c r="F82" i="19"/>
  <c r="G82" i="19"/>
  <c r="A83" i="19"/>
  <c r="B83" i="19"/>
  <c r="C83" i="19"/>
  <c r="D83" i="19"/>
  <c r="F83" i="19"/>
  <c r="G83" i="19"/>
  <c r="A84" i="19"/>
  <c r="B84" i="19"/>
  <c r="C84" i="19"/>
  <c r="D84" i="19"/>
  <c r="F84" i="19"/>
  <c r="G84" i="19"/>
  <c r="A85" i="19"/>
  <c r="B85" i="19"/>
  <c r="C85" i="19"/>
  <c r="D85" i="19"/>
  <c r="F85" i="19"/>
  <c r="G85" i="19"/>
  <c r="A86" i="19"/>
  <c r="B86" i="19"/>
  <c r="C86" i="19"/>
  <c r="D86" i="19"/>
  <c r="F86" i="19"/>
  <c r="G86" i="19"/>
  <c r="A12" i="19"/>
  <c r="G12" i="19"/>
  <c r="A11" i="19"/>
  <c r="E11" i="19"/>
  <c r="G11" i="19"/>
  <c r="A10" i="19"/>
  <c r="A8" i="19"/>
  <c r="A9" i="19"/>
  <c r="A13" i="19"/>
  <c r="G18" i="19"/>
  <c r="G17" i="19"/>
  <c r="A34" i="19"/>
  <c r="E34" i="19"/>
  <c r="F34" i="19"/>
  <c r="A32" i="19"/>
  <c r="F32" i="19"/>
  <c r="A33" i="19"/>
  <c r="F33" i="19"/>
  <c r="A35" i="19"/>
  <c r="F35" i="19"/>
  <c r="A6" i="19"/>
  <c r="E6" i="19"/>
  <c r="F6" i="19"/>
  <c r="A4" i="19"/>
  <c r="A5" i="19"/>
  <c r="A7" i="19"/>
  <c r="A31" i="19"/>
  <c r="F31" i="19"/>
  <c r="G31" i="19"/>
  <c r="A30" i="19"/>
  <c r="E30" i="19"/>
  <c r="F30" i="19"/>
  <c r="G30" i="19"/>
  <c r="A3" i="19"/>
  <c r="F3" i="19"/>
  <c r="G3" i="19"/>
  <c r="A2" i="19"/>
  <c r="E2" i="19"/>
  <c r="F2" i="19"/>
  <c r="G2" i="19"/>
  <c r="A48" i="19"/>
  <c r="B48" i="19"/>
  <c r="C48" i="19"/>
  <c r="D48" i="19"/>
  <c r="E48" i="19"/>
  <c r="F48" i="19"/>
  <c r="G48" i="19"/>
  <c r="A47" i="19"/>
  <c r="B47" i="19"/>
  <c r="C47" i="19"/>
  <c r="D47" i="19"/>
  <c r="E47" i="19"/>
  <c r="F47" i="19"/>
  <c r="G47" i="19"/>
  <c r="A49" i="19"/>
  <c r="B49" i="19"/>
  <c r="C49" i="19"/>
  <c r="D49" i="19"/>
  <c r="E49" i="19"/>
  <c r="F49" i="19"/>
  <c r="G49" i="19"/>
  <c r="A43" i="19"/>
  <c r="B43" i="19"/>
  <c r="C43" i="19"/>
  <c r="D43" i="19"/>
  <c r="E43" i="19"/>
  <c r="F43" i="19"/>
  <c r="G43" i="19"/>
  <c r="A44" i="19"/>
  <c r="B44" i="19"/>
  <c r="C44" i="19"/>
  <c r="D44" i="19"/>
  <c r="E44" i="19"/>
  <c r="F44" i="19"/>
  <c r="G44" i="19"/>
  <c r="A45" i="19"/>
  <c r="B45" i="19"/>
  <c r="C45" i="19"/>
  <c r="D45" i="19"/>
  <c r="E45" i="19"/>
  <c r="F45" i="19"/>
  <c r="G45" i="19"/>
  <c r="A46" i="19"/>
  <c r="B46" i="19"/>
  <c r="C46" i="19"/>
  <c r="D46" i="19"/>
  <c r="E46" i="19"/>
  <c r="F46" i="19"/>
  <c r="G46" i="19"/>
  <c r="G97" i="19"/>
  <c r="F97" i="19"/>
  <c r="D97" i="19"/>
  <c r="C97" i="19"/>
  <c r="B97" i="19"/>
  <c r="A97" i="19"/>
  <c r="O431" i="19" l="1"/>
  <c r="N431" i="19"/>
  <c r="O432" i="19"/>
  <c r="N432" i="19"/>
  <c r="O1275" i="19"/>
  <c r="N1275" i="19"/>
  <c r="O1276" i="19"/>
  <c r="N1276" i="19"/>
  <c r="O1286" i="19"/>
  <c r="N1286" i="19"/>
  <c r="O1279" i="19"/>
  <c r="N1279" i="19"/>
  <c r="O1278" i="19"/>
  <c r="N1278" i="19"/>
  <c r="O1283" i="19"/>
  <c r="N1283" i="19"/>
  <c r="O1282" i="19"/>
  <c r="N1282" i="19"/>
  <c r="O1285" i="19"/>
  <c r="N1285" i="19"/>
  <c r="O1284" i="19"/>
  <c r="N1284" i="19"/>
  <c r="O1281" i="19"/>
  <c r="N1281" i="19"/>
  <c r="O1280" i="19"/>
  <c r="N1280" i="19"/>
  <c r="O1272" i="19"/>
  <c r="N1272" i="19"/>
  <c r="O1274" i="19"/>
  <c r="N1274" i="19"/>
  <c r="O1273" i="19"/>
  <c r="N1273" i="19"/>
  <c r="O452" i="19"/>
  <c r="N452" i="19"/>
  <c r="O453" i="19"/>
  <c r="N453" i="19"/>
  <c r="O456" i="19"/>
  <c r="N456" i="19"/>
  <c r="O455" i="19"/>
  <c r="N455" i="19"/>
  <c r="O454" i="19"/>
  <c r="N454" i="19"/>
  <c r="O449" i="19"/>
  <c r="N449" i="19"/>
  <c r="O451" i="19"/>
  <c r="N451" i="19"/>
  <c r="O450" i="19"/>
  <c r="N450" i="19"/>
  <c r="O121" i="19"/>
  <c r="N121" i="19"/>
  <c r="O120" i="19"/>
  <c r="N120" i="19"/>
  <c r="O119" i="19"/>
  <c r="N119" i="19"/>
  <c r="O122" i="19"/>
  <c r="N122" i="19"/>
  <c r="O123" i="19"/>
  <c r="N123" i="19"/>
  <c r="O117" i="19"/>
  <c r="N117" i="19"/>
  <c r="O118" i="19"/>
  <c r="N118" i="19"/>
  <c r="O146" i="19"/>
  <c r="N146" i="19"/>
  <c r="O147" i="19"/>
  <c r="N147" i="19"/>
  <c r="O148" i="19"/>
  <c r="N148" i="19"/>
  <c r="O143" i="19"/>
  <c r="N143" i="19"/>
  <c r="O145" i="19"/>
  <c r="N145" i="19"/>
  <c r="O144" i="19"/>
  <c r="N144" i="19"/>
  <c r="O1184" i="19"/>
  <c r="N1184" i="19"/>
  <c r="O1185" i="19"/>
  <c r="N1185" i="19"/>
  <c r="O1187" i="19"/>
  <c r="N1187" i="19"/>
  <c r="O1183" i="19"/>
  <c r="N1183" i="19"/>
  <c r="O1182" i="19"/>
  <c r="N1182" i="19"/>
  <c r="O1247" i="19"/>
  <c r="N1247" i="19"/>
  <c r="O1246" i="19"/>
  <c r="N1246" i="19"/>
  <c r="O1245" i="19"/>
  <c r="N1245" i="19"/>
  <c r="O1244" i="19"/>
  <c r="N1244" i="19"/>
  <c r="O1243" i="19"/>
  <c r="N1243" i="19"/>
  <c r="O1242" i="19"/>
  <c r="N1242" i="19"/>
  <c r="O1241" i="19"/>
  <c r="N1241" i="19"/>
  <c r="O1240" i="19"/>
  <c r="N1240" i="19"/>
  <c r="O1239" i="19"/>
  <c r="N1239" i="19"/>
  <c r="O1238" i="19"/>
  <c r="N1238" i="19"/>
  <c r="O1237" i="19"/>
  <c r="N1237" i="19"/>
  <c r="O1236" i="19"/>
  <c r="N1236" i="19"/>
  <c r="O1235" i="19"/>
  <c r="N1235" i="19"/>
  <c r="O1234" i="19"/>
  <c r="N1234" i="19"/>
  <c r="O1233" i="19"/>
  <c r="N1233" i="19"/>
  <c r="O1232" i="19"/>
  <c r="N1232" i="19"/>
  <c r="O1231" i="19"/>
  <c r="N1231" i="19"/>
  <c r="O1230" i="19"/>
  <c r="N1230" i="19"/>
  <c r="O1229" i="19"/>
  <c r="N1229" i="19"/>
  <c r="O1228" i="19"/>
  <c r="N1228" i="19"/>
  <c r="O1227" i="19"/>
  <c r="N1227" i="19"/>
  <c r="O1226" i="19"/>
  <c r="N1226" i="19"/>
  <c r="O1225" i="19"/>
  <c r="N1225" i="19"/>
  <c r="O1224" i="19"/>
  <c r="N1224" i="19"/>
  <c r="O1223" i="19"/>
  <c r="N1223" i="19"/>
  <c r="O1222" i="19"/>
  <c r="N1222" i="19"/>
  <c r="O1221" i="19"/>
  <c r="N1221" i="19"/>
  <c r="O1265" i="19"/>
  <c r="N1265" i="19"/>
  <c r="O1264" i="19"/>
  <c r="N1264" i="19"/>
  <c r="O1263" i="19"/>
  <c r="N1263" i="19"/>
  <c r="O1262" i="19"/>
  <c r="N1262" i="19"/>
  <c r="O1261" i="19"/>
  <c r="N1261" i="19"/>
  <c r="O1260" i="19"/>
  <c r="N1260" i="19"/>
  <c r="O1259" i="19"/>
  <c r="N1259" i="19"/>
  <c r="O1258" i="19"/>
  <c r="N1258" i="19"/>
  <c r="O1257" i="19"/>
  <c r="N1257" i="19"/>
  <c r="O1220" i="19"/>
  <c r="N1220" i="19"/>
  <c r="O1219" i="19"/>
  <c r="N1219" i="19"/>
  <c r="O1218" i="19"/>
  <c r="N1218" i="19"/>
  <c r="O1217" i="19"/>
  <c r="N1217" i="19"/>
  <c r="O1216" i="19"/>
  <c r="N1216" i="19"/>
  <c r="O1215" i="19"/>
  <c r="N1215" i="19"/>
  <c r="O1214" i="19"/>
  <c r="N1214" i="19"/>
  <c r="O1213" i="19"/>
  <c r="N1213" i="19"/>
  <c r="O1212" i="19"/>
  <c r="N1212" i="19"/>
  <c r="O1202" i="19"/>
  <c r="N1202" i="19"/>
  <c r="O1201" i="19"/>
  <c r="N1201" i="19"/>
  <c r="O1200" i="19"/>
  <c r="N1200" i="19"/>
  <c r="O1199" i="19"/>
  <c r="N1199" i="19"/>
  <c r="O1198" i="19"/>
  <c r="N1198" i="19"/>
  <c r="O1197" i="19"/>
  <c r="N1197" i="19"/>
  <c r="O1196" i="19"/>
  <c r="N1196" i="19"/>
  <c r="O1195" i="19"/>
  <c r="N1195" i="19"/>
  <c r="O1194" i="19"/>
  <c r="N1194" i="19"/>
  <c r="O1211" i="19"/>
  <c r="N1211" i="19"/>
  <c r="O1210" i="19"/>
  <c r="N1210" i="19"/>
  <c r="O1209" i="19"/>
  <c r="N1209" i="19"/>
  <c r="O1208" i="19"/>
  <c r="N1208" i="19"/>
  <c r="O1207" i="19"/>
  <c r="N1207" i="19"/>
  <c r="O1206" i="19"/>
  <c r="N1206" i="19"/>
  <c r="O1205" i="19"/>
  <c r="N1205" i="19"/>
  <c r="O1204" i="19"/>
  <c r="N1204" i="19"/>
  <c r="O1203" i="19"/>
  <c r="N1203" i="19"/>
  <c r="O1256" i="19"/>
  <c r="N1256" i="19"/>
  <c r="O1255" i="19"/>
  <c r="N1255" i="19"/>
  <c r="O1254" i="19"/>
  <c r="N1254" i="19"/>
  <c r="O1253" i="19"/>
  <c r="N1253" i="19"/>
  <c r="O1252" i="19"/>
  <c r="N1252" i="19"/>
  <c r="O1251" i="19"/>
  <c r="N1251" i="19"/>
  <c r="O1250" i="19"/>
  <c r="N1250" i="19"/>
  <c r="O1249" i="19"/>
  <c r="N1249" i="19"/>
  <c r="O1248" i="19"/>
  <c r="N1248" i="19"/>
  <c r="O1178" i="19"/>
  <c r="N1178" i="19"/>
  <c r="O1180" i="19"/>
  <c r="N1180" i="19"/>
  <c r="O1179" i="19"/>
  <c r="N1179" i="19"/>
  <c r="O1129" i="19"/>
  <c r="N1129" i="19"/>
  <c r="O1131" i="19"/>
  <c r="N1131" i="19"/>
  <c r="O1130" i="19"/>
  <c r="N1130" i="19"/>
  <c r="O1058" i="19"/>
  <c r="N1058" i="19"/>
  <c r="O1061" i="19"/>
  <c r="N1061" i="19"/>
  <c r="O1060" i="19"/>
  <c r="N1060" i="19"/>
  <c r="O1059" i="19"/>
  <c r="N1059" i="19"/>
  <c r="O905" i="19"/>
  <c r="N905" i="19"/>
  <c r="O906" i="19"/>
  <c r="N906" i="19"/>
  <c r="O800" i="19"/>
  <c r="N800" i="19"/>
  <c r="O801" i="19"/>
  <c r="N801" i="19"/>
  <c r="O785" i="19"/>
  <c r="N785" i="19"/>
  <c r="O420" i="19"/>
  <c r="N420" i="19"/>
  <c r="O421" i="19"/>
  <c r="N421" i="19"/>
  <c r="O422" i="19"/>
  <c r="N422" i="19"/>
  <c r="O484" i="19"/>
  <c r="N484" i="19"/>
  <c r="O485" i="19"/>
  <c r="N485" i="19"/>
  <c r="O490" i="19"/>
  <c r="N490" i="19"/>
  <c r="O489" i="19"/>
  <c r="N489" i="19"/>
  <c r="O488" i="19"/>
  <c r="N488" i="19"/>
  <c r="O487" i="19"/>
  <c r="N487" i="19"/>
  <c r="O481" i="19"/>
  <c r="N481" i="19"/>
  <c r="O483" i="19"/>
  <c r="N483" i="19"/>
  <c r="O482" i="19"/>
  <c r="N482" i="19"/>
  <c r="O499" i="19"/>
  <c r="N499" i="19"/>
  <c r="O498" i="19"/>
  <c r="N498" i="19"/>
  <c r="O497" i="19"/>
  <c r="N497" i="19"/>
  <c r="O496" i="19"/>
  <c r="N496" i="19"/>
  <c r="O495" i="19"/>
  <c r="N495" i="19"/>
  <c r="O494" i="19"/>
  <c r="N494" i="19"/>
  <c r="O493" i="19"/>
  <c r="N493" i="19"/>
  <c r="O492" i="19"/>
  <c r="N492" i="19"/>
  <c r="O491" i="19"/>
  <c r="N491" i="19"/>
  <c r="O508" i="19"/>
  <c r="N508" i="19"/>
  <c r="O507" i="19"/>
  <c r="N507" i="19"/>
  <c r="O506" i="19"/>
  <c r="N506" i="19"/>
  <c r="O505" i="19"/>
  <c r="N505" i="19"/>
  <c r="O504" i="19"/>
  <c r="N504" i="19"/>
  <c r="O503" i="19"/>
  <c r="N503" i="19"/>
  <c r="O502" i="19"/>
  <c r="N502" i="19"/>
  <c r="O501" i="19"/>
  <c r="N501" i="19"/>
  <c r="O500" i="19"/>
  <c r="N500" i="19"/>
  <c r="O517" i="19"/>
  <c r="N517" i="19"/>
  <c r="O516" i="19"/>
  <c r="N516" i="19"/>
  <c r="O515" i="19"/>
  <c r="N515" i="19"/>
  <c r="O514" i="19"/>
  <c r="N514" i="19"/>
  <c r="O513" i="19"/>
  <c r="N513" i="19"/>
  <c r="O512" i="19"/>
  <c r="N512" i="19"/>
  <c r="O511" i="19"/>
  <c r="N511" i="19"/>
  <c r="O510" i="19"/>
  <c r="N510" i="19"/>
  <c r="O509" i="19"/>
  <c r="N509" i="19"/>
  <c r="O526" i="19"/>
  <c r="N526" i="19"/>
  <c r="O525" i="19"/>
  <c r="N525" i="19"/>
  <c r="O524" i="19"/>
  <c r="N524" i="19"/>
  <c r="O523" i="19"/>
  <c r="N523" i="19"/>
  <c r="O522" i="19"/>
  <c r="N522" i="19"/>
  <c r="O521" i="19"/>
  <c r="N521" i="19"/>
  <c r="O520" i="19"/>
  <c r="N520" i="19"/>
  <c r="O519" i="19"/>
  <c r="N519" i="19"/>
  <c r="O518" i="19"/>
  <c r="N518" i="19"/>
  <c r="O535" i="19"/>
  <c r="N535" i="19"/>
  <c r="O534" i="19"/>
  <c r="N534" i="19"/>
  <c r="O533" i="19"/>
  <c r="N533" i="19"/>
  <c r="O532" i="19"/>
  <c r="N532" i="19"/>
  <c r="O531" i="19"/>
  <c r="N531" i="19"/>
  <c r="O530" i="19"/>
  <c r="N530" i="19"/>
  <c r="O529" i="19"/>
  <c r="N529" i="19"/>
  <c r="O528" i="19"/>
  <c r="N528" i="19"/>
  <c r="O527" i="19"/>
  <c r="N527" i="19"/>
  <c r="O544" i="19"/>
  <c r="N544" i="19"/>
  <c r="O543" i="19"/>
  <c r="N543" i="19"/>
  <c r="O542" i="19"/>
  <c r="N542" i="19"/>
  <c r="O541" i="19"/>
  <c r="N541" i="19"/>
  <c r="O540" i="19"/>
  <c r="N540" i="19"/>
  <c r="O539" i="19"/>
  <c r="N539" i="19"/>
  <c r="O538" i="19"/>
  <c r="N538" i="19"/>
  <c r="O537" i="19"/>
  <c r="N537" i="19"/>
  <c r="O536" i="19"/>
  <c r="N536" i="19"/>
  <c r="O49" i="19"/>
  <c r="N49" i="19"/>
  <c r="O47" i="19"/>
  <c r="N47" i="19"/>
  <c r="O2" i="19"/>
  <c r="N2" i="19"/>
  <c r="O30" i="19"/>
  <c r="N30" i="19"/>
  <c r="O4" i="19"/>
  <c r="N4" i="19"/>
  <c r="O32" i="19"/>
  <c r="N32" i="19"/>
  <c r="O14" i="19"/>
  <c r="N14" i="19"/>
  <c r="O17" i="19"/>
  <c r="O8" i="19"/>
  <c r="N8" i="19"/>
  <c r="O11" i="19"/>
  <c r="N11" i="19"/>
  <c r="O1347" i="19"/>
  <c r="N1347" i="19"/>
  <c r="O1344" i="19"/>
  <c r="N1344" i="19"/>
  <c r="O1343" i="19"/>
  <c r="N1343" i="19"/>
  <c r="O1342" i="19"/>
  <c r="N1342" i="19"/>
  <c r="O1346" i="19"/>
  <c r="N1346" i="19"/>
  <c r="O1345" i="19"/>
  <c r="N1345" i="19"/>
  <c r="O1127" i="19"/>
  <c r="N1127" i="19"/>
  <c r="O1128" i="19"/>
  <c r="N1128" i="19"/>
  <c r="O1124" i="19"/>
  <c r="N1124" i="19"/>
  <c r="O1123" i="19"/>
  <c r="N1123" i="19"/>
  <c r="O1126" i="19"/>
  <c r="N1126" i="19"/>
  <c r="O1125" i="19"/>
  <c r="N1125" i="19"/>
  <c r="O1120" i="19"/>
  <c r="N1120" i="19"/>
  <c r="E1120" i="19"/>
  <c r="O1122" i="19"/>
  <c r="N1122" i="19"/>
  <c r="E1122" i="19"/>
  <c r="O1121" i="19"/>
  <c r="N1121" i="19"/>
  <c r="O1119" i="19"/>
  <c r="N1119" i="19"/>
  <c r="O1117" i="19"/>
  <c r="N1117" i="19"/>
  <c r="O1118" i="19"/>
  <c r="N1118" i="19"/>
  <c r="O473" i="19"/>
  <c r="N473" i="19"/>
  <c r="O474" i="19"/>
  <c r="N474" i="19"/>
  <c r="O468" i="19"/>
  <c r="N468" i="19"/>
  <c r="O472" i="19"/>
  <c r="N472" i="19"/>
  <c r="O471" i="19"/>
  <c r="N471" i="19"/>
  <c r="O466" i="19"/>
  <c r="N466" i="19"/>
  <c r="O467" i="19"/>
  <c r="N467" i="19"/>
  <c r="O465" i="19"/>
  <c r="N465" i="19"/>
  <c r="O464" i="19"/>
  <c r="N464" i="19"/>
  <c r="O460" i="19"/>
  <c r="N460" i="19"/>
  <c r="O459" i="19"/>
  <c r="N459" i="19"/>
  <c r="O458" i="19"/>
  <c r="N458" i="19"/>
  <c r="O457" i="19"/>
  <c r="N457" i="19"/>
  <c r="O463" i="19"/>
  <c r="N463" i="19"/>
  <c r="O462" i="19"/>
  <c r="N462" i="19"/>
  <c r="O1339" i="19"/>
  <c r="N1339" i="19"/>
  <c r="O1338" i="19"/>
  <c r="N1338" i="19"/>
  <c r="O1337" i="19"/>
  <c r="N1337" i="19"/>
  <c r="O369" i="19"/>
  <c r="N369" i="19"/>
  <c r="O371" i="19"/>
  <c r="N371" i="19"/>
  <c r="O374" i="19"/>
  <c r="N374" i="19"/>
  <c r="O373" i="19"/>
  <c r="N373" i="19"/>
  <c r="O1413" i="19"/>
  <c r="N1413" i="19"/>
  <c r="O1412" i="19"/>
  <c r="N1412" i="19"/>
  <c r="O1411" i="19"/>
  <c r="N1411" i="19"/>
  <c r="O1403" i="19"/>
  <c r="N1403" i="19"/>
  <c r="O1402" i="19"/>
  <c r="N1402" i="19"/>
  <c r="O1401" i="19"/>
  <c r="N1401" i="19"/>
  <c r="O1404" i="19"/>
  <c r="N1404" i="19"/>
  <c r="O1389" i="19"/>
  <c r="N1389" i="19"/>
  <c r="O1390" i="19"/>
  <c r="N1390" i="19"/>
  <c r="O1172" i="19"/>
  <c r="N1172" i="19"/>
  <c r="O1171" i="19"/>
  <c r="N1171" i="19"/>
  <c r="O1173" i="19"/>
  <c r="N1173" i="19"/>
  <c r="O1169" i="19"/>
  <c r="N1169" i="19"/>
  <c r="O1168" i="19"/>
  <c r="N1168" i="19"/>
  <c r="O1170" i="19"/>
  <c r="N1170" i="19"/>
  <c r="O1166" i="19"/>
  <c r="N1166" i="19"/>
  <c r="O1160" i="19"/>
  <c r="N1160" i="19"/>
  <c r="O1142" i="19"/>
  <c r="N1142" i="19"/>
  <c r="O1143" i="19"/>
  <c r="N1143" i="19"/>
  <c r="O1071" i="19"/>
  <c r="N1071" i="19"/>
  <c r="O1072" i="19"/>
  <c r="N1072" i="19"/>
  <c r="O1064" i="19"/>
  <c r="N1064" i="19"/>
  <c r="O1063" i="19"/>
  <c r="N1063" i="19"/>
  <c r="O1062" i="19"/>
  <c r="N1062" i="19"/>
  <c r="O1009" i="19"/>
  <c r="N1009" i="19"/>
  <c r="O1008" i="19"/>
  <c r="N1008" i="19"/>
  <c r="O1007" i="19"/>
  <c r="N1007" i="19"/>
  <c r="O1006" i="19"/>
  <c r="N1006" i="19"/>
  <c r="O1005" i="19"/>
  <c r="N1005" i="19"/>
  <c r="O1004" i="19"/>
  <c r="N1004" i="19"/>
  <c r="O1003" i="19"/>
  <c r="N1003" i="19"/>
  <c r="O1022" i="19"/>
  <c r="N1022" i="19"/>
  <c r="O1021" i="19"/>
  <c r="N1021" i="19"/>
  <c r="O1020" i="19"/>
  <c r="N1020" i="19"/>
  <c r="O1017" i="19"/>
  <c r="N1017" i="19"/>
  <c r="O1012" i="19"/>
  <c r="N1012" i="19"/>
  <c r="O1011" i="19"/>
  <c r="N1011" i="19"/>
  <c r="O1010" i="19"/>
  <c r="N1010" i="19"/>
  <c r="O1014" i="19"/>
  <c r="N1014" i="19"/>
  <c r="O1013" i="19"/>
  <c r="N1013" i="19"/>
  <c r="O1015" i="19"/>
  <c r="N1015" i="19"/>
  <c r="O1018" i="19"/>
  <c r="N1018" i="19"/>
  <c r="O1016" i="19"/>
  <c r="N1016" i="19"/>
  <c r="O1019" i="19"/>
  <c r="N1019" i="19"/>
  <c r="O993" i="19"/>
  <c r="N993" i="19"/>
  <c r="O992" i="19"/>
  <c r="N992" i="19"/>
  <c r="O991" i="19"/>
  <c r="N991" i="19"/>
  <c r="O990" i="19"/>
  <c r="N990" i="19"/>
  <c r="O989" i="19"/>
  <c r="N989" i="19"/>
  <c r="O988" i="19"/>
  <c r="N988" i="19"/>
  <c r="O987" i="19"/>
  <c r="N987" i="19"/>
  <c r="O1000" i="19"/>
  <c r="N1000" i="19"/>
  <c r="O999" i="19"/>
  <c r="N999" i="19"/>
  <c r="O998" i="19"/>
  <c r="N998" i="19"/>
  <c r="O997" i="19"/>
  <c r="N997" i="19"/>
  <c r="O996" i="19"/>
  <c r="N996" i="19"/>
  <c r="O995" i="19"/>
  <c r="N995" i="19"/>
  <c r="O994" i="19"/>
  <c r="N994" i="19"/>
  <c r="O1001" i="19"/>
  <c r="N1001" i="19"/>
  <c r="O1002" i="19"/>
  <c r="N1002" i="19"/>
  <c r="O908" i="19"/>
  <c r="N908" i="19"/>
  <c r="O907" i="19"/>
  <c r="N907" i="19"/>
  <c r="O921" i="19"/>
  <c r="N921" i="19"/>
  <c r="O920" i="19"/>
  <c r="N920" i="19"/>
  <c r="O919" i="19"/>
  <c r="N919" i="19"/>
  <c r="O918" i="19"/>
  <c r="N918" i="19"/>
  <c r="O917" i="19"/>
  <c r="N917" i="19"/>
  <c r="O916" i="19"/>
  <c r="N916" i="19"/>
  <c r="O915" i="19"/>
  <c r="N915" i="19"/>
  <c r="O929" i="19"/>
  <c r="N929" i="19"/>
  <c r="O928" i="19"/>
  <c r="N928" i="19"/>
  <c r="O927" i="19"/>
  <c r="N927" i="19"/>
  <c r="O926" i="19"/>
  <c r="N926" i="19"/>
  <c r="O925" i="19"/>
  <c r="N925" i="19"/>
  <c r="O924" i="19"/>
  <c r="N924" i="19"/>
  <c r="O923" i="19"/>
  <c r="N923" i="19"/>
  <c r="O937" i="19"/>
  <c r="N937" i="19"/>
  <c r="O936" i="19"/>
  <c r="N936" i="19"/>
  <c r="O935" i="19"/>
  <c r="N935" i="19"/>
  <c r="O934" i="19"/>
  <c r="N934" i="19"/>
  <c r="O933" i="19"/>
  <c r="N933" i="19"/>
  <c r="O932" i="19"/>
  <c r="N932" i="19"/>
  <c r="O931" i="19"/>
  <c r="N931" i="19"/>
  <c r="O945" i="19"/>
  <c r="N945" i="19"/>
  <c r="O944" i="19"/>
  <c r="N944" i="19"/>
  <c r="O943" i="19"/>
  <c r="N943" i="19"/>
  <c r="O942" i="19"/>
  <c r="N942" i="19"/>
  <c r="O941" i="19"/>
  <c r="N941" i="19"/>
  <c r="O940" i="19"/>
  <c r="N940" i="19"/>
  <c r="O939" i="19"/>
  <c r="N939" i="19"/>
  <c r="O953" i="19"/>
  <c r="N953" i="19"/>
  <c r="O952" i="19"/>
  <c r="N952" i="19"/>
  <c r="O951" i="19"/>
  <c r="N951" i="19"/>
  <c r="O950" i="19"/>
  <c r="N950" i="19"/>
  <c r="O949" i="19"/>
  <c r="N949" i="19"/>
  <c r="O948" i="19"/>
  <c r="N948" i="19"/>
  <c r="O947" i="19"/>
  <c r="N947" i="19"/>
  <c r="O961" i="19"/>
  <c r="N961" i="19"/>
  <c r="O960" i="19"/>
  <c r="N960" i="19"/>
  <c r="O959" i="19"/>
  <c r="N959" i="19"/>
  <c r="O958" i="19"/>
  <c r="N958" i="19"/>
  <c r="O957" i="19"/>
  <c r="N957" i="19"/>
  <c r="O956" i="19"/>
  <c r="N956" i="19"/>
  <c r="O955" i="19"/>
  <c r="N955" i="19"/>
  <c r="O969" i="19"/>
  <c r="N969" i="19"/>
  <c r="O968" i="19"/>
  <c r="N968" i="19"/>
  <c r="O967" i="19"/>
  <c r="N967" i="19"/>
  <c r="O966" i="19"/>
  <c r="N966" i="19"/>
  <c r="O965" i="19"/>
  <c r="N965" i="19"/>
  <c r="O964" i="19"/>
  <c r="N964" i="19"/>
  <c r="O963" i="19"/>
  <c r="N963" i="19"/>
  <c r="O977" i="19"/>
  <c r="N977" i="19"/>
  <c r="O976" i="19"/>
  <c r="N976" i="19"/>
  <c r="O975" i="19"/>
  <c r="N975" i="19"/>
  <c r="O974" i="19"/>
  <c r="N974" i="19"/>
  <c r="O973" i="19"/>
  <c r="N973" i="19"/>
  <c r="O972" i="19"/>
  <c r="N972" i="19"/>
  <c r="O971" i="19"/>
  <c r="N971" i="19"/>
  <c r="O985" i="19"/>
  <c r="N985" i="19"/>
  <c r="O984" i="19"/>
  <c r="N984" i="19"/>
  <c r="O983" i="19"/>
  <c r="N983" i="19"/>
  <c r="O982" i="19"/>
  <c r="N982" i="19"/>
  <c r="O981" i="19"/>
  <c r="N981" i="19"/>
  <c r="O980" i="19"/>
  <c r="N980" i="19"/>
  <c r="O979" i="19"/>
  <c r="N979" i="19"/>
  <c r="O856" i="19"/>
  <c r="N856" i="19"/>
  <c r="O858" i="19"/>
  <c r="N858" i="19"/>
  <c r="O857" i="19"/>
  <c r="N857" i="19"/>
  <c r="O866" i="19"/>
  <c r="N866" i="19"/>
  <c r="O865" i="19"/>
  <c r="N865" i="19"/>
  <c r="O864" i="19"/>
  <c r="N864" i="19"/>
  <c r="O863" i="19"/>
  <c r="N863" i="19"/>
  <c r="O862" i="19"/>
  <c r="N862" i="19"/>
  <c r="O861" i="19"/>
  <c r="N861" i="19"/>
  <c r="O860" i="19"/>
  <c r="N860" i="19"/>
  <c r="O859" i="19"/>
  <c r="N859" i="19"/>
  <c r="O851" i="19"/>
  <c r="N851" i="19"/>
  <c r="O853" i="19"/>
  <c r="N853" i="19"/>
  <c r="O852" i="19"/>
  <c r="N852" i="19"/>
  <c r="O855" i="19"/>
  <c r="N855" i="19"/>
  <c r="O854" i="19"/>
  <c r="N854" i="19"/>
  <c r="O840" i="19"/>
  <c r="N840" i="19"/>
  <c r="O841" i="19"/>
  <c r="N841" i="19"/>
  <c r="L850" i="19"/>
  <c r="K850" i="19"/>
  <c r="O848" i="19"/>
  <c r="N848" i="19"/>
  <c r="O847" i="19"/>
  <c r="N847" i="19"/>
  <c r="O846" i="19"/>
  <c r="N846" i="19"/>
  <c r="O845" i="19"/>
  <c r="N845" i="19"/>
  <c r="O844" i="19"/>
  <c r="N844" i="19"/>
  <c r="O843" i="19"/>
  <c r="N843" i="19"/>
  <c r="O842" i="19"/>
  <c r="N842" i="19"/>
  <c r="O849" i="19"/>
  <c r="N849" i="19"/>
  <c r="O825" i="19"/>
  <c r="N825" i="19"/>
  <c r="O824" i="19"/>
  <c r="N824" i="19"/>
  <c r="O826" i="19"/>
  <c r="N826" i="19"/>
  <c r="O822" i="19"/>
  <c r="N822" i="19"/>
  <c r="O821" i="19"/>
  <c r="N821" i="19"/>
  <c r="O823" i="19"/>
  <c r="N823" i="19"/>
  <c r="O819" i="19"/>
  <c r="N819" i="19"/>
  <c r="O820" i="19"/>
  <c r="N820" i="19"/>
  <c r="O816" i="19"/>
  <c r="N816" i="19"/>
  <c r="O817" i="19"/>
  <c r="N817" i="19"/>
  <c r="O818" i="19"/>
  <c r="N818" i="19"/>
  <c r="O814" i="19"/>
  <c r="N814" i="19"/>
  <c r="O813" i="19"/>
  <c r="N813" i="19"/>
  <c r="O812" i="19"/>
  <c r="N812" i="19"/>
  <c r="O811" i="19"/>
  <c r="N811" i="19"/>
  <c r="O810" i="19"/>
  <c r="N810" i="19"/>
  <c r="O809" i="19"/>
  <c r="N809" i="19"/>
  <c r="O815" i="19"/>
  <c r="N815" i="19"/>
  <c r="O808" i="19"/>
  <c r="N808" i="19"/>
  <c r="O807" i="19"/>
  <c r="N807" i="19"/>
  <c r="O802" i="19"/>
  <c r="N802" i="19"/>
  <c r="O804" i="19"/>
  <c r="N804" i="19"/>
  <c r="O803" i="19"/>
  <c r="N803" i="19"/>
  <c r="O806" i="19"/>
  <c r="N806" i="19"/>
  <c r="O805" i="19"/>
  <c r="N805" i="19"/>
  <c r="K789" i="19"/>
  <c r="O789" i="19" s="1"/>
  <c r="O792" i="19"/>
  <c r="N792" i="19"/>
  <c r="O793" i="19"/>
  <c r="N793" i="19"/>
  <c r="O787" i="19"/>
  <c r="N787" i="19"/>
  <c r="O786" i="19"/>
  <c r="N786" i="19"/>
  <c r="O781" i="19"/>
  <c r="N781" i="19"/>
  <c r="O779" i="19"/>
  <c r="N779" i="19"/>
  <c r="O780" i="19"/>
  <c r="N780" i="19"/>
  <c r="O778" i="19"/>
  <c r="N778" i="19"/>
  <c r="O775" i="19"/>
  <c r="N775" i="19"/>
  <c r="O776" i="19"/>
  <c r="N776" i="19"/>
  <c r="O777" i="19"/>
  <c r="N777" i="19"/>
  <c r="O773" i="19"/>
  <c r="N773" i="19"/>
  <c r="O771" i="19"/>
  <c r="N771" i="19"/>
  <c r="O772" i="19"/>
  <c r="N772" i="19"/>
  <c r="O721" i="19"/>
  <c r="N721" i="19"/>
  <c r="O722" i="19"/>
  <c r="N722" i="19"/>
  <c r="O580" i="19"/>
  <c r="N580" i="19"/>
  <c r="O579" i="19"/>
  <c r="N579" i="19"/>
  <c r="O578" i="19"/>
  <c r="N578" i="19"/>
  <c r="O577" i="19"/>
  <c r="N577" i="19"/>
  <c r="O576" i="19"/>
  <c r="N576" i="19"/>
  <c r="O575" i="19"/>
  <c r="N575" i="19"/>
  <c r="O574" i="19"/>
  <c r="N574" i="19"/>
  <c r="O573" i="19"/>
  <c r="N573" i="19"/>
  <c r="O572" i="19"/>
  <c r="N572" i="19"/>
  <c r="O571" i="19"/>
  <c r="N571" i="19"/>
  <c r="O570" i="19"/>
  <c r="N570" i="19"/>
  <c r="O569" i="19"/>
  <c r="N569" i="19"/>
  <c r="O568" i="19"/>
  <c r="N568" i="19"/>
  <c r="O567" i="19"/>
  <c r="N567" i="19"/>
  <c r="O594" i="19"/>
  <c r="N594" i="19"/>
  <c r="O593" i="19"/>
  <c r="N593" i="19"/>
  <c r="O592" i="19"/>
  <c r="N592" i="19"/>
  <c r="O591" i="19"/>
  <c r="N591" i="19"/>
  <c r="O590" i="19"/>
  <c r="N590" i="19"/>
  <c r="O589" i="19"/>
  <c r="N589" i="19"/>
  <c r="O588" i="19"/>
  <c r="N588" i="19"/>
  <c r="O587" i="19"/>
  <c r="N587" i="19"/>
  <c r="O586" i="19"/>
  <c r="N586" i="19"/>
  <c r="O585" i="19"/>
  <c r="N585" i="19"/>
  <c r="O584" i="19"/>
  <c r="N584" i="19"/>
  <c r="O583" i="19"/>
  <c r="N583" i="19"/>
  <c r="O582" i="19"/>
  <c r="N582" i="19"/>
  <c r="O581" i="19"/>
  <c r="N581" i="19"/>
  <c r="O608" i="19"/>
  <c r="N608" i="19"/>
  <c r="O607" i="19"/>
  <c r="N607" i="19"/>
  <c r="O606" i="19"/>
  <c r="N606" i="19"/>
  <c r="O605" i="19"/>
  <c r="N605" i="19"/>
  <c r="O604" i="19"/>
  <c r="N604" i="19"/>
  <c r="O603" i="19"/>
  <c r="N603" i="19"/>
  <c r="O602" i="19"/>
  <c r="N602" i="19"/>
  <c r="O601" i="19"/>
  <c r="N601" i="19"/>
  <c r="O600" i="19"/>
  <c r="N600" i="19"/>
  <c r="O599" i="19"/>
  <c r="N599" i="19"/>
  <c r="O598" i="19"/>
  <c r="N598" i="19"/>
  <c r="O597" i="19"/>
  <c r="N597" i="19"/>
  <c r="O596" i="19"/>
  <c r="N596" i="19"/>
  <c r="O595" i="19"/>
  <c r="N595" i="19"/>
  <c r="O622" i="19"/>
  <c r="N622" i="19"/>
  <c r="O621" i="19"/>
  <c r="N621" i="19"/>
  <c r="O620" i="19"/>
  <c r="N620" i="19"/>
  <c r="O619" i="19"/>
  <c r="N619" i="19"/>
  <c r="O618" i="19"/>
  <c r="N618" i="19"/>
  <c r="O617" i="19"/>
  <c r="N617" i="19"/>
  <c r="O616" i="19"/>
  <c r="N616" i="19"/>
  <c r="O615" i="19"/>
  <c r="N615" i="19"/>
  <c r="O614" i="19"/>
  <c r="N614" i="19"/>
  <c r="O613" i="19"/>
  <c r="N613" i="19"/>
  <c r="O612" i="19"/>
  <c r="N612" i="19"/>
  <c r="O611" i="19"/>
  <c r="N611" i="19"/>
  <c r="O610" i="19"/>
  <c r="N610" i="19"/>
  <c r="O609" i="19"/>
  <c r="N609" i="19"/>
  <c r="O636" i="19"/>
  <c r="N636" i="19"/>
  <c r="O635" i="19"/>
  <c r="N635" i="19"/>
  <c r="O634" i="19"/>
  <c r="N634" i="19"/>
  <c r="O633" i="19"/>
  <c r="N633" i="19"/>
  <c r="O632" i="19"/>
  <c r="N632" i="19"/>
  <c r="O631" i="19"/>
  <c r="N631" i="19"/>
  <c r="O630" i="19"/>
  <c r="N630" i="19"/>
  <c r="O629" i="19"/>
  <c r="N629" i="19"/>
  <c r="O628" i="19"/>
  <c r="N628" i="19"/>
  <c r="O627" i="19"/>
  <c r="N627" i="19"/>
  <c r="O626" i="19"/>
  <c r="N626" i="19"/>
  <c r="O625" i="19"/>
  <c r="N625" i="19"/>
  <c r="O624" i="19"/>
  <c r="N624" i="19"/>
  <c r="O623" i="19"/>
  <c r="N623" i="19"/>
  <c r="O650" i="19"/>
  <c r="N650" i="19"/>
  <c r="O649" i="19"/>
  <c r="N649" i="19"/>
  <c r="O648" i="19"/>
  <c r="N648" i="19"/>
  <c r="O647" i="19"/>
  <c r="N647" i="19"/>
  <c r="O646" i="19"/>
  <c r="N646" i="19"/>
  <c r="O645" i="19"/>
  <c r="N645" i="19"/>
  <c r="O644" i="19"/>
  <c r="N644" i="19"/>
  <c r="O643" i="19"/>
  <c r="N643" i="19"/>
  <c r="O642" i="19"/>
  <c r="N642" i="19"/>
  <c r="O641" i="19"/>
  <c r="N641" i="19"/>
  <c r="O640" i="19"/>
  <c r="N640" i="19"/>
  <c r="O639" i="19"/>
  <c r="N639" i="19"/>
  <c r="O638" i="19"/>
  <c r="N638" i="19"/>
  <c r="O637" i="19"/>
  <c r="N637" i="19"/>
  <c r="O664" i="19"/>
  <c r="N664" i="19"/>
  <c r="O663" i="19"/>
  <c r="N663" i="19"/>
  <c r="O662" i="19"/>
  <c r="N662" i="19"/>
  <c r="O661" i="19"/>
  <c r="N661" i="19"/>
  <c r="O660" i="19"/>
  <c r="N660" i="19"/>
  <c r="O659" i="19"/>
  <c r="N659" i="19"/>
  <c r="O658" i="19"/>
  <c r="N658" i="19"/>
  <c r="O657" i="19"/>
  <c r="N657" i="19"/>
  <c r="O656" i="19"/>
  <c r="N656" i="19"/>
  <c r="O655" i="19"/>
  <c r="N655" i="19"/>
  <c r="O654" i="19"/>
  <c r="N654" i="19"/>
  <c r="O653" i="19"/>
  <c r="N653" i="19"/>
  <c r="O652" i="19"/>
  <c r="N652" i="19"/>
  <c r="O651" i="19"/>
  <c r="N651" i="19"/>
  <c r="O678" i="19"/>
  <c r="N678" i="19"/>
  <c r="O677" i="19"/>
  <c r="N677" i="19"/>
  <c r="O676" i="19"/>
  <c r="N676" i="19"/>
  <c r="O675" i="19"/>
  <c r="N675" i="19"/>
  <c r="O674" i="19"/>
  <c r="N674" i="19"/>
  <c r="O673" i="19"/>
  <c r="N673" i="19"/>
  <c r="O672" i="19"/>
  <c r="N672" i="19"/>
  <c r="O671" i="19"/>
  <c r="N671" i="19"/>
  <c r="O670" i="19"/>
  <c r="N670" i="19"/>
  <c r="O669" i="19"/>
  <c r="N669" i="19"/>
  <c r="O668" i="19"/>
  <c r="N668" i="19"/>
  <c r="O667" i="19"/>
  <c r="N667" i="19"/>
  <c r="O666" i="19"/>
  <c r="N666" i="19"/>
  <c r="O665" i="19"/>
  <c r="N665" i="19"/>
  <c r="O692" i="19"/>
  <c r="N692" i="19"/>
  <c r="O691" i="19"/>
  <c r="N691" i="19"/>
  <c r="O690" i="19"/>
  <c r="N690" i="19"/>
  <c r="O689" i="19"/>
  <c r="N689" i="19"/>
  <c r="O688" i="19"/>
  <c r="N688" i="19"/>
  <c r="O687" i="19"/>
  <c r="N687" i="19"/>
  <c r="O686" i="19"/>
  <c r="N686" i="19"/>
  <c r="O685" i="19"/>
  <c r="N685" i="19"/>
  <c r="O684" i="19"/>
  <c r="N684" i="19"/>
  <c r="O683" i="19"/>
  <c r="N683" i="19"/>
  <c r="O682" i="19"/>
  <c r="N682" i="19"/>
  <c r="O681" i="19"/>
  <c r="N681" i="19"/>
  <c r="O680" i="19"/>
  <c r="N680" i="19"/>
  <c r="O679" i="19"/>
  <c r="N679" i="19"/>
  <c r="O706" i="19"/>
  <c r="N706" i="19"/>
  <c r="O705" i="19"/>
  <c r="N705" i="19"/>
  <c r="O704" i="19"/>
  <c r="N704" i="19"/>
  <c r="O703" i="19"/>
  <c r="N703" i="19"/>
  <c r="O702" i="19"/>
  <c r="N702" i="19"/>
  <c r="O701" i="19"/>
  <c r="N701" i="19"/>
  <c r="O700" i="19"/>
  <c r="N700" i="19"/>
  <c r="O699" i="19"/>
  <c r="N699" i="19"/>
  <c r="O698" i="19"/>
  <c r="N698" i="19"/>
  <c r="O697" i="19"/>
  <c r="N697" i="19"/>
  <c r="O696" i="19"/>
  <c r="N696" i="19"/>
  <c r="O695" i="19"/>
  <c r="N695" i="19"/>
  <c r="O694" i="19"/>
  <c r="N694" i="19"/>
  <c r="O693" i="19"/>
  <c r="N693" i="19"/>
  <c r="O720" i="19"/>
  <c r="N720" i="19"/>
  <c r="O719" i="19"/>
  <c r="N719" i="19"/>
  <c r="O718" i="19"/>
  <c r="N718" i="19"/>
  <c r="O717" i="19"/>
  <c r="N717" i="19"/>
  <c r="O716" i="19"/>
  <c r="N716" i="19"/>
  <c r="O715" i="19"/>
  <c r="N715" i="19"/>
  <c r="O714" i="19"/>
  <c r="N714" i="19"/>
  <c r="O713" i="19"/>
  <c r="N713" i="19"/>
  <c r="O712" i="19"/>
  <c r="N712" i="19"/>
  <c r="O711" i="19"/>
  <c r="N711" i="19"/>
  <c r="O710" i="19"/>
  <c r="N710" i="19"/>
  <c r="O709" i="19"/>
  <c r="N709" i="19"/>
  <c r="O708" i="19"/>
  <c r="N708" i="19"/>
  <c r="O707" i="19"/>
  <c r="N707" i="19"/>
  <c r="O558" i="19"/>
  <c r="N558" i="19"/>
  <c r="O559" i="19"/>
  <c r="N559" i="19"/>
  <c r="O560" i="19"/>
  <c r="N560" i="19"/>
  <c r="O556" i="19"/>
  <c r="N556" i="19"/>
  <c r="O557" i="19"/>
  <c r="N557" i="19"/>
  <c r="O551" i="19"/>
  <c r="N551" i="19"/>
  <c r="O555" i="19"/>
  <c r="N555" i="19"/>
  <c r="O554" i="19"/>
  <c r="N554" i="19"/>
  <c r="O553" i="19"/>
  <c r="N553" i="19"/>
  <c r="O552" i="19"/>
  <c r="N552" i="19"/>
  <c r="O550" i="19"/>
  <c r="N550" i="19"/>
  <c r="O548" i="19"/>
  <c r="N548" i="19"/>
  <c r="O437" i="19"/>
  <c r="N437" i="19"/>
  <c r="O438" i="19"/>
  <c r="N438" i="19"/>
  <c r="O435" i="19"/>
  <c r="N435" i="19"/>
  <c r="O436" i="19"/>
  <c r="N436" i="19"/>
  <c r="O428" i="19"/>
  <c r="N428" i="19"/>
  <c r="O429" i="19"/>
  <c r="N429" i="19"/>
  <c r="O430" i="19"/>
  <c r="N430" i="19"/>
  <c r="O423" i="19"/>
  <c r="N423" i="19"/>
  <c r="O418" i="19"/>
  <c r="N418" i="19"/>
  <c r="O419" i="19"/>
  <c r="N419" i="19"/>
  <c r="O416" i="19"/>
  <c r="N416" i="19"/>
  <c r="O417" i="19"/>
  <c r="N417" i="19"/>
  <c r="O405" i="19"/>
  <c r="N405" i="19"/>
  <c r="O406" i="19"/>
  <c r="N406" i="19"/>
  <c r="L407" i="19"/>
  <c r="K407" i="19"/>
  <c r="O414" i="19"/>
  <c r="N414" i="19"/>
  <c r="O413" i="19"/>
  <c r="N413" i="19"/>
  <c r="O412" i="19"/>
  <c r="N412" i="19"/>
  <c r="O411" i="19"/>
  <c r="N411" i="19"/>
  <c r="O410" i="19"/>
  <c r="N410" i="19"/>
  <c r="O409" i="19"/>
  <c r="N409" i="19"/>
  <c r="O408" i="19"/>
  <c r="N408" i="19"/>
  <c r="O415" i="19"/>
  <c r="N415" i="19"/>
  <c r="O388" i="19"/>
  <c r="N388" i="19"/>
  <c r="O389" i="19"/>
  <c r="N389" i="19"/>
  <c r="L390" i="19"/>
  <c r="K390" i="19"/>
  <c r="O397" i="19"/>
  <c r="N397" i="19"/>
  <c r="O396" i="19"/>
  <c r="N396" i="19"/>
  <c r="O395" i="19"/>
  <c r="N395" i="19"/>
  <c r="O394" i="19"/>
  <c r="N394" i="19"/>
  <c r="O393" i="19"/>
  <c r="N393" i="19"/>
  <c r="O392" i="19"/>
  <c r="N392" i="19"/>
  <c r="O391" i="19"/>
  <c r="N391" i="19"/>
  <c r="O404" i="19"/>
  <c r="N404" i="19"/>
  <c r="O403" i="19"/>
  <c r="N403" i="19"/>
  <c r="O402" i="19"/>
  <c r="N402" i="19"/>
  <c r="O401" i="19"/>
  <c r="N401" i="19"/>
  <c r="O400" i="19"/>
  <c r="N400" i="19"/>
  <c r="O399" i="19"/>
  <c r="N399" i="19"/>
  <c r="O398" i="19"/>
  <c r="N398" i="19"/>
  <c r="O377" i="19"/>
  <c r="N377" i="19"/>
  <c r="O378" i="19"/>
  <c r="N378" i="19"/>
  <c r="L379" i="19"/>
  <c r="K379" i="19"/>
  <c r="O386" i="19"/>
  <c r="N386" i="19"/>
  <c r="O385" i="19"/>
  <c r="N385" i="19"/>
  <c r="O384" i="19"/>
  <c r="N384" i="19"/>
  <c r="O383" i="19"/>
  <c r="N383" i="19"/>
  <c r="O382" i="19"/>
  <c r="N382" i="19"/>
  <c r="O381" i="19"/>
  <c r="N381" i="19"/>
  <c r="O380" i="19"/>
  <c r="N380" i="19"/>
  <c r="O387" i="19"/>
  <c r="N387" i="19"/>
  <c r="O345" i="19"/>
  <c r="N345" i="19"/>
  <c r="O346" i="19"/>
  <c r="N346" i="19"/>
  <c r="O343" i="19"/>
  <c r="N343" i="19"/>
  <c r="O344" i="19"/>
  <c r="N344" i="19"/>
  <c r="O348" i="19"/>
  <c r="N348" i="19"/>
  <c r="O347" i="19"/>
  <c r="N347" i="19"/>
  <c r="O349" i="19"/>
  <c r="N349" i="19"/>
  <c r="O338" i="19"/>
  <c r="N338" i="19"/>
  <c r="O336" i="19"/>
  <c r="N336" i="19"/>
  <c r="O337" i="19"/>
  <c r="N337" i="19"/>
  <c r="O335" i="19"/>
  <c r="N335" i="19"/>
  <c r="O334" i="19"/>
  <c r="N334" i="19"/>
  <c r="O342" i="19"/>
  <c r="N342" i="19"/>
  <c r="O340" i="19"/>
  <c r="N340" i="19"/>
  <c r="O339" i="19"/>
  <c r="N339" i="19"/>
  <c r="O28" i="19"/>
  <c r="N28" i="19"/>
  <c r="O26" i="19"/>
  <c r="N26" i="19"/>
  <c r="O25" i="19"/>
  <c r="N25" i="19"/>
  <c r="O27" i="19"/>
  <c r="N27" i="19"/>
  <c r="O29" i="19"/>
  <c r="N29" i="19"/>
  <c r="O23" i="19"/>
  <c r="N23" i="19"/>
  <c r="O21" i="19"/>
  <c r="N21" i="19"/>
  <c r="O20" i="19"/>
  <c r="N20" i="19"/>
  <c r="O22" i="19"/>
  <c r="N22" i="19"/>
  <c r="O24" i="19"/>
  <c r="N24" i="19"/>
  <c r="O111" i="19" l="1"/>
  <c r="O59" i="19"/>
  <c r="N85" i="19"/>
  <c r="O10" i="19"/>
  <c r="O9" i="19"/>
  <c r="O7" i="19"/>
  <c r="O45" i="19"/>
  <c r="O87" i="19"/>
  <c r="N95" i="19"/>
  <c r="N73" i="19"/>
  <c r="O43" i="19"/>
  <c r="O100" i="19"/>
  <c r="O74" i="19"/>
  <c r="O78" i="19"/>
  <c r="N45" i="19"/>
  <c r="O98" i="19"/>
  <c r="N106" i="19"/>
  <c r="N91" i="19"/>
  <c r="N69" i="19"/>
  <c r="N72" i="19"/>
  <c r="O110" i="19"/>
  <c r="O115" i="19"/>
  <c r="O63" i="19"/>
  <c r="N66" i="19"/>
  <c r="N84" i="19"/>
  <c r="O69" i="19"/>
  <c r="N6" i="19"/>
  <c r="N98" i="19"/>
  <c r="O106" i="19"/>
  <c r="O72" i="19"/>
  <c r="N110" i="19"/>
  <c r="N113" i="19"/>
  <c r="O66" i="19"/>
  <c r="O84" i="19"/>
  <c r="O15" i="19"/>
  <c r="O6" i="19"/>
  <c r="N35" i="19"/>
  <c r="N103" i="19"/>
  <c r="N92" i="19"/>
  <c r="O107" i="19"/>
  <c r="N115" i="19"/>
  <c r="N116" i="19"/>
  <c r="N63" i="19"/>
  <c r="O81" i="19"/>
  <c r="O35" i="19"/>
  <c r="N3" i="19"/>
  <c r="N13" i="19"/>
  <c r="O3" i="19"/>
  <c r="N46" i="19"/>
  <c r="N105" i="19"/>
  <c r="N90" i="19"/>
  <c r="N68" i="19"/>
  <c r="O114" i="19"/>
  <c r="O62" i="19"/>
  <c r="N65" i="19"/>
  <c r="O13" i="19"/>
  <c r="O46" i="19"/>
  <c r="N99" i="19"/>
  <c r="N87" i="19"/>
  <c r="O90" i="19"/>
  <c r="O68" i="19"/>
  <c r="O73" i="19"/>
  <c r="N111" i="19"/>
  <c r="N114" i="19"/>
  <c r="N62" i="19"/>
  <c r="N77" i="19"/>
  <c r="O85" i="19"/>
  <c r="N9" i="19"/>
  <c r="O390" i="19"/>
  <c r="O379" i="19"/>
  <c r="O407" i="19"/>
  <c r="N407" i="19"/>
  <c r="N850" i="19"/>
  <c r="O33" i="19"/>
  <c r="O34" i="19"/>
  <c r="O82" i="19"/>
  <c r="N10" i="19"/>
  <c r="N97" i="19"/>
  <c r="N71" i="19"/>
  <c r="N7" i="19"/>
  <c r="N31" i="19"/>
  <c r="N43" i="19"/>
  <c r="O83" i="19"/>
  <c r="N60" i="19"/>
  <c r="N12" i="19"/>
  <c r="O99" i="19"/>
  <c r="O88" i="19"/>
  <c r="O91" i="19"/>
  <c r="N70" i="19"/>
  <c r="O112" i="19"/>
  <c r="O64" i="19"/>
  <c r="O77" i="19"/>
  <c r="O86" i="19"/>
  <c r="N15" i="19"/>
  <c r="N19" i="19"/>
  <c r="N5" i="19"/>
  <c r="O31" i="19"/>
  <c r="O108" i="19"/>
  <c r="N16" i="19"/>
  <c r="O19" i="19"/>
  <c r="N44" i="19"/>
  <c r="N67" i="19"/>
  <c r="O96" i="19"/>
  <c r="N101" i="19"/>
  <c r="O102" i="19"/>
  <c r="N93" i="19"/>
  <c r="O94" i="19"/>
  <c r="N75" i="19"/>
  <c r="O76" i="19"/>
  <c r="N57" i="19"/>
  <c r="N58" i="19"/>
  <c r="N79" i="19"/>
  <c r="N80" i="19"/>
  <c r="N109" i="19"/>
  <c r="N61" i="19"/>
  <c r="O104" i="19"/>
  <c r="N48" i="19"/>
  <c r="N89" i="19"/>
  <c r="N102" i="19"/>
  <c r="O103" i="19"/>
  <c r="N94" i="19"/>
  <c r="O95" i="19"/>
  <c r="N76" i="19"/>
  <c r="N107" i="19"/>
  <c r="O58" i="19"/>
  <c r="N59" i="19"/>
  <c r="O80" i="19"/>
  <c r="N81" i="19"/>
  <c r="O18" i="19"/>
  <c r="N100" i="19"/>
  <c r="N96" i="19"/>
  <c r="N86" i="19"/>
  <c r="O850" i="19"/>
  <c r="O92" i="19"/>
  <c r="O70" i="19"/>
  <c r="O116" i="19"/>
  <c r="O60" i="19"/>
  <c r="O5" i="19"/>
  <c r="N18" i="19"/>
  <c r="N33" i="19"/>
  <c r="N83" i="19"/>
  <c r="O16" i="19"/>
  <c r="O44" i="19"/>
  <c r="N789" i="19"/>
  <c r="O97" i="19"/>
  <c r="O101" i="19"/>
  <c r="O105" i="19"/>
  <c r="O89" i="19"/>
  <c r="O93" i="19"/>
  <c r="O67" i="19"/>
  <c r="O71" i="19"/>
  <c r="O75" i="19"/>
  <c r="O109" i="19"/>
  <c r="O113" i="19"/>
  <c r="O57" i="19"/>
  <c r="O61" i="19"/>
  <c r="O65" i="19"/>
  <c r="O79" i="19"/>
  <c r="O12" i="19"/>
  <c r="N104" i="19"/>
  <c r="N74" i="19"/>
  <c r="N108" i="19"/>
  <c r="N88" i="19"/>
  <c r="N112" i="19"/>
  <c r="N379" i="19"/>
  <c r="N390" i="19"/>
  <c r="N64" i="19"/>
  <c r="N78" i="19"/>
  <c r="N82" i="19"/>
  <c r="O48" i="19"/>
  <c r="N34" i="19"/>
  <c r="F62" i="26" l="1"/>
  <c r="K163" i="38" l="1"/>
  <c r="K168" i="38"/>
  <c r="K166" i="38"/>
  <c r="L190" i="38"/>
  <c r="L188" i="38"/>
  <c r="L184" i="38"/>
  <c r="C214" i="38"/>
  <c r="B157" i="38"/>
  <c r="B156" i="38"/>
  <c r="C224" i="38"/>
  <c r="M186" i="38" l="1"/>
  <c r="M184" i="38"/>
  <c r="N52" i="38" l="1"/>
  <c r="O52" i="38"/>
  <c r="N53" i="38"/>
  <c r="O53" i="38"/>
  <c r="N54" i="38"/>
  <c r="O54" i="38"/>
  <c r="N55" i="38"/>
  <c r="O55" i="38"/>
  <c r="N56" i="38"/>
  <c r="O56" i="38"/>
  <c r="N57" i="38"/>
  <c r="O57" i="38"/>
  <c r="N58" i="38"/>
  <c r="O58" i="38"/>
  <c r="N59" i="38"/>
  <c r="O59" i="38"/>
  <c r="N60" i="38"/>
  <c r="O60" i="38"/>
  <c r="N61" i="38"/>
  <c r="O61" i="38"/>
  <c r="N62" i="38"/>
  <c r="O62" i="38"/>
  <c r="N63" i="38"/>
  <c r="O63" i="38"/>
  <c r="N64" i="38"/>
  <c r="O64" i="38"/>
  <c r="N65" i="38"/>
  <c r="O65" i="38"/>
  <c r="N66" i="38"/>
  <c r="O66" i="38"/>
  <c r="N67" i="38"/>
  <c r="O67" i="38"/>
  <c r="N68" i="38"/>
  <c r="O68" i="38"/>
  <c r="N69" i="38"/>
  <c r="O69" i="38"/>
  <c r="N70" i="38"/>
  <c r="O70" i="38"/>
  <c r="N71" i="38"/>
  <c r="O71" i="38"/>
  <c r="N72" i="38"/>
  <c r="O72" i="38"/>
  <c r="N73" i="38"/>
  <c r="O73" i="38"/>
  <c r="N74" i="38"/>
  <c r="O74" i="38"/>
  <c r="N75" i="38"/>
  <c r="O75" i="38"/>
  <c r="N76" i="38"/>
  <c r="O76" i="38"/>
  <c r="N77" i="38"/>
  <c r="O77" i="38"/>
  <c r="N78" i="38"/>
  <c r="O78" i="38"/>
  <c r="N79" i="38"/>
  <c r="O79" i="38"/>
  <c r="N80" i="38"/>
  <c r="O80" i="38"/>
  <c r="N81" i="38"/>
  <c r="O81" i="38"/>
  <c r="N82" i="38"/>
  <c r="O82" i="38"/>
  <c r="C82" i="47" l="1"/>
  <c r="C81" i="47"/>
  <c r="C80" i="47"/>
  <c r="C79" i="47"/>
  <c r="C78" i="47"/>
  <c r="C77" i="47"/>
  <c r="C76" i="47"/>
  <c r="C75" i="47"/>
  <c r="C74" i="47"/>
  <c r="C73" i="47"/>
  <c r="C72" i="47"/>
  <c r="C71" i="47"/>
  <c r="C70" i="47"/>
  <c r="C69" i="47"/>
  <c r="C68" i="47"/>
  <c r="C67" i="47"/>
  <c r="C66" i="47"/>
  <c r="C65" i="47"/>
  <c r="C64" i="47"/>
  <c r="C63" i="47"/>
  <c r="C62" i="47"/>
  <c r="C61" i="47"/>
  <c r="C60" i="47"/>
  <c r="C59" i="47"/>
  <c r="C58" i="47"/>
  <c r="C57" i="47"/>
  <c r="C56" i="47"/>
  <c r="C55" i="47"/>
  <c r="C54" i="47"/>
  <c r="C53" i="47"/>
  <c r="C52" i="47"/>
  <c r="C51" i="47"/>
  <c r="C50" i="47"/>
  <c r="C49" i="47"/>
  <c r="C48" i="47"/>
  <c r="C47" i="47"/>
  <c r="C46" i="47"/>
  <c r="C45" i="47"/>
  <c r="C44" i="47"/>
  <c r="C43" i="47"/>
  <c r="C42" i="47"/>
  <c r="C39" i="47"/>
  <c r="C38" i="47"/>
  <c r="C37" i="47"/>
  <c r="C36" i="47"/>
  <c r="C35" i="47"/>
  <c r="C34" i="47"/>
  <c r="C33" i="47"/>
  <c r="C32" i="47"/>
  <c r="C31" i="47"/>
  <c r="C30" i="47"/>
  <c r="C29" i="47"/>
  <c r="C28" i="47"/>
  <c r="C27" i="47"/>
  <c r="C26" i="47"/>
  <c r="C25" i="47"/>
  <c r="C24" i="47"/>
  <c r="C23" i="47"/>
  <c r="C22" i="47"/>
  <c r="C21" i="47"/>
  <c r="C20" i="47"/>
  <c r="C19" i="47"/>
  <c r="C18" i="47"/>
  <c r="C17" i="47"/>
  <c r="C16" i="47"/>
  <c r="C15" i="47"/>
  <c r="C14" i="47"/>
  <c r="C13" i="47"/>
  <c r="C12" i="47"/>
  <c r="C11" i="47"/>
  <c r="C10" i="47"/>
  <c r="C9" i="47"/>
  <c r="C8" i="47"/>
  <c r="C7" i="47"/>
  <c r="C6" i="47"/>
  <c r="C5" i="47"/>
  <c r="C4" i="47"/>
  <c r="C3" i="47"/>
  <c r="C2" i="47"/>
  <c r="E249" i="38"/>
  <c r="N174" i="38"/>
  <c r="O174" i="38" s="1"/>
  <c r="N172" i="38"/>
  <c r="N170" i="38"/>
  <c r="O170" i="38" s="1"/>
  <c r="N168" i="38"/>
  <c r="N166" i="38"/>
  <c r="X166" i="38"/>
  <c r="U174" i="38"/>
  <c r="L176" i="38"/>
  <c r="Q176" i="38"/>
  <c r="S176" i="38"/>
  <c r="W176" i="38"/>
  <c r="O111" i="38"/>
  <c r="O112" i="38"/>
  <c r="O113" i="38"/>
  <c r="O114" i="38"/>
  <c r="O115" i="38"/>
  <c r="O116" i="38"/>
  <c r="O117" i="38"/>
  <c r="O118" i="38"/>
  <c r="O119" i="38"/>
  <c r="O120" i="38"/>
  <c r="O121" i="38"/>
  <c r="O122" i="38"/>
  <c r="O123" i="38"/>
  <c r="O124" i="38"/>
  <c r="O125" i="38"/>
  <c r="O126" i="38"/>
  <c r="O127" i="38"/>
  <c r="O128" i="38"/>
  <c r="O129" i="38"/>
  <c r="O130" i="38"/>
  <c r="O131" i="38"/>
  <c r="O132" i="38"/>
  <c r="O133" i="38"/>
  <c r="O134" i="38"/>
  <c r="O135" i="38"/>
  <c r="N112" i="38"/>
  <c r="N113" i="38"/>
  <c r="N114" i="38"/>
  <c r="N115" i="38"/>
  <c r="N116" i="38"/>
  <c r="N117" i="38"/>
  <c r="N118" i="38"/>
  <c r="N119" i="38"/>
  <c r="N120" i="38"/>
  <c r="N121" i="38"/>
  <c r="N122" i="38"/>
  <c r="N123" i="38"/>
  <c r="N124" i="38"/>
  <c r="N125" i="38"/>
  <c r="N126" i="38"/>
  <c r="N127" i="38"/>
  <c r="N128" i="38"/>
  <c r="N129" i="38"/>
  <c r="N130" i="38"/>
  <c r="N131" i="38"/>
  <c r="N132" i="38"/>
  <c r="N133" i="38"/>
  <c r="N134" i="38"/>
  <c r="N135" i="38"/>
  <c r="D135" i="38"/>
  <c r="D2" i="19" s="1"/>
  <c r="D134" i="38"/>
  <c r="D3" i="19" s="1"/>
  <c r="C135" i="38"/>
  <c r="C2" i="19" s="1"/>
  <c r="C134" i="38"/>
  <c r="C3" i="19" s="1"/>
  <c r="B135" i="38"/>
  <c r="B2" i="19" s="1"/>
  <c r="B134" i="38"/>
  <c r="B3" i="19" s="1"/>
  <c r="E132" i="38"/>
  <c r="E31" i="19" s="1"/>
  <c r="E237" i="38"/>
  <c r="D133" i="38"/>
  <c r="D30" i="19" s="1"/>
  <c r="D132" i="38"/>
  <c r="D31" i="19" s="1"/>
  <c r="C133" i="38"/>
  <c r="C30" i="19" s="1"/>
  <c r="C132" i="38"/>
  <c r="C31" i="19" s="1"/>
  <c r="B133" i="38"/>
  <c r="B30" i="19" s="1"/>
  <c r="B132" i="38"/>
  <c r="B31" i="19" s="1"/>
  <c r="G125" i="38"/>
  <c r="G32" i="19" s="1"/>
  <c r="G126" i="38"/>
  <c r="G33" i="19" s="1"/>
  <c r="G127" i="38"/>
  <c r="G35" i="19" s="1"/>
  <c r="G124" i="38"/>
  <c r="G34" i="19" s="1"/>
  <c r="G129" i="38"/>
  <c r="G4" i="19" s="1"/>
  <c r="G130" i="38"/>
  <c r="G5" i="19" s="1"/>
  <c r="G131" i="38"/>
  <c r="G7" i="19" s="1"/>
  <c r="G128" i="38"/>
  <c r="G6" i="19" s="1"/>
  <c r="F129" i="38"/>
  <c r="F4" i="19" s="1"/>
  <c r="F130" i="38"/>
  <c r="F5" i="19" s="1"/>
  <c r="F131" i="38"/>
  <c r="F7" i="19" s="1"/>
  <c r="E131" i="38"/>
  <c r="E7" i="19" s="1"/>
  <c r="E130" i="38"/>
  <c r="E5" i="19" s="1"/>
  <c r="E129" i="38"/>
  <c r="E4" i="19" s="1"/>
  <c r="E127" i="38"/>
  <c r="E35" i="19" s="1"/>
  <c r="E126" i="38"/>
  <c r="E33" i="19" s="1"/>
  <c r="E125" i="38"/>
  <c r="E32" i="19" s="1"/>
  <c r="D129" i="38"/>
  <c r="D4" i="19" s="1"/>
  <c r="D130" i="38"/>
  <c r="D5" i="19" s="1"/>
  <c r="D131" i="38"/>
  <c r="D7" i="19" s="1"/>
  <c r="D128" i="38"/>
  <c r="D6" i="19" s="1"/>
  <c r="C129" i="38"/>
  <c r="C4" i="19" s="1"/>
  <c r="C130" i="38"/>
  <c r="C5" i="19" s="1"/>
  <c r="C131" i="38"/>
  <c r="C7" i="19" s="1"/>
  <c r="C128" i="38"/>
  <c r="C6" i="19" s="1"/>
  <c r="B129" i="38"/>
  <c r="B4" i="19" s="1"/>
  <c r="B130" i="38"/>
  <c r="B5" i="19" s="1"/>
  <c r="B131" i="38"/>
  <c r="B7" i="19" s="1"/>
  <c r="B128" i="38"/>
  <c r="B6" i="19" s="1"/>
  <c r="D125" i="38"/>
  <c r="D32" i="19" s="1"/>
  <c r="D126" i="38"/>
  <c r="D33" i="19" s="1"/>
  <c r="D127" i="38"/>
  <c r="D35" i="19" s="1"/>
  <c r="D124" i="38"/>
  <c r="D34" i="19" s="1"/>
  <c r="C125" i="38"/>
  <c r="C32" i="19" s="1"/>
  <c r="C126" i="38"/>
  <c r="C33" i="19" s="1"/>
  <c r="C127" i="38"/>
  <c r="C35" i="19" s="1"/>
  <c r="C124" i="38"/>
  <c r="C34" i="19" s="1"/>
  <c r="B125" i="38"/>
  <c r="B32" i="19" s="1"/>
  <c r="B126" i="38"/>
  <c r="B33" i="19" s="1"/>
  <c r="B127" i="38"/>
  <c r="B35" i="19" s="1"/>
  <c r="B124" i="38"/>
  <c r="B34" i="19" s="1"/>
  <c r="G120" i="38"/>
  <c r="G16" i="19" s="1"/>
  <c r="G121" i="38"/>
  <c r="G14" i="19" s="1"/>
  <c r="G122" i="38"/>
  <c r="G15" i="19" s="1"/>
  <c r="G123" i="38"/>
  <c r="G19" i="19" s="1"/>
  <c r="F119" i="38"/>
  <c r="F17" i="19" s="1"/>
  <c r="F120" i="38"/>
  <c r="F16" i="19" s="1"/>
  <c r="F121" i="38"/>
  <c r="F14" i="19" s="1"/>
  <c r="F122" i="38"/>
  <c r="F15" i="19" s="1"/>
  <c r="F123" i="38"/>
  <c r="F19" i="19" s="1"/>
  <c r="F118" i="38"/>
  <c r="F18" i="19" s="1"/>
  <c r="E119" i="38"/>
  <c r="E17" i="19" s="1"/>
  <c r="E120" i="38"/>
  <c r="E16" i="19" s="1"/>
  <c r="E121" i="38"/>
  <c r="E14" i="19" s="1"/>
  <c r="E122" i="38"/>
  <c r="E15" i="19" s="1"/>
  <c r="E123" i="38"/>
  <c r="E19" i="19" s="1"/>
  <c r="E118" i="38"/>
  <c r="E18" i="19" s="1"/>
  <c r="D119" i="38"/>
  <c r="D17" i="19" s="1"/>
  <c r="D120" i="38"/>
  <c r="D16" i="19" s="1"/>
  <c r="D121" i="38"/>
  <c r="D14" i="19" s="1"/>
  <c r="D122" i="38"/>
  <c r="D15" i="19" s="1"/>
  <c r="D123" i="38"/>
  <c r="D19" i="19" s="1"/>
  <c r="D118" i="38"/>
  <c r="D18" i="19" s="1"/>
  <c r="C119" i="38"/>
  <c r="C17" i="19" s="1"/>
  <c r="C120" i="38"/>
  <c r="C16" i="19" s="1"/>
  <c r="C121" i="38"/>
  <c r="C14" i="19" s="1"/>
  <c r="C122" i="38"/>
  <c r="C15" i="19" s="1"/>
  <c r="C123" i="38"/>
  <c r="C19" i="19" s="1"/>
  <c r="C118" i="38"/>
  <c r="C18" i="19" s="1"/>
  <c r="B119" i="38"/>
  <c r="B17" i="19" s="1"/>
  <c r="B120" i="38"/>
  <c r="B16" i="19" s="1"/>
  <c r="B121" i="38"/>
  <c r="B14" i="19" s="1"/>
  <c r="B122" i="38"/>
  <c r="B15" i="19" s="1"/>
  <c r="B123" i="38"/>
  <c r="B19" i="19" s="1"/>
  <c r="B118" i="38"/>
  <c r="B18" i="19" s="1"/>
  <c r="A119" i="38"/>
  <c r="A17" i="19" s="1"/>
  <c r="A120" i="38"/>
  <c r="A16" i="19" s="1"/>
  <c r="A121" i="38"/>
  <c r="A14" i="19" s="1"/>
  <c r="A122" i="38"/>
  <c r="A15" i="19" s="1"/>
  <c r="A123" i="38"/>
  <c r="A19" i="19" s="1"/>
  <c r="A118" i="38"/>
  <c r="A18" i="19" s="1"/>
  <c r="G114" i="38"/>
  <c r="G10" i="19" s="1"/>
  <c r="G115" i="38"/>
  <c r="G8" i="19" s="1"/>
  <c r="G116" i="38"/>
  <c r="G9" i="19" s="1"/>
  <c r="G117" i="38"/>
  <c r="G13" i="19" s="1"/>
  <c r="F113" i="38"/>
  <c r="F11" i="19" s="1"/>
  <c r="F114" i="38"/>
  <c r="F10" i="19" s="1"/>
  <c r="F115" i="38"/>
  <c r="F8" i="19" s="1"/>
  <c r="F116" i="38"/>
  <c r="F9" i="19" s="1"/>
  <c r="F117" i="38"/>
  <c r="F13" i="19" s="1"/>
  <c r="F112" i="38"/>
  <c r="F12" i="19" s="1"/>
  <c r="E114" i="38"/>
  <c r="E10" i="19" s="1"/>
  <c r="E115" i="38"/>
  <c r="E8" i="19" s="1"/>
  <c r="E116" i="38"/>
  <c r="E9" i="19" s="1"/>
  <c r="E117" i="38"/>
  <c r="E13" i="19" s="1"/>
  <c r="E112" i="38"/>
  <c r="E12" i="19" s="1"/>
  <c r="D113" i="38"/>
  <c r="D11" i="19" s="1"/>
  <c r="D114" i="38"/>
  <c r="D10" i="19" s="1"/>
  <c r="D115" i="38"/>
  <c r="D8" i="19" s="1"/>
  <c r="D116" i="38"/>
  <c r="D9" i="19" s="1"/>
  <c r="D117" i="38"/>
  <c r="D13" i="19" s="1"/>
  <c r="D112" i="38"/>
  <c r="D12" i="19" s="1"/>
  <c r="C113" i="38"/>
  <c r="C11" i="19" s="1"/>
  <c r="C114" i="38"/>
  <c r="C10" i="19" s="1"/>
  <c r="C115" i="38"/>
  <c r="C8" i="19" s="1"/>
  <c r="C116" i="38"/>
  <c r="C9" i="19" s="1"/>
  <c r="C117" i="38"/>
  <c r="C13" i="19" s="1"/>
  <c r="C112" i="38"/>
  <c r="C12" i="19" s="1"/>
  <c r="B117" i="38"/>
  <c r="B13" i="19" s="1"/>
  <c r="B116" i="38"/>
  <c r="B9" i="19" s="1"/>
  <c r="B113" i="38"/>
  <c r="B11" i="19" s="1"/>
  <c r="B114" i="38"/>
  <c r="B10" i="19" s="1"/>
  <c r="B115" i="38"/>
  <c r="B8" i="19" s="1"/>
  <c r="B112" i="38"/>
  <c r="B12" i="19" s="1"/>
  <c r="C3" i="30" l="1" a="1"/>
  <c r="C3" i="30" s="1"/>
  <c r="L3" i="30" a="1"/>
  <c r="H2" i="33" a="1"/>
  <c r="H2" i="33" s="1"/>
  <c r="J3" i="30" a="1"/>
  <c r="G2" i="33" a="1"/>
  <c r="G2" i="33" s="1"/>
  <c r="O168" i="38"/>
  <c r="X167" i="38"/>
  <c r="T167" i="38"/>
  <c r="T170" i="38" s="1"/>
  <c r="O172" i="38"/>
  <c r="T166" i="38" s="1"/>
  <c r="R167" i="38"/>
  <c r="R170" i="38" s="1"/>
  <c r="O166" i="38"/>
  <c r="R166" i="38" s="1"/>
  <c r="X171" i="38"/>
  <c r="X173" i="38"/>
  <c r="X174" i="38"/>
  <c r="T172" i="38"/>
  <c r="R173" i="38"/>
  <c r="X172" i="38"/>
  <c r="X170" i="38"/>
  <c r="T171" i="38"/>
  <c r="U171" i="38"/>
  <c r="E134" i="38"/>
  <c r="E3" i="19" s="1"/>
  <c r="N111" i="38"/>
  <c r="O110" i="38"/>
  <c r="N110" i="38"/>
  <c r="O109" i="38"/>
  <c r="N109" i="38"/>
  <c r="O108" i="38"/>
  <c r="N108" i="38"/>
  <c r="O107" i="38"/>
  <c r="N107" i="38"/>
  <c r="O106" i="38"/>
  <c r="N106" i="38"/>
  <c r="O105" i="38"/>
  <c r="N105" i="38"/>
  <c r="O104" i="38"/>
  <c r="N104" i="38"/>
  <c r="O103" i="38"/>
  <c r="N103" i="38"/>
  <c r="O102" i="38"/>
  <c r="N102" i="38"/>
  <c r="O101" i="38"/>
  <c r="N101" i="38"/>
  <c r="O100" i="38"/>
  <c r="N100" i="38"/>
  <c r="O99" i="38"/>
  <c r="N99" i="38"/>
  <c r="O98" i="38"/>
  <c r="N98" i="38"/>
  <c r="O97" i="38"/>
  <c r="N97" i="38"/>
  <c r="O96" i="38"/>
  <c r="N96" i="38"/>
  <c r="O95" i="38"/>
  <c r="N95" i="38"/>
  <c r="O94" i="38"/>
  <c r="N94" i="38"/>
  <c r="O93" i="38"/>
  <c r="N93" i="38"/>
  <c r="O92" i="38"/>
  <c r="N92" i="38"/>
  <c r="O91" i="38"/>
  <c r="N91" i="38"/>
  <c r="O90" i="38"/>
  <c r="N90" i="38"/>
  <c r="O89" i="38"/>
  <c r="N89" i="38"/>
  <c r="O88" i="38"/>
  <c r="N88" i="38"/>
  <c r="O87" i="38"/>
  <c r="N87" i="38"/>
  <c r="O86" i="38"/>
  <c r="N86" i="38"/>
  <c r="O85" i="38"/>
  <c r="N85" i="38"/>
  <c r="O84" i="38"/>
  <c r="N84" i="38"/>
  <c r="O83" i="38"/>
  <c r="N83" i="38"/>
  <c r="W194" i="38"/>
  <c r="K569" i="18"/>
  <c r="K8" i="18"/>
  <c r="K2" i="18"/>
  <c r="K3" i="18"/>
  <c r="K10" i="18"/>
  <c r="K6" i="18"/>
  <c r="K9" i="18"/>
  <c r="K4" i="18"/>
  <c r="K5" i="18"/>
  <c r="K11" i="18"/>
  <c r="K7" i="18"/>
  <c r="E2" i="18"/>
  <c r="E3" i="18"/>
  <c r="E10" i="18"/>
  <c r="E6" i="18"/>
  <c r="E9" i="18"/>
  <c r="E4" i="18"/>
  <c r="E5" i="18"/>
  <c r="E11" i="18"/>
  <c r="E7" i="18"/>
  <c r="E8" i="18"/>
  <c r="C2" i="18"/>
  <c r="C3" i="18"/>
  <c r="C10" i="18"/>
  <c r="C6" i="18"/>
  <c r="C9" i="18"/>
  <c r="C4" i="18"/>
  <c r="C5" i="18"/>
  <c r="C11" i="18"/>
  <c r="C7" i="18"/>
  <c r="C8" i="18"/>
  <c r="B2" i="18"/>
  <c r="B3" i="18"/>
  <c r="B10" i="18"/>
  <c r="B6" i="18"/>
  <c r="B9" i="18"/>
  <c r="B4" i="18"/>
  <c r="B5" i="18"/>
  <c r="B11" i="18"/>
  <c r="B7" i="18"/>
  <c r="B8" i="18"/>
  <c r="A2" i="18"/>
  <c r="A3" i="18"/>
  <c r="A10" i="18"/>
  <c r="A6" i="18"/>
  <c r="A9" i="18"/>
  <c r="A4" i="18"/>
  <c r="A5" i="18"/>
  <c r="A11" i="18"/>
  <c r="A7" i="18"/>
  <c r="A8" i="18"/>
  <c r="L20" i="20"/>
  <c r="L21" i="20"/>
  <c r="L5" i="20"/>
  <c r="L13" i="20"/>
  <c r="L7" i="20"/>
  <c r="L16" i="20"/>
  <c r="L17" i="20"/>
  <c r="L3" i="20"/>
  <c r="L11" i="20"/>
  <c r="L8" i="20"/>
  <c r="L18" i="20"/>
  <c r="L19" i="20"/>
  <c r="L4" i="20"/>
  <c r="L12" i="20"/>
  <c r="L6" i="20"/>
  <c r="L14" i="20"/>
  <c r="L15" i="20"/>
  <c r="L2" i="20"/>
  <c r="L10" i="20"/>
  <c r="L9" i="20"/>
  <c r="K9" i="20"/>
  <c r="K20" i="20"/>
  <c r="K21" i="20"/>
  <c r="K5" i="20"/>
  <c r="K13" i="20"/>
  <c r="K7" i="20"/>
  <c r="K16" i="20"/>
  <c r="K17" i="20"/>
  <c r="K3" i="20"/>
  <c r="K11" i="20"/>
  <c r="K8" i="20"/>
  <c r="K18" i="20"/>
  <c r="K19" i="20"/>
  <c r="K4" i="20"/>
  <c r="K12" i="20"/>
  <c r="K6" i="20"/>
  <c r="K14" i="20"/>
  <c r="K15" i="20"/>
  <c r="K2" i="20"/>
  <c r="K10" i="20"/>
  <c r="E20" i="20"/>
  <c r="E21" i="20"/>
  <c r="E5" i="20"/>
  <c r="E13" i="20"/>
  <c r="E7" i="20"/>
  <c r="E16" i="20"/>
  <c r="E17" i="20"/>
  <c r="E3" i="20"/>
  <c r="E11" i="20"/>
  <c r="E8" i="20"/>
  <c r="E18" i="20"/>
  <c r="E19" i="20"/>
  <c r="E4" i="20"/>
  <c r="E12" i="20"/>
  <c r="E6" i="20"/>
  <c r="E14" i="20"/>
  <c r="E15" i="20"/>
  <c r="E2" i="20"/>
  <c r="E10" i="20"/>
  <c r="E9" i="20"/>
  <c r="A20" i="20"/>
  <c r="A21" i="20"/>
  <c r="A5" i="20"/>
  <c r="A13" i="20"/>
  <c r="A7" i="20"/>
  <c r="A16" i="20"/>
  <c r="A17" i="20"/>
  <c r="A3" i="20"/>
  <c r="A11" i="20"/>
  <c r="A8" i="20"/>
  <c r="A18" i="20"/>
  <c r="A19" i="20"/>
  <c r="A4" i="20"/>
  <c r="A12" i="20"/>
  <c r="A6" i="20"/>
  <c r="A14" i="20"/>
  <c r="A15" i="20"/>
  <c r="A2" i="20"/>
  <c r="A10" i="20"/>
  <c r="A9" i="20"/>
  <c r="B20" i="20"/>
  <c r="B21" i="20"/>
  <c r="B5" i="20"/>
  <c r="B13" i="20"/>
  <c r="B7" i="20"/>
  <c r="B16" i="20"/>
  <c r="B17" i="20"/>
  <c r="B3" i="20"/>
  <c r="B11" i="20"/>
  <c r="B8" i="20"/>
  <c r="B18" i="20"/>
  <c r="B19" i="20"/>
  <c r="B4" i="20"/>
  <c r="B12" i="20"/>
  <c r="B6" i="20"/>
  <c r="B14" i="20"/>
  <c r="B15" i="20"/>
  <c r="B2" i="20"/>
  <c r="B10" i="20"/>
  <c r="B9" i="20"/>
  <c r="C6" i="20"/>
  <c r="C14" i="20"/>
  <c r="C15" i="20"/>
  <c r="C2" i="20"/>
  <c r="C10" i="20"/>
  <c r="C8" i="20"/>
  <c r="C18" i="20"/>
  <c r="C19" i="20"/>
  <c r="C4" i="20"/>
  <c r="C12" i="20"/>
  <c r="C7" i="20"/>
  <c r="C16" i="20"/>
  <c r="C17" i="20"/>
  <c r="C3" i="20"/>
  <c r="C11" i="20"/>
  <c r="C20" i="20"/>
  <c r="C21" i="20"/>
  <c r="C5" i="20"/>
  <c r="C13" i="20"/>
  <c r="C9" i="20"/>
  <c r="E40" i="22"/>
  <c r="L44" i="38"/>
  <c r="L45" i="38"/>
  <c r="L46" i="38"/>
  <c r="L47" i="38"/>
  <c r="L48" i="38"/>
  <c r="L34" i="38"/>
  <c r="L35" i="38"/>
  <c r="L36" i="38"/>
  <c r="L37" i="38"/>
  <c r="L38" i="38"/>
  <c r="L29" i="38"/>
  <c r="L30" i="38"/>
  <c r="L31" i="38"/>
  <c r="L32" i="38"/>
  <c r="L33" i="38"/>
  <c r="L39" i="38"/>
  <c r="L40" i="38"/>
  <c r="L41" i="38"/>
  <c r="L42" i="38"/>
  <c r="L43" i="38"/>
  <c r="B229" i="38"/>
  <c r="B230" i="38"/>
  <c r="B231" i="38"/>
  <c r="B228" i="38"/>
  <c r="A229" i="38"/>
  <c r="A230" i="38"/>
  <c r="A231" i="38"/>
  <c r="A228" i="38"/>
  <c r="L14" i="38"/>
  <c r="L15" i="38"/>
  <c r="L16" i="38"/>
  <c r="L17" i="38"/>
  <c r="L18" i="38"/>
  <c r="L13" i="38"/>
  <c r="L12" i="38"/>
  <c r="L11" i="38"/>
  <c r="L10" i="38"/>
  <c r="L9" i="38"/>
  <c r="C222" i="38"/>
  <c r="C223" i="38"/>
  <c r="C221" i="38"/>
  <c r="J3" i="30" l="1"/>
  <c r="M140" i="30" s="1"/>
  <c r="L3" i="30"/>
  <c r="R172" i="38"/>
  <c r="R174" i="38"/>
  <c r="T173" i="38"/>
  <c r="T176" i="38" s="1"/>
  <c r="K182" i="38"/>
  <c r="T174" i="38"/>
  <c r="R171" i="38"/>
  <c r="N190" i="38"/>
  <c r="O190" i="38" s="1"/>
  <c r="T184" i="38" s="1"/>
  <c r="N186" i="38"/>
  <c r="O186" i="38" s="1"/>
  <c r="X184" i="38" s="1"/>
  <c r="X185" i="38" s="1"/>
  <c r="X192" i="38" s="1"/>
  <c r="N184" i="38"/>
  <c r="X176" i="38"/>
  <c r="R176" i="38"/>
  <c r="U172" i="38"/>
  <c r="B232" i="38"/>
  <c r="A558" i="18"/>
  <c r="B558" i="18"/>
  <c r="C558" i="18"/>
  <c r="A563" i="18"/>
  <c r="B563" i="18"/>
  <c r="C563" i="18"/>
  <c r="A548" i="18"/>
  <c r="B548" i="18"/>
  <c r="C548" i="18"/>
  <c r="A533" i="18"/>
  <c r="B533" i="18"/>
  <c r="C533" i="18"/>
  <c r="A538" i="18"/>
  <c r="B538" i="18"/>
  <c r="C538" i="18"/>
  <c r="A557" i="18"/>
  <c r="B557" i="18"/>
  <c r="C557" i="18"/>
  <c r="A543" i="18"/>
  <c r="B543" i="18"/>
  <c r="C543" i="18"/>
  <c r="A567" i="18"/>
  <c r="B567" i="18"/>
  <c r="C567" i="18"/>
  <c r="A556" i="18"/>
  <c r="B556" i="18"/>
  <c r="C556" i="18"/>
  <c r="A562" i="18"/>
  <c r="B562" i="18"/>
  <c r="C562" i="18"/>
  <c r="A547" i="18"/>
  <c r="B547" i="18"/>
  <c r="C547" i="18"/>
  <c r="A532" i="18"/>
  <c r="B532" i="18"/>
  <c r="C532" i="18"/>
  <c r="A537" i="18"/>
  <c r="B537" i="18"/>
  <c r="C537" i="18"/>
  <c r="A555" i="18"/>
  <c r="B555" i="18"/>
  <c r="C555" i="18"/>
  <c r="A542" i="18"/>
  <c r="B542" i="18"/>
  <c r="C542" i="18"/>
  <c r="A566" i="18"/>
  <c r="B566" i="18"/>
  <c r="C566" i="18"/>
  <c r="A554" i="18"/>
  <c r="B554" i="18"/>
  <c r="C554" i="18"/>
  <c r="A561" i="18"/>
  <c r="B561" i="18"/>
  <c r="C561" i="18"/>
  <c r="A546" i="18"/>
  <c r="B546" i="18"/>
  <c r="C546" i="18"/>
  <c r="A531" i="18"/>
  <c r="B531" i="18"/>
  <c r="C531" i="18"/>
  <c r="A536" i="18"/>
  <c r="B536" i="18"/>
  <c r="C536" i="18"/>
  <c r="A553" i="18"/>
  <c r="B553" i="18"/>
  <c r="C553" i="18"/>
  <c r="A541" i="18"/>
  <c r="B541" i="18"/>
  <c r="C541" i="18"/>
  <c r="A565" i="18"/>
  <c r="B565" i="18"/>
  <c r="C565" i="18"/>
  <c r="A552" i="18"/>
  <c r="B552" i="18"/>
  <c r="C552" i="18"/>
  <c r="A560" i="18"/>
  <c r="B560" i="18"/>
  <c r="C560" i="18"/>
  <c r="A545" i="18"/>
  <c r="B545" i="18"/>
  <c r="C545" i="18"/>
  <c r="A530" i="18"/>
  <c r="B530" i="18"/>
  <c r="C530" i="18"/>
  <c r="A535" i="18"/>
  <c r="B535" i="18"/>
  <c r="C535" i="18"/>
  <c r="A551" i="18"/>
  <c r="B551" i="18"/>
  <c r="C551" i="18"/>
  <c r="A540" i="18"/>
  <c r="B540" i="18"/>
  <c r="C540" i="18"/>
  <c r="A564" i="18"/>
  <c r="B564" i="18"/>
  <c r="C564" i="18"/>
  <c r="A550" i="18"/>
  <c r="B550" i="18"/>
  <c r="C550" i="18"/>
  <c r="A559" i="18"/>
  <c r="B559" i="18"/>
  <c r="C559" i="18"/>
  <c r="A544" i="18"/>
  <c r="B544" i="18"/>
  <c r="C544" i="18"/>
  <c r="A529" i="18"/>
  <c r="B529" i="18"/>
  <c r="C529" i="18"/>
  <c r="A534" i="18"/>
  <c r="B534" i="18"/>
  <c r="C534" i="18"/>
  <c r="A549" i="18"/>
  <c r="B549" i="18"/>
  <c r="C549" i="18"/>
  <c r="A539" i="18"/>
  <c r="B539" i="18"/>
  <c r="C539" i="18"/>
  <c r="C568" i="18"/>
  <c r="B568" i="18"/>
  <c r="A568" i="18"/>
  <c r="K539" i="18"/>
  <c r="K549" i="18"/>
  <c r="K534" i="18"/>
  <c r="K529" i="18"/>
  <c r="K544" i="18"/>
  <c r="K559" i="18"/>
  <c r="K550" i="18"/>
  <c r="K564" i="18"/>
  <c r="K540" i="18"/>
  <c r="K551" i="18"/>
  <c r="K535" i="18"/>
  <c r="K530" i="18"/>
  <c r="K545" i="18"/>
  <c r="K560" i="18"/>
  <c r="K552" i="18"/>
  <c r="K565" i="18"/>
  <c r="K541" i="18"/>
  <c r="K553" i="18"/>
  <c r="K536" i="18"/>
  <c r="K531" i="18"/>
  <c r="K546" i="18"/>
  <c r="K561" i="18"/>
  <c r="K554" i="18"/>
  <c r="K566" i="18"/>
  <c r="K542" i="18"/>
  <c r="K555" i="18"/>
  <c r="K537" i="18"/>
  <c r="K532" i="18"/>
  <c r="K547" i="18"/>
  <c r="K562" i="18"/>
  <c r="K556" i="18"/>
  <c r="K567" i="18"/>
  <c r="K543" i="18"/>
  <c r="K557" i="18"/>
  <c r="K538" i="18"/>
  <c r="K533" i="18"/>
  <c r="K548" i="18"/>
  <c r="K563" i="18"/>
  <c r="K558" i="18"/>
  <c r="K568" i="18"/>
  <c r="C754" i="20"/>
  <c r="C748" i="20"/>
  <c r="C763" i="20"/>
  <c r="C778" i="20"/>
  <c r="C773" i="20"/>
  <c r="C755" i="20"/>
  <c r="C768" i="20"/>
  <c r="C744" i="20"/>
  <c r="C756" i="20"/>
  <c r="C749" i="20"/>
  <c r="C764" i="20"/>
  <c r="C779" i="20"/>
  <c r="C774" i="20"/>
  <c r="C758" i="20"/>
  <c r="C769" i="20"/>
  <c r="C745" i="20"/>
  <c r="C757" i="20"/>
  <c r="C750" i="20"/>
  <c r="C765" i="20"/>
  <c r="C780" i="20"/>
  <c r="C775" i="20"/>
  <c r="C759" i="20"/>
  <c r="C770" i="20"/>
  <c r="C746" i="20"/>
  <c r="C760" i="20"/>
  <c r="C751" i="20"/>
  <c r="C766" i="20"/>
  <c r="C781" i="20"/>
  <c r="C776" i="20"/>
  <c r="C761" i="20"/>
  <c r="C771" i="20"/>
  <c r="C743" i="20"/>
  <c r="B754" i="20"/>
  <c r="B748" i="20"/>
  <c r="B763" i="20"/>
  <c r="B778" i="20"/>
  <c r="B773" i="20"/>
  <c r="B755" i="20"/>
  <c r="B768" i="20"/>
  <c r="B744" i="20"/>
  <c r="B756" i="20"/>
  <c r="B749" i="20"/>
  <c r="B764" i="20"/>
  <c r="B779" i="20"/>
  <c r="B774" i="20"/>
  <c r="B758" i="20"/>
  <c r="B769" i="20"/>
  <c r="B745" i="20"/>
  <c r="B757" i="20"/>
  <c r="B750" i="20"/>
  <c r="B765" i="20"/>
  <c r="B780" i="20"/>
  <c r="B775" i="20"/>
  <c r="B759" i="20"/>
  <c r="B770" i="20"/>
  <c r="B746" i="20"/>
  <c r="B760" i="20"/>
  <c r="B751" i="20"/>
  <c r="B766" i="20"/>
  <c r="B781" i="20"/>
  <c r="B776" i="20"/>
  <c r="B761" i="20"/>
  <c r="B771" i="20"/>
  <c r="A754" i="20"/>
  <c r="A748" i="20"/>
  <c r="A763" i="20"/>
  <c r="A778" i="20"/>
  <c r="A773" i="20"/>
  <c r="A755" i="20"/>
  <c r="A768" i="20"/>
  <c r="A744" i="20"/>
  <c r="A756" i="20"/>
  <c r="A749" i="20"/>
  <c r="A764" i="20"/>
  <c r="A779" i="20"/>
  <c r="A774" i="20"/>
  <c r="A758" i="20"/>
  <c r="A769" i="20"/>
  <c r="A745" i="20"/>
  <c r="A757" i="20"/>
  <c r="A750" i="20"/>
  <c r="A765" i="20"/>
  <c r="A780" i="20"/>
  <c r="A775" i="20"/>
  <c r="A759" i="20"/>
  <c r="A770" i="20"/>
  <c r="A746" i="20"/>
  <c r="A760" i="20"/>
  <c r="A751" i="20"/>
  <c r="A766" i="20"/>
  <c r="A781" i="20"/>
  <c r="A776" i="20"/>
  <c r="A761" i="20"/>
  <c r="A771" i="20"/>
  <c r="A743" i="20"/>
  <c r="B743" i="20"/>
  <c r="K771" i="20"/>
  <c r="K761" i="20"/>
  <c r="K776" i="20"/>
  <c r="K781" i="20"/>
  <c r="K766" i="20"/>
  <c r="K751" i="20"/>
  <c r="K760" i="20"/>
  <c r="K746" i="20"/>
  <c r="K770" i="20"/>
  <c r="K759" i="20"/>
  <c r="K775" i="20"/>
  <c r="K780" i="20"/>
  <c r="K765" i="20"/>
  <c r="K750" i="20"/>
  <c r="K757" i="20"/>
  <c r="K745" i="20"/>
  <c r="K769" i="20"/>
  <c r="K758" i="20"/>
  <c r="K774" i="20"/>
  <c r="K779" i="20"/>
  <c r="K764" i="20"/>
  <c r="K749" i="20"/>
  <c r="K756" i="20"/>
  <c r="K744" i="20"/>
  <c r="K768" i="20"/>
  <c r="K755" i="20"/>
  <c r="K773" i="20"/>
  <c r="K778" i="20"/>
  <c r="K763" i="20"/>
  <c r="K748" i="20"/>
  <c r="K754" i="20"/>
  <c r="K743" i="20"/>
  <c r="AJ20" i="35"/>
  <c r="AJ19" i="35"/>
  <c r="AJ18" i="35"/>
  <c r="AJ17" i="35"/>
  <c r="Y17" i="35"/>
  <c r="AJ16" i="35"/>
  <c r="Y16" i="35"/>
  <c r="O95" i="44"/>
  <c r="O69" i="44"/>
  <c r="O70" i="44"/>
  <c r="O71" i="44"/>
  <c r="O67" i="44"/>
  <c r="O68" i="44"/>
  <c r="O66" i="44"/>
  <c r="H4" i="45"/>
  <c r="H5" i="45"/>
  <c r="H6" i="45"/>
  <c r="H7" i="45"/>
  <c r="H8" i="45"/>
  <c r="H9" i="45"/>
  <c r="H10" i="45"/>
  <c r="H11" i="45"/>
  <c r="H12" i="45"/>
  <c r="H3" i="45"/>
  <c r="G11" i="45"/>
  <c r="G12" i="45"/>
  <c r="G3" i="45"/>
  <c r="G4" i="45"/>
  <c r="G5" i="45"/>
  <c r="G6" i="45"/>
  <c r="G7" i="45"/>
  <c r="G8" i="45"/>
  <c r="G9" i="45"/>
  <c r="G10" i="45"/>
  <c r="L38" i="44"/>
  <c r="L39" i="44"/>
  <c r="L40" i="44"/>
  <c r="L41" i="44"/>
  <c r="L42" i="44"/>
  <c r="L43" i="44"/>
  <c r="L44" i="44"/>
  <c r="L37" i="44"/>
  <c r="L7" i="44"/>
  <c r="L8" i="44"/>
  <c r="L9" i="44"/>
  <c r="L10" i="44"/>
  <c r="L11" i="44"/>
  <c r="L12" i="44"/>
  <c r="L13" i="44"/>
  <c r="L6" i="44"/>
  <c r="O111" i="44"/>
  <c r="O110" i="44"/>
  <c r="O109" i="44"/>
  <c r="O108" i="44"/>
  <c r="F110" i="44"/>
  <c r="F111" i="44"/>
  <c r="O96" i="44"/>
  <c r="O97" i="44"/>
  <c r="O102" i="44"/>
  <c r="O103" i="44"/>
  <c r="O104" i="44"/>
  <c r="O74" i="44"/>
  <c r="O76" i="44"/>
  <c r="O77" i="44"/>
  <c r="O78" i="44"/>
  <c r="O80" i="44"/>
  <c r="O81" i="44"/>
  <c r="O83" i="44"/>
  <c r="O84" i="44"/>
  <c r="O85" i="44"/>
  <c r="O88" i="44"/>
  <c r="O89" i="44"/>
  <c r="O90" i="44"/>
  <c r="O91" i="44"/>
  <c r="O92" i="44"/>
  <c r="O93" i="44"/>
  <c r="O98" i="44"/>
  <c r="O99" i="44"/>
  <c r="O100" i="44"/>
  <c r="O105" i="44"/>
  <c r="O106" i="44"/>
  <c r="O107" i="44"/>
  <c r="K229" i="30" l="1"/>
  <c r="M274" i="30"/>
  <c r="M273" i="30"/>
  <c r="M272" i="30"/>
  <c r="K258" i="30"/>
  <c r="K231" i="30"/>
  <c r="K243" i="30"/>
  <c r="K266" i="30"/>
  <c r="K257" i="30"/>
  <c r="K261" i="30"/>
  <c r="K268" i="30"/>
  <c r="K259" i="30"/>
  <c r="K241" i="30"/>
  <c r="K232" i="30"/>
  <c r="K270" i="30"/>
  <c r="K234" i="30"/>
  <c r="K263" i="30"/>
  <c r="K265" i="30"/>
  <c r="K230" i="30"/>
  <c r="K264" i="30"/>
  <c r="K269" i="30"/>
  <c r="K260" i="30"/>
  <c r="K242" i="30"/>
  <c r="K267" i="30"/>
  <c r="K271" i="30"/>
  <c r="K262" i="30"/>
  <c r="M202" i="30"/>
  <c r="K227" i="30"/>
  <c r="K228" i="30"/>
  <c r="K129" i="30"/>
  <c r="K226" i="30"/>
  <c r="M166" i="30"/>
  <c r="M226" i="30"/>
  <c r="M121" i="30"/>
  <c r="M185" i="30"/>
  <c r="M16" i="30"/>
  <c r="M235" i="30"/>
  <c r="M90" i="30"/>
  <c r="M178" i="30"/>
  <c r="M120" i="30"/>
  <c r="M116" i="30"/>
  <c r="M46" i="30"/>
  <c r="M88" i="30"/>
  <c r="M61" i="30"/>
  <c r="M8" i="30"/>
  <c r="M106" i="30"/>
  <c r="M31" i="30"/>
  <c r="M91" i="30"/>
  <c r="M153" i="30"/>
  <c r="M40" i="30"/>
  <c r="M149" i="30"/>
  <c r="M41" i="30"/>
  <c r="M157" i="30"/>
  <c r="M9" i="30"/>
  <c r="M168" i="30"/>
  <c r="M122" i="30"/>
  <c r="M42" i="30"/>
  <c r="M161" i="30"/>
  <c r="M82" i="30"/>
  <c r="M181" i="30"/>
  <c r="M130" i="30"/>
  <c r="M208" i="30"/>
  <c r="M233" i="30"/>
  <c r="M129" i="30"/>
  <c r="M99" i="30"/>
  <c r="M85" i="30"/>
  <c r="M198" i="30"/>
  <c r="M117" i="30"/>
  <c r="M217" i="30"/>
  <c r="M65" i="30"/>
  <c r="M26" i="30"/>
  <c r="M112" i="30"/>
  <c r="M79" i="30"/>
  <c r="M45" i="30"/>
  <c r="M101" i="30"/>
  <c r="M163" i="30"/>
  <c r="M89" i="30"/>
  <c r="M12" i="30"/>
  <c r="M37" i="30"/>
  <c r="M132" i="30"/>
  <c r="M175" i="30"/>
  <c r="M111" i="30"/>
  <c r="M214" i="30"/>
  <c r="M152" i="30"/>
  <c r="M60" i="30"/>
  <c r="M147" i="30"/>
  <c r="M123" i="30"/>
  <c r="M39" i="30"/>
  <c r="M200" i="30"/>
  <c r="M228" i="30"/>
  <c r="M213" i="30"/>
  <c r="M215" i="30"/>
  <c r="M20" i="30"/>
  <c r="M209" i="30"/>
  <c r="M173" i="30"/>
  <c r="M18" i="30"/>
  <c r="M171" i="30"/>
  <c r="M6" i="30"/>
  <c r="M4" i="30"/>
  <c r="M84" i="30"/>
  <c r="M162" i="30"/>
  <c r="M225" i="30"/>
  <c r="M57" i="30"/>
  <c r="M73" i="30"/>
  <c r="M76" i="30"/>
  <c r="M34" i="30"/>
  <c r="M24" i="30"/>
  <c r="M10" i="30"/>
  <c r="M108" i="30"/>
  <c r="M87" i="30"/>
  <c r="M138" i="30"/>
  <c r="M22" i="30"/>
  <c r="M29" i="30"/>
  <c r="M145" i="30"/>
  <c r="M151" i="30"/>
  <c r="M227" i="30"/>
  <c r="M7" i="30"/>
  <c r="M104" i="30"/>
  <c r="M92" i="30"/>
  <c r="M30" i="30"/>
  <c r="M11" i="30"/>
  <c r="M44" i="30"/>
  <c r="M144" i="30"/>
  <c r="M103" i="30"/>
  <c r="M68" i="30"/>
  <c r="M86" i="30"/>
  <c r="M183" i="30"/>
  <c r="M75" i="30"/>
  <c r="M51" i="30"/>
  <c r="M93" i="30"/>
  <c r="M124" i="30"/>
  <c r="M136" i="30"/>
  <c r="M135" i="30"/>
  <c r="M176" i="30"/>
  <c r="M80" i="30"/>
  <c r="M223" i="30"/>
  <c r="M137" i="30"/>
  <c r="M191" i="30"/>
  <c r="M210" i="30"/>
  <c r="M38" i="30"/>
  <c r="M143" i="30"/>
  <c r="M192" i="30"/>
  <c r="M62" i="30"/>
  <c r="M27" i="30"/>
  <c r="M219" i="30"/>
  <c r="M54" i="30"/>
  <c r="M201" i="30"/>
  <c r="M231" i="30"/>
  <c r="M234" i="30"/>
  <c r="M77" i="30"/>
  <c r="M155" i="30"/>
  <c r="M184" i="30"/>
  <c r="M211" i="30"/>
  <c r="M66" i="30"/>
  <c r="M159" i="30"/>
  <c r="M148" i="30"/>
  <c r="M193" i="30"/>
  <c r="M232" i="30"/>
  <c r="M107" i="30"/>
  <c r="M50" i="30"/>
  <c r="M182" i="30"/>
  <c r="M141" i="30"/>
  <c r="M205" i="30"/>
  <c r="M196" i="30"/>
  <c r="M212" i="30"/>
  <c r="M133" i="30"/>
  <c r="M216" i="30"/>
  <c r="M48" i="30"/>
  <c r="M67" i="30"/>
  <c r="M154" i="30"/>
  <c r="M71" i="30"/>
  <c r="M72" i="30"/>
  <c r="M113" i="30"/>
  <c r="M100" i="30"/>
  <c r="M33" i="30"/>
  <c r="M218" i="30"/>
  <c r="M180" i="30"/>
  <c r="M190" i="30"/>
  <c r="M146" i="30"/>
  <c r="M179" i="30"/>
  <c r="M69" i="30"/>
  <c r="M127" i="30"/>
  <c r="M172" i="30"/>
  <c r="M110" i="30"/>
  <c r="M139" i="30"/>
  <c r="M197" i="30"/>
  <c r="M58" i="30"/>
  <c r="M142" i="30"/>
  <c r="M189" i="30"/>
  <c r="M204" i="30"/>
  <c r="M221" i="30"/>
  <c r="M160" i="30"/>
  <c r="M63" i="30"/>
  <c r="M35" i="30"/>
  <c r="M36" i="30"/>
  <c r="M195" i="30"/>
  <c r="M95" i="30"/>
  <c r="M17" i="30"/>
  <c r="M222" i="30"/>
  <c r="M28" i="30"/>
  <c r="M47" i="30"/>
  <c r="M114" i="30"/>
  <c r="M134" i="30"/>
  <c r="M53" i="30"/>
  <c r="M128" i="30"/>
  <c r="M55" i="30"/>
  <c r="M59" i="30"/>
  <c r="M115" i="30"/>
  <c r="M199" i="30"/>
  <c r="M165" i="30"/>
  <c r="M118" i="30"/>
  <c r="M203" i="30"/>
  <c r="M150" i="30"/>
  <c r="M187" i="30"/>
  <c r="M102" i="30"/>
  <c r="M126" i="30"/>
  <c r="M186" i="30"/>
  <c r="M177" i="30"/>
  <c r="M19" i="30"/>
  <c r="M83" i="30"/>
  <c r="M5" i="30"/>
  <c r="M43" i="30"/>
  <c r="M25" i="30"/>
  <c r="M156" i="30"/>
  <c r="M32" i="30"/>
  <c r="M23" i="30"/>
  <c r="M230" i="30"/>
  <c r="M64" i="30"/>
  <c r="M164" i="30"/>
  <c r="M52" i="30"/>
  <c r="M169" i="30"/>
  <c r="M13" i="30"/>
  <c r="M49" i="30"/>
  <c r="M174" i="30"/>
  <c r="M14" i="30"/>
  <c r="M158" i="30"/>
  <c r="M105" i="30"/>
  <c r="M170" i="30"/>
  <c r="M78" i="30"/>
  <c r="M119" i="30"/>
  <c r="M109" i="30"/>
  <c r="M167" i="30"/>
  <c r="M74" i="30"/>
  <c r="M229" i="30"/>
  <c r="M56" i="30"/>
  <c r="M194" i="30"/>
  <c r="M15" i="30"/>
  <c r="M207" i="30"/>
  <c r="M131" i="30"/>
  <c r="M206" i="30"/>
  <c r="M94" i="30"/>
  <c r="M96" i="30"/>
  <c r="M21" i="30"/>
  <c r="M70" i="30"/>
  <c r="M98" i="30"/>
  <c r="M224" i="30"/>
  <c r="M220" i="30"/>
  <c r="M125" i="30"/>
  <c r="M188" i="30"/>
  <c r="M81" i="30"/>
  <c r="M97" i="30"/>
  <c r="K6" i="30"/>
  <c r="K120" i="30"/>
  <c r="K72" i="30"/>
  <c r="K159" i="30"/>
  <c r="K172" i="30"/>
  <c r="K85" i="30"/>
  <c r="K166" i="30"/>
  <c r="K18" i="30"/>
  <c r="K155" i="30"/>
  <c r="K168" i="30"/>
  <c r="K180" i="30"/>
  <c r="K34" i="30"/>
  <c r="K11" i="30"/>
  <c r="K65" i="30"/>
  <c r="K82" i="30"/>
  <c r="K59" i="30"/>
  <c r="K138" i="30"/>
  <c r="K97" i="30"/>
  <c r="K154" i="30"/>
  <c r="K206" i="30"/>
  <c r="K105" i="30"/>
  <c r="K128" i="30"/>
  <c r="K150" i="30"/>
  <c r="K32" i="30"/>
  <c r="K202" i="30"/>
  <c r="K52" i="30"/>
  <c r="K181" i="30"/>
  <c r="K41" i="30"/>
  <c r="K76" i="30"/>
  <c r="K187" i="30"/>
  <c r="K130" i="30"/>
  <c r="K158" i="30"/>
  <c r="K142" i="30"/>
  <c r="K114" i="30"/>
  <c r="K135" i="30"/>
  <c r="K7" i="30"/>
  <c r="K21" i="30"/>
  <c r="K148" i="30"/>
  <c r="K71" i="30"/>
  <c r="K42" i="30"/>
  <c r="K146" i="30"/>
  <c r="K25" i="30"/>
  <c r="K201" i="30"/>
  <c r="K174" i="30"/>
  <c r="K190" i="30"/>
  <c r="K165" i="30"/>
  <c r="K81" i="30"/>
  <c r="K209" i="30"/>
  <c r="K137" i="30"/>
  <c r="K222" i="30"/>
  <c r="K195" i="30"/>
  <c r="K152" i="30"/>
  <c r="K121" i="30"/>
  <c r="K109" i="30"/>
  <c r="K125" i="30"/>
  <c r="K156" i="30"/>
  <c r="K56" i="30"/>
  <c r="K200" i="30"/>
  <c r="K113" i="30"/>
  <c r="K102" i="30"/>
  <c r="K79" i="30"/>
  <c r="K43" i="30"/>
  <c r="K69" i="30"/>
  <c r="K13" i="30"/>
  <c r="K89" i="30"/>
  <c r="K78" i="30"/>
  <c r="K215" i="30"/>
  <c r="K134" i="30"/>
  <c r="K74" i="30"/>
  <c r="K117" i="30"/>
  <c r="K162" i="30"/>
  <c r="K175" i="30"/>
  <c r="K35" i="30"/>
  <c r="K87" i="30"/>
  <c r="K151" i="30"/>
  <c r="K12" i="30"/>
  <c r="K30" i="30"/>
  <c r="K136" i="30"/>
  <c r="K218" i="30"/>
  <c r="K115" i="30"/>
  <c r="K44" i="30"/>
  <c r="K77" i="30"/>
  <c r="K204" i="30"/>
  <c r="K144" i="30"/>
  <c r="K66" i="30"/>
  <c r="K14" i="30"/>
  <c r="K208" i="30"/>
  <c r="K28" i="30"/>
  <c r="K147" i="30"/>
  <c r="K103" i="30"/>
  <c r="K16" i="30"/>
  <c r="K86" i="30"/>
  <c r="K179" i="30"/>
  <c r="K170" i="30"/>
  <c r="K55" i="30"/>
  <c r="K211" i="30"/>
  <c r="K225" i="30"/>
  <c r="K189" i="30"/>
  <c r="K199" i="30"/>
  <c r="K169" i="30"/>
  <c r="K133" i="30"/>
  <c r="K8" i="30"/>
  <c r="K90" i="30"/>
  <c r="K9" i="30"/>
  <c r="K139" i="30"/>
  <c r="K140" i="30"/>
  <c r="K122" i="30"/>
  <c r="K58" i="30"/>
  <c r="K17" i="30"/>
  <c r="K20" i="30"/>
  <c r="K224" i="30"/>
  <c r="K57" i="30"/>
  <c r="K40" i="30"/>
  <c r="K173" i="30"/>
  <c r="K10" i="30"/>
  <c r="K149" i="30"/>
  <c r="K185" i="30"/>
  <c r="K214" i="30"/>
  <c r="K88" i="30"/>
  <c r="K107" i="30"/>
  <c r="K178" i="30"/>
  <c r="K210" i="30"/>
  <c r="K101" i="30"/>
  <c r="K198" i="30"/>
  <c r="K167" i="30"/>
  <c r="K62" i="30"/>
  <c r="K48" i="30"/>
  <c r="K54" i="30"/>
  <c r="K160" i="30"/>
  <c r="K38" i="30"/>
  <c r="K143" i="30"/>
  <c r="K80" i="30"/>
  <c r="K145" i="30"/>
  <c r="K141" i="30"/>
  <c r="K171" i="30"/>
  <c r="M257" i="30"/>
  <c r="M242" i="30"/>
  <c r="M248" i="30"/>
  <c r="M254" i="30"/>
  <c r="M236" i="30"/>
  <c r="M250" i="30"/>
  <c r="M262" i="30"/>
  <c r="M260" i="30"/>
  <c r="M244" i="30"/>
  <c r="M249" i="30"/>
  <c r="M256" i="30"/>
  <c r="M265" i="30"/>
  <c r="M261" i="30"/>
  <c r="M241" i="30"/>
  <c r="M271" i="30"/>
  <c r="M253" i="30"/>
  <c r="M239" i="30"/>
  <c r="M270" i="30"/>
  <c r="M268" i="30"/>
  <c r="M266" i="30"/>
  <c r="M255" i="30"/>
  <c r="M247" i="30"/>
  <c r="M238" i="30"/>
  <c r="M264" i="30"/>
  <c r="M269" i="30"/>
  <c r="M258" i="30"/>
  <c r="M252" i="30"/>
  <c r="M251" i="30"/>
  <c r="M267" i="30"/>
  <c r="M237" i="30"/>
  <c r="M245" i="30"/>
  <c r="M263" i="30"/>
  <c r="M243" i="30"/>
  <c r="M240" i="30"/>
  <c r="M259" i="30"/>
  <c r="M246" i="30"/>
  <c r="O184" i="38"/>
  <c r="R184" i="38" s="1"/>
  <c r="X191" i="38"/>
  <c r="X189" i="38"/>
  <c r="E5" i="38"/>
  <c r="N176" i="38"/>
  <c r="X190" i="38"/>
  <c r="X188" i="38"/>
  <c r="E4" i="38"/>
  <c r="U176" i="38"/>
  <c r="E39" i="44"/>
  <c r="E43" i="44"/>
  <c r="E44" i="44"/>
  <c r="E42" i="44"/>
  <c r="E41" i="44"/>
  <c r="E40" i="44"/>
  <c r="E38" i="44"/>
  <c r="E37" i="44"/>
  <c r="X194" i="38" l="1"/>
  <c r="V167" i="38"/>
  <c r="V170" i="38" s="1"/>
  <c r="O176" i="38"/>
  <c r="V166" i="38" s="1"/>
  <c r="N177" i="38"/>
  <c r="D27" i="47"/>
  <c r="D12" i="47"/>
  <c r="D40" i="47"/>
  <c r="D7" i="47"/>
  <c r="D5" i="47"/>
  <c r="D2" i="47"/>
  <c r="D4" i="47"/>
  <c r="D19" i="47"/>
  <c r="D9" i="47"/>
  <c r="D6" i="47"/>
  <c r="D22" i="47"/>
  <c r="D24" i="47"/>
  <c r="D14" i="47"/>
  <c r="D11" i="47"/>
  <c r="D33" i="47"/>
  <c r="D17" i="47"/>
  <c r="D28" i="47"/>
  <c r="D29" i="47"/>
  <c r="D39" i="47"/>
  <c r="D34" i="47"/>
  <c r="D35" i="47"/>
  <c r="D30" i="47"/>
  <c r="D32" i="47"/>
  <c r="D36" i="47"/>
  <c r="D10" i="47"/>
  <c r="D38" i="47"/>
  <c r="D15" i="47"/>
  <c r="D13" i="47"/>
  <c r="D3" i="47"/>
  <c r="D20" i="47"/>
  <c r="D16" i="47"/>
  <c r="D18" i="47"/>
  <c r="D8" i="47"/>
  <c r="D25" i="47"/>
  <c r="D21" i="47"/>
  <c r="D23" i="47"/>
  <c r="D31" i="47"/>
  <c r="D26" i="47"/>
  <c r="D37" i="47"/>
  <c r="D82" i="47"/>
  <c r="D76" i="47"/>
  <c r="D78" i="47"/>
  <c r="D55" i="47"/>
  <c r="D44" i="47"/>
  <c r="D75" i="47"/>
  <c r="D41" i="47"/>
  <c r="D61" i="47"/>
  <c r="D50" i="47"/>
  <c r="D81" i="47"/>
  <c r="D47" i="47"/>
  <c r="D67" i="47"/>
  <c r="D56" i="47"/>
  <c r="D53" i="47"/>
  <c r="D73" i="47"/>
  <c r="D62" i="47"/>
  <c r="D59" i="47"/>
  <c r="D79" i="47"/>
  <c r="D68" i="47"/>
  <c r="D65" i="47"/>
  <c r="D74" i="47"/>
  <c r="D71" i="47"/>
  <c r="D42" i="47"/>
  <c r="D80" i="47"/>
  <c r="D46" i="47"/>
  <c r="D77" i="47"/>
  <c r="D48" i="47"/>
  <c r="D45" i="47"/>
  <c r="D52" i="47"/>
  <c r="D54" i="47"/>
  <c r="D51" i="47"/>
  <c r="D58" i="47"/>
  <c r="D60" i="47"/>
  <c r="D57" i="47"/>
  <c r="D64" i="47"/>
  <c r="D66" i="47"/>
  <c r="D43" i="47"/>
  <c r="D63" i="47"/>
  <c r="D70" i="47"/>
  <c r="D72" i="47"/>
  <c r="D49" i="47"/>
  <c r="D69" i="47"/>
  <c r="Q3" i="22"/>
  <c r="E3" i="22"/>
  <c r="V174" i="38" l="1"/>
  <c r="V173" i="38"/>
  <c r="B168" i="38" s="1"/>
  <c r="E168" i="38" s="1"/>
  <c r="V172" i="38"/>
  <c r="B167" i="38" s="1"/>
  <c r="V171" i="38"/>
  <c r="B166" i="38" s="1"/>
  <c r="C166" i="38" s="1"/>
  <c r="B165" i="38"/>
  <c r="B169" i="38"/>
  <c r="G168" i="38" l="1"/>
  <c r="F168" i="38"/>
  <c r="E70" i="38" s="1"/>
  <c r="D168" i="38"/>
  <c r="E110" i="38" s="1"/>
  <c r="E85" i="19" s="1"/>
  <c r="D166" i="38"/>
  <c r="E108" i="38" s="1"/>
  <c r="E83" i="19" s="1"/>
  <c r="G166" i="38"/>
  <c r="E98" i="38" s="1"/>
  <c r="V176" i="38"/>
  <c r="B171" i="38" s="1"/>
  <c r="H167" i="38" s="1"/>
  <c r="E166" i="38"/>
  <c r="E58" i="38" s="1"/>
  <c r="F166" i="38"/>
  <c r="E68" i="38" s="1"/>
  <c r="E93" i="19" s="1"/>
  <c r="C168" i="38"/>
  <c r="E95" i="19"/>
  <c r="E100" i="38"/>
  <c r="E80" i="38"/>
  <c r="E78" i="38"/>
  <c r="F167" i="38"/>
  <c r="E69" i="38" s="1"/>
  <c r="E60" i="38"/>
  <c r="E90" i="38"/>
  <c r="F169" i="38"/>
  <c r="E71" i="38" s="1"/>
  <c r="D167" i="38"/>
  <c r="E109" i="38" s="1"/>
  <c r="G167" i="38"/>
  <c r="E167" i="38"/>
  <c r="C167" i="38"/>
  <c r="D169" i="38"/>
  <c r="E111" i="38" s="1"/>
  <c r="E86" i="19" s="1"/>
  <c r="G169" i="38"/>
  <c r="C169" i="38"/>
  <c r="E169" i="38"/>
  <c r="F165" i="38"/>
  <c r="E67" i="38" s="1"/>
  <c r="D165" i="38"/>
  <c r="E107" i="38" s="1"/>
  <c r="G165" i="38"/>
  <c r="E165" i="38"/>
  <c r="C165" i="38"/>
  <c r="Y176" i="38"/>
  <c r="E17" i="43"/>
  <c r="E18" i="43"/>
  <c r="E19" i="43"/>
  <c r="E20" i="43"/>
  <c r="E21" i="43"/>
  <c r="E22" i="43"/>
  <c r="E27" i="43" s="1"/>
  <c r="E23" i="43"/>
  <c r="E24" i="43"/>
  <c r="E25" i="43"/>
  <c r="E26" i="43"/>
  <c r="I168" i="38" l="1"/>
  <c r="I166" i="38"/>
  <c r="E88" i="38"/>
  <c r="E113" i="19" s="1"/>
  <c r="E115" i="19"/>
  <c r="E103" i="19"/>
  <c r="E75" i="19"/>
  <c r="E65" i="19"/>
  <c r="E94" i="19"/>
  <c r="E73" i="19"/>
  <c r="E96" i="19"/>
  <c r="E82" i="19"/>
  <c r="E92" i="19"/>
  <c r="E84" i="19"/>
  <c r="E63" i="19"/>
  <c r="E105" i="19"/>
  <c r="H168" i="38"/>
  <c r="H166" i="38"/>
  <c r="E59" i="38"/>
  <c r="E89" i="38"/>
  <c r="E99" i="38"/>
  <c r="E79" i="38"/>
  <c r="E61" i="38"/>
  <c r="E91" i="38"/>
  <c r="E101" i="38"/>
  <c r="E81" i="38"/>
  <c r="E57" i="38"/>
  <c r="E87" i="38"/>
  <c r="E97" i="38"/>
  <c r="E77" i="38"/>
  <c r="H165" i="38"/>
  <c r="E16" i="38"/>
  <c r="E11" i="38"/>
  <c r="H169" i="38"/>
  <c r="I165" i="38"/>
  <c r="I169" i="38"/>
  <c r="I167" i="38"/>
  <c r="E33" i="43"/>
  <c r="E32" i="43"/>
  <c r="E39" i="43"/>
  <c r="E38" i="43"/>
  <c r="E37" i="43"/>
  <c r="E36" i="43"/>
  <c r="E35" i="43"/>
  <c r="E31" i="43"/>
  <c r="E34" i="43"/>
  <c r="E40" i="43"/>
  <c r="E64" i="19" l="1"/>
  <c r="E62" i="19"/>
  <c r="E74" i="19"/>
  <c r="E114" i="19"/>
  <c r="E104" i="19"/>
  <c r="E112" i="19"/>
  <c r="E102" i="19"/>
  <c r="E76" i="19"/>
  <c r="E72" i="19"/>
  <c r="E66" i="19"/>
  <c r="E116" i="19"/>
  <c r="E106" i="19"/>
  <c r="H170" i="38"/>
  <c r="E14" i="38"/>
  <c r="E9" i="38"/>
  <c r="E15" i="38"/>
  <c r="E10" i="38"/>
  <c r="E18" i="38"/>
  <c r="E13" i="38"/>
  <c r="E17" i="38"/>
  <c r="E12" i="38"/>
  <c r="F26" i="43"/>
  <c r="F25" i="43"/>
  <c r="F24" i="43"/>
  <c r="F23" i="43"/>
  <c r="F22" i="43"/>
  <c r="F21" i="43"/>
  <c r="F20" i="43"/>
  <c r="F19" i="43"/>
  <c r="F18" i="43"/>
  <c r="F17" i="43"/>
  <c r="D5" i="43"/>
  <c r="E13" i="43" s="1"/>
  <c r="F45" i="43" s="1"/>
  <c r="F58" i="43" l="1"/>
  <c r="F48" i="43"/>
  <c r="F61" i="43" s="1"/>
  <c r="F44" i="43"/>
  <c r="F46" i="43"/>
  <c r="F59" i="43" s="1"/>
  <c r="F53" i="43"/>
  <c r="F66" i="43" s="1"/>
  <c r="F50" i="43"/>
  <c r="F63" i="43" s="1"/>
  <c r="F57" i="43"/>
  <c r="F52" i="43"/>
  <c r="F65" i="43" s="1"/>
  <c r="F47" i="43"/>
  <c r="F60" i="43" s="1"/>
  <c r="F49" i="43"/>
  <c r="F62" i="43" s="1"/>
  <c r="F51" i="43"/>
  <c r="F64" i="43" s="1"/>
  <c r="F27" i="43"/>
  <c r="K374" i="20"/>
  <c r="K376" i="20"/>
  <c r="K373" i="20"/>
  <c r="K375" i="20"/>
  <c r="K377" i="20"/>
  <c r="K795" i="20"/>
  <c r="K791" i="20"/>
  <c r="K794" i="20"/>
  <c r="K792" i="20"/>
  <c r="K790" i="20"/>
  <c r="K793" i="20"/>
  <c r="K259" i="18"/>
  <c r="K266" i="18"/>
  <c r="K264" i="18"/>
  <c r="K260" i="18"/>
  <c r="K261" i="18"/>
  <c r="K262" i="18"/>
  <c r="K267" i="18"/>
  <c r="K265" i="18"/>
  <c r="K263" i="18"/>
  <c r="K570" i="18"/>
  <c r="K573" i="18"/>
  <c r="K577" i="18"/>
  <c r="K571" i="18"/>
  <c r="K572" i="18"/>
  <c r="K574" i="18"/>
  <c r="K576" i="18"/>
  <c r="K578" i="18"/>
  <c r="K575" i="18"/>
  <c r="K788" i="20"/>
  <c r="K786" i="20"/>
  <c r="N15" i="39"/>
  <c r="N16" i="39"/>
  <c r="N33" i="39" s="1"/>
  <c r="N48" i="39" s="1"/>
  <c r="N17" i="39"/>
  <c r="N18" i="39"/>
  <c r="N19" i="39"/>
  <c r="N14" i="39"/>
  <c r="M15" i="39"/>
  <c r="M16" i="39"/>
  <c r="M33" i="39" s="1"/>
  <c r="M48" i="39" s="1"/>
  <c r="M17" i="39"/>
  <c r="M18" i="39"/>
  <c r="M19" i="39"/>
  <c r="M14" i="39"/>
  <c r="L15" i="39"/>
  <c r="L16" i="39"/>
  <c r="L33" i="39" s="1"/>
  <c r="L48" i="39" s="1"/>
  <c r="L17" i="39"/>
  <c r="L18" i="39"/>
  <c r="L19" i="39"/>
  <c r="L14" i="39"/>
  <c r="K15" i="39"/>
  <c r="K16" i="39"/>
  <c r="K33" i="39" s="1"/>
  <c r="K48" i="39" s="1"/>
  <c r="K17" i="39"/>
  <c r="K18" i="39"/>
  <c r="K19" i="39"/>
  <c r="K14" i="39"/>
  <c r="J15" i="39"/>
  <c r="J16" i="39"/>
  <c r="J34" i="39" s="1"/>
  <c r="J49" i="39" s="1"/>
  <c r="J17" i="39"/>
  <c r="J18" i="39"/>
  <c r="J19" i="39"/>
  <c r="J14" i="39"/>
  <c r="I15" i="39"/>
  <c r="I16" i="39"/>
  <c r="I34" i="39" s="1"/>
  <c r="I49" i="39" s="1"/>
  <c r="I17" i="39"/>
  <c r="I18" i="39"/>
  <c r="I19" i="39"/>
  <c r="I14" i="39"/>
  <c r="H15" i="39"/>
  <c r="H16" i="39"/>
  <c r="H34" i="39" s="1"/>
  <c r="H49" i="39" s="1"/>
  <c r="H17" i="39"/>
  <c r="H18" i="39"/>
  <c r="H19" i="39"/>
  <c r="H14" i="39"/>
  <c r="G15" i="39"/>
  <c r="G16" i="39"/>
  <c r="G34" i="39" s="1"/>
  <c r="G49" i="39" s="1"/>
  <c r="G17" i="39"/>
  <c r="G18" i="39"/>
  <c r="G19" i="39"/>
  <c r="G14" i="39"/>
  <c r="K787" i="20"/>
  <c r="K784" i="20"/>
  <c r="K782" i="20"/>
  <c r="G33" i="39" l="1"/>
  <c r="G48" i="39" s="1"/>
  <c r="H33" i="39"/>
  <c r="H48" i="39" s="1"/>
  <c r="I33" i="39"/>
  <c r="I48" i="39" s="1"/>
  <c r="J33" i="39"/>
  <c r="J48" i="39" s="1"/>
  <c r="K34" i="39"/>
  <c r="K49" i="39" s="1"/>
  <c r="M34" i="39"/>
  <c r="M49" i="39" s="1"/>
  <c r="L34" i="39"/>
  <c r="L49" i="39" s="1"/>
  <c r="N34" i="39"/>
  <c r="N49" i="39" s="1"/>
  <c r="G137" i="35"/>
  <c r="N137" i="35"/>
  <c r="G138" i="35"/>
  <c r="N138" i="35"/>
  <c r="G139" i="35"/>
  <c r="N139" i="35"/>
  <c r="K789" i="20" l="1"/>
  <c r="K785" i="20"/>
  <c r="K783" i="20"/>
  <c r="C29" i="39"/>
  <c r="C30" i="39"/>
  <c r="C31" i="39"/>
  <c r="C32" i="39"/>
  <c r="C28" i="39"/>
  <c r="C27" i="39"/>
  <c r="C26" i="39"/>
  <c r="C25" i="39"/>
  <c r="C24" i="39"/>
  <c r="C23" i="39"/>
  <c r="C22" i="39"/>
  <c r="C21" i="39"/>
  <c r="N22" i="39" l="1"/>
  <c r="N37" i="39" s="1"/>
  <c r="L22" i="39"/>
  <c r="L37" i="39" s="1"/>
  <c r="J22" i="39"/>
  <c r="J37" i="39" s="1"/>
  <c r="I22" i="39"/>
  <c r="I37" i="39" s="1"/>
  <c r="M22" i="39"/>
  <c r="M37" i="39" s="1"/>
  <c r="K22" i="39"/>
  <c r="K37" i="39" s="1"/>
  <c r="H22" i="39"/>
  <c r="H37" i="39" s="1"/>
  <c r="G22" i="39"/>
  <c r="G37" i="39" s="1"/>
  <c r="M24" i="39"/>
  <c r="M39" i="39" s="1"/>
  <c r="K24" i="39"/>
  <c r="K39" i="39" s="1"/>
  <c r="J24" i="39"/>
  <c r="J39" i="39" s="1"/>
  <c r="I24" i="39"/>
  <c r="I39" i="39" s="1"/>
  <c r="N24" i="39"/>
  <c r="N39" i="39" s="1"/>
  <c r="L24" i="39"/>
  <c r="L39" i="39" s="1"/>
  <c r="H24" i="39"/>
  <c r="H39" i="39" s="1"/>
  <c r="G24" i="39"/>
  <c r="G39" i="39" s="1"/>
  <c r="N26" i="39"/>
  <c r="N41" i="39" s="1"/>
  <c r="L26" i="39"/>
  <c r="L41" i="39" s="1"/>
  <c r="J26" i="39"/>
  <c r="J41" i="39" s="1"/>
  <c r="I26" i="39"/>
  <c r="I41" i="39" s="1"/>
  <c r="M26" i="39"/>
  <c r="M41" i="39" s="1"/>
  <c r="K26" i="39"/>
  <c r="K41" i="39" s="1"/>
  <c r="H26" i="39"/>
  <c r="H41" i="39" s="1"/>
  <c r="G26" i="39"/>
  <c r="G41" i="39" s="1"/>
  <c r="M28" i="39"/>
  <c r="M43" i="39" s="1"/>
  <c r="K28" i="39"/>
  <c r="K43" i="39" s="1"/>
  <c r="J28" i="39"/>
  <c r="J43" i="39" s="1"/>
  <c r="I28" i="39"/>
  <c r="I43" i="39" s="1"/>
  <c r="H28" i="39"/>
  <c r="H43" i="39" s="1"/>
  <c r="G28" i="39"/>
  <c r="G43" i="39" s="1"/>
  <c r="N28" i="39"/>
  <c r="N43" i="39" s="1"/>
  <c r="L28" i="39"/>
  <c r="L43" i="39" s="1"/>
  <c r="N31" i="39"/>
  <c r="N46" i="39" s="1"/>
  <c r="M31" i="39"/>
  <c r="M46" i="39" s="1"/>
  <c r="L31" i="39"/>
  <c r="L46" i="39" s="1"/>
  <c r="K31" i="39"/>
  <c r="K46" i="39" s="1"/>
  <c r="H31" i="39"/>
  <c r="H46" i="39" s="1"/>
  <c r="G31" i="39"/>
  <c r="G46" i="39" s="1"/>
  <c r="J31" i="39"/>
  <c r="J46" i="39" s="1"/>
  <c r="I31" i="39"/>
  <c r="I46" i="39" s="1"/>
  <c r="N29" i="39"/>
  <c r="N44" i="39" s="1"/>
  <c r="M29" i="39"/>
  <c r="M44" i="39" s="1"/>
  <c r="L29" i="39"/>
  <c r="L44" i="39" s="1"/>
  <c r="K29" i="39"/>
  <c r="K44" i="39" s="1"/>
  <c r="H29" i="39"/>
  <c r="H44" i="39" s="1"/>
  <c r="G29" i="39"/>
  <c r="G44" i="39" s="1"/>
  <c r="J29" i="39"/>
  <c r="J44" i="39" s="1"/>
  <c r="I29" i="39"/>
  <c r="I44" i="39" s="1"/>
  <c r="N21" i="39"/>
  <c r="N36" i="39" s="1"/>
  <c r="M21" i="39"/>
  <c r="M36" i="39" s="1"/>
  <c r="L21" i="39"/>
  <c r="L36" i="39" s="1"/>
  <c r="K21" i="39"/>
  <c r="K36" i="39" s="1"/>
  <c r="J21" i="39"/>
  <c r="J36" i="39" s="1"/>
  <c r="I21" i="39"/>
  <c r="I36" i="39" s="1"/>
  <c r="H21" i="39"/>
  <c r="H36" i="39" s="1"/>
  <c r="G21" i="39"/>
  <c r="G36" i="39" s="1"/>
  <c r="N23" i="39"/>
  <c r="N38" i="39" s="1"/>
  <c r="M23" i="39"/>
  <c r="M38" i="39" s="1"/>
  <c r="L23" i="39"/>
  <c r="L38" i="39" s="1"/>
  <c r="K23" i="39"/>
  <c r="K38" i="39" s="1"/>
  <c r="H23" i="39"/>
  <c r="H38" i="39" s="1"/>
  <c r="G23" i="39"/>
  <c r="G38" i="39" s="1"/>
  <c r="J23" i="39"/>
  <c r="J38" i="39" s="1"/>
  <c r="I23" i="39"/>
  <c r="I38" i="39" s="1"/>
  <c r="N25" i="39"/>
  <c r="N40" i="39" s="1"/>
  <c r="M25" i="39"/>
  <c r="M40" i="39" s="1"/>
  <c r="L25" i="39"/>
  <c r="L40" i="39" s="1"/>
  <c r="K25" i="39"/>
  <c r="K40" i="39" s="1"/>
  <c r="H25" i="39"/>
  <c r="H40" i="39" s="1"/>
  <c r="G25" i="39"/>
  <c r="G40" i="39" s="1"/>
  <c r="J25" i="39"/>
  <c r="J40" i="39" s="1"/>
  <c r="I25" i="39"/>
  <c r="I40" i="39" s="1"/>
  <c r="N27" i="39"/>
  <c r="N42" i="39" s="1"/>
  <c r="M27" i="39"/>
  <c r="M42" i="39" s="1"/>
  <c r="L27" i="39"/>
  <c r="L42" i="39" s="1"/>
  <c r="K27" i="39"/>
  <c r="K42" i="39" s="1"/>
  <c r="H27" i="39"/>
  <c r="H42" i="39" s="1"/>
  <c r="G27" i="39"/>
  <c r="G42" i="39" s="1"/>
  <c r="J27" i="39"/>
  <c r="J42" i="39" s="1"/>
  <c r="I27" i="39"/>
  <c r="I42" i="39" s="1"/>
  <c r="M32" i="39"/>
  <c r="M47" i="39" s="1"/>
  <c r="K32" i="39"/>
  <c r="K47" i="39" s="1"/>
  <c r="J32" i="39"/>
  <c r="J47" i="39" s="1"/>
  <c r="I32" i="39"/>
  <c r="I47" i="39" s="1"/>
  <c r="N32" i="39"/>
  <c r="N47" i="39" s="1"/>
  <c r="L32" i="39"/>
  <c r="L47" i="39" s="1"/>
  <c r="H32" i="39"/>
  <c r="H47" i="39" s="1"/>
  <c r="G32" i="39"/>
  <c r="G47" i="39" s="1"/>
  <c r="N30" i="39"/>
  <c r="N45" i="39" s="1"/>
  <c r="L30" i="39"/>
  <c r="L45" i="39" s="1"/>
  <c r="J30" i="39"/>
  <c r="J45" i="39" s="1"/>
  <c r="I30" i="39"/>
  <c r="I45" i="39" s="1"/>
  <c r="M30" i="39"/>
  <c r="M45" i="39" s="1"/>
  <c r="K30" i="39"/>
  <c r="K45" i="39" s="1"/>
  <c r="H30" i="39"/>
  <c r="H45" i="39" s="1"/>
  <c r="G30" i="39"/>
  <c r="G45" i="39" s="1"/>
  <c r="E70" i="39" l="1"/>
  <c r="E72" i="39"/>
  <c r="D53" i="39"/>
  <c r="E61" i="39"/>
  <c r="E74" i="39"/>
  <c r="E73" i="39"/>
  <c r="E66" i="39"/>
  <c r="E62" i="39"/>
  <c r="E64" i="39"/>
  <c r="E65" i="39"/>
  <c r="E63" i="39"/>
  <c r="E69" i="39"/>
  <c r="E71" i="39"/>
  <c r="E68" i="39"/>
  <c r="E67" i="39"/>
  <c r="U192" i="38"/>
  <c r="T185" i="38"/>
  <c r="T192" i="38" s="1"/>
  <c r="S194" i="38"/>
  <c r="Q194" i="38"/>
  <c r="D10" i="18" l="1"/>
  <c r="D11" i="18"/>
  <c r="D9" i="18"/>
  <c r="D6" i="18"/>
  <c r="D7" i="18"/>
  <c r="T189" i="38"/>
  <c r="T191" i="38"/>
  <c r="U189" i="38"/>
  <c r="T188" i="38"/>
  <c r="T190" i="38"/>
  <c r="D88" i="26"/>
  <c r="D8" i="18" l="1"/>
  <c r="D2" i="18"/>
  <c r="D4" i="18"/>
  <c r="T194" i="38"/>
  <c r="U190" i="38"/>
  <c r="E29" i="26"/>
  <c r="D5" i="18" l="1"/>
  <c r="U194" i="38"/>
  <c r="E39" i="26"/>
  <c r="D45" i="26" s="1"/>
  <c r="E22" i="26"/>
  <c r="E23" i="26"/>
  <c r="E24" i="26"/>
  <c r="E25" i="26"/>
  <c r="E26" i="26"/>
  <c r="E27" i="26"/>
  <c r="E28" i="26"/>
  <c r="E30" i="26"/>
  <c r="E31" i="26"/>
  <c r="E32" i="26"/>
  <c r="E33" i="26"/>
  <c r="E35" i="26"/>
  <c r="E21" i="26"/>
  <c r="D34" i="26"/>
  <c r="E34" i="26" s="1"/>
  <c r="K521" i="18"/>
  <c r="K520" i="18"/>
  <c r="K515" i="18"/>
  <c r="K516" i="18"/>
  <c r="K522" i="18"/>
  <c r="K519" i="18"/>
  <c r="K528" i="18"/>
  <c r="K527" i="18"/>
  <c r="K517" i="18"/>
  <c r="K524" i="18"/>
  <c r="K518" i="18"/>
  <c r="D3" i="18" l="1"/>
  <c r="L4" i="22"/>
  <c r="E12" i="35"/>
  <c r="F12" i="35"/>
  <c r="F142" i="35"/>
  <c r="E142" i="35"/>
  <c r="D186" i="35"/>
  <c r="D185" i="35"/>
  <c r="D184" i="35"/>
  <c r="G140" i="35"/>
  <c r="G141" i="35"/>
  <c r="G142" i="35" l="1"/>
  <c r="D183" i="35" s="1"/>
  <c r="D187" i="35" s="1"/>
  <c r="G185" i="35" l="1"/>
  <c r="G186" i="35"/>
  <c r="G184" i="35"/>
  <c r="G183" i="35"/>
  <c r="E57" i="26" l="1"/>
  <c r="K16" i="26"/>
  <c r="J16" i="26"/>
  <c r="F16" i="26"/>
  <c r="E8" i="26"/>
  <c r="E60" i="26" s="1"/>
  <c r="L68" i="26"/>
  <c r="F2" i="33" a="1"/>
  <c r="E55" i="26"/>
  <c r="F109" i="26" s="1"/>
  <c r="B128" i="26" s="1"/>
  <c r="D55" i="26"/>
  <c r="E56" i="26"/>
  <c r="D56" i="26"/>
  <c r="D57" i="26"/>
  <c r="E58" i="26"/>
  <c r="D58" i="26"/>
  <c r="E59" i="26"/>
  <c r="D59" i="26"/>
  <c r="D60" i="26"/>
  <c r="E61" i="26"/>
  <c r="D61" i="26"/>
  <c r="E62" i="26"/>
  <c r="D62" i="26"/>
  <c r="E63" i="26"/>
  <c r="D63" i="26"/>
  <c r="E64" i="26"/>
  <c r="D64" i="26"/>
  <c r="E65" i="26"/>
  <c r="D65" i="26"/>
  <c r="E66" i="26"/>
  <c r="D66" i="26"/>
  <c r="E67" i="26"/>
  <c r="D67" i="26"/>
  <c r="E69" i="26"/>
  <c r="D69" i="26"/>
  <c r="D39" i="26"/>
  <c r="E109" i="26" s="1"/>
  <c r="B127" i="26" s="1"/>
  <c r="D40" i="26"/>
  <c r="F39" i="26"/>
  <c r="F56" i="26"/>
  <c r="G56" i="26"/>
  <c r="H56" i="26"/>
  <c r="I56" i="26"/>
  <c r="J56" i="26"/>
  <c r="K56" i="26"/>
  <c r="L56" i="26"/>
  <c r="F57" i="26"/>
  <c r="G57" i="26"/>
  <c r="H57" i="26"/>
  <c r="I57" i="26"/>
  <c r="J57" i="26"/>
  <c r="K57" i="26"/>
  <c r="L57" i="26"/>
  <c r="F58" i="26"/>
  <c r="G58" i="26"/>
  <c r="H58" i="26"/>
  <c r="I58" i="26"/>
  <c r="J58" i="26"/>
  <c r="K58" i="26"/>
  <c r="L58" i="26"/>
  <c r="F59" i="26"/>
  <c r="G59" i="26"/>
  <c r="H59" i="26"/>
  <c r="I59" i="26"/>
  <c r="J59" i="26"/>
  <c r="K59" i="26"/>
  <c r="L59" i="26"/>
  <c r="G60" i="26"/>
  <c r="H60" i="26"/>
  <c r="I60" i="26"/>
  <c r="K60" i="26"/>
  <c r="L60" i="26"/>
  <c r="F61" i="26"/>
  <c r="G61" i="26"/>
  <c r="H61" i="26"/>
  <c r="I61" i="26"/>
  <c r="J61" i="26"/>
  <c r="K61" i="26"/>
  <c r="L61" i="26"/>
  <c r="G62" i="26"/>
  <c r="H62" i="26"/>
  <c r="I62" i="26"/>
  <c r="J62" i="26"/>
  <c r="K62" i="26"/>
  <c r="L62" i="26"/>
  <c r="F63" i="26"/>
  <c r="G63" i="26"/>
  <c r="H63" i="26"/>
  <c r="I63" i="26"/>
  <c r="J63" i="26"/>
  <c r="K63" i="26"/>
  <c r="L63" i="26"/>
  <c r="G64" i="26"/>
  <c r="H64" i="26"/>
  <c r="I64" i="26"/>
  <c r="L64" i="26"/>
  <c r="G65" i="26"/>
  <c r="H65" i="26"/>
  <c r="I65" i="26"/>
  <c r="L65" i="26"/>
  <c r="F66" i="26"/>
  <c r="G66" i="26"/>
  <c r="H66" i="26"/>
  <c r="I66" i="26"/>
  <c r="J66" i="26"/>
  <c r="K66" i="26"/>
  <c r="L66" i="26"/>
  <c r="G67" i="26"/>
  <c r="H67" i="26"/>
  <c r="I67" i="26"/>
  <c r="L67" i="26"/>
  <c r="F69" i="26"/>
  <c r="G69" i="26"/>
  <c r="H69" i="26"/>
  <c r="I69" i="26"/>
  <c r="J69" i="26"/>
  <c r="K69" i="26"/>
  <c r="L69" i="26"/>
  <c r="G55" i="26"/>
  <c r="H55" i="26"/>
  <c r="I55" i="26"/>
  <c r="J55" i="26"/>
  <c r="K55" i="26"/>
  <c r="L55" i="26"/>
  <c r="F55" i="26"/>
  <c r="G40" i="26"/>
  <c r="H40" i="26"/>
  <c r="I40" i="26"/>
  <c r="K40" i="26"/>
  <c r="L40" i="26"/>
  <c r="L39" i="26"/>
  <c r="K39" i="26"/>
  <c r="J39" i="26"/>
  <c r="I39" i="26"/>
  <c r="J109" i="26" s="1"/>
  <c r="B132" i="26" s="1"/>
  <c r="H39" i="26"/>
  <c r="I109" i="26" s="1"/>
  <c r="B131" i="26" s="1"/>
  <c r="G39" i="26"/>
  <c r="H109" i="26" s="1"/>
  <c r="B130" i="26" s="1"/>
  <c r="D73" i="26"/>
  <c r="E91" i="26" s="1"/>
  <c r="F15" i="26"/>
  <c r="F67" i="26" s="1"/>
  <c r="J15" i="26"/>
  <c r="J67" i="26" s="1"/>
  <c r="K15" i="26"/>
  <c r="K67" i="26" s="1"/>
  <c r="K13" i="26"/>
  <c r="K65" i="26" s="1"/>
  <c r="J13" i="26"/>
  <c r="J65" i="26" s="1"/>
  <c r="F13" i="26"/>
  <c r="F65" i="26" s="1"/>
  <c r="F12" i="26"/>
  <c r="F41" i="26" s="1"/>
  <c r="K12" i="26"/>
  <c r="J12" i="26"/>
  <c r="J8" i="26"/>
  <c r="F8" i="26"/>
  <c r="G120" i="26" l="1"/>
  <c r="X129" i="26" s="1"/>
  <c r="G116" i="26"/>
  <c r="P129" i="26" s="1"/>
  <c r="F2" i="33"/>
  <c r="J3" i="33" a="1"/>
  <c r="J3" i="33" s="1"/>
  <c r="I3" i="33" s="1" a="1"/>
  <c r="I3" i="33" s="1"/>
  <c r="A2" i="33" s="1" a="1"/>
  <c r="L109" i="26"/>
  <c r="B134" i="26" s="1"/>
  <c r="K109" i="26"/>
  <c r="B133" i="26" s="1"/>
  <c r="E112" i="26"/>
  <c r="H127" i="26" s="1"/>
  <c r="E113" i="26"/>
  <c r="J127" i="26" s="1"/>
  <c r="E114" i="26"/>
  <c r="L127" i="26" s="1"/>
  <c r="E115" i="26"/>
  <c r="N127" i="26" s="1"/>
  <c r="E111" i="26"/>
  <c r="F127" i="26" s="1"/>
  <c r="E110" i="26"/>
  <c r="D127" i="26" s="1"/>
  <c r="M109" i="26"/>
  <c r="B135" i="26" s="1"/>
  <c r="M115" i="26"/>
  <c r="N135" i="26" s="1"/>
  <c r="M114" i="26"/>
  <c r="M113" i="26"/>
  <c r="M112" i="26"/>
  <c r="H135" i="26" s="1"/>
  <c r="M111" i="26"/>
  <c r="M110" i="26"/>
  <c r="D135" i="26" s="1"/>
  <c r="L114" i="26"/>
  <c r="L113" i="26"/>
  <c r="L112" i="26"/>
  <c r="L115" i="26"/>
  <c r="N134" i="26" s="1"/>
  <c r="L111" i="26"/>
  <c r="F134" i="26" s="1"/>
  <c r="L110" i="26"/>
  <c r="D134" i="26" s="1"/>
  <c r="J112" i="26"/>
  <c r="J111" i="26"/>
  <c r="J110" i="26"/>
  <c r="J115" i="26"/>
  <c r="N132" i="26" s="1"/>
  <c r="J114" i="26"/>
  <c r="J113" i="26"/>
  <c r="I111" i="26"/>
  <c r="I112" i="26"/>
  <c r="I110" i="26"/>
  <c r="I115" i="26"/>
  <c r="N131" i="26" s="1"/>
  <c r="I114" i="26"/>
  <c r="I113" i="26"/>
  <c r="H110" i="26"/>
  <c r="H115" i="26"/>
  <c r="N130" i="26" s="1"/>
  <c r="H111" i="26"/>
  <c r="H114" i="26"/>
  <c r="H113" i="26"/>
  <c r="H112" i="26"/>
  <c r="G109" i="26"/>
  <c r="B129" i="26" s="1"/>
  <c r="D47" i="26"/>
  <c r="G49" i="26"/>
  <c r="D48" i="26"/>
  <c r="G48" i="26"/>
  <c r="D49" i="26"/>
  <c r="G47" i="26"/>
  <c r="D50" i="26"/>
  <c r="D46" i="26"/>
  <c r="F91" i="26"/>
  <c r="D98" i="26" s="1"/>
  <c r="D91" i="26"/>
  <c r="D96" i="26" s="1"/>
  <c r="D97" i="26"/>
  <c r="D51" i="26"/>
  <c r="G44" i="26"/>
  <c r="D52" i="26"/>
  <c r="D44" i="26"/>
  <c r="G51" i="26"/>
  <c r="G52" i="26"/>
  <c r="D87" i="26"/>
  <c r="D76" i="26"/>
  <c r="D85" i="26"/>
  <c r="D78" i="26"/>
  <c r="D81" i="26"/>
  <c r="D79" i="26"/>
  <c r="D77" i="26"/>
  <c r="D83" i="26"/>
  <c r="D82" i="26"/>
  <c r="D74" i="26"/>
  <c r="D80" i="26"/>
  <c r="D75" i="26"/>
  <c r="E40" i="26"/>
  <c r="E68" i="26"/>
  <c r="D41" i="26"/>
  <c r="E41" i="26"/>
  <c r="I68" i="26"/>
  <c r="D68" i="26"/>
  <c r="K68" i="26"/>
  <c r="G41" i="26"/>
  <c r="J68" i="26"/>
  <c r="H68" i="26"/>
  <c r="G68" i="26"/>
  <c r="L41" i="26"/>
  <c r="F68" i="26"/>
  <c r="I41" i="26"/>
  <c r="H41" i="26"/>
  <c r="F60" i="26"/>
  <c r="F40" i="26"/>
  <c r="J60" i="26"/>
  <c r="J40" i="26"/>
  <c r="K111" i="26" s="1"/>
  <c r="J64" i="26"/>
  <c r="J41" i="26"/>
  <c r="K116" i="26" s="1"/>
  <c r="P133" i="26" s="1"/>
  <c r="K64" i="26"/>
  <c r="K41" i="26"/>
  <c r="F64" i="26"/>
  <c r="B280" i="33" l="1"/>
  <c r="B281" i="33"/>
  <c r="B282" i="33"/>
  <c r="B283" i="33"/>
  <c r="B284" i="33"/>
  <c r="B285" i="33"/>
  <c r="D280" i="33"/>
  <c r="D282" i="33"/>
  <c r="D284" i="33"/>
  <c r="C280" i="33"/>
  <c r="C281" i="33"/>
  <c r="C282" i="33"/>
  <c r="C283" i="33"/>
  <c r="C284" i="33"/>
  <c r="C285" i="33"/>
  <c r="D281" i="33"/>
  <c r="D283" i="33"/>
  <c r="D285" i="33"/>
  <c r="B279" i="33"/>
  <c r="C279" i="33"/>
  <c r="D279" i="33"/>
  <c r="B278" i="33"/>
  <c r="C278" i="33"/>
  <c r="D278" i="33"/>
  <c r="B277" i="33"/>
  <c r="C277" i="33"/>
  <c r="D277" i="33"/>
  <c r="B276" i="33"/>
  <c r="C276" i="33"/>
  <c r="D276" i="33"/>
  <c r="B272" i="33"/>
  <c r="B273" i="33"/>
  <c r="B274" i="33"/>
  <c r="B275" i="33"/>
  <c r="D273" i="33"/>
  <c r="D274" i="33"/>
  <c r="C272" i="33"/>
  <c r="C273" i="33"/>
  <c r="C274" i="33"/>
  <c r="C275" i="33"/>
  <c r="D272" i="33"/>
  <c r="D275" i="33"/>
  <c r="D271" i="33"/>
  <c r="C271" i="33"/>
  <c r="B271" i="33"/>
  <c r="D252" i="33"/>
  <c r="D255" i="33"/>
  <c r="D258" i="33"/>
  <c r="D261" i="33"/>
  <c r="D264" i="33"/>
  <c r="D267" i="33"/>
  <c r="D270" i="33"/>
  <c r="C254" i="33"/>
  <c r="C257" i="33"/>
  <c r="C260" i="33"/>
  <c r="C263" i="33"/>
  <c r="C266" i="33"/>
  <c r="C269" i="33"/>
  <c r="B253" i="33"/>
  <c r="B256" i="33"/>
  <c r="B259" i="33"/>
  <c r="B262" i="33"/>
  <c r="B265" i="33"/>
  <c r="B268" i="33"/>
  <c r="D253" i="33"/>
  <c r="D256" i="33"/>
  <c r="D259" i="33"/>
  <c r="D262" i="33"/>
  <c r="D265" i="33"/>
  <c r="D268" i="33"/>
  <c r="C252" i="33"/>
  <c r="C255" i="33"/>
  <c r="C258" i="33"/>
  <c r="C261" i="33"/>
  <c r="C264" i="33"/>
  <c r="C267" i="33"/>
  <c r="C270" i="33"/>
  <c r="B254" i="33"/>
  <c r="B257" i="33"/>
  <c r="B260" i="33"/>
  <c r="B263" i="33"/>
  <c r="B266" i="33"/>
  <c r="B269" i="33"/>
  <c r="D254" i="33"/>
  <c r="D263" i="33"/>
  <c r="C253" i="33"/>
  <c r="C262" i="33"/>
  <c r="B252" i="33"/>
  <c r="B261" i="33"/>
  <c r="B270" i="33"/>
  <c r="D257" i="33"/>
  <c r="D266" i="33"/>
  <c r="C256" i="33"/>
  <c r="C265" i="33"/>
  <c r="B255" i="33"/>
  <c r="B264" i="33"/>
  <c r="D260" i="33"/>
  <c r="D269" i="33"/>
  <c r="C259" i="33"/>
  <c r="C268" i="33"/>
  <c r="B258" i="33"/>
  <c r="B267" i="33"/>
  <c r="D250" i="33"/>
  <c r="D251" i="33"/>
  <c r="D249" i="33"/>
  <c r="C250" i="33"/>
  <c r="B250" i="33"/>
  <c r="C249" i="33"/>
  <c r="B249" i="33"/>
  <c r="B251" i="33"/>
  <c r="C251" i="33"/>
  <c r="D248" i="33"/>
  <c r="B248" i="33"/>
  <c r="C248" i="33"/>
  <c r="D247" i="33"/>
  <c r="B247" i="33"/>
  <c r="C247" i="33"/>
  <c r="D246" i="33"/>
  <c r="C246" i="33"/>
  <c r="B246" i="33"/>
  <c r="D245" i="33"/>
  <c r="C245" i="33"/>
  <c r="B245" i="33"/>
  <c r="D244" i="33"/>
  <c r="B244" i="33"/>
  <c r="C244" i="33"/>
  <c r="D243" i="33"/>
  <c r="C243" i="33"/>
  <c r="B243" i="33"/>
  <c r="D242" i="33"/>
  <c r="C242" i="33"/>
  <c r="B242" i="33"/>
  <c r="D5" i="33"/>
  <c r="D13" i="33"/>
  <c r="D21" i="33"/>
  <c r="D29" i="33"/>
  <c r="D37" i="33"/>
  <c r="D45" i="33"/>
  <c r="D53" i="33"/>
  <c r="D61" i="33"/>
  <c r="D69" i="33"/>
  <c r="D77" i="33"/>
  <c r="D85" i="33"/>
  <c r="D93" i="33"/>
  <c r="D101" i="33"/>
  <c r="D109" i="33"/>
  <c r="D117" i="33"/>
  <c r="D125" i="33"/>
  <c r="D133" i="33"/>
  <c r="D141" i="33"/>
  <c r="D149" i="33"/>
  <c r="D157" i="33"/>
  <c r="D165" i="33"/>
  <c r="D173" i="33"/>
  <c r="D181" i="33"/>
  <c r="D189" i="33"/>
  <c r="D197" i="33"/>
  <c r="D205" i="33"/>
  <c r="D213" i="33"/>
  <c r="D221" i="33"/>
  <c r="D229" i="33"/>
  <c r="D237" i="33"/>
  <c r="D3" i="33"/>
  <c r="B207" i="33"/>
  <c r="D8" i="33"/>
  <c r="D32" i="33"/>
  <c r="D56" i="33"/>
  <c r="D80" i="33"/>
  <c r="D104" i="33"/>
  <c r="D120" i="33"/>
  <c r="D144" i="33"/>
  <c r="D184" i="33"/>
  <c r="D208" i="33"/>
  <c r="D232" i="33"/>
  <c r="D6" i="33"/>
  <c r="D14" i="33"/>
  <c r="D22" i="33"/>
  <c r="D30" i="33"/>
  <c r="D38" i="33"/>
  <c r="D46" i="33"/>
  <c r="D54" i="33"/>
  <c r="D62" i="33"/>
  <c r="D70" i="33"/>
  <c r="D78" i="33"/>
  <c r="D86" i="33"/>
  <c r="D94" i="33"/>
  <c r="D102" i="33"/>
  <c r="D110" i="33"/>
  <c r="D118" i="33"/>
  <c r="D126" i="33"/>
  <c r="D134" i="33"/>
  <c r="D142" i="33"/>
  <c r="D150" i="33"/>
  <c r="D158" i="33"/>
  <c r="D166" i="33"/>
  <c r="D174" i="33"/>
  <c r="D182" i="33"/>
  <c r="D190" i="33"/>
  <c r="D198" i="33"/>
  <c r="D206" i="33"/>
  <c r="D214" i="33"/>
  <c r="D222" i="33"/>
  <c r="D230" i="33"/>
  <c r="D238" i="33"/>
  <c r="D4" i="33"/>
  <c r="B208" i="33"/>
  <c r="D16" i="33"/>
  <c r="D40" i="33"/>
  <c r="D64" i="33"/>
  <c r="D88" i="33"/>
  <c r="D128" i="33"/>
  <c r="D152" i="33"/>
  <c r="D176" i="33"/>
  <c r="D200" i="33"/>
  <c r="D224" i="33"/>
  <c r="D7" i="33"/>
  <c r="D15" i="33"/>
  <c r="D23" i="33"/>
  <c r="D31" i="33"/>
  <c r="D39" i="33"/>
  <c r="D47" i="33"/>
  <c r="D55" i="33"/>
  <c r="D63" i="33"/>
  <c r="D71" i="33"/>
  <c r="D79" i="33"/>
  <c r="D87" i="33"/>
  <c r="D95" i="33"/>
  <c r="D103" i="33"/>
  <c r="D111" i="33"/>
  <c r="D119" i="33"/>
  <c r="D127" i="33"/>
  <c r="D135" i="33"/>
  <c r="D143" i="33"/>
  <c r="D151" i="33"/>
  <c r="D159" i="33"/>
  <c r="D167" i="33"/>
  <c r="D175" i="33"/>
  <c r="D183" i="33"/>
  <c r="D191" i="33"/>
  <c r="D199" i="33"/>
  <c r="D207" i="33"/>
  <c r="D215" i="33"/>
  <c r="D223" i="33"/>
  <c r="D231" i="33"/>
  <c r="D239" i="33"/>
  <c r="B209" i="33"/>
  <c r="D24" i="33"/>
  <c r="D48" i="33"/>
  <c r="D72" i="33"/>
  <c r="D96" i="33"/>
  <c r="D112" i="33"/>
  <c r="D136" i="33"/>
  <c r="D160" i="33"/>
  <c r="D168" i="33"/>
  <c r="D192" i="33"/>
  <c r="D216" i="33"/>
  <c r="D240" i="33"/>
  <c r="D9" i="33"/>
  <c r="D17" i="33"/>
  <c r="D25" i="33"/>
  <c r="D33" i="33"/>
  <c r="D41" i="33"/>
  <c r="D49" i="33"/>
  <c r="D57" i="33"/>
  <c r="D65" i="33"/>
  <c r="D73" i="33"/>
  <c r="D81" i="33"/>
  <c r="D89" i="33"/>
  <c r="D97" i="33"/>
  <c r="D105" i="33"/>
  <c r="D113" i="33"/>
  <c r="D121" i="33"/>
  <c r="D129" i="33"/>
  <c r="D137" i="33"/>
  <c r="D145" i="33"/>
  <c r="D153" i="33"/>
  <c r="D161" i="33"/>
  <c r="D169" i="33"/>
  <c r="D177" i="33"/>
  <c r="D185" i="33"/>
  <c r="D193" i="33"/>
  <c r="D201" i="33"/>
  <c r="D209" i="33"/>
  <c r="D217" i="33"/>
  <c r="D225" i="33"/>
  <c r="D233" i="33"/>
  <c r="D241" i="33"/>
  <c r="D226" i="33"/>
  <c r="D132" i="33"/>
  <c r="D212" i="33"/>
  <c r="D10" i="33"/>
  <c r="D18" i="33"/>
  <c r="D26" i="33"/>
  <c r="D34" i="33"/>
  <c r="D42" i="33"/>
  <c r="D50" i="33"/>
  <c r="D58" i="33"/>
  <c r="D66" i="33"/>
  <c r="D74" i="33"/>
  <c r="D82" i="33"/>
  <c r="D90" i="33"/>
  <c r="D98" i="33"/>
  <c r="D106" i="33"/>
  <c r="D114" i="33"/>
  <c r="D122" i="33"/>
  <c r="D130" i="33"/>
  <c r="D138" i="33"/>
  <c r="D146" i="33"/>
  <c r="D154" i="33"/>
  <c r="D162" i="33"/>
  <c r="D170" i="33"/>
  <c r="D178" i="33"/>
  <c r="D186" i="33"/>
  <c r="D194" i="33"/>
  <c r="D202" i="33"/>
  <c r="D210" i="33"/>
  <c r="D218" i="33"/>
  <c r="D234" i="33"/>
  <c r="D140" i="33"/>
  <c r="D204" i="33"/>
  <c r="D236" i="33"/>
  <c r="D11" i="33"/>
  <c r="D19" i="33"/>
  <c r="D27" i="33"/>
  <c r="D35" i="33"/>
  <c r="D43" i="33"/>
  <c r="D51" i="33"/>
  <c r="D59" i="33"/>
  <c r="D67" i="33"/>
  <c r="D75" i="33"/>
  <c r="D83" i="33"/>
  <c r="D91" i="33"/>
  <c r="D99" i="33"/>
  <c r="D107" i="33"/>
  <c r="D115" i="33"/>
  <c r="D123" i="33"/>
  <c r="D131" i="33"/>
  <c r="D139" i="33"/>
  <c r="D147" i="33"/>
  <c r="D155" i="33"/>
  <c r="D163" i="33"/>
  <c r="D171" i="33"/>
  <c r="D179" i="33"/>
  <c r="D187" i="33"/>
  <c r="D195" i="33"/>
  <c r="D203" i="33"/>
  <c r="D211" i="33"/>
  <c r="D219" i="33"/>
  <c r="D227" i="33"/>
  <c r="D235" i="33"/>
  <c r="B223" i="33"/>
  <c r="D156" i="33"/>
  <c r="D228" i="33"/>
  <c r="B224" i="33"/>
  <c r="D12" i="33"/>
  <c r="D20" i="33"/>
  <c r="D28" i="33"/>
  <c r="D36" i="33"/>
  <c r="D44" i="33"/>
  <c r="D52" i="33"/>
  <c r="D60" i="33"/>
  <c r="D68" i="33"/>
  <c r="D76" i="33"/>
  <c r="D84" i="33"/>
  <c r="D92" i="33"/>
  <c r="D100" i="33"/>
  <c r="D108" i="33"/>
  <c r="D116" i="33"/>
  <c r="D124" i="33"/>
  <c r="D148" i="33"/>
  <c r="D164" i="33"/>
  <c r="D172" i="33"/>
  <c r="D180" i="33"/>
  <c r="D188" i="33"/>
  <c r="D196" i="33"/>
  <c r="D220" i="33"/>
  <c r="A2" i="33"/>
  <c r="D2" i="33" s="1"/>
  <c r="B81" i="33"/>
  <c r="C182" i="33"/>
  <c r="C118" i="33"/>
  <c r="C54" i="33"/>
  <c r="B237" i="33"/>
  <c r="B169" i="33"/>
  <c r="B105" i="33"/>
  <c r="C204" i="33"/>
  <c r="C140" i="33"/>
  <c r="C76" i="33"/>
  <c r="C12" i="33"/>
  <c r="B191" i="33"/>
  <c r="B127" i="33"/>
  <c r="B63" i="33"/>
  <c r="C203" i="33"/>
  <c r="C119" i="33"/>
  <c r="C33" i="33"/>
  <c r="C202" i="33"/>
  <c r="C117" i="33"/>
  <c r="C32" i="33"/>
  <c r="C201" i="33"/>
  <c r="C115" i="33"/>
  <c r="C31" i="33"/>
  <c r="B188" i="33"/>
  <c r="B102" i="33"/>
  <c r="B30" i="33"/>
  <c r="C145" i="33"/>
  <c r="C168" i="33"/>
  <c r="C82" i="33"/>
  <c r="B155" i="33"/>
  <c r="B70" i="33"/>
  <c r="B5" i="33"/>
  <c r="C81" i="33"/>
  <c r="C185" i="33"/>
  <c r="B216" i="33"/>
  <c r="B98" i="33"/>
  <c r="B4" i="33"/>
  <c r="C37" i="33"/>
  <c r="B139" i="33"/>
  <c r="B35" i="33"/>
  <c r="C3" i="33"/>
  <c r="B11" i="33"/>
  <c r="C66" i="33"/>
  <c r="B150" i="33"/>
  <c r="B44" i="33"/>
  <c r="B226" i="33"/>
  <c r="B23" i="33"/>
  <c r="B239" i="33"/>
  <c r="B17" i="33"/>
  <c r="B106" i="33"/>
  <c r="C219" i="33"/>
  <c r="B184" i="33"/>
  <c r="C131" i="33"/>
  <c r="B172" i="33"/>
  <c r="B221" i="33"/>
  <c r="B219" i="33"/>
  <c r="B157" i="33"/>
  <c r="B118" i="33"/>
  <c r="B41" i="33"/>
  <c r="B177" i="33"/>
  <c r="B199" i="33"/>
  <c r="C215" i="33"/>
  <c r="C213" i="33"/>
  <c r="C127" i="33"/>
  <c r="B114" i="33"/>
  <c r="C167" i="33"/>
  <c r="B80" i="33"/>
  <c r="B231" i="33"/>
  <c r="B47" i="33"/>
  <c r="B56" i="33"/>
  <c r="B31" i="33"/>
  <c r="C25" i="33"/>
  <c r="C238" i="33"/>
  <c r="C174" i="33"/>
  <c r="C110" i="33"/>
  <c r="C46" i="33"/>
  <c r="B229" i="33"/>
  <c r="B161" i="33"/>
  <c r="B97" i="33"/>
  <c r="C196" i="33"/>
  <c r="C132" i="33"/>
  <c r="C68" i="33"/>
  <c r="C4" i="33"/>
  <c r="B183" i="33"/>
  <c r="B119" i="33"/>
  <c r="C241" i="33"/>
  <c r="C193" i="33"/>
  <c r="C107" i="33"/>
  <c r="C23" i="33"/>
  <c r="C192" i="33"/>
  <c r="C106" i="33"/>
  <c r="C21" i="33"/>
  <c r="C191" i="33"/>
  <c r="C105" i="33"/>
  <c r="C19" i="33"/>
  <c r="B178" i="33"/>
  <c r="B92" i="33"/>
  <c r="B22" i="33"/>
  <c r="C123" i="33"/>
  <c r="C157" i="33"/>
  <c r="C72" i="33"/>
  <c r="B233" i="33"/>
  <c r="B144" i="33"/>
  <c r="B61" i="33"/>
  <c r="C59" i="33"/>
  <c r="C154" i="33"/>
  <c r="B196" i="33"/>
  <c r="B84" i="33"/>
  <c r="C13" i="33"/>
  <c r="B125" i="33"/>
  <c r="B25" i="33"/>
  <c r="B205" i="33"/>
  <c r="C197" i="33"/>
  <c r="C35" i="33"/>
  <c r="B138" i="33"/>
  <c r="B34" i="33"/>
  <c r="B192" i="33"/>
  <c r="C231" i="33"/>
  <c r="B200" i="33"/>
  <c r="C163" i="33"/>
  <c r="B76" i="33"/>
  <c r="C24" i="33"/>
  <c r="B128" i="33"/>
  <c r="B241" i="33"/>
  <c r="B116" i="33"/>
  <c r="B189" i="33"/>
  <c r="B158" i="33"/>
  <c r="B99" i="33"/>
  <c r="B65" i="33"/>
  <c r="C186" i="33"/>
  <c r="C212" i="33"/>
  <c r="C43" i="33"/>
  <c r="B198" i="33"/>
  <c r="C17" i="33"/>
  <c r="B13" i="33"/>
  <c r="B110" i="33"/>
  <c r="C58" i="33"/>
  <c r="C34" i="33"/>
  <c r="C77" i="33"/>
  <c r="B217" i="33"/>
  <c r="C230" i="33"/>
  <c r="C166" i="33"/>
  <c r="C102" i="33"/>
  <c r="C38" i="33"/>
  <c r="B220" i="33"/>
  <c r="B153" i="33"/>
  <c r="B89" i="33"/>
  <c r="C188" i="33"/>
  <c r="C124" i="33"/>
  <c r="C60" i="33"/>
  <c r="B175" i="33"/>
  <c r="B111" i="33"/>
  <c r="C233" i="33"/>
  <c r="C183" i="33"/>
  <c r="C97" i="33"/>
  <c r="C11" i="33"/>
  <c r="C181" i="33"/>
  <c r="C96" i="33"/>
  <c r="C10" i="33"/>
  <c r="C179" i="33"/>
  <c r="C95" i="33"/>
  <c r="C9" i="33"/>
  <c r="B166" i="33"/>
  <c r="B82" i="33"/>
  <c r="B14" i="33"/>
  <c r="C103" i="33"/>
  <c r="C235" i="33"/>
  <c r="C146" i="33"/>
  <c r="C61" i="33"/>
  <c r="B222" i="33"/>
  <c r="B133" i="33"/>
  <c r="B53" i="33"/>
  <c r="C221" i="33"/>
  <c r="C27" i="33"/>
  <c r="C130" i="33"/>
  <c r="B182" i="33"/>
  <c r="B69" i="33"/>
  <c r="C208" i="33"/>
  <c r="B230" i="33"/>
  <c r="B109" i="33"/>
  <c r="B15" i="33"/>
  <c r="B179" i="33"/>
  <c r="C5" i="33"/>
  <c r="B122" i="33"/>
  <c r="B12" i="33"/>
  <c r="B163" i="33"/>
  <c r="C173" i="33"/>
  <c r="B171" i="33"/>
  <c r="C101" i="33"/>
  <c r="B52" i="33"/>
  <c r="B186" i="33"/>
  <c r="B73" i="33"/>
  <c r="B173" i="33"/>
  <c r="B60" i="33"/>
  <c r="B160" i="33"/>
  <c r="B100" i="33"/>
  <c r="B49" i="33"/>
  <c r="B20" i="33"/>
  <c r="C48" i="33"/>
  <c r="B113" i="33"/>
  <c r="C84" i="33"/>
  <c r="C20" i="33"/>
  <c r="B135" i="33"/>
  <c r="B71" i="33"/>
  <c r="C129" i="33"/>
  <c r="C128" i="33"/>
  <c r="C41" i="33"/>
  <c r="B38" i="33"/>
  <c r="B165" i="33"/>
  <c r="C216" i="33"/>
  <c r="B152" i="33"/>
  <c r="B164" i="33"/>
  <c r="B39" i="33"/>
  <c r="B42" i="33"/>
  <c r="B174" i="33"/>
  <c r="C222" i="33"/>
  <c r="C158" i="33"/>
  <c r="C94" i="33"/>
  <c r="C30" i="33"/>
  <c r="B212" i="33"/>
  <c r="B145" i="33"/>
  <c r="C180" i="33"/>
  <c r="C116" i="33"/>
  <c r="C52" i="33"/>
  <c r="B235" i="33"/>
  <c r="B167" i="33"/>
  <c r="B103" i="33"/>
  <c r="C225" i="33"/>
  <c r="C171" i="33"/>
  <c r="C87" i="33"/>
  <c r="C170" i="33"/>
  <c r="C85" i="33"/>
  <c r="C169" i="33"/>
  <c r="C83" i="33"/>
  <c r="B156" i="33"/>
  <c r="B72" i="33"/>
  <c r="B6" i="33"/>
  <c r="C91" i="33"/>
  <c r="C223" i="33"/>
  <c r="C136" i="33"/>
  <c r="C50" i="33"/>
  <c r="B211" i="33"/>
  <c r="B123" i="33"/>
  <c r="B45" i="33"/>
  <c r="C199" i="33"/>
  <c r="C7" i="33"/>
  <c r="C99" i="33"/>
  <c r="B170" i="33"/>
  <c r="B58" i="33"/>
  <c r="C184" i="33"/>
  <c r="B215" i="33"/>
  <c r="B96" i="33"/>
  <c r="B3" i="33"/>
  <c r="B149" i="33"/>
  <c r="C207" i="33"/>
  <c r="B228" i="33"/>
  <c r="B108" i="33"/>
  <c r="C232" i="33"/>
  <c r="B136" i="33"/>
  <c r="C112" i="33"/>
  <c r="B141" i="33"/>
  <c r="C26" i="33"/>
  <c r="B32" i="33"/>
  <c r="B130" i="33"/>
  <c r="B27" i="33"/>
  <c r="B117" i="33"/>
  <c r="B18" i="33"/>
  <c r="B104" i="33"/>
  <c r="B50" i="33"/>
  <c r="B7" i="33"/>
  <c r="C194" i="33"/>
  <c r="B202" i="33"/>
  <c r="C62" i="33"/>
  <c r="C42" i="33"/>
  <c r="C8" i="33"/>
  <c r="B16" i="33"/>
  <c r="B33" i="33"/>
  <c r="C79" i="33"/>
  <c r="C214" i="33"/>
  <c r="C150" i="33"/>
  <c r="C86" i="33"/>
  <c r="C22" i="33"/>
  <c r="B201" i="33"/>
  <c r="B137" i="33"/>
  <c r="C236" i="33"/>
  <c r="C172" i="33"/>
  <c r="C108" i="33"/>
  <c r="C44" i="33"/>
  <c r="B227" i="33"/>
  <c r="B159" i="33"/>
  <c r="B95" i="33"/>
  <c r="C217" i="33"/>
  <c r="C161" i="33"/>
  <c r="C75" i="33"/>
  <c r="B238" i="33"/>
  <c r="C160" i="33"/>
  <c r="C74" i="33"/>
  <c r="B236" i="33"/>
  <c r="C159" i="33"/>
  <c r="C73" i="33"/>
  <c r="B234" i="33"/>
  <c r="B146" i="33"/>
  <c r="B62" i="33"/>
  <c r="C234" i="33"/>
  <c r="C71" i="33"/>
  <c r="C210" i="33"/>
  <c r="C125" i="33"/>
  <c r="C40" i="33"/>
  <c r="B197" i="33"/>
  <c r="B112" i="33"/>
  <c r="B37" i="33"/>
  <c r="C177" i="33"/>
  <c r="B232" i="33"/>
  <c r="C69" i="33"/>
  <c r="B154" i="33"/>
  <c r="B48" i="33"/>
  <c r="C153" i="33"/>
  <c r="B195" i="33"/>
  <c r="B83" i="33"/>
  <c r="B24" i="33"/>
  <c r="B120" i="33"/>
  <c r="C176" i="33"/>
  <c r="B214" i="33"/>
  <c r="B94" i="33"/>
  <c r="C205" i="33"/>
  <c r="B107" i="33"/>
  <c r="C88" i="33"/>
  <c r="B115" i="33"/>
  <c r="B225" i="33"/>
  <c r="B10" i="33"/>
  <c r="B74" i="33"/>
  <c r="C195" i="33"/>
  <c r="B64" i="33"/>
  <c r="C229" i="33"/>
  <c r="B51" i="33"/>
  <c r="B8" i="33"/>
  <c r="C133" i="33"/>
  <c r="C56" i="33"/>
  <c r="B142" i="33"/>
  <c r="C126" i="33"/>
  <c r="C211" i="33"/>
  <c r="C93" i="33"/>
  <c r="C113" i="33"/>
  <c r="C67" i="33"/>
  <c r="C90" i="33"/>
  <c r="B132" i="33"/>
  <c r="B240" i="33"/>
  <c r="B88" i="33"/>
  <c r="C206" i="33"/>
  <c r="C142" i="33"/>
  <c r="C78" i="33"/>
  <c r="C14" i="33"/>
  <c r="B193" i="33"/>
  <c r="B129" i="33"/>
  <c r="C228" i="33"/>
  <c r="C164" i="33"/>
  <c r="C100" i="33"/>
  <c r="C36" i="33"/>
  <c r="B218" i="33"/>
  <c r="B151" i="33"/>
  <c r="B87" i="33"/>
  <c r="C240" i="33"/>
  <c r="C151" i="33"/>
  <c r="C65" i="33"/>
  <c r="C239" i="33"/>
  <c r="C149" i="33"/>
  <c r="C64" i="33"/>
  <c r="C237" i="33"/>
  <c r="C147" i="33"/>
  <c r="C63" i="33"/>
  <c r="B134" i="33"/>
  <c r="B54" i="33"/>
  <c r="C209" i="33"/>
  <c r="C49" i="33"/>
  <c r="C200" i="33"/>
  <c r="C114" i="33"/>
  <c r="C29" i="33"/>
  <c r="B187" i="33"/>
  <c r="B101" i="33"/>
  <c r="B29" i="33"/>
  <c r="C155" i="33"/>
  <c r="B206" i="33"/>
  <c r="C45" i="33"/>
  <c r="B140" i="33"/>
  <c r="B36" i="33"/>
  <c r="C122" i="33"/>
  <c r="B181" i="33"/>
  <c r="B68" i="33"/>
  <c r="C175" i="33"/>
  <c r="B93" i="33"/>
  <c r="C152" i="33"/>
  <c r="B194" i="33"/>
  <c r="B78" i="33"/>
  <c r="C144" i="33"/>
  <c r="B77" i="33"/>
  <c r="C165" i="33"/>
  <c r="B85" i="33"/>
  <c r="B190" i="33"/>
  <c r="B131" i="33"/>
  <c r="B28" i="33"/>
  <c r="B148" i="33"/>
  <c r="B19" i="33"/>
  <c r="C162" i="33"/>
  <c r="B9" i="33"/>
  <c r="C141" i="33"/>
  <c r="C57" i="33"/>
  <c r="B203" i="33"/>
  <c r="B86" i="33"/>
  <c r="C148" i="33"/>
  <c r="B43" i="33"/>
  <c r="C198" i="33"/>
  <c r="C134" i="33"/>
  <c r="C70" i="33"/>
  <c r="C6" i="33"/>
  <c r="B185" i="33"/>
  <c r="B121" i="33"/>
  <c r="C220" i="33"/>
  <c r="C156" i="33"/>
  <c r="C92" i="33"/>
  <c r="C28" i="33"/>
  <c r="B210" i="33"/>
  <c r="B143" i="33"/>
  <c r="B79" i="33"/>
  <c r="C227" i="33"/>
  <c r="C139" i="33"/>
  <c r="C55" i="33"/>
  <c r="C226" i="33"/>
  <c r="C138" i="33"/>
  <c r="C53" i="33"/>
  <c r="C224" i="33"/>
  <c r="C137" i="33"/>
  <c r="C51" i="33"/>
  <c r="B213" i="33"/>
  <c r="B124" i="33"/>
  <c r="B46" i="33"/>
  <c r="C187" i="33"/>
  <c r="C39" i="33"/>
  <c r="C189" i="33"/>
  <c r="C104" i="33"/>
  <c r="C18" i="33"/>
  <c r="B176" i="33"/>
  <c r="B91" i="33"/>
  <c r="B21" i="33"/>
  <c r="C135" i="33"/>
  <c r="C15" i="33"/>
  <c r="B126" i="33"/>
  <c r="B26" i="33"/>
  <c r="C98" i="33"/>
  <c r="B168" i="33"/>
  <c r="B57" i="33"/>
  <c r="C89" i="33"/>
  <c r="B66" i="33"/>
  <c r="C121" i="33"/>
  <c r="B180" i="33"/>
  <c r="B67" i="33"/>
  <c r="C120" i="33"/>
  <c r="B55" i="33"/>
  <c r="C109" i="33"/>
  <c r="B59" i="33"/>
  <c r="B162" i="33"/>
  <c r="B75" i="33"/>
  <c r="C218" i="33"/>
  <c r="B90" i="33"/>
  <c r="C111" i="33"/>
  <c r="C80" i="33"/>
  <c r="C143" i="33"/>
  <c r="C16" i="33"/>
  <c r="B204" i="33"/>
  <c r="B147" i="33"/>
  <c r="B40" i="33"/>
  <c r="C190" i="33"/>
  <c r="C178" i="33"/>
  <c r="C47" i="33"/>
  <c r="D86" i="26"/>
  <c r="K93" i="26" s="1"/>
  <c r="J103" i="26" s="1"/>
  <c r="J132" i="26"/>
  <c r="D130" i="26"/>
  <c r="L131" i="26"/>
  <c r="H130" i="26"/>
  <c r="F132" i="26"/>
  <c r="L132" i="26"/>
  <c r="J131" i="26"/>
  <c r="J134" i="26"/>
  <c r="D132" i="26"/>
  <c r="L134" i="26"/>
  <c r="J130" i="26"/>
  <c r="D131" i="26"/>
  <c r="H132" i="26"/>
  <c r="F135" i="26"/>
  <c r="H134" i="26"/>
  <c r="L130" i="26"/>
  <c r="H131" i="26"/>
  <c r="F130" i="26"/>
  <c r="F131" i="26"/>
  <c r="J135" i="26"/>
  <c r="L135" i="26"/>
  <c r="G46" i="26"/>
  <c r="G115" i="26"/>
  <c r="N129" i="26" s="1"/>
  <c r="G114" i="26"/>
  <c r="G113" i="26"/>
  <c r="J129" i="26" s="1"/>
  <c r="G112" i="26"/>
  <c r="G110" i="26"/>
  <c r="D129" i="26" s="1"/>
  <c r="G111" i="26"/>
  <c r="G50" i="26"/>
  <c r="K113" i="26"/>
  <c r="K112" i="26"/>
  <c r="K114" i="26"/>
  <c r="L133" i="26" s="1"/>
  <c r="K110" i="26"/>
  <c r="D133" i="26" s="1"/>
  <c r="K115" i="26"/>
  <c r="N133" i="26" s="1"/>
  <c r="G117" i="26"/>
  <c r="R129" i="26" s="1"/>
  <c r="G118" i="26"/>
  <c r="G119" i="26"/>
  <c r="G123" i="26"/>
  <c r="AD129" i="26" s="1"/>
  <c r="G121" i="26"/>
  <c r="G122" i="26"/>
  <c r="J116" i="26"/>
  <c r="J118" i="26"/>
  <c r="J120" i="26"/>
  <c r="J122" i="26"/>
  <c r="J117" i="26"/>
  <c r="J119" i="26"/>
  <c r="J121" i="26"/>
  <c r="J123" i="26"/>
  <c r="J51" i="26"/>
  <c r="L116" i="26"/>
  <c r="L120" i="26"/>
  <c r="L117" i="26"/>
  <c r="L121" i="26"/>
  <c r="Z134" i="26" s="1"/>
  <c r="L118" i="26"/>
  <c r="L122" i="26"/>
  <c r="L119" i="26"/>
  <c r="V134" i="26" s="1"/>
  <c r="L123" i="26"/>
  <c r="J52" i="26"/>
  <c r="M116" i="26"/>
  <c r="M120" i="26"/>
  <c r="M117" i="26"/>
  <c r="R135" i="26" s="1"/>
  <c r="M121" i="26"/>
  <c r="M119" i="26"/>
  <c r="M118" i="26"/>
  <c r="M122" i="26"/>
  <c r="M123" i="26"/>
  <c r="F110" i="26"/>
  <c r="F111" i="26"/>
  <c r="F112" i="26"/>
  <c r="F115" i="26"/>
  <c r="N128" i="26" s="1"/>
  <c r="F113" i="26"/>
  <c r="F114" i="26"/>
  <c r="J50" i="26"/>
  <c r="K118" i="26"/>
  <c r="K120" i="26"/>
  <c r="K122" i="26"/>
  <c r="AB133" i="26" s="1"/>
  <c r="K117" i="26"/>
  <c r="K121" i="26"/>
  <c r="Z133" i="26" s="1"/>
  <c r="K123" i="26"/>
  <c r="AD133" i="26" s="1"/>
  <c r="K119" i="26"/>
  <c r="F117" i="26"/>
  <c r="F118" i="26"/>
  <c r="F119" i="26"/>
  <c r="F120" i="26"/>
  <c r="F121" i="26"/>
  <c r="F116" i="26"/>
  <c r="F122" i="26"/>
  <c r="F123" i="26"/>
  <c r="J48" i="26"/>
  <c r="I116" i="26"/>
  <c r="I118" i="26"/>
  <c r="I120" i="26"/>
  <c r="I122" i="26"/>
  <c r="I117" i="26"/>
  <c r="I119" i="26"/>
  <c r="I121" i="26"/>
  <c r="I123" i="26"/>
  <c r="J47" i="26"/>
  <c r="H116" i="26"/>
  <c r="H118" i="26"/>
  <c r="H120" i="26"/>
  <c r="H122" i="26"/>
  <c r="H117" i="26"/>
  <c r="H119" i="26"/>
  <c r="H121" i="26"/>
  <c r="H123" i="26"/>
  <c r="E116" i="26"/>
  <c r="P127" i="26" s="1"/>
  <c r="E117" i="26"/>
  <c r="R127" i="26" s="1"/>
  <c r="E118" i="26"/>
  <c r="T127" i="26" s="1"/>
  <c r="E119" i="26"/>
  <c r="V127" i="26" s="1"/>
  <c r="E120" i="26"/>
  <c r="X127" i="26" s="1"/>
  <c r="E121" i="26"/>
  <c r="Z127" i="26" s="1"/>
  <c r="E122" i="26"/>
  <c r="AB127" i="26" s="1"/>
  <c r="E123" i="26"/>
  <c r="AD127" i="26" s="1"/>
  <c r="G45" i="26"/>
  <c r="J46" i="26"/>
  <c r="J49" i="26"/>
  <c r="J45" i="26"/>
  <c r="J44" i="26"/>
  <c r="E36" i="26"/>
  <c r="G5" i="35"/>
  <c r="G6" i="35"/>
  <c r="G7" i="35"/>
  <c r="G8" i="35"/>
  <c r="G9" i="35"/>
  <c r="G10" i="35"/>
  <c r="G11" i="35"/>
  <c r="G4" i="35"/>
  <c r="D188" i="35"/>
  <c r="D189" i="35"/>
  <c r="N140" i="35"/>
  <c r="N141" i="35"/>
  <c r="K526" i="18"/>
  <c r="K523" i="18"/>
  <c r="K525" i="18"/>
  <c r="B2" i="33" l="1"/>
  <c r="C2" i="33"/>
  <c r="AD128" i="26"/>
  <c r="AD134" i="26"/>
  <c r="R130" i="26"/>
  <c r="T135" i="26"/>
  <c r="AD132" i="26"/>
  <c r="R131" i="26"/>
  <c r="V135" i="26"/>
  <c r="Z132" i="26"/>
  <c r="X130" i="26"/>
  <c r="AB131" i="26"/>
  <c r="Z128" i="26"/>
  <c r="R133" i="26"/>
  <c r="Z135" i="26"/>
  <c r="T134" i="26"/>
  <c r="V132" i="26"/>
  <c r="F133" i="26"/>
  <c r="H129" i="26"/>
  <c r="V133" i="26"/>
  <c r="AB128" i="26"/>
  <c r="L128" i="26"/>
  <c r="AB129" i="26"/>
  <c r="F129" i="26"/>
  <c r="AB130" i="26"/>
  <c r="P128" i="26"/>
  <c r="J128" i="26"/>
  <c r="AB134" i="26"/>
  <c r="Z129" i="26"/>
  <c r="T130" i="26"/>
  <c r="X131" i="26"/>
  <c r="X128" i="26"/>
  <c r="H128" i="26"/>
  <c r="R132" i="26"/>
  <c r="Z131" i="26"/>
  <c r="AB135" i="26"/>
  <c r="V131" i="26"/>
  <c r="P130" i="26"/>
  <c r="T131" i="26"/>
  <c r="V128" i="26"/>
  <c r="X133" i="26"/>
  <c r="F128" i="26"/>
  <c r="X135" i="26"/>
  <c r="R134" i="26"/>
  <c r="AB132" i="26"/>
  <c r="V129" i="26"/>
  <c r="H133" i="26"/>
  <c r="L129" i="26"/>
  <c r="AD130" i="26"/>
  <c r="P131" i="26"/>
  <c r="T128" i="26"/>
  <c r="T133" i="26"/>
  <c r="D128" i="26"/>
  <c r="P135" i="26"/>
  <c r="X134" i="26"/>
  <c r="X132" i="26"/>
  <c r="T129" i="26"/>
  <c r="J133" i="26"/>
  <c r="Z130" i="26"/>
  <c r="AD131" i="26"/>
  <c r="R128" i="26"/>
  <c r="AD135" i="26"/>
  <c r="P134" i="26"/>
  <c r="T132" i="26"/>
  <c r="P132" i="26"/>
  <c r="V130" i="26"/>
  <c r="G12" i="35"/>
  <c r="H5" i="35" s="1"/>
  <c r="D190" i="35"/>
  <c r="G189" i="35" s="1"/>
  <c r="G3" i="30" a="1"/>
  <c r="E3" i="30" a="1"/>
  <c r="B3" i="30" a="1"/>
  <c r="B3" i="30" s="1"/>
  <c r="A3" i="30" a="1"/>
  <c r="A3" i="30" s="1"/>
  <c r="K94" i="30" l="1"/>
  <c r="K96" i="30"/>
  <c r="K161" i="30"/>
  <c r="K91" i="30"/>
  <c r="K15" i="30"/>
  <c r="K93" i="30"/>
  <c r="K70" i="30"/>
  <c r="K92" i="30"/>
  <c r="K223" i="30"/>
  <c r="K95" i="30"/>
  <c r="K235" i="30"/>
  <c r="K236" i="30"/>
  <c r="K233" i="30"/>
  <c r="K238" i="30"/>
  <c r="K108" i="30"/>
  <c r="K119" i="30"/>
  <c r="K98" i="30"/>
  <c r="K246" i="30"/>
  <c r="K250" i="30"/>
  <c r="K251" i="30"/>
  <c r="K249" i="30"/>
  <c r="K217" i="30"/>
  <c r="K248" i="30"/>
  <c r="K247" i="30"/>
  <c r="K240" i="30"/>
  <c r="K216" i="30"/>
  <c r="K123" i="30"/>
  <c r="K99" i="30"/>
  <c r="K239" i="30"/>
  <c r="K237" i="30"/>
  <c r="K244" i="30"/>
  <c r="K245" i="30"/>
  <c r="K60" i="30"/>
  <c r="K253" i="30"/>
  <c r="K219" i="30"/>
  <c r="K126" i="30"/>
  <c r="K256" i="30"/>
  <c r="K111" i="30"/>
  <c r="K220" i="30"/>
  <c r="K252" i="30"/>
  <c r="K254" i="30"/>
  <c r="K255" i="30"/>
  <c r="K221" i="30"/>
  <c r="K100" i="30"/>
  <c r="K112" i="30"/>
  <c r="K127" i="30"/>
  <c r="K61" i="30"/>
  <c r="K104" i="30"/>
  <c r="K116" i="30"/>
  <c r="K131" i="30"/>
  <c r="K132" i="30"/>
  <c r="K64" i="30"/>
  <c r="K118" i="30"/>
  <c r="K63" i="30"/>
  <c r="K49" i="30"/>
  <c r="K106" i="30"/>
  <c r="K45" i="30"/>
  <c r="K153" i="30"/>
  <c r="K191" i="30"/>
  <c r="K163" i="30"/>
  <c r="K164" i="30"/>
  <c r="K196" i="30"/>
  <c r="K213" i="30"/>
  <c r="K157" i="30"/>
  <c r="K33" i="30"/>
  <c r="K51" i="30"/>
  <c r="K193" i="30"/>
  <c r="K53" i="30"/>
  <c r="K182" i="30"/>
  <c r="K5" i="30"/>
  <c r="K183" i="30"/>
  <c r="K47" i="30"/>
  <c r="K24" i="30"/>
  <c r="K39" i="30"/>
  <c r="K46" i="30"/>
  <c r="K212" i="30"/>
  <c r="K68" i="30"/>
  <c r="K4" i="30"/>
  <c r="E2" i="25" a="1"/>
  <c r="F2" i="25" a="1"/>
  <c r="F2" i="25" s="1"/>
  <c r="K37" i="30"/>
  <c r="K27" i="30"/>
  <c r="K124" i="30"/>
  <c r="K207" i="30"/>
  <c r="K36" i="30"/>
  <c r="K110" i="30"/>
  <c r="K67" i="30"/>
  <c r="K184" i="30"/>
  <c r="K197" i="30"/>
  <c r="K26" i="30"/>
  <c r="K176" i="30"/>
  <c r="K83" i="30"/>
  <c r="K188" i="30"/>
  <c r="K22" i="30"/>
  <c r="K29" i="30"/>
  <c r="K73" i="30"/>
  <c r="K205" i="30"/>
  <c r="K194" i="30"/>
  <c r="K23" i="30"/>
  <c r="K31" i="30"/>
  <c r="K75" i="30"/>
  <c r="K203" i="30"/>
  <c r="K192" i="30"/>
  <c r="K19" i="30"/>
  <c r="K84" i="30"/>
  <c r="K177" i="30"/>
  <c r="K50" i="30"/>
  <c r="K186" i="30"/>
  <c r="E34" i="35"/>
  <c r="Y32" i="35"/>
  <c r="Y56" i="35"/>
  <c r="D760" i="20" s="1"/>
  <c r="AJ40" i="35"/>
  <c r="D554" i="18" s="1"/>
  <c r="Y40" i="35"/>
  <c r="D756" i="20" s="1"/>
  <c r="Y48" i="35"/>
  <c r="D757" i="20" s="1"/>
  <c r="AJ32" i="35"/>
  <c r="D556" i="18" s="1"/>
  <c r="AJ56" i="35"/>
  <c r="D550" i="18" s="1"/>
  <c r="AJ48" i="35"/>
  <c r="D552" i="18" s="1"/>
  <c r="Y24" i="35"/>
  <c r="D754" i="20" s="1"/>
  <c r="AJ24" i="35"/>
  <c r="D558" i="18" s="1"/>
  <c r="E20" i="35"/>
  <c r="H6" i="35"/>
  <c r="H4" i="35"/>
  <c r="H11" i="35"/>
  <c r="H9" i="35"/>
  <c r="H7" i="35"/>
  <c r="H8" i="35"/>
  <c r="H10" i="35"/>
  <c r="G188" i="35"/>
  <c r="G3" i="30"/>
  <c r="F9" i="30" s="1"/>
  <c r="E3" i="30"/>
  <c r="G87" i="25" l="1"/>
  <c r="G89" i="25"/>
  <c r="G92" i="25"/>
  <c r="G95" i="25"/>
  <c r="G90" i="25"/>
  <c r="G93" i="25"/>
  <c r="G96" i="25"/>
  <c r="G88" i="25"/>
  <c r="G91" i="25"/>
  <c r="G94" i="25"/>
  <c r="E2" i="25"/>
  <c r="G2" i="25" s="1"/>
  <c r="G5" i="25"/>
  <c r="G17" i="25"/>
  <c r="G29" i="25"/>
  <c r="G41" i="25"/>
  <c r="G53" i="25"/>
  <c r="G65" i="25"/>
  <c r="G77" i="25"/>
  <c r="G64" i="25"/>
  <c r="G6" i="25"/>
  <c r="G18" i="25"/>
  <c r="G30" i="25"/>
  <c r="G42" i="25"/>
  <c r="G54" i="25"/>
  <c r="G66" i="25"/>
  <c r="G78" i="25"/>
  <c r="G7" i="25"/>
  <c r="G19" i="25"/>
  <c r="G31" i="25"/>
  <c r="G43" i="25"/>
  <c r="G55" i="25"/>
  <c r="G67" i="25"/>
  <c r="G79" i="25"/>
  <c r="G8" i="25"/>
  <c r="G20" i="25"/>
  <c r="G32" i="25"/>
  <c r="G44" i="25"/>
  <c r="G56" i="25"/>
  <c r="G68" i="25"/>
  <c r="G80" i="25"/>
  <c r="G37" i="25"/>
  <c r="G49" i="25"/>
  <c r="G61" i="25"/>
  <c r="G85" i="25"/>
  <c r="G76" i="25"/>
  <c r="G9" i="25"/>
  <c r="G21" i="25"/>
  <c r="G33" i="25"/>
  <c r="G45" i="25"/>
  <c r="G57" i="25"/>
  <c r="G69" i="25"/>
  <c r="G81" i="25"/>
  <c r="G13" i="25"/>
  <c r="G73" i="25"/>
  <c r="G10" i="25"/>
  <c r="G22" i="25"/>
  <c r="G34" i="25"/>
  <c r="G46" i="25"/>
  <c r="G58" i="25"/>
  <c r="G70" i="25"/>
  <c r="G82" i="25"/>
  <c r="G52" i="25"/>
  <c r="G11" i="25"/>
  <c r="G23" i="25"/>
  <c r="G35" i="25"/>
  <c r="G47" i="25"/>
  <c r="G59" i="25"/>
  <c r="G71" i="25"/>
  <c r="G83" i="25"/>
  <c r="G25" i="25"/>
  <c r="G12" i="25"/>
  <c r="G24" i="25"/>
  <c r="G36" i="25"/>
  <c r="G48" i="25"/>
  <c r="G60" i="25"/>
  <c r="G72" i="25"/>
  <c r="G84" i="25"/>
  <c r="G14" i="25"/>
  <c r="G26" i="25"/>
  <c r="G38" i="25"/>
  <c r="G50" i="25"/>
  <c r="G62" i="25"/>
  <c r="G74" i="25"/>
  <c r="G86" i="25"/>
  <c r="G3" i="25"/>
  <c r="G15" i="25"/>
  <c r="G27" i="25"/>
  <c r="G39" i="25"/>
  <c r="G51" i="25"/>
  <c r="G63" i="25"/>
  <c r="G75" i="25"/>
  <c r="G4" i="25"/>
  <c r="G16" i="25"/>
  <c r="G28" i="25"/>
  <c r="G40" i="25"/>
  <c r="E38" i="35"/>
  <c r="Y44" i="35"/>
  <c r="D774" i="20" s="1"/>
  <c r="Y52" i="35"/>
  <c r="D775" i="20" s="1"/>
  <c r="Y60" i="35"/>
  <c r="D776" i="20" s="1"/>
  <c r="AJ44" i="35"/>
  <c r="D536" i="18" s="1"/>
  <c r="Y36" i="35"/>
  <c r="AJ28" i="35"/>
  <c r="D538" i="18" s="1"/>
  <c r="Y28" i="35"/>
  <c r="D773" i="20" s="1"/>
  <c r="AJ52" i="35"/>
  <c r="D535" i="18" s="1"/>
  <c r="AJ36" i="35"/>
  <c r="D537" i="18" s="1"/>
  <c r="AJ60" i="35"/>
  <c r="D534" i="18" s="1"/>
  <c r="E35" i="35"/>
  <c r="Y57" i="35"/>
  <c r="D751" i="20" s="1"/>
  <c r="Y41" i="35"/>
  <c r="D749" i="20" s="1"/>
  <c r="AJ25" i="35"/>
  <c r="D563" i="18" s="1"/>
  <c r="Y25" i="35"/>
  <c r="D748" i="20" s="1"/>
  <c r="Y49" i="35"/>
  <c r="D750" i="20" s="1"/>
  <c r="AJ33" i="35"/>
  <c r="D562" i="18" s="1"/>
  <c r="AJ49" i="35"/>
  <c r="D560" i="18" s="1"/>
  <c r="AJ57" i="35"/>
  <c r="D559" i="18" s="1"/>
  <c r="AJ41" i="35"/>
  <c r="D561" i="18" s="1"/>
  <c r="Y33" i="35"/>
  <c r="E33" i="35"/>
  <c r="AJ31" i="35"/>
  <c r="D567" i="18" s="1"/>
  <c r="Y31" i="35"/>
  <c r="Y55" i="35"/>
  <c r="D746" i="20" s="1"/>
  <c r="Y47" i="35"/>
  <c r="D745" i="20" s="1"/>
  <c r="Y39" i="35"/>
  <c r="D744" i="20" s="1"/>
  <c r="AJ23" i="35"/>
  <c r="D568" i="18" s="1"/>
  <c r="Y23" i="35"/>
  <c r="D743" i="20" s="1"/>
  <c r="AJ39" i="35"/>
  <c r="D566" i="18" s="1"/>
  <c r="AJ47" i="35"/>
  <c r="D565" i="18" s="1"/>
  <c r="AJ55" i="35"/>
  <c r="D564" i="18" s="1"/>
  <c r="E39" i="35"/>
  <c r="AJ37" i="35"/>
  <c r="D555" i="18" s="1"/>
  <c r="Y53" i="35"/>
  <c r="D759" i="20" s="1"/>
  <c r="Y45" i="35"/>
  <c r="D758" i="20" s="1"/>
  <c r="Y61" i="35"/>
  <c r="D761" i="20" s="1"/>
  <c r="AJ45" i="35"/>
  <c r="D553" i="18" s="1"/>
  <c r="AJ53" i="35"/>
  <c r="D551" i="18" s="1"/>
  <c r="AJ29" i="35"/>
  <c r="D557" i="18" s="1"/>
  <c r="Y37" i="35"/>
  <c r="AJ61" i="35"/>
  <c r="D549" i="18" s="1"/>
  <c r="Y29" i="35"/>
  <c r="D755" i="20" s="1"/>
  <c r="E37" i="35"/>
  <c r="Y43" i="35"/>
  <c r="D779" i="20" s="1"/>
  <c r="Y59" i="35"/>
  <c r="D781" i="20" s="1"/>
  <c r="Y51" i="35"/>
  <c r="D780" i="20" s="1"/>
  <c r="AJ51" i="35"/>
  <c r="D530" i="18" s="1"/>
  <c r="AJ59" i="35"/>
  <c r="D529" i="18" s="1"/>
  <c r="AJ35" i="35"/>
  <c r="D532" i="18" s="1"/>
  <c r="AJ43" i="35"/>
  <c r="D531" i="18" s="1"/>
  <c r="AJ27" i="35"/>
  <c r="D533" i="18" s="1"/>
  <c r="Y35" i="35"/>
  <c r="Y27" i="35"/>
  <c r="D778" i="20" s="1"/>
  <c r="E40" i="35"/>
  <c r="Y54" i="35"/>
  <c r="D770" i="20" s="1"/>
  <c r="Y62" i="35"/>
  <c r="D771" i="20" s="1"/>
  <c r="Y38" i="35"/>
  <c r="AJ46" i="35"/>
  <c r="D541" i="18" s="1"/>
  <c r="AJ38" i="35"/>
  <c r="D542" i="18" s="1"/>
  <c r="Y46" i="35"/>
  <c r="D769" i="20" s="1"/>
  <c r="AJ30" i="35"/>
  <c r="D543" i="18" s="1"/>
  <c r="AJ62" i="35"/>
  <c r="D539" i="18" s="1"/>
  <c r="Y30" i="35"/>
  <c r="D768" i="20" s="1"/>
  <c r="AJ54" i="35"/>
  <c r="D540" i="18" s="1"/>
  <c r="E36" i="35"/>
  <c r="Y58" i="35"/>
  <c r="D766" i="20" s="1"/>
  <c r="AJ34" i="35"/>
  <c r="D547" i="18" s="1"/>
  <c r="Y42" i="35"/>
  <c r="D764" i="20" s="1"/>
  <c r="Y50" i="35"/>
  <c r="D765" i="20" s="1"/>
  <c r="Y26" i="35"/>
  <c r="D763" i="20" s="1"/>
  <c r="Y34" i="35"/>
  <c r="AJ42" i="35"/>
  <c r="D546" i="18" s="1"/>
  <c r="AJ26" i="35"/>
  <c r="D548" i="18" s="1"/>
  <c r="AJ50" i="35"/>
  <c r="D545" i="18" s="1"/>
  <c r="AJ58" i="35"/>
  <c r="D544" i="18" s="1"/>
  <c r="D752" i="20"/>
  <c r="F17" i="30"/>
  <c r="F6" i="30"/>
  <c r="F18" i="30"/>
  <c r="F16" i="30"/>
  <c r="H17" i="30"/>
  <c r="H18" i="30"/>
  <c r="H16" i="30"/>
  <c r="F12" i="30"/>
  <c r="E23" i="35"/>
  <c r="E22" i="35"/>
  <c r="E26" i="35"/>
  <c r="E19" i="35"/>
  <c r="E21" i="35"/>
  <c r="E24" i="35"/>
  <c r="E25" i="35"/>
  <c r="H12" i="35"/>
  <c r="E93" i="26"/>
  <c r="D93" i="26"/>
  <c r="E92" i="26"/>
  <c r="G97" i="26" s="1"/>
  <c r="D92" i="26"/>
  <c r="G96" i="26" s="1"/>
  <c r="H6" i="30"/>
  <c r="H8" i="30"/>
  <c r="H13" i="30"/>
  <c r="H15" i="30"/>
  <c r="F8" i="30"/>
  <c r="H5" i="30"/>
  <c r="H7" i="30"/>
  <c r="F11" i="30"/>
  <c r="H10" i="30"/>
  <c r="F7" i="30"/>
  <c r="H4" i="30"/>
  <c r="F5" i="30"/>
  <c r="F13" i="30"/>
  <c r="H9" i="30"/>
  <c r="F4" i="30"/>
  <c r="F15" i="30"/>
  <c r="H12" i="30"/>
  <c r="H11" i="30"/>
  <c r="F14" i="30"/>
  <c r="F10" i="30"/>
  <c r="H14" i="30"/>
  <c r="L92" i="26"/>
  <c r="F92" i="26"/>
  <c r="G92" i="26"/>
  <c r="H92" i="26"/>
  <c r="I92" i="26"/>
  <c r="J92" i="26"/>
  <c r="K92" i="26"/>
  <c r="L93" i="26"/>
  <c r="F93" i="26"/>
  <c r="G93" i="26"/>
  <c r="H93" i="26"/>
  <c r="I93" i="26"/>
  <c r="J93" i="26"/>
  <c r="L91" i="26"/>
  <c r="D104" i="26" s="1"/>
  <c r="G91" i="26"/>
  <c r="D99" i="26" s="1"/>
  <c r="H91" i="26"/>
  <c r="D100" i="26" s="1"/>
  <c r="I91" i="26"/>
  <c r="D101" i="26" s="1"/>
  <c r="J91" i="26"/>
  <c r="D102" i="26" s="1"/>
  <c r="K91" i="26"/>
  <c r="D103" i="26" s="1"/>
  <c r="D742" i="20" l="1"/>
  <c r="D747" i="20"/>
  <c r="D767" i="20"/>
  <c r="D762" i="20"/>
  <c r="D777" i="20"/>
  <c r="D772" i="20"/>
  <c r="D753" i="20"/>
  <c r="G102" i="26"/>
  <c r="J102" i="26"/>
  <c r="G101" i="26"/>
  <c r="J97" i="26"/>
  <c r="J101" i="26"/>
  <c r="G100" i="26"/>
  <c r="G103" i="26"/>
  <c r="J100" i="26"/>
  <c r="G99" i="26"/>
  <c r="J99" i="26"/>
  <c r="G98" i="26"/>
  <c r="J98" i="26"/>
  <c r="G104" i="26"/>
  <c r="J104" i="26"/>
  <c r="J96" i="26"/>
  <c r="K741" i="20" l="1"/>
  <c r="K730" i="20"/>
  <c r="K733" i="20"/>
  <c r="K736" i="20"/>
  <c r="K737" i="20"/>
  <c r="K734" i="20"/>
  <c r="K739" i="20"/>
  <c r="K740" i="20"/>
  <c r="K735" i="20"/>
  <c r="K738" i="20"/>
  <c r="D18" i="22"/>
  <c r="D46" i="22" s="1"/>
  <c r="E18" i="22"/>
  <c r="E46" i="22" s="1"/>
  <c r="F18" i="22"/>
  <c r="F46" i="22" s="1"/>
  <c r="G18" i="22"/>
  <c r="G46" i="22" s="1"/>
  <c r="H18" i="22"/>
  <c r="H46" i="22" s="1"/>
  <c r="I18" i="22"/>
  <c r="I46" i="22" s="1"/>
  <c r="J18" i="22"/>
  <c r="J46" i="22" s="1"/>
  <c r="K18" i="22"/>
  <c r="K46" i="22" s="1"/>
  <c r="L18" i="22"/>
  <c r="L46" i="22" s="1"/>
  <c r="M18" i="22"/>
  <c r="M46" i="22" s="1"/>
  <c r="N18" i="22"/>
  <c r="N46" i="22" s="1"/>
  <c r="O18" i="22"/>
  <c r="O46" i="22" s="1"/>
  <c r="P18" i="22"/>
  <c r="P46" i="22" s="1"/>
  <c r="Q18" i="22"/>
  <c r="Q46" i="22" s="1"/>
  <c r="D19" i="22"/>
  <c r="D47" i="22" s="1"/>
  <c r="E19" i="22"/>
  <c r="E47" i="22" s="1"/>
  <c r="F19" i="22"/>
  <c r="F47" i="22" s="1"/>
  <c r="G19" i="22"/>
  <c r="G47" i="22" s="1"/>
  <c r="H19" i="22"/>
  <c r="H47" i="22" s="1"/>
  <c r="I19" i="22"/>
  <c r="I47" i="22" s="1"/>
  <c r="J19" i="22"/>
  <c r="J47" i="22" s="1"/>
  <c r="K19" i="22"/>
  <c r="K47" i="22" s="1"/>
  <c r="L19" i="22"/>
  <c r="L47" i="22" s="1"/>
  <c r="M19" i="22"/>
  <c r="M47" i="22" s="1"/>
  <c r="N19" i="22"/>
  <c r="N47" i="22" s="1"/>
  <c r="O19" i="22"/>
  <c r="O47" i="22" s="1"/>
  <c r="P19" i="22"/>
  <c r="P47" i="22" s="1"/>
  <c r="Q19" i="22"/>
  <c r="Q47" i="22" s="1"/>
  <c r="D20" i="22"/>
  <c r="D48" i="22" s="1"/>
  <c r="E20" i="22"/>
  <c r="E48" i="22" s="1"/>
  <c r="F20" i="22"/>
  <c r="F48" i="22" s="1"/>
  <c r="G20" i="22"/>
  <c r="G48" i="22" s="1"/>
  <c r="H20" i="22"/>
  <c r="H48" i="22" s="1"/>
  <c r="I20" i="22"/>
  <c r="I48" i="22" s="1"/>
  <c r="J20" i="22"/>
  <c r="J48" i="22" s="1"/>
  <c r="K20" i="22"/>
  <c r="K48" i="22" s="1"/>
  <c r="L20" i="22"/>
  <c r="L48" i="22" s="1"/>
  <c r="M20" i="22"/>
  <c r="M48" i="22" s="1"/>
  <c r="N20" i="22"/>
  <c r="N48" i="22" s="1"/>
  <c r="O20" i="22"/>
  <c r="O48" i="22" s="1"/>
  <c r="P20" i="22"/>
  <c r="P48" i="22" s="1"/>
  <c r="Q20" i="22"/>
  <c r="Q48" i="22" s="1"/>
  <c r="D21" i="22"/>
  <c r="D49" i="22" s="1"/>
  <c r="E21" i="22"/>
  <c r="E49" i="22" s="1"/>
  <c r="F21" i="22"/>
  <c r="F49" i="22" s="1"/>
  <c r="G21" i="22"/>
  <c r="G49" i="22" s="1"/>
  <c r="H21" i="22"/>
  <c r="H49" i="22" s="1"/>
  <c r="I21" i="22"/>
  <c r="I49" i="22" s="1"/>
  <c r="J21" i="22"/>
  <c r="J49" i="22" s="1"/>
  <c r="K21" i="22"/>
  <c r="K49" i="22" s="1"/>
  <c r="L21" i="22"/>
  <c r="L49" i="22" s="1"/>
  <c r="M21" i="22"/>
  <c r="M49" i="22" s="1"/>
  <c r="N21" i="22"/>
  <c r="N49" i="22" s="1"/>
  <c r="O21" i="22"/>
  <c r="O49" i="22" s="1"/>
  <c r="P21" i="22"/>
  <c r="P49" i="22" s="1"/>
  <c r="Q21" i="22"/>
  <c r="Q49" i="22" s="1"/>
  <c r="D22" i="22"/>
  <c r="E22" i="22"/>
  <c r="F22" i="22"/>
  <c r="G22" i="22"/>
  <c r="H22" i="22"/>
  <c r="I22" i="22"/>
  <c r="J22" i="22"/>
  <c r="K22" i="22"/>
  <c r="L22" i="22"/>
  <c r="M22" i="22"/>
  <c r="N22" i="22"/>
  <c r="O22" i="22"/>
  <c r="P22" i="22"/>
  <c r="Q22" i="22"/>
  <c r="D23" i="22"/>
  <c r="E23" i="22"/>
  <c r="F23" i="22"/>
  <c r="G23" i="22"/>
  <c r="H23" i="22"/>
  <c r="I23" i="22"/>
  <c r="J23" i="22"/>
  <c r="K23" i="22"/>
  <c r="L23" i="22"/>
  <c r="M23" i="22"/>
  <c r="N23" i="22"/>
  <c r="O23" i="22"/>
  <c r="P23" i="22"/>
  <c r="Q23" i="22"/>
  <c r="D24" i="22"/>
  <c r="E24" i="22"/>
  <c r="F24" i="22"/>
  <c r="G24" i="22"/>
  <c r="H24" i="22"/>
  <c r="I24" i="22"/>
  <c r="J24" i="22"/>
  <c r="K24" i="22"/>
  <c r="L24" i="22"/>
  <c r="M24" i="22"/>
  <c r="N24" i="22"/>
  <c r="O24" i="22"/>
  <c r="P24" i="22"/>
  <c r="Q24" i="22"/>
  <c r="D25" i="22"/>
  <c r="D53" i="22" s="1"/>
  <c r="E25" i="22"/>
  <c r="E53" i="22" s="1"/>
  <c r="F25" i="22"/>
  <c r="F53" i="22" s="1"/>
  <c r="G25" i="22"/>
  <c r="G53" i="22" s="1"/>
  <c r="H25" i="22"/>
  <c r="H53" i="22" s="1"/>
  <c r="I25" i="22"/>
  <c r="I53" i="22" s="1"/>
  <c r="J25" i="22"/>
  <c r="J53" i="22" s="1"/>
  <c r="K25" i="22"/>
  <c r="K53" i="22" s="1"/>
  <c r="L25" i="22"/>
  <c r="L53" i="22" s="1"/>
  <c r="M25" i="22"/>
  <c r="M53" i="22" s="1"/>
  <c r="N25" i="22"/>
  <c r="N53" i="22" s="1"/>
  <c r="O25" i="22"/>
  <c r="O53" i="22" s="1"/>
  <c r="P25" i="22"/>
  <c r="P53" i="22" s="1"/>
  <c r="Q25" i="22"/>
  <c r="Q53" i="22" s="1"/>
  <c r="D26" i="22"/>
  <c r="D54" i="22" s="1"/>
  <c r="E26" i="22"/>
  <c r="E54" i="22" s="1"/>
  <c r="F26" i="22"/>
  <c r="F103" i="22" s="1"/>
  <c r="G26" i="22"/>
  <c r="G103" i="22" s="1"/>
  <c r="H26" i="22"/>
  <c r="H103" i="22" s="1"/>
  <c r="I26" i="22"/>
  <c r="I103" i="22" s="1"/>
  <c r="J26" i="22"/>
  <c r="J103" i="22" s="1"/>
  <c r="K26" i="22"/>
  <c r="K103" i="22" s="1"/>
  <c r="L26" i="22"/>
  <c r="L54" i="22" s="1"/>
  <c r="M26" i="22"/>
  <c r="M54" i="22" s="1"/>
  <c r="N26" i="22"/>
  <c r="N103" i="22" s="1"/>
  <c r="O26" i="22"/>
  <c r="O103" i="22" s="1"/>
  <c r="P26" i="22"/>
  <c r="P103" i="22" s="1"/>
  <c r="Q26" i="22"/>
  <c r="Q103" i="22" s="1"/>
  <c r="J65" i="22"/>
  <c r="E79" i="22" s="1"/>
  <c r="J63" i="22"/>
  <c r="E73" i="22" s="1"/>
  <c r="J61" i="22"/>
  <c r="E96" i="22" l="1"/>
  <c r="C229" i="38"/>
  <c r="D71" i="22"/>
  <c r="D70" i="22"/>
  <c r="E74" i="22"/>
  <c r="D72" i="22"/>
  <c r="D102" i="22"/>
  <c r="J54" i="22"/>
  <c r="L103" i="22"/>
  <c r="D103" i="22"/>
  <c r="J102" i="22"/>
  <c r="K54" i="22"/>
  <c r="M103" i="22"/>
  <c r="E103" i="22"/>
  <c r="K102" i="22"/>
  <c r="Q54" i="22"/>
  <c r="I54" i="22"/>
  <c r="Q102" i="22"/>
  <c r="I102" i="22"/>
  <c r="P54" i="22"/>
  <c r="H54" i="22"/>
  <c r="P102" i="22"/>
  <c r="H102" i="22"/>
  <c r="O54" i="22"/>
  <c r="G54" i="22"/>
  <c r="O102" i="22"/>
  <c r="G102" i="22"/>
  <c r="N54" i="22"/>
  <c r="F54" i="22"/>
  <c r="N102" i="22"/>
  <c r="F102" i="22"/>
  <c r="M102" i="22"/>
  <c r="E102" i="22"/>
  <c r="L102" i="22"/>
  <c r="E71" i="22"/>
  <c r="E72" i="22"/>
  <c r="C228" i="38" s="1"/>
  <c r="D74" i="22"/>
  <c r="F77" i="22"/>
  <c r="F72" i="22"/>
  <c r="F73" i="22"/>
  <c r="F70" i="22"/>
  <c r="F75" i="22"/>
  <c r="D73" i="22"/>
  <c r="E70" i="22"/>
  <c r="E75" i="22"/>
  <c r="C231" i="38" s="1"/>
  <c r="D77" i="22"/>
  <c r="F71" i="22"/>
  <c r="D75" i="22"/>
  <c r="F74" i="22"/>
  <c r="Q97" i="22" l="1"/>
  <c r="C230" i="38"/>
  <c r="C232" i="38" s="1"/>
  <c r="E97" i="22"/>
  <c r="P97" i="22"/>
  <c r="G97" i="22"/>
  <c r="O97" i="22"/>
  <c r="F97" i="22"/>
  <c r="K97" i="22"/>
  <c r="N97" i="22"/>
  <c r="J97" i="22"/>
  <c r="M97" i="22"/>
  <c r="D97" i="22"/>
  <c r="I97" i="22"/>
  <c r="H97" i="22"/>
  <c r="L97" i="22"/>
  <c r="D98" i="22"/>
  <c r="L98" i="22"/>
  <c r="E98" i="22"/>
  <c r="M98" i="22"/>
  <c r="F98" i="22"/>
  <c r="N98" i="22"/>
  <c r="G98" i="22"/>
  <c r="O98" i="22"/>
  <c r="H98" i="22"/>
  <c r="P98" i="22"/>
  <c r="I98" i="22"/>
  <c r="Q98" i="22"/>
  <c r="K98" i="22"/>
  <c r="J98" i="22"/>
  <c r="H96" i="22"/>
  <c r="P96" i="22"/>
  <c r="I96" i="22"/>
  <c r="Q96" i="22"/>
  <c r="J96" i="22"/>
  <c r="F96" i="22"/>
  <c r="K96" i="22"/>
  <c r="N96" i="22"/>
  <c r="D96" i="22"/>
  <c r="L96" i="22"/>
  <c r="M96" i="22"/>
  <c r="G96" i="22"/>
  <c r="O96" i="22"/>
  <c r="F95" i="22"/>
  <c r="N95" i="22"/>
  <c r="G95" i="22"/>
  <c r="O95" i="22"/>
  <c r="H95" i="22"/>
  <c r="P95" i="22"/>
  <c r="I95" i="22"/>
  <c r="Q95" i="22"/>
  <c r="J95" i="22"/>
  <c r="L95" i="22"/>
  <c r="K95" i="22"/>
  <c r="D95" i="22"/>
  <c r="E95" i="22"/>
  <c r="M95" i="22"/>
  <c r="E24" i="38" l="1"/>
  <c r="E22" i="38"/>
  <c r="E25" i="38"/>
  <c r="N188" i="38"/>
  <c r="E23" i="38"/>
  <c r="P4" i="22"/>
  <c r="N4" i="22"/>
  <c r="J4" i="22"/>
  <c r="F13" i="47" l="1"/>
  <c r="F36" i="47"/>
  <c r="F9" i="47"/>
  <c r="F35" i="47"/>
  <c r="F24" i="47"/>
  <c r="F16" i="47"/>
  <c r="F20" i="47"/>
  <c r="F7" i="47"/>
  <c r="F18" i="47"/>
  <c r="F17" i="47"/>
  <c r="F39" i="47"/>
  <c r="F11" i="47"/>
  <c r="F3" i="47"/>
  <c r="F10" i="47"/>
  <c r="F2" i="47"/>
  <c r="F25" i="47"/>
  <c r="F30" i="47"/>
  <c r="F4" i="47"/>
  <c r="F29" i="47"/>
  <c r="F38" i="47"/>
  <c r="F26" i="47"/>
  <c r="F34" i="47"/>
  <c r="F14" i="47"/>
  <c r="F23" i="47"/>
  <c r="F12" i="47"/>
  <c r="F21" i="47"/>
  <c r="F37" i="47"/>
  <c r="F33" i="47"/>
  <c r="F6" i="47"/>
  <c r="F19" i="47"/>
  <c r="F28" i="47"/>
  <c r="F5" i="47"/>
  <c r="F8" i="47"/>
  <c r="F22" i="47"/>
  <c r="F40" i="47"/>
  <c r="F32" i="47"/>
  <c r="F31" i="47"/>
  <c r="F27" i="47"/>
  <c r="F15" i="47"/>
  <c r="O188" i="38"/>
  <c r="V184" i="38" s="1"/>
  <c r="N191" i="38"/>
  <c r="F56" i="47"/>
  <c r="F60" i="47"/>
  <c r="F75" i="47"/>
  <c r="F45" i="47"/>
  <c r="F59" i="47"/>
  <c r="F41" i="47"/>
  <c r="F72" i="47"/>
  <c r="F46" i="47"/>
  <c r="F73" i="47"/>
  <c r="F52" i="47"/>
  <c r="F44" i="47"/>
  <c r="F48" i="47"/>
  <c r="F74" i="47"/>
  <c r="F66" i="47"/>
  <c r="F43" i="47"/>
  <c r="F62" i="47"/>
  <c r="F54" i="47"/>
  <c r="F51" i="47"/>
  <c r="F61" i="47"/>
  <c r="F82" i="47"/>
  <c r="F70" i="47"/>
  <c r="F50" i="47"/>
  <c r="F78" i="47"/>
  <c r="F64" i="47"/>
  <c r="F76" i="47"/>
  <c r="F47" i="47"/>
  <c r="F67" i="47"/>
  <c r="F57" i="47"/>
  <c r="F71" i="47"/>
  <c r="F53" i="47"/>
  <c r="F69" i="47"/>
  <c r="F63" i="47"/>
  <c r="F79" i="47"/>
  <c r="F81" i="47"/>
  <c r="F42" i="47"/>
  <c r="F77" i="47"/>
  <c r="F49" i="47"/>
  <c r="F68" i="47"/>
  <c r="F55" i="47"/>
  <c r="F80" i="47"/>
  <c r="F65" i="47"/>
  <c r="F58" i="47"/>
  <c r="E11" i="47"/>
  <c r="E3" i="47"/>
  <c r="E29" i="47"/>
  <c r="E2" i="47"/>
  <c r="E27" i="47"/>
  <c r="E12" i="47"/>
  <c r="E13" i="47"/>
  <c r="E7" i="47"/>
  <c r="E9" i="47"/>
  <c r="E30" i="47"/>
  <c r="E39" i="47"/>
  <c r="E38" i="47"/>
  <c r="E33" i="47"/>
  <c r="E23" i="47"/>
  <c r="E25" i="47"/>
  <c r="E40" i="47"/>
  <c r="E14" i="47"/>
  <c r="E19" i="47"/>
  <c r="E4" i="47"/>
  <c r="E21" i="47"/>
  <c r="E32" i="47"/>
  <c r="E31" i="47"/>
  <c r="E20" i="47"/>
  <c r="E22" i="47"/>
  <c r="E16" i="47"/>
  <c r="E5" i="47"/>
  <c r="E15" i="47"/>
  <c r="E34" i="47"/>
  <c r="E10" i="47"/>
  <c r="E17" i="47"/>
  <c r="E6" i="47"/>
  <c r="E35" i="47"/>
  <c r="E24" i="47"/>
  <c r="E36" i="47"/>
  <c r="E18" i="47"/>
  <c r="E28" i="47"/>
  <c r="E37" i="47"/>
  <c r="E26" i="47"/>
  <c r="E8" i="47"/>
  <c r="E82" i="47"/>
  <c r="E81" i="47"/>
  <c r="E59" i="47"/>
  <c r="E61" i="47"/>
  <c r="E42" i="47"/>
  <c r="E43" i="47"/>
  <c r="E67" i="47"/>
  <c r="E56" i="47"/>
  <c r="E66" i="47"/>
  <c r="E77" i="47"/>
  <c r="E63" i="47"/>
  <c r="E45" i="47"/>
  <c r="E72" i="47"/>
  <c r="E44" i="47"/>
  <c r="E74" i="47"/>
  <c r="E73" i="47"/>
  <c r="E64" i="47"/>
  <c r="E79" i="47"/>
  <c r="E60" i="47"/>
  <c r="E54" i="47"/>
  <c r="E51" i="47"/>
  <c r="E50" i="47"/>
  <c r="E75" i="47"/>
  <c r="E68" i="47"/>
  <c r="E76" i="47"/>
  <c r="E69" i="47"/>
  <c r="E65" i="47"/>
  <c r="E58" i="47"/>
  <c r="E80" i="47"/>
  <c r="E47" i="47"/>
  <c r="E41" i="47"/>
  <c r="E78" i="47"/>
  <c r="E70" i="47"/>
  <c r="E57" i="47"/>
  <c r="E53" i="47"/>
  <c r="E62" i="47"/>
  <c r="E49" i="47"/>
  <c r="E48" i="47"/>
  <c r="E52" i="47"/>
  <c r="E55" i="47"/>
  <c r="E46" i="47"/>
  <c r="E71" i="47"/>
  <c r="E16" i="22"/>
  <c r="N17" i="22"/>
  <c r="N45" i="22" s="1"/>
  <c r="M16" i="22"/>
  <c r="F16" i="22"/>
  <c r="G16" i="22"/>
  <c r="O16" i="22"/>
  <c r="H16" i="22"/>
  <c r="I16" i="22"/>
  <c r="J16" i="22"/>
  <c r="D16" i="22"/>
  <c r="L16" i="22"/>
  <c r="K16" i="22"/>
  <c r="P17" i="22"/>
  <c r="L17" i="22"/>
  <c r="H17" i="22"/>
  <c r="I17" i="22"/>
  <c r="Q17" i="22"/>
  <c r="J17" i="22"/>
  <c r="K17" i="22"/>
  <c r="D17" i="22"/>
  <c r="F17" i="22"/>
  <c r="E17" i="22"/>
  <c r="M17" i="22"/>
  <c r="G17" i="22"/>
  <c r="O17" i="22"/>
  <c r="N16" i="22"/>
  <c r="Q16" i="22"/>
  <c r="P16" i="22"/>
  <c r="D39" i="22"/>
  <c r="D79" i="22" s="1"/>
  <c r="F39" i="22"/>
  <c r="F79" i="22" s="1"/>
  <c r="F38" i="22"/>
  <c r="F78" i="22" s="1"/>
  <c r="D38" i="22"/>
  <c r="D78" i="22" s="1"/>
  <c r="E37" i="22"/>
  <c r="E36" i="22"/>
  <c r="N94" i="22" l="1"/>
  <c r="D45" i="22"/>
  <c r="D94" i="22"/>
  <c r="K44" i="22"/>
  <c r="K93" i="22"/>
  <c r="Q44" i="22"/>
  <c r="Q93" i="22"/>
  <c r="M44" i="22"/>
  <c r="M93" i="22"/>
  <c r="G45" i="22"/>
  <c r="G94" i="22"/>
  <c r="I45" i="22"/>
  <c r="I94" i="22"/>
  <c r="I44" i="22"/>
  <c r="I93" i="22"/>
  <c r="K45" i="22"/>
  <c r="K94" i="22"/>
  <c r="L44" i="22"/>
  <c r="L93" i="22"/>
  <c r="N44" i="22"/>
  <c r="N93" i="22"/>
  <c r="D44" i="22"/>
  <c r="D93" i="22"/>
  <c r="O45" i="22"/>
  <c r="O94" i="22"/>
  <c r="J44" i="22"/>
  <c r="J93" i="22"/>
  <c r="M45" i="22"/>
  <c r="M94" i="22"/>
  <c r="H44" i="22"/>
  <c r="H93" i="22"/>
  <c r="E45" i="22"/>
  <c r="E94" i="22"/>
  <c r="O44" i="22"/>
  <c r="O93" i="22"/>
  <c r="F44" i="22"/>
  <c r="F93" i="22"/>
  <c r="J45" i="22"/>
  <c r="J94" i="22"/>
  <c r="E44" i="22"/>
  <c r="E93" i="22"/>
  <c r="Q45" i="22"/>
  <c r="Q94" i="22"/>
  <c r="H45" i="22"/>
  <c r="H94" i="22"/>
  <c r="E76" i="22"/>
  <c r="D50" i="22"/>
  <c r="L50" i="22"/>
  <c r="E50" i="22"/>
  <c r="M50" i="22"/>
  <c r="J50" i="22"/>
  <c r="F50" i="22"/>
  <c r="N50" i="22"/>
  <c r="G50" i="22"/>
  <c r="O50" i="22"/>
  <c r="H50" i="22"/>
  <c r="P50" i="22"/>
  <c r="I50" i="22"/>
  <c r="Q50" i="22"/>
  <c r="K50" i="22"/>
  <c r="P44" i="22"/>
  <c r="P93" i="22"/>
  <c r="L45" i="22"/>
  <c r="L94" i="22"/>
  <c r="E77" i="22"/>
  <c r="F51" i="22"/>
  <c r="N51" i="22"/>
  <c r="G51" i="22"/>
  <c r="O51" i="22"/>
  <c r="H51" i="22"/>
  <c r="P51" i="22"/>
  <c r="L51" i="22"/>
  <c r="I51" i="22"/>
  <c r="Q51" i="22"/>
  <c r="D51" i="22"/>
  <c r="J51" i="22"/>
  <c r="K51" i="22"/>
  <c r="E51" i="22"/>
  <c r="M51" i="22"/>
  <c r="F45" i="22"/>
  <c r="F94" i="22"/>
  <c r="P45" i="22"/>
  <c r="P94" i="22"/>
  <c r="G44" i="22"/>
  <c r="G93" i="22"/>
  <c r="F36" i="22"/>
  <c r="F76" i="22" s="1"/>
  <c r="F81" i="22" s="1"/>
  <c r="D36" i="22"/>
  <c r="D76" i="22" s="1"/>
  <c r="D81" i="22" s="1"/>
  <c r="E38" i="22"/>
  <c r="H100" i="22" l="1"/>
  <c r="P100" i="22"/>
  <c r="I100" i="22"/>
  <c r="Q100" i="22"/>
  <c r="J100" i="22"/>
  <c r="N100" i="22"/>
  <c r="K100" i="22"/>
  <c r="F100" i="22"/>
  <c r="D100" i="22"/>
  <c r="L100" i="22"/>
  <c r="E100" i="22"/>
  <c r="M100" i="22"/>
  <c r="G100" i="22"/>
  <c r="O100" i="22"/>
  <c r="E78" i="22"/>
  <c r="E81" i="22" s="1"/>
  <c r="H52" i="22"/>
  <c r="H55" i="22" s="1"/>
  <c r="H57" i="22" s="1"/>
  <c r="D516" i="18" s="1"/>
  <c r="P52" i="22"/>
  <c r="P55" i="22" s="1"/>
  <c r="P57" i="22" s="1"/>
  <c r="D523" i="18" s="1"/>
  <c r="I52" i="22"/>
  <c r="I55" i="22" s="1"/>
  <c r="I57" i="22" s="1"/>
  <c r="D522" i="18" s="1"/>
  <c r="Q52" i="22"/>
  <c r="Q55" i="22" s="1"/>
  <c r="Q57" i="22" s="1"/>
  <c r="D526" i="18" s="1"/>
  <c r="N52" i="22"/>
  <c r="N55" i="22" s="1"/>
  <c r="N57" i="22" s="1"/>
  <c r="D524" i="18" s="1"/>
  <c r="J52" i="22"/>
  <c r="J55" i="22" s="1"/>
  <c r="J57" i="22" s="1"/>
  <c r="D519" i="18" s="1"/>
  <c r="K52" i="22"/>
  <c r="K55" i="22" s="1"/>
  <c r="K57" i="22" s="1"/>
  <c r="D528" i="18" s="1"/>
  <c r="D52" i="22"/>
  <c r="D55" i="22" s="1"/>
  <c r="D57" i="22" s="1"/>
  <c r="D521" i="18" s="1"/>
  <c r="L52" i="22"/>
  <c r="L55" i="22" s="1"/>
  <c r="L57" i="22" s="1"/>
  <c r="D527" i="18" s="1"/>
  <c r="E52" i="22"/>
  <c r="E55" i="22" s="1"/>
  <c r="E57" i="22" s="1"/>
  <c r="D525" i="18" s="1"/>
  <c r="M52" i="22"/>
  <c r="M55" i="22" s="1"/>
  <c r="M57" i="22" s="1"/>
  <c r="D517" i="18" s="1"/>
  <c r="G52" i="22"/>
  <c r="G55" i="22" s="1"/>
  <c r="G57" i="22" s="1"/>
  <c r="D515" i="18" s="1"/>
  <c r="O52" i="22"/>
  <c r="O55" i="22" s="1"/>
  <c r="O57" i="22" s="1"/>
  <c r="D518" i="18" s="1"/>
  <c r="F52" i="22"/>
  <c r="F55" i="22" s="1"/>
  <c r="F57" i="22" s="1"/>
  <c r="D520" i="18" s="1"/>
  <c r="F99" i="22"/>
  <c r="N99" i="22"/>
  <c r="G99" i="22"/>
  <c r="O99" i="22"/>
  <c r="D99" i="22"/>
  <c r="H99" i="22"/>
  <c r="P99" i="22"/>
  <c r="I99" i="22"/>
  <c r="Q99" i="22"/>
  <c r="J99" i="22"/>
  <c r="K99" i="22"/>
  <c r="L99" i="22"/>
  <c r="E99" i="22"/>
  <c r="M99" i="22"/>
  <c r="F41" i="22"/>
  <c r="D41" i="22"/>
  <c r="E41" i="22"/>
  <c r="J101" i="22" l="1"/>
  <c r="J104" i="22" s="1"/>
  <c r="J106" i="22" s="1"/>
  <c r="D741" i="20" s="1"/>
  <c r="K101" i="22"/>
  <c r="K104" i="22" s="1"/>
  <c r="K106" i="22" s="1"/>
  <c r="D730" i="20" s="1"/>
  <c r="D101" i="22"/>
  <c r="L101" i="22"/>
  <c r="L104" i="22" s="1"/>
  <c r="L106" i="22" s="1"/>
  <c r="D733" i="20" s="1"/>
  <c r="E101" i="22"/>
  <c r="E104" i="22" s="1"/>
  <c r="E106" i="22" s="1"/>
  <c r="D735" i="20" s="1"/>
  <c r="M101" i="22"/>
  <c r="M104" i="22" s="1"/>
  <c r="M106" i="22" s="1"/>
  <c r="F101" i="22"/>
  <c r="F104" i="22" s="1"/>
  <c r="F106" i="22" s="1"/>
  <c r="D740" i="20" s="1"/>
  <c r="N101" i="22"/>
  <c r="N104" i="22" s="1"/>
  <c r="N106" i="22" s="1"/>
  <c r="D736" i="20" s="1"/>
  <c r="P101" i="22"/>
  <c r="P104" i="22" s="1"/>
  <c r="P106" i="22" s="1"/>
  <c r="D737" i="20" s="1"/>
  <c r="G101" i="22"/>
  <c r="G104" i="22" s="1"/>
  <c r="G106" i="22" s="1"/>
  <c r="O101" i="22"/>
  <c r="O104" i="22" s="1"/>
  <c r="O106" i="22" s="1"/>
  <c r="I101" i="22"/>
  <c r="I104" i="22" s="1"/>
  <c r="I106" i="22" s="1"/>
  <c r="D739" i="20" s="1"/>
  <c r="Q101" i="22"/>
  <c r="Q104" i="22" s="1"/>
  <c r="Q106" i="22" s="1"/>
  <c r="D734" i="20" s="1"/>
  <c r="H101" i="22"/>
  <c r="H104" i="22" s="1"/>
  <c r="H106" i="22" s="1"/>
  <c r="O120" i="22" l="1"/>
  <c r="O116" i="22"/>
  <c r="O118" i="22"/>
  <c r="O114" i="22"/>
  <c r="O123" i="22"/>
  <c r="O119" i="22"/>
  <c r="O115" i="22"/>
  <c r="O122" i="22"/>
  <c r="O113" i="22"/>
  <c r="O121" i="22"/>
  <c r="R137" i="22" s="1"/>
  <c r="E619" i="19" s="1"/>
  <c r="O117" i="22"/>
  <c r="G117" i="22"/>
  <c r="G116" i="22"/>
  <c r="G118" i="22"/>
  <c r="G119" i="22"/>
  <c r="G120" i="22"/>
  <c r="G122" i="22"/>
  <c r="G113" i="22"/>
  <c r="G121" i="22"/>
  <c r="G114" i="22"/>
  <c r="G115" i="22"/>
  <c r="G123" i="22"/>
  <c r="N121" i="22"/>
  <c r="N117" i="22"/>
  <c r="N113" i="22"/>
  <c r="N120" i="22"/>
  <c r="N116" i="22"/>
  <c r="N123" i="22"/>
  <c r="N119" i="22"/>
  <c r="N115" i="22"/>
  <c r="N122" i="22"/>
  <c r="N118" i="22"/>
  <c r="N114" i="22"/>
  <c r="I123" i="22"/>
  <c r="I119" i="22"/>
  <c r="I115" i="22"/>
  <c r="I121" i="22"/>
  <c r="R131" i="22" s="1"/>
  <c r="E613" i="19" s="1"/>
  <c r="I113" i="22"/>
  <c r="I122" i="22"/>
  <c r="I118" i="22"/>
  <c r="I114" i="22"/>
  <c r="I117" i="22"/>
  <c r="I116" i="22"/>
  <c r="I120" i="22"/>
  <c r="F120" i="22"/>
  <c r="F113" i="22"/>
  <c r="F121" i="22"/>
  <c r="F117" i="22"/>
  <c r="F114" i="22"/>
  <c r="F122" i="22"/>
  <c r="F119" i="22"/>
  <c r="F115" i="22"/>
  <c r="F123" i="22"/>
  <c r="F116" i="22"/>
  <c r="F118" i="22"/>
  <c r="R123" i="22"/>
  <c r="R119" i="22"/>
  <c r="R115" i="22"/>
  <c r="R122" i="22"/>
  <c r="R118" i="22"/>
  <c r="R114" i="22"/>
  <c r="R121" i="22"/>
  <c r="R117" i="22"/>
  <c r="R113" i="22"/>
  <c r="R120" i="22"/>
  <c r="R116" i="22"/>
  <c r="J123" i="22"/>
  <c r="J119" i="22"/>
  <c r="J115" i="22"/>
  <c r="J122" i="22"/>
  <c r="J118" i="22"/>
  <c r="J114" i="22"/>
  <c r="J121" i="22"/>
  <c r="J117" i="22"/>
  <c r="J113" i="22"/>
  <c r="J120" i="22"/>
  <c r="J116" i="22"/>
  <c r="M119" i="22"/>
  <c r="M121" i="22"/>
  <c r="M117" i="22"/>
  <c r="M113" i="22"/>
  <c r="M115" i="22"/>
  <c r="M118" i="22"/>
  <c r="M120" i="22"/>
  <c r="M116" i="22"/>
  <c r="M123" i="22"/>
  <c r="M122" i="22"/>
  <c r="M114" i="22"/>
  <c r="P120" i="22"/>
  <c r="P116" i="22"/>
  <c r="P123" i="22"/>
  <c r="P119" i="22"/>
  <c r="P115" i="22"/>
  <c r="P122" i="22"/>
  <c r="P118" i="22"/>
  <c r="P114" i="22"/>
  <c r="P121" i="22"/>
  <c r="R138" i="22" s="1"/>
  <c r="E620" i="19" s="1"/>
  <c r="P117" i="22"/>
  <c r="P113" i="22"/>
  <c r="H115" i="22"/>
  <c r="F130" i="22" s="1"/>
  <c r="E570" i="19" s="1"/>
  <c r="H123" i="22"/>
  <c r="H116" i="22"/>
  <c r="H113" i="22"/>
  <c r="H117" i="22"/>
  <c r="H120" i="22"/>
  <c r="H118" i="22"/>
  <c r="H122" i="22"/>
  <c r="H119" i="22"/>
  <c r="H121" i="22"/>
  <c r="R130" i="22" s="1"/>
  <c r="E612" i="19" s="1"/>
  <c r="H114" i="22"/>
  <c r="L122" i="22"/>
  <c r="L118" i="22"/>
  <c r="L114" i="22"/>
  <c r="L121" i="22"/>
  <c r="L117" i="22"/>
  <c r="L113" i="22"/>
  <c r="L120" i="22"/>
  <c r="L116" i="22"/>
  <c r="L123" i="22"/>
  <c r="L119" i="22"/>
  <c r="L115" i="22"/>
  <c r="Q117" i="22"/>
  <c r="Q113" i="22"/>
  <c r="Q123" i="22"/>
  <c r="Q119" i="22"/>
  <c r="Q115" i="22"/>
  <c r="Q121" i="22"/>
  <c r="R139" i="22" s="1"/>
  <c r="E621" i="19" s="1"/>
  <c r="Q122" i="22"/>
  <c r="Q118" i="22"/>
  <c r="Q114" i="22"/>
  <c r="Q116" i="22"/>
  <c r="Q120" i="22"/>
  <c r="K120" i="22"/>
  <c r="K119" i="22"/>
  <c r="K122" i="22"/>
  <c r="K118" i="22"/>
  <c r="K114" i="22"/>
  <c r="K115" i="22"/>
  <c r="K121" i="22"/>
  <c r="K117" i="22"/>
  <c r="K113" i="22"/>
  <c r="K116" i="22"/>
  <c r="K123" i="22"/>
  <c r="D104" i="22"/>
  <c r="D106" i="22" s="1"/>
  <c r="D738" i="20" s="1"/>
  <c r="E115" i="22" l="1"/>
  <c r="F127" i="22" s="1"/>
  <c r="E567" i="19" s="1"/>
  <c r="E123" i="22"/>
  <c r="V127" i="22" s="1"/>
  <c r="E623" i="19" s="1"/>
  <c r="E120" i="22"/>
  <c r="P127" i="22" s="1"/>
  <c r="E651" i="19" s="1"/>
  <c r="E116" i="22"/>
  <c r="H127" i="22" s="1"/>
  <c r="E595" i="19" s="1"/>
  <c r="E122" i="22"/>
  <c r="T127" i="22" s="1"/>
  <c r="E665" i="19" s="1"/>
  <c r="E117" i="22"/>
  <c r="J127" i="22" s="1"/>
  <c r="E693" i="19" s="1"/>
  <c r="E118" i="22"/>
  <c r="L127" i="22" s="1"/>
  <c r="E707" i="19" s="1"/>
  <c r="E114" i="22"/>
  <c r="D127" i="22" s="1"/>
  <c r="E581" i="19" s="1"/>
  <c r="E119" i="22"/>
  <c r="N127" i="22" s="1"/>
  <c r="E637" i="19" s="1"/>
  <c r="E113" i="22"/>
  <c r="B127" i="22" s="1"/>
  <c r="E679" i="19" s="1"/>
  <c r="E121" i="22"/>
  <c r="R127" i="22" s="1"/>
  <c r="E609" i="19" s="1"/>
  <c r="R128" i="22"/>
  <c r="E610" i="19" s="1"/>
  <c r="R129" i="22"/>
  <c r="E611" i="19" s="1"/>
  <c r="H131" i="22"/>
  <c r="E599" i="19" s="1"/>
  <c r="P131" i="22"/>
  <c r="E655" i="19" s="1"/>
  <c r="F131" i="22"/>
  <c r="E571" i="19" s="1"/>
  <c r="N131" i="22"/>
  <c r="E641" i="19" s="1"/>
  <c r="V131" i="22"/>
  <c r="E627" i="19" s="1"/>
  <c r="D131" i="22"/>
  <c r="E585" i="19" s="1"/>
  <c r="L131" i="22"/>
  <c r="E711" i="19" s="1"/>
  <c r="T131" i="22"/>
  <c r="E669" i="19" s="1"/>
  <c r="J131" i="22"/>
  <c r="E697" i="19" s="1"/>
  <c r="B131" i="22"/>
  <c r="E683" i="19" s="1"/>
  <c r="F129" i="22"/>
  <c r="E569" i="19" s="1"/>
  <c r="N129" i="22"/>
  <c r="E639" i="19" s="1"/>
  <c r="V129" i="22"/>
  <c r="E625" i="19" s="1"/>
  <c r="D129" i="22"/>
  <c r="E583" i="19" s="1"/>
  <c r="L129" i="22"/>
  <c r="E709" i="19" s="1"/>
  <c r="T129" i="22"/>
  <c r="E667" i="19" s="1"/>
  <c r="J129" i="22"/>
  <c r="E695" i="19" s="1"/>
  <c r="B129" i="22"/>
  <c r="E681" i="19" s="1"/>
  <c r="H129" i="22"/>
  <c r="E597" i="19" s="1"/>
  <c r="P129" i="22"/>
  <c r="E653" i="19" s="1"/>
  <c r="B132" i="22"/>
  <c r="E684" i="19" s="1"/>
  <c r="H132" i="22"/>
  <c r="E600" i="19" s="1"/>
  <c r="P132" i="22"/>
  <c r="E656" i="19" s="1"/>
  <c r="F132" i="22"/>
  <c r="E572" i="19" s="1"/>
  <c r="N132" i="22"/>
  <c r="E642" i="19" s="1"/>
  <c r="V132" i="22"/>
  <c r="E628" i="19" s="1"/>
  <c r="D132" i="22"/>
  <c r="E586" i="19" s="1"/>
  <c r="L132" i="22"/>
  <c r="E712" i="19" s="1"/>
  <c r="T132" i="22"/>
  <c r="E670" i="19" s="1"/>
  <c r="J132" i="22"/>
  <c r="E698" i="19" s="1"/>
  <c r="F137" i="22"/>
  <c r="E577" i="19" s="1"/>
  <c r="N137" i="22"/>
  <c r="E647" i="19" s="1"/>
  <c r="V137" i="22"/>
  <c r="E633" i="19" s="1"/>
  <c r="D137" i="22"/>
  <c r="E591" i="19" s="1"/>
  <c r="L137" i="22"/>
  <c r="E717" i="19" s="1"/>
  <c r="T137" i="22"/>
  <c r="E675" i="19" s="1"/>
  <c r="J137" i="22"/>
  <c r="E703" i="19" s="1"/>
  <c r="B137" i="22"/>
  <c r="E689" i="19" s="1"/>
  <c r="H137" i="22"/>
  <c r="E605" i="19" s="1"/>
  <c r="P137" i="22"/>
  <c r="E661" i="19" s="1"/>
  <c r="R132" i="22"/>
  <c r="E614" i="19" s="1"/>
  <c r="F138" i="22"/>
  <c r="E578" i="19" s="1"/>
  <c r="N138" i="22"/>
  <c r="E648" i="19" s="1"/>
  <c r="V138" i="22"/>
  <c r="E634" i="19" s="1"/>
  <c r="D138" i="22"/>
  <c r="E592" i="19" s="1"/>
  <c r="L138" i="22"/>
  <c r="E718" i="19" s="1"/>
  <c r="T138" i="22"/>
  <c r="E676" i="19" s="1"/>
  <c r="J138" i="22"/>
  <c r="E704" i="19" s="1"/>
  <c r="B138" i="22"/>
  <c r="E690" i="19" s="1"/>
  <c r="H138" i="22"/>
  <c r="E606" i="19" s="1"/>
  <c r="P138" i="22"/>
  <c r="E662" i="19" s="1"/>
  <c r="D135" i="22"/>
  <c r="E589" i="19" s="1"/>
  <c r="L135" i="22"/>
  <c r="E715" i="19" s="1"/>
  <c r="T135" i="22"/>
  <c r="E673" i="19" s="1"/>
  <c r="J135" i="22"/>
  <c r="E701" i="19" s="1"/>
  <c r="B135" i="22"/>
  <c r="E687" i="19" s="1"/>
  <c r="H135" i="22"/>
  <c r="E603" i="19" s="1"/>
  <c r="P135" i="22"/>
  <c r="E659" i="19" s="1"/>
  <c r="F135" i="22"/>
  <c r="E575" i="19" s="1"/>
  <c r="N135" i="22"/>
  <c r="E645" i="19" s="1"/>
  <c r="V135" i="22"/>
  <c r="E631" i="19" s="1"/>
  <c r="J134" i="22"/>
  <c r="E700" i="19" s="1"/>
  <c r="B134" i="22"/>
  <c r="E686" i="19" s="1"/>
  <c r="H134" i="22"/>
  <c r="E602" i="19" s="1"/>
  <c r="P134" i="22"/>
  <c r="E658" i="19" s="1"/>
  <c r="F134" i="22"/>
  <c r="E574" i="19" s="1"/>
  <c r="N134" i="22"/>
  <c r="E644" i="19" s="1"/>
  <c r="V134" i="22"/>
  <c r="E630" i="19" s="1"/>
  <c r="D134" i="22"/>
  <c r="E588" i="19" s="1"/>
  <c r="L134" i="22"/>
  <c r="E714" i="19" s="1"/>
  <c r="T134" i="22"/>
  <c r="E672" i="19" s="1"/>
  <c r="R135" i="22"/>
  <c r="E617" i="19" s="1"/>
  <c r="B140" i="22"/>
  <c r="E692" i="19" s="1"/>
  <c r="H140" i="22"/>
  <c r="E608" i="19" s="1"/>
  <c r="P140" i="22"/>
  <c r="E664" i="19" s="1"/>
  <c r="F140" i="22"/>
  <c r="E580" i="19" s="1"/>
  <c r="N140" i="22"/>
  <c r="E650" i="19" s="1"/>
  <c r="V140" i="22"/>
  <c r="E636" i="19" s="1"/>
  <c r="D140" i="22"/>
  <c r="E594" i="19" s="1"/>
  <c r="L140" i="22"/>
  <c r="E720" i="19" s="1"/>
  <c r="T140" i="22"/>
  <c r="E678" i="19" s="1"/>
  <c r="J140" i="22"/>
  <c r="E706" i="19" s="1"/>
  <c r="D136" i="22"/>
  <c r="E590" i="19" s="1"/>
  <c r="L136" i="22"/>
  <c r="E716" i="19" s="1"/>
  <c r="T136" i="22"/>
  <c r="E674" i="19" s="1"/>
  <c r="J136" i="22"/>
  <c r="E702" i="19" s="1"/>
  <c r="B136" i="22"/>
  <c r="E688" i="19" s="1"/>
  <c r="H136" i="22"/>
  <c r="E604" i="19" s="1"/>
  <c r="P136" i="22"/>
  <c r="E660" i="19" s="1"/>
  <c r="F136" i="22"/>
  <c r="E576" i="19" s="1"/>
  <c r="N136" i="22"/>
  <c r="E646" i="19" s="1"/>
  <c r="V136" i="22"/>
  <c r="E632" i="19" s="1"/>
  <c r="H139" i="22"/>
  <c r="E607" i="19" s="1"/>
  <c r="P139" i="22"/>
  <c r="E663" i="19" s="1"/>
  <c r="F139" i="22"/>
  <c r="E579" i="19" s="1"/>
  <c r="N139" i="22"/>
  <c r="E649" i="19" s="1"/>
  <c r="V139" i="22"/>
  <c r="E635" i="19" s="1"/>
  <c r="D139" i="22"/>
  <c r="E593" i="19" s="1"/>
  <c r="L139" i="22"/>
  <c r="E719" i="19" s="1"/>
  <c r="T139" i="22"/>
  <c r="E677" i="19" s="1"/>
  <c r="J139" i="22"/>
  <c r="E705" i="19" s="1"/>
  <c r="B139" i="22"/>
  <c r="E691" i="19" s="1"/>
  <c r="D128" i="22"/>
  <c r="E582" i="19" s="1"/>
  <c r="L128" i="22"/>
  <c r="E708" i="19" s="1"/>
  <c r="T128" i="22"/>
  <c r="E666" i="19" s="1"/>
  <c r="J128" i="22"/>
  <c r="E694" i="19" s="1"/>
  <c r="B128" i="22"/>
  <c r="E680" i="19" s="1"/>
  <c r="H128" i="22"/>
  <c r="E596" i="19" s="1"/>
  <c r="P128" i="22"/>
  <c r="E652" i="19" s="1"/>
  <c r="F128" i="22"/>
  <c r="E568" i="19" s="1"/>
  <c r="N128" i="22"/>
  <c r="E638" i="19" s="1"/>
  <c r="V128" i="22"/>
  <c r="E624" i="19" s="1"/>
  <c r="R134" i="22"/>
  <c r="E616" i="19" s="1"/>
  <c r="J133" i="22"/>
  <c r="E699" i="19" s="1"/>
  <c r="B133" i="22"/>
  <c r="E685" i="19" s="1"/>
  <c r="H133" i="22"/>
  <c r="E601" i="19" s="1"/>
  <c r="P133" i="22"/>
  <c r="E657" i="19" s="1"/>
  <c r="F133" i="22"/>
  <c r="E573" i="19" s="1"/>
  <c r="N133" i="22"/>
  <c r="E643" i="19" s="1"/>
  <c r="V133" i="22"/>
  <c r="E629" i="19" s="1"/>
  <c r="D133" i="22"/>
  <c r="E587" i="19" s="1"/>
  <c r="L133" i="22"/>
  <c r="E713" i="19" s="1"/>
  <c r="T133" i="22"/>
  <c r="E671" i="19" s="1"/>
  <c r="R133" i="22"/>
  <c r="E615" i="19" s="1"/>
  <c r="R140" i="22"/>
  <c r="E622" i="19" s="1"/>
  <c r="N130" i="22"/>
  <c r="E640" i="19" s="1"/>
  <c r="V130" i="22"/>
  <c r="E626" i="19" s="1"/>
  <c r="D130" i="22"/>
  <c r="E584" i="19" s="1"/>
  <c r="L130" i="22"/>
  <c r="E710" i="19" s="1"/>
  <c r="T130" i="22"/>
  <c r="E668" i="19" s="1"/>
  <c r="J130" i="22"/>
  <c r="E696" i="19" s="1"/>
  <c r="B130" i="22"/>
  <c r="E682" i="19" s="1"/>
  <c r="H130" i="22"/>
  <c r="E598" i="19" s="1"/>
  <c r="P130" i="22"/>
  <c r="E654" i="19" s="1"/>
  <c r="R136" i="22"/>
  <c r="E618" i="19" s="1"/>
  <c r="K767" i="20" l="1"/>
  <c r="K753" i="20"/>
  <c r="K772" i="20"/>
  <c r="K777" i="20"/>
  <c r="K762" i="20"/>
  <c r="K747" i="20"/>
  <c r="K752" i="20"/>
  <c r="K742" i="20"/>
  <c r="R185" i="38"/>
  <c r="R189" i="38" l="1"/>
  <c r="R192" i="38"/>
  <c r="R190" i="38"/>
  <c r="V185" i="38"/>
  <c r="R191" i="38"/>
  <c r="R188" i="38"/>
  <c r="V188" i="38" l="1"/>
  <c r="B183" i="38" s="1"/>
  <c r="V191" i="38"/>
  <c r="B186" i="38" s="1"/>
  <c r="V190" i="38"/>
  <c r="V192" i="38"/>
  <c r="V189" i="38"/>
  <c r="B184" i="38" s="1"/>
  <c r="R194" i="38"/>
  <c r="G186" i="38" l="1"/>
  <c r="G184" i="38"/>
  <c r="G183" i="38"/>
  <c r="D183" i="38"/>
  <c r="E102" i="38" s="1"/>
  <c r="E77" i="19" s="1"/>
  <c r="B187" i="38"/>
  <c r="B185" i="38"/>
  <c r="E183" i="38"/>
  <c r="C183" i="38"/>
  <c r="F186" i="38"/>
  <c r="E65" i="38" s="1"/>
  <c r="E90" i="19" s="1"/>
  <c r="V194" i="38"/>
  <c r="Y194" i="38" s="1"/>
  <c r="F183" i="38"/>
  <c r="E62" i="38" s="1"/>
  <c r="E87" i="19" s="1"/>
  <c r="E186" i="38"/>
  <c r="C186" i="38"/>
  <c r="D186" i="38"/>
  <c r="G187" i="38" l="1"/>
  <c r="E92" i="38"/>
  <c r="E72" i="38"/>
  <c r="E85" i="38"/>
  <c r="E55" i="38"/>
  <c r="B189" i="38"/>
  <c r="E93" i="38"/>
  <c r="E73" i="38"/>
  <c r="E82" i="38"/>
  <c r="E107" i="19" s="1"/>
  <c r="E52" i="38"/>
  <c r="E95" i="38"/>
  <c r="E75" i="38"/>
  <c r="G185" i="38"/>
  <c r="E185" i="38"/>
  <c r="C185" i="38"/>
  <c r="C187" i="38"/>
  <c r="E187" i="38"/>
  <c r="I186" i="38"/>
  <c r="E105" i="38"/>
  <c r="E80" i="19" s="1"/>
  <c r="I183" i="38"/>
  <c r="F185" i="38"/>
  <c r="E64" i="38" s="1"/>
  <c r="E89" i="19" s="1"/>
  <c r="F187" i="38"/>
  <c r="E66" i="38" s="1"/>
  <c r="E91" i="19" s="1"/>
  <c r="D187" i="38"/>
  <c r="D185" i="38"/>
  <c r="C184" i="38"/>
  <c r="E184" i="38"/>
  <c r="D184" i="38"/>
  <c r="E103" i="38" s="1"/>
  <c r="E78" i="19" s="1"/>
  <c r="F184" i="38"/>
  <c r="E63" i="38" s="1"/>
  <c r="E88" i="19" s="1"/>
  <c r="E100" i="19" l="1"/>
  <c r="E110" i="19"/>
  <c r="E70" i="19"/>
  <c r="E67" i="19"/>
  <c r="E58" i="19"/>
  <c r="E60" i="19"/>
  <c r="E97" i="19"/>
  <c r="E57" i="19"/>
  <c r="E68" i="19"/>
  <c r="H184" i="38"/>
  <c r="H183" i="38"/>
  <c r="H186" i="38"/>
  <c r="E54" i="38"/>
  <c r="E84" i="38"/>
  <c r="E53" i="38"/>
  <c r="E83" i="38"/>
  <c r="E108" i="19" s="1"/>
  <c r="H185" i="38"/>
  <c r="E86" i="38"/>
  <c r="E56" i="38"/>
  <c r="E94" i="38"/>
  <c r="E74" i="38"/>
  <c r="H187" i="38"/>
  <c r="E96" i="38"/>
  <c r="E76" i="38"/>
  <c r="I185" i="38"/>
  <c r="E104" i="38"/>
  <c r="E79" i="19" s="1"/>
  <c r="I187" i="38"/>
  <c r="E106" i="38"/>
  <c r="E81" i="19" s="1"/>
  <c r="I184" i="38"/>
  <c r="E109" i="19" l="1"/>
  <c r="E99" i="19"/>
  <c r="E61" i="19"/>
  <c r="E101" i="19"/>
  <c r="E69" i="19"/>
  <c r="E98" i="19"/>
  <c r="E59" i="19"/>
  <c r="E111" i="19"/>
  <c r="E71" i="19"/>
  <c r="E31" i="38"/>
  <c r="D21" i="20" s="1"/>
  <c r="E41" i="38"/>
  <c r="D19" i="20" s="1"/>
  <c r="E46" i="38"/>
  <c r="D15" i="20" s="1"/>
  <c r="E36" i="38"/>
  <c r="D17" i="20" s="1"/>
  <c r="E32" i="38"/>
  <c r="D5" i="20" s="1"/>
  <c r="E42" i="38"/>
  <c r="D4" i="20" s="1"/>
  <c r="E47" i="38"/>
  <c r="D2" i="20" s="1"/>
  <c r="E37" i="38"/>
  <c r="D3" i="20" s="1"/>
  <c r="E33" i="38"/>
  <c r="D13" i="20" s="1"/>
  <c r="E43" i="38"/>
  <c r="D12" i="20" s="1"/>
  <c r="E38" i="38"/>
  <c r="D11" i="20" s="1"/>
  <c r="E48" i="38"/>
  <c r="D10" i="20" s="1"/>
  <c r="H188" i="38"/>
  <c r="E29" i="38"/>
  <c r="D9" i="20" s="1"/>
  <c r="E39" i="38"/>
  <c r="D8" i="20" s="1"/>
  <c r="E34" i="38"/>
  <c r="D7" i="20" s="1"/>
  <c r="E44" i="38"/>
  <c r="D6" i="20" s="1"/>
  <c r="E40" i="38"/>
  <c r="D18" i="20" s="1"/>
  <c r="E35" i="38"/>
  <c r="D16" i="20" s="1"/>
  <c r="E45" i="38"/>
  <c r="D14" i="20" s="1"/>
  <c r="E30" i="38"/>
  <c r="D20" i="2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tc={4E78F89A-497D-41EA-9FA9-49EAE6E49F5D}</author>
    <author>tc={39760C6E-3A6B-462C-9872-C5CA51E4B723}</author>
    <author>tc={68B78F83-E446-4E88-B4AA-F21B3ABF8968}</author>
    <author>tc={C294EFB6-9F16-4A90-8FE2-81DE87306431}</author>
    <author>tc={78A3BB77-6ADE-4594-AE69-31A73802FB85}</author>
    <author>tc={6EF3B13D-4856-486E-83E0-76053E7DFF30}</author>
  </authors>
  <commentList>
    <comment ref="M351" authorId="0" shapeId="0" xr:uid="{4E78F89A-497D-41EA-9FA9-49EAE6E49F5D}">
      <text>
        <t>[Threaded comment]
Your version of Excel allows you to read this threaded comment; however, any edits to it will get removed if the file is opened in a newer version of Excel. Learn more: https://go.microsoft.com/fwlink/?linkid=870924
Comment:
    Waarom zijn deze 3? Het zijn berekeningen op basis van PEFCR rapport toch? Op zijn minst 2 denk ik.</t>
      </text>
    </comment>
    <comment ref="G587" authorId="1" shapeId="0" xr:uid="{39760C6E-3A6B-462C-9872-C5CA51E4B723}">
      <text>
        <t>[Threaded comment]
Your version of Excel allows you to read this threaded comment; however, any edits to it will get removed if the file is opened in a newer version of Excel. Learn more: https://go.microsoft.com/fwlink/?linkid=870924
Comment:
    Volgens mij staat dit niet in tabel Kawecki. Gewoon assumption van maken?</t>
      </text>
    </comment>
    <comment ref="G588" authorId="2" shapeId="0" xr:uid="{68B78F83-E446-4E88-B4AA-F21B3ABF8968}">
      <text>
        <t>[Threaded comment]
Your version of Excel allows you to read this threaded comment; however, any edits to it will get removed if the file is opened in a newer version of Excel. Learn more: https://go.microsoft.com/fwlink/?linkid=870924
Comment:
    Volgens mij staat dit niet in tabel Kawecki. Gewoon assumption van maken?</t>
      </text>
    </comment>
    <comment ref="G589" authorId="3" shapeId="0" xr:uid="{C294EFB6-9F16-4A90-8FE2-81DE87306431}">
      <text>
        <t>[Threaded comment]
Your version of Excel allows you to read this threaded comment; however, any edits to it will get removed if the file is opened in a newer version of Excel. Learn more: https://go.microsoft.com/fwlink/?linkid=870924
Comment:
    Volgens mij staat dit niet in tabel Kawecki. Gewoon assumption van maken?</t>
      </text>
    </comment>
    <comment ref="G590" authorId="4" shapeId="0" xr:uid="{78A3BB77-6ADE-4594-AE69-31A73802FB85}">
      <text>
        <t>[Threaded comment]
Your version of Excel allows you to read this threaded comment; however, any edits to it will get removed if the file is opened in a newer version of Excel. Learn more: https://go.microsoft.com/fwlink/?linkid=870924
Comment:
    Volgens mij staat dit niet in tabel Kawecki. Gewoon assumption van maken?</t>
      </text>
    </comment>
    <comment ref="H597" authorId="5" shapeId="0" xr:uid="{6EF3B13D-4856-486E-83E0-76053E7DFF30}">
      <text>
        <t>[Threaded comment]
Your version of Excel allows you to read this threaded comment; however, any edits to it will get removed if the file is opened in a newer version of Excel. Learn more: https://go.microsoft.com/fwlink/?linkid=870924
Comment:
    Waarom hier 0en en niet leeg?</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tc={40F91E8C-BD48-4DB1-BDE9-6D8AF76529C5}</author>
  </authors>
  <commentList>
    <comment ref="G27" authorId="0" shapeId="0" xr:uid="{40F91E8C-BD48-4DB1-BDE9-6D8AF76529C5}">
      <text>
        <t xml:space="preserve">[Threaded comment]
Your version of Excel allows you to read this threaded comment; however, any edits to it will get removed if the file is opened in a newer version of Excel. Learn more: https://go.microsoft.com/fwlink/?linkid=870924
Comment:
    [Mention was removed] , could we add somewhere in an update of the SI of the original the table where the link is made between what are these home textiles and technical home textiles: Steeds meer textiel in Nederland | CBS </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<sst xmlns="http://schemas.openxmlformats.org/spreadsheetml/2006/main" count="26468" uniqueCount="2371">
  <si>
    <t>Explanation of the sheets in this document</t>
  </si>
  <si>
    <t>Sheet name</t>
  </si>
  <si>
    <t>Description</t>
  </si>
  <si>
    <t>More detailed info</t>
  </si>
  <si>
    <t>Data Quality Indicators</t>
  </si>
  <si>
    <t>Descriptions of the scores of the data quality indicators</t>
  </si>
  <si>
    <t>Input values and transfer coefficient values are assigned a 'data quality indicator' for five categories. The indicator scores range from 1 (very good) to 4 (very poor). The table is adopted from Kawecki et al. (2019) can be used to assign the correct data quality indicator score to each input and transfer coefficient value.</t>
  </si>
  <si>
    <t>Materials</t>
  </si>
  <si>
    <t>All polymers that are considered in this study</t>
  </si>
  <si>
    <t>Input_EU</t>
  </si>
  <si>
    <t>Input data in kton per year at EU scale for the input compartments</t>
  </si>
  <si>
    <t>The 13 input compartments are: Packaging, Building and Construction, Automotive (product sector), EEE (product sector), Agriculture, Clothing (product sector), Household textiles (product sector), Technical textiles, Other plastic products (product sector), Paint, Intentionally produced microparticles, Domestic primary plastic production, Import of primary plastics</t>
  </si>
  <si>
    <t>Input_NL</t>
  </si>
  <si>
    <t>Input data in kton per year at NL scale for the input compartments</t>
  </si>
  <si>
    <r>
      <rPr>
        <u/>
        <sz val="11"/>
        <color theme="1"/>
        <rFont val="Calibri"/>
        <family val="2"/>
        <scheme val="minor"/>
      </rPr>
      <t>The 13 input compartments are:</t>
    </r>
    <r>
      <rPr>
        <sz val="11"/>
        <color theme="1"/>
        <rFont val="Calibri"/>
        <family val="2"/>
        <scheme val="minor"/>
      </rPr>
      <t xml:space="preserve"> Packaging, Building and Construction, Automotive (product sector), EEE (product sector), Agriculture, Clothing (product sector), Household textiles (product sector), Technical textiles, Other plastic products (product sector), Paint, Intentionally produced microparticles, Domestic primary plastic production, Import of primary plastics</t>
    </r>
  </si>
  <si>
    <t>Transfer coefficients</t>
  </si>
  <si>
    <t>Transfer coefficients (0 - 1) that describe the distribution of microplastics from one to another compartment between compartments</t>
  </si>
  <si>
    <t>Plastics are transferred from one compartment to the other. How the plastics are distributed amongst the next compartments is defined by the transfer coefficients. The sum of the transfer coefficients for each compartment must equal 1 (mass balance: no plastics are lost)</t>
  </si>
  <si>
    <t>Lifetimes_pairs</t>
  </si>
  <si>
    <t>The lifetime categories that are assgined to each stock compartment</t>
  </si>
  <si>
    <t>Plastic producs have a lifetime, which refers to the length of time for which it is estimated that the product will be used by the consumer. This table links each stock compartment to a lifetime category.</t>
  </si>
  <si>
    <t>Lifetimes</t>
  </si>
  <si>
    <t>The lifetime (or discarding) funtion for each lifetime category (for the first 200 years)</t>
  </si>
  <si>
    <t xml:space="preserve">The fraction of the plastic product that flows to the next compartment(s) in the first 200 years after the product is consumed. </t>
  </si>
  <si>
    <t>Compartments</t>
  </si>
  <si>
    <t>List of all compartments included in this study</t>
  </si>
  <si>
    <t>x</t>
  </si>
  <si>
    <t>Compartments_Kawecki&amp;Nowack19</t>
  </si>
  <si>
    <t>List of all compartments included in the study from Kawecki and Nowack (2019)</t>
  </si>
  <si>
    <t>Compartments_Added_by_RIVM_TNO</t>
  </si>
  <si>
    <t>List of all compartments that were not inlcuded in the study from Kawecki and Nowack (2019) and that have been added by the RIVM/TNO team in 2023</t>
  </si>
  <si>
    <t>Check_Compartments</t>
  </si>
  <si>
    <t>Check sheet</t>
  </si>
  <si>
    <t>Checks all input compartments. Checks if input compartments only have an outgoing flow (from). Checks if flow compartments have and in- and outgoing flow (from &amp; to). Checks if sink compartments only have an ingoing flow (to).</t>
  </si>
  <si>
    <t>Textiles</t>
  </si>
  <si>
    <t>Calculation of the input and transfer coefficients of textile related compartments</t>
  </si>
  <si>
    <t>The cells that are highlighted in green contain the values that are used in the 'Input_EU', 'Input_NL', or 'Transfer coefficient' sheet.</t>
  </si>
  <si>
    <t>Intentionally produced microparticles</t>
  </si>
  <si>
    <t>Calculation of the input and transfer coefficients of intentionally produced microparticle related compartments</t>
  </si>
  <si>
    <t>Packaging</t>
  </si>
  <si>
    <t>Calculation of the input and transfer coefficients of packaging related compartments</t>
  </si>
  <si>
    <t>Sources used in this document</t>
  </si>
  <si>
    <t>Full citation</t>
  </si>
  <si>
    <t>Kawecki &amp; Nowack (2019)</t>
  </si>
  <si>
    <t>Kawecki, D., &amp; Nowack, B. (2019). Polymer-specific modeling of the environmental emissions of seven commodity plastics as macro-and microplastics. Environmental science &amp; technology, 53(16), 9664-9676.</t>
  </si>
  <si>
    <t>Kawecki et al. (2021)</t>
  </si>
  <si>
    <r>
      <t>Kawecki, D., Wu, Q., Gonçalves, J. S., &amp; Nowack, B. (2021). Polymer-specific dynamic probabilistic material flow analysis of seven polymers in Europe from 1950 to 2016. </t>
    </r>
    <r>
      <rPr>
        <sz val="11"/>
        <color rgb="FF222222"/>
        <rFont val="Calibri"/>
        <family val="2"/>
        <scheme val="minor"/>
      </rPr>
      <t>Resources, Conservation and Recycling, 173, 105733.</t>
    </r>
  </si>
  <si>
    <t>Category</t>
  </si>
  <si>
    <t xml:space="preserve">Abbreviation </t>
  </si>
  <si>
    <t>Very Good</t>
  </si>
  <si>
    <t>Good</t>
  </si>
  <si>
    <t>Poor</t>
  </si>
  <si>
    <t>Very Poor</t>
  </si>
  <si>
    <t>Score</t>
  </si>
  <si>
    <t>DQIS = 1</t>
  </si>
  <si>
    <t>DQIS = 2</t>
  </si>
  <si>
    <t>DQIS = 3</t>
  </si>
  <si>
    <t>DQIS = 4</t>
  </si>
  <si>
    <t>Geographical representativeness</t>
  </si>
  <si>
    <t>Geo (NL or EU)</t>
  </si>
  <si>
    <t>Same region (for EU: EU28 and EU28+2 qualify, for NL: CBS data qualifies)</t>
  </si>
  <si>
    <t>Socioeconomically similar region (i.e. Europe vs. Switzerland)</t>
  </si>
  <si>
    <t>Socioeconomically different region (i.e. USA vs. Europe)</t>
  </si>
  <si>
    <t>Socioeconomically very different region (i.e. World vs. Europe)</t>
  </si>
  <si>
    <t>Temporal representativeness</t>
  </si>
  <si>
    <t>Temp</t>
  </si>
  <si>
    <t>Material representativeness</t>
  </si>
  <si>
    <t>Mat</t>
  </si>
  <si>
    <t>Same polymer</t>
  </si>
  <si>
    <t>Same polymer datum corrected with data for all polymers</t>
  </si>
  <si>
    <t>Data for a different polymer, or for plastic as a whole, or including similar materials</t>
  </si>
  <si>
    <t>Including non-similar materials</t>
  </si>
  <si>
    <t>(Technical) Completeness</t>
  </si>
  <si>
    <t>Tech</t>
  </si>
  <si>
    <t>Includes all relevant processes/flows</t>
  </si>
  <si>
    <t>Includes main processes/flows</t>
  </si>
  <si>
    <t>Partially including main processes/flows</t>
  </si>
  <si>
    <t>Important processes/flows are missing</t>
  </si>
  <si>
    <t>Source reliability</t>
  </si>
  <si>
    <t>Rel</t>
  </si>
  <si>
    <t>Official report /peer reviewed documentation</t>
  </si>
  <si>
    <t>Martket reports and other reports / Public databases</t>
  </si>
  <si>
    <t>Qualified estimate</t>
  </si>
  <si>
    <t>Non-qualified estimate</t>
  </si>
  <si>
    <t>Name</t>
  </si>
  <si>
    <t>LDPE</t>
  </si>
  <si>
    <t>HDPE</t>
  </si>
  <si>
    <t>PP</t>
  </si>
  <si>
    <t>PS</t>
  </si>
  <si>
    <t>EPS</t>
  </si>
  <si>
    <t>PVC</t>
  </si>
  <si>
    <t>PET</t>
  </si>
  <si>
    <t>RUBBER</t>
  </si>
  <si>
    <t>PUR</t>
  </si>
  <si>
    <t>ABS</t>
  </si>
  <si>
    <t>PA</t>
  </si>
  <si>
    <t>PC</t>
  </si>
  <si>
    <t>PMMA</t>
  </si>
  <si>
    <t>OTHER</t>
  </si>
  <si>
    <t>Acryl</t>
  </si>
  <si>
    <t>Compartment</t>
  </si>
  <si>
    <t>Year</t>
  </si>
  <si>
    <t>Material</t>
  </si>
  <si>
    <t>Data (kt)</t>
  </si>
  <si>
    <t>Source</t>
  </si>
  <si>
    <t>Geo</t>
  </si>
  <si>
    <t>Spread</t>
  </si>
  <si>
    <t>Codes and comments</t>
  </si>
  <si>
    <t>Clothing (product sector)</t>
  </si>
  <si>
    <t>Domestic primary plastic production</t>
  </si>
  <si>
    <t>Statistics | Eurostat [WWW Document], n.d. URL https://ec.europa.eu/eurostat/databrowser/view/DS-056120__custom_5851448/default/table (accessed 2.15.24).</t>
  </si>
  <si>
    <t>See 'Pellets_trade' document and pellet_input.py in the Microsoft Teams folder 'Pellet'</t>
  </si>
  <si>
    <t>Household textiles (product sector)</t>
  </si>
  <si>
    <t>Information combined from: CBS (2019), Synthetic Fibers (polymerdatabase.com), and Kawecki &amp; Nowack (2019)</t>
  </si>
  <si>
    <t>Import of primary plastics</t>
  </si>
  <si>
    <t>Recybem</t>
  </si>
  <si>
    <t>Information combined from: Scudo et al. (2017), Microplastics Annex XV Report (2020), and Statistics | Eurostat</t>
  </si>
  <si>
    <t>Data based on EUROSTAT, polymer distribution based on Cimpan et al. (2021)</t>
  </si>
  <si>
    <t>Paint</t>
  </si>
  <si>
    <t>Calculated from domestic paint sales reported in the 'VVVF Jaaroverzicht'</t>
  </si>
  <si>
    <t>Total mass of microplastics in the paint applications that we model</t>
  </si>
  <si>
    <t>Technical textiles</t>
  </si>
  <si>
    <t>Information combined from: CBS (2019), Carpet Fibers (polymerdatabase.com), Kawecki et al. (2019), Wu et al. (2020), and Thadepalli (2022)</t>
  </si>
  <si>
    <t>Comments</t>
  </si>
  <si>
    <t>Textiles in Europe's circular economy — European Environment Agency (europa.eu)</t>
  </si>
  <si>
    <t>Calculated based on the total EU textile consumption (8351.04 kt) and the fractions for the different compartments at NL scale (see table above).</t>
  </si>
  <si>
    <t>Statistics | Eurostat [WWW Document], n.d. URL https://ec.europa.eu/eurostat/databrowser/view/DS-056120__custom_6262207/default/table (accessed 2.15.24).</t>
  </si>
  <si>
    <t>Other</t>
  </si>
  <si>
    <t>Annex to 'Proposal for a regulation of the European Parliament and of the council on preventing plastic pellet losses to reduce microplastic pollution (European Commission)</t>
  </si>
  <si>
    <t>From</t>
  </si>
  <si>
    <t>To</t>
  </si>
  <si>
    <t>Scale</t>
  </si>
  <si>
    <t>Data</t>
  </si>
  <si>
    <t>Priority</t>
  </si>
  <si>
    <t>Geo NL</t>
  </si>
  <si>
    <t>Geo EU</t>
  </si>
  <si>
    <t>Spread NL</t>
  </si>
  <si>
    <t>Spread EU</t>
  </si>
  <si>
    <t>Agricultural packaging bottles</t>
  </si>
  <si>
    <t>any</t>
  </si>
  <si>
    <t>WRAP, Report: Plastic Packaging Composition 2011, 2013</t>
  </si>
  <si>
    <t>Based on EU flows in Liu etal. 2022 using WRAP and others</t>
  </si>
  <si>
    <t>Agricultural packaging films</t>
  </si>
  <si>
    <t>Agricultural waste collection (micro)</t>
  </si>
  <si>
    <t>Agricultural plastic recycling</t>
  </si>
  <si>
    <t>Schelker, Raymond, and Patrik Geisselhardt, Welche Fraktionen - Hauptkunststoffe, 2011</t>
  </si>
  <si>
    <t>Agricultural soil (macro)</t>
  </si>
  <si>
    <t>Best case scenario</t>
  </si>
  <si>
    <t>Based on Agreste. Chiffres-Clés : 61 Hectares En Moyenne Par Exploitation; 2017</t>
  </si>
  <si>
    <t>Compost (macro)</t>
  </si>
  <si>
    <t>rest</t>
  </si>
  <si>
    <t>97% is used in horticulture and agriculture</t>
  </si>
  <si>
    <t>Agrotextiles</t>
  </si>
  <si>
    <t>Agrotextiles (discarded)</t>
  </si>
  <si>
    <t>Compost (micro)</t>
  </si>
  <si>
    <t>Agricultural soil (micro)</t>
  </si>
  <si>
    <t>Controlled release fertilizer</t>
  </si>
  <si>
    <t>Assumption</t>
  </si>
  <si>
    <t>Assumed that application is to aggriculatural soil and small part is discarded in waste</t>
  </si>
  <si>
    <t>Fertilizer additives</t>
  </si>
  <si>
    <t>Plant protection products</t>
  </si>
  <si>
    <t>Seed coating</t>
  </si>
  <si>
    <t>Agrotextiles (in use)</t>
  </si>
  <si>
    <t>Kawecki and Nowack (2019)</t>
  </si>
  <si>
    <t>Derived from Kawecki and Nowack (2019). (=0.0130 + 0.085)</t>
  </si>
  <si>
    <t>Agricultural waste collection</t>
  </si>
  <si>
    <t>Assumption (based also on PCCP)</t>
  </si>
  <si>
    <t>Collected organic waste</t>
  </si>
  <si>
    <t>WUR &amp; RIVM</t>
  </si>
  <si>
    <t>See SI for further details.</t>
  </si>
  <si>
    <t>Building textiles</t>
  </si>
  <si>
    <t>Building textiles (discarded)</t>
  </si>
  <si>
    <t>Building textiles (in use)</t>
  </si>
  <si>
    <t>Based on private communication with Canton of Geneva on 4/8/2019. Lower limit.</t>
  </si>
  <si>
    <t>Based on private communication with Canton of Geneva on 4/8/2020. Upper limit.</t>
  </si>
  <si>
    <t>Construction and demolition incinerable waste collection</t>
  </si>
  <si>
    <t>Residential soil (macro)</t>
  </si>
  <si>
    <t>Based on private communication with Canton of Geneva on 4/8/2019</t>
  </si>
  <si>
    <t>ELV textiles collection</t>
  </si>
  <si>
    <t>Incineration</t>
  </si>
  <si>
    <t>NL</t>
  </si>
  <si>
    <t>Restrepo, Eliette, Amund N. Løvik, Patrick Wäger, Rolf Widmer, Radek Lonka, and Daniel B. Müller, ‘Stocks, Flows, and Distribution of Critical Metals in Embedded Electronics in Passenger Vehicles’, Environmental Science &amp; Technology, 51 (2017), 1129–39 &lt;http://dx.doi.org/10.1021/acs.est.6b05743&gt;</t>
  </si>
  <si>
    <t>EU</t>
  </si>
  <si>
    <t>Building packaging films</t>
  </si>
  <si>
    <t>Landfill</t>
  </si>
  <si>
    <t>Geotextiles</t>
  </si>
  <si>
    <t>Geotextiles (discarded)</t>
  </si>
  <si>
    <t>Geotextiles (in use)</t>
  </si>
  <si>
    <t>Sub-surface soil (micro)</t>
  </si>
  <si>
    <t>Home textiles</t>
  </si>
  <si>
    <t>Home textiles (discarded)</t>
  </si>
  <si>
    <t>Home textiles (in use)</t>
  </si>
  <si>
    <t>Derived from Kawecki and Nowack (2019). See SI for further details. Lower limit (= 0.0086 + 0 + 0.01757))</t>
  </si>
  <si>
    <t>Derived from Kawecki and Nowack (2019). See SI for further details. Upper limit (= 0.0130 + 0 + 0.01757))</t>
  </si>
  <si>
    <t>Clothing (discarded)</t>
  </si>
  <si>
    <t>Kawecki and Nowack (2019) &amp; WUR&amp;TNO</t>
  </si>
  <si>
    <t>Clothing (in use)</t>
  </si>
  <si>
    <t>Clothing (in use) wash &amp; dry</t>
  </si>
  <si>
    <t>Clothing (in use) wear &amp; tear</t>
  </si>
  <si>
    <t>See calculation in Compost sheet</t>
  </si>
  <si>
    <t>Consumer bags</t>
  </si>
  <si>
    <t>Consumer bottles</t>
  </si>
  <si>
    <t>Consumer films</t>
  </si>
  <si>
    <t>Other consumer packaging</t>
  </si>
  <si>
    <t>Dumping</t>
  </si>
  <si>
    <t>See description in SI</t>
  </si>
  <si>
    <t>Collected organic waste (larger than 1 mm)</t>
  </si>
  <si>
    <t>Collected organic waste (smaller than 1 mm)</t>
  </si>
  <si>
    <t>Faure, F.; De Alencastro, L. F. Recherche de fragments de plastique dans les composts et digestats industriels; 2016.</t>
  </si>
  <si>
    <t>Wastewater treatment plant (macro)</t>
  </si>
  <si>
    <t>Combined sewer overflow (macro)</t>
  </si>
  <si>
    <t>Hoeke 2024 and Liefting E and de Man 2014</t>
  </si>
  <si>
    <t>Combined sewer overflow</t>
  </si>
  <si>
    <t>Sun, T. Y.; Gottschalk, F.; Hungerbühler, K.; Nowack, B. Comprehensive Probabilistic Modelling of Environmental Emissions of Engineered Nanomaterials. Environ. Pollut. 2014, 185, 69–76.</t>
  </si>
  <si>
    <t>Mutzner, L.; Staufer, P.; Ort, C. Model-Based Screening for Critical Wet-Weather Discharges Related to Micropollutants from Urban Areas. Water Res. 2016, 104, 547–557.</t>
  </si>
  <si>
    <t>Wastewater treatment plant (micro)</t>
  </si>
  <si>
    <t>Combined sewer overflow (micro)</t>
  </si>
  <si>
    <t>Calculated based on the duration the CSOs are active per municipality, and the waste water treated annually per year (data obtained from L. Mutzner by private communication on 09.05.2018)</t>
  </si>
  <si>
    <t>Compost size separation (fictional process)</t>
  </si>
  <si>
    <t>Of all the plastic larger than 1 mm, fraction larger than 5 mm</t>
  </si>
  <si>
    <t>No sorting of microplastics</t>
  </si>
  <si>
    <t>Goldberg, L. Plastic in Organic Waste in Switzerland : Material Flows and Consequences, University of Zurich, 2018.</t>
  </si>
  <si>
    <t>99% efficiency in sorting</t>
  </si>
  <si>
    <t>Mixed waste collection</t>
  </si>
  <si>
    <t>Massabalans textiel, 2018</t>
  </si>
  <si>
    <t>Textile waste collection</t>
  </si>
  <si>
    <t>Changed priority to 2</t>
  </si>
  <si>
    <t>Detergents and maintenance products</t>
  </si>
  <si>
    <t>Indoor air (micro)</t>
  </si>
  <si>
    <t>Lower limit. Normalized TC (= 0.0086 / (0.0086 + 0 + 0.01757))</t>
  </si>
  <si>
    <t>Upper limit. Normalized TC (= 0.0130 / (0.0130 + 0 + 0.01757))</t>
  </si>
  <si>
    <t>Outdoor air (micro)</t>
  </si>
  <si>
    <t>Wastewater (micro)</t>
  </si>
  <si>
    <t>The value 0.01575 comes from WUR &amp; RIVM literature research. This value is used in the calculations of the other TCs.</t>
  </si>
  <si>
    <t>Disposable cleaning cloths</t>
  </si>
  <si>
    <t>Non-consumer bags</t>
  </si>
  <si>
    <t>Other non-consumer films</t>
  </si>
  <si>
    <t>Other non-consumer packaging</t>
  </si>
  <si>
    <t>Other technical textiles</t>
  </si>
  <si>
    <t>Panty liners</t>
  </si>
  <si>
    <t>Sanitary pads</t>
  </si>
  <si>
    <t>Tampons</t>
  </si>
  <si>
    <t>Technical home textiles (discarded)</t>
  </si>
  <si>
    <t>Elimination</t>
  </si>
  <si>
    <t>Packaging collection</t>
  </si>
  <si>
    <t>Export</t>
  </si>
  <si>
    <t>Haupt, Melanie, Carl Vadenbo, and Stefanie Hellweg, ‘Do We Have the Right Performance Indicators for the Circular Economy? – Insight into the Swiss Waste Management System’, Journal of Industrial Ecology, 2016, 1–13 &lt;http://dx.doi.org/10.1111/jiec.12506&gt;</t>
  </si>
  <si>
    <t>Based on Haupt, Melanie, Carl Vadenbo, and Stefanie Hellweg, ‘Do We Have the Right Performance Indicators for the Circular Economy? – Insight into the Swiss Waste Management System’, Journal of Industrial Ecology, 2016, 1–13 &lt;http://dx.doi.org/10.1111/jiec.12506&gt;</t>
  </si>
  <si>
    <t>Secondary material reuse</t>
  </si>
  <si>
    <t/>
  </si>
  <si>
    <t>Value for inhomogeneous or contaminated streams</t>
  </si>
  <si>
    <t>Residential soil (micro)</t>
  </si>
  <si>
    <t>EC, 2023. Preliminary analysis of the main sources of microplastic emissions, ANNEX 1-14 of the IMPACT ASSESSMENT REPORT on Combatting microplastics pollution in the Eurpean Union.</t>
  </si>
  <si>
    <t>Kawecki et al. (2019)</t>
  </si>
  <si>
    <t>Industrial stormwater (micro)</t>
  </si>
  <si>
    <t>Astrup et al., ‘Recycling of Plastic : Accounting of Greenhouse Gases and Global Warming Contributions’, Waste Management &amp; Research, 2009</t>
  </si>
  <si>
    <t>Transport of primary plastics</t>
  </si>
  <si>
    <t>Kawecki, D., Nowack, B., 2019. Supporting Information for: Polymer-specific modelling of the environmental emissions of seven commodity plastics as macro- and microplastics.</t>
  </si>
  <si>
    <t>Surface water (micro)</t>
  </si>
  <si>
    <t>Pellet conversion</t>
  </si>
  <si>
    <t>Plastic products</t>
  </si>
  <si>
    <t>Pellet losses industrial plants</t>
  </si>
  <si>
    <t>Pellet losses transport land</t>
  </si>
  <si>
    <t>TNO synthesis: Kawecki &amp; Nowack</t>
  </si>
  <si>
    <t>Stormwater (macro)</t>
  </si>
  <si>
    <t>Surface water (macro)</t>
  </si>
  <si>
    <t>Stormwater (micro)</t>
  </si>
  <si>
    <t>Export of primary plastics</t>
  </si>
  <si>
    <t>Food additives</t>
  </si>
  <si>
    <t>Highway</t>
  </si>
  <si>
    <t>Highway DAB</t>
  </si>
  <si>
    <t>Highway ZOAB</t>
  </si>
  <si>
    <t>RWS report on fraction ZOAB</t>
  </si>
  <si>
    <t>Estimate</t>
  </si>
  <si>
    <t>Expert judgement</t>
  </si>
  <si>
    <t>Highway DAB non cleaned</t>
  </si>
  <si>
    <t>RWS, 2022. Bandenslijtage wegverkeer (No. Versie juli 2022), Emissieschattingen Diffuse bronnen Emissieregistratie.</t>
  </si>
  <si>
    <t>Hoeke, S., Van Wijnen, J., Krikke, H., Löhr, A., Ragas, A.M.J., 2024. Mapping the tire supply chain and its microplastics emissions using a multi-stakeholder approach. Resources, Conservation and Recycling 203, 107389. https://doi.org/10.1016/j.resconrec.2023.107389</t>
  </si>
  <si>
    <t>Müller Andreas, 2016</t>
  </si>
  <si>
    <t>Schelker, Raymond, and Patrik Geisselhardt, Projekt „ Kunststoff-Verwertung Schweiz “: Bericht Module 1 Und 2, 2011</t>
  </si>
  <si>
    <t>Value for films</t>
  </si>
  <si>
    <t>Private communication PET Recycling Schweiz</t>
  </si>
  <si>
    <t>Based on Private communication PET Recycling Schweiz</t>
  </si>
  <si>
    <t>Packaging recycling</t>
  </si>
  <si>
    <t>Sludge (macro)</t>
  </si>
  <si>
    <t>Laube, André, and Armin Vonplon, ‘Élimination Des Boues D’épuration En Suisse - Recensement Des Quantités’, Documents Environnement Office Fédéral de L’environnement, Des Forêts et Du Paysage, 181 (2004), 47</t>
  </si>
  <si>
    <t>Sludge (micro)</t>
  </si>
  <si>
    <t>Tertiary water treatment (macro)</t>
  </si>
  <si>
    <t>Tertiary water treatment (micro)</t>
  </si>
  <si>
    <t>Talvitie, J.; Heinonen, M.; Pääkkönen, J.-P.; Vahtera, E.; Mikola, A.; Setälä, O.; Vahala, R. Do Wastewater Treatment Plants Act as a Potential Point Source of Microplastics? Preliminary Study in the Coastal Gulf of Finland , Baltic Sea. Water Sci. Techno</t>
  </si>
  <si>
    <t>Talvitie, J.; Mikola, A.; Setälä, O.; Heinonen, M.; Koistinen, A. How Well Is Microlitter Purified from Wastewater? A Detailed Study on the Stepwise Removal of Microlitter in a Tertiary Level Wastewater Treatment Plant. Water Res. 2017, 109, 164–172.</t>
  </si>
  <si>
    <t>Ziajahromi, S.; Neale, P. A.; Rintoul, L.; Leusch, F. D. L. Wastewater Treatment Plants as a Pathway for Microplastics: Development of a New Approach to Sample Wastewater-Based Microplastics. Water Res. 2017, 112, 93–99.</t>
  </si>
  <si>
    <t>Fraction collected on screens</t>
  </si>
  <si>
    <t>Fraction collected on screens with remaining waste (set to zero, because included in later stage)</t>
  </si>
  <si>
    <t>Road cleaning</t>
  </si>
  <si>
    <t>Sieber</t>
  </si>
  <si>
    <t>Astrup et al., ‘Recycling of Plastic : Accounting of Greenhouse Gases and Global Warming Contributions’, Waste Management &amp; Research, 2003</t>
  </si>
  <si>
    <t>Indoor floors (micro)</t>
  </si>
  <si>
    <t>Astrup et al., ‘Recycling of Plastic : Accounting of Greenhouse Gases and Global Warming Contributions’, Waste Management &amp; Research, 2004</t>
  </si>
  <si>
    <t>Astrup et al., ‘Recycling of Plastic : Accounting of Greenhouse Gases and Global Warming Contributions’, Waste Management &amp; Research, 2005</t>
  </si>
  <si>
    <t>Astrup et al., ‘Recycling of Plastic : Accounting of Greenhouse Gases and Global Warming Contributions’, Waste Management &amp; Research, 2006</t>
  </si>
  <si>
    <t>Astrup et al., ‘Recycling of Plastic : Accounting of Greenhouse Gases and Global Warming Contributions’, Waste Management &amp; Research, 2007</t>
  </si>
  <si>
    <t>Infill material sports fields</t>
  </si>
  <si>
    <t>Recybem avv-monitor atuobanden 2017</t>
  </si>
  <si>
    <t>Infill material sports fields (discarded)</t>
  </si>
  <si>
    <t>Infill material sports fields (in use)</t>
  </si>
  <si>
    <t>Hoeke etal. 2024 and Sieber et al. Loss per year multiplied by 10 year lifespan</t>
  </si>
  <si>
    <t>Invitro diagnostic devices</t>
  </si>
  <si>
    <t>Litter on road sides</t>
  </si>
  <si>
    <t>Astrup et al., ‘Recycling of Plastic : Accounting of Greenhouse Gases and Global Warming Contributions’, Waste Management &amp; Research, 2008</t>
  </si>
  <si>
    <t>Based on private communication with Canton of Geneva on 4/8/2020</t>
  </si>
  <si>
    <t>Based on private communication with Canton of Geneva on 4/8/2019 (Kawecki and Nowack, 2021)</t>
  </si>
  <si>
    <t>Based on private communication with Canton of Geneva on 4/8/2020 (Kawecki and Nowack, 2021)</t>
  </si>
  <si>
    <t>Extreme EU scenario of 0 mixed waste going to landfill (rest goes to incineration)</t>
  </si>
  <si>
    <t>Extreme EU scenario of all other mixed waste going to landfill (rest goes to incineration)</t>
  </si>
  <si>
    <t>Litter in natural environments</t>
  </si>
  <si>
    <t>Department for Environment Food &amp; Rural Affairs. Fly-Tipping Statistics for England, 2016/17; 2017.</t>
  </si>
  <si>
    <t>On-the-go consumption (nature)</t>
  </si>
  <si>
    <t>Schultz, P. W.; Bator, R. J.; Large, L. B.; Bruni, C. M.; Tabanico, J. J. Littering in Context. Environ. Behav. 2013, 45 (1), 35–59.</t>
  </si>
  <si>
    <t>Litter in residential environments</t>
  </si>
  <si>
    <t>On-the-go consumption (residential)</t>
  </si>
  <si>
    <t>Private communication City of Geneva</t>
  </si>
  <si>
    <t>Bern</t>
  </si>
  <si>
    <t>Private communication City of Bern</t>
  </si>
  <si>
    <t>Geneva</t>
  </si>
  <si>
    <t>Assume no landfilling in NL</t>
  </si>
  <si>
    <t>Assumed by Kawecki et al. (2019)</t>
  </si>
  <si>
    <t>Mixed waste collection (micro)</t>
  </si>
  <si>
    <t>On-the-go consumption (transport)</t>
  </si>
  <si>
    <t>Proportionality factor from: Schultz, P. W.; Bator, R. J.; Large, L. B.; Bruni, C. M.; Tabanico, J. J. Littering in Context. Environ. Behav. 2013, 45 (1), 35–59.</t>
  </si>
  <si>
    <t>Wet wipes</t>
  </si>
  <si>
    <t>Medicine diffusion limitation (slow release)</t>
  </si>
  <si>
    <t>Assume between 10 and 90% of the rest - 0.1</t>
  </si>
  <si>
    <t>Defined in code</t>
  </si>
  <si>
    <t>Assume between 10 and 90% of the rest - 0.9</t>
  </si>
  <si>
    <t>Natural soil (macro)</t>
  </si>
  <si>
    <t>Rest of 10% to 90% going to mixed waste</t>
  </si>
  <si>
    <t>P. Wesley Schultz; Brown Large, L.; Tabanico, J.; Bruni, C.; Bator, R. Littering Behavior in America: Results of a National Study; 2009</t>
  </si>
  <si>
    <t>Statistic on waterways in Table 7 of the report</t>
  </si>
  <si>
    <t>Medical textiles</t>
  </si>
  <si>
    <t>TNO assumption</t>
  </si>
  <si>
    <t>Mobility textiles</t>
  </si>
  <si>
    <t>Foundation Auto Recycling Switzerland (SARS), Annual Report 2014, 2015</t>
  </si>
  <si>
    <t>Textile coating (discarded)</t>
  </si>
  <si>
    <t>Wang, Y.; Kalinina, A.; Sun, T.; Nowack, B. Probabilistic Modeling of the Flows and Environmental Risks of Nano-Silica. Sci. Total Environ. 2016, 545–546, 67–76.</t>
  </si>
  <si>
    <t>Is based on an assumption in the original paper</t>
  </si>
  <si>
    <t>Hoeke et al.</t>
  </si>
  <si>
    <t>PCCP</t>
  </si>
  <si>
    <t>Technical home textiles</t>
  </si>
  <si>
    <t>Technical home textiles (in use)</t>
  </si>
  <si>
    <t>Lower limit.</t>
  </si>
  <si>
    <t>Upper limit.</t>
  </si>
  <si>
    <t>Statistic on "wedging" in Table 8 of the report</t>
  </si>
  <si>
    <t>Textile coating (in use)</t>
  </si>
  <si>
    <t>Natural soil (micro)</t>
  </si>
  <si>
    <t>Offshore oil &amp; gas applications</t>
  </si>
  <si>
    <t>Wastewater (macro)</t>
  </si>
  <si>
    <t>On-site sewage facility (macro)</t>
  </si>
  <si>
    <t>Dominguez, D.; Diggelmann, V.; Binggeli, S. Élimination Des Composés Traces Organiques Dans Les Stations D’Épuration; 2016; https://www.bafu.admin.ch/dam/bafu/fr/dokumente/wasser/uv-umwelt-vollzug/elimination_von_organischenspurenstoffenbeiabwasseranlagen.pdf.download.pdf/elimination_des_composestracesorganiquesdanslesstationsdepuratio.pdf.</t>
  </si>
  <si>
    <t>Fraction not connected to WWTP, based on the number of inhabitants</t>
  </si>
  <si>
    <t>On-site sewage facility (micro)</t>
  </si>
  <si>
    <t>On-the-go consumption</t>
  </si>
  <si>
    <t>WRAP. Report: Plastic packaging Composition 2011. (2013).</t>
  </si>
  <si>
    <t>Bundesamt für Statistik BFS. Das Kultur- Und Freizeitverhalten in Der Schweiz: Erste Ergebnisse Der Erhebung 2014; 2016.</t>
  </si>
  <si>
    <t>Based on McDonald’s Suisse, Corporate Responsibility Report 2015 McDonald’s Suisse, 2015</t>
  </si>
  <si>
    <t>Based on the proportions of restaurants equipped with a drive-through</t>
  </si>
  <si>
    <t>Schneider, T. Dust and fibers as a cause of indoor environment problems. Scand. J. Work. Environ. Health 10–17 (2008)</t>
  </si>
  <si>
    <t>Including resuspension by activities, home, not standard size, PM10</t>
  </si>
  <si>
    <t>No resuspension, office building, salts &gt;2.5um</t>
  </si>
  <si>
    <t>No resuspension, occupied house, house dust</t>
  </si>
  <si>
    <t>No resuspension, furnished experimental house, 4um aerosol</t>
  </si>
  <si>
    <t>Road side soil (micro)</t>
  </si>
  <si>
    <t>Verschoor 2016</t>
  </si>
  <si>
    <t>Highway ZOAB non cleaned</t>
  </si>
  <si>
    <t>Hoeke, S., Van Wijnen, J., Krikke, H., Löhr, A., Ragas, A.M.J., 2024. Mapping the tire supply chain and its microplastics emissions using a multi-stakeholder approach. Resources, Conservation and Recycling 203, 107389. https://doi.org/10.1016/j.resconrec.</t>
  </si>
  <si>
    <t>Calculated from the given recycling rates, taking into account the assumed sorting losses as given below</t>
  </si>
  <si>
    <t>Bundesamt für Umwelt, ‘Abfallmengen Und Recycling 2014 Im Überblick’, 2015</t>
  </si>
  <si>
    <t>Gouin, T., J. Avalos, I. Brunning, K. Brzuska, J. De Graaf, J. Kaumanns, and others, ‘Use of Micro-Plastic Beads in Cosmetic Products in Europe and Their Estimated Emissions to the North Sea Environment’, SOFW Journal, 141 (2015), 40–46</t>
  </si>
  <si>
    <t>Primary water treatment (macro)</t>
  </si>
  <si>
    <t>Primary water treatment (micro)</t>
  </si>
  <si>
    <t>To Primary Treatment</t>
  </si>
  <si>
    <t>3% is used by hobby gardeners</t>
  </si>
  <si>
    <t>Assumption of worst case scenario, based on private communication with Entsorgung + Recycling Stadt Bern 10.08.2018</t>
  </si>
  <si>
    <t>Assume no landfilling in NL, possible check needed (e.g. landfilling of E0L Rubber granules?</t>
  </si>
  <si>
    <t>New compartment based on micro fraction ending up in mixed waste and not being attributed to micro residential soil</t>
  </si>
  <si>
    <t>Verschoor 2017</t>
  </si>
  <si>
    <t>Assumption that part of the cleaning is water based or rinsed out</t>
  </si>
  <si>
    <t>Road runoff</t>
  </si>
  <si>
    <t>Rural roads</t>
  </si>
  <si>
    <t>Tyre wear</t>
  </si>
  <si>
    <t>Own calculation based on RWS, 2022. Bandenslijtage wegverkeer (No. Versie juli 2022), Emissieschattingen Diffuse bronnen Emissieregistratie.</t>
  </si>
  <si>
    <t>Urban roads</t>
  </si>
  <si>
    <t>assumption based on similar losses estimated for other waste collection systems</t>
  </si>
  <si>
    <t>Secondary water treatment (macro)</t>
  </si>
  <si>
    <t>Secondary water treatment (micro)</t>
  </si>
  <si>
    <t>Murphy, F.; Ewins, C.; Carbonnier, F.; Quinn, B. Wastewater Treatment Works (WwTW) as a Source of Microplastics in the Aquatic Environment. Environ. Sci. Technol. 2016, acs.est.5b05416.</t>
  </si>
  <si>
    <t>Talvitie, J.; Heinonen, M. Preliminary Study on Synthetic Microfibers and Particles at a Municipal Wastewater treatment plant; 2014.</t>
  </si>
  <si>
    <t>Worst case scenario</t>
  </si>
  <si>
    <t>Rutsch, Mandy, J. Rieckermann, and P. Krebs, ‘Quantification of Sewer Leakage: A Review’, Water Science and Technology, 54 (2006), 135–44 &lt;http://dx.doi.org/10.2166/wst.2006.616&gt;</t>
  </si>
  <si>
    <t>Textile recycling</t>
  </si>
  <si>
    <t>Road side soil (macro)</t>
  </si>
  <si>
    <t>Textile coating</t>
  </si>
  <si>
    <t>Derived from Kawecki and Nowack (2019). See SI for further details. Lower limit (= 0.0004 + (4*0.0025))</t>
  </si>
  <si>
    <t>Derived from Kawecki and Nowack (2019). See SI for further details. Upper limit (= 0.0086 + (4*0.0025))</t>
  </si>
  <si>
    <t>Textile reuse</t>
  </si>
  <si>
    <t>Based on Dettli, Reto, Raphael Fasko, Urban Frei, and Fabienne Habermacher, Transformation Der Abfallverwertung in Der Schweiz Für Eine Hohe Und Zeitlich Optimierte Energieausnutzung, 2015</t>
  </si>
  <si>
    <t xml:space="preserve">Flushing probability </t>
  </si>
  <si>
    <t>Flushing probability</t>
  </si>
  <si>
    <t>Based on Moran, R. E.; Bennett, D. H.; Tancredi, D. J.; Wu, X. M.; Ritz, B.; Hertz-Picciotto, I. Frequency and longitudinal trends of household care product use. Atmos. Environ. 2012, 55, 417–424.</t>
  </si>
  <si>
    <t>Comparing frequency of [dry-mop+sweep+vacuum] and [wet-mop] all populations combined (parents with young children, older adults, women and men)</t>
  </si>
  <si>
    <t>Sea water (micro)</t>
  </si>
  <si>
    <t>Concrete paint (prof)</t>
  </si>
  <si>
    <t>Verschoor et al. (2016)</t>
  </si>
  <si>
    <t>Lacquer (prof)</t>
  </si>
  <si>
    <t>Wood stain (prof)</t>
  </si>
  <si>
    <t>Wall paint (prof)</t>
  </si>
  <si>
    <t>Plaster (prof)</t>
  </si>
  <si>
    <t>Other paint uses (prof)</t>
  </si>
  <si>
    <t>Paints used in pre-made wooden products</t>
  </si>
  <si>
    <t>Lacquer (DIY)</t>
  </si>
  <si>
    <t>Wood stain (DIY)</t>
  </si>
  <si>
    <t>Wall paint (DIY)</t>
  </si>
  <si>
    <t>Plaster (DIY)</t>
  </si>
  <si>
    <t>Other paint uses (DIY)</t>
  </si>
  <si>
    <t>Ship paint (prof)</t>
  </si>
  <si>
    <t>Ship paint (recr)</t>
  </si>
  <si>
    <t>Ship paint (prof) (in use)</t>
  </si>
  <si>
    <t>Ship paint (prof) (discarded)</t>
  </si>
  <si>
    <t>Ship paint (recr) (in use)</t>
  </si>
  <si>
    <t>Ship paint (recr) (discarded)</t>
  </si>
  <si>
    <t>Concrete paint (prof) indoor (discarded)</t>
  </si>
  <si>
    <t>Concrete paint (prof) outdoor</t>
  </si>
  <si>
    <t>Concrete paint (prof) indoor</t>
  </si>
  <si>
    <t>Concrete paint (prof) outdoor (discarded)</t>
  </si>
  <si>
    <t>Concrete paint (prof) outdoor (in use)</t>
  </si>
  <si>
    <t>Concrete paint (prof) indoor (in use)</t>
  </si>
  <si>
    <t>Lacquer (prof) outdoor</t>
  </si>
  <si>
    <t>Lacquer (prof) indoor</t>
  </si>
  <si>
    <t>Lacquer (prof) outdoor (in use)</t>
  </si>
  <si>
    <t>Lacquer (prof) outdoor (discarded)</t>
  </si>
  <si>
    <t>Lacquer (prof) indoor (in use)</t>
  </si>
  <si>
    <t>Lacquer (prof) indoor (discarded)</t>
  </si>
  <si>
    <t>Wood stain (prof) outdoor</t>
  </si>
  <si>
    <t>Wood stain (prof) indoor</t>
  </si>
  <si>
    <t>Other paint uses (DIY) indoor (discarded)</t>
  </si>
  <si>
    <t>Wood stain (prof) outdoor (in use)</t>
  </si>
  <si>
    <t>Wood stain (prof) outdoor (discarded)</t>
  </si>
  <si>
    <t>Wood stain (prof) indoor (in use)</t>
  </si>
  <si>
    <t>Wood stain (prof) indoor (discarded)</t>
  </si>
  <si>
    <t>Wall paint (prof) outdoor</t>
  </si>
  <si>
    <t>Wall paint (prof) indoor</t>
  </si>
  <si>
    <t>Other paint uses (DIY) outdoor (discarded)</t>
  </si>
  <si>
    <t>Wall paint (prof) outdoor (in use)</t>
  </si>
  <si>
    <t>Wall paint (prof) outdoor (discarded)</t>
  </si>
  <si>
    <t>Wall paint (prof) indoor (in use)</t>
  </si>
  <si>
    <t>Wall paint (prof) indoor (discarded)</t>
  </si>
  <si>
    <t>Other paint uses (prof) indoor (discarded)</t>
  </si>
  <si>
    <t>Plaster (prof) outdoor</t>
  </si>
  <si>
    <t>Plaster (prof) indoor</t>
  </si>
  <si>
    <t>Other paint uses (prof) outdoor (discarded)</t>
  </si>
  <si>
    <t>Plaster (prof) outdoor (in use)</t>
  </si>
  <si>
    <t>Plaster (prof) outdoor (discarded)</t>
  </si>
  <si>
    <t>Plaster (prof) indoor (in use)</t>
  </si>
  <si>
    <t>Plaster (prof) indoor (discarded)</t>
  </si>
  <si>
    <t>Other paint uses (prof) outdoor</t>
  </si>
  <si>
    <t>Other paint uses (prof) indoor</t>
  </si>
  <si>
    <t>Other paint uses (prof) outdoor (in use)</t>
  </si>
  <si>
    <t>Other paint uses (prof) indoor (in use)</t>
  </si>
  <si>
    <t>Paints used in pre-made wooden products indoor (discarded)</t>
  </si>
  <si>
    <t>Paints used in pre-made wooden products outdoor (discarded)</t>
  </si>
  <si>
    <t>Paints used in pre-made wooden products outdoor</t>
  </si>
  <si>
    <t>Paints used in pre-made wooden products indoor</t>
  </si>
  <si>
    <t>Paints used in pre-made wooden products outdoor (in use)</t>
  </si>
  <si>
    <t>Paints used in pre-made wooden products indoor (in use)</t>
  </si>
  <si>
    <t>Lacquer (DIY) outdoor</t>
  </si>
  <si>
    <t>Lacquer (DIY) indoor</t>
  </si>
  <si>
    <t>Lacquer (DIY) outdoor (in use)</t>
  </si>
  <si>
    <t>Lacquer (DIY) outdoor (discarded)</t>
  </si>
  <si>
    <t>Lacquer (DIY) indoor (in use)</t>
  </si>
  <si>
    <t>Lacquer (DIY) indoor (discarded)</t>
  </si>
  <si>
    <t>Wood stain (DIY) outdoor</t>
  </si>
  <si>
    <t>Wood stain (DIY) indoor</t>
  </si>
  <si>
    <t>Wood stain (DIY) outdoor (in use)</t>
  </si>
  <si>
    <t>Wood stain (DIY) outdoor (discarded)</t>
  </si>
  <si>
    <t>Wood stain (DIY) indoor (in use)</t>
  </si>
  <si>
    <t>Wood stain (DIY) indoor (discarded)</t>
  </si>
  <si>
    <t>Wall paint (DIY) outdoor</t>
  </si>
  <si>
    <t>Wall paint (DIY) indoor</t>
  </si>
  <si>
    <t>Wall paint (DIY) indoor applied (discarded)</t>
  </si>
  <si>
    <t>Wall paint (DIY) outdoor (in use)</t>
  </si>
  <si>
    <t>Wall paint (DIY) outdoor (discarded)</t>
  </si>
  <si>
    <t>Wall paint (DIY) indoor applied</t>
  </si>
  <si>
    <t>Wall paint (DIY) indoor on brush</t>
  </si>
  <si>
    <t>Wall paint (DIY) indoor applied (in use)</t>
  </si>
  <si>
    <t>Plaster (DIY) outdoor</t>
  </si>
  <si>
    <t>Plaster (DIY) indoor</t>
  </si>
  <si>
    <t>Plaster (DIY) outdoor (in use)</t>
  </si>
  <si>
    <t>Plaster (DIY) outdoor (discarded)</t>
  </si>
  <si>
    <t>Plaster (DIY) indoor (in use)</t>
  </si>
  <si>
    <t>Plaster (DIY) indoor (discarded)</t>
  </si>
  <si>
    <t>Other paint uses (DIY) outdoor</t>
  </si>
  <si>
    <t>Other paint uses (DIY) indoor</t>
  </si>
  <si>
    <t>Other paint uses (DIY) outdoor (in use)</t>
  </si>
  <si>
    <t>Other paint uses (DIY) indoor (in use)</t>
  </si>
  <si>
    <t>Pellet losses at production</t>
  </si>
  <si>
    <t>Input values</t>
  </si>
  <si>
    <t>Production</t>
  </si>
  <si>
    <t>Import</t>
  </si>
  <si>
    <t>Use</t>
  </si>
  <si>
    <t>TC export</t>
  </si>
  <si>
    <t>TC use</t>
  </si>
  <si>
    <t>Calculation based on CSB import/export/production data - TC pellet losses transport land</t>
  </si>
  <si>
    <t>For year 2019</t>
  </si>
  <si>
    <t>Extra information</t>
  </si>
  <si>
    <t xml:space="preserve">GN codes represent product categories, in this case primary forms of polymers. The number represent the fraction of the material in each category. </t>
  </si>
  <si>
    <t>GN code</t>
  </si>
  <si>
    <t>Comment</t>
  </si>
  <si>
    <t>390110</t>
  </si>
  <si>
    <t>390120</t>
  </si>
  <si>
    <t>390130</t>
  </si>
  <si>
    <t>From prodcom names</t>
  </si>
  <si>
    <t>RIVM</t>
  </si>
  <si>
    <t>390140</t>
  </si>
  <si>
    <t>390210</t>
  </si>
  <si>
    <t>390220</t>
  </si>
  <si>
    <t>390311</t>
  </si>
  <si>
    <t>390319</t>
  </si>
  <si>
    <t>390320</t>
  </si>
  <si>
    <t>390330</t>
  </si>
  <si>
    <t>Liu and Nowack (2022)</t>
  </si>
  <si>
    <t>390390</t>
  </si>
  <si>
    <t>390410</t>
  </si>
  <si>
    <t>390421</t>
  </si>
  <si>
    <t>Private com. A. Sevenster</t>
  </si>
  <si>
    <t>390422</t>
  </si>
  <si>
    <t>390430</t>
  </si>
  <si>
    <t>390450</t>
  </si>
  <si>
    <t>390461</t>
  </si>
  <si>
    <t>390512</t>
  </si>
  <si>
    <t>390519</t>
  </si>
  <si>
    <t>390530</t>
  </si>
  <si>
    <t>390610</t>
  </si>
  <si>
    <t>390690</t>
  </si>
  <si>
    <t>390710</t>
  </si>
  <si>
    <t>390721</t>
  </si>
  <si>
    <t>390729</t>
  </si>
  <si>
    <t>390730</t>
  </si>
  <si>
    <t>390740</t>
  </si>
  <si>
    <t>390750</t>
  </si>
  <si>
    <t>390761</t>
  </si>
  <si>
    <t>390769</t>
  </si>
  <si>
    <t>390770</t>
  </si>
  <si>
    <t>390791</t>
  </si>
  <si>
    <t>390810</t>
  </si>
  <si>
    <t>390890</t>
  </si>
  <si>
    <t>390940</t>
  </si>
  <si>
    <t>390950</t>
  </si>
  <si>
    <t>391110</t>
  </si>
  <si>
    <t xml:space="preserve">The table below was used to match Prodcom codes to GN codes. Both are a different way of identifying product categories. An x in the last column means this category was not taken into account (because the polymer is not synthetic). </t>
  </si>
  <si>
    <t>Prodcom code</t>
  </si>
  <si>
    <t>Prodcom name CBS</t>
  </si>
  <si>
    <t>Prodcom name</t>
  </si>
  <si>
    <t>GN name</t>
  </si>
  <si>
    <t>GN 6</t>
  </si>
  <si>
    <t>Polymer</t>
  </si>
  <si>
    <t>20.16.10.35</t>
  </si>
  <si>
    <t>Lineair polyethyleen met een relatieve dichtheid &lt; 0,94, in primaire vormen</t>
  </si>
  <si>
    <t>Linear polyethylene having a specific gravity &lt; 0,94, in primary forms</t>
  </si>
  <si>
    <t>Polyethyleen, lineair, met een relatieve dichtheid van &lt; 0,94, in primaire vormen</t>
  </si>
  <si>
    <t>20.16.10.39</t>
  </si>
  <si>
    <t>Polyethyleen met een relatieve dichtheid &lt; 0,94, in primaire vormen (excl. lineair polyethyleen)</t>
  </si>
  <si>
    <t>Polyethylene having a specific gravity &lt; 0,94, in primary forms (excluding linear)</t>
  </si>
  <si>
    <t>Polyethyleen met een relatieve dichtheid van &lt; 0,94, in primaire vormen (m.u.v. lineair polyethyleen)</t>
  </si>
  <si>
    <t>20.16.10.50</t>
  </si>
  <si>
    <t>Polyethyleen met een relatieve dichtheid ≥ 0,94, in primaire vormen</t>
  </si>
  <si>
    <t>Polyethylene having a specific gravity of &gt;= 0,94, in primary forms</t>
  </si>
  <si>
    <t>Polyethyleen in blokken in onregelmatige vorm, stukken, klonters, poeder, korrels, vlokken e.d., met een relatieve dichtheid van &gt;= 0,958 bij 23°C, bevattende &lt;= 50 mg/kg aluminium, &lt;= 2 mg/kg kalium, &lt;= 2 mg/kg chroom, &lt;= 2 mg/kg ijzer, &lt;= 2 mg/kg nikkel</t>
  </si>
  <si>
    <t>20.16.10.70</t>
  </si>
  <si>
    <t>Copolymeren van ethyleen en vinylacetaat, in primaire vormen</t>
  </si>
  <si>
    <t>Ethylene-vinyl acetate copolymers, in primary forms</t>
  </si>
  <si>
    <t>Copolymeren van ethyleen en vinylacetaat in primaire vormen</t>
  </si>
  <si>
    <t>20.16.10.90</t>
  </si>
  <si>
    <t>Polymeren van ethyleen, in primaire vormen (excl. polyethyleen en copolymeren van ethyleen en vinylacetaat)</t>
  </si>
  <si>
    <t>Polymers of ethylene, in primary forms (excluding polyethylene, ethylene-vinyl acetate copolymers)</t>
  </si>
  <si>
    <t>Copolymeren van ethyleen en alfa-olefine, met een relatieve dichtheid van minder dan 0,94, in primaire vormen</t>
  </si>
  <si>
    <t>20.16.51.30</t>
  </si>
  <si>
    <t>Polypropyleen in primaire vormen</t>
  </si>
  <si>
    <t>Polypropylene, in primary forms</t>
  </si>
  <si>
    <t>20.16.51.50</t>
  </si>
  <si>
    <t>Polymeren van propyleen of van andere olefinen, in primaire vormen (excl. polypropyleen)</t>
  </si>
  <si>
    <t>Polymers of propylene or of other olefins, in primary forms (excluding polypropylene)</t>
  </si>
  <si>
    <t>Polyisobutyleen in primaire vormen</t>
  </si>
  <si>
    <t>20.16.20.35</t>
  </si>
  <si>
    <t>Expandeerbaar polystyreen, in primaire vormen</t>
  </si>
  <si>
    <t>Expansible polystyrene, in primary forms</t>
  </si>
  <si>
    <t>Polystyreen in primaire vormen, expandeerbaar</t>
  </si>
  <si>
    <t>20.16.20.39</t>
  </si>
  <si>
    <t>Polystyreen in primaire vormen (excl. expandeerbaar polystyreen)</t>
  </si>
  <si>
    <t>Polystyrene, in primary forms (excluding expansible polystyrene)</t>
  </si>
  <si>
    <t>Polystyreen in primaire vormen (m.u.v. expandeerbaar polystyreen)</t>
  </si>
  <si>
    <t>20.16.20.50</t>
  </si>
  <si>
    <t>Copolymeren van styreen en acrylonitril (SAN), in primaire vormen</t>
  </si>
  <si>
    <t>Styrene-acrylonitrile (SAN) copolymers, in primary forms</t>
  </si>
  <si>
    <t>Copolymeren van styreen en acrylonitrol "SAN", in primaire vormen</t>
  </si>
  <si>
    <t>20.16.20.70</t>
  </si>
  <si>
    <t>Copolymeren van acrylonitril, butadieen en styreen (ABS), in primaire vormen</t>
  </si>
  <si>
    <t>Acrylonitrile-butadiene-styrene (ABS) copolymers, in primary forms</t>
  </si>
  <si>
    <t>Copolymeren van acrylonitrol, butadieen en styreen "ABS", in primaire vormen</t>
  </si>
  <si>
    <t>20.16.20.90</t>
  </si>
  <si>
    <t>Polymeren van styreen, in primaire vormen (excl. polystyreen, copolymeren van styreen en acrylonitril (SAN) en copolymeren van acrylonitril, butadieen en styreen (ABS))</t>
  </si>
  <si>
    <t>Polymers of styrene, in primary forms (excluding polystyrene, styrene-acrylonitrile (SAN) copolymers, acrylonitrile-butadiene-styrene (ABS) copolymers)</t>
  </si>
  <si>
    <t>Copolymeren enkel van allylalcohol met styreen, met een acetylgetal van &gt;= 175, in primaire vormen</t>
  </si>
  <si>
    <t>20.16.30.10</t>
  </si>
  <si>
    <t>Poly(vinylchloride), niet gemengd met andere zelfstandigheden, in primaire vormen</t>
  </si>
  <si>
    <t>Polyvinyl chloride, not mixed with any other substances, in primary forms</t>
  </si>
  <si>
    <t>Poly"vinylchloride", tenzij gemengd met andere zelfstandigheden, in primaire vormen</t>
  </si>
  <si>
    <t>20.16.30.23</t>
  </si>
  <si>
    <t>Polyvinylchloride zonder weekmakers, in primaire vormen</t>
  </si>
  <si>
    <t>Non-plasticised polyvinyl chloride mixed with any other substance, in primary forms</t>
  </si>
  <si>
    <t>Poly"vinylchloride", gemengd met andere zelfstandigheden, in primaire vormen, geen weekmakers bevattend</t>
  </si>
  <si>
    <t>20.16.30.25</t>
  </si>
  <si>
    <t>Polyvinylchloride met weekmakers, in primaire vormen</t>
  </si>
  <si>
    <t>Plasticised polyvinyl chloride mixed with any other substance, in primary forms</t>
  </si>
  <si>
    <t>Poly"vinylchloride", gemengd met andere zelfstandigheden, in primaire vormen, weekmakers bevattend</t>
  </si>
  <si>
    <t>20.16.30.40</t>
  </si>
  <si>
    <t>Copolymeren van vinylchloride en vinylacetaat en andere copolymeren van vinylchloride, in primaire vormen</t>
  </si>
  <si>
    <t>Vinyl chloride-vinyl acetate copolymers and other vinyl chloride copolymers, in primary forms</t>
  </si>
  <si>
    <t>Copolymeren van vinylchloride en vinylacetaat, in primaire vormen</t>
  </si>
  <si>
    <t>20.16.30.90</t>
  </si>
  <si>
    <t>Polymeren van halogeenolefinen, in primaire vormen, n.e.g.</t>
  </si>
  <si>
    <t>Polymers of halogenated olefins, in primary forms, n.e.c.</t>
  </si>
  <si>
    <t>Copolymeren van vinylideenchloride en acrylonitril, in de vorm van expandeerbare bolletjes met een diameter van &gt;= 4 doch &lt;= 20 micrometer</t>
  </si>
  <si>
    <t>20.16.30.60</t>
  </si>
  <si>
    <t>Fluorhoudende polymeren</t>
  </si>
  <si>
    <t>Polytetrafluorethyleen, in primaire vormen</t>
  </si>
  <si>
    <t>20.16.52.30</t>
  </si>
  <si>
    <t>Polymeren van vinylacetaat, in waterige dispersie, in primaire vormen</t>
  </si>
  <si>
    <t>Polymers of vinyl acetate, in aqueous dispersion, in primary forms</t>
  </si>
  <si>
    <t>Poly"vinylacetaat" in waterige dispersie</t>
  </si>
  <si>
    <t>20.16.52.50</t>
  </si>
  <si>
    <t>Polymeren van vinylacetaat, in primaire vormen (excl. in waterige dispersie)</t>
  </si>
  <si>
    <t>Polymers of vinyl acetate, in primary forms (excluding in aqueous dispersion)</t>
  </si>
  <si>
    <t>Poly"vinylacetaat" in primaire vormen (m.u.v. dat in waterige dispersie)</t>
  </si>
  <si>
    <t>20.16.52.70</t>
  </si>
  <si>
    <t>Polymeren van vinylesters en andere vinylpolymeren, in primaire vormen (excl. vinylacetaat)</t>
  </si>
  <si>
    <t>Polymers of vinyl esters or other vinyl polymers, in primary forms (excluding vinyl acetate)</t>
  </si>
  <si>
    <t>Poly"vinylalcohol", ook indien niet-gehydrolyseerde acetaatgroepen bevattend, in primaire vormen</t>
  </si>
  <si>
    <t>20.16.53.50</t>
  </si>
  <si>
    <t>Poly(methylmethacrylaat) in primaire vormen</t>
  </si>
  <si>
    <t>Polymethyl methacrylate, in primary forms</t>
  </si>
  <si>
    <t>Poly"methylmethacrylaat", in primaire vormen</t>
  </si>
  <si>
    <t>20.16.53.90</t>
  </si>
  <si>
    <t>Acrylpolymeren in primaire vormen (excl. poly(methylmethacrylaat))</t>
  </si>
  <si>
    <t>Acrylic polymers, in primary forms (excluding polymethyl methacrylate)</t>
  </si>
  <si>
    <t>Poly[N-"3-hydroxyimino-1,1-dimethylbutyl"acrylamide], in primaire vormen</t>
  </si>
  <si>
    <t>20.16.40.13</t>
  </si>
  <si>
    <t>Polyacetalen in primaire vormen</t>
  </si>
  <si>
    <t>Polyacetals, in primary forms</t>
  </si>
  <si>
    <t>20.16.40.15</t>
  </si>
  <si>
    <t>Polyethyleenglycolen en andere polyetheralcoholen, in primaire vormen</t>
  </si>
  <si>
    <t>Polyethylene glycols and other polyether alcohols, in primary forms</t>
  </si>
  <si>
    <t>Bis(polyoxyethyleen) methylfosfonaat, in primaire vormen</t>
  </si>
  <si>
    <t>20.16.40.20</t>
  </si>
  <si>
    <t>Polyethers in primaire vormen (excl. polyacetalen en polyetheralcoholen)</t>
  </si>
  <si>
    <t>Polyethers, in primary forms (excluding polyacetals, polyether alcohols)</t>
  </si>
  <si>
    <t>Copolymeer van 1-chloor-2,3-epoxypropaan en ethyleenoxide, in primaire vormen</t>
  </si>
  <si>
    <t>20.16.40.30</t>
  </si>
  <si>
    <t>Epoxyharsen in primaire vormen</t>
  </si>
  <si>
    <t>Epoxide resins, in primary forms</t>
  </si>
  <si>
    <t>20.16.40.40</t>
  </si>
  <si>
    <t>Polycarbonaten in primaire vormen</t>
  </si>
  <si>
    <t>Polycarbonates, in primary forms</t>
  </si>
  <si>
    <t>20.16.40.50</t>
  </si>
  <si>
    <t>Alkydharsen in primaire vormen</t>
  </si>
  <si>
    <t>Alkyd resins, in primary forms</t>
  </si>
  <si>
    <t>20.16.40.62</t>
  </si>
  <si>
    <t>Poly(ethyleentereftalaat) in primaire vormen, met een viscositeitsgetal ≥ 78 ml/g</t>
  </si>
  <si>
    <t>Polyethylene terephthalate in primary forms having a viscosity number of &gt;= 78 ml/g</t>
  </si>
  <si>
    <t>Poly"ethyleentereftalaat" in primaire vormen, met een viscositeitsgetal van &gt;= 78 ml/g</t>
  </si>
  <si>
    <t>20.16.40.64</t>
  </si>
  <si>
    <t>Ander poly(ethyleentereftalaat) in primaire vormen</t>
  </si>
  <si>
    <t>Other polyethylene terephthalate in primary forms</t>
  </si>
  <si>
    <t>Poly"ethyleentereftalaat" in primaire vormen, met een viscositeitsgetal van &lt; 78 ml/g</t>
  </si>
  <si>
    <t>20.16.40.90</t>
  </si>
  <si>
    <t>Polyesters in primaire vormen (excl. polyacetalen, polyethers, epoxyharsen, polycarbonaten, alkydharsen, poly(ethyleentereftalaat), andere onverzadigde polyesters)</t>
  </si>
  <si>
    <t>Polyesters, in primary forms (excluding polyacetals, polyethers, epoxide resins, polycarbonates, alkyd resins, polyethylene terephthalate, other unsaturated polyesters)</t>
  </si>
  <si>
    <t>Poly(melkzuur) in primaire vormen</t>
  </si>
  <si>
    <t>20.16.40.70</t>
  </si>
  <si>
    <t>Vloeibare onverzadigde polyesters, in primaire vormen (excl. polyacetalen, polyethers, epoxyharsen, polycarbonaten, alkydharsen, poly(ethyleentereftalaat))</t>
  </si>
  <si>
    <t>Unsaturated liquid polyesters, in primary forms (excluding polyacetals, polyethers, epoxide resins, polycarbonates, alkyd resins, polyethylene terephthalate)</t>
  </si>
  <si>
    <t>Polyallylesters en andere polyesters, onverzadigd, vloeibaar, in primaire vormen (m.u.v. polycarbonaten, alkydharsen en poly"ethyleentereftalaat")</t>
  </si>
  <si>
    <t>20.16.40.80</t>
  </si>
  <si>
    <t>Onverzadigde polyesters in primaire vormen (excl. vloeibare polyesters, polyacetalen, polyethers, epoxyharsen, polycarbonaten, alkydharsen, poly(ethyleentereftalaat))</t>
  </si>
  <si>
    <t>Unsaturated polyesters, in primary forms (excluding liquid polyesters, polyacetals, polyethers, epoxide resins, polycarbonates, alkyd resins, polyethylene terephthalate)</t>
  </si>
  <si>
    <t>Polyallylesters en andere polyesters, onverzadigd, in primaire vormen (m.u.v. vloeibare polyesters en polycarbonaten, alkydharsen en poly"ethyleentereftalaat")</t>
  </si>
  <si>
    <t>20.16.54.50</t>
  </si>
  <si>
    <t>Polyamide-6, -11, -12, -6,6, -6,9, -6,10 of -6,12, in primaire vormen</t>
  </si>
  <si>
    <t>Polyamide -6, -11, -12, -6,6, -6,9, -6,10 or -6,12, in primary forms</t>
  </si>
  <si>
    <t>Polyamide-6, -11, -12, -6,6, -6,9, -6,10 of -6,12 in primaire vormen</t>
  </si>
  <si>
    <t>20.16.54.90</t>
  </si>
  <si>
    <t>Polyamiden, in primaire vormen (excl. polyamide-6, -11, -12, -6,6, -6,9, -6,10 of -6,12)</t>
  </si>
  <si>
    <t>Polyamides, in primary forms (excluding polyamide -6, -11, -12, -6,6, -6,9, -6,10 or -6,12)</t>
  </si>
  <si>
    <t>Polyamide in primaire vormen (m.u.v. polyamide-6, -11, -12, -6,6, -6,9, -6,10 of -6,12)</t>
  </si>
  <si>
    <t>20.16.55.50</t>
  </si>
  <si>
    <t>Ureumharsen en thio-ureumharsen, in primaire vormen</t>
  </si>
  <si>
    <t>Urea resins and thiourea resins, in primary forms</t>
  </si>
  <si>
    <t>Ureumharsen, incl. thio-ureumharsen, in primaire vormen</t>
  </si>
  <si>
    <t>20.16.55.70</t>
  </si>
  <si>
    <t>Melamineharsen in primaire vormen</t>
  </si>
  <si>
    <t>Melamine resins, in primary forms</t>
  </si>
  <si>
    <t>20.16.56.30</t>
  </si>
  <si>
    <t>Aminoharsen in primaire vormen (excl. ureumharsen, thio-ureumharsen en melamineharsen)</t>
  </si>
  <si>
    <t>Amino resins, in primary forms (excluding urea and thiourea resins, melamine resins)</t>
  </si>
  <si>
    <t>Poly(methyleenfenylisocyanaat) (ruw MDI, polymerisch MDI), in primaire vormen</t>
  </si>
  <si>
    <t>20.16.56.50</t>
  </si>
  <si>
    <t>Fenolharsen in primaire vormen</t>
  </si>
  <si>
    <t>Phenolic resins, in primary forms</t>
  </si>
  <si>
    <t>20.16.56.70</t>
  </si>
  <si>
    <t>Polyurethanen in primaire vormen</t>
  </si>
  <si>
    <t>Polyurethanes, in primary forms</t>
  </si>
  <si>
    <t>Polyurethaan vervaardigd van 2,2'-"tert-butylimino"diëthanol en 4,4'-methyleendicyclohexyldiisocyanaat, opgelost in N,N-dimethylaceetamide, met een gehalte aan polymeer van &gt;= 50 gewichtspercenten</t>
  </si>
  <si>
    <t>20.16.57.00</t>
  </si>
  <si>
    <t>Siliconen in primaire vormen</t>
  </si>
  <si>
    <t>Silicones, in primary forms</t>
  </si>
  <si>
    <t>20.16.59.20</t>
  </si>
  <si>
    <t>Petroleumharsen, cumaronindeenharsen, polyterpenen, polysulfiden, polysulfonen enz., n.e.g., in primaire vormen</t>
  </si>
  <si>
    <t>Petroleum resins, coumarone-indene resins, polyterpenes, polysulphides, polysulphones, etc., n.e.c., in primary forms</t>
  </si>
  <si>
    <t>Petroleumharsen, cumaronharsen, indeenharsen of cumaronindeenharsen en polyterpenen, in primaire vormen</t>
  </si>
  <si>
    <t>20.16.59.50</t>
  </si>
  <si>
    <t>Cellulose en chemische derivaten daarvan, in primaire vormen, excl natriumcarboxymethylcellulose en n.e.g.</t>
  </si>
  <si>
    <t>Cellulose and its chemical derivatives, n.e.c., in primary forms</t>
  </si>
  <si>
    <t>Celluloseacetaten, zonder weekmakers, in primaire vormen</t>
  </si>
  <si>
    <t>20.16.59.45</t>
  </si>
  <si>
    <t>Natriumcarboxymethylcellulose</t>
  </si>
  <si>
    <t>Carboxymethylcellulose en zouten daarvan, in primaire vormen</t>
  </si>
  <si>
    <t>20.16.59.55</t>
  </si>
  <si>
    <t>Natuurlijke polymeren en gewijzigde natuurlijke polymeren, elders genoemd noch elders onder begrepen, in primaire vormen. Alginezuur, alsmede zouten en esters daarvan</t>
  </si>
  <si>
    <t>Alginezuur, alsmede zouten en esters daarvan, in primaire vormen</t>
  </si>
  <si>
    <t>20.16.59.65</t>
  </si>
  <si>
    <t>Natuurlijke polymeren en gewijzigde natuurlijke polymeren, bv. geharde proteïnen, chemische derivaten van natuurlijke rubber, n.e.g., in primaire vormen (m.u.v. alginezuur, alsmede zouten en esters daarvan)</t>
  </si>
  <si>
    <t>Natural and modified natural polymers, in primary forms (including alginic acid, hardened proteins, chemical derivatives of natural rubber)</t>
  </si>
  <si>
    <t>Polymeren, natuurlijk en gewijzigde natuurlijke polymeren, b.v. geharde proteïnen, chemische derivaten van natuurlijke rubber, n.e.g., in primaire vormen (m.u.v. alginezuur, alsmede zouten en esters daarvan)</t>
  </si>
  <si>
    <t>20.16.59.70</t>
  </si>
  <si>
    <t>Ionenwisselaars op basis van synthetische of natuurlijke polymeren, in primaore vormen</t>
  </si>
  <si>
    <t>Ion-exchangers based on synthetic or natural polymers, in primary forms</t>
  </si>
  <si>
    <t>Ionenwisselaars van polymeren bedoeld bij de posten 3901 tot en met 3913 in primaire vormen</t>
  </si>
  <si>
    <t>Input NL consumption</t>
  </si>
  <si>
    <t>Copied from TC_Urban_Rural_highway_NL.csv</t>
  </si>
  <si>
    <t>Jaar</t>
  </si>
  <si>
    <t>Type weg</t>
  </si>
  <si>
    <t>TWP_total</t>
  </si>
  <si>
    <t>Statistic</t>
  </si>
  <si>
    <t>TWP_RoadType</t>
  </si>
  <si>
    <t>TC_RoadType</t>
  </si>
  <si>
    <t>Input Tyre Wear (kt)</t>
  </si>
  <si>
    <t>Autosnelwegen</t>
  </si>
  <si>
    <t>Low</t>
  </si>
  <si>
    <t>Average - Own calculation based on RWS, 2022. Bandenslijtage wegverkeer (No. Versie juli 2022), Emissieschattingen Diffuse bronnen Emissieregistratie.</t>
  </si>
  <si>
    <t>Average</t>
  </si>
  <si>
    <t>High</t>
  </si>
  <si>
    <t>Bebouwde kom</t>
  </si>
  <si>
    <t>Landelijke wegen</t>
  </si>
  <si>
    <t>LOW - Own calculation based on RWS, 2022. Bandenslijtage wegverkeer (No. Versie juli 2022), Emissieschattingen Diffuse bronnen Emissieregistratie.</t>
  </si>
  <si>
    <t>HIGH - Own calculation based on RWS, 2022. Bandenslijtage wegverkeer (No. Versie juli 2022), Emissieschattingen Diffuse bronnen Emissieregistratie.</t>
  </si>
  <si>
    <t>Input EU consumption</t>
  </si>
  <si>
    <t>AVG - Scaling from NL to EU using population</t>
  </si>
  <si>
    <t>LOW - Scaling from NL to EU using population</t>
  </si>
  <si>
    <t>HIGH - Scaling from NL to EU using population</t>
  </si>
  <si>
    <t>Rubber</t>
  </si>
  <si>
    <t>CBS data, see RWS, 2022.</t>
  </si>
  <si>
    <t>Assumption: Same as NL</t>
  </si>
  <si>
    <t>Capture in ZOAB</t>
  </si>
  <si>
    <t>To environmental compartments and waste handling</t>
  </si>
  <si>
    <t>Road runoff only for Urban situation (WWTP etc.)</t>
  </si>
  <si>
    <t>*potentially overestimting waste water treatment</t>
  </si>
  <si>
    <t>Transfer due to traffic induced turbulence</t>
  </si>
  <si>
    <t>Fraction going to combined sewer</t>
  </si>
  <si>
    <t>Fraction going to seperate sewer (strom water)</t>
  </si>
  <si>
    <t>Polymer content</t>
  </si>
  <si>
    <t>Polymer fractions</t>
  </si>
  <si>
    <t>Input</t>
  </si>
  <si>
    <t>What</t>
  </si>
  <si>
    <t>Paint mass (kt)</t>
  </si>
  <si>
    <t>Domestic paint sales</t>
  </si>
  <si>
    <t>VVVF Jaaroverzicht</t>
  </si>
  <si>
    <t>reported in Verschoor et al. 2016</t>
  </si>
  <si>
    <t>VVVF Jaaroverzicht 2017</t>
  </si>
  <si>
    <t>https://issuu.com/vvvf/docs/vvvf_jaaroverzicht2017_webversie</t>
  </si>
  <si>
    <t>VVVF Jaaroverzicht 2018</t>
  </si>
  <si>
    <t>VVVF Jaaroverzicht PDF Gratis download (docplayer.nl)</t>
  </si>
  <si>
    <t>VVVF Jaaroverzicht 2019</t>
  </si>
  <si>
    <t>https://docplayer.nl/189357972-2019-verf-en-drukinktindustrie-sector-ketens.html</t>
  </si>
  <si>
    <t>VVVF Jaaroverzicht 2022</t>
  </si>
  <si>
    <t>https://www.vvvf.nl/stream/jaaroverzicht-vvvf-in-2022</t>
  </si>
  <si>
    <t>Transfer coefficient</t>
  </si>
  <si>
    <t>Included in our model?</t>
  </si>
  <si>
    <t>Professional building and construction</t>
  </si>
  <si>
    <t>Figure 3 from Verschoor et al. (2016)</t>
  </si>
  <si>
    <t>yes</t>
  </si>
  <si>
    <t>DIY sector</t>
  </si>
  <si>
    <t>Ship building and maintenance</t>
  </si>
  <si>
    <t>Industry</t>
  </si>
  <si>
    <t>no</t>
  </si>
  <si>
    <t>Steel preservation</t>
  </si>
  <si>
    <t>Car repair</t>
  </si>
  <si>
    <t>No data available for division among different paint types, therefore we assumed equal distribution</t>
  </si>
  <si>
    <t>Paint used in pre-made wooden products</t>
  </si>
  <si>
    <t>Mass of microplastics (kt)</t>
  </si>
  <si>
    <t>Microplastic content in concrete paint (prof)</t>
  </si>
  <si>
    <t>Table 8 from Verschoor et al. (2016)</t>
  </si>
  <si>
    <t>Microplastic content in lacquer (prof)</t>
  </si>
  <si>
    <t>Microplastic content in wood stain (prof)</t>
  </si>
  <si>
    <t>Microplastic content in wall paint (prof)</t>
  </si>
  <si>
    <t>Microplastic content in plaster (prof)</t>
  </si>
  <si>
    <t>Microplastic content in other paint uses (prof)</t>
  </si>
  <si>
    <t>Microplastic content in paint used in pre-made wooden products</t>
  </si>
  <si>
    <t>Microplastic content in lacquer (DIY)</t>
  </si>
  <si>
    <t>Microplastic content in wood stain (DIY)</t>
  </si>
  <si>
    <t>Microplastic content in wall paint (DIY)</t>
  </si>
  <si>
    <t>Microplastic content in plaster (DIY)</t>
  </si>
  <si>
    <t>Microplastic content in other paint uses (DIY)</t>
  </si>
  <si>
    <t>Microplastic content in ship paint (prof)</t>
  </si>
  <si>
    <t>Microplastic content in Ship paint (recr)</t>
  </si>
  <si>
    <t>Input NL</t>
  </si>
  <si>
    <t>Input EU</t>
  </si>
  <si>
    <t>Transfer coefficients (NL)</t>
  </si>
  <si>
    <t>1% wear of professional ship paint (Ef_wear in Table 13)</t>
  </si>
  <si>
    <t>Assume 100% of the microplastic emissions due to wear go to surface water</t>
  </si>
  <si>
    <t>1% wear of recreational ship paint (Ef_wear in Table 13)</t>
  </si>
  <si>
    <t>1% of microplastic emissions during removal/maintainace professional ship paint (Overall EF in Table 12)</t>
  </si>
  <si>
    <t>5% of microplastic emissions during removal/maintainace recreational ship paint (Overall EF in Table 12)</t>
  </si>
  <si>
    <t>97% of the paint is used, of which 50% outdoor (f_used * f_exterior in Table 8)</t>
  </si>
  <si>
    <t>97% of the paint is used, of which 50% indoor (f_used * (1 - f_exterior) in Table 8)</t>
  </si>
  <si>
    <t>3% of the paint is not used and remains in the paint can ((1 - f _used) in Table 8)</t>
  </si>
  <si>
    <t>3% wear loss (EF_wear in Table 8)</t>
  </si>
  <si>
    <t>Assume that wear of indoor paint is 10x lower than of outdoor paint (0.1*0.03)</t>
  </si>
  <si>
    <t>Assume 100% of the microplastic emissions due to wear go to indoor air</t>
  </si>
  <si>
    <t>0% of microplastic emissions during removal/maintainance of indoor paint, of which we assume 100% to indoor air (EF_removal in Table 8)</t>
  </si>
  <si>
    <t>97% of the paint is used, of which 40% outdoor (f_used * f_exterior in Table 8)</t>
  </si>
  <si>
    <t>97% of the paint is used, of which 60% indoor (f_used * (1 - f_exterior) in Table 8)</t>
  </si>
  <si>
    <t>3.2% of microplastic emissions during removal/maintainance of indoor paint, of which we assume 100% to indoor air (EF_removal in Table 8)</t>
  </si>
  <si>
    <t>97% of the paint is used, of which 25% outdoor (f_used * f_exterior in Table 8)</t>
  </si>
  <si>
    <t>97% of the paint is used, of which 75% indoor (f_used * (1 - f_exterior) in Table 8)</t>
  </si>
  <si>
    <t>97% of the paint is used, of which 7% outdoor (f_used * f_exterior in Table 8)</t>
  </si>
  <si>
    <t>97% of the paint is used, of which 94% indoor (f_used * (1 - f_exterior) in Table 8)</t>
  </si>
  <si>
    <t>97% of the paint is used, of which 3% outdoor (f_used * f_exterior in Table 8)</t>
  </si>
  <si>
    <t>97% of the paint is used, of which 97% indoor (f_used * (1 - f_exterior) in Table 8)</t>
  </si>
  <si>
    <t>97% of the paint is used, of which 10% outdoor (f_used * f_exterior in Table 8)</t>
  </si>
  <si>
    <t>97% of the paint is used, of which 90% indoor (f_used * (1 - f_exterior) in Table 8)</t>
  </si>
  <si>
    <t>85% of the paint is used, of which 40% outdoor (f_used * f_exterior in Table 8)</t>
  </si>
  <si>
    <t>85% of the paint is used, of which 60% indoor (f_used * (1 - f_exterior) in Table 8)</t>
  </si>
  <si>
    <t>15% of the paint is not used and remains in the paint can ((1 - f _used) in Table 8)</t>
  </si>
  <si>
    <t>6.4% of microplastic emissions during removal/maintainance of indoor paint, of which we assume 100% to indoor air (EF_removal in Table 8)</t>
  </si>
  <si>
    <t>85% of the paint is used, of which 60% outdoor (f_used * f_exterior in Table 8)</t>
  </si>
  <si>
    <t>85% of the paint is used, of which 40% indoor (f_used * (1 - f_exterior) in Table 8)</t>
  </si>
  <si>
    <t>15% wear loss (EF_wear in Table 8)</t>
  </si>
  <si>
    <t>85% of the paint is used, of which 0% outdoor (f_used * f_exterior in Table 8)</t>
  </si>
  <si>
    <t>85% of the paint is used, of which 100% indoor (f_used * (1 - f_exterior) in Table 8)</t>
  </si>
  <si>
    <t xml:space="preserve">1.6% of the paint is left on the brush (EF_rinsing in Table 9). Microplastic content in liquid paint is 9.1% (see SI for detailed calculation). TC = 0.016*0.091. </t>
  </si>
  <si>
    <t>Transfer coefficients (EU)</t>
  </si>
  <si>
    <t>Assumed same as in NL</t>
  </si>
  <si>
    <t>Acrylic</t>
  </si>
  <si>
    <t>Clothing ( in use)</t>
  </si>
  <si>
    <t>n/a</t>
  </si>
  <si>
    <t>Synthetic Fibers (polymerdatabase.com)</t>
  </si>
  <si>
    <t>Disposable cleaning cloths (in use)</t>
  </si>
  <si>
    <t>Carpet Fibers (polymerdatabase.com)</t>
  </si>
  <si>
    <t>Thadepalli, 2022</t>
  </si>
  <si>
    <t>Agrotextiles ( in use)</t>
  </si>
  <si>
    <t>Geotextiles ( in use)</t>
  </si>
  <si>
    <t>Wu et al., 2020</t>
  </si>
  <si>
    <t>Building textiles ( in use)</t>
  </si>
  <si>
    <t>Textile coating ( in use)</t>
  </si>
  <si>
    <t>Consumption (kt)</t>
  </si>
  <si>
    <t>Fractions of total textile consumption</t>
  </si>
  <si>
    <t>Lifetime of</t>
  </si>
  <si>
    <t>CBS, 2019</t>
  </si>
  <si>
    <t>Voskamp and Retzlaff (2022)</t>
  </si>
  <si>
    <t>To get a total of 407 kt, the consumption of 'Other technical textiles' is calculated.</t>
  </si>
  <si>
    <t>Total textile consumption</t>
  </si>
  <si>
    <t>Main compartment</t>
  </si>
  <si>
    <t>LDPE (kt)</t>
  </si>
  <si>
    <t>HDPE (kt)</t>
  </si>
  <si>
    <t>PP (kt)</t>
  </si>
  <si>
    <t>PS (kt)</t>
  </si>
  <si>
    <t>EPS (kt)</t>
  </si>
  <si>
    <t>PVC (kt)</t>
  </si>
  <si>
    <t>PET (kt)</t>
  </si>
  <si>
    <t>PA (kt)</t>
  </si>
  <si>
    <t>Acrylic (kt)</t>
  </si>
  <si>
    <t>Clothing (product sector) is the main compartment, 'Clothing' is its subcompartment.</t>
  </si>
  <si>
    <t>Household textiles (product sector) is the main compartment, its subcompartments are 'Disposable cleaning cloths', 'Wet wipes', 'Tampons', 'Panty liners', 'Sanitary pads', and 'Home textiles'.</t>
  </si>
  <si>
    <t>Technical textiles is the main compartment, its subcompartments are 'Techincal home teztiles', 'Medical textiles', 'Agrotextiles', 'Mobility textiles', 'Geotextiles', 'Building textiles', 'Other technical textiles', and 'Textile coating'.</t>
  </si>
  <si>
    <t>Transpose the table:</t>
  </si>
  <si>
    <t>Clothing (product sector) (kt)</t>
  </si>
  <si>
    <t>Household textiles (product sector) (kt)</t>
  </si>
  <si>
    <t>Technical textiles (kt)</t>
  </si>
  <si>
    <t>Technical textiles is the main compartments, its subcompartments are 'Techincal home teztiles', 'Medical textiles', 'Agrotextiles', 'Mobility textiles', 'Geotextiles', 'Building textiles', 'Other technical textiles', and 'Textile coating'.</t>
  </si>
  <si>
    <t>The transfer coefficients are calculated on the basis of the kilotons per polymer for the subcompartments for 2017 for NL. We assume that these transfer coefficients also apply at EU scale.</t>
  </si>
  <si>
    <t>NL &amp; EU</t>
  </si>
  <si>
    <t>Transfer coefficient (full lifetime)</t>
  </si>
  <si>
    <t>Indoor air (mirco)</t>
  </si>
  <si>
    <t>Page 45 SI Kawecki and Nowack (2019): 0.04% wear and tear &amp; 93% to indoor air.</t>
  </si>
  <si>
    <t>Page 45 SI Kawecki and Nowack (2019): 0.86% wear and tear &amp; 93% to indoor air.</t>
  </si>
  <si>
    <t>Page 45 SI Kawecki and Nowack (2019): 0.27% wear and tear &amp; 93% to indoor air. Not used, because we can only have 2 TCs per process.</t>
  </si>
  <si>
    <t xml:space="preserve">Page 45 SI Kawecki and Nowack (2019): 0.04% wear and tear &amp; 7% to outdoor air. </t>
  </si>
  <si>
    <t>Page 45 SI Kawecki and Nowack (2019): 0.86% wear and tear &amp; 7% to outdoor air.</t>
  </si>
  <si>
    <t>Page 45 SI Kawecki and Nowack (2019): 0.27% wear and tear &amp; 7% to outdoor air. Not used, because we can only have 2 TCs per process.</t>
  </si>
  <si>
    <t>Average based on data from seven different sources.</t>
  </si>
  <si>
    <t>To split microplastic emissions during the product lifetime (i.e. in use) from emissions after the lifetime (i.e. after discarding)</t>
  </si>
  <si>
    <t>Of the clothing that is not dumped, 55.4% goes to Mixed waste collection</t>
  </si>
  <si>
    <t>Of the clothing that is not dumped, 44.6% goes to Textile waste collection</t>
  </si>
  <si>
    <t>Average based on data from seven different sources</t>
  </si>
  <si>
    <t>Disposable cleaning cloths (discarded)</t>
  </si>
  <si>
    <t>See last column Table SI9 from Kawecki and Nowack, 2019. Based on Friedler, E.; Brown, D. M.; Butler, D. A Study of WC Derived Sewer Solids. Water Sci. Technol. 1996, 33 (9), 17–24.</t>
  </si>
  <si>
    <t>See last column Table SI10 from Kawecki and Nowack, 2019. Based on Spence, K. J.; Digman, C.; Balmforth, D.; Houldsworth, J.; Saul, A.; Meadowcroft, J. Gross Solids from Combined Sewers in Dry Weather and Storms, Elucidating Production, Storage and Social Factors. Urban Water J. 2016, 13 (8), 773–789.</t>
  </si>
  <si>
    <t>Page 47 SI Kawecki and Nowack (2019): 1.3% shedding rate &amp; 100% to indoor air.</t>
  </si>
  <si>
    <t>Page 47 SI Kawecki and Nowack (2019): 0.86% shedding rate &amp; 100% to indoor air.</t>
  </si>
  <si>
    <t>Of the home textiles that are not dumped, 55.4% goes to Mixed waste collection</t>
  </si>
  <si>
    <t>Of the home textiles that are not dumped, 44.6% goes to Textile waste collection</t>
  </si>
  <si>
    <t>Page 47 SI Kawecki and Nowack (2019): 1.3% shedding rate &amp; 100% to indoor air. Niet helemaal zeker of deze shredding rates ook voor tapijt gelden...</t>
  </si>
  <si>
    <t>Page 47 SI Kawecki and Nowack (2019): 0.86% shedding rate &amp; 100% to indoor air. Niet helemaal zeker of deze shredding rates ook voor tapijt gelden...</t>
  </si>
  <si>
    <t>Technical home textiles are mainly carpets, so no emissions to outdoor air</t>
  </si>
  <si>
    <t>Technical home textiles are mainly carpets, so no emissions to waste water</t>
  </si>
  <si>
    <t>Of the technical home textiles that are not dumped, 55.4% goes to Mixed waste collection</t>
  </si>
  <si>
    <t>Of the technical home textiles that are not dumped, 44.6% goes to Textile waste collection</t>
  </si>
  <si>
    <t>Based on Vigo, T. L.; Lamb, G. E. R.; Kepka, S.; Miller, B. Abrasion and Lint Loss Properties of Fabrics Containing Crosslinked Polyethylene Glycol. Text. Res. J. 1991, 61 (3), 169–176.</t>
  </si>
  <si>
    <t>Compost collection (&gt; 1mm)</t>
  </si>
  <si>
    <t>Compost collection (&lt; 1mm)</t>
  </si>
  <si>
    <t>1.2% wear and tear, of which 100% goes to subsurface soil</t>
  </si>
  <si>
    <t>Page 45 SI Kawecki and Nowack (2019): 0.04% wear and tear &amp; 100% to outdoor air. We assume that coated textiles are mainly outdoor textiles (for example, waterproof coats)</t>
  </si>
  <si>
    <t>Page 45 SI Kawecki and Nowack (2019): 0.86% wear and tear &amp; 100% to outdoor air. We assume that coated textiles are mainly outdoor textiles (for example, waterproof coats).</t>
  </si>
  <si>
    <t>Assumption made by Kawecki and Nowack (2019)</t>
  </si>
  <si>
    <t>Agriculture</t>
  </si>
  <si>
    <t>All</t>
  </si>
  <si>
    <t>Statistics - APE Europe [WWW Document], n.d. URL https://web.archive.org/web/20230930160250/https://apeeurope.eu/statistics/ (accessed 3.27.24). Minus intentionally produced.</t>
  </si>
  <si>
    <t>Divided per polymer type</t>
  </si>
  <si>
    <t xml:space="preserve">Combined from TNO Sieger Henke and Statistics - APE Europe [WWW Document], n.d. URL https://web.archive.org/web/20230930160250/https://apeeurope.eu/statistics/ (accessed 3.27.24). </t>
  </si>
  <si>
    <t>Statistics - APE Europe [WWW Document], n.d. URL https://web.archive.org/web/20230930160250/https://apeeurope.eu/statistics/ (accessed 3.27.24).</t>
  </si>
  <si>
    <t>Estimation using 3.36% conversion to NL (Plastics Europe, 2014)</t>
  </si>
  <si>
    <t>Estimation using 6.7% conversion to NL (https://ec.europa.eu/eurostat/databrowser/bookmark/ad869a47-4196-4282-b054-0a75caf9373f?lang=en)</t>
  </si>
  <si>
    <t>Combined from TNO Sieger Henke and Statistics - APE Europe [WWW Document], n.d. URL https://web.archive.org/web/20230930160250/https://apeeurope.eu/statistics/ (accessed 3.27.24). Using 3.36% conversion to NL</t>
  </si>
  <si>
    <t>Combined from TNO Sieger Henke and Statistics - APE Europe [WWW Document], n.d. URL https://web.archive.org/web/20230930160250/https://apeeurope.eu/statistics/ (accessed 3.27.24). Using 6.7% conversion to NL</t>
  </si>
  <si>
    <t>Agricultural pipes (discarded)</t>
  </si>
  <si>
    <t>Urbanus, J.H., Brunner, A., Boersma, A., Henke, S., Kooter, I., Lensen, S., Parker, L., Schwarz, A., Imhof, P., Dortmans, A., Wijngaard, M., 2022. Autobanden, verpakkingen en landbouwfolie zijn in Nederland de grootste bronnen van microplastics. TNO.</t>
  </si>
  <si>
    <t>Assessment of agricultural plastics and their sustainability: A call for action, 2021. . FAO. https://doi.org/10.4060/cb7856en</t>
  </si>
  <si>
    <t>Agricultural other</t>
  </si>
  <si>
    <t>Agricultural greenhouse films (in use)</t>
  </si>
  <si>
    <t>Agricultural pipes (in use)</t>
  </si>
  <si>
    <t>Agricultural greenhouse films (discarded)</t>
  </si>
  <si>
    <t>Agricultural mulching films</t>
  </si>
  <si>
    <t>SI Kawecki and Nowack, 2019</t>
  </si>
  <si>
    <t>Assume that for a film with 1m width, 1cm is lost on both sides when removing. This results in a total loss of 2% of plastic.</t>
  </si>
  <si>
    <t>Normalized (See Agriculture sheet)</t>
  </si>
  <si>
    <t>Liftime compartment name</t>
  </si>
  <si>
    <t>Lifetime (years)</t>
  </si>
  <si>
    <t>Values</t>
  </si>
  <si>
    <t>Distribution</t>
  </si>
  <si>
    <t>AgriculturalPipesIU</t>
  </si>
  <si>
    <t>Refereren naar originele bron</t>
  </si>
  <si>
    <t>Copied from Kawecki et al.</t>
  </si>
  <si>
    <t>Evenly distributed over the years</t>
  </si>
  <si>
    <t>AgriculturalPipesEOL</t>
  </si>
  <si>
    <t>AgriculturalFilmsIU</t>
  </si>
  <si>
    <t>AgriculturalFilmsEOL</t>
  </si>
  <si>
    <t>Raw data</t>
  </si>
  <si>
    <t>Polymer distribution TCs Europe</t>
  </si>
  <si>
    <t>Total (non-packaging) tonnes</t>
  </si>
  <si>
    <t>Total Europe 2018</t>
  </si>
  <si>
    <t>Total per polymer (ton)</t>
  </si>
  <si>
    <t>Total per polymer (kton)</t>
  </si>
  <si>
    <t>TC to Mulching films</t>
  </si>
  <si>
    <t>TC to pipes</t>
  </si>
  <si>
    <t>TC naar Overig</t>
  </si>
  <si>
    <t>TC to greenhouse films</t>
  </si>
  <si>
    <t>TC polymer</t>
  </si>
  <si>
    <t>Tonnes</t>
  </si>
  <si>
    <t>Recalculate %</t>
  </si>
  <si>
    <t>% of total films</t>
  </si>
  <si>
    <t>Films silage mulch (%)</t>
  </si>
  <si>
    <t>Films silage mulch</t>
  </si>
  <si>
    <t>Total Mulching films</t>
  </si>
  <si>
    <t>Total Pipes</t>
  </si>
  <si>
    <t>Total Other</t>
  </si>
  <si>
    <t>Total Greenhouse films</t>
  </si>
  <si>
    <t>Mulching films</t>
  </si>
  <si>
    <t>Greenhouses (%)</t>
  </si>
  <si>
    <t>Greenhouses</t>
  </si>
  <si>
    <t>tonnes</t>
  </si>
  <si>
    <t>Greenhouse films</t>
  </si>
  <si>
    <t>Twines</t>
  </si>
  <si>
    <t>materials</t>
  </si>
  <si>
    <t>%</t>
  </si>
  <si>
    <t>Pipes</t>
  </si>
  <si>
    <t>%*</t>
  </si>
  <si>
    <t>Irrigation equipment</t>
  </si>
  <si>
    <t>Nets</t>
  </si>
  <si>
    <t>*Assumption equal distribution PS, PP en HDPE</t>
  </si>
  <si>
    <t>Polymer distribution TCs NL</t>
  </si>
  <si>
    <t>Onderverdeling naar type gebruik (bron TNO Sieger Henke)</t>
  </si>
  <si>
    <t>Total NL 2018 low estimate</t>
  </si>
  <si>
    <t>Films (total)</t>
  </si>
  <si>
    <t>Other (minus agricultural plastics in int. prod. MPs)</t>
  </si>
  <si>
    <t xml:space="preserve">Pipes </t>
  </si>
  <si>
    <t>Fractions and input values</t>
  </si>
  <si>
    <t>Region</t>
  </si>
  <si>
    <t>Type</t>
  </si>
  <si>
    <t>Value</t>
  </si>
  <si>
    <t>Total agriculture</t>
  </si>
  <si>
    <t>APE Europe, 2019</t>
  </si>
  <si>
    <t xml:space="preserve">Crop production </t>
  </si>
  <si>
    <t>Animal production</t>
  </si>
  <si>
    <t>Division between categories</t>
  </si>
  <si>
    <t>Fraction</t>
  </si>
  <si>
    <t>Silage and mulch films</t>
  </si>
  <si>
    <t>FAO figure 7, 2021, Urbanus et al., 2022</t>
  </si>
  <si>
    <t>Urbanus et al., 2022</t>
  </si>
  <si>
    <t>Fractions used in calculations</t>
  </si>
  <si>
    <t>Fraction type</t>
  </si>
  <si>
    <t>Fraction NL agriculture (plant + lifestock + Gardening)</t>
  </si>
  <si>
    <t>Plastics Europe (2024)</t>
  </si>
  <si>
    <t>Fraction NL  (plant + lifestock + Gardening) from EU (plant + lifestock + Gardening) total consumption</t>
  </si>
  <si>
    <t>Fraction NL total from EU total consumption</t>
  </si>
  <si>
    <t xml:space="preserve">Market share agricultural industry </t>
  </si>
  <si>
    <t>https://ec.europa.eu/eurostat/databrowser/bookmark/ad869a47-4196-4282-b054-0a75caf9373f?lang=en</t>
  </si>
  <si>
    <t>Agricultural plastics in Intentionally produced microparticles (2020)</t>
  </si>
  <si>
    <t>EU mean (kt)</t>
  </si>
  <si>
    <t>NL mean (kt)</t>
  </si>
  <si>
    <t>Total</t>
  </si>
  <si>
    <t xml:space="preserve">Original TCs from Kawecki et al. 2019 and RIVM </t>
  </si>
  <si>
    <t>Agricultural films</t>
  </si>
  <si>
    <t>Assumption by Kawecki and Nowack (explained on page 38 of the SI)</t>
  </si>
  <si>
    <t>Agricultural pipes</t>
  </si>
  <si>
    <t>Personal Care and Cosmetic Products (PCCP)</t>
  </si>
  <si>
    <t>Data in tonnes</t>
  </si>
  <si>
    <t xml:space="preserve">Table 3.3 from Scudo et al. (2017) </t>
  </si>
  <si>
    <t>Scudo, A. et al. (2017) Intentionally added microplastics in products. London, United Kingdom: Amec Foster Wheeler Environment &amp; Infrastructure UK Limited.</t>
  </si>
  <si>
    <t xml:space="preserve">Table 3.6 from Scudo et al. (2017) </t>
  </si>
  <si>
    <t>Ratio's for polymer content</t>
  </si>
  <si>
    <t>RIVM assumption</t>
  </si>
  <si>
    <t>Polymer fractions calculated from previous table</t>
  </si>
  <si>
    <t>Low (tonnes)</t>
  </si>
  <si>
    <t>Central (tonnes)</t>
  </si>
  <si>
    <t>High (tonnes)</t>
  </si>
  <si>
    <t>Table 55 in Annex XV Report (2020)</t>
  </si>
  <si>
    <t>Microplastics_Annex XV_Report_Annexes (europa.eu)</t>
  </si>
  <si>
    <t>Cosmetics</t>
  </si>
  <si>
    <t>Table 73 in Annex XV Report (2020)</t>
  </si>
  <si>
    <t>Table 42 in Annex XV Report (2020)</t>
  </si>
  <si>
    <t>AgriculturalPPP</t>
  </si>
  <si>
    <t>Table 44 in Annex XV Report (2020)</t>
  </si>
  <si>
    <t>Table 46 in Annex XV Report (2020)</t>
  </si>
  <si>
    <t>Table 48 in Annex XV Report (2020)</t>
  </si>
  <si>
    <t>Table 83 in Annex XV Report (2020)</t>
  </si>
  <si>
    <t>ConsumerOther</t>
  </si>
  <si>
    <t>Table 96 in Annex XV Report (2020)</t>
  </si>
  <si>
    <t>See D.10.3. Not quantified, but assumed similar Medicine diffusion limitation</t>
  </si>
  <si>
    <t>Table 99 in Annex XV Report (2020)</t>
  </si>
  <si>
    <t>OtherOilGas</t>
  </si>
  <si>
    <t>Section D.13.4 in Annex XV Report (2020)</t>
  </si>
  <si>
    <t>RubberInfill</t>
  </si>
  <si>
    <t>Total 'Intentionally produced microplarticles'</t>
  </si>
  <si>
    <t>LDPE (tonnes)</t>
  </si>
  <si>
    <t>HDPE (tonnes)</t>
  </si>
  <si>
    <t>PP (tonnes)</t>
  </si>
  <si>
    <t>PS (tonnes)</t>
  </si>
  <si>
    <t>EPS (tonnes)</t>
  </si>
  <si>
    <t>PVC (tonnes)</t>
  </si>
  <si>
    <t>PET (tonnes)</t>
  </si>
  <si>
    <t>RUBBER (tonnes)</t>
  </si>
  <si>
    <t>PUR (tonnes)</t>
  </si>
  <si>
    <t>ABS (tonnes)</t>
  </si>
  <si>
    <t>PA (tonnes)</t>
  </si>
  <si>
    <t>PC (tonnes)</t>
  </si>
  <si>
    <t>PMMA (tonnes)</t>
  </si>
  <si>
    <t>Other (tonnes)</t>
  </si>
  <si>
    <t>RUBBER (kt)</t>
  </si>
  <si>
    <t>PUR (kt)</t>
  </si>
  <si>
    <t>ABS (kt)</t>
  </si>
  <si>
    <t>PC (kt)</t>
  </si>
  <si>
    <t>PMMA (kt)</t>
  </si>
  <si>
    <t>Other (kt)</t>
  </si>
  <si>
    <t>Intentionally produced microplarticles</t>
  </si>
  <si>
    <t>These are the values that are used in the 'Input EU' sheet</t>
  </si>
  <si>
    <t>To calculate the input NL consumption, the EU consumption values are scaled to NL using 'scale factors'. For some categories the scale factor was  based on population and for others on market share.</t>
  </si>
  <si>
    <t>Data type</t>
  </si>
  <si>
    <t>Unit</t>
  </si>
  <si>
    <t>Scale factor from EU to NL</t>
  </si>
  <si>
    <t>Population</t>
  </si>
  <si>
    <t>person</t>
  </si>
  <si>
    <t>Statistics | Eurostat (europa.eu)</t>
  </si>
  <si>
    <t>Market share 'agricultural industry'</t>
  </si>
  <si>
    <t>billion euro</t>
  </si>
  <si>
    <t>Market share 'oil and gas mining and quarrying'</t>
  </si>
  <si>
    <t>https://ec.europa.eu/eurostat/databrowser/bookmark/2e211686-43a6-4cb8-90f4-401aa9ef8d81?lang=en</t>
  </si>
  <si>
    <t>Combination of two sources: Annex XV Report (2020) and Statistics | Eurostat (europa.eu)</t>
  </si>
  <si>
    <t>Combination of two sources: Annex XV Report (2020) and Performance of the agricultural sector - Statistics Explained (europa.eu)</t>
  </si>
  <si>
    <t>RecyBEM</t>
  </si>
  <si>
    <t>Consumed (tonnes)</t>
  </si>
  <si>
    <t>Estimate that then only replacement of lost material</t>
  </si>
  <si>
    <t>Full stop</t>
  </si>
  <si>
    <t>These are the values that are used in the 'Input NL' sheet</t>
  </si>
  <si>
    <t>These are the values that are used in the 'Transfer coefficients' sheet.</t>
  </si>
  <si>
    <t>Loss per year</t>
  </si>
  <si>
    <t>per jaar volgens Hoeke et al 2023</t>
  </si>
  <si>
    <t>Hoe wordt rubber infill verwrkt bij EoL:</t>
  </si>
  <si>
    <t>document (eerstekamer.nl)</t>
  </si>
  <si>
    <t>With 10 year lifespan:</t>
  </si>
  <si>
    <t>Final Demand</t>
  </si>
  <si>
    <t>Industry Use</t>
  </si>
  <si>
    <t>Waste post-consumer</t>
  </si>
  <si>
    <t>Data from Fig. 2 in Plastic packaging flows in Europe: A hybrid input‐output approach - Cimpan - 2021 - Journal of Industrial Ecology - Wiley Online Library</t>
  </si>
  <si>
    <t>Plastic packaging flows in Europe: A hybrid input‐output approach - Cimpan - 2021 - Journal of Industrial Ecology - Wiley Online Library</t>
  </si>
  <si>
    <t xml:space="preserve">Input EU consumption </t>
  </si>
  <si>
    <t xml:space="preserve">https://ec.europa.eu/eurostat/databrowser/bookmark/19fb9122-d657-402c-9caf-78be4e0aa7ea?lang=en </t>
  </si>
  <si>
    <t>Calculation based on EUROSTAT, polymer distribution based on Cimpan et al. (2021)</t>
  </si>
  <si>
    <t>https://ec.europa.eu/eurostat/databrowser/view/env_waspac/default/table?lang=en</t>
  </si>
  <si>
    <t>At the moment we use TCs from the WRAP Report and Plastic Packaging Composition (2011, 2013) - see Transfer coefficients sheet. But for a future version we will consider to include TCs from the study of Navarre et al. (2022). Joris has made a start on this:</t>
  </si>
  <si>
    <t>Minimum</t>
  </si>
  <si>
    <t>Maximum</t>
  </si>
  <si>
    <t>Food Packaging</t>
  </si>
  <si>
    <t>PE</t>
  </si>
  <si>
    <t>Navarre et al. (2022)</t>
  </si>
  <si>
    <t>Sum</t>
  </si>
  <si>
    <t>Figure from SI from Navarre et al. (2022)</t>
  </si>
  <si>
    <t>Minimum values</t>
  </si>
  <si>
    <t>Maximum values</t>
  </si>
  <si>
    <t>Average (kt/yr)</t>
  </si>
  <si>
    <t>Minimum (kt/yr)</t>
  </si>
  <si>
    <t>Maximum (kt/yr)</t>
  </si>
  <si>
    <t>TC</t>
  </si>
  <si>
    <t>(inter kTon)</t>
  </si>
  <si>
    <t>Food packaging</t>
  </si>
  <si>
    <t>Recycle</t>
  </si>
  <si>
    <t>Litter</t>
  </si>
  <si>
    <t>Outside ('Leaked'?)</t>
  </si>
  <si>
    <t>Figure from Navarre et al. (2022)</t>
  </si>
  <si>
    <t>From Lui et al 2022</t>
  </si>
  <si>
    <t>Average from figures</t>
  </si>
  <si>
    <t>AgriculturalPackagingBottles</t>
  </si>
  <si>
    <t>WRAP Report: PlasticFlow 2025, Plastic Packaging Flow Data Report, 2018</t>
  </si>
  <si>
    <t xml:space="preserve"> </t>
  </si>
  <si>
    <t>AgriculturalPackagingFilms</t>
  </si>
  <si>
    <t>BuildingPackagingFilms</t>
  </si>
  <si>
    <t>ConsumerBags</t>
  </si>
  <si>
    <t>ConsumerFilms</t>
  </si>
  <si>
    <t>NonConsumerBags</t>
  </si>
  <si>
    <t>NonConsumerOther</t>
  </si>
  <si>
    <t>OtherNonConsumerFilms</t>
  </si>
  <si>
    <t>Industrial storm water (micro)</t>
  </si>
  <si>
    <t>Construction and demolition recycling</t>
  </si>
  <si>
    <t>WEEP recycling</t>
  </si>
  <si>
    <t>Automotive large parts recycling</t>
  </si>
  <si>
    <t>ASR recycling</t>
  </si>
  <si>
    <t>Primary production</t>
  </si>
  <si>
    <t>Agricultural plastics recycling</t>
  </si>
  <si>
    <t>Mass collected organic waste</t>
  </si>
  <si>
    <t>For</t>
  </si>
  <si>
    <t>Mass (kt)</t>
  </si>
  <si>
    <t>Collected organic waste (from households)</t>
  </si>
  <si>
    <t>https://www.verenigingafvalbedrijven.nl/userfiles/files/VA_Meer_waarde_uit_gft-afval_Jaarverslag_Afdeling_Bioconversie.pdf</t>
  </si>
  <si>
    <t>Dutch: 'gft afval'</t>
  </si>
  <si>
    <t>Collected organic waste (from auctions, restaurants, and the agricultural sector)</t>
  </si>
  <si>
    <t>Sum:</t>
  </si>
  <si>
    <t>Plastic fraction in collected organic waste</t>
  </si>
  <si>
    <t>In</t>
  </si>
  <si>
    <t xml:space="preserve">Material </t>
  </si>
  <si>
    <t>Plastic fraction</t>
  </si>
  <si>
    <t>all</t>
  </si>
  <si>
    <t>https://nos.nl/artikel/2193860-plastic-afval-recyclen-heeft-weinig-effect-op-milieu</t>
  </si>
  <si>
    <t>For organic waste from households (assume same fraction for organic waste from other sectors)</t>
  </si>
  <si>
    <t>Plastic mass in collected compost and organic waste</t>
  </si>
  <si>
    <t>Plastic mass content (kt)</t>
  </si>
  <si>
    <t>Mean mass (modelled)</t>
  </si>
  <si>
    <t>Mean mass (kt)</t>
  </si>
  <si>
    <t>Mean mass inflow (kt)</t>
  </si>
  <si>
    <t>Mean mass ratio's</t>
  </si>
  <si>
    <t>Mass ratio</t>
  </si>
  <si>
    <t>Mean mass outflow</t>
  </si>
  <si>
    <t>Mass outflow (kt)</t>
  </si>
  <si>
    <t>Transfer Coefficient</t>
  </si>
  <si>
    <t>Scale factor from NL to EU</t>
  </si>
  <si>
    <t>https://ec.europa.eu/eurostat/databrowser/bookmark/63ebb7a5-64ae-4556-b52f-89336b710a52?lang=en</t>
  </si>
  <si>
    <t>Data extracted on 25/03/2024 10:05:36 from [ESTAT]</t>
  </si>
  <si>
    <t xml:space="preserve">Dataset: </t>
  </si>
  <si>
    <t>Population change - Demographic balance and crude rates at national level [demo_gind__custom_10549545]</t>
  </si>
  <si>
    <t xml:space="preserve">Last updated: </t>
  </si>
  <si>
    <t>27/11/2023 23:00</t>
  </si>
  <si>
    <t>Time frequency</t>
  </si>
  <si>
    <t>Annual</t>
  </si>
  <si>
    <t>Demographic indicator</t>
  </si>
  <si>
    <t>Average population - total</t>
  </si>
  <si>
    <t>TIME</t>
  </si>
  <si>
    <t>1990</t>
  </si>
  <si>
    <t>1995</t>
  </si>
  <si>
    <t>2000</t>
  </si>
  <si>
    <t>2014</t>
  </si>
  <si>
    <t>2015</t>
  </si>
  <si>
    <t>2016</t>
  </si>
  <si>
    <t>2017</t>
  </si>
  <si>
    <t>2018</t>
  </si>
  <si>
    <t>2019</t>
  </si>
  <si>
    <t>2020</t>
  </si>
  <si>
    <t>2021</t>
  </si>
  <si>
    <t>2022</t>
  </si>
  <si>
    <t>2023</t>
  </si>
  <si>
    <t>GEO (Labels)</t>
  </si>
  <si>
    <t>European Union - 27 countries (from 2020)</t>
  </si>
  <si>
    <t>b</t>
  </si>
  <si>
    <t>e</t>
  </si>
  <si>
    <t>bep</t>
  </si>
  <si>
    <t>ep</t>
  </si>
  <si>
    <t>:</t>
  </si>
  <si>
    <t>European Union - 28 countries (2013-2020)</t>
  </si>
  <si>
    <t>Netherlands</t>
  </si>
  <si>
    <t>Special value</t>
  </si>
  <si>
    <t>not available</t>
  </si>
  <si>
    <t>Available flags:</t>
  </si>
  <si>
    <t>break in time series, estimated, provisional</t>
  </si>
  <si>
    <t>break in time series</t>
  </si>
  <si>
    <t>estimated</t>
  </si>
  <si>
    <t>estimated, provisional</t>
  </si>
  <si>
    <t>Average population</t>
  </si>
  <si>
    <t>2005</t>
  </si>
  <si>
    <t>2010</t>
  </si>
  <si>
    <t>Plastics Use (mt)</t>
  </si>
  <si>
    <t>Growth compared to reference years for agriculture</t>
  </si>
  <si>
    <t>Agriculture Projection EU (kt)</t>
  </si>
  <si>
    <t>Agriculture Projection NL (kt) low</t>
  </si>
  <si>
    <t>Agriculture Projection NL (kt) high</t>
  </si>
  <si>
    <t>OECD relative growth</t>
  </si>
  <si>
    <t>Global Plastics Outlook : Policy Scenarios to 2060 | OECD iLibrary [WWW Document], n.d. URL https://www.oecd-ilibrary.org/environment/global-plastics-outlook_aa1edf33-en (accessed 3.27.24).</t>
  </si>
  <si>
    <t>AgriculturalFilmsDis</t>
  </si>
  <si>
    <t>AgriculturalPipesDis</t>
  </si>
  <si>
    <t>ConsumerBottles</t>
  </si>
  <si>
    <t>Household</t>
  </si>
  <si>
    <t>OtherOther</t>
  </si>
  <si>
    <t>PipesDucts</t>
  </si>
  <si>
    <t>InfillSportsFieldDis</t>
  </si>
  <si>
    <t>InfillSportsFieldU</t>
  </si>
  <si>
    <t>ClothingDis</t>
  </si>
  <si>
    <t>ClothingIUWearTear</t>
  </si>
  <si>
    <t>ClothingIUWashDry</t>
  </si>
  <si>
    <t>HomeTextilesDis</t>
  </si>
  <si>
    <t>HomeTextilesIU</t>
  </si>
  <si>
    <t>TechHomeTextilesDis</t>
  </si>
  <si>
    <t>TechHomeTextilesIU</t>
  </si>
  <si>
    <t>MedicalTextiles</t>
  </si>
  <si>
    <t>AgrotextilesDis</t>
  </si>
  <si>
    <t>AgrotextilesIU</t>
  </si>
  <si>
    <t>MobilityTextiles</t>
  </si>
  <si>
    <t>GeotextilesDis</t>
  </si>
  <si>
    <t>GeotextilesIU</t>
  </si>
  <si>
    <t>BuildingTextilesDis</t>
  </si>
  <si>
    <t>BuildingTextilesIU</t>
  </si>
  <si>
    <t>OtherTechnicalTextiles</t>
  </si>
  <si>
    <t>TextileCoatingDis</t>
  </si>
  <si>
    <t>TextileCoatingIU</t>
  </si>
  <si>
    <t>ConcreteProfInDis</t>
  </si>
  <si>
    <t>ConcreteProfInIU</t>
  </si>
  <si>
    <t>ConcreteProfOutDis</t>
  </si>
  <si>
    <t>ConcreteProfOutIU</t>
  </si>
  <si>
    <t>LacquerDiyInDis</t>
  </si>
  <si>
    <t>LacquerDiyInIU</t>
  </si>
  <si>
    <t>LacquerDiyOutDis</t>
  </si>
  <si>
    <t>LacquerDiyOutIU</t>
  </si>
  <si>
    <t>LacquerProfInDis</t>
  </si>
  <si>
    <t>LacquerProfInIU</t>
  </si>
  <si>
    <t>LacquerProfOutDis</t>
  </si>
  <si>
    <t>LacquerProfOutIU</t>
  </si>
  <si>
    <t>OtherPaintUsesDiyInDis</t>
  </si>
  <si>
    <t>OtherPaintUsesDiyInIU</t>
  </si>
  <si>
    <t>OtherPaintUsesDiyOutDis</t>
  </si>
  <si>
    <t>OtherPaintUsesDiyOutIU</t>
  </si>
  <si>
    <t>OtherPaintUsesProfInDis</t>
  </si>
  <si>
    <t>OtherPaintUsesProfInIU</t>
  </si>
  <si>
    <t>OtherPaintUsesProfOutDis</t>
  </si>
  <si>
    <t>OtherPaintUsesProfOutIU</t>
  </si>
  <si>
    <t>PaintsPreMadeWoodInDis</t>
  </si>
  <si>
    <t>PaintsPreMadeWoodInIU</t>
  </si>
  <si>
    <t>PaintsPreMadeWoodOutDis</t>
  </si>
  <si>
    <t>PaintsPreMadeWoodOutIU</t>
  </si>
  <si>
    <t>PlasterDiyInDis</t>
  </si>
  <si>
    <t>PlasterDiyInIU</t>
  </si>
  <si>
    <t>PlasterDiyOutDis</t>
  </si>
  <si>
    <t>PlasterDiyOutIU</t>
  </si>
  <si>
    <t>PlasterProfInDis</t>
  </si>
  <si>
    <t>PlasterProfInIU</t>
  </si>
  <si>
    <t>PlasterProfOutDis</t>
  </si>
  <si>
    <t>PlasterProfOutIU</t>
  </si>
  <si>
    <t>ShipProfDis</t>
  </si>
  <si>
    <t>ShipProfIU</t>
  </si>
  <si>
    <t>ShipDiyDis</t>
  </si>
  <si>
    <t>ShipDiyIU</t>
  </si>
  <si>
    <t>WallPaintDiyIndoorAppliedDis</t>
  </si>
  <si>
    <t>WallPaintDiyIndoorAppliedIU</t>
  </si>
  <si>
    <t>WallPaintDiyOutDis</t>
  </si>
  <si>
    <t>WallPaintDiyOutIU</t>
  </si>
  <si>
    <t>WallPaintProfInDis</t>
  </si>
  <si>
    <t>WallPaintProfInIU</t>
  </si>
  <si>
    <t>WallPaintProfOutDis</t>
  </si>
  <si>
    <t>WallPaintProfOutIU</t>
  </si>
  <si>
    <t>WoodStainDiyInDis</t>
  </si>
  <si>
    <t>WoodStainDiyInIU</t>
  </si>
  <si>
    <t>WoodStainDiyOutDis</t>
  </si>
  <si>
    <t>WoodStainDiyOutIU</t>
  </si>
  <si>
    <t>WoodStainProfInDis</t>
  </si>
  <si>
    <t>WoodStainProfInIU</t>
  </si>
  <si>
    <t>WoodStainProfOutDis</t>
  </si>
  <si>
    <t>WoodStainProfOutIU</t>
  </si>
  <si>
    <t>Stock compartment</t>
  </si>
  <si>
    <t>Lifetime category</t>
  </si>
  <si>
    <t>Check</t>
  </si>
  <si>
    <t>Categories present in Lifetimes</t>
  </si>
  <si>
    <t>Stock compartments</t>
  </si>
  <si>
    <t>Stock compartments short name</t>
  </si>
  <si>
    <t>Check if every stock comp is in column A</t>
  </si>
  <si>
    <t>Fulllabel</t>
  </si>
  <si>
    <t>Short name</t>
  </si>
  <si>
    <t>Lifetime (calculation)</t>
  </si>
  <si>
    <t>Reference or assumption</t>
  </si>
  <si>
    <r>
      <t xml:space="preserve">The same lifetime factors that are used for 'ApparelPC': </t>
    </r>
    <r>
      <rPr>
        <b/>
        <sz val="11"/>
        <color theme="1"/>
        <rFont val="Calibri"/>
        <family val="2"/>
      </rPr>
      <t>5 years</t>
    </r>
    <r>
      <rPr>
        <sz val="11"/>
        <color theme="1"/>
        <rFont val="Calibri"/>
        <family val="2"/>
      </rPr>
      <t>.</t>
    </r>
  </si>
  <si>
    <t>Clothing (in use) wear and tear</t>
  </si>
  <si>
    <t>In a study the microfiber emissions due to 10000 wearing cycles were tested. "Approximately 66% of microfibers were released during the first 1000 wearing cycles, whereas the rate was 24% at 1001–5000 cycles and 10% at 5001–10000 cycles". It is unclear how 1 cycle is related to time of wearing. So we had to make an assumption. We assume that the 10000 cylces represent a lifetime of wearing, so 5 years (2000 cycles per year). Then the first year release fraction = 0.66 + (0.24/4) = 0.72. For the 2nd year: 2*(0.24/4) = 0.12. For the 3th year: 1*(0.24/4) + 1*(0.10/5) = 0.08. For the 4th and 5th year: 2*(0.10/5) = 0.04.</t>
  </si>
  <si>
    <t>Lim, J., Choi, J., Won, A., Kim, M., Kim, S., &amp; Yun, C. (2022). Cause of microfibers found in the domestic washing process of clothing; focusing on the manufacturing, wearing, and washing processes. Fashion and Textiles, 9(1), 24.</t>
  </si>
  <si>
    <t>Clothing (in use) wash and dry</t>
  </si>
  <si>
    <t>In a study by Pirc et al. (2016) the microfiber emissions due to washing and tumble drying were measured. For the first 10 washing and drying cycles the mass weigth fraction emissions were reported (Table 1 in Pirc et al. (2016)). We assumed 'no additives' (meaning no detergents). Kawecki and Nowack (2019) reported that clothing is washed 20 times per year. So for a lifetime of 5 years: 100 washing cycles. Also, Kawecki and Nowack (2019) reported that 25% of the washed clothes are tumble dried. So 25 tumble dry cycles for a lifetime of 5 years. We assume that those are equally divided over the lifetime, so 5 dry cycles per year. In summary: for each year of a clothings lifetime there are 20 wash cycles and 5 dry cycles. The fiber emissions in Table 1 from Pric et al. (2016) were used to calculate the release factors for 5 years of uding clothing. The total release during one lifetime (washing and drying) was calculated as follows:  (sum fractions of washing cycles 1 to 10 (see Table 1 of Pirc)) + (90*0.00108) + (sum fractions of drying cycles 1 to 10 (see table of Pirc)) + (15*0.00464) = 0.29336. Release factor of the 1st year: ((sum fractions of washing cycles 1 to 10) + (10*0.00108) + (sum fraction of drying cycles 1 to 5)) / 0.29336. Release factor of the 2nd year: ((20*0.00108) + (sum of fractions of drying cycles 6 to 10)) / 0.29336. Release factors of the 3th, 4th and 5th year: ((20*0.00108) + (5*0.00464)) / 0.29336.</t>
  </si>
  <si>
    <r>
      <t>Pirc, U., Vidmar, M., Mozer, A., &amp; Kržan, A. (2016). Emissions of microplastic fibers from microfiber fleece during domestic washing. </t>
    </r>
    <r>
      <rPr>
        <i/>
        <sz val="8"/>
        <color rgb="FF222222"/>
        <rFont val="Arial"/>
        <family val="2"/>
      </rPr>
      <t>Environmental Science and Pollution Research</t>
    </r>
    <r>
      <rPr>
        <sz val="8"/>
        <color rgb="FF222222"/>
        <rFont val="Arial"/>
        <family val="2"/>
      </rPr>
      <t>, </t>
    </r>
    <r>
      <rPr>
        <i/>
        <sz val="8"/>
        <color rgb="FF222222"/>
        <rFont val="Arial"/>
        <family val="2"/>
      </rPr>
      <t>23</t>
    </r>
    <r>
      <rPr>
        <sz val="8"/>
        <color rgb="FF222222"/>
        <rFont val="Arial"/>
        <family val="2"/>
      </rPr>
      <t>, 22206-22211.</t>
    </r>
  </si>
  <si>
    <t>The same lifetime factors that are used for 'HousehouldTextilesPC'</t>
  </si>
  <si>
    <t>Constant weathering rate during lifetime</t>
  </si>
  <si>
    <t>Assumed</t>
  </si>
  <si>
    <t>The same lifetime factors that are used for 'TechnicalHouseholdTextiles'</t>
  </si>
  <si>
    <t>The same lifetime factors that are used for 'HygieneMedicalTextiles'</t>
  </si>
  <si>
    <t>The same lifetime factors that are used for 'Agrotextiles'</t>
  </si>
  <si>
    <t>The same lifetime factors that are used for 'Mobility'</t>
  </si>
  <si>
    <t>The same lifetime factors that are used for 'Geotextiles'</t>
  </si>
  <si>
    <t>The same lifetime factors that are used for 'BuildingTextiles'</t>
  </si>
  <si>
    <t>OtherTechTextiles</t>
  </si>
  <si>
    <t>The same lifetime factors that are used for 'OtherTechnicalTextiles'</t>
  </si>
  <si>
    <t>The same lifetime factors that are used for 'FabricCoatings'</t>
  </si>
  <si>
    <t>In general: lifetime_indoor = 1.4 * lifetime_outdoor. Thus, lifetime of indoor concrete paint is 1.4 * 8 ≈ 11 years.</t>
  </si>
  <si>
    <t>https://www.verfwinkel.nl/blog/hoe-vaak-je-huis-schilderen-binnen-and-buiten/</t>
  </si>
  <si>
    <t>Lifetime of outdoor concrete paint is 5 to 8 years. We adopt the upper limit: 8 years.</t>
  </si>
  <si>
    <t>https://www.wovar.be/betonverf-voor-buiten/</t>
  </si>
  <si>
    <t>In general: lifetime_indoor = 1.4 * lifetime_outdoor. Thus, lifetime of indoor lacquer (DIY) is 1.4 * 3 ≈ 4 years.</t>
  </si>
  <si>
    <t>Average lifetime of outdoor applied lacquer is 3 years.</t>
  </si>
  <si>
    <t>https://verfhandelnatte.nl/tip-4-wanneer-zijn-deuren-en-kozijnen-toe-aan-nieuwe-buitenlak/</t>
  </si>
  <si>
    <t>In general: lifetime_indoor = 1.4 * lifetime_outdoor. Thus, lifetime of indoor lacquer (DIY) is 1.4 * 8 ≈ 11 years.</t>
  </si>
  <si>
    <t>Average lifetime of outdoor applied lacquer is 8 years.</t>
  </si>
  <si>
    <t>Average lifetime for indoor paint is 7 years.</t>
  </si>
  <si>
    <t>Average lifetime for outdoor paint is 5 years.</t>
  </si>
  <si>
    <t>https://www.verfwinkel.nl/blog/hoe-vaak-is-buitenschilderwerk-en-kozijnen-schilderen-nodig/</t>
  </si>
  <si>
    <t>Lifetime of a wooden chair is 10 to 15 year. Adopt upper limit: 15 years.</t>
  </si>
  <si>
    <t>How Long Does Wood Furniture Last: A Comprehensive Guide (woodmodo.com)</t>
  </si>
  <si>
    <t>Lifetime of a wooden chair is 10 to 15 year. Adopt lower limit: 10 years.</t>
  </si>
  <si>
    <t>Estimated lifetime of 15 years.</t>
  </si>
  <si>
    <t>Estimated lifetime of 10 years.</t>
  </si>
  <si>
    <t>Estimated lifetime of 20 years.</t>
  </si>
  <si>
    <t>Lifetime of marine ship paint is 2 to 5 years. We adopt the upper limit: 5 years.</t>
  </si>
  <si>
    <t>Lagerström et al. (2022)</t>
  </si>
  <si>
    <t>Lifetime of recreational ship paint is 2 years.</t>
  </si>
  <si>
    <t>Lifetime of indoor wall paint is 5 to 10 years. For indoor wall paint (DIY) we adopt the lower limit: 5 years.</t>
  </si>
  <si>
    <t>https://elitepropainting.com/how-long-does-paint-last-lifespan-of-paint/</t>
  </si>
  <si>
    <t>Lifetime of outdoor wall paint is 5 to 7 years. For outdoor wall paint (DIY) we adopt the lower limit: 5 years.</t>
  </si>
  <si>
    <t>Lifetime of indoor wall paint is 5 to 10 years. For indoor wall paint (prof) we adopt the upper limit: 10 years.</t>
  </si>
  <si>
    <t>Lifetime of outdoor wall paint is 5 to 7 years. For outdoor wall paint (prof) we adopt the upper limit: 7 years.</t>
  </si>
  <si>
    <t>Lifetime of wood stain is 2 to 8 on horizontal and 4 to 10 on vertical surfaces. Assume indoor applications are only on horizontal surfaces (furniture) and for DIY we adopt the lower limit: 2 years.</t>
  </si>
  <si>
    <t>Lifetime of wood stain is 2 to 8 on horizontal and 4 to 10 on vertical surfaces. Assume outdoor applications are only on vertical surfaces (fences) and for DIY we adopt the lower limit: 4 years.</t>
  </si>
  <si>
    <t>Lifetime of wood stain is 2 to 8 on horizontal and 4 to 10 on vertical surfaces. Assume indoor applications are only on horizontal surfaces (furniture) and for prof we adopt the upper limit: 8 years.</t>
  </si>
  <si>
    <t>Lifetime of wood stain is 2 to 8 on horizontal and 4 to 10 on vertical surfaces. Assume outdoor applications are only on vertical surfaces (fences) and for prof we adopt the upper limit: 10 years.</t>
  </si>
  <si>
    <t>Refill is reduced as pile length is reducced so in use emission are gradually up to 5  - 12 year life span</t>
  </si>
  <si>
    <t>Based on Kole et al. 2023 (https://doi.org/10.1016/j.scitotenv.2023.166221)</t>
  </si>
  <si>
    <t>An average life span is assumed of 10 years with about 11% loss based on yearly refill of fields</t>
  </si>
  <si>
    <t xml:space="preserve">Hoeke etal. 2024 (https://doi.org/10.1016/j.resconrec.2023.107389) and Sieber et al. </t>
  </si>
  <si>
    <t>fulllabel</t>
  </si>
  <si>
    <t>type</t>
  </si>
  <si>
    <t>name</t>
  </si>
  <si>
    <t>Adopted from Kawecki &amp; Nowack (2019) or added/changed</t>
  </si>
  <si>
    <t>All compartments mentioned in the Input_NL sheet</t>
  </si>
  <si>
    <t>All compartments mentioned in the Transfer coefficients sheet</t>
  </si>
  <si>
    <t>Stack all compartments mentioned in input and transfer coefficients sheets</t>
  </si>
  <si>
    <t>STACKING column</t>
  </si>
  <si>
    <t>Compartments used by Kawecki &amp; Nowack (2019)</t>
  </si>
  <si>
    <t>Type of compartment</t>
  </si>
  <si>
    <t>Shorter name of the compartment (for modelling purposes)</t>
  </si>
  <si>
    <t>CHECK</t>
  </si>
  <si>
    <t>If B = Stock, then check if it has a lifetime</t>
  </si>
  <si>
    <t>Does this error need attention?</t>
  </si>
  <si>
    <t>Lifetimes defined</t>
  </si>
  <si>
    <t>Flow</t>
  </si>
  <si>
    <t>AgriculturalFilms</t>
  </si>
  <si>
    <t>AgriculturalOther</t>
  </si>
  <si>
    <t>Stock</t>
  </si>
  <si>
    <t>AgriculturalPipes</t>
  </si>
  <si>
    <t>AgricultureRecycling</t>
  </si>
  <si>
    <t>Sink</t>
  </si>
  <si>
    <t>AgriculturalSoilMacro</t>
  </si>
  <si>
    <t>AgriculturalSoilMicro</t>
  </si>
  <si>
    <t>AgricultureCollection</t>
  </si>
  <si>
    <t>ASRRecycling</t>
  </si>
  <si>
    <t>Automotive</t>
  </si>
  <si>
    <t>Automotive (product sector)</t>
  </si>
  <si>
    <t>AutomotivePC</t>
  </si>
  <si>
    <t>LargePartRecycling</t>
  </si>
  <si>
    <t>Automotive parts reuse</t>
  </si>
  <si>
    <t>PartReuse</t>
  </si>
  <si>
    <t>Building and Construction</t>
  </si>
  <si>
    <t>BuildingConstruction</t>
  </si>
  <si>
    <t>No, we don't include this product sector in our model</t>
  </si>
  <si>
    <t>BuildingTextiles</t>
  </si>
  <si>
    <t>Clothing</t>
  </si>
  <si>
    <t>Apparel</t>
  </si>
  <si>
    <t>ClothingProdSec</t>
  </si>
  <si>
    <t>Combined Sewer Overflow (macro)</t>
  </si>
  <si>
    <t>CSOMacro</t>
  </si>
  <si>
    <t>Combined Sewer Overflow (micro)</t>
  </si>
  <si>
    <t>CSOMicro</t>
  </si>
  <si>
    <t>Combined Sewer Overflow (small macro)</t>
  </si>
  <si>
    <t>CSOMacroSmall</t>
  </si>
  <si>
    <t>CompostMacro</t>
  </si>
  <si>
    <t>CompostMicro</t>
  </si>
  <si>
    <t>Compost collection (smaller than 1 mm)</t>
  </si>
  <si>
    <t>CompostCollectionSmall</t>
  </si>
  <si>
    <t>Compost collection (larger than 1 mm)</t>
  </si>
  <si>
    <t>CompostCollectionLarge</t>
  </si>
  <si>
    <t>CompostingSizeSep</t>
  </si>
  <si>
    <t>CDIncinerableCollection</t>
  </si>
  <si>
    <t>CDRecycling</t>
  </si>
  <si>
    <t>Construction and demolition waste collection</t>
  </si>
  <si>
    <t>CDCollection</t>
  </si>
  <si>
    <t>Construction pipes (and ducts)</t>
  </si>
  <si>
    <t>YES</t>
  </si>
  <si>
    <t>Cotton swabs</t>
  </si>
  <si>
    <t>CottonBudSticks</t>
  </si>
  <si>
    <t>Coverings (construction)</t>
  </si>
  <si>
    <t>WallFloorCoverings</t>
  </si>
  <si>
    <t>Cutlery</t>
  </si>
  <si>
    <t>DisposCleanCloths</t>
  </si>
  <si>
    <t>EEE</t>
  </si>
  <si>
    <t>EEE (product sector)</t>
  </si>
  <si>
    <t>EEEPC</t>
  </si>
  <si>
    <t>ELV collection</t>
  </si>
  <si>
    <t>ELVCollection</t>
  </si>
  <si>
    <t>ELVTextilesCollection</t>
  </si>
  <si>
    <t>Fabric coatings</t>
  </si>
  <si>
    <t>FabricCoatings</t>
  </si>
  <si>
    <t>Fibre production</t>
  </si>
  <si>
    <t>FibreProduction</t>
  </si>
  <si>
    <t>Furniture</t>
  </si>
  <si>
    <t>Household plastics</t>
  </si>
  <si>
    <t>Household textiles</t>
  </si>
  <si>
    <t>HouseholdTextiles</t>
  </si>
  <si>
    <t>HouseholdTextilesPC</t>
  </si>
  <si>
    <t>Hygiene and medical textiles</t>
  </si>
  <si>
    <t>HygieneMedicalTextiles</t>
  </si>
  <si>
    <t>IndoorAirMicro</t>
  </si>
  <si>
    <t>FloorCleaning</t>
  </si>
  <si>
    <t>IndusStormWaterMicro</t>
  </si>
  <si>
    <t>Insulation (construction)</t>
  </si>
  <si>
    <t>Insulation</t>
  </si>
  <si>
    <t>Lining (construction)</t>
  </si>
  <si>
    <t>Lining</t>
  </si>
  <si>
    <t>RuralLitter</t>
  </si>
  <si>
    <t>UrbanLitter</t>
  </si>
  <si>
    <t>RoadSideLitter</t>
  </si>
  <si>
    <t>MixedCollection</t>
  </si>
  <si>
    <t>RuralSoilMacro</t>
  </si>
  <si>
    <t>RuralSoilMicro</t>
  </si>
  <si>
    <t>Non-textile manufacturing</t>
  </si>
  <si>
    <t>NonTextileManufact</t>
  </si>
  <si>
    <t>On-Site Sewage Facility (macro)</t>
  </si>
  <si>
    <t>OSSFMacro</t>
  </si>
  <si>
    <t>On-Site Sewage Facility (micro)</t>
  </si>
  <si>
    <t>OSSFMicro</t>
  </si>
  <si>
    <t>OnTheGo</t>
  </si>
  <si>
    <t>OnTheGoRural</t>
  </si>
  <si>
    <t>OnTheGoUrban</t>
  </si>
  <si>
    <t>OnTheGoTransport</t>
  </si>
  <si>
    <t>Other non-textile products</t>
  </si>
  <si>
    <t>Other plastic products (product sector)</t>
  </si>
  <si>
    <t>OutdoorAirMicro</t>
  </si>
  <si>
    <t>PackagingCollection</t>
  </si>
  <si>
    <t>PackagingRecycling</t>
  </si>
  <si>
    <t>PantyLiners</t>
  </si>
  <si>
    <t>Pre-consumer fibre collection</t>
  </si>
  <si>
    <t>PCFibreCollection</t>
  </si>
  <si>
    <t>Pre-consumer plastic collection</t>
  </si>
  <si>
    <t>PCPlasticCollection</t>
  </si>
  <si>
    <t>PrimProduction</t>
  </si>
  <si>
    <t>WWTPrimaryMacro</t>
  </si>
  <si>
    <t>WWTPrimaryMicro</t>
  </si>
  <si>
    <t>Primary water treatment (small macro)</t>
  </si>
  <si>
    <t>WWTPrimaryMacroSmall</t>
  </si>
  <si>
    <t>UrbanSoilMacro</t>
  </si>
  <si>
    <t>UrbanSoilMicro</t>
  </si>
  <si>
    <t>RoadSideMacro</t>
  </si>
  <si>
    <t>Sanitary napkins</t>
  </si>
  <si>
    <t>SanitaryNapkins</t>
  </si>
  <si>
    <t>Secondary material production</t>
  </si>
  <si>
    <t>SecMatProduction</t>
  </si>
  <si>
    <t>MaterialReuse</t>
  </si>
  <si>
    <t>WWTSecondaryMacro</t>
  </si>
  <si>
    <t>WWTSecondaryMicro</t>
  </si>
  <si>
    <t>Secondary water treatment (small macro)</t>
  </si>
  <si>
    <t>WWTSecondaryMacroSmall</t>
  </si>
  <si>
    <t>Shotgun cartridges</t>
  </si>
  <si>
    <t>ShotgunCartridges</t>
  </si>
  <si>
    <t>SludgeMacro</t>
  </si>
  <si>
    <t>SludgeMicro</t>
  </si>
  <si>
    <t>StormWaterMacro</t>
  </si>
  <si>
    <t>StormWaterMicro</t>
  </si>
  <si>
    <t>Straws</t>
  </si>
  <si>
    <t>DeepUrbanSoilMicro</t>
  </si>
  <si>
    <t>SurfaceWaterMacro</t>
  </si>
  <si>
    <t>SurfaceWaterMicro</t>
  </si>
  <si>
    <t>Tampon applicators</t>
  </si>
  <si>
    <t>TamponApplicators</t>
  </si>
  <si>
    <t>Technical clothing</t>
  </si>
  <si>
    <t>TechnicalClothing</t>
  </si>
  <si>
    <t>Technical household textiles</t>
  </si>
  <si>
    <t>TechnicalHouseholdTextiles</t>
  </si>
  <si>
    <t>Renamed to Technical home textiles (see Comp Added)</t>
  </si>
  <si>
    <t>TechnicalTextiles</t>
  </si>
  <si>
    <t>WWTTertiaryMacro</t>
  </si>
  <si>
    <t>WWTTertiaryMicro</t>
  </si>
  <si>
    <t>Textile manufacturing</t>
  </si>
  <si>
    <t>TextileManufacturing</t>
  </si>
  <si>
    <t>TextileReuse</t>
  </si>
  <si>
    <t>TextileCollection</t>
  </si>
  <si>
    <t>Transport</t>
  </si>
  <si>
    <t>WWTPMacro</t>
  </si>
  <si>
    <t>WWTPMicro</t>
  </si>
  <si>
    <t>WasteWaterMacro</t>
  </si>
  <si>
    <t>WasteWaterMicro</t>
  </si>
  <si>
    <t>Wastewater (small macro)</t>
  </si>
  <si>
    <t>WasteWaterMacroSmall</t>
  </si>
  <si>
    <t>WEEE collection</t>
  </si>
  <si>
    <t>WEEECollection</t>
  </si>
  <si>
    <t>WEEPRecycling</t>
  </si>
  <si>
    <t>WetWipes</t>
  </si>
  <si>
    <t>Windows, profiles and fitted furniture</t>
  </si>
  <si>
    <t>WindowsProfilesFittedFurniture</t>
  </si>
  <si>
    <t>WWTPMacroSmall</t>
  </si>
  <si>
    <t>Compartments added</t>
  </si>
  <si>
    <t>AgriMulching</t>
  </si>
  <si>
    <t>ClothingIU</t>
  </si>
  <si>
    <t>CollectedOrganicW</t>
  </si>
  <si>
    <t>CollectedOrganicWlarger1mm</t>
  </si>
  <si>
    <t>CollectedOrganicWsmaller1mm</t>
  </si>
  <si>
    <t>ConcreteProf</t>
  </si>
  <si>
    <t>ConcreteProfIn</t>
  </si>
  <si>
    <t>ConcreteProfOut</t>
  </si>
  <si>
    <t>ControlledFertilizer</t>
  </si>
  <si>
    <t>Detergents</t>
  </si>
  <si>
    <t>DomPrimaryProd</t>
  </si>
  <si>
    <t>ExportPrimPlastics</t>
  </si>
  <si>
    <t>FertilizerAdditive</t>
  </si>
  <si>
    <t>FoodAdditive</t>
  </si>
  <si>
    <t>HighwayDAB</t>
  </si>
  <si>
    <t>HighwayZOAB</t>
  </si>
  <si>
    <t>HighwayZOABnc</t>
  </si>
  <si>
    <t>HighwayDABnc</t>
  </si>
  <si>
    <t>HomeTextiles</t>
  </si>
  <si>
    <t>ImpPrimaryProd</t>
  </si>
  <si>
    <t>Indoor concrete paint (prof)</t>
  </si>
  <si>
    <t>IndoorConcretePaint</t>
  </si>
  <si>
    <t>Indoor lacquer (DIY)</t>
  </si>
  <si>
    <t>IndoorLacquerDiy</t>
  </si>
  <si>
    <t>Indoor lacquer (prof)</t>
  </si>
  <si>
    <t>IndoorLacquerProf</t>
  </si>
  <si>
    <t>Indoor other paint uses (DIY)</t>
  </si>
  <si>
    <t>IndoorPaintOtherDiy</t>
  </si>
  <si>
    <t>Indoor other paint uses (prof)</t>
  </si>
  <si>
    <t>IndoorPaintOtherProf</t>
  </si>
  <si>
    <t>Indoor plaster (DIY)</t>
  </si>
  <si>
    <t>IndoorPlasterDiy</t>
  </si>
  <si>
    <t>Indoor plaster (prof)</t>
  </si>
  <si>
    <t>IndoorPlasterProf</t>
  </si>
  <si>
    <t>Indoor wall paint (DIY)</t>
  </si>
  <si>
    <t>IndoorWallDiy</t>
  </si>
  <si>
    <t>Indoor wall paint (prof)</t>
  </si>
  <si>
    <t>IndoorWallProf</t>
  </si>
  <si>
    <t>Indoor wood stain (DIY)</t>
  </si>
  <si>
    <t>IndoorWoodStainDiy</t>
  </si>
  <si>
    <t>Indoor wood stain (prof)</t>
  </si>
  <si>
    <t>IndoorWoodProf</t>
  </si>
  <si>
    <t>IndustrialStormwaterMicro</t>
  </si>
  <si>
    <t>InfillSportsField</t>
  </si>
  <si>
    <t>IntProdMP</t>
  </si>
  <si>
    <t>In-use indoor paint</t>
  </si>
  <si>
    <t>UseIndoorPaint</t>
  </si>
  <si>
    <t>In-use outdoor paint</t>
  </si>
  <si>
    <t>UseOutdoorPaint</t>
  </si>
  <si>
    <t>In-use ship paint (prof)</t>
  </si>
  <si>
    <t>UseShipPaintProf</t>
  </si>
  <si>
    <t>In-use Ship paint (recr)</t>
  </si>
  <si>
    <t>UseShipPaintDiy</t>
  </si>
  <si>
    <t>IVD</t>
  </si>
  <si>
    <t>LacquerDiy</t>
  </si>
  <si>
    <t>LacquerDiyIn</t>
  </si>
  <si>
    <t>LacquerDiyOut</t>
  </si>
  <si>
    <t>LacquerProf</t>
  </si>
  <si>
    <t>LacquerProfIn</t>
  </si>
  <si>
    <t>LacquerProfOut</t>
  </si>
  <si>
    <t>Maintenance indoor paint emission</t>
  </si>
  <si>
    <t>MaintenanceIndoorPaint</t>
  </si>
  <si>
    <t>Maintenance outdoor paint emission</t>
  </si>
  <si>
    <t>MaintenanceOutdoorPaint</t>
  </si>
  <si>
    <t>Maintenance ship paint (prof) emission</t>
  </si>
  <si>
    <t>MaintenanceShipPaintProf</t>
  </si>
  <si>
    <t>Maintenance Ship paint (recr) emission</t>
  </si>
  <si>
    <t>MaintenanceShipPaintDiy</t>
  </si>
  <si>
    <t>MedicineDiff</t>
  </si>
  <si>
    <t>MixedCollectionMicro</t>
  </si>
  <si>
    <t>OilGasApplications</t>
  </si>
  <si>
    <t>OtherPaintUsesDiy</t>
  </si>
  <si>
    <t>OtherPaintUsesDiyIn</t>
  </si>
  <si>
    <t>OtherPaintUsesDiyOut</t>
  </si>
  <si>
    <t>OtherPaintUses</t>
  </si>
  <si>
    <t>OtherPaintUsesProfIn</t>
  </si>
  <si>
    <t>OtherPaintUsesProfOut</t>
  </si>
  <si>
    <t>Outdoor concrete paint (prof)</t>
  </si>
  <si>
    <t>OutdoorConcretePaint</t>
  </si>
  <si>
    <t>Outdoor lacquer (DIY)</t>
  </si>
  <si>
    <t>OutdoorLacquerDiy</t>
  </si>
  <si>
    <t>Outdoor lacquer (prof)</t>
  </si>
  <si>
    <t>OutdoorLacquerProf</t>
  </si>
  <si>
    <t>Outdoor other paint uses (DIY)</t>
  </si>
  <si>
    <t>OutdoorPaintOtherDiy</t>
  </si>
  <si>
    <t>Outdoor other paint uses (prof)</t>
  </si>
  <si>
    <t>OutdoorPaintOtherProf</t>
  </si>
  <si>
    <t>Outdoor plaster (DIY)</t>
  </si>
  <si>
    <t>OutdoorPlasterDiy</t>
  </si>
  <si>
    <t>Outdoor plaster (prof)</t>
  </si>
  <si>
    <t>OutdoorPlasterProf</t>
  </si>
  <si>
    <t>Outdoor wall paint (DIY)</t>
  </si>
  <si>
    <t>OutdoorWallDiy</t>
  </si>
  <si>
    <t>Outdoor wall paint (prof)</t>
  </si>
  <si>
    <t>OutdoorWallProf</t>
  </si>
  <si>
    <t>Outdoor wood stain (DIY)</t>
  </si>
  <si>
    <t>OutdoorWoodStainDiy</t>
  </si>
  <si>
    <t>Outdoor wood stain (prof)</t>
  </si>
  <si>
    <t>OutdoorWoodProf</t>
  </si>
  <si>
    <t>PaintsPreMadeWood</t>
  </si>
  <si>
    <t>PaintsPreMadeWoodIn</t>
  </si>
  <si>
    <t>PaintsPreMadeWoodOut</t>
  </si>
  <si>
    <t>PelletConversio</t>
  </si>
  <si>
    <t>PelletLossIndustrial</t>
  </si>
  <si>
    <t>PelletTransportLossesL</t>
  </si>
  <si>
    <t>PlantProtection</t>
  </si>
  <si>
    <t>PlasterDiy</t>
  </si>
  <si>
    <t>PlasterDiyIn</t>
  </si>
  <si>
    <t>PlasterDiyOut</t>
  </si>
  <si>
    <t>PlasterProf</t>
  </si>
  <si>
    <t>PlasterProfIn</t>
  </si>
  <si>
    <t>PlasterProfOut</t>
  </si>
  <si>
    <t>PlasticProduct</t>
  </si>
  <si>
    <t>Rinsing paint brushes emission</t>
  </si>
  <si>
    <t>RinsingBrushes</t>
  </si>
  <si>
    <t>RoadCleaning</t>
  </si>
  <si>
    <t>RoadRunoff</t>
  </si>
  <si>
    <t>RoadSideSoilMicro</t>
  </si>
  <si>
    <t>RuralRoads</t>
  </si>
  <si>
    <t>SanitaryPads</t>
  </si>
  <si>
    <t>SeaWaterMicro</t>
  </si>
  <si>
    <t>SeedCoating</t>
  </si>
  <si>
    <t>ShipProf</t>
  </si>
  <si>
    <t>ShipDiy</t>
  </si>
  <si>
    <t>TechHomeTextiles</t>
  </si>
  <si>
    <t>TextileCoating</t>
  </si>
  <si>
    <t>PelletTransport</t>
  </si>
  <si>
    <t>TyreWear</t>
  </si>
  <si>
    <t>UrbanRoads</t>
  </si>
  <si>
    <t>WallDiy</t>
  </si>
  <si>
    <t>WallDiyIn</t>
  </si>
  <si>
    <t>WallApplDiy</t>
  </si>
  <si>
    <t>WallBrushDiy</t>
  </si>
  <si>
    <t>WallDiyOut</t>
  </si>
  <si>
    <t>WallProf</t>
  </si>
  <si>
    <t>WallProfIn</t>
  </si>
  <si>
    <t>WallProfOut</t>
  </si>
  <si>
    <t>Weathering indoor paint emission</t>
  </si>
  <si>
    <t>WeatheringIndoorPaint</t>
  </si>
  <si>
    <t>Weathering outdoor paint emission</t>
  </si>
  <si>
    <t>WeatheringOutdoorPaint</t>
  </si>
  <si>
    <t>Weathering ship paint (prof) emission</t>
  </si>
  <si>
    <t>WeatheringShipPaintProf</t>
  </si>
  <si>
    <t>Weathering Ship paint (recr) emission</t>
  </si>
  <si>
    <t>WeatheringShipPaintDiy</t>
  </si>
  <si>
    <t>WoodDiy</t>
  </si>
  <si>
    <t>WoodDiyIn</t>
  </si>
  <si>
    <t>WoodDiyOut</t>
  </si>
  <si>
    <t>WoodProf</t>
  </si>
  <si>
    <t>WoodProfIn</t>
  </si>
  <si>
    <t>WoodProfOut</t>
  </si>
  <si>
    <t>AgriculturalWasteCollectionMicro</t>
  </si>
  <si>
    <t>TextileRecycling</t>
  </si>
  <si>
    <t>Input compartments</t>
  </si>
  <si>
    <t>All types of compartiments</t>
  </si>
  <si>
    <t>Also in NL inputs?</t>
  </si>
  <si>
    <t>Also in EU input?</t>
  </si>
  <si>
    <t>TC from</t>
  </si>
  <si>
    <r>
      <t xml:space="preserve">Do microplastics also flow </t>
    </r>
    <r>
      <rPr>
        <b/>
        <u/>
        <sz val="11"/>
        <color theme="1"/>
        <rFont val="Calibri"/>
        <family val="2"/>
        <scheme val="minor"/>
      </rPr>
      <t>to</t>
    </r>
    <r>
      <rPr>
        <b/>
        <sz val="11"/>
        <color theme="1"/>
        <rFont val="Calibri"/>
        <family val="2"/>
        <scheme val="minor"/>
      </rPr>
      <t xml:space="preserve"> this comparment (from another compartment)? If yes: OK. If not: this compartment is an input or data is missing.</t>
    </r>
  </si>
  <si>
    <t>TC to</t>
  </si>
  <si>
    <r>
      <t xml:space="preserve">Do microplastics also flow </t>
    </r>
    <r>
      <rPr>
        <b/>
        <u/>
        <sz val="11"/>
        <color theme="1"/>
        <rFont val="Calibri"/>
        <family val="2"/>
        <scheme val="minor"/>
      </rPr>
      <t>from</t>
    </r>
    <r>
      <rPr>
        <b/>
        <sz val="11"/>
        <color theme="1"/>
        <rFont val="Calibri"/>
        <family val="2"/>
        <scheme val="minor"/>
      </rPr>
      <t xml:space="preserve"> this comparment (to another compartment)? If yes: OK. If not: then this compartment is a sink or data is missing.</t>
    </r>
  </si>
  <si>
    <t>Lifetime Category</t>
  </si>
  <si>
    <t>Lifetime sheet collumn names (lifetime categories)</t>
  </si>
  <si>
    <t>Check if exists in Lifetime_pairs, if missing check or clean up lifetimes sheet</t>
  </si>
  <si>
    <t>Code for links to lifetimes header row</t>
  </si>
  <si>
    <t>kkqLifetimes!B1</t>
  </si>
  <si>
    <t>kkqLifetimes!C1</t>
  </si>
  <si>
    <t>kkqLifetimes!D1</t>
  </si>
  <si>
    <t>kkqLifetimes!E1</t>
  </si>
  <si>
    <t>kkqLifetimes!F1</t>
  </si>
  <si>
    <t>kkqLifetimes!G1</t>
  </si>
  <si>
    <t>kkqLifetimes!H1</t>
  </si>
  <si>
    <t>kkqLifetimes!I1</t>
  </si>
  <si>
    <t>kkqLifetimes!J1</t>
  </si>
  <si>
    <t>kkqLifetimes!K1</t>
  </si>
  <si>
    <t>kkqLifetimes!L1</t>
  </si>
  <si>
    <t>kkqLifetimes!M1</t>
  </si>
  <si>
    <t>kkqLifetimes!N1</t>
  </si>
  <si>
    <t>kkqLifetimes!O1</t>
  </si>
  <si>
    <t>kkqLifetimes!P1</t>
  </si>
  <si>
    <t>kkqLifetimes!Q1</t>
  </si>
  <si>
    <t>kkqLifetimes!R1</t>
  </si>
  <si>
    <t>kkqLifetimes!S1</t>
  </si>
  <si>
    <t>kkqLifetimes!T1</t>
  </si>
  <si>
    <t>kkqLifetimes!U1</t>
  </si>
  <si>
    <t>kkqLifetimes!V1</t>
  </si>
  <si>
    <t>kkqLifetimes!W1</t>
  </si>
  <si>
    <t>kkqLifetimes!X1</t>
  </si>
  <si>
    <t>kkqLifetimes!Y1</t>
  </si>
  <si>
    <t>kkqLifetimes!Z1</t>
  </si>
  <si>
    <t>kkqLifetimes!AA1</t>
  </si>
  <si>
    <t>kkqLifetimes!AB1</t>
  </si>
  <si>
    <t>kkqLifetimes!AC1</t>
  </si>
  <si>
    <t>kkqLifetimes!AD1</t>
  </si>
  <si>
    <t>kkqLifetimes!AE1</t>
  </si>
  <si>
    <t>kkqLifetimes!AF1</t>
  </si>
  <si>
    <t>kkqLifetimes!AG1</t>
  </si>
  <si>
    <t>kkqLifetimes!AH1</t>
  </si>
  <si>
    <t>kkqLifetimes!AI1</t>
  </si>
  <si>
    <t>kkqLifetimes!AJ1</t>
  </si>
  <si>
    <t>kkqLifetimes!AK1</t>
  </si>
  <si>
    <t>kkqLifetimes!AL1</t>
  </si>
  <si>
    <t>kkqLifetimes!AM1</t>
  </si>
  <si>
    <t>kkqLifetimes!AN1</t>
  </si>
  <si>
    <t>kkqLifetimes!AO1</t>
  </si>
  <si>
    <t>kkqLifetimes!AP1</t>
  </si>
  <si>
    <t>kkqLifetimes!AQ1</t>
  </si>
  <si>
    <t>kkqLifetimes!AR1</t>
  </si>
  <si>
    <t>kkqLifetimes!AS1</t>
  </si>
  <si>
    <t>kkqLifetimes!AT1</t>
  </si>
  <si>
    <t>kkqLifetimes!AU1</t>
  </si>
  <si>
    <t>kkqLifetimes!AV1</t>
  </si>
  <si>
    <t>kkqLifetimes!AW1</t>
  </si>
  <si>
    <t>kkqLifetimes!AX1</t>
  </si>
  <si>
    <t>kkqLifetimes!AY1</t>
  </si>
  <si>
    <t>kkqLifetimes!AZ1</t>
  </si>
  <si>
    <t>kkqLifetimes!BA1</t>
  </si>
  <si>
    <t>kkqLifetimes!BB1</t>
  </si>
  <si>
    <t>kkqLifetimes!BC1</t>
  </si>
  <si>
    <t>kkqLifetimes!BD1</t>
  </si>
  <si>
    <t>kkqLifetimes!BE1</t>
  </si>
  <si>
    <t>kkqLifetimes!BF1</t>
  </si>
  <si>
    <t>kkqLifetimes!BG1</t>
  </si>
  <si>
    <t>kkqLifetimes!BH1</t>
  </si>
  <si>
    <t>kkqLifetimes!BI1</t>
  </si>
  <si>
    <t>kkqLifetimes!BJ1</t>
  </si>
  <si>
    <t>kkqLifetimes!BK1</t>
  </si>
  <si>
    <t>kkqLifetimes!BL1</t>
  </si>
  <si>
    <t>kkqLifetimes!BM1</t>
  </si>
  <si>
    <t>kkqLifetimes!BN1</t>
  </si>
  <si>
    <t>kkqLifetimes!BO1</t>
  </si>
  <si>
    <t>kkqLifetimes!BP1</t>
  </si>
  <si>
    <t>kkqLifetimes!BQ1</t>
  </si>
  <si>
    <t>kkqLifetimes!BR1</t>
  </si>
  <si>
    <t>kkqLifetimes!BS1</t>
  </si>
  <si>
    <t>kkqLifetimes!BT1</t>
  </si>
  <si>
    <t>kkqLifetimes!BU1</t>
  </si>
  <si>
    <t>kkqLifetimes!BV1</t>
  </si>
  <si>
    <t>kkqLifetimes!BW1</t>
  </si>
  <si>
    <t>kkqLifetimes!BX1</t>
  </si>
  <si>
    <t>kkqLifetimes!BY1</t>
  </si>
  <si>
    <t>kkqLifetimes!BZ1</t>
  </si>
  <si>
    <t>kkqLifetimes!CA1</t>
  </si>
  <si>
    <t>kkqLifetimes!CB1</t>
  </si>
  <si>
    <t>kkqLifetimes!CC1</t>
  </si>
  <si>
    <t>kkqLifetimes!CD1</t>
  </si>
  <si>
    <t>kkqLifetimes!CE1</t>
  </si>
  <si>
    <t>kkqLifetimes!CF1</t>
  </si>
  <si>
    <t>kkqLifetimes!CG1</t>
  </si>
  <si>
    <t>kkqLifetimes!CH1</t>
  </si>
  <si>
    <t>kkqLifetimes!CI1</t>
  </si>
  <si>
    <t>kkqLifetimes!CJ1</t>
  </si>
  <si>
    <t>kkqLifetimes!CK1</t>
  </si>
  <si>
    <t>kkqLifetimes!CL1</t>
  </si>
  <si>
    <t>kkqLifetimes!CM1</t>
  </si>
  <si>
    <t>kkqLifetimes!CN1</t>
  </si>
  <si>
    <t>kkqLifetimes!CO1</t>
  </si>
  <si>
    <t>kkqLifetimes!CP1</t>
  </si>
  <si>
    <t>kkqLifetimes!CQ1</t>
  </si>
  <si>
    <t>kkqLifetimes!CR1</t>
  </si>
  <si>
    <t>kkqLifetimes!CS1</t>
  </si>
  <si>
    <t>kkqLifetimes!CT1</t>
  </si>
  <si>
    <t>kkqLifetimes!CU1</t>
  </si>
  <si>
    <t>kkqLifetimes!CV1</t>
  </si>
  <si>
    <t>kkqLifetimes!CW1</t>
  </si>
  <si>
    <t>kkqLifetimes!CX1</t>
  </si>
  <si>
    <t>kkqLifetimes!CY1</t>
  </si>
  <si>
    <t>kkqLifetimes!CZ1</t>
  </si>
  <si>
    <t>kkqLifetimes!DA1</t>
  </si>
  <si>
    <t>kkqLifetimes!DB1</t>
  </si>
  <si>
    <t>kkqLifetimes!DC1</t>
  </si>
  <si>
    <t>kkqLifetimes!DD1</t>
  </si>
  <si>
    <t>kkqLifetimes!DE1</t>
  </si>
  <si>
    <t>kkqLifetimes!DF1</t>
  </si>
  <si>
    <t>kkqLifetimes!DG1</t>
  </si>
  <si>
    <t>kkqLifetimes!DH1</t>
  </si>
  <si>
    <t>kkqLifetimes!DI1</t>
  </si>
  <si>
    <t>kkqLifetimes!DJ1</t>
  </si>
  <si>
    <t>kkqLifetimes!DK1</t>
  </si>
  <si>
    <t>kkqLifetimes!DL1</t>
  </si>
  <si>
    <t>kkqLifetimes!DM1</t>
  </si>
  <si>
    <t>kkqLifetimes!DN1</t>
  </si>
  <si>
    <t>kkqLifetimes!DO1</t>
  </si>
  <si>
    <t>kkqLifetimes!DP1</t>
  </si>
  <si>
    <t>kkqLifetimes!DQ1</t>
  </si>
  <si>
    <t>kkqLifetimes!DR1</t>
  </si>
  <si>
    <t>kkqLifetimes!DS1</t>
  </si>
  <si>
    <t>kkqLifetimes!DT1</t>
  </si>
  <si>
    <t>kkqLifetimes!DU1</t>
  </si>
  <si>
    <t>kkqLifetimes!DV1</t>
  </si>
  <si>
    <t>kkqLifetimes!DW1</t>
  </si>
  <si>
    <t>kkqLifetimes!DX1</t>
  </si>
  <si>
    <t>kkqLifetimes!DY1</t>
  </si>
  <si>
    <t>kkqLifetimes!DZ1</t>
  </si>
  <si>
    <t>kkqLifetimes!EA1</t>
  </si>
  <si>
    <t>kkqLifetimes!EB1</t>
  </si>
  <si>
    <t>kkqLifetimes!EC1</t>
  </si>
  <si>
    <t>kkqLifetimes!ED1</t>
  </si>
  <si>
    <t>kkqLifetimes!EE1</t>
  </si>
  <si>
    <t>kkqLifetimes!EF1</t>
  </si>
  <si>
    <t>kkqLifetimes!EG1</t>
  </si>
  <si>
    <t>kkqLifetimes!EH1</t>
  </si>
  <si>
    <t>kkqLifetimes!EI1</t>
  </si>
  <si>
    <t>kkqLifetimes!EJ1</t>
  </si>
  <si>
    <t>kkqLifetimes!EK1</t>
  </si>
  <si>
    <t>kkqLifetimes!EL1</t>
  </si>
  <si>
    <t>kkqLifetimes!EM1</t>
  </si>
  <si>
    <t>kkqLifetimes!EN1</t>
  </si>
  <si>
    <t>kkqLifetimes!EO1</t>
  </si>
  <si>
    <t>kkqLifetimes!EP1</t>
  </si>
  <si>
    <t>kkqLifetimes!EQ1</t>
  </si>
  <si>
    <t>kkqLifetimes!ER1</t>
  </si>
  <si>
    <t>kkqLifetimes!ES1</t>
  </si>
  <si>
    <t>kkqLifetimes!ET1</t>
  </si>
  <si>
    <t>kkqLifetimes!EU1</t>
  </si>
  <si>
    <t>kkqLifetimes!EV1</t>
  </si>
  <si>
    <t>kkqLifetimes!EW1</t>
  </si>
  <si>
    <t>kkqLifetimes!EX1</t>
  </si>
  <si>
    <t>kkqLifetimes!EY1</t>
  </si>
  <si>
    <t>kkqLifetimes!EZ1</t>
  </si>
  <si>
    <t>kkqLifetimes!FA1</t>
  </si>
  <si>
    <t>kkqLifetimes!FB1</t>
  </si>
  <si>
    <t>kkqLifetimes!FC1</t>
  </si>
  <si>
    <t>kkqLifetimes!FD1</t>
  </si>
  <si>
    <t>kkqLifetimes!FE1</t>
  </si>
  <si>
    <t>kkqLifetimes!FF1</t>
  </si>
  <si>
    <t>kkqLifetimes!FG1</t>
  </si>
  <si>
    <t>kkqLifetimes!FH1</t>
  </si>
  <si>
    <t>kkqLifetimes!FI1</t>
  </si>
  <si>
    <t>kkqLifetimes!FJ1</t>
  </si>
  <si>
    <t>kkqLifetimes!FK1</t>
  </si>
  <si>
    <t>kkqLifetimes!FL1</t>
  </si>
  <si>
    <t>kkqLifetimes!FM1</t>
  </si>
  <si>
    <t>kkqLifetimes!FN1</t>
  </si>
  <si>
    <t>kkqLifetimes!FO1</t>
  </si>
  <si>
    <t>kkqLifetimes!FP1</t>
  </si>
  <si>
    <t>kkqLifetimes!FQ1</t>
  </si>
  <si>
    <t>kkqLifetimes!FR1</t>
  </si>
  <si>
    <t>kkqLifetimes!FS1</t>
  </si>
  <si>
    <t>kkqLifetimes!FT1</t>
  </si>
  <si>
    <t>kkqLifetimes!FU1</t>
  </si>
  <si>
    <t>kkqLifetimes!FV1</t>
  </si>
  <si>
    <t>kkqLifetimes!FW1</t>
  </si>
  <si>
    <t>kkqLifetimes!FX1</t>
  </si>
  <si>
    <t>kkqLifetimes!FY1</t>
  </si>
  <si>
    <t>kkqLifetimes!FZ1</t>
  </si>
  <si>
    <t>kkqLifetimes!GA1</t>
  </si>
  <si>
    <t>kkqLifetimes!GB1</t>
  </si>
  <si>
    <t>kkqLifetimes!GC1</t>
  </si>
  <si>
    <t>kkqLifetimes!GD1</t>
  </si>
  <si>
    <t>kkqLifetimes!GE1</t>
  </si>
  <si>
    <t>kkqLifetimes!GF1</t>
  </si>
  <si>
    <t>kkqLifetimes!GG1</t>
  </si>
  <si>
    <t>kkqLifetimes!GH1</t>
  </si>
  <si>
    <t>kkqLifetimes!GI1</t>
  </si>
  <si>
    <t>kkqLifetimes!GJ1</t>
  </si>
  <si>
    <t>kkqLifetimes!GK1</t>
  </si>
  <si>
    <t>kkqLifetimes!GL1</t>
  </si>
  <si>
    <t>kkqLifetimes!GM1</t>
  </si>
  <si>
    <t>kkqLifetimes!GN1</t>
  </si>
  <si>
    <t>kkqLifetimes!GO1</t>
  </si>
  <si>
    <t>kkqLifetimes!GP1</t>
  </si>
  <si>
    <t>kkqLifetimes!GQ1</t>
  </si>
  <si>
    <t>kkqLifetimes!GR1</t>
  </si>
  <si>
    <t>kkqLifetimes!GS1</t>
  </si>
  <si>
    <t>kkqLifetimes!GT1</t>
  </si>
  <si>
    <t>kkqLifetimes!GU1</t>
  </si>
  <si>
    <t>kkqLifetimes!GV1</t>
  </si>
  <si>
    <t>kkqLifetimes!GW1</t>
  </si>
  <si>
    <t>kkqLifetimes!GX1</t>
  </si>
  <si>
    <t>kkqLifetimes!GY1</t>
  </si>
  <si>
    <t>kkqLifetimes!GZ1</t>
  </si>
  <si>
    <t>Assume that 5% of the microplastic emissions goes to outdoor air. This is the same fraction as tyre wear particles that go to outdoor air.</t>
  </si>
  <si>
    <t>The "overall value" for the discardedplastiemission on sewerage reported prof) Table 10 from Verschoor et al. (2016)</t>
  </si>
  <si>
    <t>The "overall value" for the microplastic emission ix sewerage reported discTable 10 from Verschoor et al. (2016)</t>
  </si>
  <si>
    <t>The "overall value" for the discardedplastiemission ac sewerage reported prof) Table 10 from Verschoor er al. (2016)</t>
  </si>
  <si>
    <t>The "overall value" for the microplastil indoor (emission ix sewerage reported discarTable 10 from Verschoor er al. (2016)</t>
  </si>
  <si>
    <t>The "overall value" for the discardedplastiemission oo sewerage reported prof) Table 10 from Verschoor st al. (2016)</t>
  </si>
  <si>
    <t>The "overall value" for the microplastiw emission ix sewerage reported discardeTable 10 from Verschoor st al. (2016)</t>
  </si>
  <si>
    <t>The "overall value" for the discardedplastiemission al sewerage reported prof) Table 10 from Verschoor pa al. (2016)</t>
  </si>
  <si>
    <t>The "overall value" for the microplastiw emission ix sewerage reported discardeTable 10 from Verschoor pa al. (2016)</t>
  </si>
  <si>
    <t>The "overall value" for the discardedplastiemission la sewerage reported prof) Table 10 from Verschoor er al. (2016)</t>
  </si>
  <si>
    <t>The "overall value" for the microplastip indoor (emission ix sewerage reported discarTable 10 from Verschoor er al. (2016)</t>
  </si>
  <si>
    <t>The "overall value" for the discardedplastiemission th sewerage reported prof) Table 10 from Verschoor  p al. (2016)</t>
  </si>
  <si>
    <t>The "overall value" for the microplastioemission ix sewerage reported diTable 10 from Verschoor  p al. (2016)</t>
  </si>
  <si>
    <t>The "overall value" for the discardedplastiemission )  sewerage reported DIY) Table 10 from Verschoor er al. (2016)</t>
  </si>
  <si>
    <t>The "overall value" for the microplastilemission ix sewerage reported discarTable 10 from Verschoor er al. (2016)</t>
  </si>
  <si>
    <t>The "overall value" for the discardedplastiemission )  sewerage reported DIY) Table 10 from Verschoor st al. (2016)</t>
  </si>
  <si>
    <t>The "overall value" for the microplastiw indoor (emission ix sewerage reported discardedTable 10 from Verschoor st al. (2016)</t>
  </si>
  <si>
    <t>The "overall value" for the discardedplastiemission )  sewerage reported DIY) Table 10 from Verschoor pa al. (2016)</t>
  </si>
  <si>
    <t>The "overall value" for the DIYplastiemission )  sewerage reported DIY) Table 10 from Verschoor pa al. (2016)</t>
  </si>
  <si>
    <t>The "overall value" for the discardedplastiemission )  sewerage reported DIY) indoor Table 10 from Verschoor pa al. (2016)</t>
  </si>
  <si>
    <t>The "overall value" for the microplastiw indoor emission ix sewerage reported dTable 10 from Verschoor pa al. (2016)</t>
  </si>
  <si>
    <t>The "overall value" for the microplastipemission ix sewerage reported discarTable 10 from Verschoor er al. (2016)</t>
  </si>
  <si>
    <t>The "overall value" for the discardedplastiemission )  sewerage reported DIY) Table 10 from Verschoor  p al. (2016)</t>
  </si>
  <si>
    <t>The "overall value" for the microplastio emission ix sewerage reported disTable 10 from Verschoor  p al. (2016)</t>
  </si>
  <si>
    <t>The "overall value" for the microplastic emission to sewerage reported in Table 10 from Verschoor et al. (2016) = 39.4%</t>
  </si>
  <si>
    <t>The "overall value" for the microplastic emission to soil reported in Table 10 from Verschoor et al. (2016) = 57%. However, the emission factors in Table 10 do not sum up to 100%. Therefore, we adjust the 57% to 57.2%. Then we assume 5% goes to air. Thus 57.2 - 5 = 52.2%.</t>
  </si>
  <si>
    <t>The "overall value" for the microplastic emission to surface water reported in Table 10 from Verschoor et al. (2016) = 3.4%.</t>
  </si>
  <si>
    <t>0% of microplastic emissions during removal/maintainance of outdoor plaster (DIY) (EF_removal = 0% in Table 8).</t>
  </si>
  <si>
    <t>0% of microplastic emissions during removal/maintainance of outdoor wall paint (DIY) (EF_removal = 0% in Table 8).</t>
  </si>
  <si>
    <t>0% of microplastic emissions during removal/maintainance of outdoor wood stain (DIY) (EF_removal = 0% in Table 8).</t>
  </si>
  <si>
    <t>0% of microplastic emissions during removal/maintainance of outdoor other paint uses (prof) (EF_removal = 0% in Table 8).</t>
  </si>
  <si>
    <t>0% of microplastic emissions during removal/maintainance of outdoor plaster (prof) (EF_removal = 0% in Table 8).</t>
  </si>
  <si>
    <t>0% of microplastic emissions during removal/maintainance of outdoor wall paint (prof) (EF_removal = 0% in Table 8).</t>
  </si>
  <si>
    <t>3.2% of microplastic emissions during removal/maintainance of outdoor wood stain (prof) (EF_removal = 3.2% in Table 8). Assume that the fraction going to air is 5%. Thus 0.032 * 0.05 = 0,0016.</t>
  </si>
  <si>
    <t>3.2% of microplastic emissions during removal/maintainance of outdoor wood stain (prof) (EF_removal = 3.2% in Table 8). The fraction going to wastewater equals 39.4% according to Table 10 in Verschoor et al. (2016). Thus 0.032 * 0.394 = 0,0126.</t>
  </si>
  <si>
    <t>3.2% of microplastic emissions during removal/maintainance of outdoor wood stain (prof) (EF_removal = 3.2% in Table 8). The fraction going to surfacewater equals 3.4% according to Table 10 in Verschoor et al. (2016). Thus 0.032 * 0.034 = 0,0126.</t>
  </si>
  <si>
    <t>3.2% of microplastic emissions during removal/maintainance of outdoor paints used in pre-made wooden products (EF_removal = 3.2% in Table 8). Assume that the fraction going to air is 5%. Thus 0.032 * 0.05 = 0,0016.</t>
  </si>
  <si>
    <t>3.2% of microplastic emissions during removal/maintainance of outdoor paints used in pre-made wooden products (EF_removal = 3.2% in Table 8). The fraction going to wastewater equals 39.4% according to Table 10 in Verschoor et al. (2016). Thus 0.032 * 0.394 = 0,0126.</t>
  </si>
  <si>
    <t>3.2% of microplastic emissions during removal/maintainance of outdoor paints used in pre-made wooden products (EF_removal = 3.2% in Table 8). The fraction going to surfacewater equals 3.4% according to Table 10 in Verschoor et al. (2016). Thus 0.032 * 0.034 = 0,0126.</t>
  </si>
  <si>
    <t>3.2% of microplastic emissions during removal/maintainance of outdoor lacquer (prof) (EF_removal = 3.2% in Table 8). Assume that the fraction going to air is 5%. Thus 0.032 * 0.05 = 0,0016.</t>
  </si>
  <si>
    <t>3.2% of microplastic emissions during removal/maintainance of outdoor lacquer (prof) (EF_removal = 3.2% in Table 8). The fraction going to wastewater equals 39.4% according to Table 10 in Verschoor et al. (2016). Thus 0.032 * 0.394 = 0,0126.</t>
  </si>
  <si>
    <t>3.2% of microplastic emissions during removal/maintainance of outdoor lacquer (prof) (EF_removal = 3.2% in Table 8). The fraction going to surfacewater equals 3.4% according to Table 10 in Verschoor et al. (2016). Thus 0.032 * 0.034 = 0,0126.</t>
  </si>
  <si>
    <t>0% of microplastic emissions during removal/maintainance of outdoor concrete paint (prof) (EF_removal = 0% in Table 8).</t>
  </si>
  <si>
    <t>3.2% of microplastic emissions during removal/maintainance of outdoor paints used in pre-made wooden products (EF_removal = 3.2% in Table 8). The fraction going to soil equals 57.2% (adjusted from Table 10 in Verschoor et al., 2016). We assume -5% that goes to air. Thus 52.2% to soil. Thus 0.032 * 0.522 = 0,0167.</t>
  </si>
  <si>
    <t>3.2% of microplastic emissions during removal/maintainance of outdoor lacquer (prof) (EF_removal = 3.2% in Table 8). The fraction going to soil equals 57.2% (adjusted from Table 10 in Verschoor et al., 2016). We assume -5% that goes to air. Thus 52.2% to soil. Thus 0.032 * 0.522 = 0,0167.</t>
  </si>
  <si>
    <t>3.2% of microplastic emissions during removal/maintainance of outdoor wood stain (prof) (EF_removal = 3.2% in Table 8). The fraction going to soil equals 57.2% (adjusted from Table 10 in Verschoor et al., 2016). We assume -5% that goes to air. Thus 52.2% to soil. Thus 0.032 * 0.522 = 0,0167.</t>
  </si>
  <si>
    <t>The "overall value" for the discardedplastiemission ai sewerage reported products Table 10 from Verschoor et  al. (2016)</t>
  </si>
  <si>
    <t>The "overall value" for the microplastiemission ix sewerage reported indoor Table 10 from Verschoor et  al. (2016)</t>
  </si>
  <si>
    <t>6.4% of microplastic emissions during removal/maintainance of outdoor laqcuer (DIY) (EF_removal = 6.4% in Table 8). Assume that the fraction going to air is 5%. Thus 0.064 * 0.05 = 0,0032.</t>
  </si>
  <si>
    <t>6.4% of microplastic emissions during removal/maintainance of outdoor laqcuer (DIY) (EF_removal = 6.4% in Table 8). The fraction going to soil equals 57.2% (adjusted from Table 10 in Verschoor et al., 2016). We assume -5% that goes to air. Thus 52.2% to soil. Thus 0.064 * 0.522 = 0,03341.</t>
  </si>
  <si>
    <t>6.4% of microplastic emissions during removal/maintainance of outdoor lacquer (DIY) (EF_removal = 6.4% in Table 8). The fraction going to surfacewater equals 3.4% according to Table 10 in Verschoor et al. (2016). Thus 0.064 * 0.034 = 0,00218.</t>
  </si>
  <si>
    <t>6.4% of microplastic emissions during removal/maintainance of outdoor laqcuer (DIY) (EF_removal = 6.4% in Table 8). The fraction going to wastewater equals 39.4% according to Table 10 in Verschoor et al. (2016). Thus 0.064 * 0.394 = 0,02522.</t>
  </si>
  <si>
    <t>6.4% of microplastic emissions during removal/maintainance of outdoor other paint uses (DIY) (EF_removal = 6.4% in Table 8). Assume that the fraction going to air is 5%. Thus 0.064 * 0.05 = 0,0032.</t>
  </si>
  <si>
    <t>6.4% of microplastic emissions during removal/maintainance of outdoor other paint uses (DIY) (EF_removal = 6.4% in Table 8). The fraction going to wastewater equals 39.4% according to Table 10 in Verschoor et al. (2016). Thus 0.064 * 0.394 = 0,02522.</t>
  </si>
  <si>
    <t>6.4% of microplastic emissions during removal/maintainance of outdoor other paint uses (DIY) (EF_removal = 6.4% in Table 8). The fraction going to soil equals 57.2% (adjusted from Table 10 in Verschoor et al., 2016). We assume -5% that goes to air. Thus 52.2% to soil. Thus 0.064 * 0.522 = 0,03341.</t>
  </si>
  <si>
    <t>6.4% of microplastic emissions during removal/maintainance of outdoor other paint uses (DIY) (EF_removal = 6.4% in Table 8). The fraction going to surfacewater equals 3.4% according to Table 10 in Verschoor et al. (2016). Thus 0.064 * 0.034 = 0,00218.</t>
  </si>
  <si>
    <t>EUNOMIA</t>
  </si>
  <si>
    <t>From Kawecki 2019</t>
  </si>
  <si>
    <t>Sherrington, D.C., Darrah, D.C., Hann, S., Cole, G., Corbin, M., n.d. Study to support the development of measures to combat a range of marine litter sources.</t>
  </si>
  <si>
    <t>Cole, G., Sherrington, D.C., 2016. Study to Quantify Pellet Emissions in the UK.</t>
  </si>
  <si>
    <t>Verschoor et al. (2016) + assumption</t>
  </si>
  <si>
    <t>Loss TCS</t>
  </si>
  <si>
    <t>Lassen, C., Foss Hansen, S., Magnusson, K., Norén, F., Bloch Hartmann, N.I., Rehne Jensen, P., Gissel Nielsen, T., Brinch, A., 2015. Microplastics - Occurrence, effects and sources of releases to the environment in Denmark. The Danish Environmental Protection Agency.</t>
  </si>
  <si>
    <t>8.8% loss to sea</t>
  </si>
  <si>
    <t xml:space="preserve">Extra information </t>
  </si>
  <si>
    <t>Recycling TCs</t>
  </si>
  <si>
    <t>Source: EC, 2023. Preliminary analysis of the main sources of microplastic emissions, ANNEX 1-14 of the IMPACT ASSESSMENT REPORT on Combatting microplastics pollution in the Eurpean Union.</t>
  </si>
  <si>
    <t>Note: as the losses from pellet proccesing plants are very uncertain (large range of estimates), a higher and a lower TC was used to estimate the microplastic losses during recycling.</t>
  </si>
  <si>
    <t>Rubber infill TCs</t>
  </si>
  <si>
    <t xml:space="preserve">Identical lifetimes as category 'construction pipes' from Kawecki et al. (2021). </t>
  </si>
  <si>
    <t>Same as for Agricultural pipes (discarded)</t>
  </si>
  <si>
    <t>Same as for Agricultural films (discarded)</t>
  </si>
  <si>
    <t>Assumed equally distributed emissions over 4 years.</t>
  </si>
  <si>
    <t>z</t>
  </si>
  <si>
    <t>Eurostat, 2024. Sewage sludge production and disposal from urban wastewater (in dry substance (d.s)). https://doi.org/10.2908/TEN00030</t>
  </si>
  <si>
    <t>Assumming "sludge disposal - other" means that the sludge has an other application, thus not ending up in the environment</t>
  </si>
  <si>
    <t>Factor</t>
  </si>
  <si>
    <t>Import (Global)</t>
  </si>
  <si>
    <t>Import (EU)</t>
  </si>
  <si>
    <t>Net import (EU)</t>
  </si>
  <si>
    <t>Net import (Global)</t>
  </si>
  <si>
    <t>Input NL (kt)</t>
  </si>
  <si>
    <t>Input EU (kt)</t>
  </si>
  <si>
    <t>Export factor (EU)</t>
  </si>
  <si>
    <t>Export factor (Global)</t>
  </si>
  <si>
    <t>Export factor import (Global)</t>
  </si>
  <si>
    <t>Export factor Production</t>
  </si>
  <si>
    <t>Net production</t>
  </si>
  <si>
    <t xml:space="preserve">Below, the exported mass is distributed over import from the EU and import outside the EU according to their respective masses. </t>
  </si>
  <si>
    <t xml:space="preserve">Below, the exported mass is distributed over global import and domestic production according to their respective masses. </t>
  </si>
  <si>
    <t>Loss during spinning</t>
  </si>
  <si>
    <t>Loss during knitting</t>
  </si>
  <si>
    <t>Loss during weaving</t>
  </si>
  <si>
    <t>Loss during dyeing</t>
  </si>
  <si>
    <t>Losss during finishing</t>
  </si>
  <si>
    <t>Loss during garment assembly (cutting, sewing)</t>
  </si>
  <si>
    <t>PEFCR (2021), Table 28</t>
  </si>
  <si>
    <t>Net import (EU) - Low estimate</t>
  </si>
  <si>
    <t>Net import (Global) - High estimate</t>
  </si>
  <si>
    <t>Net import (EU) - High estimate</t>
  </si>
  <si>
    <t>Net import (Global) - Low estimate</t>
  </si>
  <si>
    <t>https://ec.europa.eu/eurostat/databrowser/view/DS-056120__custom_15192557/default/table?lang=en</t>
  </si>
  <si>
    <t>Import of clothing (EU)</t>
  </si>
  <si>
    <t>https://ec.europa.eu/eurostat/databrowser/view/DS-056120__custom_15192557/default/table?lang=en - Low estimate</t>
  </si>
  <si>
    <t>https://ec.europa.eu/eurostat/databrowser/view/DS-056120__custom_15192557/default/table?lang=en - High estimate</t>
  </si>
  <si>
    <t>Import of clothing (Global)</t>
  </si>
  <si>
    <t>Margin to account for assumptions made during data preparation</t>
  </si>
  <si>
    <t>Margin to account for assumptions made during data preparation plus fractions for mass los during production</t>
  </si>
  <si>
    <t>High input estimate import</t>
  </si>
  <si>
    <t>Low input estimate import</t>
  </si>
  <si>
    <t>High input estimate production</t>
  </si>
  <si>
    <t>Low input estimate production</t>
  </si>
  <si>
    <t>Transfer coefficients NL</t>
  </si>
  <si>
    <t>Apparel accessories</t>
  </si>
  <si>
    <t>https://eeb.org/library/draft-product-environmental-footprint-category-rules-pefcr-apparel-and-footwear/</t>
  </si>
  <si>
    <t>Boots</t>
  </si>
  <si>
    <t>Closed-toed shoes</t>
  </si>
  <si>
    <t>Open-toed shoes</t>
  </si>
  <si>
    <t>Swimwear</t>
  </si>
  <si>
    <t>T-shirts</t>
  </si>
  <si>
    <t>Underwear</t>
  </si>
  <si>
    <t>loss during washing</t>
  </si>
  <si>
    <t>loss during drying</t>
  </si>
  <si>
    <t>Average loss during wear, Kawecki et al. 2019, SI table 17</t>
  </si>
  <si>
    <t>Computed from available data from Kawecki et al. (2019) and CBS (2022)</t>
  </si>
  <si>
    <t>Computed from available data from Kawecki et al. (2019)</t>
  </si>
  <si>
    <t>Sum of loss during wearing, washing and drying</t>
  </si>
  <si>
    <t>Rest</t>
  </si>
  <si>
    <t>Clothing category</t>
  </si>
  <si>
    <t>Discarded fraction non-washed</t>
  </si>
  <si>
    <t>Transfer coefficients EU</t>
  </si>
  <si>
    <t>Clothing washing</t>
  </si>
  <si>
    <t>Clothing wearing</t>
  </si>
  <si>
    <t>Clothing drying</t>
  </si>
  <si>
    <t>Clothing washing machine (with external filter)</t>
  </si>
  <si>
    <t>Clothing washing machine (without external filter)</t>
  </si>
  <si>
    <t>Clothing washing by hand</t>
  </si>
  <si>
    <t>Clothing washed in machine</t>
  </si>
  <si>
    <t>Clothing washed by hand</t>
  </si>
  <si>
    <t>Fraction of washing machines with a filter</t>
  </si>
  <si>
    <t>Watergebruik CBS (2022)</t>
  </si>
  <si>
    <t>Clothing indoor drying</t>
  </si>
  <si>
    <t>Clothing outdoor drying</t>
  </si>
  <si>
    <t>Clothing drying VTD</t>
  </si>
  <si>
    <t>Clothing drying CHPTD</t>
  </si>
  <si>
    <t>Clothing drying CHETD</t>
  </si>
  <si>
    <t>Clothing washer-dryer combo</t>
  </si>
  <si>
    <t>Average number of washes during lifetime of clothing</t>
  </si>
  <si>
    <t>Average from Kawecki et al. (2019)</t>
  </si>
  <si>
    <t>Average mass fraction of fibers released during a washing cycle</t>
  </si>
  <si>
    <t>Average mass fraction of fibers released during hand wash</t>
  </si>
  <si>
    <t>Average number of drying cycles during lifetime of clothing</t>
  </si>
  <si>
    <t>Fraction of drying cycles performed by indoor cloth-line drying</t>
  </si>
  <si>
    <t>Fraction of drying cycles performed by outdoor cloth-line drying</t>
  </si>
  <si>
    <t>Fraction of drying cycles performed in a vented tumble dryer</t>
  </si>
  <si>
    <t>Fraction of drying cycles performed in a condenser heat pump tumble dryer</t>
  </si>
  <si>
    <t>Fraction of drying cycles performed in a condenser heat element tumble dryer</t>
  </si>
  <si>
    <t>Fraction of drying cycles performed in a washer-dryer combo machine</t>
  </si>
  <si>
    <t>Mass fraction fibres released during one drying cycle performed by indoor cloth-line drying</t>
  </si>
  <si>
    <t>Mass fraction fibres released during one drying cycle performed by outdoor cloth-line drying</t>
  </si>
  <si>
    <t>Mass fraction fibres released during one drying cycle performed by a vented tumble dryer</t>
  </si>
  <si>
    <t>Mass fraction fibres released during one drying cycle performed by a condenser heat pump tumble dryer</t>
  </si>
  <si>
    <t>Mass fraction fibres released during one drying cycle performed by condenser heat element tumble dryer</t>
  </si>
  <si>
    <t>Mass fraction fibres released during one drying cycle performed by a washer-dryer combo machine</t>
  </si>
  <si>
    <t>CBS, RIVM, &amp; Cummins et al. (2019)</t>
  </si>
  <si>
    <t>Table S17 from Kawecki et al. (2019)</t>
  </si>
  <si>
    <t xml:space="preserve">Assumption </t>
  </si>
  <si>
    <t>Lint filter (VTD)</t>
  </si>
  <si>
    <t>Lint filter (CHPTD)</t>
  </si>
  <si>
    <t>Lint filter (CHETD)</t>
  </si>
  <si>
    <t>Clean lint filter by hand</t>
  </si>
  <si>
    <t>Based on data from Cummins et al. (2023)</t>
  </si>
  <si>
    <t>Clean lint filter under running water</t>
  </si>
  <si>
    <t>Combined data from CBS, RIVM, and Cummins et al. (2023)</t>
  </si>
  <si>
    <t>ImportClothingEU</t>
  </si>
  <si>
    <t>ImportClothingGlobal</t>
  </si>
  <si>
    <t>LintFilterVTD</t>
  </si>
  <si>
    <t>LintFilterCHPTD</t>
  </si>
  <si>
    <t>LintFilterCHETD</t>
  </si>
  <si>
    <t>Tshirts</t>
  </si>
  <si>
    <t>ApparelAccessories</t>
  </si>
  <si>
    <t>ClothingWashing</t>
  </si>
  <si>
    <t>ClothingWearing</t>
  </si>
  <si>
    <t>ClothingDrying</t>
  </si>
  <si>
    <t>OpenToedShoes</t>
  </si>
  <si>
    <t>JacketsCoats</t>
  </si>
  <si>
    <t>PantsShorts</t>
  </si>
  <si>
    <t>ShirtsBlouses</t>
  </si>
  <si>
    <t>SweatersMidlayers</t>
  </si>
  <si>
    <t>CloseToedShoes</t>
  </si>
  <si>
    <t>ClothIndoorDrying</t>
  </si>
  <si>
    <t>ClothOutdoorDrying</t>
  </si>
  <si>
    <t>DressesSkirtsJumpsuits</t>
  </si>
  <si>
    <t>LeggingsStockingsTightsSocks</t>
  </si>
  <si>
    <t>ClothingExternalWithExternalFilter</t>
  </si>
  <si>
    <t>ClothingByWashingByHand</t>
  </si>
  <si>
    <t>CleanByFilterByHand</t>
  </si>
  <si>
    <t>CleanRunningUnderRunningWater</t>
  </si>
  <si>
    <t>ClothingExternalWithoutExternalFilter</t>
  </si>
  <si>
    <t>ClothDryingVTD</t>
  </si>
  <si>
    <t>ClothDryingCHPTD</t>
  </si>
  <si>
    <t>ClothDryingCHETD</t>
  </si>
  <si>
    <t>ClothingWasherDryerCombo</t>
  </si>
  <si>
    <t>Years</t>
  </si>
  <si>
    <t>ClothingTwoYears</t>
  </si>
  <si>
    <t>ClothingThreeYears</t>
  </si>
  <si>
    <t>ClothingFourYears</t>
  </si>
  <si>
    <t>ClothingFiveYears</t>
  </si>
  <si>
    <t>ClothingSixYears</t>
  </si>
  <si>
    <t>ClothingSevenYears</t>
  </si>
  <si>
    <t>ClothingEightYears</t>
  </si>
  <si>
    <t>Original lifetime clothing</t>
  </si>
  <si>
    <t>Weight factor</t>
  </si>
  <si>
    <t>TCs to Clothing (product sector)</t>
  </si>
  <si>
    <t>Manufacturing of clothing</t>
  </si>
  <si>
    <t>PEFCR (2021), Table 28 - woven clothing</t>
  </si>
  <si>
    <t>PEFCR (2021), Table 28 - knit clothing</t>
  </si>
  <si>
    <t>Net fiber production - Low estimate</t>
  </si>
  <si>
    <t>Net fiber production - High estimate</t>
  </si>
  <si>
    <t>Import of yarn</t>
  </si>
  <si>
    <t>Import of plastic sheets</t>
  </si>
  <si>
    <t>Import of yarn/plastic sheets EU (because there is no import/domestic production of Acryl or Rubber pellets to/in the EU)</t>
  </si>
  <si>
    <t>Transfer coefficients EU (From pellets to manufacturing of clothing)</t>
  </si>
  <si>
    <t>ManufacturingOfClothing</t>
  </si>
  <si>
    <t>ImportPlasticSheets</t>
  </si>
  <si>
    <t>ImportYarn</t>
  </si>
  <si>
    <t>Footwear loss Denmark in t/y - low</t>
  </si>
  <si>
    <t>Footwear loss Denmark in t/y - high</t>
  </si>
  <si>
    <t>t/y</t>
  </si>
  <si>
    <t>t/person/year</t>
  </si>
  <si>
    <t>Lassen, C., Hansen, S.F., Magnussen, K., Hartmann, N.B., Rehne Jensen, P., Nielsen, T.G., Brinch, A., 2015. Microplastics: Occurrence, effects and sources of releases to the environment in Denmark. Danish environmental protection agency.</t>
  </si>
  <si>
    <t>Footwear loss Germany in g/person/year</t>
  </si>
  <si>
    <t>Bertling, J., Hamann, L., Bertling, R., 2018. Kunststoffe in der Umwelt. https://doi.org/10.24406/UMSICHT-N-497117</t>
  </si>
  <si>
    <t>loss during wear (clothing)</t>
  </si>
  <si>
    <t>NL total/year</t>
  </si>
  <si>
    <t>Dresses skirts and jumpsuits</t>
  </si>
  <si>
    <t>Jackets and coats</t>
  </si>
  <si>
    <t>Leggings stockings tights and socks</t>
  </si>
  <si>
    <t>Pants and shorts</t>
  </si>
  <si>
    <t>Shirts and blouses</t>
  </si>
  <si>
    <t>Sweaters and midlayers</t>
  </si>
  <si>
    <t>Shoesole wear calculation</t>
  </si>
  <si>
    <t>cm^2</t>
  </si>
  <si>
    <t>Density of rubber</t>
  </si>
  <si>
    <t>Density of PUR</t>
  </si>
  <si>
    <t>Density of EVA</t>
  </si>
  <si>
    <t>g^cm3</t>
  </si>
  <si>
    <t>Area fraction of sole that touches the ground</t>
  </si>
  <si>
    <t>fraction</t>
  </si>
  <si>
    <t>Wear height low estimate</t>
  </si>
  <si>
    <t>Wear height high estimate</t>
  </si>
  <si>
    <t>EVA</t>
  </si>
  <si>
    <t>cm</t>
  </si>
  <si>
    <t>Wear volume (low estimate)</t>
  </si>
  <si>
    <t>Wear mass (high estimate)</t>
  </si>
  <si>
    <t>cm^3</t>
  </si>
  <si>
    <t>Wear mass (low estimate)</t>
  </si>
  <si>
    <t>Density of PVC</t>
  </si>
  <si>
    <t>Wear volume (high estimate)</t>
  </si>
  <si>
    <t xml:space="preserve">In the model, the material for the EVA TCs will be OTHER, because EVA is not in the model and OTHER does not contain any other polymers for footwear. </t>
  </si>
  <si>
    <t>Loss during wear (footwear)</t>
  </si>
  <si>
    <t>Assume TC for clothing wear for uppers of shoes</t>
  </si>
  <si>
    <t>Footwear category</t>
  </si>
  <si>
    <t>Footwear wearing (soles)</t>
  </si>
  <si>
    <t>Footwear wearing (uppers)</t>
  </si>
  <si>
    <t>Footwear waste collection</t>
  </si>
  <si>
    <t>Footwear reuse</t>
  </si>
  <si>
    <t>Shoesole wear</t>
  </si>
  <si>
    <t>Uppers wear</t>
  </si>
  <si>
    <t>Assumption: 30% of the wearing of shoes happens inside, rest outside</t>
  </si>
  <si>
    <t>Assumption: 10% of the wearing of shoes happens in nature</t>
  </si>
  <si>
    <t>FootwearWasteCollection</t>
  </si>
  <si>
    <t>FootwearWearingSoles</t>
  </si>
  <si>
    <t>FootwearWearingUppers</t>
  </si>
  <si>
    <t>FootwearReuse</t>
  </si>
  <si>
    <t>Lifetimes name</t>
  </si>
  <si>
    <t>Input global (kt)</t>
  </si>
  <si>
    <t>Global</t>
  </si>
  <si>
    <t>Imported_to_EU (kt)</t>
  </si>
  <si>
    <t>Imported_to_NL (kt)</t>
  </si>
  <si>
    <t>Domestic production fibers (EU) - low estimate</t>
  </si>
  <si>
    <t>Domestic production fibers (EU) - high estimate</t>
  </si>
  <si>
    <t>Domestic production fibers (NL) - low estimate</t>
  </si>
  <si>
    <t>Domestic production fibers (NL) - high estimate</t>
  </si>
  <si>
    <t>Fiber production for EU</t>
  </si>
  <si>
    <t>Clothing waste collection</t>
  </si>
  <si>
    <t>Massabalans textiel, 2022</t>
  </si>
  <si>
    <t>Home textile waste collection</t>
  </si>
  <si>
    <t>Technical textile waste collection</t>
  </si>
  <si>
    <t>Separately collected textiles NL</t>
  </si>
  <si>
    <t>Textiles in mixed waste NL</t>
  </si>
  <si>
    <t>ClothingWasteCollection</t>
  </si>
  <si>
    <t>HomeTextileWasteCollection</t>
  </si>
  <si>
    <t>TechnicalTextileWasteCollection</t>
  </si>
  <si>
    <t>(de Waart et al., 2023)</t>
  </si>
  <si>
    <t>Assume 0.01% recycling based on barely any collected footwear is recycled (de Waart et al., 2023)</t>
  </si>
  <si>
    <t>Total shoe consumption mass in 2019 (low)</t>
  </si>
  <si>
    <t>TC (low)</t>
  </si>
  <si>
    <t>Total shoe consumption mass in 2019 (high)</t>
  </si>
  <si>
    <t>TC (high)</t>
  </si>
  <si>
    <t>Clothing washed (in use)</t>
  </si>
  <si>
    <t>Clothing washed (discarded)</t>
  </si>
  <si>
    <t>Clothing not washed (in use)</t>
  </si>
  <si>
    <t>Clothing not washed (discarded)</t>
  </si>
  <si>
    <t>Clothing rarely washed (in use)</t>
  </si>
  <si>
    <t>Clothing rarely washed (discarded)</t>
  </si>
  <si>
    <t>Computed from wearing, washing, drying TCs</t>
  </si>
  <si>
    <t>Clothing categories to in use/discarded</t>
  </si>
  <si>
    <t>Clothing In use/discarded to subsequent compartments</t>
  </si>
  <si>
    <t>Footwear categories to consequent compartments</t>
  </si>
  <si>
    <t>ClothingWashedInUse</t>
  </si>
  <si>
    <t>ClothingWashedDiscarded</t>
  </si>
  <si>
    <t>ClothingRarelyWashedInUse</t>
  </si>
  <si>
    <t>ClothingRarelyWashedDiscarded</t>
  </si>
  <si>
    <t>ClothingNotWashedInUse</t>
  </si>
  <si>
    <t>ClothingNotWashedDiscarded</t>
  </si>
  <si>
    <t>Iyare et al. (2022)</t>
  </si>
  <si>
    <t>Total removal after primary treatment</t>
  </si>
  <si>
    <t>Total removal after secondary treatment</t>
  </si>
  <si>
    <t>Total removal after tertiary treatment</t>
  </si>
  <si>
    <t>mean</t>
  </si>
  <si>
    <t>source</t>
  </si>
  <si>
    <t>Waternet (2025)</t>
  </si>
  <si>
    <t>Relative removal during primary treatment</t>
  </si>
  <si>
    <t>Relative removal during secondary treatment</t>
  </si>
  <si>
    <t>Relative removal during tertiary treatment</t>
  </si>
  <si>
    <t>Removal during step</t>
  </si>
  <si>
    <t>High estimate factor</t>
  </si>
  <si>
    <t>Iyare et al. (2020)</t>
  </si>
  <si>
    <t>Consumentenbond (2025), Kimmel et al. (2024) - Lowest reported fraction of captured fibers</t>
  </si>
  <si>
    <t>Consumentenbond (2025), Kimmel et al. (2024) - Average reported fraction of captured fibers</t>
  </si>
  <si>
    <t>Consumentenbond (2025), Kimmel et al. (2024) - Highest reported fraction of captured fibers</t>
  </si>
  <si>
    <t>Effectivity of filter (lowest)</t>
  </si>
  <si>
    <t>Consumentenbond (2025), Kimmel et al. (2024)</t>
  </si>
  <si>
    <t>Effectivity of filter (mean)</t>
  </si>
  <si>
    <t>Effectivity of filter (highest)</t>
  </si>
  <si>
    <t>Effectivity of filters</t>
  </si>
  <si>
    <t>Planet care reviews</t>
  </si>
  <si>
    <t>Fraction of rest flow that goes from secondairy treatment to surface water micro</t>
  </si>
  <si>
    <t>TCs to and from in use/discarded</t>
  </si>
  <si>
    <t>van Egmond, J.-L., Brummelkamp, J., de Kreuk, M., 2021. Verkenning van verwijderingsroutes microplastics in de RWZI. STOWA.</t>
  </si>
  <si>
    <t>Private communication with Frederic Guhl from FOEN, Kawecki et al. (2019)</t>
  </si>
  <si>
    <t>Dominguez, D.; Diggelmann, V.; Binggeli, S. Élimination Des Composés Traces Organiques Dans Les Stations D’Épuration; 2016; Élimination Des Composés Traces Organiques Dans Les Stations D’Épuration</t>
  </si>
  <si>
    <t>Remainder after step</t>
  </si>
  <si>
    <t>EU (Lyare et al. (2022))</t>
  </si>
  <si>
    <t>NL (Waternet (2025))</t>
  </si>
  <si>
    <t>MICRO</t>
  </si>
  <si>
    <t>MACRO</t>
  </si>
  <si>
    <t>Mass fractions of fibers released indoor clothesline drying</t>
  </si>
  <si>
    <t>Mass fraction of fibers released outdoor clothesline drying</t>
  </si>
  <si>
    <t>Mass fraction of fibers released vented tumble dryer</t>
  </si>
  <si>
    <t>Mass fraction of fibers released condenser heat pump tumble dryer</t>
  </si>
  <si>
    <t>Mass fraction of fibers released condenser heat pump element tumble dryer</t>
  </si>
  <si>
    <t>Mass fraction of fibers released washer-dryer combo</t>
  </si>
  <si>
    <t>More than 10 year difference (prior to 2012)</t>
  </si>
  <si>
    <t>4-10 year difference (2012-2018)</t>
  </si>
  <si>
    <t>1-3 year difference (2019-2021)</t>
  </si>
  <si>
    <t xml:space="preserve">Same year (&gt;2022 reference year) </t>
  </si>
  <si>
    <t>Cummings et al. (2023)</t>
  </si>
  <si>
    <t>Based on assumption 10% of dryer TC</t>
  </si>
  <si>
    <t>Drycleaning Institute of Australia Ltd, 2015; Laitala et al., 2018</t>
  </si>
  <si>
    <t>Drycleaning Institute of Australia Ltd, 2015; Laitala et al., 2019</t>
  </si>
  <si>
    <t>Drycleaning Institute of Australia Ltd, 2015; Laitala et al., 2020</t>
  </si>
  <si>
    <t>Drycleaning Institute of Australia Ltd, 2015; Laitala et al., 2021</t>
  </si>
  <si>
    <t>Drycleaning Institute of Australia Ltd, 2015; Laitala et al., 2022</t>
  </si>
  <si>
    <t>Drycleaning Institute of Australia Ltd, 2015; Laitala et al., 2023</t>
  </si>
  <si>
    <t>Drycleaning Institute of Australia Ltd, 2015; Laitala et al., 2024</t>
  </si>
  <si>
    <t>Drycleaning Institute of Australia Ltd, 2015; Laitala et al., 2025</t>
  </si>
  <si>
    <t>Drycleaning Institute of Australia Ltd, 2015; Laitala et al., 2026</t>
  </si>
  <si>
    <t>Drycleaning Institute of Australia Ltd, 2015; Laitala et al., 2027</t>
  </si>
  <si>
    <t>Drycleaning Institute of Australia Ltd, 2015; Laitala et al., 2028</t>
  </si>
  <si>
    <t>Drycleaning Institute of Australia Ltd, 2015; Laitala et al., 2029</t>
  </si>
  <si>
    <t xml:space="preserve">The numbers below are estimates of shoe sole abrasion made by two sources. Included here for comparison to our estimate of shoe sole abrasion. These transder coefficients are not used in the model as the calculation behind them could not be found. </t>
  </si>
  <si>
    <t>See shoesole wear calculation in clothing calculations tab of MainInputFile (low estimate)</t>
  </si>
  <si>
    <t>See shoesole wear calculation in clothing calculations tab of MainInputFile (high estimate)</t>
  </si>
  <si>
    <t>Variable</t>
  </si>
  <si>
    <t>Mean number of shoes in possession - men</t>
  </si>
  <si>
    <t>Mean number of shoes in possession - women</t>
  </si>
  <si>
    <t>Nelson Schoenen, 2024. Nederlandse vrouw heeft gemiddeld 22 paar schoenen in de kast staan [WWW Document]. URL https://www.nelson.nl/pers/nederlandse-vrouw-heeft-gemiddeld-22-paar-schoenen-in-de-kast-staan/ (accessed 6.16.25).</t>
  </si>
  <si>
    <t>Mean number of shoes in possession - average</t>
  </si>
  <si>
    <t>Area of shoe sole - size EU40</t>
  </si>
  <si>
    <t>pairs</t>
  </si>
  <si>
    <t>Measured sole of size EU40 shoe</t>
  </si>
  <si>
    <t>https://www.engineeringtoolbox.com/density-solids-d_1265.html</t>
  </si>
  <si>
    <t>https://polymers.netzsch.com/Materials/Details/10</t>
  </si>
  <si>
    <t>https://polymers.netzsch.com/Materials/Details/64</t>
  </si>
  <si>
    <t>https://www.aqua-calc.com/page/density-table/substance/rubber-coma-and-blank-manufactured</t>
  </si>
  <si>
    <t xml:space="preserve">Wear mass per pair of shoes </t>
  </si>
  <si>
    <t>Wear area per shoe</t>
  </si>
  <si>
    <t>Any</t>
  </si>
  <si>
    <t>g/shoe</t>
  </si>
  <si>
    <t>g/pair of shoes</t>
  </si>
  <si>
    <t>Variables for calculating TCs</t>
  </si>
  <si>
    <t>Calculate TCs</t>
  </si>
  <si>
    <t>Consumed Open-toed shoes</t>
  </si>
  <si>
    <t>Pairs</t>
  </si>
  <si>
    <t>Consumed Close-toed shoes</t>
  </si>
  <si>
    <t>Consumed Boots</t>
  </si>
  <si>
    <t>Fraction of Open-toed shoes made with soles of polymer</t>
  </si>
  <si>
    <t>-</t>
  </si>
  <si>
    <t>Fraction of Close-toed shoes made with soles of polymer</t>
  </si>
  <si>
    <t>Fraction of Boots made with soles of polymer</t>
  </si>
  <si>
    <t>Sold production, exports and imports of clothing - EUROSTAT [WWW Document], n.d. URL https://ec.europa.eu/eurostat/databrowser/view/DS-056120__custom_15192557/default/table?lang=en (accessed 10.20.25).</t>
  </si>
  <si>
    <t>Combined from https://ec.europa.eu/eurostat/databrowser/view/DS-056120__custom_15192557/default/table?lang=en (accessed 10.20.25) and Quantis, 2021</t>
  </si>
  <si>
    <t>Combined from https://ec.europa.eu/eurostat/databrowser/view/DS-056120__custom_15192557/default/table?lang=en (accessed 10.20.25) and Quantis, 2022</t>
  </si>
  <si>
    <t>Combined from https://ec.europa.eu/eurostat/databrowser/view/DS-056120__custom_15192557/default/table?lang=en (accessed 10.20.25) and Quantis, 2023</t>
  </si>
  <si>
    <t>Combined from https://ec.europa.eu/eurostat/databrowser/view/DS-056120__custom_15192557/default/table?lang=en (accessed 10.20.25) and Quantis, 2024</t>
  </si>
  <si>
    <t>Combined from https://ec.europa.eu/eurostat/databrowser/view/DS-056120__custom_15192557/default/table?lang=en (accessed 10.20.25) and Quantis, 2025</t>
  </si>
  <si>
    <t>Combined from https://ec.europa.eu/eurostat/databrowser/view/DS-056120__custom_15192557/default/table?lang=en (accessed 10.20.25) and Quantis, 2026</t>
  </si>
  <si>
    <t>Combined from https://ec.europa.eu/eurostat/databrowser/view/DS-056120__custom_15192557/default/table?lang=en (accessed 10.20.25) and Quantis, 2027</t>
  </si>
  <si>
    <t>Combined from https://ec.europa.eu/eurostat/databrowser/view/DS-056120__custom_15192557/default/table?lang=en (accessed 10.20.25) and Quantis, 2028</t>
  </si>
  <si>
    <t>Combined from https://ec.europa.eu/eurostat/databrowser/view/DS-056120__custom_15192557/default/table?lang=en (accessed 10.20.25) and Quantis, 2029</t>
  </si>
  <si>
    <t>Combined from https://ec.europa.eu/eurostat/databrowser/view/DS-056120__custom_15192557/default/table?lang=en (accessed 10.20.25) and Quantis, 2030</t>
  </si>
  <si>
    <t>Combined from https://ec.europa.eu/eurostat/databrowser/view/DS-056120__custom_15192557/default/table?lang=en (accessed 10.20.25) and Quantis, 2031</t>
  </si>
  <si>
    <t>Combined from https://ec.europa.eu/eurostat/databrowser/view/DS-056120__custom_15192557/default/table?lang=en (accessed 10.20.25) and Quantis, 2032</t>
  </si>
  <si>
    <t xml:space="preserve">Scale </t>
  </si>
  <si>
    <t>Pairs of Close-toed shoes with soles made of polymer</t>
  </si>
  <si>
    <t>Pairs of Open-toed shoes with soles made of polymer</t>
  </si>
  <si>
    <t>Pairs of Boots with soles made of polymer</t>
  </si>
  <si>
    <t>Total pairs of shoes consumed with soles made of polymer</t>
  </si>
  <si>
    <t>g</t>
  </si>
  <si>
    <t>kt</t>
  </si>
  <si>
    <t>Total polymer mass consumed in shoes</t>
  </si>
  <si>
    <t>Low wear TC (corrected for number of shoes in posession)</t>
  </si>
  <si>
    <t>High wear TC (corrected for number of shoes in possession)</t>
  </si>
  <si>
    <t>Variables for calculating wear mass per shoe</t>
  </si>
  <si>
    <t>Calculation</t>
  </si>
  <si>
    <t>Total textiles discarded in NL</t>
  </si>
  <si>
    <t xml:space="preserve">Variables </t>
  </si>
  <si>
    <t>Calculated values needed for TCs</t>
  </si>
  <si>
    <t xml:space="preserve">Textiles in mixed waste </t>
  </si>
  <si>
    <t>Separately collected textiles</t>
  </si>
  <si>
    <t>Reused textiles</t>
  </si>
  <si>
    <t>Recycled textiles</t>
  </si>
  <si>
    <t>Rest flows textiles</t>
  </si>
  <si>
    <t>Textiles in need of further sorting</t>
  </si>
  <si>
    <t>Rest of the world</t>
  </si>
  <si>
    <t>Total reused/recycled/rest/sorted</t>
  </si>
  <si>
    <t>Shoes collected separately</t>
  </si>
  <si>
    <t>de Waart et al., 2023</t>
  </si>
  <si>
    <t>Recycled shoes</t>
  </si>
  <si>
    <t xml:space="preserve">Assumption based on de Waart et al. (2023), which says that barely any shoes are recycled </t>
  </si>
  <si>
    <t>Separately collected shoes reused in NL</t>
  </si>
  <si>
    <t>Separately collected shoes reused in EU</t>
  </si>
  <si>
    <t>Calculated variables</t>
  </si>
  <si>
    <t>Tansfer coefficients</t>
  </si>
  <si>
    <t>Drying - Transfer coefficients</t>
  </si>
  <si>
    <t>Variables from sources and assumptions</t>
  </si>
  <si>
    <t>Footwear TC - Transfer coefficients</t>
  </si>
  <si>
    <t>Clothing wear and washing - Transfer coefficients</t>
  </si>
  <si>
    <t>Transfer coefficients needed to calculate in use/discarded TCs</t>
  </si>
  <si>
    <t>Clothing category - washed</t>
  </si>
  <si>
    <t>Clothing category - rarely washed</t>
  </si>
  <si>
    <t>Clothing category - not washed</t>
  </si>
  <si>
    <t xml:space="preserve">Clothing category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</si>
</sst>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4">
    <numFmt numFmtId="164" formatCode="_ &quot;Fr.&quot;\ * #,##0.00_ ;_ &quot;Fr.&quot;\ * \-#,##0.00_ ;_ &quot;Fr.&quot;\ * &quot;-&quot;??_ ;_ @_ "/>
    <numFmt numFmtId="165" formatCode="0.000"/>
    <numFmt numFmtId="166" formatCode="0.0000"/>
    <numFmt numFmtId="167" formatCode="0.000000"/>
    <numFmt numFmtId="168" formatCode="0.00000000000000"/>
    <numFmt numFmtId="169" formatCode="0.00000"/>
    <numFmt numFmtId="170" formatCode="0.0%"/>
    <numFmt numFmtId="171" formatCode="0.0000000"/>
    <numFmt numFmtId="172" formatCode="0.00000000000"/>
    <numFmt numFmtId="173" formatCode="0.0"/>
    <numFmt numFmtId="174" formatCode="0.000000000"/>
    <numFmt numFmtId="175" formatCode="0.00000000"/>
    <numFmt numFmtId="176" formatCode="0.000%"/>
    <numFmt numFmtId="177" formatCode="0.0000%"/>
  </numFmts>
  <fonts count="78">
    <font>
      <sz val="11"/>
      <color theme="1"/>
      <name val="Calibri"/>
      <family val="2"/>
      <scheme val="minor"/>
    </font>
    <font>
      <sz val="10"/>
      <color theme="1"/>
      <name val="Segoe UI"/>
      <family val="2"/>
    </font>
    <font>
      <sz val="10"/>
      <color theme="1"/>
      <name val="Segoe UI"/>
      <family val="2"/>
    </font>
    <font>
      <sz val="10"/>
      <color theme="1"/>
      <name val="Segoe UI"/>
      <family val="2"/>
    </font>
    <font>
      <sz val="10"/>
      <color theme="1"/>
      <name val="Segoe UI"/>
      <family val="2"/>
    </font>
    <font>
      <b/>
      <sz val="11"/>
      <color theme="1"/>
      <name val="Calibri"/>
      <family val="2"/>
      <scheme val="minor"/>
    </font>
    <font>
      <b/>
      <sz val="11"/>
      <name val="Calibri"/>
      <family val="2"/>
      <scheme val="minor"/>
    </font>
    <font>
      <sz val="11"/>
      <name val="Calibri"/>
      <family val="2"/>
      <scheme val="minor"/>
    </font>
    <font>
      <i/>
      <sz val="11"/>
      <color theme="0" tint="-0.499984740745262"/>
      <name val="Calibri"/>
      <family val="2"/>
      <scheme val="minor"/>
    </font>
    <font>
      <i/>
      <sz val="11"/>
      <color theme="1" tint="0.499984740745262"/>
      <name val="Calibri"/>
      <family val="2"/>
      <scheme val="minor"/>
    </font>
    <font>
      <i/>
      <sz val="11"/>
      <color theme="1"/>
      <name val="Calibri"/>
      <family val="2"/>
      <scheme val="minor"/>
    </font>
    <font>
      <sz val="11"/>
      <name val="Arial"/>
      <family val="2"/>
    </font>
    <font>
      <sz val="11"/>
      <color indexed="8"/>
      <name val="Calibri"/>
      <family val="2"/>
      <scheme val="minor"/>
    </font>
    <font>
      <sz val="14"/>
      <color theme="1"/>
      <name val="Calibri"/>
      <family val="2"/>
      <scheme val="minor"/>
    </font>
    <font>
      <sz val="11"/>
      <color theme="1"/>
      <name val="Calibri"/>
      <family val="2"/>
      <scheme val="minor"/>
    </font>
    <font>
      <sz val="11"/>
      <color theme="0"/>
      <name val="Calibri"/>
      <family val="2"/>
      <scheme val="minor"/>
    </font>
    <font>
      <b/>
      <sz val="22"/>
      <color theme="1" tint="0.34998626667073579"/>
      <name val="Cambria"/>
      <family val="2"/>
      <scheme val="major"/>
    </font>
    <font>
      <b/>
      <sz val="11"/>
      <color theme="0"/>
      <name val="Calibri"/>
      <family val="2"/>
      <scheme val="minor"/>
    </font>
    <font>
      <sz val="11"/>
      <color rgb="FFFF0000"/>
      <name val="Calibri"/>
      <family val="2"/>
      <scheme val="minor"/>
    </font>
    <font>
      <u/>
      <sz val="11"/>
      <color theme="10"/>
      <name val="Calibri"/>
      <family val="2"/>
      <scheme val="minor"/>
    </font>
    <font>
      <sz val="10"/>
      <color rgb="FF3F3F76"/>
      <name val="Times New Roman"/>
      <family val="2"/>
    </font>
    <font>
      <sz val="10"/>
      <color rgb="FF9C0006"/>
      <name val="Times New Roman"/>
      <family val="2"/>
    </font>
    <font>
      <sz val="8"/>
      <name val="Calibri"/>
      <family val="2"/>
      <scheme val="minor"/>
    </font>
    <font>
      <sz val="11"/>
      <color rgb="FF3F3F76"/>
      <name val="Calibri"/>
      <family val="2"/>
      <scheme val="minor"/>
    </font>
    <font>
      <b/>
      <sz val="11"/>
      <color theme="3"/>
      <name val="Calibri"/>
      <family val="2"/>
      <scheme val="minor"/>
    </font>
    <font>
      <b/>
      <i/>
      <sz val="11"/>
      <name val="Calibri"/>
      <family val="2"/>
      <scheme val="minor"/>
    </font>
    <font>
      <sz val="11"/>
      <color theme="1" tint="0.499984740745262"/>
      <name val="Calibri"/>
      <family val="2"/>
      <scheme val="minor"/>
    </font>
    <font>
      <sz val="11"/>
      <color rgb="FF000000"/>
      <name val="Calibri"/>
      <family val="2"/>
      <scheme val="minor"/>
    </font>
    <font>
      <u/>
      <sz val="11"/>
      <color theme="1"/>
      <name val="Calibri"/>
      <family val="2"/>
      <scheme val="minor"/>
    </font>
    <font>
      <sz val="11"/>
      <color rgb="FF222222"/>
      <name val="Calibri"/>
      <family val="2"/>
      <scheme val="minor"/>
    </font>
    <font>
      <b/>
      <u/>
      <sz val="11"/>
      <color theme="1"/>
      <name val="Calibri"/>
      <family val="2"/>
      <scheme val="minor"/>
    </font>
    <font>
      <b/>
      <sz val="12"/>
      <color rgb="FF000000"/>
      <name val="Calibri"/>
      <family val="2"/>
      <scheme val="minor"/>
    </font>
    <font>
      <b/>
      <sz val="14"/>
      <color theme="0"/>
      <name val="Calibri"/>
      <family val="2"/>
      <scheme val="minor"/>
    </font>
    <font>
      <b/>
      <sz val="14"/>
      <color theme="1"/>
      <name val="Calibri"/>
      <family val="2"/>
      <scheme val="minor"/>
    </font>
    <font>
      <u/>
      <sz val="11"/>
      <name val="Calibri"/>
      <family val="2"/>
      <scheme val="minor"/>
    </font>
    <font>
      <sz val="11"/>
      <color rgb="FF0066FF"/>
      <name val="Calibri"/>
      <family val="2"/>
      <scheme val="minor"/>
    </font>
    <font>
      <sz val="11"/>
      <color rgb="FF006100"/>
      <name val="Calibri"/>
      <family val="2"/>
      <scheme val="minor"/>
    </font>
    <font>
      <b/>
      <sz val="11"/>
      <color rgb="FFFF0000"/>
      <name val="Calibri"/>
      <family val="2"/>
      <scheme val="minor"/>
    </font>
    <font>
      <u/>
      <sz val="11"/>
      <color rgb="FFFF0000"/>
      <name val="Calibri"/>
      <family val="2"/>
      <scheme val="minor"/>
    </font>
    <font>
      <b/>
      <sz val="9"/>
      <name val="Arial"/>
      <family val="2"/>
    </font>
    <font>
      <sz val="9"/>
      <name val="Arial"/>
      <family val="2"/>
    </font>
    <font>
      <b/>
      <sz val="9"/>
      <color indexed="9"/>
      <name val="Arial"/>
      <family val="2"/>
    </font>
    <font>
      <sz val="10"/>
      <color rgb="FF000000"/>
      <name val="Arial"/>
      <family val="2"/>
    </font>
    <font>
      <b/>
      <sz val="11"/>
      <color rgb="FFFFFFFF"/>
      <name val="Calibri"/>
      <family val="2"/>
      <scheme val="minor"/>
    </font>
    <font>
      <sz val="11"/>
      <color rgb="FFFFFFFF"/>
      <name val="Calibri"/>
      <family val="2"/>
      <scheme val="minor"/>
    </font>
    <font>
      <b/>
      <sz val="20"/>
      <color theme="0"/>
      <name val="Calibri"/>
      <family val="2"/>
      <scheme val="minor"/>
    </font>
    <font>
      <sz val="11"/>
      <color rgb="FF9C0006"/>
      <name val="Calibri"/>
      <family val="2"/>
      <scheme val="minor"/>
    </font>
    <font>
      <b/>
      <sz val="11"/>
      <color rgb="FFC00000"/>
      <name val="Calibri"/>
      <family val="2"/>
      <scheme val="minor"/>
    </font>
    <font>
      <b/>
      <sz val="11"/>
      <color rgb="FFFF6600"/>
      <name val="Calibri"/>
      <family val="2"/>
      <scheme val="minor"/>
    </font>
    <font>
      <sz val="11"/>
      <color rgb="FF000000"/>
      <name val="Calibri"/>
      <family val="3"/>
      <charset val="134"/>
      <scheme val="minor"/>
    </font>
    <font>
      <b/>
      <sz val="11"/>
      <color rgb="FFFFC000"/>
      <name val="Calibri"/>
      <family val="2"/>
      <scheme val="minor"/>
    </font>
    <font>
      <b/>
      <sz val="11"/>
      <color rgb="FF92D050"/>
      <name val="Calibri"/>
      <family val="2"/>
      <scheme val="minor"/>
    </font>
    <font>
      <b/>
      <sz val="11"/>
      <color rgb="FF00B050"/>
      <name val="Calibri"/>
      <family val="2"/>
      <scheme val="minor"/>
    </font>
    <font>
      <sz val="11"/>
      <color theme="8"/>
      <name val="Calibri"/>
      <family val="2"/>
      <scheme val="minor"/>
    </font>
    <font>
      <sz val="11"/>
      <color theme="1"/>
      <name val="Calibri"/>
      <family val="2"/>
    </font>
    <font>
      <b/>
      <sz val="11"/>
      <color rgb="FFFFFFFF"/>
      <name val="Calibri"/>
      <family val="2"/>
    </font>
    <font>
      <sz val="11"/>
      <color theme="1"/>
      <name val="Calibri"/>
      <family val="2"/>
    </font>
    <font>
      <i/>
      <sz val="11"/>
      <name val="Calibri"/>
      <family val="2"/>
      <scheme val="minor"/>
    </font>
    <font>
      <b/>
      <sz val="11"/>
      <color rgb="FF000000"/>
      <name val="Calibri"/>
      <family val="2"/>
    </font>
    <font>
      <i/>
      <sz val="11"/>
      <color rgb="FF000000"/>
      <name val="Calibri"/>
      <family val="2"/>
    </font>
    <font>
      <u/>
      <sz val="11"/>
      <color rgb="FF0563C1"/>
      <name val="Calibri"/>
      <family val="2"/>
    </font>
    <font>
      <b/>
      <sz val="11"/>
      <color theme="1"/>
      <name val="Calibri"/>
      <family val="2"/>
    </font>
    <font>
      <i/>
      <sz val="8"/>
      <color rgb="FF222222"/>
      <name val="Arial"/>
      <family val="2"/>
    </font>
    <font>
      <sz val="8"/>
      <color rgb="FF222222"/>
      <name val="Arial"/>
      <family val="2"/>
    </font>
    <font>
      <sz val="11"/>
      <color rgb="FFFFFFFF"/>
      <name val="Courier New"/>
      <family val="3"/>
    </font>
    <font>
      <b/>
      <sz val="11"/>
      <name val="Calibri"/>
      <family val="2"/>
    </font>
    <font>
      <b/>
      <sz val="11"/>
      <name val="Calibri"/>
      <family val="2"/>
    </font>
    <font>
      <b/>
      <sz val="10"/>
      <name val="Segoe UI"/>
      <family val="2"/>
    </font>
    <font>
      <sz val="20"/>
      <color theme="0"/>
      <name val="Calibri"/>
      <family val="2"/>
      <scheme val="minor"/>
    </font>
    <font>
      <sz val="20"/>
      <color theme="1"/>
      <name val="Calibri"/>
      <family val="2"/>
      <scheme val="minor"/>
    </font>
    <font>
      <b/>
      <sz val="22"/>
      <color theme="0"/>
      <name val="Calibri"/>
      <family val="2"/>
      <scheme val="minor"/>
    </font>
    <font>
      <sz val="11"/>
      <color rgb="FFC00000"/>
      <name val="Calibri"/>
      <family val="2"/>
      <scheme val="minor"/>
    </font>
    <font>
      <b/>
      <sz val="18"/>
      <color theme="0"/>
      <name val="Calibri"/>
      <family val="2"/>
      <scheme val="minor"/>
    </font>
    <font>
      <sz val="22"/>
      <color theme="0"/>
      <name val="Calibri"/>
      <family val="2"/>
      <scheme val="minor"/>
    </font>
    <font>
      <sz val="10"/>
      <color indexed="8"/>
      <name val="Segoe UI"/>
      <family val="2"/>
    </font>
    <font>
      <sz val="11"/>
      <color theme="0" tint="-0.499984740745262"/>
      <name val="Calibri"/>
      <family val="2"/>
      <scheme val="minor"/>
    </font>
    <font>
      <i/>
      <sz val="11"/>
      <color rgb="FF7F7F7F"/>
      <name val="Calibri"/>
      <family val="2"/>
      <scheme val="minor"/>
    </font>
    <font>
      <sz val="10"/>
      <color theme="1"/>
      <name val="Verdana"/>
      <family val="2"/>
    </font>
  </fonts>
  <fills count="70">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rgb="FF3FCDFF"/>
        <bgColor indexed="64"/>
      </patternFill>
    </fill>
    <fill>
      <patternFill patternType="solid">
        <fgColor theme="0" tint="-0.14999847407452621"/>
        <bgColor indexed="64"/>
      </patternFill>
    </fill>
    <fill>
      <patternFill patternType="solid">
        <fgColor rgb="FFFF0000"/>
        <bgColor indexed="64"/>
      </patternFill>
    </fill>
    <fill>
      <patternFill patternType="solid">
        <fgColor rgb="FF00B0F0"/>
        <bgColor indexed="64"/>
      </patternFill>
    </fill>
    <fill>
      <patternFill patternType="solid">
        <fgColor rgb="FFFFC7CE"/>
      </patternFill>
    </fill>
    <fill>
      <patternFill patternType="solid">
        <fgColor rgb="FFFFCC99"/>
      </patternFill>
    </fill>
    <fill>
      <patternFill patternType="solid">
        <fgColor theme="5" tint="0.79998168889431442"/>
        <bgColor indexed="65"/>
      </patternFill>
    </fill>
    <fill>
      <patternFill patternType="solid">
        <fgColor theme="6"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8" tint="0.79998168889431442"/>
        <bgColor indexed="64"/>
      </patternFill>
    </fill>
    <fill>
      <patternFill patternType="solid">
        <fgColor theme="8" tint="0.39997558519241921"/>
        <bgColor indexed="64"/>
      </patternFill>
    </fill>
    <fill>
      <patternFill patternType="solid">
        <fgColor rgb="FF339933"/>
        <bgColor indexed="64"/>
      </patternFill>
    </fill>
    <fill>
      <patternFill patternType="solid">
        <fgColor rgb="FFD8EEC0"/>
        <bgColor indexed="64"/>
      </patternFill>
    </fill>
    <fill>
      <patternFill patternType="solid">
        <fgColor theme="7"/>
        <bgColor indexed="64"/>
      </patternFill>
    </fill>
    <fill>
      <patternFill patternType="solid">
        <fgColor theme="7" tint="0.79998168889431442"/>
        <bgColor indexed="64"/>
      </patternFill>
    </fill>
    <fill>
      <patternFill patternType="solid">
        <fgColor theme="1"/>
        <bgColor indexed="64"/>
      </patternFill>
    </fill>
    <fill>
      <patternFill patternType="solid">
        <fgColor rgb="FFE961AB"/>
        <bgColor indexed="64"/>
      </patternFill>
    </fill>
    <fill>
      <patternFill patternType="solid">
        <fgColor rgb="FFF19DCB"/>
        <bgColor indexed="64"/>
      </patternFill>
    </fill>
    <fill>
      <patternFill patternType="solid">
        <fgColor theme="6" tint="0.79998168889431442"/>
        <bgColor indexed="64"/>
      </patternFill>
    </fill>
    <fill>
      <patternFill patternType="solid">
        <fgColor theme="0"/>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8"/>
        <bgColor indexed="64"/>
      </patternFill>
    </fill>
    <fill>
      <patternFill patternType="solid">
        <fgColor rgb="FFFFFF00"/>
        <bgColor indexed="64"/>
      </patternFill>
    </fill>
    <fill>
      <patternFill patternType="solid">
        <fgColor theme="9"/>
        <bgColor indexed="64"/>
      </patternFill>
    </fill>
    <fill>
      <patternFill patternType="solid">
        <fgColor rgb="FFC6EFCE"/>
      </patternFill>
    </fill>
    <fill>
      <patternFill patternType="solid">
        <fgColor rgb="FF4669AF"/>
      </patternFill>
    </fill>
    <fill>
      <patternFill patternType="solid">
        <fgColor rgb="FF0096DC"/>
      </patternFill>
    </fill>
    <fill>
      <patternFill patternType="solid">
        <fgColor rgb="FFDCE6F1"/>
      </patternFill>
    </fill>
    <fill>
      <patternFill patternType="mediumGray">
        <bgColor indexed="22"/>
      </patternFill>
    </fill>
    <fill>
      <patternFill patternType="solid">
        <fgColor rgb="FFF6F6F6"/>
      </patternFill>
    </fill>
    <fill>
      <patternFill patternType="solid">
        <fgColor theme="5" tint="0.39997558519241921"/>
        <bgColor indexed="65"/>
      </patternFill>
    </fill>
    <fill>
      <patternFill patternType="solid">
        <fgColor theme="7" tint="0.39997558519241921"/>
        <bgColor indexed="65"/>
      </patternFill>
    </fill>
    <fill>
      <patternFill patternType="solid">
        <fgColor rgb="FF00B050"/>
        <bgColor indexed="64"/>
      </patternFill>
    </fill>
    <fill>
      <patternFill patternType="solid">
        <fgColor rgb="FF1F497D"/>
        <bgColor rgb="FF000000"/>
      </patternFill>
    </fill>
    <fill>
      <patternFill patternType="solid">
        <fgColor rgb="FFC5D9F1"/>
        <bgColor rgb="FF000000"/>
      </patternFill>
    </fill>
    <fill>
      <patternFill patternType="solid">
        <fgColor theme="4"/>
      </patternFill>
    </fill>
    <fill>
      <patternFill patternType="solid">
        <fgColor theme="2" tint="-9.9978637043366805E-2"/>
        <bgColor indexed="64"/>
      </patternFill>
    </fill>
    <fill>
      <patternFill patternType="solid">
        <fgColor theme="8"/>
        <bgColor theme="1"/>
      </patternFill>
    </fill>
    <fill>
      <patternFill patternType="solid">
        <fgColor theme="0"/>
        <bgColor theme="0" tint="-0.14999847407452621"/>
      </patternFill>
    </fill>
    <fill>
      <patternFill patternType="solid">
        <fgColor rgb="FFED7D31"/>
        <bgColor rgb="FF000000"/>
      </patternFill>
    </fill>
    <fill>
      <patternFill patternType="solid">
        <fgColor rgb="FF4472C4"/>
        <bgColor rgb="FF000000"/>
      </patternFill>
    </fill>
    <fill>
      <patternFill patternType="solid">
        <fgColor rgb="FFFCE4D6"/>
        <bgColor rgb="FF000000"/>
      </patternFill>
    </fill>
    <fill>
      <patternFill patternType="solid">
        <fgColor rgb="FFD9E1F2"/>
        <bgColor rgb="FF000000"/>
      </patternFill>
    </fill>
    <fill>
      <patternFill patternType="solid">
        <fgColor rgb="FF000000"/>
        <bgColor rgb="FF000000"/>
      </patternFill>
    </fill>
    <fill>
      <patternFill patternType="solid">
        <fgColor rgb="FFF2F2F2"/>
        <bgColor rgb="FF000000"/>
      </patternFill>
    </fill>
    <fill>
      <patternFill patternType="solid">
        <fgColor rgb="FFC5D9F1"/>
        <bgColor indexed="64"/>
      </patternFill>
    </fill>
    <fill>
      <patternFill patternType="solid">
        <fgColor theme="0" tint="-0.499984740745262"/>
        <bgColor indexed="64"/>
      </patternFill>
    </fill>
    <fill>
      <patternFill patternType="solid">
        <fgColor theme="3"/>
        <bgColor indexed="64"/>
      </patternFill>
    </fill>
    <fill>
      <patternFill patternType="solid">
        <fgColor theme="9" tint="-0.249977111117893"/>
        <bgColor indexed="64"/>
      </patternFill>
    </fill>
    <fill>
      <patternFill patternType="solid">
        <fgColor theme="4" tint="-0.249977111117893"/>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7"/>
      </patternFill>
    </fill>
    <fill>
      <patternFill patternType="solid">
        <fgColor theme="8"/>
      </patternFill>
    </fill>
    <fill>
      <patternFill patternType="solid">
        <fgColor theme="1" tint="4.9989318521683403E-2"/>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0" tint="-0.249977111117893"/>
        <bgColor rgb="FF000000"/>
      </patternFill>
    </fill>
    <fill>
      <patternFill patternType="solid">
        <fgColor theme="0" tint="-0.249977111117893"/>
        <bgColor indexed="64"/>
      </patternFill>
    </fill>
    <fill>
      <patternFill patternType="solid">
        <fgColor theme="4" tint="0.39997558519241921"/>
        <bgColor indexed="64"/>
      </patternFill>
    </fill>
    <fill>
      <patternFill patternType="solid">
        <fgColor theme="5"/>
        <bgColor indexed="64"/>
      </patternFill>
    </fill>
    <fill>
      <patternFill patternType="solid">
        <fgColor theme="4" tint="0.79998168889431442"/>
        <bgColor indexed="65"/>
      </patternFill>
    </fill>
    <fill>
      <patternFill patternType="solid">
        <fgColor theme="6"/>
      </patternFill>
    </fill>
    <fill>
      <patternFill patternType="solid">
        <fgColor theme="7" tint="0.59999389629810485"/>
        <bgColor indexed="65"/>
      </patternFill>
    </fill>
  </fills>
  <borders count="86">
    <border>
      <left/>
      <right/>
      <top/>
      <bottom/>
      <diagonal/>
    </border>
    <border>
      <left style="medium">
        <color indexed="64"/>
      </left>
      <right style="medium">
        <color indexed="64"/>
      </right>
      <top/>
      <bottom/>
      <diagonal/>
    </border>
    <border>
      <left/>
      <right/>
      <top style="thin">
        <color indexed="64"/>
      </top>
      <bottom/>
      <diagonal/>
    </border>
    <border>
      <left/>
      <right/>
      <top/>
      <bottom style="thin">
        <color indexed="64"/>
      </bottom>
      <diagonal/>
    </border>
    <border>
      <left/>
      <right style="medium">
        <color indexed="64"/>
      </right>
      <top/>
      <bottom style="thin">
        <color indexed="64"/>
      </bottom>
      <diagonal/>
    </border>
    <border>
      <left/>
      <right style="medium">
        <color indexed="64"/>
      </right>
      <top style="thin">
        <color indexed="64"/>
      </top>
      <bottom/>
      <diagonal/>
    </border>
    <border>
      <left/>
      <right/>
      <top style="medium">
        <color indexed="64"/>
      </top>
      <bottom style="medium">
        <color indexed="64"/>
      </bottom>
      <diagonal/>
    </border>
    <border>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right style="thin">
        <color indexed="64"/>
      </right>
      <top style="thin">
        <color indexed="64"/>
      </top>
      <bottom style="thin">
        <color indexed="64"/>
      </bottom>
      <diagonal/>
    </border>
    <border>
      <left/>
      <right/>
      <top/>
      <bottom style="medium">
        <color theme="4" tint="0.39997558519241921"/>
      </bottom>
      <diagonal/>
    </border>
    <border>
      <left style="medium">
        <color indexed="64"/>
      </left>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thin">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bottom/>
      <diagonal/>
    </border>
    <border>
      <left style="medium">
        <color indexed="64"/>
      </left>
      <right/>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style="medium">
        <color indexed="64"/>
      </left>
      <right style="thin">
        <color indexed="64"/>
      </right>
      <top/>
      <bottom/>
      <diagonal/>
    </border>
    <border>
      <left style="thin">
        <color indexed="64"/>
      </left>
      <right style="medium">
        <color indexed="64"/>
      </right>
      <top/>
      <bottom/>
      <diagonal/>
    </border>
    <border>
      <left/>
      <right style="thin">
        <color indexed="64"/>
      </right>
      <top/>
      <bottom/>
      <diagonal/>
    </border>
    <border>
      <left style="thin">
        <color indexed="64"/>
      </left>
      <right/>
      <top style="medium">
        <color indexed="64"/>
      </top>
      <bottom style="medium">
        <color indexed="64"/>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rgb="FFB0B0B0"/>
      </left>
      <right style="thin">
        <color rgb="FFB0B0B0"/>
      </right>
      <top style="thin">
        <color rgb="FFB0B0B0"/>
      </top>
      <bottom style="thin">
        <color rgb="FFB0B0B0"/>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diagonal/>
    </border>
    <border>
      <left style="thin">
        <color rgb="FF000000"/>
      </left>
      <right style="medium">
        <color indexed="64"/>
      </right>
      <top style="medium">
        <color indexed="64"/>
      </top>
      <bottom/>
      <diagonal/>
    </border>
    <border>
      <left style="medium">
        <color indexed="64"/>
      </left>
      <right style="thin">
        <color indexed="64"/>
      </right>
      <top/>
      <bottom style="medium">
        <color indexed="64"/>
      </bottom>
      <diagonal/>
    </border>
    <border>
      <left/>
      <right style="thin">
        <color indexed="64"/>
      </right>
      <top style="medium">
        <color indexed="64"/>
      </top>
      <bottom style="medium">
        <color indexed="64"/>
      </bottom>
      <diagonal/>
    </border>
    <border>
      <left/>
      <right/>
      <top/>
      <bottom style="thin">
        <color rgb="FF7F7F7F"/>
      </bottom>
      <diagonal/>
    </border>
    <border>
      <left/>
      <right style="thin">
        <color indexed="64"/>
      </right>
      <top style="medium">
        <color indexed="64"/>
      </top>
      <bottom/>
      <diagonal/>
    </border>
    <border>
      <left style="thin">
        <color rgb="FF7F7F7F"/>
      </left>
      <right style="thin">
        <color rgb="FF7F7F7F"/>
      </right>
      <top style="thin">
        <color rgb="FF7F7F7F"/>
      </top>
      <bottom/>
      <diagonal/>
    </border>
  </borders>
  <cellStyleXfs count="122">
    <xf numFmtId="0" fontId="0" fillId="0" borderId="0"/>
    <xf numFmtId="0" fontId="4" fillId="0" borderId="0"/>
    <xf numFmtId="164"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164" fontId="4" fillId="0" borderId="0" applyFont="0" applyFill="0" applyBorder="0" applyAlignment="0" applyProtection="0"/>
    <xf numFmtId="0" fontId="3" fillId="0" borderId="0"/>
    <xf numFmtId="164" fontId="3" fillId="0" borderId="0" applyFont="0" applyFill="0" applyBorder="0" applyAlignment="0" applyProtection="0"/>
    <xf numFmtId="0" fontId="3" fillId="0" borderId="0"/>
    <xf numFmtId="164" fontId="3" fillId="0" borderId="0" applyFont="0" applyFill="0" applyBorder="0" applyAlignment="0" applyProtection="0"/>
    <xf numFmtId="0" fontId="3" fillId="0" borderId="0"/>
    <xf numFmtId="164" fontId="3" fillId="0" borderId="0" applyFont="0" applyFill="0" applyBorder="0" applyAlignment="0" applyProtection="0"/>
    <xf numFmtId="0" fontId="2" fillId="0" borderId="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1" fillId="0" borderId="0"/>
    <xf numFmtId="164" fontId="1" fillId="0" borderId="0" applyFont="0" applyFill="0" applyBorder="0" applyAlignment="0" applyProtection="0"/>
    <xf numFmtId="0" fontId="11" fillId="0" borderId="0"/>
    <xf numFmtId="0" fontId="12" fillId="0" borderId="0"/>
    <xf numFmtId="0" fontId="13" fillId="0" borderId="0" applyNumberFormat="0" applyFill="0" applyAlignment="0" applyProtection="0"/>
    <xf numFmtId="0" fontId="15" fillId="0" borderId="0"/>
    <xf numFmtId="37" fontId="14" fillId="0" borderId="0" applyFont="0" applyFill="0" applyBorder="0" applyProtection="0">
      <alignment horizontal="center" vertical="center"/>
    </xf>
    <xf numFmtId="14" fontId="14" fillId="0" borderId="0" applyFont="0" applyFill="0" applyBorder="0">
      <alignment horizontal="center" vertical="center"/>
    </xf>
    <xf numFmtId="9" fontId="14" fillId="0" borderId="0" applyFont="0" applyFill="0" applyBorder="0" applyProtection="0">
      <alignment horizontal="center" vertical="center"/>
    </xf>
    <xf numFmtId="0" fontId="14" fillId="0" borderId="0" applyNumberFormat="0" applyFill="0" applyProtection="0">
      <alignment horizontal="right" vertical="center" indent="1"/>
    </xf>
    <xf numFmtId="0" fontId="16" fillId="0" borderId="0" applyNumberFormat="0" applyFill="0" applyBorder="0" applyAlignment="0" applyProtection="0"/>
    <xf numFmtId="0" fontId="19" fillId="0" borderId="0" applyNumberFormat="0" applyFill="0" applyBorder="0" applyAlignment="0" applyProtection="0"/>
    <xf numFmtId="0" fontId="20" fillId="9" borderId="12" applyNumberFormat="0" applyAlignment="0" applyProtection="0"/>
    <xf numFmtId="0" fontId="21" fillId="8" borderId="0" applyNumberFormat="0" applyBorder="0" applyAlignment="0" applyProtection="0"/>
    <xf numFmtId="0" fontId="23" fillId="9" borderId="12" applyNumberFormat="0" applyAlignment="0" applyProtection="0"/>
    <xf numFmtId="0" fontId="24" fillId="0" borderId="14" applyNumberFormat="0" applyFill="0" applyAlignment="0" applyProtection="0"/>
    <xf numFmtId="0" fontId="14" fillId="10" borderId="0" applyNumberFormat="0" applyBorder="0" applyAlignment="0" applyProtection="0"/>
    <xf numFmtId="0" fontId="14" fillId="11" borderId="0" applyNumberFormat="0" applyBorder="0" applyAlignment="0" applyProtection="0"/>
    <xf numFmtId="0" fontId="14" fillId="12" borderId="0" applyNumberFormat="0" applyBorder="0" applyAlignment="0" applyProtection="0"/>
    <xf numFmtId="0" fontId="14" fillId="13" borderId="0" applyNumberFormat="0" applyBorder="0" applyAlignment="0" applyProtection="0"/>
    <xf numFmtId="0" fontId="36" fillId="30" borderId="0" applyNumberFormat="0" applyBorder="0" applyAlignment="0" applyProtection="0"/>
    <xf numFmtId="9" fontId="14" fillId="0" borderId="0" applyFont="0" applyFill="0" applyBorder="0" applyAlignment="0" applyProtection="0"/>
    <xf numFmtId="0" fontId="14" fillId="36" borderId="0" applyNumberFormat="0" applyBorder="0" applyAlignment="0" applyProtection="0"/>
    <xf numFmtId="0" fontId="14" fillId="37" borderId="0" applyNumberFormat="0" applyBorder="0" applyAlignment="0" applyProtection="0"/>
    <xf numFmtId="0" fontId="15" fillId="41" borderId="0" applyNumberFormat="0" applyBorder="0" applyAlignment="0" applyProtection="0"/>
    <xf numFmtId="0" fontId="46" fillId="8" borderId="0" applyNumberFormat="0" applyBorder="0" applyAlignment="0" applyProtection="0"/>
    <xf numFmtId="0" fontId="53" fillId="0" borderId="36" applyNumberForma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58" borderId="0" applyNumberFormat="0" applyBorder="0" applyAlignment="0" applyProtection="0"/>
    <xf numFmtId="0" fontId="15" fillId="59" borderId="0" applyNumberFormat="0" applyBorder="0" applyAlignment="0" applyProtection="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14" fillId="67" borderId="0" applyNumberFormat="0" applyBorder="0" applyAlignment="0" applyProtection="0"/>
    <xf numFmtId="0" fontId="15" fillId="68" borderId="0" applyNumberFormat="0" applyBorder="0" applyAlignment="0" applyProtection="0"/>
    <xf numFmtId="0" fontId="76" fillId="0" borderId="0" applyNumberFormat="0" applyFill="0" applyBorder="0" applyAlignment="0" applyProtection="0"/>
    <xf numFmtId="0" fontId="14" fillId="69" borderId="0" applyNumberFormat="0" applyBorder="0" applyAlignment="0" applyProtection="0"/>
  </cellStyleXfs>
  <cellXfs count="1285">
    <xf numFmtId="0" fontId="0" fillId="0" borderId="0" xfId="0"/>
    <xf numFmtId="0" fontId="7" fillId="0" borderId="0" xfId="0" applyFont="1" applyAlignment="1">
      <alignment vertical="center"/>
    </xf>
    <xf numFmtId="0" fontId="0" fillId="0" borderId="0" xfId="0" applyAlignment="1">
      <alignment vertical="center"/>
    </xf>
    <xf numFmtId="0" fontId="0" fillId="0" borderId="0" xfId="0" applyAlignment="1">
      <alignment vertical="center" wrapText="1"/>
    </xf>
    <xf numFmtId="0" fontId="0" fillId="0" borderId="0" xfId="0" applyAlignment="1">
      <alignment wrapText="1"/>
    </xf>
    <xf numFmtId="0" fontId="5" fillId="0" borderId="0" xfId="0" applyFont="1" applyAlignment="1">
      <alignment horizontal="center" vertical="center"/>
    </xf>
    <xf numFmtId="0" fontId="0" fillId="0" borderId="0" xfId="0" applyAlignment="1">
      <alignment horizontal="left" vertical="center"/>
    </xf>
    <xf numFmtId="0" fontId="7" fillId="0" borderId="0" xfId="0" applyFont="1" applyAlignment="1">
      <alignment horizontal="left" vertical="center"/>
    </xf>
    <xf numFmtId="0" fontId="0" fillId="0" borderId="0" xfId="0" applyAlignment="1">
      <alignment horizontal="center" vertical="center"/>
    </xf>
    <xf numFmtId="0" fontId="7" fillId="0" borderId="9" xfId="0" applyFont="1" applyBorder="1" applyAlignment="1">
      <alignment horizontal="left" vertical="center"/>
    </xf>
    <xf numFmtId="0" fontId="7" fillId="0" borderId="9" xfId="0" applyFont="1" applyBorder="1" applyAlignment="1">
      <alignment vertical="center"/>
    </xf>
    <xf numFmtId="0" fontId="7" fillId="0" borderId="24" xfId="0" applyFont="1" applyBorder="1" applyAlignment="1">
      <alignment horizontal="left" vertical="center"/>
    </xf>
    <xf numFmtId="0" fontId="7" fillId="0" borderId="29" xfId="0" applyFont="1" applyBorder="1" applyAlignment="1">
      <alignment horizontal="left" vertical="center"/>
    </xf>
    <xf numFmtId="0" fontId="7" fillId="0" borderId="24" xfId="0" applyFont="1" applyBorder="1" applyAlignment="1">
      <alignment vertical="center"/>
    </xf>
    <xf numFmtId="0" fontId="7" fillId="0" borderId="29" xfId="0" applyFont="1" applyBorder="1" applyAlignment="1">
      <alignment vertical="center"/>
    </xf>
    <xf numFmtId="0" fontId="7" fillId="0" borderId="16" xfId="0" applyFont="1" applyBorder="1" applyAlignment="1">
      <alignment vertical="center"/>
    </xf>
    <xf numFmtId="0" fontId="0" fillId="0" borderId="0" xfId="0" applyAlignment="1">
      <alignment horizontal="left"/>
    </xf>
    <xf numFmtId="0" fontId="10" fillId="0" borderId="0" xfId="0" applyFont="1"/>
    <xf numFmtId="0" fontId="5" fillId="0" borderId="0" xfId="0" applyFont="1" applyAlignment="1">
      <alignment vertical="center" wrapText="1"/>
    </xf>
    <xf numFmtId="0" fontId="0" fillId="0" borderId="0" xfId="0" applyAlignment="1">
      <alignment horizontal="center" vertical="center" wrapText="1"/>
    </xf>
    <xf numFmtId="0" fontId="7" fillId="0" borderId="0" xfId="0" applyFont="1" applyAlignment="1">
      <alignment horizontal="center" vertical="center" wrapText="1"/>
    </xf>
    <xf numFmtId="0" fontId="7" fillId="0" borderId="0" xfId="0" applyFont="1" applyAlignment="1">
      <alignment vertical="center" wrapText="1"/>
    </xf>
    <xf numFmtId="0" fontId="7" fillId="15" borderId="38" xfId="41" applyFont="1" applyFill="1" applyBorder="1" applyAlignment="1">
      <alignment horizontal="left" vertical="center" wrapText="1"/>
    </xf>
    <xf numFmtId="0" fontId="7" fillId="15" borderId="36" xfId="41" applyFont="1" applyFill="1" applyBorder="1" applyAlignment="1">
      <alignment horizontal="left" vertical="center" wrapText="1"/>
    </xf>
    <xf numFmtId="0" fontId="7" fillId="15" borderId="37" xfId="41" applyFont="1" applyFill="1" applyBorder="1" applyAlignment="1">
      <alignment horizontal="left" vertical="center" wrapText="1"/>
    </xf>
    <xf numFmtId="0" fontId="5" fillId="0" borderId="0" xfId="0" applyFont="1" applyAlignment="1">
      <alignment horizontal="left" vertical="center"/>
    </xf>
    <xf numFmtId="0" fontId="6" fillId="0" borderId="0" xfId="0" applyFont="1" applyAlignment="1">
      <alignment horizontal="left" vertical="center"/>
    </xf>
    <xf numFmtId="0" fontId="9" fillId="0" borderId="0" xfId="0" applyFont="1" applyAlignment="1">
      <alignment horizontal="left" vertical="center"/>
    </xf>
    <xf numFmtId="0" fontId="7" fillId="0" borderId="23" xfId="0" applyFont="1" applyBorder="1" applyAlignment="1">
      <alignment horizontal="left" vertical="center"/>
    </xf>
    <xf numFmtId="0" fontId="7" fillId="0" borderId="26" xfId="0" applyFont="1" applyBorder="1" applyAlignment="1">
      <alignment horizontal="left" vertical="center"/>
    </xf>
    <xf numFmtId="0" fontId="7" fillId="0" borderId="28" xfId="0" applyFont="1" applyBorder="1" applyAlignment="1">
      <alignment horizontal="left" vertical="center"/>
    </xf>
    <xf numFmtId="49" fontId="7" fillId="0" borderId="0" xfId="0" applyNumberFormat="1" applyFont="1" applyAlignment="1">
      <alignment horizontal="left" vertical="center"/>
    </xf>
    <xf numFmtId="0" fontId="5" fillId="2" borderId="40" xfId="0" applyFont="1" applyFill="1" applyBorder="1" applyAlignment="1">
      <alignment horizontal="left" vertical="center"/>
    </xf>
    <xf numFmtId="0" fontId="7" fillId="0" borderId="35" xfId="0" applyFont="1" applyBorder="1" applyAlignment="1">
      <alignment horizontal="left" vertical="center"/>
    </xf>
    <xf numFmtId="0" fontId="7" fillId="0" borderId="36" xfId="0" applyFont="1" applyBorder="1" applyAlignment="1">
      <alignment horizontal="left" vertical="center"/>
    </xf>
    <xf numFmtId="0" fontId="7" fillId="0" borderId="37" xfId="0" applyFont="1" applyBorder="1" applyAlignment="1">
      <alignment horizontal="left" vertical="center"/>
    </xf>
    <xf numFmtId="0" fontId="0" fillId="0" borderId="35" xfId="0" applyBorder="1" applyAlignment="1">
      <alignment horizontal="left" vertical="center"/>
    </xf>
    <xf numFmtId="0" fontId="0" fillId="0" borderId="36" xfId="0" applyBorder="1" applyAlignment="1">
      <alignment horizontal="left" vertical="center"/>
    </xf>
    <xf numFmtId="0" fontId="0" fillId="0" borderId="37" xfId="0" applyBorder="1" applyAlignment="1">
      <alignment horizontal="left" vertical="center"/>
    </xf>
    <xf numFmtId="0" fontId="7" fillId="0" borderId="20" xfId="0" applyFont="1" applyBorder="1" applyAlignment="1">
      <alignment horizontal="left" vertical="center"/>
    </xf>
    <xf numFmtId="0" fontId="7" fillId="0" borderId="7" xfId="0" applyFont="1" applyBorder="1" applyAlignment="1">
      <alignment horizontal="left" vertical="center"/>
    </xf>
    <xf numFmtId="0" fontId="7" fillId="0" borderId="48" xfId="0" applyFont="1" applyBorder="1" applyAlignment="1">
      <alignment horizontal="left" vertical="center"/>
    </xf>
    <xf numFmtId="0" fontId="7" fillId="0" borderId="25" xfId="0" applyFont="1" applyBorder="1" applyAlignment="1">
      <alignment horizontal="left" vertical="center"/>
    </xf>
    <xf numFmtId="0" fontId="7" fillId="0" borderId="27" xfId="0" applyFont="1" applyBorder="1" applyAlignment="1">
      <alignment horizontal="left" vertical="center"/>
    </xf>
    <xf numFmtId="0" fontId="7" fillId="0" borderId="30" xfId="0" applyFont="1" applyBorder="1" applyAlignment="1">
      <alignment horizontal="left" vertical="center"/>
    </xf>
    <xf numFmtId="0" fontId="6" fillId="3" borderId="45" xfId="0" applyFont="1" applyFill="1" applyBorder="1" applyAlignment="1">
      <alignment horizontal="left" vertical="center"/>
    </xf>
    <xf numFmtId="0" fontId="6" fillId="3" borderId="47" xfId="0" applyFont="1" applyFill="1" applyBorder="1" applyAlignment="1">
      <alignment horizontal="left" vertical="center"/>
    </xf>
    <xf numFmtId="0" fontId="6" fillId="3" borderId="46" xfId="0" applyFont="1" applyFill="1" applyBorder="1" applyAlignment="1">
      <alignment horizontal="left" vertical="center"/>
    </xf>
    <xf numFmtId="0" fontId="5" fillId="2" borderId="32" xfId="0" applyFont="1" applyFill="1" applyBorder="1" applyAlignment="1">
      <alignment horizontal="left" vertical="center"/>
    </xf>
    <xf numFmtId="49" fontId="6" fillId="16" borderId="10" xfId="0" applyNumberFormat="1" applyFont="1" applyFill="1" applyBorder="1" applyAlignment="1">
      <alignment horizontal="left" vertical="center"/>
    </xf>
    <xf numFmtId="0" fontId="6" fillId="4" borderId="32" xfId="0" applyFont="1" applyFill="1" applyBorder="1" applyAlignment="1">
      <alignment horizontal="left" vertical="center" wrapText="1"/>
    </xf>
    <xf numFmtId="49" fontId="7" fillId="0" borderId="21" xfId="0" applyNumberFormat="1" applyFont="1" applyBorder="1" applyAlignment="1">
      <alignment horizontal="left" vertical="center"/>
    </xf>
    <xf numFmtId="49" fontId="7" fillId="0" borderId="33" xfId="0" applyNumberFormat="1" applyFont="1" applyBorder="1" applyAlignment="1">
      <alignment horizontal="left" vertical="center"/>
    </xf>
    <xf numFmtId="49" fontId="7" fillId="0" borderId="34" xfId="0" applyNumberFormat="1" applyFont="1" applyBorder="1" applyAlignment="1">
      <alignment horizontal="left" vertical="center"/>
    </xf>
    <xf numFmtId="2" fontId="7" fillId="0" borderId="35" xfId="0" applyNumberFormat="1" applyFont="1" applyBorder="1" applyAlignment="1">
      <alignment horizontal="left" vertical="center"/>
    </xf>
    <xf numFmtId="2" fontId="7" fillId="0" borderId="36" xfId="0" applyNumberFormat="1" applyFont="1" applyBorder="1" applyAlignment="1">
      <alignment horizontal="left" vertical="center"/>
    </xf>
    <xf numFmtId="2" fontId="7" fillId="0" borderId="37" xfId="0" applyNumberFormat="1" applyFont="1" applyBorder="1" applyAlignment="1">
      <alignment horizontal="left" vertical="center"/>
    </xf>
    <xf numFmtId="49" fontId="26" fillId="0" borderId="0" xfId="0" applyNumberFormat="1" applyFont="1" applyAlignment="1">
      <alignment horizontal="left" vertical="center"/>
    </xf>
    <xf numFmtId="0" fontId="6" fillId="2" borderId="32" xfId="0" applyFont="1" applyFill="1" applyBorder="1" applyAlignment="1">
      <alignment horizontal="left" vertical="center"/>
    </xf>
    <xf numFmtId="0" fontId="7" fillId="0" borderId="36" xfId="0" applyFont="1" applyBorder="1" applyAlignment="1">
      <alignment horizontal="left"/>
    </xf>
    <xf numFmtId="0" fontId="7" fillId="0" borderId="38" xfId="0" applyFont="1" applyBorder="1" applyAlignment="1">
      <alignment horizontal="left" vertical="center"/>
    </xf>
    <xf numFmtId="49" fontId="7" fillId="0" borderId="5" xfId="0" applyNumberFormat="1" applyFont="1" applyBorder="1" applyAlignment="1">
      <alignment horizontal="left" vertical="center"/>
    </xf>
    <xf numFmtId="0" fontId="7" fillId="0" borderId="34" xfId="0" applyFont="1" applyBorder="1" applyAlignment="1">
      <alignment horizontal="left" vertical="center"/>
    </xf>
    <xf numFmtId="0" fontId="7" fillId="0" borderId="33" xfId="0" applyFont="1" applyBorder="1" applyAlignment="1">
      <alignment horizontal="left" vertical="center"/>
    </xf>
    <xf numFmtId="2" fontId="7" fillId="0" borderId="0" xfId="0" applyNumberFormat="1" applyFont="1" applyAlignment="1">
      <alignment horizontal="left" vertical="center"/>
    </xf>
    <xf numFmtId="0" fontId="6" fillId="2" borderId="40" xfId="0" applyFont="1" applyFill="1" applyBorder="1" applyAlignment="1">
      <alignment horizontal="left" vertical="center"/>
    </xf>
    <xf numFmtId="0" fontId="7" fillId="0" borderId="17" xfId="0" applyFont="1" applyBorder="1" applyAlignment="1">
      <alignment vertical="center"/>
    </xf>
    <xf numFmtId="0" fontId="0" fillId="0" borderId="38" xfId="0" applyBorder="1" applyAlignment="1">
      <alignment horizontal="left" vertical="center"/>
    </xf>
    <xf numFmtId="0" fontId="0" fillId="0" borderId="36" xfId="0" applyBorder="1"/>
    <xf numFmtId="0" fontId="0" fillId="0" borderId="36" xfId="0" applyBorder="1" applyAlignment="1">
      <alignment horizontal="left"/>
    </xf>
    <xf numFmtId="0" fontId="7" fillId="0" borderId="47" xfId="0" applyFont="1" applyBorder="1" applyAlignment="1">
      <alignment vertical="center"/>
    </xf>
    <xf numFmtId="0" fontId="7" fillId="0" borderId="31" xfId="0" applyFont="1" applyBorder="1" applyAlignment="1">
      <alignment vertical="center"/>
    </xf>
    <xf numFmtId="0" fontId="0" fillId="0" borderId="37" xfId="0" applyBorder="1"/>
    <xf numFmtId="0" fontId="0" fillId="17" borderId="19" xfId="0" applyFill="1" applyBorder="1"/>
    <xf numFmtId="0" fontId="0" fillId="17" borderId="50" xfId="0" applyFill="1" applyBorder="1"/>
    <xf numFmtId="0" fontId="0" fillId="17" borderId="51" xfId="0" applyFill="1" applyBorder="1"/>
    <xf numFmtId="0" fontId="0" fillId="0" borderId="0" xfId="0" applyAlignment="1">
      <alignment horizontal="left" vertical="center" wrapText="1"/>
    </xf>
    <xf numFmtId="0" fontId="0" fillId="0" borderId="38" xfId="0" applyBorder="1"/>
    <xf numFmtId="0" fontId="7" fillId="0" borderId="0" xfId="0" applyFont="1" applyAlignment="1">
      <alignment horizontal="left" vertical="center" wrapText="1"/>
    </xf>
    <xf numFmtId="0" fontId="10" fillId="0" borderId="32" xfId="0" applyFont="1" applyBorder="1" applyAlignment="1">
      <alignment horizontal="left" vertical="center"/>
    </xf>
    <xf numFmtId="0" fontId="10" fillId="0" borderId="39" xfId="0" applyFont="1" applyBorder="1" applyAlignment="1">
      <alignment horizontal="left" vertical="center"/>
    </xf>
    <xf numFmtId="0" fontId="0" fillId="0" borderId="4" xfId="0" applyBorder="1" applyAlignment="1">
      <alignment horizontal="left" vertical="center"/>
    </xf>
    <xf numFmtId="0" fontId="0" fillId="0" borderId="33" xfId="0" applyBorder="1" applyAlignment="1">
      <alignment horizontal="left" vertical="center"/>
    </xf>
    <xf numFmtId="0" fontId="0" fillId="0" borderId="34" xfId="0" applyBorder="1" applyAlignment="1">
      <alignment horizontal="left" vertical="center"/>
    </xf>
    <xf numFmtId="0" fontId="5" fillId="7" borderId="39" xfId="0" applyFont="1" applyFill="1" applyBorder="1" applyAlignment="1">
      <alignment horizontal="left" vertical="center"/>
    </xf>
    <xf numFmtId="0" fontId="0" fillId="0" borderId="32" xfId="0" applyBorder="1" applyAlignment="1">
      <alignment horizontal="left" vertical="center"/>
    </xf>
    <xf numFmtId="0" fontId="5" fillId="7" borderId="32" xfId="0" applyFont="1" applyFill="1" applyBorder="1" applyAlignment="1">
      <alignment horizontal="left" vertical="center"/>
    </xf>
    <xf numFmtId="0" fontId="10" fillId="0" borderId="32" xfId="0" applyFont="1" applyBorder="1" applyAlignment="1">
      <alignment horizontal="left"/>
    </xf>
    <xf numFmtId="0" fontId="0" fillId="0" borderId="38" xfId="0" applyBorder="1" applyAlignment="1">
      <alignment horizontal="left"/>
    </xf>
    <xf numFmtId="0" fontId="0" fillId="0" borderId="37" xfId="0" applyBorder="1" applyAlignment="1">
      <alignment horizontal="left"/>
    </xf>
    <xf numFmtId="0" fontId="0" fillId="0" borderId="32" xfId="0" applyBorder="1" applyAlignment="1">
      <alignment horizontal="left"/>
    </xf>
    <xf numFmtId="0" fontId="5" fillId="2" borderId="39" xfId="0" applyFont="1" applyFill="1" applyBorder="1" applyAlignment="1">
      <alignment horizontal="left" vertical="center"/>
    </xf>
    <xf numFmtId="0" fontId="0" fillId="0" borderId="39" xfId="0" applyBorder="1" applyAlignment="1">
      <alignment horizontal="left"/>
    </xf>
    <xf numFmtId="0" fontId="17" fillId="20" borderId="0" xfId="0" applyFont="1" applyFill="1" applyAlignment="1">
      <alignment horizontal="left" vertical="center"/>
    </xf>
    <xf numFmtId="0" fontId="5" fillId="4" borderId="32" xfId="0" applyFont="1" applyFill="1" applyBorder="1" applyAlignment="1">
      <alignment horizontal="left" vertical="center" wrapText="1"/>
    </xf>
    <xf numFmtId="0" fontId="0" fillId="0" borderId="35" xfId="0" applyBorder="1"/>
    <xf numFmtId="0" fontId="0" fillId="0" borderId="19" xfId="0" applyBorder="1"/>
    <xf numFmtId="0" fontId="0" fillId="0" borderId="50" xfId="0" applyBorder="1"/>
    <xf numFmtId="0" fontId="0" fillId="0" borderId="51" xfId="0" applyBorder="1"/>
    <xf numFmtId="0" fontId="0" fillId="0" borderId="21" xfId="0" applyBorder="1"/>
    <xf numFmtId="0" fontId="0" fillId="0" borderId="33" xfId="0" applyBorder="1"/>
    <xf numFmtId="0" fontId="0" fillId="0" borderId="35" xfId="0" applyBorder="1" applyAlignment="1">
      <alignment horizontal="left"/>
    </xf>
    <xf numFmtId="0" fontId="6" fillId="21" borderId="40" xfId="0" applyFont="1" applyFill="1" applyBorder="1" applyAlignment="1">
      <alignment horizontal="left" vertical="center" wrapText="1"/>
    </xf>
    <xf numFmtId="0" fontId="0" fillId="22" borderId="35" xfId="0" applyFill="1" applyBorder="1" applyAlignment="1">
      <alignment horizontal="left" vertical="center" wrapText="1"/>
    </xf>
    <xf numFmtId="0" fontId="0" fillId="22" borderId="36" xfId="0" applyFill="1" applyBorder="1" applyAlignment="1">
      <alignment horizontal="left" vertical="center" wrapText="1"/>
    </xf>
    <xf numFmtId="0" fontId="0" fillId="22" borderId="37" xfId="0" applyFill="1" applyBorder="1" applyAlignment="1">
      <alignment horizontal="left" vertical="center" wrapText="1"/>
    </xf>
    <xf numFmtId="2" fontId="0" fillId="0" borderId="0" xfId="0" applyNumberFormat="1" applyAlignment="1">
      <alignment horizontal="left" vertical="center"/>
    </xf>
    <xf numFmtId="0" fontId="6" fillId="2" borderId="18" xfId="0" applyFont="1" applyFill="1" applyBorder="1" applyAlignment="1">
      <alignment horizontal="left" vertical="center"/>
    </xf>
    <xf numFmtId="0" fontId="6" fillId="6" borderId="40" xfId="0" applyFont="1" applyFill="1" applyBorder="1" applyAlignment="1">
      <alignment horizontal="left" vertical="center"/>
    </xf>
    <xf numFmtId="0" fontId="6" fillId="6" borderId="18" xfId="0" applyFont="1" applyFill="1" applyBorder="1" applyAlignment="1">
      <alignment horizontal="left" vertical="center"/>
    </xf>
    <xf numFmtId="0" fontId="6" fillId="6" borderId="52" xfId="0" applyFont="1" applyFill="1" applyBorder="1" applyAlignment="1">
      <alignment horizontal="left" vertical="center"/>
    </xf>
    <xf numFmtId="0" fontId="6" fillId="3" borderId="55" xfId="0" applyFont="1" applyFill="1" applyBorder="1" applyAlignment="1">
      <alignment horizontal="left" vertical="center"/>
    </xf>
    <xf numFmtId="0" fontId="6" fillId="3" borderId="56" xfId="0" applyFont="1" applyFill="1" applyBorder="1" applyAlignment="1">
      <alignment horizontal="left" vertical="center"/>
    </xf>
    <xf numFmtId="0" fontId="6" fillId="3" borderId="54" xfId="0" applyFont="1" applyFill="1" applyBorder="1" applyAlignment="1">
      <alignment horizontal="left" vertical="center"/>
    </xf>
    <xf numFmtId="2" fontId="6" fillId="4" borderId="40" xfId="0" applyNumberFormat="1" applyFont="1" applyFill="1" applyBorder="1" applyAlignment="1">
      <alignment horizontal="center" vertical="center"/>
    </xf>
    <xf numFmtId="0" fontId="6" fillId="16" borderId="52" xfId="0" applyFont="1" applyFill="1" applyBorder="1" applyAlignment="1">
      <alignment horizontal="left" vertical="center"/>
    </xf>
    <xf numFmtId="1" fontId="0" fillId="0" borderId="9" xfId="0" applyNumberFormat="1" applyBorder="1" applyAlignment="1">
      <alignment horizontal="left" vertical="center"/>
    </xf>
    <xf numFmtId="0" fontId="0" fillId="0" borderId="9" xfId="0" applyBorder="1" applyAlignment="1">
      <alignment horizontal="left" vertical="center"/>
    </xf>
    <xf numFmtId="0" fontId="7" fillId="0" borderId="17" xfId="0" applyFont="1" applyBorder="1" applyAlignment="1">
      <alignment horizontal="left" vertical="center"/>
    </xf>
    <xf numFmtId="0" fontId="7" fillId="0" borderId="16" xfId="0" applyFont="1" applyBorder="1" applyAlignment="1">
      <alignment horizontal="left" vertical="center"/>
    </xf>
    <xf numFmtId="167" fontId="7" fillId="0" borderId="0" xfId="0" applyNumberFormat="1" applyFont="1" applyAlignment="1">
      <alignment horizontal="left" vertical="center"/>
    </xf>
    <xf numFmtId="0" fontId="7" fillId="0" borderId="53" xfId="0" applyFont="1" applyBorder="1" applyAlignment="1">
      <alignment horizontal="left" vertical="center"/>
    </xf>
    <xf numFmtId="0" fontId="7" fillId="0" borderId="13" xfId="0" applyFont="1" applyBorder="1" applyAlignment="1">
      <alignment horizontal="left" vertical="center"/>
    </xf>
    <xf numFmtId="0" fontId="7" fillId="0" borderId="11" xfId="0" applyFont="1" applyBorder="1" applyAlignment="1">
      <alignment horizontal="left" vertical="center"/>
    </xf>
    <xf numFmtId="0" fontId="7" fillId="0" borderId="10" xfId="0" applyFont="1" applyBorder="1" applyAlignment="1">
      <alignment horizontal="left" vertical="center"/>
    </xf>
    <xf numFmtId="167" fontId="6" fillId="6" borderId="32" xfId="0" applyNumberFormat="1" applyFont="1" applyFill="1" applyBorder="1" applyAlignment="1">
      <alignment horizontal="left" vertical="center"/>
    </xf>
    <xf numFmtId="0" fontId="0" fillId="0" borderId="17" xfId="0" applyBorder="1" applyAlignment="1">
      <alignment horizontal="left" vertical="center"/>
    </xf>
    <xf numFmtId="0" fontId="5" fillId="0" borderId="9" xfId="0" applyFont="1" applyBorder="1" applyAlignment="1">
      <alignment horizontal="left" vertical="center"/>
    </xf>
    <xf numFmtId="165" fontId="0" fillId="0" borderId="9" xfId="0" applyNumberFormat="1" applyBorder="1" applyAlignment="1">
      <alignment horizontal="left" vertical="center"/>
    </xf>
    <xf numFmtId="0" fontId="5" fillId="0" borderId="17" xfId="0" applyFont="1" applyBorder="1" applyAlignment="1">
      <alignment horizontal="left" vertical="center"/>
    </xf>
    <xf numFmtId="2" fontId="0" fillId="0" borderId="9" xfId="0" applyNumberFormat="1" applyBorder="1" applyAlignment="1">
      <alignment horizontal="left" vertical="center"/>
    </xf>
    <xf numFmtId="0" fontId="33" fillId="0" borderId="0" xfId="0" applyFont="1" applyAlignment="1">
      <alignment horizontal="left" vertical="center"/>
    </xf>
    <xf numFmtId="1" fontId="5" fillId="0" borderId="9" xfId="0" applyNumberFormat="1" applyFont="1" applyBorder="1" applyAlignment="1">
      <alignment horizontal="left" vertical="center"/>
    </xf>
    <xf numFmtId="165" fontId="5" fillId="0" borderId="9" xfId="0" applyNumberFormat="1" applyFont="1" applyBorder="1" applyAlignment="1">
      <alignment horizontal="left" vertical="center"/>
    </xf>
    <xf numFmtId="1" fontId="5" fillId="0" borderId="0" xfId="0" applyNumberFormat="1" applyFont="1" applyAlignment="1">
      <alignment horizontal="left" vertical="center"/>
    </xf>
    <xf numFmtId="165" fontId="5" fillId="0" borderId="0" xfId="0" applyNumberFormat="1" applyFont="1" applyAlignment="1">
      <alignment horizontal="left" vertical="center"/>
    </xf>
    <xf numFmtId="2" fontId="0" fillId="25" borderId="9" xfId="0" applyNumberFormat="1" applyFill="1" applyBorder="1" applyAlignment="1">
      <alignment horizontal="left" vertical="center"/>
    </xf>
    <xf numFmtId="2" fontId="5" fillId="0" borderId="9" xfId="0" applyNumberFormat="1" applyFont="1" applyBorder="1" applyAlignment="1">
      <alignment horizontal="left" vertical="center"/>
    </xf>
    <xf numFmtId="0" fontId="5" fillId="26" borderId="9" xfId="0" applyFont="1" applyFill="1" applyBorder="1" applyAlignment="1">
      <alignment horizontal="left" vertical="center"/>
    </xf>
    <xf numFmtId="0" fontId="5" fillId="27" borderId="17" xfId="0" applyFont="1" applyFill="1" applyBorder="1" applyAlignment="1">
      <alignment horizontal="left" vertical="center"/>
    </xf>
    <xf numFmtId="0" fontId="5" fillId="27" borderId="9" xfId="0" applyFont="1" applyFill="1" applyBorder="1" applyAlignment="1">
      <alignment horizontal="left" vertical="center"/>
    </xf>
    <xf numFmtId="0" fontId="5" fillId="27" borderId="17" xfId="0" applyFont="1" applyFill="1" applyBorder="1" applyAlignment="1">
      <alignment vertical="center"/>
    </xf>
    <xf numFmtId="0" fontId="0" fillId="26" borderId="9" xfId="0" applyFill="1" applyBorder="1" applyAlignment="1">
      <alignment horizontal="left" vertical="center"/>
    </xf>
    <xf numFmtId="0" fontId="7" fillId="26" borderId="9" xfId="0" applyFont="1" applyFill="1" applyBorder="1" applyAlignment="1">
      <alignment horizontal="left" vertical="center"/>
    </xf>
    <xf numFmtId="0" fontId="6" fillId="2" borderId="42" xfId="0" applyFont="1" applyFill="1" applyBorder="1" applyAlignment="1">
      <alignment horizontal="left" vertical="center"/>
    </xf>
    <xf numFmtId="0" fontId="6" fillId="2" borderId="52" xfId="0" applyFont="1" applyFill="1" applyBorder="1" applyAlignment="1">
      <alignment horizontal="left" vertical="center"/>
    </xf>
    <xf numFmtId="0" fontId="17" fillId="18" borderId="32" xfId="0" applyFont="1" applyFill="1" applyBorder="1" applyAlignment="1">
      <alignment horizontal="left" vertical="center"/>
    </xf>
    <xf numFmtId="0" fontId="7" fillId="19" borderId="35" xfId="0" applyFont="1" applyFill="1" applyBorder="1" applyAlignment="1">
      <alignment horizontal="left" vertical="center"/>
    </xf>
    <xf numFmtId="0" fontId="7" fillId="19" borderId="36" xfId="0" applyFont="1" applyFill="1" applyBorder="1" applyAlignment="1">
      <alignment horizontal="left" vertical="center"/>
    </xf>
    <xf numFmtId="0" fontId="7" fillId="0" borderId="57" xfId="0" applyFont="1" applyBorder="1" applyAlignment="1">
      <alignment horizontal="left" vertical="center"/>
    </xf>
    <xf numFmtId="0" fontId="7" fillId="0" borderId="19" xfId="0" applyFont="1" applyBorder="1" applyAlignment="1">
      <alignment horizontal="left" vertical="center"/>
    </xf>
    <xf numFmtId="0" fontId="7" fillId="0" borderId="50" xfId="0" applyFont="1" applyBorder="1" applyAlignment="1">
      <alignment horizontal="left" vertical="center"/>
    </xf>
    <xf numFmtId="0" fontId="7" fillId="0" borderId="51" xfId="0" applyFont="1" applyBorder="1" applyAlignment="1">
      <alignment horizontal="left" vertical="center"/>
    </xf>
    <xf numFmtId="0" fontId="7" fillId="0" borderId="2" xfId="0" applyFont="1" applyBorder="1" applyAlignment="1">
      <alignment horizontal="left" vertical="center"/>
    </xf>
    <xf numFmtId="0" fontId="7" fillId="0" borderId="68" xfId="0" applyFont="1" applyBorder="1" applyAlignment="1">
      <alignment horizontal="left" vertical="center"/>
    </xf>
    <xf numFmtId="0" fontId="7" fillId="0" borderId="69" xfId="0" applyFont="1" applyBorder="1" applyAlignment="1">
      <alignment horizontal="left" vertical="center"/>
    </xf>
    <xf numFmtId="2" fontId="7" fillId="0" borderId="57" xfId="0" applyNumberFormat="1" applyFont="1" applyBorder="1" applyAlignment="1">
      <alignment horizontal="left" vertical="center"/>
    </xf>
    <xf numFmtId="2" fontId="7" fillId="0" borderId="38" xfId="0" applyNumberFormat="1" applyFont="1" applyBorder="1" applyAlignment="1">
      <alignment horizontal="left" vertical="center"/>
    </xf>
    <xf numFmtId="2" fontId="7" fillId="0" borderId="25" xfId="0" applyNumberFormat="1" applyFont="1" applyBorder="1" applyAlignment="1">
      <alignment horizontal="left" vertical="center"/>
    </xf>
    <xf numFmtId="2" fontId="7" fillId="0" borderId="27" xfId="0" applyNumberFormat="1" applyFont="1" applyBorder="1" applyAlignment="1">
      <alignment horizontal="left" vertical="center"/>
    </xf>
    <xf numFmtId="2" fontId="7" fillId="0" borderId="30" xfId="0" applyNumberFormat="1" applyFont="1" applyBorder="1" applyAlignment="1">
      <alignment horizontal="left" vertical="center"/>
    </xf>
    <xf numFmtId="0" fontId="7" fillId="0" borderId="3" xfId="0" applyFont="1" applyBorder="1" applyAlignment="1">
      <alignment horizontal="left" vertical="center"/>
    </xf>
    <xf numFmtId="49" fontId="7" fillId="0" borderId="35" xfId="0" applyNumberFormat="1" applyFont="1" applyBorder="1" applyAlignment="1">
      <alignment horizontal="left" vertical="center"/>
    </xf>
    <xf numFmtId="49" fontId="7" fillId="0" borderId="36" xfId="0" applyNumberFormat="1" applyFont="1" applyBorder="1" applyAlignment="1">
      <alignment horizontal="left" vertical="center"/>
    </xf>
    <xf numFmtId="49" fontId="7" fillId="0" borderId="37" xfId="0" applyNumberFormat="1" applyFont="1" applyBorder="1" applyAlignment="1">
      <alignment horizontal="left" vertical="center"/>
    </xf>
    <xf numFmtId="0" fontId="7" fillId="0" borderId="32" xfId="0" applyFont="1" applyBorder="1" applyAlignment="1">
      <alignment horizontal="left" vertical="center"/>
    </xf>
    <xf numFmtId="0" fontId="7" fillId="0" borderId="6" xfId="0" applyFont="1" applyBorder="1" applyAlignment="1">
      <alignment horizontal="left" vertical="center"/>
    </xf>
    <xf numFmtId="1" fontId="7" fillId="0" borderId="20" xfId="0" applyNumberFormat="1" applyFont="1" applyBorder="1" applyAlignment="1">
      <alignment horizontal="left" vertical="center"/>
    </xf>
    <xf numFmtId="1" fontId="7" fillId="0" borderId="7" xfId="0" applyNumberFormat="1" applyFont="1" applyBorder="1" applyAlignment="1">
      <alignment horizontal="left" vertical="center"/>
    </xf>
    <xf numFmtId="1" fontId="7" fillId="0" borderId="48" xfId="0" applyNumberFormat="1" applyFont="1" applyBorder="1" applyAlignment="1">
      <alignment horizontal="left" vertical="center"/>
    </xf>
    <xf numFmtId="1" fontId="7" fillId="0" borderId="2" xfId="0" applyNumberFormat="1" applyFont="1" applyBorder="1" applyAlignment="1">
      <alignment horizontal="left" vertical="center"/>
    </xf>
    <xf numFmtId="1" fontId="7" fillId="0" borderId="50" xfId="0" applyNumberFormat="1" applyFont="1" applyBorder="1" applyAlignment="1">
      <alignment horizontal="left" vertical="center"/>
    </xf>
    <xf numFmtId="0" fontId="7" fillId="0" borderId="13" xfId="0" applyFont="1" applyBorder="1" applyAlignment="1">
      <alignment vertical="center"/>
    </xf>
    <xf numFmtId="0" fontId="7" fillId="0" borderId="11" xfId="0" applyFont="1" applyBorder="1" applyAlignment="1">
      <alignment vertical="center"/>
    </xf>
    <xf numFmtId="0" fontId="7" fillId="0" borderId="8" xfId="0" applyFont="1" applyBorder="1" applyAlignment="1">
      <alignment vertical="center"/>
    </xf>
    <xf numFmtId="0" fontId="7" fillId="0" borderId="10" xfId="0" applyFont="1" applyBorder="1" applyAlignment="1">
      <alignment vertical="center"/>
    </xf>
    <xf numFmtId="2" fontId="7" fillId="0" borderId="58" xfId="0" applyNumberFormat="1" applyFont="1" applyBorder="1" applyAlignment="1">
      <alignment horizontal="center" vertical="center"/>
    </xf>
    <xf numFmtId="2" fontId="7" fillId="0" borderId="59" xfId="0" applyNumberFormat="1" applyFont="1" applyBorder="1" applyAlignment="1">
      <alignment horizontal="center" vertical="center"/>
    </xf>
    <xf numFmtId="2" fontId="7" fillId="0" borderId="60" xfId="0" applyNumberFormat="1" applyFont="1" applyBorder="1" applyAlignment="1">
      <alignment horizontal="center" vertical="center"/>
    </xf>
    <xf numFmtId="2" fontId="7" fillId="0" borderId="61" xfId="0" applyNumberFormat="1" applyFont="1" applyBorder="1" applyAlignment="1">
      <alignment horizontal="center" vertical="center"/>
    </xf>
    <xf numFmtId="2" fontId="7" fillId="0" borderId="62" xfId="0" applyNumberFormat="1" applyFont="1" applyBorder="1" applyAlignment="1">
      <alignment horizontal="center" vertical="center"/>
    </xf>
    <xf numFmtId="0" fontId="5" fillId="27" borderId="9" xfId="0" applyFont="1" applyFill="1" applyBorder="1" applyAlignment="1">
      <alignment horizontal="left" vertical="center" wrapText="1"/>
    </xf>
    <xf numFmtId="165" fontId="0" fillId="0" borderId="17" xfId="0" applyNumberFormat="1" applyBorder="1" applyAlignment="1">
      <alignment horizontal="left" vertical="center"/>
    </xf>
    <xf numFmtId="2" fontId="7" fillId="0" borderId="9" xfId="0" applyNumberFormat="1" applyFont="1" applyBorder="1" applyAlignment="1">
      <alignment horizontal="left" vertical="center" readingOrder="1"/>
    </xf>
    <xf numFmtId="2" fontId="6" fillId="0" borderId="9" xfId="0" applyNumberFormat="1" applyFont="1" applyBorder="1" applyAlignment="1">
      <alignment horizontal="left" vertical="center"/>
    </xf>
    <xf numFmtId="2" fontId="7" fillId="0" borderId="9" xfId="0" applyNumberFormat="1" applyFont="1" applyBorder="1" applyAlignment="1">
      <alignment horizontal="left" vertical="center"/>
    </xf>
    <xf numFmtId="0" fontId="0" fillId="0" borderId="9" xfId="0" applyBorder="1" applyAlignment="1">
      <alignment vertical="center"/>
    </xf>
    <xf numFmtId="0" fontId="6" fillId="27" borderId="17" xfId="0" applyFont="1" applyFill="1" applyBorder="1" applyAlignment="1">
      <alignment horizontal="left" vertical="center"/>
    </xf>
    <xf numFmtId="2" fontId="7" fillId="0" borderId="9" xfId="40" applyNumberFormat="1" applyFont="1" applyFill="1" applyBorder="1" applyAlignment="1">
      <alignment horizontal="left" vertical="center"/>
    </xf>
    <xf numFmtId="0" fontId="6" fillId="27" borderId="9" xfId="0" applyFont="1" applyFill="1" applyBorder="1" applyAlignment="1">
      <alignment horizontal="left" vertical="center"/>
    </xf>
    <xf numFmtId="166" fontId="0" fillId="25" borderId="9" xfId="0" applyNumberFormat="1" applyFill="1" applyBorder="1" applyAlignment="1">
      <alignment horizontal="left" vertical="center"/>
    </xf>
    <xf numFmtId="166" fontId="0" fillId="0" borderId="9" xfId="0" applyNumberFormat="1" applyBorder="1" applyAlignment="1">
      <alignment horizontal="left" vertical="center"/>
    </xf>
    <xf numFmtId="166" fontId="5" fillId="0" borderId="9" xfId="0" applyNumberFormat="1" applyFont="1" applyBorder="1" applyAlignment="1">
      <alignment horizontal="left" vertical="center"/>
    </xf>
    <xf numFmtId="0" fontId="13" fillId="0" borderId="0" xfId="0" applyFont="1" applyAlignment="1">
      <alignment horizontal="left" vertical="center"/>
    </xf>
    <xf numFmtId="0" fontId="19" fillId="0" borderId="0" xfId="37" applyAlignment="1">
      <alignment horizontal="left" vertical="center"/>
    </xf>
    <xf numFmtId="0" fontId="5" fillId="24" borderId="18" xfId="0" applyFont="1" applyFill="1" applyBorder="1" applyAlignment="1">
      <alignment horizontal="left" vertical="center"/>
    </xf>
    <xf numFmtId="0" fontId="5" fillId="24" borderId="0" xfId="0" applyFont="1" applyFill="1" applyAlignment="1">
      <alignment horizontal="left" vertical="center"/>
    </xf>
    <xf numFmtId="0" fontId="5" fillId="24" borderId="66" xfId="0" applyFont="1" applyFill="1" applyBorder="1" applyAlignment="1">
      <alignment horizontal="left" vertical="center"/>
    </xf>
    <xf numFmtId="0" fontId="5" fillId="0" borderId="66" xfId="0" applyFont="1" applyBorder="1" applyAlignment="1">
      <alignment horizontal="left" vertical="center"/>
    </xf>
    <xf numFmtId="0" fontId="6" fillId="26" borderId="9" xfId="0" applyFont="1" applyFill="1" applyBorder="1" applyAlignment="1">
      <alignment horizontal="left" vertical="center"/>
    </xf>
    <xf numFmtId="0" fontId="0" fillId="24" borderId="42" xfId="0" applyFill="1" applyBorder="1" applyAlignment="1">
      <alignment horizontal="left" vertical="center"/>
    </xf>
    <xf numFmtId="0" fontId="0" fillId="24" borderId="18" xfId="0" applyFill="1" applyBorder="1" applyAlignment="1">
      <alignment horizontal="left" vertical="center"/>
    </xf>
    <xf numFmtId="0" fontId="0" fillId="24" borderId="64" xfId="0" applyFill="1" applyBorder="1" applyAlignment="1">
      <alignment horizontal="left" vertical="center"/>
    </xf>
    <xf numFmtId="0" fontId="0" fillId="24" borderId="0" xfId="0" applyFill="1" applyAlignment="1">
      <alignment horizontal="left" vertical="center"/>
    </xf>
    <xf numFmtId="0" fontId="31" fillId="0" borderId="64" xfId="0" applyFont="1" applyBorder="1" applyAlignment="1">
      <alignment horizontal="left" vertical="center"/>
    </xf>
    <xf numFmtId="0" fontId="5" fillId="24" borderId="64" xfId="0" applyFont="1" applyFill="1" applyBorder="1" applyAlignment="1">
      <alignment horizontal="left" vertical="center"/>
    </xf>
    <xf numFmtId="0" fontId="5" fillId="24" borderId="22" xfId="0" applyFont="1" applyFill="1" applyBorder="1" applyAlignment="1">
      <alignment horizontal="left" vertical="center"/>
    </xf>
    <xf numFmtId="0" fontId="0" fillId="24" borderId="66" xfId="0" applyFill="1" applyBorder="1" applyAlignment="1">
      <alignment horizontal="left" vertical="center"/>
    </xf>
    <xf numFmtId="0" fontId="31" fillId="0" borderId="0" xfId="0" applyFont="1" applyAlignment="1">
      <alignment horizontal="left" vertical="center"/>
    </xf>
    <xf numFmtId="0" fontId="0" fillId="0" borderId="22" xfId="0" applyBorder="1" applyAlignment="1">
      <alignment horizontal="left" vertical="center"/>
    </xf>
    <xf numFmtId="0" fontId="0" fillId="0" borderId="66" xfId="0" applyBorder="1" applyAlignment="1">
      <alignment horizontal="left" vertical="center"/>
    </xf>
    <xf numFmtId="0" fontId="0" fillId="24" borderId="22" xfId="0" applyFill="1" applyBorder="1" applyAlignment="1">
      <alignment horizontal="left" vertical="center"/>
    </xf>
    <xf numFmtId="0" fontId="7" fillId="26" borderId="9" xfId="0" applyFont="1" applyFill="1" applyBorder="1" applyAlignment="1">
      <alignment horizontal="left" vertical="center" readingOrder="1"/>
    </xf>
    <xf numFmtId="165" fontId="7" fillId="0" borderId="9" xfId="0" applyNumberFormat="1" applyFont="1" applyBorder="1" applyAlignment="1">
      <alignment horizontal="left" vertical="center" readingOrder="1"/>
    </xf>
    <xf numFmtId="0" fontId="5" fillId="27" borderId="0" xfId="0" applyFont="1" applyFill="1" applyAlignment="1">
      <alignment horizontal="left" vertical="center"/>
    </xf>
    <xf numFmtId="2" fontId="7" fillId="26" borderId="9" xfId="0" applyNumberFormat="1" applyFont="1" applyFill="1" applyBorder="1" applyAlignment="1">
      <alignment horizontal="left" vertical="center"/>
    </xf>
    <xf numFmtId="11" fontId="7" fillId="0" borderId="36" xfId="0" applyNumberFormat="1" applyFont="1" applyBorder="1" applyAlignment="1">
      <alignment horizontal="left" vertical="center"/>
    </xf>
    <xf numFmtId="11" fontId="0" fillId="0" borderId="0" xfId="0" applyNumberFormat="1"/>
    <xf numFmtId="10" fontId="0" fillId="0" borderId="0" xfId="0" applyNumberFormat="1"/>
    <xf numFmtId="11" fontId="0" fillId="25" borderId="9" xfId="0" applyNumberFormat="1" applyFill="1" applyBorder="1" applyAlignment="1">
      <alignment horizontal="left" vertical="center"/>
    </xf>
    <xf numFmtId="0" fontId="0" fillId="28" borderId="9" xfId="0" applyFill="1" applyBorder="1" applyAlignment="1">
      <alignment horizontal="left" vertical="center"/>
    </xf>
    <xf numFmtId="0" fontId="0" fillId="20" borderId="0" xfId="0" applyFill="1"/>
    <xf numFmtId="0" fontId="5" fillId="0" borderId="0" xfId="0" applyFont="1"/>
    <xf numFmtId="9" fontId="0" fillId="0" borderId="0" xfId="0" applyNumberFormat="1"/>
    <xf numFmtId="0" fontId="0" fillId="0" borderId="9" xfId="0" applyBorder="1"/>
    <xf numFmtId="0" fontId="5" fillId="27" borderId="9" xfId="0" applyFont="1" applyFill="1" applyBorder="1" applyAlignment="1">
      <alignment vertical="center"/>
    </xf>
    <xf numFmtId="167" fontId="6" fillId="6" borderId="40" xfId="0" applyNumberFormat="1" applyFont="1" applyFill="1" applyBorder="1" applyAlignment="1">
      <alignment horizontal="left" vertical="center"/>
    </xf>
    <xf numFmtId="0" fontId="7" fillId="0" borderId="70" xfId="0" applyFont="1" applyBorder="1" applyAlignment="1">
      <alignment horizontal="left" vertical="center"/>
    </xf>
    <xf numFmtId="0" fontId="7" fillId="0" borderId="15" xfId="0" applyFont="1" applyBorder="1" applyAlignment="1">
      <alignment horizontal="left" vertical="center"/>
    </xf>
    <xf numFmtId="0" fontId="7" fillId="0" borderId="4" xfId="0" applyFont="1" applyBorder="1" applyAlignment="1">
      <alignment horizontal="left" vertical="center"/>
    </xf>
    <xf numFmtId="0" fontId="7" fillId="0" borderId="49" xfId="0" applyFont="1" applyBorder="1" applyAlignment="1">
      <alignment horizontal="left" vertical="center"/>
    </xf>
    <xf numFmtId="1" fontId="7" fillId="0" borderId="35" xfId="0" applyNumberFormat="1" applyFont="1" applyBorder="1" applyAlignment="1">
      <alignment horizontal="left" vertical="center"/>
    </xf>
    <xf numFmtId="1" fontId="7" fillId="0" borderId="36" xfId="0" applyNumberFormat="1" applyFont="1" applyBorder="1" applyAlignment="1">
      <alignment horizontal="left" vertical="center"/>
    </xf>
    <xf numFmtId="1" fontId="7" fillId="0" borderId="37" xfId="0" applyNumberFormat="1" applyFont="1" applyBorder="1" applyAlignment="1">
      <alignment horizontal="left" vertical="center"/>
    </xf>
    <xf numFmtId="1" fontId="7" fillId="0" borderId="38" xfId="0" applyNumberFormat="1" applyFont="1" applyBorder="1" applyAlignment="1">
      <alignment horizontal="left" vertical="center"/>
    </xf>
    <xf numFmtId="1" fontId="7" fillId="0" borderId="57" xfId="0" applyNumberFormat="1" applyFont="1" applyBorder="1" applyAlignment="1">
      <alignment horizontal="left" vertical="center"/>
    </xf>
    <xf numFmtId="1" fontId="7" fillId="0" borderId="32" xfId="0" applyNumberFormat="1" applyFont="1" applyBorder="1" applyAlignment="1">
      <alignment horizontal="left" vertical="center"/>
    </xf>
    <xf numFmtId="169" fontId="7" fillId="0" borderId="36" xfId="0" applyNumberFormat="1" applyFont="1" applyBorder="1" applyAlignment="1">
      <alignment horizontal="left" vertical="center"/>
    </xf>
    <xf numFmtId="169" fontId="7" fillId="0" borderId="37" xfId="0" applyNumberFormat="1" applyFont="1" applyBorder="1" applyAlignment="1">
      <alignment horizontal="left" vertical="center"/>
    </xf>
    <xf numFmtId="11" fontId="7" fillId="0" borderId="20" xfId="0" applyNumberFormat="1" applyFont="1" applyBorder="1" applyAlignment="1">
      <alignment horizontal="left" vertical="center"/>
    </xf>
    <xf numFmtId="11" fontId="7" fillId="0" borderId="7" xfId="0" applyNumberFormat="1" applyFont="1" applyBorder="1" applyAlignment="1">
      <alignment horizontal="left" vertical="center"/>
    </xf>
    <xf numFmtId="169" fontId="7" fillId="25" borderId="9" xfId="0" applyNumberFormat="1" applyFont="1" applyFill="1" applyBorder="1" applyAlignment="1">
      <alignment horizontal="left" vertical="center"/>
    </xf>
    <xf numFmtId="169" fontId="7" fillId="0" borderId="9" xfId="0" applyNumberFormat="1" applyFont="1" applyBorder="1" applyAlignment="1">
      <alignment horizontal="left" vertical="center"/>
    </xf>
    <xf numFmtId="2" fontId="6" fillId="27" borderId="9" xfId="0" applyNumberFormat="1" applyFont="1" applyFill="1" applyBorder="1" applyAlignment="1">
      <alignment horizontal="left" vertical="center"/>
    </xf>
    <xf numFmtId="2" fontId="6" fillId="27" borderId="9" xfId="0" applyNumberFormat="1" applyFont="1" applyFill="1" applyBorder="1" applyAlignment="1">
      <alignment vertical="center" wrapText="1"/>
    </xf>
    <xf numFmtId="1" fontId="7" fillId="0" borderId="9" xfId="0" applyNumberFormat="1" applyFont="1" applyBorder="1" applyAlignment="1">
      <alignment horizontal="left" vertical="center"/>
    </xf>
    <xf numFmtId="169" fontId="7" fillId="0" borderId="0" xfId="0" applyNumberFormat="1" applyFont="1" applyAlignment="1">
      <alignment horizontal="left" vertical="center"/>
    </xf>
    <xf numFmtId="0" fontId="7" fillId="0" borderId="59" xfId="0" applyFont="1" applyBorder="1" applyAlignment="1">
      <alignment horizontal="left" vertical="center"/>
    </xf>
    <xf numFmtId="0" fontId="7" fillId="0" borderId="68" xfId="0" applyFont="1" applyBorder="1" applyAlignment="1">
      <alignment vertical="center"/>
    </xf>
    <xf numFmtId="0" fontId="7" fillId="0" borderId="26" xfId="0" applyFont="1" applyBorder="1" applyAlignment="1">
      <alignment vertical="center"/>
    </xf>
    <xf numFmtId="0" fontId="7" fillId="0" borderId="23" xfId="0" applyFont="1" applyBorder="1" applyAlignment="1">
      <alignment vertical="center"/>
    </xf>
    <xf numFmtId="0" fontId="7" fillId="0" borderId="43" xfId="0" applyFont="1" applyBorder="1" applyAlignment="1">
      <alignment vertical="center"/>
    </xf>
    <xf numFmtId="0" fontId="7" fillId="0" borderId="28" xfId="0" applyFont="1" applyBorder="1" applyAlignment="1">
      <alignment vertical="center"/>
    </xf>
    <xf numFmtId="0" fontId="7" fillId="0" borderId="45" xfId="0" applyFont="1" applyBorder="1" applyAlignment="1">
      <alignment vertical="center"/>
    </xf>
    <xf numFmtId="171" fontId="7" fillId="0" borderId="9" xfId="0" applyNumberFormat="1" applyFont="1" applyBorder="1" applyAlignment="1">
      <alignment horizontal="left" vertical="center"/>
    </xf>
    <xf numFmtId="172" fontId="7" fillId="0" borderId="9" xfId="0" applyNumberFormat="1" applyFont="1" applyBorder="1" applyAlignment="1">
      <alignment horizontal="left" vertical="center"/>
    </xf>
    <xf numFmtId="169" fontId="7" fillId="0" borderId="20" xfId="0" applyNumberFormat="1" applyFont="1" applyBorder="1" applyAlignment="1">
      <alignment horizontal="left" vertical="center"/>
    </xf>
    <xf numFmtId="169" fontId="7" fillId="0" borderId="48" xfId="0" applyNumberFormat="1" applyFont="1" applyBorder="1" applyAlignment="1">
      <alignment horizontal="left" vertical="center"/>
    </xf>
    <xf numFmtId="169" fontId="7" fillId="0" borderId="3" xfId="0" applyNumberFormat="1" applyFont="1" applyBorder="1" applyAlignment="1">
      <alignment horizontal="left" vertical="center"/>
    </xf>
    <xf numFmtId="2" fontId="7" fillId="0" borderId="20" xfId="0" applyNumberFormat="1" applyFont="1" applyBorder="1" applyAlignment="1">
      <alignment horizontal="left" vertical="center"/>
    </xf>
    <xf numFmtId="2" fontId="7" fillId="0" borderId="7" xfId="0" applyNumberFormat="1" applyFont="1" applyBorder="1" applyAlignment="1">
      <alignment horizontal="left" vertical="center"/>
    </xf>
    <xf numFmtId="2" fontId="7" fillId="0" borderId="48" xfId="0" applyNumberFormat="1" applyFont="1" applyBorder="1" applyAlignment="1">
      <alignment horizontal="left" vertical="center"/>
    </xf>
    <xf numFmtId="0" fontId="6" fillId="15" borderId="40" xfId="41" applyFont="1" applyFill="1" applyBorder="1" applyAlignment="1">
      <alignment horizontal="center" vertical="center" wrapText="1"/>
    </xf>
    <xf numFmtId="0" fontId="6" fillId="15" borderId="41" xfId="41" applyFont="1" applyFill="1" applyBorder="1" applyAlignment="1">
      <alignment horizontal="center" vertical="center" wrapText="1"/>
    </xf>
    <xf numFmtId="0" fontId="7" fillId="15" borderId="49" xfId="41" applyFont="1" applyFill="1" applyBorder="1" applyAlignment="1">
      <alignment horizontal="center" vertical="center" wrapText="1"/>
    </xf>
    <xf numFmtId="0" fontId="7" fillId="15" borderId="50" xfId="41" applyFont="1" applyFill="1" applyBorder="1" applyAlignment="1">
      <alignment horizontal="center" vertical="center" wrapText="1"/>
    </xf>
    <xf numFmtId="0" fontId="7" fillId="15" borderId="51" xfId="41" applyFont="1" applyFill="1" applyBorder="1" applyAlignment="1">
      <alignment horizontal="center" vertical="center" wrapText="1"/>
    </xf>
    <xf numFmtId="0" fontId="6" fillId="15" borderId="18" xfId="41" applyFont="1" applyFill="1" applyBorder="1" applyAlignment="1">
      <alignment horizontal="center" vertical="center"/>
    </xf>
    <xf numFmtId="0" fontId="6" fillId="15" borderId="66" xfId="41" applyFont="1" applyFill="1" applyBorder="1" applyAlignment="1">
      <alignment horizontal="center" vertical="center"/>
    </xf>
    <xf numFmtId="0" fontId="6" fillId="15" borderId="40" xfId="41" applyFont="1" applyFill="1" applyBorder="1" applyAlignment="1">
      <alignment horizontal="center" vertical="center"/>
    </xf>
    <xf numFmtId="0" fontId="6" fillId="15" borderId="41" xfId="41" applyFont="1" applyFill="1" applyBorder="1" applyAlignment="1">
      <alignment horizontal="center" vertical="center"/>
    </xf>
    <xf numFmtId="0" fontId="7" fillId="14" borderId="38" xfId="43" applyFont="1" applyFill="1" applyBorder="1" applyAlignment="1">
      <alignment horizontal="center" vertical="center" wrapText="1"/>
    </xf>
    <xf numFmtId="0" fontId="7" fillId="14" borderId="36" xfId="43" applyFont="1" applyFill="1" applyBorder="1" applyAlignment="1">
      <alignment horizontal="center" vertical="center" wrapText="1"/>
    </xf>
    <xf numFmtId="0" fontId="7" fillId="14" borderId="37" xfId="43" applyFont="1" applyFill="1" applyBorder="1" applyAlignment="1">
      <alignment horizontal="center" vertical="center" wrapText="1"/>
    </xf>
    <xf numFmtId="0" fontId="7" fillId="14" borderId="3" xfId="44" applyFont="1" applyFill="1" applyBorder="1" applyAlignment="1">
      <alignment horizontal="center" vertical="center" wrapText="1"/>
    </xf>
    <xf numFmtId="0" fontId="7" fillId="14" borderId="7" xfId="44" applyFont="1" applyFill="1" applyBorder="1" applyAlignment="1">
      <alignment horizontal="center" vertical="center" wrapText="1"/>
    </xf>
    <xf numFmtId="0" fontId="7" fillId="14" borderId="48" xfId="44" applyFont="1" applyFill="1" applyBorder="1" applyAlignment="1">
      <alignment horizontal="center" vertical="center" wrapText="1"/>
    </xf>
    <xf numFmtId="0" fontId="6" fillId="15" borderId="52" xfId="41" applyFont="1" applyFill="1" applyBorder="1" applyAlignment="1">
      <alignment horizontal="center" vertical="center"/>
    </xf>
    <xf numFmtId="0" fontId="6" fillId="15" borderId="67" xfId="41" applyFont="1" applyFill="1" applyBorder="1" applyAlignment="1">
      <alignment horizontal="center" vertical="center"/>
    </xf>
    <xf numFmtId="0" fontId="7" fillId="14" borderId="4" xfId="42" applyFont="1" applyFill="1" applyBorder="1" applyAlignment="1">
      <alignment horizontal="center" vertical="center" wrapText="1"/>
    </xf>
    <xf numFmtId="0" fontId="7" fillId="14" borderId="33" xfId="42" applyFont="1" applyFill="1" applyBorder="1" applyAlignment="1">
      <alignment horizontal="center" vertical="center" wrapText="1"/>
    </xf>
    <xf numFmtId="0" fontId="7" fillId="14" borderId="34" xfId="42" applyFont="1" applyFill="1" applyBorder="1" applyAlignment="1">
      <alignment horizontal="center" vertical="center" wrapText="1"/>
    </xf>
    <xf numFmtId="0" fontId="7" fillId="14" borderId="38" xfId="45" applyFont="1" applyFill="1" applyBorder="1" applyAlignment="1">
      <alignment horizontal="center" vertical="center" wrapText="1"/>
    </xf>
    <xf numFmtId="0" fontId="7" fillId="14" borderId="36" xfId="45" applyFont="1" applyFill="1" applyBorder="1" applyAlignment="1">
      <alignment horizontal="center" vertical="center" wrapText="1"/>
    </xf>
    <xf numFmtId="0" fontId="7" fillId="14" borderId="37" xfId="45" applyFont="1" applyFill="1" applyBorder="1" applyAlignment="1">
      <alignment horizontal="center" vertical="center" wrapText="1"/>
    </xf>
    <xf numFmtId="0" fontId="7" fillId="0" borderId="46" xfId="0" applyFont="1" applyBorder="1" applyAlignment="1">
      <alignment vertical="center"/>
    </xf>
    <xf numFmtId="0" fontId="7" fillId="0" borderId="50" xfId="0" applyFont="1" applyBorder="1" applyAlignment="1">
      <alignment vertical="center"/>
    </xf>
    <xf numFmtId="2" fontId="7" fillId="0" borderId="2" xfId="0" applyNumberFormat="1" applyFont="1" applyBorder="1" applyAlignment="1">
      <alignment horizontal="left" vertical="center"/>
    </xf>
    <xf numFmtId="169" fontId="7" fillId="0" borderId="6" xfId="0" applyNumberFormat="1" applyFont="1" applyBorder="1" applyAlignment="1">
      <alignment horizontal="left" vertical="center"/>
    </xf>
    <xf numFmtId="0" fontId="7" fillId="0" borderId="25" xfId="0" applyFont="1" applyBorder="1" applyAlignment="1">
      <alignment vertical="center"/>
    </xf>
    <xf numFmtId="0" fontId="7" fillId="0" borderId="27" xfId="0" applyFont="1" applyBorder="1" applyAlignment="1">
      <alignment vertical="center"/>
    </xf>
    <xf numFmtId="0" fontId="7" fillId="0" borderId="30" xfId="0" applyFont="1" applyBorder="1" applyAlignment="1">
      <alignment vertical="center"/>
    </xf>
    <xf numFmtId="0" fontId="7" fillId="0" borderId="44" xfId="0" applyFont="1" applyBorder="1" applyAlignment="1">
      <alignment vertical="center"/>
    </xf>
    <xf numFmtId="0" fontId="7" fillId="0" borderId="69" xfId="0" applyFont="1" applyBorder="1" applyAlignment="1">
      <alignment vertical="center"/>
    </xf>
    <xf numFmtId="2" fontId="7" fillId="0" borderId="20" xfId="0" applyNumberFormat="1" applyFont="1" applyBorder="1" applyAlignment="1">
      <alignment horizontal="center" vertical="center"/>
    </xf>
    <xf numFmtId="2" fontId="7" fillId="0" borderId="7" xfId="0" applyNumberFormat="1" applyFont="1" applyBorder="1" applyAlignment="1">
      <alignment horizontal="center" vertical="center"/>
    </xf>
    <xf numFmtId="2" fontId="7" fillId="0" borderId="48" xfId="0" applyNumberFormat="1" applyFont="1" applyBorder="1" applyAlignment="1">
      <alignment horizontal="center" vertical="center"/>
    </xf>
    <xf numFmtId="2" fontId="7" fillId="0" borderId="2" xfId="0" applyNumberFormat="1" applyFont="1" applyBorder="1" applyAlignment="1">
      <alignment horizontal="center" vertical="center"/>
    </xf>
    <xf numFmtId="0" fontId="0" fillId="0" borderId="50" xfId="0" applyBorder="1" applyAlignment="1">
      <alignment horizontal="left" vertical="center"/>
    </xf>
    <xf numFmtId="0" fontId="0" fillId="0" borderId="19" xfId="0" applyBorder="1" applyAlignment="1">
      <alignment horizontal="left" vertical="center"/>
    </xf>
    <xf numFmtId="0" fontId="5" fillId="0" borderId="52" xfId="0" applyFont="1" applyBorder="1" applyAlignment="1">
      <alignment horizontal="left" vertical="center" wrapText="1"/>
    </xf>
    <xf numFmtId="0" fontId="0" fillId="0" borderId="51" xfId="0" applyBorder="1" applyAlignment="1">
      <alignment horizontal="left"/>
    </xf>
    <xf numFmtId="0" fontId="5" fillId="0" borderId="40" xfId="0" applyFont="1" applyBorder="1" applyAlignment="1">
      <alignment horizontal="left" vertical="center"/>
    </xf>
    <xf numFmtId="0" fontId="0" fillId="23" borderId="36" xfId="0" applyFill="1" applyBorder="1" applyAlignment="1">
      <alignment horizontal="left" vertical="center"/>
    </xf>
    <xf numFmtId="0" fontId="0" fillId="0" borderId="7" xfId="0" applyBorder="1"/>
    <xf numFmtId="169" fontId="0" fillId="0" borderId="7" xfId="0" applyNumberFormat="1" applyBorder="1" applyAlignment="1">
      <alignment horizontal="left" vertical="center"/>
    </xf>
    <xf numFmtId="1" fontId="0" fillId="0" borderId="36" xfId="0" applyNumberFormat="1" applyBorder="1" applyAlignment="1">
      <alignment horizontal="left" vertical="center"/>
    </xf>
    <xf numFmtId="0" fontId="0" fillId="0" borderId="9" xfId="0" applyBorder="1" applyAlignment="1">
      <alignment horizontal="left"/>
    </xf>
    <xf numFmtId="0" fontId="5" fillId="27" borderId="9" xfId="0" applyFont="1" applyFill="1" applyBorder="1"/>
    <xf numFmtId="0" fontId="7" fillId="0" borderId="62" xfId="0" applyFont="1" applyBorder="1" applyAlignment="1">
      <alignment horizontal="left" vertical="center"/>
    </xf>
    <xf numFmtId="0" fontId="7" fillId="0" borderId="9" xfId="0" applyFont="1" applyBorder="1"/>
    <xf numFmtId="49" fontId="7" fillId="0" borderId="36" xfId="0" quotePrefix="1" applyNumberFormat="1" applyFont="1" applyBorder="1" applyAlignment="1">
      <alignment horizontal="left" vertical="center"/>
    </xf>
    <xf numFmtId="173" fontId="0" fillId="0" borderId="9" xfId="0" applyNumberFormat="1" applyBorder="1" applyAlignment="1">
      <alignment horizontal="left" vertical="center"/>
    </xf>
    <xf numFmtId="0" fontId="5" fillId="29" borderId="9" xfId="0" applyFont="1" applyFill="1" applyBorder="1"/>
    <xf numFmtId="0" fontId="7" fillId="0" borderId="58" xfId="0" applyFont="1" applyBorder="1" applyAlignment="1">
      <alignment vertical="center"/>
    </xf>
    <xf numFmtId="0" fontId="7" fillId="0" borderId="59" xfId="0" applyFont="1" applyBorder="1" applyAlignment="1">
      <alignment vertical="center"/>
    </xf>
    <xf numFmtId="0" fontId="0" fillId="0" borderId="20" xfId="0" applyBorder="1"/>
    <xf numFmtId="0" fontId="0" fillId="0" borderId="48" xfId="0" applyBorder="1"/>
    <xf numFmtId="0" fontId="0" fillId="0" borderId="3" xfId="0" applyBorder="1"/>
    <xf numFmtId="0" fontId="0" fillId="0" borderId="2" xfId="0" applyBorder="1"/>
    <xf numFmtId="0" fontId="0" fillId="0" borderId="57" xfId="0" applyBorder="1"/>
    <xf numFmtId="0" fontId="0" fillId="17" borderId="70" xfId="0" applyFill="1" applyBorder="1"/>
    <xf numFmtId="0" fontId="7" fillId="17" borderId="50" xfId="0" applyFont="1" applyFill="1" applyBorder="1" applyAlignment="1">
      <alignment vertical="center"/>
    </xf>
    <xf numFmtId="0" fontId="0" fillId="0" borderId="5" xfId="0" applyBorder="1"/>
    <xf numFmtId="0" fontId="6" fillId="26" borderId="0" xfId="0" applyFont="1" applyFill="1" applyAlignment="1">
      <alignment horizontal="left" vertical="center"/>
    </xf>
    <xf numFmtId="2" fontId="5" fillId="0" borderId="0" xfId="0" applyNumberFormat="1" applyFont="1" applyAlignment="1">
      <alignment horizontal="left" vertical="center"/>
    </xf>
    <xf numFmtId="0" fontId="7" fillId="5" borderId="16" xfId="0" applyFont="1" applyFill="1" applyBorder="1" applyAlignment="1">
      <alignment horizontal="left" vertical="center"/>
    </xf>
    <xf numFmtId="0" fontId="7" fillId="5" borderId="31" xfId="0" applyFont="1" applyFill="1" applyBorder="1" applyAlignment="1">
      <alignment horizontal="left" vertical="center"/>
    </xf>
    <xf numFmtId="0" fontId="7" fillId="5" borderId="61" xfId="0" applyFont="1" applyFill="1" applyBorder="1" applyAlignment="1">
      <alignment horizontal="left" vertical="center"/>
    </xf>
    <xf numFmtId="0" fontId="7" fillId="5" borderId="3" xfId="0" applyFont="1" applyFill="1" applyBorder="1" applyAlignment="1">
      <alignment horizontal="left" vertical="center"/>
    </xf>
    <xf numFmtId="0" fontId="7" fillId="5" borderId="8" xfId="0" applyFont="1" applyFill="1" applyBorder="1" applyAlignment="1">
      <alignment horizontal="left" vertical="center"/>
    </xf>
    <xf numFmtId="0" fontId="7" fillId="5" borderId="0" xfId="0" applyFont="1" applyFill="1" applyAlignment="1">
      <alignment horizontal="left" vertical="center"/>
    </xf>
    <xf numFmtId="0" fontId="0" fillId="0" borderId="50" xfId="0" applyBorder="1" applyAlignment="1">
      <alignment horizontal="left"/>
    </xf>
    <xf numFmtId="0" fontId="0" fillId="0" borderId="70" xfId="0" applyBorder="1" applyAlignment="1">
      <alignment horizontal="left"/>
    </xf>
    <xf numFmtId="0" fontId="5" fillId="29" borderId="9" xfId="0" applyFont="1" applyFill="1" applyBorder="1" applyAlignment="1">
      <alignment horizontal="left" vertical="center"/>
    </xf>
    <xf numFmtId="173" fontId="0" fillId="25" borderId="9" xfId="0" applyNumberFormat="1" applyFill="1" applyBorder="1" applyAlignment="1">
      <alignment horizontal="left" vertical="center"/>
    </xf>
    <xf numFmtId="0" fontId="7" fillId="0" borderId="7" xfId="0" applyFont="1" applyBorder="1" applyAlignment="1">
      <alignment horizontal="left"/>
    </xf>
    <xf numFmtId="0" fontId="35" fillId="0" borderId="51" xfId="0" applyFont="1" applyBorder="1" applyAlignment="1">
      <alignment horizontal="left" vertical="center"/>
    </xf>
    <xf numFmtId="0" fontId="35" fillId="0" borderId="37" xfId="0" applyFont="1" applyBorder="1" applyAlignment="1">
      <alignment horizontal="left" vertical="center"/>
    </xf>
    <xf numFmtId="0" fontId="35" fillId="0" borderId="48" xfId="0" applyFont="1" applyBorder="1" applyAlignment="1">
      <alignment horizontal="left" vertical="center"/>
    </xf>
    <xf numFmtId="1" fontId="35" fillId="0" borderId="37" xfId="0" applyNumberFormat="1" applyFont="1" applyBorder="1" applyAlignment="1">
      <alignment horizontal="left" vertical="center"/>
    </xf>
    <xf numFmtId="0" fontId="35" fillId="0" borderId="28" xfId="0" applyFont="1" applyBorder="1" applyAlignment="1">
      <alignment vertical="center"/>
    </xf>
    <xf numFmtId="0" fontId="35" fillId="0" borderId="29" xfId="0" applyFont="1" applyBorder="1" applyAlignment="1">
      <alignment vertical="center"/>
    </xf>
    <xf numFmtId="0" fontId="7" fillId="0" borderId="21" xfId="0" applyFont="1" applyBorder="1" applyAlignment="1">
      <alignment horizontal="left" vertical="center"/>
    </xf>
    <xf numFmtId="1" fontId="7" fillId="0" borderId="19" xfId="0" applyNumberFormat="1" applyFont="1" applyBorder="1" applyAlignment="1">
      <alignment horizontal="left" vertical="center"/>
    </xf>
    <xf numFmtId="1" fontId="35" fillId="0" borderId="51" xfId="0" applyNumberFormat="1" applyFont="1" applyBorder="1" applyAlignment="1">
      <alignment horizontal="left" vertical="center"/>
    </xf>
    <xf numFmtId="0" fontId="35" fillId="0" borderId="60" xfId="0" applyFont="1" applyBorder="1" applyAlignment="1">
      <alignment vertical="center"/>
    </xf>
    <xf numFmtId="2" fontId="7" fillId="0" borderId="19" xfId="0" applyNumberFormat="1" applyFont="1" applyBorder="1" applyAlignment="1">
      <alignment horizontal="center" vertical="center"/>
    </xf>
    <xf numFmtId="0" fontId="7" fillId="0" borderId="39" xfId="0" applyFont="1" applyBorder="1" applyAlignment="1">
      <alignment horizontal="left" vertical="center"/>
    </xf>
    <xf numFmtId="0" fontId="6" fillId="27" borderId="9" xfId="0" applyFont="1" applyFill="1" applyBorder="1" applyAlignment="1">
      <alignment horizontal="center" vertical="center"/>
    </xf>
    <xf numFmtId="0" fontId="6" fillId="27" borderId="9" xfId="0" applyFont="1" applyFill="1" applyBorder="1" applyAlignment="1">
      <alignment vertical="center"/>
    </xf>
    <xf numFmtId="0" fontId="19" fillId="0" borderId="0" xfId="37" applyFill="1" applyBorder="1" applyAlignment="1">
      <alignment horizontal="left" vertical="center"/>
    </xf>
    <xf numFmtId="0" fontId="5" fillId="27" borderId="9" xfId="0" applyFont="1" applyFill="1" applyBorder="1" applyAlignment="1">
      <alignment horizontal="center" vertical="center"/>
    </xf>
    <xf numFmtId="0" fontId="6" fillId="0" borderId="9" xfId="0" applyFont="1" applyBorder="1" applyAlignment="1">
      <alignment horizontal="left" vertical="center"/>
    </xf>
    <xf numFmtId="0" fontId="7" fillId="0" borderId="9" xfId="0" applyFont="1" applyBorder="1" applyAlignment="1">
      <alignment horizontal="center" vertical="center"/>
    </xf>
    <xf numFmtId="0" fontId="6" fillId="0" borderId="9" xfId="0" applyFont="1" applyBorder="1" applyAlignment="1">
      <alignment horizontal="center" vertical="center"/>
    </xf>
    <xf numFmtId="0" fontId="7" fillId="0" borderId="59" xfId="0" applyFont="1" applyBorder="1" applyAlignment="1">
      <alignment horizontal="center" vertical="center"/>
    </xf>
    <xf numFmtId="0" fontId="0" fillId="0" borderId="9" xfId="0" applyBorder="1" applyAlignment="1">
      <alignment horizontal="center" vertical="center"/>
    </xf>
    <xf numFmtId="0" fontId="5" fillId="27" borderId="16" xfId="0" applyFont="1" applyFill="1" applyBorder="1" applyAlignment="1">
      <alignment vertical="center"/>
    </xf>
    <xf numFmtId="0" fontId="7" fillId="17" borderId="50" xfId="0" applyFont="1" applyFill="1" applyBorder="1"/>
    <xf numFmtId="0" fontId="6" fillId="27" borderId="16" xfId="0" applyFont="1" applyFill="1" applyBorder="1" applyAlignment="1">
      <alignment horizontal="center" vertical="center"/>
    </xf>
    <xf numFmtId="0" fontId="7" fillId="0" borderId="36" xfId="0" applyFont="1" applyBorder="1"/>
    <xf numFmtId="0" fontId="5" fillId="27" borderId="31" xfId="0" applyFont="1" applyFill="1" applyBorder="1" applyAlignment="1">
      <alignment horizontal="center" vertical="center"/>
    </xf>
    <xf numFmtId="166" fontId="7" fillId="0" borderId="9" xfId="0" applyNumberFormat="1" applyFont="1" applyBorder="1" applyAlignment="1">
      <alignment horizontal="center" vertical="center"/>
    </xf>
    <xf numFmtId="0" fontId="19" fillId="0" borderId="0" xfId="37"/>
    <xf numFmtId="0" fontId="0" fillId="0" borderId="75" xfId="0" applyBorder="1"/>
    <xf numFmtId="0" fontId="0" fillId="0" borderId="76" xfId="0" applyBorder="1"/>
    <xf numFmtId="0" fontId="35" fillId="0" borderId="0" xfId="0" applyFont="1" applyAlignment="1">
      <alignment horizontal="left"/>
    </xf>
    <xf numFmtId="2" fontId="35" fillId="0" borderId="9" xfId="40" applyNumberFormat="1" applyFont="1" applyFill="1" applyBorder="1" applyAlignment="1">
      <alignment horizontal="left" vertical="center"/>
    </xf>
    <xf numFmtId="165" fontId="0" fillId="0" borderId="9" xfId="0" applyNumberFormat="1" applyBorder="1" applyAlignment="1">
      <alignment horizontal="center" vertical="center"/>
    </xf>
    <xf numFmtId="0" fontId="5" fillId="27" borderId="59" xfId="0" applyFont="1" applyFill="1" applyBorder="1" applyAlignment="1">
      <alignment horizontal="left" vertical="center"/>
    </xf>
    <xf numFmtId="2" fontId="0" fillId="24" borderId="9" xfId="0" applyNumberFormat="1" applyFill="1" applyBorder="1" applyAlignment="1">
      <alignment horizontal="left" vertical="center"/>
    </xf>
    <xf numFmtId="2" fontId="6" fillId="0" borderId="0" xfId="0" applyNumberFormat="1" applyFont="1" applyAlignment="1">
      <alignment horizontal="left" vertical="center"/>
    </xf>
    <xf numFmtId="0" fontId="19" fillId="0" borderId="0" xfId="37" applyBorder="1" applyAlignment="1">
      <alignment horizontal="left" vertical="center"/>
    </xf>
    <xf numFmtId="2" fontId="7" fillId="24" borderId="9" xfId="0" applyNumberFormat="1" applyFont="1" applyFill="1" applyBorder="1" applyAlignment="1">
      <alignment horizontal="left" vertical="center"/>
    </xf>
    <xf numFmtId="0" fontId="18" fillId="0" borderId="0" xfId="0" applyFont="1" applyAlignment="1">
      <alignment horizontal="left" vertical="center"/>
    </xf>
    <xf numFmtId="166" fontId="18" fillId="25" borderId="0" xfId="0" applyNumberFormat="1" applyFont="1" applyFill="1" applyAlignment="1">
      <alignment horizontal="left" vertical="center"/>
    </xf>
    <xf numFmtId="0" fontId="18" fillId="0" borderId="0" xfId="0" applyFont="1"/>
    <xf numFmtId="0" fontId="38" fillId="0" borderId="0" xfId="37" applyFont="1" applyBorder="1" applyAlignment="1">
      <alignment horizontal="left" vertical="center"/>
    </xf>
    <xf numFmtId="0" fontId="32" fillId="20" borderId="9" xfId="0" applyFont="1" applyFill="1" applyBorder="1" applyAlignment="1">
      <alignment vertical="center"/>
    </xf>
    <xf numFmtId="0" fontId="15" fillId="0" borderId="0" xfId="31"/>
    <xf numFmtId="9" fontId="0" fillId="0" borderId="0" xfId="47" applyFont="1"/>
    <xf numFmtId="0" fontId="0" fillId="0" borderId="31" xfId="0" applyBorder="1" applyAlignment="1">
      <alignment horizontal="center" vertical="center"/>
    </xf>
    <xf numFmtId="0" fontId="0" fillId="26" borderId="16" xfId="0" applyFill="1" applyBorder="1" applyAlignment="1">
      <alignment horizontal="center" vertical="center"/>
    </xf>
    <xf numFmtId="0" fontId="0" fillId="0" borderId="16" xfId="0" applyBorder="1" applyAlignment="1">
      <alignment horizontal="center" vertical="center"/>
    </xf>
    <xf numFmtId="0" fontId="19" fillId="0" borderId="62" xfId="37" applyFill="1" applyBorder="1" applyAlignment="1">
      <alignment horizontal="center" vertical="center"/>
    </xf>
    <xf numFmtId="0" fontId="19" fillId="0" borderId="63" xfId="37" applyFill="1" applyBorder="1" applyAlignment="1">
      <alignment horizontal="center" vertical="center"/>
    </xf>
    <xf numFmtId="11" fontId="0" fillId="0" borderId="9" xfId="0" applyNumberFormat="1" applyBorder="1" applyAlignment="1">
      <alignment horizontal="center" vertical="center"/>
    </xf>
    <xf numFmtId="0" fontId="12" fillId="0" borderId="0" xfId="29"/>
    <xf numFmtId="0" fontId="39" fillId="0" borderId="0" xfId="29" applyFont="1" applyAlignment="1">
      <alignment horizontal="left" vertical="center"/>
    </xf>
    <xf numFmtId="0" fontId="40" fillId="0" borderId="0" xfId="29" applyFont="1" applyAlignment="1">
      <alignment horizontal="left" vertical="center"/>
    </xf>
    <xf numFmtId="0" fontId="41" fillId="31" borderId="77" xfId="29" applyFont="1" applyFill="1" applyBorder="1" applyAlignment="1">
      <alignment horizontal="right" vertical="center"/>
    </xf>
    <xf numFmtId="0" fontId="39" fillId="32" borderId="77" xfId="29" applyFont="1" applyFill="1" applyBorder="1" applyAlignment="1">
      <alignment horizontal="left" vertical="center"/>
    </xf>
    <xf numFmtId="0" fontId="39" fillId="33" borderId="77" xfId="29" applyFont="1" applyFill="1" applyBorder="1" applyAlignment="1">
      <alignment horizontal="left" vertical="center"/>
    </xf>
    <xf numFmtId="0" fontId="12" fillId="34" borderId="0" xfId="29" applyFill="1"/>
    <xf numFmtId="3" fontId="40" fillId="0" borderId="0" xfId="29" applyNumberFormat="1" applyFont="1" applyAlignment="1">
      <alignment horizontal="right" vertical="center" shrinkToFit="1"/>
    </xf>
    <xf numFmtId="3" fontId="40" fillId="35" borderId="0" xfId="29" applyNumberFormat="1" applyFont="1" applyFill="1" applyAlignment="1">
      <alignment horizontal="right" vertical="center" shrinkToFit="1"/>
    </xf>
    <xf numFmtId="0" fontId="41" fillId="31" borderId="77" xfId="29" applyFont="1" applyFill="1" applyBorder="1" applyAlignment="1">
      <alignment vertical="center"/>
    </xf>
    <xf numFmtId="0" fontId="7" fillId="0" borderId="53" xfId="0" applyFont="1" applyBorder="1" applyAlignment="1">
      <alignment vertical="center"/>
    </xf>
    <xf numFmtId="3" fontId="40" fillId="35" borderId="0" xfId="0" applyNumberFormat="1" applyFont="1" applyFill="1" applyAlignment="1">
      <alignment horizontal="right" vertical="center" shrinkToFit="1"/>
    </xf>
    <xf numFmtId="3" fontId="40" fillId="0" borderId="0" xfId="0" applyNumberFormat="1" applyFont="1" applyAlignment="1">
      <alignment horizontal="right" vertical="center" shrinkToFit="1"/>
    </xf>
    <xf numFmtId="0" fontId="41" fillId="31" borderId="77" xfId="0" applyFont="1" applyFill="1" applyBorder="1" applyAlignment="1">
      <alignment vertical="center"/>
    </xf>
    <xf numFmtId="2" fontId="7" fillId="0" borderId="9" xfId="0" applyNumberFormat="1" applyFont="1" applyBorder="1" applyAlignment="1">
      <alignment horizontal="center" vertical="center"/>
    </xf>
    <xf numFmtId="0" fontId="8" fillId="0" borderId="65" xfId="0" applyFont="1" applyBorder="1" applyAlignment="1">
      <alignment horizontal="left" vertical="center"/>
    </xf>
    <xf numFmtId="2" fontId="0" fillId="0" borderId="0" xfId="0" applyNumberFormat="1"/>
    <xf numFmtId="2" fontId="0" fillId="25" borderId="59" xfId="0" applyNumberFormat="1" applyFill="1" applyBorder="1" applyAlignment="1">
      <alignment horizontal="left" vertical="center"/>
    </xf>
    <xf numFmtId="0" fontId="17" fillId="20" borderId="0" xfId="0" applyFont="1" applyFill="1"/>
    <xf numFmtId="0" fontId="0" fillId="28" borderId="13" xfId="0" applyFill="1" applyBorder="1" applyAlignment="1">
      <alignment horizontal="left" vertical="center"/>
    </xf>
    <xf numFmtId="0" fontId="7" fillId="26" borderId="16" xfId="0" applyFont="1" applyFill="1" applyBorder="1" applyAlignment="1">
      <alignment horizontal="left" vertical="center"/>
    </xf>
    <xf numFmtId="0" fontId="7" fillId="26" borderId="13" xfId="0" applyFont="1" applyFill="1" applyBorder="1" applyAlignment="1">
      <alignment horizontal="left" vertical="center"/>
    </xf>
    <xf numFmtId="2" fontId="0" fillId="0" borderId="59" xfId="0" applyNumberFormat="1" applyBorder="1" applyAlignment="1">
      <alignment horizontal="left" vertical="center"/>
    </xf>
    <xf numFmtId="0" fontId="14" fillId="37" borderId="0" xfId="49"/>
    <xf numFmtId="0" fontId="42" fillId="0" borderId="0" xfId="0" applyFont="1"/>
    <xf numFmtId="0" fontId="14" fillId="36" borderId="0" xfId="48"/>
    <xf numFmtId="2" fontId="14" fillId="36" borderId="0" xfId="48" applyNumberFormat="1"/>
    <xf numFmtId="1" fontId="7" fillId="0" borderId="3" xfId="0" applyNumberFormat="1" applyFont="1" applyBorder="1" applyAlignment="1">
      <alignment horizontal="left" vertical="center"/>
    </xf>
    <xf numFmtId="0" fontId="6" fillId="3" borderId="78" xfId="0" applyFont="1" applyFill="1" applyBorder="1" applyAlignment="1">
      <alignment horizontal="left" vertical="center"/>
    </xf>
    <xf numFmtId="0" fontId="6" fillId="3" borderId="79" xfId="0" applyFont="1" applyFill="1" applyBorder="1" applyAlignment="1">
      <alignment horizontal="left" vertical="center"/>
    </xf>
    <xf numFmtId="0" fontId="6" fillId="3" borderId="80" xfId="0" applyFont="1" applyFill="1" applyBorder="1" applyAlignment="1">
      <alignment horizontal="left" vertical="center"/>
    </xf>
    <xf numFmtId="0" fontId="6" fillId="4" borderId="40" xfId="0" applyFont="1" applyFill="1" applyBorder="1" applyAlignment="1">
      <alignment horizontal="left" vertical="center" wrapText="1"/>
    </xf>
    <xf numFmtId="49" fontId="6" fillId="16" borderId="52" xfId="0" applyNumberFormat="1" applyFont="1" applyFill="1" applyBorder="1" applyAlignment="1">
      <alignment horizontal="left" vertical="center"/>
    </xf>
    <xf numFmtId="2" fontId="7" fillId="0" borderId="16" xfId="0" applyNumberFormat="1" applyFont="1" applyBorder="1" applyAlignment="1">
      <alignment horizontal="center" vertical="center"/>
    </xf>
    <xf numFmtId="2" fontId="7" fillId="0" borderId="24" xfId="0" applyNumberFormat="1" applyFont="1" applyBorder="1" applyAlignment="1">
      <alignment horizontal="center" vertical="center"/>
    </xf>
    <xf numFmtId="2" fontId="7" fillId="0" borderId="25" xfId="0" applyNumberFormat="1" applyFont="1" applyBorder="1" applyAlignment="1">
      <alignment horizontal="center" vertical="center"/>
    </xf>
    <xf numFmtId="2" fontId="7" fillId="0" borderId="27" xfId="0" applyNumberFormat="1" applyFont="1" applyBorder="1" applyAlignment="1">
      <alignment horizontal="center" vertical="center"/>
    </xf>
    <xf numFmtId="2" fontId="7" fillId="0" borderId="29" xfId="0" applyNumberFormat="1" applyFont="1" applyBorder="1" applyAlignment="1">
      <alignment horizontal="center" vertical="center"/>
    </xf>
    <xf numFmtId="2" fontId="7" fillId="0" borderId="30" xfId="0" applyNumberFormat="1" applyFont="1" applyBorder="1" applyAlignment="1">
      <alignment horizontal="center" vertical="center"/>
    </xf>
    <xf numFmtId="0" fontId="35" fillId="0" borderId="16" xfId="0" applyFont="1" applyBorder="1" applyAlignment="1">
      <alignment vertical="center"/>
    </xf>
    <xf numFmtId="2" fontId="7" fillId="0" borderId="69" xfId="0" applyNumberFormat="1" applyFont="1" applyBorder="1" applyAlignment="1">
      <alignment horizontal="center" vertical="center"/>
    </xf>
    <xf numFmtId="1" fontId="0" fillId="0" borderId="2" xfId="0" applyNumberFormat="1" applyBorder="1"/>
    <xf numFmtId="0" fontId="7" fillId="0" borderId="35" xfId="0" applyFont="1" applyBorder="1"/>
    <xf numFmtId="0" fontId="7" fillId="0" borderId="37" xfId="0" applyFont="1" applyBorder="1"/>
    <xf numFmtId="0" fontId="7" fillId="0" borderId="38" xfId="0" applyFont="1" applyBorder="1"/>
    <xf numFmtId="0" fontId="7" fillId="0" borderId="0" xfId="0" applyFont="1"/>
    <xf numFmtId="0" fontId="7" fillId="0" borderId="19" xfId="0" applyFont="1" applyBorder="1"/>
    <xf numFmtId="2" fontId="7" fillId="0" borderId="17" xfId="0" applyNumberFormat="1" applyFont="1" applyBorder="1" applyAlignment="1">
      <alignment horizontal="center" vertical="center"/>
    </xf>
    <xf numFmtId="2" fontId="7" fillId="0" borderId="47" xfId="0" applyNumberFormat="1" applyFont="1" applyBorder="1" applyAlignment="1">
      <alignment horizontal="center" vertical="center"/>
    </xf>
    <xf numFmtId="0" fontId="0" fillId="17" borderId="64" xfId="0" applyFill="1" applyBorder="1"/>
    <xf numFmtId="0" fontId="0" fillId="0" borderId="19" xfId="0" applyBorder="1" applyAlignment="1">
      <alignment horizontal="left"/>
    </xf>
    <xf numFmtId="0" fontId="0" fillId="0" borderId="64" xfId="0" applyBorder="1" applyAlignment="1">
      <alignment horizontal="left"/>
    </xf>
    <xf numFmtId="0" fontId="7" fillId="17" borderId="51" xfId="0" applyFont="1" applyFill="1" applyBorder="1" applyAlignment="1">
      <alignment vertical="center"/>
    </xf>
    <xf numFmtId="0" fontId="35" fillId="0" borderId="68" xfId="0" applyFont="1" applyBorder="1" applyAlignment="1">
      <alignment vertical="center"/>
    </xf>
    <xf numFmtId="2" fontId="6" fillId="4" borderId="19" xfId="0" applyNumberFormat="1" applyFont="1" applyFill="1" applyBorder="1" applyAlignment="1">
      <alignment horizontal="center" vertical="center"/>
    </xf>
    <xf numFmtId="2" fontId="7" fillId="0" borderId="50" xfId="0" applyNumberFormat="1" applyFont="1" applyBorder="1" applyAlignment="1">
      <alignment horizontal="center" vertical="center"/>
    </xf>
    <xf numFmtId="2" fontId="7" fillId="0" borderId="51" xfId="0" applyNumberFormat="1" applyFont="1" applyBorder="1" applyAlignment="1">
      <alignment horizontal="center" vertical="center"/>
    </xf>
    <xf numFmtId="0" fontId="6" fillId="38" borderId="35" xfId="0" applyFont="1" applyFill="1" applyBorder="1" applyAlignment="1">
      <alignment horizontal="left" vertical="center"/>
    </xf>
    <xf numFmtId="169" fontId="7" fillId="0" borderId="38" xfId="0" applyNumberFormat="1" applyFont="1" applyBorder="1" applyAlignment="1">
      <alignment horizontal="left" vertical="center"/>
    </xf>
    <xf numFmtId="169" fontId="0" fillId="0" borderId="35" xfId="0" applyNumberFormat="1" applyBorder="1"/>
    <xf numFmtId="169" fontId="0" fillId="0" borderId="36" xfId="0" applyNumberFormat="1" applyBorder="1"/>
    <xf numFmtId="169" fontId="0" fillId="0" borderId="57" xfId="0" applyNumberFormat="1" applyBorder="1"/>
    <xf numFmtId="1" fontId="0" fillId="0" borderId="20" xfId="0" applyNumberFormat="1" applyBorder="1"/>
    <xf numFmtId="1" fontId="0" fillId="0" borderId="7" xfId="0" applyNumberFormat="1" applyBorder="1"/>
    <xf numFmtId="2" fontId="6" fillId="4" borderId="18" xfId="0" applyNumberFormat="1" applyFont="1" applyFill="1" applyBorder="1" applyAlignment="1">
      <alignment horizontal="center" vertical="center"/>
    </xf>
    <xf numFmtId="0" fontId="35" fillId="0" borderId="69" xfId="0" applyFont="1" applyBorder="1" applyAlignment="1">
      <alignment vertical="center"/>
    </xf>
    <xf numFmtId="0" fontId="43" fillId="39" borderId="0" xfId="0" applyFont="1" applyFill="1" applyAlignment="1">
      <alignment horizontal="left" vertical="center"/>
    </xf>
    <xf numFmtId="0" fontId="27" fillId="40" borderId="9" xfId="0" applyFont="1" applyFill="1" applyBorder="1" applyAlignment="1">
      <alignment horizontal="left" vertical="top"/>
    </xf>
    <xf numFmtId="0" fontId="27" fillId="0" borderId="0" xfId="0" applyFont="1"/>
    <xf numFmtId="0" fontId="44" fillId="39" borderId="9" xfId="0" applyFont="1" applyFill="1" applyBorder="1" applyAlignment="1">
      <alignment horizontal="center" vertical="center"/>
    </xf>
    <xf numFmtId="0" fontId="32" fillId="20" borderId="7" xfId="0" applyFont="1" applyFill="1" applyBorder="1" applyAlignment="1">
      <alignment horizontal="left" vertical="center"/>
    </xf>
    <xf numFmtId="0" fontId="32" fillId="20" borderId="13" xfId="0" applyFont="1" applyFill="1" applyBorder="1" applyAlignment="1">
      <alignment horizontal="left" vertical="center"/>
    </xf>
    <xf numFmtId="0" fontId="7" fillId="5" borderId="2" xfId="0" applyFont="1" applyFill="1" applyBorder="1" applyAlignment="1">
      <alignment horizontal="left" vertical="center"/>
    </xf>
    <xf numFmtId="0" fontId="7" fillId="5" borderId="10" xfId="0" applyFont="1" applyFill="1" applyBorder="1" applyAlignment="1">
      <alignment horizontal="left" vertical="center"/>
    </xf>
    <xf numFmtId="0" fontId="7" fillId="42" borderId="9" xfId="0" applyFont="1" applyFill="1" applyBorder="1" applyAlignment="1">
      <alignment horizontal="left" vertical="center"/>
    </xf>
    <xf numFmtId="170" fontId="0" fillId="0" borderId="0" xfId="0" applyNumberFormat="1"/>
    <xf numFmtId="9" fontId="23" fillId="9" borderId="12" xfId="40" applyNumberFormat="1"/>
    <xf numFmtId="11" fontId="23" fillId="9" borderId="12" xfId="40" applyNumberFormat="1"/>
    <xf numFmtId="0" fontId="45" fillId="20" borderId="0" xfId="0" applyFont="1" applyFill="1"/>
    <xf numFmtId="0" fontId="0" fillId="20" borderId="0" xfId="0" applyFill="1" applyAlignment="1">
      <alignment vertical="center"/>
    </xf>
    <xf numFmtId="11" fontId="0" fillId="44" borderId="9" xfId="0" applyNumberFormat="1" applyFill="1" applyBorder="1"/>
    <xf numFmtId="0" fontId="15" fillId="41" borderId="0" xfId="50"/>
    <xf numFmtId="0" fontId="17" fillId="41" borderId="0" xfId="50" applyFont="1"/>
    <xf numFmtId="0" fontId="0" fillId="27" borderId="9" xfId="0" applyFill="1" applyBorder="1"/>
    <xf numFmtId="0" fontId="0" fillId="26" borderId="9" xfId="0" applyFill="1" applyBorder="1"/>
    <xf numFmtId="9" fontId="5" fillId="27" borderId="9" xfId="0" applyNumberFormat="1" applyFont="1" applyFill="1" applyBorder="1"/>
    <xf numFmtId="0" fontId="0" fillId="24" borderId="9" xfId="0" applyFill="1" applyBorder="1"/>
    <xf numFmtId="10" fontId="0" fillId="24" borderId="9" xfId="47" applyNumberFormat="1" applyFont="1" applyFill="1" applyBorder="1"/>
    <xf numFmtId="170" fontId="0" fillId="24" borderId="9" xfId="47" applyNumberFormat="1" applyFont="1" applyFill="1" applyBorder="1"/>
    <xf numFmtId="10" fontId="0" fillId="24" borderId="9" xfId="0" applyNumberFormat="1" applyFill="1" applyBorder="1"/>
    <xf numFmtId="0" fontId="6" fillId="43" borderId="9" xfId="0" applyFont="1" applyFill="1" applyBorder="1"/>
    <xf numFmtId="0" fontId="0" fillId="26" borderId="9" xfId="0" applyFill="1" applyBorder="1" applyAlignment="1">
      <alignment horizontal="right"/>
    </xf>
    <xf numFmtId="0" fontId="5" fillId="27" borderId="9" xfId="0" applyFont="1" applyFill="1" applyBorder="1" applyAlignment="1">
      <alignment horizontal="right"/>
    </xf>
    <xf numFmtId="11" fontId="0" fillId="24" borderId="9" xfId="0" applyNumberFormat="1" applyFill="1" applyBorder="1"/>
    <xf numFmtId="1" fontId="0" fillId="24" borderId="9" xfId="0" applyNumberFormat="1" applyFill="1" applyBorder="1"/>
    <xf numFmtId="9" fontId="0" fillId="0" borderId="9" xfId="47" applyFont="1" applyBorder="1"/>
    <xf numFmtId="9" fontId="0" fillId="0" borderId="9" xfId="0" applyNumberFormat="1" applyBorder="1"/>
    <xf numFmtId="11" fontId="0" fillId="0" borderId="9" xfId="0" applyNumberFormat="1" applyBorder="1"/>
    <xf numFmtId="11" fontId="5" fillId="0" borderId="0" xfId="0" applyNumberFormat="1" applyFont="1"/>
    <xf numFmtId="0" fontId="0" fillId="0" borderId="59" xfId="0" applyBorder="1" applyAlignment="1">
      <alignment horizontal="left" vertical="center"/>
    </xf>
    <xf numFmtId="11" fontId="7" fillId="0" borderId="38" xfId="0" applyNumberFormat="1" applyFont="1" applyBorder="1" applyAlignment="1">
      <alignment horizontal="left" vertical="center"/>
    </xf>
    <xf numFmtId="11" fontId="7" fillId="0" borderId="49" xfId="0" applyNumberFormat="1" applyFont="1" applyBorder="1" applyAlignment="1">
      <alignment horizontal="left" vertical="center"/>
    </xf>
    <xf numFmtId="2" fontId="6" fillId="0" borderId="17" xfId="0" applyNumberFormat="1" applyFont="1" applyBorder="1" applyAlignment="1">
      <alignment horizontal="center" vertical="center"/>
    </xf>
    <xf numFmtId="0" fontId="7" fillId="17" borderId="19" xfId="0" applyFont="1" applyFill="1" applyBorder="1" applyAlignment="1">
      <alignment vertical="center"/>
    </xf>
    <xf numFmtId="0" fontId="7" fillId="17" borderId="50" xfId="0" applyFont="1" applyFill="1" applyBorder="1" applyAlignment="1">
      <alignment horizontal="left" vertical="center"/>
    </xf>
    <xf numFmtId="0" fontId="7" fillId="0" borderId="50" xfId="0" applyFont="1" applyBorder="1"/>
    <xf numFmtId="2" fontId="7" fillId="0" borderId="35" xfId="0" applyNumberFormat="1" applyFont="1" applyBorder="1" applyAlignment="1">
      <alignment horizontal="center" vertical="center"/>
    </xf>
    <xf numFmtId="2" fontId="7" fillId="0" borderId="32" xfId="0" applyNumberFormat="1" applyFont="1" applyBorder="1" applyAlignment="1">
      <alignment horizontal="center" vertical="center"/>
    </xf>
    <xf numFmtId="0" fontId="5" fillId="27" borderId="31" xfId="0" applyFont="1" applyFill="1" applyBorder="1" applyAlignment="1">
      <alignment horizontal="left" vertical="center"/>
    </xf>
    <xf numFmtId="0" fontId="5" fillId="27" borderId="16" xfId="0" applyFont="1" applyFill="1" applyBorder="1" applyAlignment="1">
      <alignment horizontal="left" vertical="center"/>
    </xf>
    <xf numFmtId="0" fontId="7" fillId="0" borderId="21" xfId="0" applyFont="1" applyBorder="1"/>
    <xf numFmtId="0" fontId="0" fillId="0" borderId="27" xfId="0" applyBorder="1"/>
    <xf numFmtId="0" fontId="0" fillId="0" borderId="30" xfId="0" applyBorder="1"/>
    <xf numFmtId="0" fontId="0" fillId="0" borderId="66" xfId="0" applyBorder="1"/>
    <xf numFmtId="0" fontId="7" fillId="0" borderId="5" xfId="0" applyFont="1" applyBorder="1" applyAlignment="1">
      <alignment horizontal="left" vertical="center"/>
    </xf>
    <xf numFmtId="2" fontId="7" fillId="0" borderId="40" xfId="0" applyNumberFormat="1" applyFont="1" applyBorder="1" applyAlignment="1">
      <alignment horizontal="center" vertical="center"/>
    </xf>
    <xf numFmtId="0" fontId="5" fillId="27" borderId="31" xfId="0" applyFont="1" applyFill="1" applyBorder="1"/>
    <xf numFmtId="0" fontId="46" fillId="8" borderId="9" xfId="51" applyBorder="1"/>
    <xf numFmtId="0" fontId="0" fillId="0" borderId="0" xfId="47" applyNumberFormat="1" applyFont="1"/>
    <xf numFmtId="0" fontId="14" fillId="36" borderId="0" xfId="48" applyNumberFormat="1"/>
    <xf numFmtId="0" fontId="27" fillId="40" borderId="0" xfId="0" applyFont="1" applyFill="1" applyAlignment="1">
      <alignment horizontal="left" vertical="top"/>
    </xf>
    <xf numFmtId="0" fontId="5" fillId="27" borderId="63" xfId="0" applyFont="1" applyFill="1" applyBorder="1" applyAlignment="1">
      <alignment vertical="center"/>
    </xf>
    <xf numFmtId="0" fontId="6" fillId="27" borderId="31" xfId="0" applyFont="1" applyFill="1" applyBorder="1" applyAlignment="1">
      <alignment horizontal="left" vertical="center"/>
    </xf>
    <xf numFmtId="0" fontId="0" fillId="0" borderId="20" xfId="0" applyBorder="1" applyAlignment="1">
      <alignment horizontal="left" vertical="center"/>
    </xf>
    <xf numFmtId="0" fontId="0" fillId="0" borderId="7" xfId="0" applyBorder="1" applyAlignment="1">
      <alignment horizontal="left" vertical="center"/>
    </xf>
    <xf numFmtId="0" fontId="0" fillId="0" borderId="48" xfId="0" applyBorder="1" applyAlignment="1">
      <alignment horizontal="left" vertical="center"/>
    </xf>
    <xf numFmtId="2" fontId="0" fillId="0" borderId="35" xfId="0" applyNumberFormat="1" applyBorder="1"/>
    <xf numFmtId="2" fontId="0" fillId="0" borderId="36" xfId="0" applyNumberFormat="1" applyBorder="1"/>
    <xf numFmtId="2" fontId="0" fillId="0" borderId="37" xfId="0" applyNumberFormat="1" applyBorder="1"/>
    <xf numFmtId="0" fontId="0" fillId="0" borderId="35" xfId="0" applyBorder="1" applyAlignment="1">
      <alignment vertical="center"/>
    </xf>
    <xf numFmtId="0" fontId="0" fillId="0" borderId="36" xfId="0" applyBorder="1" applyAlignment="1">
      <alignment vertical="center"/>
    </xf>
    <xf numFmtId="0" fontId="0" fillId="0" borderId="37" xfId="0" applyBorder="1" applyAlignment="1">
      <alignment vertical="center"/>
    </xf>
    <xf numFmtId="0" fontId="0" fillId="0" borderId="20" xfId="0" applyBorder="1" applyAlignment="1">
      <alignment vertical="center"/>
    </xf>
    <xf numFmtId="0" fontId="0" fillId="0" borderId="7" xfId="0" applyBorder="1" applyAlignment="1">
      <alignment vertical="center"/>
    </xf>
    <xf numFmtId="0" fontId="19" fillId="0" borderId="7" xfId="37" applyBorder="1" applyAlignment="1">
      <alignment vertical="center"/>
    </xf>
    <xf numFmtId="0" fontId="47" fillId="0" borderId="63" xfId="0" applyFont="1" applyBorder="1" applyAlignment="1">
      <alignment vertical="center"/>
    </xf>
    <xf numFmtId="0" fontId="48" fillId="0" borderId="65" xfId="0" applyFont="1" applyBorder="1" applyAlignment="1">
      <alignment horizontal="left" vertical="center"/>
    </xf>
    <xf numFmtId="0" fontId="37" fillId="0" borderId="71" xfId="0" applyFont="1" applyBorder="1" applyAlignment="1">
      <alignment horizontal="left" vertical="center"/>
    </xf>
    <xf numFmtId="0" fontId="0" fillId="5" borderId="0" xfId="0" applyFill="1"/>
    <xf numFmtId="0" fontId="0" fillId="0" borderId="1" xfId="0" applyBorder="1"/>
    <xf numFmtId="0" fontId="7" fillId="5" borderId="64" xfId="0" applyFont="1" applyFill="1" applyBorder="1" applyAlignment="1">
      <alignment vertical="center"/>
    </xf>
    <xf numFmtId="0" fontId="7" fillId="5" borderId="0" xfId="0" applyFont="1" applyFill="1" applyAlignment="1">
      <alignment vertical="center"/>
    </xf>
    <xf numFmtId="0" fontId="7" fillId="5" borderId="65" xfId="0" applyFont="1" applyFill="1" applyBorder="1" applyAlignment="1">
      <alignment vertical="center"/>
    </xf>
    <xf numFmtId="2" fontId="7" fillId="5" borderId="64" xfId="0" applyNumberFormat="1" applyFont="1" applyFill="1" applyBorder="1" applyAlignment="1">
      <alignment vertical="center"/>
    </xf>
    <xf numFmtId="2" fontId="7" fillId="5" borderId="65" xfId="0" applyNumberFormat="1" applyFont="1" applyFill="1" applyBorder="1" applyAlignment="1">
      <alignment vertical="center"/>
    </xf>
    <xf numFmtId="0" fontId="8" fillId="0" borderId="0" xfId="0" applyFont="1" applyAlignment="1">
      <alignment vertical="center"/>
    </xf>
    <xf numFmtId="165" fontId="49" fillId="0" borderId="0" xfId="0" applyNumberFormat="1" applyFont="1"/>
    <xf numFmtId="0" fontId="7" fillId="0" borderId="64" xfId="0" applyFont="1" applyBorder="1" applyAlignment="1">
      <alignment vertical="center"/>
    </xf>
    <xf numFmtId="0" fontId="7" fillId="0" borderId="65" xfId="0" applyFont="1" applyBorder="1" applyAlignment="1">
      <alignment vertical="center"/>
    </xf>
    <xf numFmtId="165" fontId="0" fillId="0" borderId="0" xfId="0" applyNumberFormat="1"/>
    <xf numFmtId="2" fontId="7" fillId="0" borderId="64" xfId="0" applyNumberFormat="1" applyFont="1" applyBorder="1" applyAlignment="1">
      <alignment vertical="center"/>
    </xf>
    <xf numFmtId="2" fontId="7" fillId="0" borderId="65" xfId="0" applyNumberFormat="1" applyFont="1" applyBorder="1" applyAlignment="1">
      <alignment vertical="center"/>
    </xf>
    <xf numFmtId="0" fontId="50" fillId="0" borderId="71" xfId="0" applyFont="1" applyBorder="1" applyAlignment="1">
      <alignment horizontal="left" vertical="center"/>
    </xf>
    <xf numFmtId="0" fontId="8" fillId="0" borderId="0" xfId="0" applyFont="1"/>
    <xf numFmtId="0" fontId="47" fillId="0" borderId="0" xfId="0" applyFont="1" applyAlignment="1">
      <alignment vertical="center"/>
    </xf>
    <xf numFmtId="0" fontId="51" fillId="0" borderId="71" xfId="0" applyFont="1" applyBorder="1" applyAlignment="1">
      <alignment horizontal="left" vertical="center"/>
    </xf>
    <xf numFmtId="0" fontId="52" fillId="0" borderId="71" xfId="0" applyFont="1" applyBorder="1" applyAlignment="1">
      <alignment horizontal="left" vertical="center"/>
    </xf>
    <xf numFmtId="0" fontId="47" fillId="0" borderId="43" xfId="0" applyFont="1" applyBorder="1" applyAlignment="1">
      <alignment horizontal="left" vertical="center"/>
    </xf>
    <xf numFmtId="0" fontId="47" fillId="0" borderId="61" xfId="0" applyFont="1" applyBorder="1" applyAlignment="1">
      <alignment vertical="center"/>
    </xf>
    <xf numFmtId="0" fontId="48" fillId="0" borderId="4" xfId="0" applyFont="1" applyBorder="1" applyAlignment="1">
      <alignment horizontal="left" vertical="center"/>
    </xf>
    <xf numFmtId="0" fontId="8" fillId="0" borderId="3" xfId="0" applyFont="1" applyBorder="1" applyAlignment="1">
      <alignment vertical="center"/>
    </xf>
    <xf numFmtId="0" fontId="0" fillId="0" borderId="3" xfId="0" applyBorder="1" applyAlignment="1">
      <alignment vertical="center"/>
    </xf>
    <xf numFmtId="11" fontId="0" fillId="0" borderId="0" xfId="0" applyNumberFormat="1" applyAlignment="1">
      <alignment horizontal="left" vertical="center"/>
    </xf>
    <xf numFmtId="169" fontId="0" fillId="24" borderId="7" xfId="0" applyNumberFormat="1" applyFill="1" applyBorder="1" applyAlignment="1">
      <alignment horizontal="left" vertical="center"/>
    </xf>
    <xf numFmtId="0" fontId="43" fillId="39" borderId="9" xfId="0" applyFont="1" applyFill="1" applyBorder="1" applyAlignment="1">
      <alignment horizontal="center" vertical="center" wrapText="1"/>
    </xf>
    <xf numFmtId="0" fontId="55" fillId="45" borderId="55" xfId="0" applyFont="1" applyFill="1" applyBorder="1" applyAlignment="1">
      <alignment horizontal="center" vertical="center"/>
    </xf>
    <xf numFmtId="0" fontId="55" fillId="45" borderId="54" xfId="0" applyFont="1" applyFill="1" applyBorder="1" applyAlignment="1">
      <alignment horizontal="center" vertical="center"/>
    </xf>
    <xf numFmtId="0" fontId="55" fillId="45" borderId="45" xfId="0" applyFont="1" applyFill="1" applyBorder="1" applyAlignment="1">
      <alignment horizontal="center" vertical="center"/>
    </xf>
    <xf numFmtId="0" fontId="55" fillId="45" borderId="46" xfId="0" applyFont="1" applyFill="1" applyBorder="1" applyAlignment="1">
      <alignment horizontal="center" vertical="center"/>
    </xf>
    <xf numFmtId="0" fontId="55" fillId="46" borderId="45" xfId="0" applyFont="1" applyFill="1" applyBorder="1" applyAlignment="1">
      <alignment horizontal="center" vertical="center"/>
    </xf>
    <xf numFmtId="0" fontId="55" fillId="46" borderId="46" xfId="0" applyFont="1" applyFill="1" applyBorder="1" applyAlignment="1">
      <alignment horizontal="center" vertical="center"/>
    </xf>
    <xf numFmtId="0" fontId="55" fillId="46" borderId="55" xfId="0" applyFont="1" applyFill="1" applyBorder="1" applyAlignment="1">
      <alignment horizontal="center" vertical="center"/>
    </xf>
    <xf numFmtId="0" fontId="55" fillId="46" borderId="54" xfId="0" applyFont="1" applyFill="1" applyBorder="1" applyAlignment="1">
      <alignment horizontal="center" vertical="center"/>
    </xf>
    <xf numFmtId="0" fontId="0" fillId="17" borderId="61" xfId="46" applyFont="1" applyFill="1" applyBorder="1"/>
    <xf numFmtId="0" fontId="0" fillId="17" borderId="59" xfId="46" applyFont="1" applyFill="1" applyBorder="1" applyAlignment="1">
      <alignment vertical="center"/>
    </xf>
    <xf numFmtId="0" fontId="0" fillId="17" borderId="59" xfId="46" applyFont="1" applyFill="1" applyBorder="1"/>
    <xf numFmtId="0" fontId="7" fillId="0" borderId="7" xfId="52" applyFont="1" applyBorder="1"/>
    <xf numFmtId="0" fontId="0" fillId="0" borderId="51" xfId="0" applyBorder="1" applyAlignment="1">
      <alignment horizontal="left" vertical="center"/>
    </xf>
    <xf numFmtId="0" fontId="0" fillId="0" borderId="21" xfId="0" applyBorder="1" applyAlignment="1">
      <alignment horizontal="left" vertical="center"/>
    </xf>
    <xf numFmtId="11" fontId="7" fillId="0" borderId="48" xfId="0" applyNumberFormat="1" applyFont="1" applyBorder="1" applyAlignment="1">
      <alignment horizontal="left" vertical="center"/>
    </xf>
    <xf numFmtId="11" fontId="7" fillId="0" borderId="3" xfId="0" applyNumberFormat="1" applyFont="1" applyBorder="1" applyAlignment="1">
      <alignment horizontal="left" vertical="center"/>
    </xf>
    <xf numFmtId="11" fontId="7" fillId="0" borderId="2" xfId="0" applyNumberFormat="1" applyFont="1" applyBorder="1" applyAlignment="1">
      <alignment horizontal="left" vertical="center"/>
    </xf>
    <xf numFmtId="2" fontId="7" fillId="0" borderId="3" xfId="0" applyNumberFormat="1" applyFont="1" applyBorder="1" applyAlignment="1">
      <alignment horizontal="left" vertical="center"/>
    </xf>
    <xf numFmtId="2" fontId="7" fillId="0" borderId="32" xfId="0" applyNumberFormat="1" applyFont="1" applyBorder="1" applyAlignment="1">
      <alignment horizontal="left" vertical="center"/>
    </xf>
    <xf numFmtId="0" fontId="7" fillId="0" borderId="63" xfId="0" applyFont="1" applyBorder="1" applyAlignment="1">
      <alignment vertical="center"/>
    </xf>
    <xf numFmtId="0" fontId="57" fillId="0" borderId="0" xfId="0" applyFont="1" applyAlignment="1">
      <alignment horizontal="left" vertical="center"/>
    </xf>
    <xf numFmtId="0" fontId="5" fillId="2" borderId="32" xfId="0" applyFont="1" applyFill="1" applyBorder="1" applyAlignment="1">
      <alignment horizontal="left" vertical="center" wrapText="1"/>
    </xf>
    <xf numFmtId="0" fontId="5" fillId="3" borderId="32" xfId="0" applyFont="1" applyFill="1" applyBorder="1" applyAlignment="1">
      <alignment horizontal="left" vertical="center"/>
    </xf>
    <xf numFmtId="0" fontId="15" fillId="0" borderId="36" xfId="0" applyFont="1" applyBorder="1" applyAlignment="1">
      <alignment horizontal="left" vertical="center"/>
    </xf>
    <xf numFmtId="2" fontId="27" fillId="40" borderId="9" xfId="0" applyNumberFormat="1" applyFont="1" applyFill="1" applyBorder="1" applyAlignment="1">
      <alignment horizontal="center" vertical="center"/>
    </xf>
    <xf numFmtId="169" fontId="0" fillId="0" borderId="0" xfId="0" applyNumberFormat="1" applyAlignment="1">
      <alignment horizontal="left" vertical="center"/>
    </xf>
    <xf numFmtId="0" fontId="56" fillId="0" borderId="0" xfId="0" applyFont="1"/>
    <xf numFmtId="0" fontId="58" fillId="0" borderId="0" xfId="0" applyFont="1" applyAlignment="1">
      <alignment horizontal="left" vertical="center"/>
    </xf>
    <xf numFmtId="0" fontId="56" fillId="0" borderId="0" xfId="0" applyFont="1" applyAlignment="1">
      <alignment horizontal="left" vertical="center"/>
    </xf>
    <xf numFmtId="0" fontId="55" fillId="49" borderId="16" xfId="0" applyFont="1" applyFill="1" applyBorder="1" applyAlignment="1">
      <alignment horizontal="left" vertical="center"/>
    </xf>
    <xf numFmtId="0" fontId="59" fillId="0" borderId="30" xfId="0" applyFont="1" applyBorder="1" applyAlignment="1">
      <alignment horizontal="left" vertical="center"/>
    </xf>
    <xf numFmtId="0" fontId="60" fillId="50" borderId="25" xfId="37" applyFont="1" applyFill="1" applyBorder="1" applyAlignment="1">
      <alignment horizontal="left" vertical="center"/>
    </xf>
    <xf numFmtId="0" fontId="59" fillId="50" borderId="27" xfId="0" applyFont="1" applyFill="1" applyBorder="1" applyAlignment="1">
      <alignment horizontal="left" vertical="center"/>
    </xf>
    <xf numFmtId="0" fontId="60" fillId="0" borderId="27" xfId="37" applyFont="1" applyBorder="1" applyAlignment="1">
      <alignment horizontal="left" vertical="center"/>
    </xf>
    <xf numFmtId="0" fontId="59" fillId="0" borderId="27" xfId="0" applyFont="1" applyBorder="1" applyAlignment="1">
      <alignment horizontal="left" vertical="center"/>
    </xf>
    <xf numFmtId="0" fontId="60" fillId="50" borderId="27" xfId="37" applyFont="1" applyFill="1" applyBorder="1" applyAlignment="1">
      <alignment horizontal="left" vertical="center"/>
    </xf>
    <xf numFmtId="0" fontId="59" fillId="0" borderId="69" xfId="0" applyFont="1" applyBorder="1" applyAlignment="1">
      <alignment horizontal="left" vertical="center"/>
    </xf>
    <xf numFmtId="0" fontId="59" fillId="50" borderId="25" xfId="0" applyFont="1" applyFill="1" applyBorder="1" applyAlignment="1">
      <alignment horizontal="left" vertical="center"/>
    </xf>
    <xf numFmtId="2" fontId="27" fillId="40" borderId="3" xfId="0" applyNumberFormat="1" applyFont="1" applyFill="1" applyBorder="1" applyAlignment="1">
      <alignment horizontal="center" vertical="center"/>
    </xf>
    <xf numFmtId="2" fontId="27" fillId="40" borderId="7" xfId="0" applyNumberFormat="1" applyFont="1" applyFill="1" applyBorder="1" applyAlignment="1">
      <alignment horizontal="center" vertical="center"/>
    </xf>
    <xf numFmtId="0" fontId="43" fillId="39" borderId="9" xfId="0" applyFont="1" applyFill="1" applyBorder="1" applyAlignment="1">
      <alignment horizontal="left" vertical="center"/>
    </xf>
    <xf numFmtId="0" fontId="43" fillId="39" borderId="62" xfId="0" applyFont="1" applyFill="1" applyBorder="1" applyAlignment="1">
      <alignment horizontal="left" vertical="center"/>
    </xf>
    <xf numFmtId="0" fontId="5" fillId="2" borderId="0" xfId="0" applyFont="1" applyFill="1" applyAlignment="1">
      <alignment horizontal="center" vertical="center"/>
    </xf>
    <xf numFmtId="0" fontId="0" fillId="0" borderId="59" xfId="0" applyBorder="1"/>
    <xf numFmtId="0" fontId="6" fillId="2" borderId="32" xfId="0" applyFont="1" applyFill="1" applyBorder="1" applyAlignment="1">
      <alignment horizontal="left" vertical="center" wrapText="1"/>
    </xf>
    <xf numFmtId="0" fontId="27" fillId="51" borderId="21" xfId="0" applyFont="1" applyFill="1" applyBorder="1" applyAlignment="1">
      <alignment horizontal="left" vertical="center"/>
    </xf>
    <xf numFmtId="0" fontId="27" fillId="51" borderId="33" xfId="0" applyFont="1" applyFill="1" applyBorder="1" applyAlignment="1">
      <alignment horizontal="left" vertical="center"/>
    </xf>
    <xf numFmtId="0" fontId="0" fillId="51" borderId="33" xfId="0" applyFill="1" applyBorder="1" applyAlignment="1">
      <alignment horizontal="left" vertical="center"/>
    </xf>
    <xf numFmtId="0" fontId="0" fillId="51" borderId="34" xfId="0" applyFill="1" applyBorder="1" applyAlignment="1">
      <alignment horizontal="left" vertical="center"/>
    </xf>
    <xf numFmtId="0" fontId="27" fillId="51" borderId="35" xfId="0" applyFont="1" applyFill="1" applyBorder="1" applyAlignment="1">
      <alignment horizontal="left" vertical="center"/>
    </xf>
    <xf numFmtId="0" fontId="27" fillId="51" borderId="36" xfId="0" applyFont="1" applyFill="1" applyBorder="1" applyAlignment="1">
      <alignment horizontal="left" vertical="center"/>
    </xf>
    <xf numFmtId="0" fontId="0" fillId="51" borderId="36" xfId="0" applyFill="1" applyBorder="1" applyAlignment="1">
      <alignment horizontal="left" vertical="center"/>
    </xf>
    <xf numFmtId="0" fontId="0" fillId="51" borderId="37" xfId="0" applyFill="1" applyBorder="1" applyAlignment="1">
      <alignment horizontal="left" vertical="center"/>
    </xf>
    <xf numFmtId="0" fontId="7" fillId="0" borderId="50" xfId="0" applyFont="1" applyBorder="1" applyAlignment="1">
      <alignment horizontal="left"/>
    </xf>
    <xf numFmtId="0" fontId="0" fillId="0" borderId="64" xfId="0" applyBorder="1"/>
    <xf numFmtId="0" fontId="5" fillId="7" borderId="32" xfId="0" applyFont="1" applyFill="1" applyBorder="1" applyAlignment="1">
      <alignment horizontal="left" vertical="center" wrapText="1"/>
    </xf>
    <xf numFmtId="0" fontId="0" fillId="17" borderId="9" xfId="0" applyFill="1" applyBorder="1"/>
    <xf numFmtId="0" fontId="19" fillId="24" borderId="9" xfId="37" applyFill="1" applyBorder="1"/>
    <xf numFmtId="0" fontId="7" fillId="0" borderId="8" xfId="0" applyFont="1" applyBorder="1" applyAlignment="1">
      <alignment horizontal="left" vertical="center"/>
    </xf>
    <xf numFmtId="0" fontId="6" fillId="2" borderId="9" xfId="0" applyFont="1" applyFill="1" applyBorder="1" applyAlignment="1">
      <alignment horizontal="left" vertical="center"/>
    </xf>
    <xf numFmtId="0" fontId="6" fillId="6" borderId="9" xfId="0" applyFont="1" applyFill="1" applyBorder="1" applyAlignment="1">
      <alignment horizontal="left" vertical="center"/>
    </xf>
    <xf numFmtId="0" fontId="6" fillId="3" borderId="9" xfId="0" applyFont="1" applyFill="1" applyBorder="1" applyAlignment="1">
      <alignment horizontal="left" vertical="center"/>
    </xf>
    <xf numFmtId="0" fontId="0" fillId="0" borderId="4" xfId="0" applyBorder="1"/>
    <xf numFmtId="2" fontId="0" fillId="0" borderId="9" xfId="0" applyNumberFormat="1" applyBorder="1" applyAlignment="1">
      <alignment horizontal="left"/>
    </xf>
    <xf numFmtId="0" fontId="7" fillId="0" borderId="9" xfId="0" applyFont="1" applyBorder="1" applyAlignment="1">
      <alignment horizontal="left"/>
    </xf>
    <xf numFmtId="165" fontId="7" fillId="0" borderId="9" xfId="0" applyNumberFormat="1" applyFont="1" applyBorder="1" applyAlignment="1">
      <alignment horizontal="left" vertical="center"/>
    </xf>
    <xf numFmtId="0" fontId="5" fillId="29" borderId="9" xfId="0" applyFont="1" applyFill="1" applyBorder="1" applyAlignment="1">
      <alignment horizontal="left" vertical="center" wrapText="1"/>
    </xf>
    <xf numFmtId="0" fontId="5" fillId="29" borderId="31" xfId="0" applyFont="1" applyFill="1" applyBorder="1" applyAlignment="1">
      <alignment horizontal="left" vertical="center" wrapText="1"/>
    </xf>
    <xf numFmtId="0" fontId="6" fillId="4" borderId="9" xfId="0" applyFont="1" applyFill="1" applyBorder="1" applyAlignment="1">
      <alignment horizontal="left" vertical="center" wrapText="1"/>
    </xf>
    <xf numFmtId="0" fontId="6" fillId="2" borderId="13" xfId="0" applyFont="1" applyFill="1" applyBorder="1" applyAlignment="1">
      <alignment horizontal="left" vertical="center"/>
    </xf>
    <xf numFmtId="0" fontId="64" fillId="0" borderId="0" xfId="0" applyFont="1"/>
    <xf numFmtId="0" fontId="17" fillId="53" borderId="0" xfId="0" applyFont="1" applyFill="1" applyAlignment="1">
      <alignment horizontal="center" vertical="center"/>
    </xf>
    <xf numFmtId="0" fontId="27" fillId="0" borderId="9" xfId="0" applyFont="1" applyBorder="1"/>
    <xf numFmtId="0" fontId="27" fillId="0" borderId="9" xfId="0" applyFont="1" applyBorder="1" applyAlignment="1">
      <alignment horizontal="left"/>
    </xf>
    <xf numFmtId="0" fontId="43" fillId="39" borderId="16" xfId="0" applyFont="1" applyFill="1" applyBorder="1" applyAlignment="1">
      <alignment horizontal="left" vertical="center"/>
    </xf>
    <xf numFmtId="0" fontId="64" fillId="0" borderId="9" xfId="0" applyFont="1" applyBorder="1"/>
    <xf numFmtId="169" fontId="7" fillId="0" borderId="24" xfId="0" applyNumberFormat="1" applyFont="1" applyBorder="1" applyAlignment="1">
      <alignment horizontal="left" vertical="center"/>
    </xf>
    <xf numFmtId="0" fontId="7" fillId="0" borderId="45" xfId="0" applyFont="1" applyBorder="1"/>
    <xf numFmtId="0" fontId="7" fillId="0" borderId="23" xfId="0" applyFont="1" applyBorder="1"/>
    <xf numFmtId="0" fontId="7" fillId="0" borderId="28" xfId="0" applyFont="1" applyBorder="1"/>
    <xf numFmtId="0" fontId="7" fillId="0" borderId="26" xfId="0" applyFont="1" applyBorder="1"/>
    <xf numFmtId="0" fontId="7" fillId="0" borderId="17" xfId="0" applyFont="1" applyBorder="1"/>
    <xf numFmtId="0" fontId="7" fillId="0" borderId="16" xfId="0" applyFont="1" applyBorder="1"/>
    <xf numFmtId="0" fontId="57" fillId="0" borderId="9" xfId="0" applyFont="1" applyBorder="1" applyAlignment="1">
      <alignment horizontal="left" vertical="center"/>
    </xf>
    <xf numFmtId="174" fontId="0" fillId="0" borderId="0" xfId="0" applyNumberFormat="1"/>
    <xf numFmtId="0" fontId="7" fillId="0" borderId="20" xfId="0" applyFont="1" applyBorder="1" applyAlignment="1">
      <alignment horizontal="left"/>
    </xf>
    <xf numFmtId="0" fontId="7" fillId="0" borderId="2" xfId="0" applyFont="1" applyBorder="1" applyAlignment="1">
      <alignment horizontal="left"/>
    </xf>
    <xf numFmtId="0" fontId="0" fillId="0" borderId="0" xfId="0" applyAlignment="1">
      <alignment horizontal="center"/>
    </xf>
    <xf numFmtId="0" fontId="66" fillId="0" borderId="9" xfId="0" applyFont="1" applyBorder="1" applyAlignment="1">
      <alignment horizontal="center" vertical="top"/>
    </xf>
    <xf numFmtId="0" fontId="17" fillId="20" borderId="0" xfId="0" applyFont="1" applyFill="1" applyAlignment="1">
      <alignment horizontal="left"/>
    </xf>
    <xf numFmtId="0" fontId="65" fillId="0" borderId="16" xfId="0" applyFont="1" applyBorder="1" applyAlignment="1">
      <alignment horizontal="center" vertical="top"/>
    </xf>
    <xf numFmtId="0" fontId="0" fillId="0" borderId="13" xfId="0" applyBorder="1"/>
    <xf numFmtId="0" fontId="0" fillId="0" borderId="49" xfId="0" applyBorder="1"/>
    <xf numFmtId="0" fontId="0" fillId="0" borderId="8" xfId="0" applyBorder="1"/>
    <xf numFmtId="0" fontId="0" fillId="0" borderId="44" xfId="0" applyBorder="1"/>
    <xf numFmtId="0" fontId="0" fillId="0" borderId="34" xfId="0" applyBorder="1"/>
    <xf numFmtId="49" fontId="7" fillId="0" borderId="38" xfId="0" applyNumberFormat="1" applyFont="1" applyBorder="1" applyAlignment="1">
      <alignment horizontal="left" vertical="center"/>
    </xf>
    <xf numFmtId="0" fontId="7" fillId="52" borderId="9" xfId="0" applyFont="1" applyFill="1" applyBorder="1" applyAlignment="1">
      <alignment vertical="center"/>
    </xf>
    <xf numFmtId="0" fontId="7" fillId="56" borderId="17" xfId="0" applyFont="1" applyFill="1" applyBorder="1" applyAlignment="1">
      <alignment vertical="center"/>
    </xf>
    <xf numFmtId="0" fontId="7" fillId="56" borderId="9" xfId="0" applyFont="1" applyFill="1" applyBorder="1" applyAlignment="1">
      <alignment vertical="center"/>
    </xf>
    <xf numFmtId="0" fontId="5" fillId="0" borderId="9" xfId="0" applyFont="1" applyBorder="1"/>
    <xf numFmtId="0" fontId="67" fillId="0" borderId="9" xfId="0" applyFont="1" applyBorder="1"/>
    <xf numFmtId="0" fontId="0" fillId="0" borderId="59" xfId="0" applyBorder="1" applyAlignment="1">
      <alignment horizontal="left"/>
    </xf>
    <xf numFmtId="0" fontId="7" fillId="0" borderId="43" xfId="0" applyFont="1" applyBorder="1" applyAlignment="1">
      <alignment horizontal="left" vertical="center"/>
    </xf>
    <xf numFmtId="0" fontId="7" fillId="0" borderId="44" xfId="0" applyFont="1" applyBorder="1" applyAlignment="1">
      <alignment horizontal="left" vertical="center"/>
    </xf>
    <xf numFmtId="49" fontId="7" fillId="0" borderId="4" xfId="0" applyNumberFormat="1" applyFont="1" applyBorder="1" applyAlignment="1">
      <alignment horizontal="left" vertical="center"/>
    </xf>
    <xf numFmtId="11" fontId="7" fillId="0" borderId="19" xfId="0" applyNumberFormat="1" applyFont="1" applyBorder="1" applyAlignment="1">
      <alignment horizontal="left" vertical="center"/>
    </xf>
    <xf numFmtId="11" fontId="36" fillId="30" borderId="50" xfId="46" applyNumberFormat="1" applyBorder="1" applyAlignment="1">
      <alignment horizontal="left" vertical="center"/>
    </xf>
    <xf numFmtId="11" fontId="7" fillId="0" borderId="50" xfId="0" applyNumberFormat="1" applyFont="1" applyBorder="1" applyAlignment="1">
      <alignment horizontal="left" vertical="center"/>
    </xf>
    <xf numFmtId="11" fontId="35" fillId="0" borderId="51" xfId="0" applyNumberFormat="1" applyFont="1" applyBorder="1" applyAlignment="1">
      <alignment horizontal="left" vertical="center"/>
    </xf>
    <xf numFmtId="11" fontId="36" fillId="30" borderId="7" xfId="46" applyNumberFormat="1" applyBorder="1" applyAlignment="1">
      <alignment horizontal="left" vertical="center"/>
    </xf>
    <xf numFmtId="0" fontId="15" fillId="41" borderId="0" xfId="50" applyAlignment="1">
      <alignment horizontal="left" vertical="top"/>
    </xf>
    <xf numFmtId="169" fontId="0" fillId="0" borderId="20" xfId="0" applyNumberFormat="1" applyBorder="1" applyAlignment="1">
      <alignment horizontal="right"/>
    </xf>
    <xf numFmtId="0" fontId="0" fillId="0" borderId="7" xfId="0" applyBorder="1" applyAlignment="1">
      <alignment horizontal="right"/>
    </xf>
    <xf numFmtId="169" fontId="0" fillId="0" borderId="7" xfId="0" applyNumberFormat="1" applyBorder="1" applyAlignment="1">
      <alignment horizontal="right"/>
    </xf>
    <xf numFmtId="169" fontId="0" fillId="0" borderId="2" xfId="0" applyNumberFormat="1" applyBorder="1" applyAlignment="1">
      <alignment horizontal="right"/>
    </xf>
    <xf numFmtId="1" fontId="0" fillId="0" borderId="35" xfId="0" applyNumberFormat="1" applyBorder="1" applyAlignment="1">
      <alignment horizontal="right"/>
    </xf>
    <xf numFmtId="0" fontId="0" fillId="0" borderId="36" xfId="0" applyBorder="1" applyAlignment="1">
      <alignment horizontal="right"/>
    </xf>
    <xf numFmtId="1" fontId="0" fillId="0" borderId="36" xfId="0" applyNumberFormat="1" applyBorder="1" applyAlignment="1">
      <alignment horizontal="right"/>
    </xf>
    <xf numFmtId="1" fontId="0" fillId="0" borderId="37" xfId="0" applyNumberFormat="1" applyBorder="1" applyAlignment="1">
      <alignment horizontal="right"/>
    </xf>
    <xf numFmtId="2" fontId="54" fillId="47" borderId="23" xfId="0" applyNumberFormat="1" applyFont="1" applyFill="1" applyBorder="1" applyAlignment="1">
      <alignment horizontal="center" vertical="center"/>
    </xf>
    <xf numFmtId="2" fontId="54" fillId="47" borderId="25" xfId="0" applyNumberFormat="1" applyFont="1" applyFill="1" applyBorder="1" applyAlignment="1">
      <alignment horizontal="center" vertical="center"/>
    </xf>
    <xf numFmtId="2" fontId="54" fillId="47" borderId="53" xfId="0" applyNumberFormat="1" applyFont="1" applyFill="1" applyBorder="1" applyAlignment="1">
      <alignment horizontal="center" vertical="center"/>
    </xf>
    <xf numFmtId="2" fontId="54" fillId="47" borderId="35" xfId="0" applyNumberFormat="1" applyFont="1" applyFill="1" applyBorder="1" applyAlignment="1">
      <alignment horizontal="center" vertical="center"/>
    </xf>
    <xf numFmtId="2" fontId="54" fillId="47" borderId="21" xfId="0" applyNumberFormat="1" applyFont="1" applyFill="1" applyBorder="1" applyAlignment="1">
      <alignment horizontal="center" vertical="center"/>
    </xf>
    <xf numFmtId="2" fontId="54" fillId="48" borderId="23" xfId="0" applyNumberFormat="1" applyFont="1" applyFill="1" applyBorder="1" applyAlignment="1">
      <alignment horizontal="center" vertical="center"/>
    </xf>
    <xf numFmtId="2" fontId="54" fillId="48" borderId="25" xfId="0" applyNumberFormat="1" applyFont="1" applyFill="1" applyBorder="1" applyAlignment="1">
      <alignment horizontal="center" vertical="center"/>
    </xf>
    <xf numFmtId="2" fontId="54" fillId="48" borderId="53" xfId="0" applyNumberFormat="1" applyFont="1" applyFill="1" applyBorder="1" applyAlignment="1">
      <alignment horizontal="center" vertical="center"/>
    </xf>
    <xf numFmtId="2" fontId="54" fillId="48" borderId="58" xfId="0" applyNumberFormat="1" applyFont="1" applyFill="1" applyBorder="1" applyAlignment="1">
      <alignment horizontal="center" vertical="center"/>
    </xf>
    <xf numFmtId="2" fontId="54" fillId="47" borderId="26" xfId="0" applyNumberFormat="1" applyFont="1" applyFill="1" applyBorder="1" applyAlignment="1">
      <alignment horizontal="center" vertical="center"/>
    </xf>
    <xf numFmtId="2" fontId="54" fillId="47" borderId="9" xfId="0" applyNumberFormat="1" applyFont="1" applyFill="1" applyBorder="1" applyAlignment="1">
      <alignment horizontal="center" vertical="center"/>
    </xf>
    <xf numFmtId="2" fontId="54" fillId="47" borderId="27" xfId="0" applyNumberFormat="1" applyFont="1" applyFill="1" applyBorder="1" applyAlignment="1">
      <alignment horizontal="center" vertical="center"/>
    </xf>
    <xf numFmtId="2" fontId="54" fillId="47" borderId="13" xfId="0" applyNumberFormat="1" applyFont="1" applyFill="1" applyBorder="1" applyAlignment="1">
      <alignment horizontal="center" vertical="center"/>
    </xf>
    <xf numFmtId="2" fontId="54" fillId="47" borderId="38" xfId="0" applyNumberFormat="1" applyFont="1" applyFill="1" applyBorder="1" applyAlignment="1">
      <alignment horizontal="center" vertical="center"/>
    </xf>
    <xf numFmtId="2" fontId="54" fillId="47" borderId="43" xfId="0" applyNumberFormat="1" applyFont="1" applyFill="1" applyBorder="1" applyAlignment="1">
      <alignment horizontal="center" vertical="center"/>
    </xf>
    <xf numFmtId="2" fontId="54" fillId="47" borderId="4" xfId="0" applyNumberFormat="1" applyFont="1" applyFill="1" applyBorder="1" applyAlignment="1">
      <alignment horizontal="center" vertical="center"/>
    </xf>
    <xf numFmtId="2" fontId="54" fillId="48" borderId="26" xfId="0" applyNumberFormat="1" applyFont="1" applyFill="1" applyBorder="1" applyAlignment="1">
      <alignment horizontal="center" vertical="center"/>
    </xf>
    <xf numFmtId="2" fontId="54" fillId="48" borderId="27" xfId="0" applyNumberFormat="1" applyFont="1" applyFill="1" applyBorder="1" applyAlignment="1">
      <alignment horizontal="center" vertical="center"/>
    </xf>
    <xf numFmtId="2" fontId="54" fillId="48" borderId="13" xfId="0" applyNumberFormat="1" applyFont="1" applyFill="1" applyBorder="1" applyAlignment="1">
      <alignment horizontal="center" vertical="center"/>
    </xf>
    <xf numFmtId="2" fontId="54" fillId="48" borderId="59" xfId="0" applyNumberFormat="1" applyFont="1" applyFill="1" applyBorder="1" applyAlignment="1">
      <alignment horizontal="center" vertical="center"/>
    </xf>
    <xf numFmtId="2" fontId="54" fillId="47" borderId="28" xfId="0" applyNumberFormat="1" applyFont="1" applyFill="1" applyBorder="1" applyAlignment="1">
      <alignment horizontal="center" vertical="center"/>
    </xf>
    <xf numFmtId="2" fontId="54" fillId="47" borderId="30" xfId="0" applyNumberFormat="1" applyFont="1" applyFill="1" applyBorder="1" applyAlignment="1">
      <alignment horizontal="center" vertical="center"/>
    </xf>
    <xf numFmtId="2" fontId="54" fillId="47" borderId="11" xfId="0" applyNumberFormat="1" applyFont="1" applyFill="1" applyBorder="1" applyAlignment="1">
      <alignment horizontal="center" vertical="center"/>
    </xf>
    <xf numFmtId="2" fontId="54" fillId="47" borderId="41" xfId="0" applyNumberFormat="1" applyFont="1" applyFill="1" applyBorder="1" applyAlignment="1">
      <alignment horizontal="center" vertical="center"/>
    </xf>
    <xf numFmtId="2" fontId="54" fillId="47" borderId="81" xfId="0" applyNumberFormat="1" applyFont="1" applyFill="1" applyBorder="1" applyAlignment="1">
      <alignment horizontal="center" vertical="center"/>
    </xf>
    <xf numFmtId="2" fontId="54" fillId="47" borderId="67" xfId="0" applyNumberFormat="1" applyFont="1" applyFill="1" applyBorder="1" applyAlignment="1">
      <alignment horizontal="center" vertical="center"/>
    </xf>
    <xf numFmtId="2" fontId="54" fillId="48" borderId="28" xfId="0" applyNumberFormat="1" applyFont="1" applyFill="1" applyBorder="1" applyAlignment="1">
      <alignment horizontal="center" vertical="center"/>
    </xf>
    <xf numFmtId="2" fontId="54" fillId="48" borderId="30" xfId="0" applyNumberFormat="1" applyFont="1" applyFill="1" applyBorder="1" applyAlignment="1">
      <alignment horizontal="center" vertical="center"/>
    </xf>
    <xf numFmtId="2" fontId="54" fillId="48" borderId="11" xfId="0" applyNumberFormat="1" applyFont="1" applyFill="1" applyBorder="1" applyAlignment="1">
      <alignment horizontal="center" vertical="center"/>
    </xf>
    <xf numFmtId="2" fontId="54" fillId="48" borderId="60" xfId="0" applyNumberFormat="1" applyFont="1" applyFill="1" applyBorder="1" applyAlignment="1">
      <alignment horizontal="center" vertical="center"/>
    </xf>
    <xf numFmtId="0" fontId="54" fillId="0" borderId="23" xfId="0" applyFont="1" applyBorder="1" applyAlignment="1">
      <alignment horizontal="left" vertical="center"/>
    </xf>
    <xf numFmtId="0" fontId="54" fillId="0" borderId="24" xfId="0" applyFont="1" applyBorder="1" applyAlignment="1">
      <alignment horizontal="left" vertical="center"/>
    </xf>
    <xf numFmtId="0" fontId="54" fillId="0" borderId="25" xfId="0" applyFont="1" applyBorder="1" applyAlignment="1">
      <alignment horizontal="left" vertical="center"/>
    </xf>
    <xf numFmtId="0" fontId="54" fillId="0" borderId="26" xfId="0" applyFont="1" applyBorder="1" applyAlignment="1">
      <alignment horizontal="left" vertical="center"/>
    </xf>
    <xf numFmtId="0" fontId="54" fillId="0" borderId="9" xfId="0" applyFont="1" applyBorder="1" applyAlignment="1">
      <alignment horizontal="left" vertical="center"/>
    </xf>
    <xf numFmtId="0" fontId="54" fillId="0" borderId="9" xfId="0" applyFont="1" applyBorder="1" applyAlignment="1">
      <alignment horizontal="left" vertical="center" wrapText="1"/>
    </xf>
    <xf numFmtId="0" fontId="54" fillId="0" borderId="27" xfId="0" applyFont="1" applyBorder="1" applyAlignment="1">
      <alignment horizontal="left" vertical="center" wrapText="1"/>
    </xf>
    <xf numFmtId="0" fontId="54" fillId="0" borderId="28" xfId="0" applyFont="1" applyBorder="1" applyAlignment="1">
      <alignment horizontal="left" vertical="center"/>
    </xf>
    <xf numFmtId="0" fontId="54" fillId="0" borderId="29" xfId="0" applyFont="1" applyBorder="1" applyAlignment="1">
      <alignment horizontal="left" vertical="center"/>
    </xf>
    <xf numFmtId="0" fontId="54" fillId="0" borderId="29" xfId="0" applyFont="1" applyBorder="1" applyAlignment="1">
      <alignment horizontal="left" vertical="center" wrapText="1"/>
    </xf>
    <xf numFmtId="0" fontId="54" fillId="0" borderId="30" xfId="0" applyFont="1" applyBorder="1" applyAlignment="1">
      <alignment horizontal="left" vertical="center" wrapText="1"/>
    </xf>
    <xf numFmtId="0" fontId="54" fillId="0" borderId="43" xfId="0" applyFont="1" applyBorder="1" applyAlignment="1">
      <alignment horizontal="left" vertical="center"/>
    </xf>
    <xf numFmtId="0" fontId="54" fillId="0" borderId="17" xfId="0" applyFont="1" applyBorder="1" applyAlignment="1">
      <alignment horizontal="left" vertical="center"/>
    </xf>
    <xf numFmtId="0" fontId="54" fillId="0" borderId="44" xfId="0" applyFont="1" applyBorder="1" applyAlignment="1">
      <alignment horizontal="left" vertical="center"/>
    </xf>
    <xf numFmtId="0" fontId="54" fillId="0" borderId="45" xfId="0" applyFont="1" applyBorder="1" applyAlignment="1">
      <alignment horizontal="left" vertical="center"/>
    </xf>
    <xf numFmtId="0" fontId="54" fillId="0" borderId="47" xfId="0" applyFont="1" applyBorder="1" applyAlignment="1">
      <alignment horizontal="left" vertical="center"/>
    </xf>
    <xf numFmtId="0" fontId="54" fillId="0" borderId="46" xfId="0" applyFont="1" applyBorder="1" applyAlignment="1">
      <alignment horizontal="left" vertical="center"/>
    </xf>
    <xf numFmtId="167" fontId="54" fillId="0" borderId="29" xfId="0" applyNumberFormat="1" applyFont="1" applyBorder="1" applyAlignment="1">
      <alignment horizontal="left" vertical="center"/>
    </xf>
    <xf numFmtId="0" fontId="54" fillId="0" borderId="30" xfId="0" applyFont="1" applyBorder="1" applyAlignment="1">
      <alignment horizontal="left" vertical="center"/>
    </xf>
    <xf numFmtId="0" fontId="54" fillId="0" borderId="71" xfId="0" applyFont="1" applyBorder="1" applyAlignment="1">
      <alignment horizontal="left" vertical="center"/>
    </xf>
    <xf numFmtId="0" fontId="54" fillId="0" borderId="31" xfId="0" applyFont="1" applyBorder="1" applyAlignment="1">
      <alignment horizontal="left" vertical="center"/>
    </xf>
    <xf numFmtId="0" fontId="54" fillId="0" borderId="72" xfId="0" applyFont="1" applyBorder="1" applyAlignment="1">
      <alignment horizontal="left" vertical="center"/>
    </xf>
    <xf numFmtId="0" fontId="54" fillId="0" borderId="68" xfId="0" applyFont="1" applyBorder="1" applyAlignment="1">
      <alignment horizontal="left" vertical="center"/>
    </xf>
    <xf numFmtId="0" fontId="54" fillId="0" borderId="16" xfId="0" applyFont="1" applyBorder="1" applyAlignment="1">
      <alignment horizontal="left" vertical="center"/>
    </xf>
    <xf numFmtId="0" fontId="54" fillId="50" borderId="23" xfId="0" applyFont="1" applyFill="1" applyBorder="1" applyAlignment="1">
      <alignment horizontal="left" vertical="center"/>
    </xf>
    <xf numFmtId="0" fontId="54" fillId="50" borderId="24" xfId="0" applyFont="1" applyFill="1" applyBorder="1" applyAlignment="1">
      <alignment horizontal="left" vertical="center"/>
    </xf>
    <xf numFmtId="0" fontId="54" fillId="50" borderId="26" xfId="0" applyFont="1" applyFill="1" applyBorder="1" applyAlignment="1">
      <alignment horizontal="left" vertical="center"/>
    </xf>
    <xf numFmtId="0" fontId="54" fillId="50" borderId="9" xfId="0" applyFont="1" applyFill="1" applyBorder="1" applyAlignment="1">
      <alignment horizontal="left" vertical="center"/>
    </xf>
    <xf numFmtId="0" fontId="54" fillId="50" borderId="27" xfId="0" applyFont="1" applyFill="1" applyBorder="1" applyAlignment="1">
      <alignment horizontal="left" vertical="center"/>
    </xf>
    <xf numFmtId="0" fontId="54" fillId="0" borderId="27" xfId="0" applyFont="1" applyBorder="1" applyAlignment="1">
      <alignment horizontal="left" vertical="center"/>
    </xf>
    <xf numFmtId="0" fontId="54" fillId="50" borderId="24" xfId="0" applyFont="1" applyFill="1" applyBorder="1" applyAlignment="1">
      <alignment horizontal="left" vertical="center" wrapText="1"/>
    </xf>
    <xf numFmtId="0" fontId="54" fillId="50" borderId="9" xfId="0" applyFont="1" applyFill="1" applyBorder="1" applyAlignment="1">
      <alignment horizontal="left" vertical="center" wrapText="1"/>
    </xf>
    <xf numFmtId="0" fontId="6" fillId="2" borderId="16" xfId="0" applyFont="1" applyFill="1" applyBorder="1" applyAlignment="1">
      <alignment horizontal="left" vertical="center"/>
    </xf>
    <xf numFmtId="0" fontId="6" fillId="6" borderId="16" xfId="0" applyFont="1" applyFill="1" applyBorder="1" applyAlignment="1">
      <alignment horizontal="left" vertical="center"/>
    </xf>
    <xf numFmtId="167" fontId="6" fillId="6" borderId="16" xfId="0" applyNumberFormat="1" applyFont="1" applyFill="1" applyBorder="1" applyAlignment="1">
      <alignment horizontal="left" vertical="center"/>
    </xf>
    <xf numFmtId="0" fontId="6" fillId="3" borderId="16" xfId="0" applyFont="1" applyFill="1" applyBorder="1" applyAlignment="1">
      <alignment horizontal="left" vertical="center"/>
    </xf>
    <xf numFmtId="2" fontId="6" fillId="4" borderId="16" xfId="0" applyNumberFormat="1" applyFont="1" applyFill="1" applyBorder="1" applyAlignment="1">
      <alignment horizontal="center" vertical="center"/>
    </xf>
    <xf numFmtId="0" fontId="6" fillId="16" borderId="16" xfId="0" applyFont="1" applyFill="1" applyBorder="1" applyAlignment="1">
      <alignment horizontal="left" vertical="center"/>
    </xf>
    <xf numFmtId="169" fontId="7" fillId="0" borderId="17" xfId="0" applyNumberFormat="1" applyFont="1" applyBorder="1" applyAlignment="1">
      <alignment horizontal="left" vertical="center"/>
    </xf>
    <xf numFmtId="165" fontId="7" fillId="0" borderId="24" xfId="0" applyNumberFormat="1" applyFont="1" applyBorder="1" applyAlignment="1">
      <alignment horizontal="left" vertical="center"/>
    </xf>
    <xf numFmtId="169" fontId="7" fillId="0" borderId="27" xfId="0" applyNumberFormat="1" applyFont="1" applyBorder="1" applyAlignment="1">
      <alignment horizontal="left" vertical="center"/>
    </xf>
    <xf numFmtId="173" fontId="7" fillId="0" borderId="27" xfId="0" applyNumberFormat="1" applyFont="1" applyBorder="1" applyAlignment="1">
      <alignment horizontal="left" vertical="center"/>
    </xf>
    <xf numFmtId="165" fontId="7" fillId="0" borderId="29" xfId="0" applyNumberFormat="1" applyFont="1" applyBorder="1" applyAlignment="1">
      <alignment horizontal="left" vertical="center"/>
    </xf>
    <xf numFmtId="169" fontId="7" fillId="0" borderId="16" xfId="0" applyNumberFormat="1" applyFont="1" applyBorder="1" applyAlignment="1">
      <alignment horizontal="left" vertical="center"/>
    </xf>
    <xf numFmtId="0" fontId="7" fillId="0" borderId="47" xfId="0" applyFont="1" applyBorder="1" applyAlignment="1">
      <alignment horizontal="left" vertical="center"/>
    </xf>
    <xf numFmtId="169" fontId="7" fillId="0" borderId="47" xfId="0" applyNumberFormat="1" applyFont="1" applyBorder="1" applyAlignment="1">
      <alignment horizontal="left" vertical="center"/>
    </xf>
    <xf numFmtId="0" fontId="7" fillId="0" borderId="46" xfId="0" applyFont="1" applyBorder="1" applyAlignment="1">
      <alignment horizontal="left" vertical="center"/>
    </xf>
    <xf numFmtId="169" fontId="7" fillId="0" borderId="29" xfId="0" applyNumberFormat="1" applyFont="1" applyBorder="1" applyAlignment="1">
      <alignment horizontal="left" vertical="center"/>
    </xf>
    <xf numFmtId="0" fontId="7" fillId="0" borderId="31" xfId="0" applyFont="1" applyBorder="1" applyAlignment="1">
      <alignment horizontal="left" vertical="center"/>
    </xf>
    <xf numFmtId="169" fontId="7" fillId="0" borderId="31" xfId="0" applyNumberFormat="1" applyFont="1" applyBorder="1" applyAlignment="1">
      <alignment horizontal="left" vertical="center"/>
    </xf>
    <xf numFmtId="167" fontId="7" fillId="0" borderId="0" xfId="0" applyNumberFormat="1" applyFont="1"/>
    <xf numFmtId="171" fontId="7" fillId="0" borderId="0" xfId="0" applyNumberFormat="1" applyFont="1"/>
    <xf numFmtId="0" fontId="7" fillId="0" borderId="31" xfId="0" applyFont="1" applyBorder="1"/>
    <xf numFmtId="2" fontId="7" fillId="0" borderId="31" xfId="0" applyNumberFormat="1" applyFont="1" applyBorder="1" applyAlignment="1">
      <alignment horizontal="center" vertical="center"/>
    </xf>
    <xf numFmtId="0" fontId="7" fillId="0" borderId="54" xfId="0" applyFont="1" applyBorder="1" applyAlignment="1">
      <alignment horizontal="left" vertical="center"/>
    </xf>
    <xf numFmtId="0" fontId="7" fillId="0" borderId="0" xfId="0" applyFont="1" applyAlignment="1">
      <alignment horizontal="center" vertical="center"/>
    </xf>
    <xf numFmtId="0" fontId="0" fillId="0" borderId="9" xfId="0" applyBorder="1" applyAlignment="1">
      <alignment horizontal="left" vertical="top"/>
    </xf>
    <xf numFmtId="2" fontId="7" fillId="0" borderId="0" xfId="0" applyNumberFormat="1" applyFont="1" applyAlignment="1">
      <alignment horizontal="center" vertical="center"/>
    </xf>
    <xf numFmtId="0" fontId="14" fillId="37" borderId="0" xfId="49" applyBorder="1" applyAlignment="1">
      <alignment horizontal="left" vertical="center"/>
    </xf>
    <xf numFmtId="0" fontId="14" fillId="37" borderId="0" xfId="49" applyBorder="1" applyAlignment="1">
      <alignment vertical="center"/>
    </xf>
    <xf numFmtId="167" fontId="14" fillId="37" borderId="0" xfId="49" applyNumberFormat="1" applyBorder="1" applyAlignment="1">
      <alignment horizontal="left" vertical="center"/>
    </xf>
    <xf numFmtId="0" fontId="5" fillId="37" borderId="0" xfId="49" applyFont="1" applyBorder="1" applyAlignment="1">
      <alignment horizontal="left" vertical="center"/>
    </xf>
    <xf numFmtId="167" fontId="0" fillId="0" borderId="9" xfId="0" applyNumberFormat="1" applyBorder="1" applyAlignment="1">
      <alignment horizontal="left" vertical="top"/>
    </xf>
    <xf numFmtId="167" fontId="7" fillId="0" borderId="9" xfId="0" applyNumberFormat="1" applyFont="1" applyBorder="1" applyAlignment="1">
      <alignment horizontal="left" vertical="center"/>
    </xf>
    <xf numFmtId="169" fontId="7" fillId="0" borderId="56" xfId="0" applyNumberFormat="1" applyFont="1" applyBorder="1" applyAlignment="1">
      <alignment horizontal="left" vertical="center"/>
    </xf>
    <xf numFmtId="0" fontId="7" fillId="0" borderId="56" xfId="0" applyFont="1" applyBorder="1" applyAlignment="1">
      <alignment horizontal="left" vertical="center"/>
    </xf>
    <xf numFmtId="0" fontId="7" fillId="0" borderId="56" xfId="0" applyFont="1" applyBorder="1" applyAlignment="1">
      <alignment vertical="center"/>
    </xf>
    <xf numFmtId="0" fontId="7" fillId="0" borderId="51" xfId="0" applyFont="1" applyBorder="1"/>
    <xf numFmtId="0" fontId="7" fillId="0" borderId="61" xfId="0" applyFont="1" applyBorder="1"/>
    <xf numFmtId="0" fontId="7" fillId="0" borderId="62" xfId="0" applyFont="1" applyBorder="1"/>
    <xf numFmtId="0" fontId="7" fillId="0" borderId="72" xfId="0" applyFont="1" applyBorder="1" applyAlignment="1">
      <alignment horizontal="left" vertical="center"/>
    </xf>
    <xf numFmtId="0" fontId="7" fillId="0" borderId="63" xfId="0" applyFont="1" applyBorder="1"/>
    <xf numFmtId="167" fontId="7" fillId="0" borderId="16" xfId="0" applyNumberFormat="1" applyFont="1" applyBorder="1" applyAlignment="1">
      <alignment horizontal="left" vertical="center"/>
    </xf>
    <xf numFmtId="0" fontId="7" fillId="0" borderId="45" xfId="0" applyFont="1" applyBorder="1" applyAlignment="1">
      <alignment horizontal="left" vertical="center"/>
    </xf>
    <xf numFmtId="0" fontId="7" fillId="0" borderId="59" xfId="0" applyFont="1" applyBorder="1"/>
    <xf numFmtId="0" fontId="7" fillId="0" borderId="82" xfId="0" applyFont="1" applyBorder="1" applyAlignment="1">
      <alignment horizontal="left" vertical="center"/>
    </xf>
    <xf numFmtId="0" fontId="7" fillId="0" borderId="70" xfId="0" applyFont="1" applyBorder="1"/>
    <xf numFmtId="0" fontId="7" fillId="0" borderId="58" xfId="0" applyFont="1" applyBorder="1"/>
    <xf numFmtId="0" fontId="7" fillId="0" borderId="60" xfId="0" applyFont="1" applyBorder="1"/>
    <xf numFmtId="0" fontId="7" fillId="0" borderId="74" xfId="0" applyFont="1" applyBorder="1"/>
    <xf numFmtId="0" fontId="7" fillId="0" borderId="15" xfId="0" applyFont="1" applyBorder="1"/>
    <xf numFmtId="0" fontId="7" fillId="0" borderId="73" xfId="0" applyFont="1" applyBorder="1" applyAlignment="1">
      <alignment horizontal="left" vertical="center"/>
    </xf>
    <xf numFmtId="0" fontId="7" fillId="0" borderId="49" xfId="0" applyFont="1" applyBorder="1"/>
    <xf numFmtId="0" fontId="45" fillId="20" borderId="0" xfId="0" applyFont="1" applyFill="1" applyAlignment="1">
      <alignment horizontal="left"/>
    </xf>
    <xf numFmtId="165" fontId="7" fillId="0" borderId="7" xfId="0" applyNumberFormat="1" applyFont="1" applyBorder="1" applyAlignment="1">
      <alignment horizontal="left" vertical="center" readingOrder="1"/>
    </xf>
    <xf numFmtId="0" fontId="6" fillId="16" borderId="63" xfId="0" applyFont="1" applyFill="1" applyBorder="1" applyAlignment="1">
      <alignment horizontal="center" vertical="center"/>
    </xf>
    <xf numFmtId="173" fontId="7" fillId="0" borderId="35" xfId="0" applyNumberFormat="1" applyFont="1" applyBorder="1" applyAlignment="1">
      <alignment horizontal="left" vertical="center"/>
    </xf>
    <xf numFmtId="173" fontId="7" fillId="0" borderId="36" xfId="0" applyNumberFormat="1" applyFont="1" applyBorder="1" applyAlignment="1">
      <alignment horizontal="left" vertical="center"/>
    </xf>
    <xf numFmtId="173" fontId="7" fillId="0" borderId="9" xfId="0" applyNumberFormat="1" applyFont="1" applyBorder="1" applyAlignment="1">
      <alignment horizontal="left" vertical="center"/>
    </xf>
    <xf numFmtId="173" fontId="7" fillId="0" borderId="38" xfId="0" applyNumberFormat="1" applyFont="1" applyBorder="1" applyAlignment="1">
      <alignment horizontal="left" vertical="center"/>
    </xf>
    <xf numFmtId="173" fontId="7" fillId="0" borderId="37" xfId="0" applyNumberFormat="1" applyFont="1" applyBorder="1" applyAlignment="1">
      <alignment horizontal="left" vertical="center"/>
    </xf>
    <xf numFmtId="173" fontId="7" fillId="0" borderId="57" xfId="0" applyNumberFormat="1" applyFont="1" applyBorder="1" applyAlignment="1">
      <alignment horizontal="left" vertical="center"/>
    </xf>
    <xf numFmtId="49" fontId="7" fillId="0" borderId="57" xfId="0" applyNumberFormat="1" applyFont="1" applyBorder="1" applyAlignment="1">
      <alignment horizontal="left" vertical="center"/>
    </xf>
    <xf numFmtId="49" fontId="7" fillId="0" borderId="35" xfId="0" quotePrefix="1" applyNumberFormat="1" applyFont="1" applyBorder="1" applyAlignment="1">
      <alignment horizontal="left" vertical="center"/>
    </xf>
    <xf numFmtId="49" fontId="7" fillId="0" borderId="37" xfId="0" quotePrefix="1" applyNumberFormat="1" applyFont="1" applyBorder="1" applyAlignment="1">
      <alignment horizontal="left" vertical="center"/>
    </xf>
    <xf numFmtId="0" fontId="7" fillId="0" borderId="57" xfId="0" applyFont="1" applyBorder="1" applyAlignment="1">
      <alignment horizontal="left"/>
    </xf>
    <xf numFmtId="0" fontId="7" fillId="0" borderId="35" xfId="0" applyFont="1" applyBorder="1" applyAlignment="1">
      <alignment horizontal="left"/>
    </xf>
    <xf numFmtId="0" fontId="7" fillId="0" borderId="3" xfId="0" applyFont="1" applyBorder="1" applyAlignment="1">
      <alignment horizontal="left"/>
    </xf>
    <xf numFmtId="0" fontId="7" fillId="0" borderId="38" xfId="0" applyFont="1" applyBorder="1" applyAlignment="1">
      <alignment horizontal="left"/>
    </xf>
    <xf numFmtId="0" fontId="7" fillId="0" borderId="19" xfId="0" applyFont="1" applyBorder="1" applyAlignment="1">
      <alignment horizontal="left"/>
    </xf>
    <xf numFmtId="0" fontId="7" fillId="0" borderId="0" xfId="0" applyFont="1" applyAlignment="1">
      <alignment horizontal="left"/>
    </xf>
    <xf numFmtId="2" fontId="6" fillId="6" borderId="18" xfId="0" applyNumberFormat="1" applyFont="1" applyFill="1" applyBorder="1" applyAlignment="1">
      <alignment horizontal="left" vertical="center"/>
    </xf>
    <xf numFmtId="2" fontId="7" fillId="0" borderId="24" xfId="0" applyNumberFormat="1" applyFont="1" applyBorder="1" applyAlignment="1">
      <alignment horizontal="left" vertical="center"/>
    </xf>
    <xf numFmtId="0" fontId="7" fillId="0" borderId="26" xfId="0" applyFont="1" applyBorder="1" applyAlignment="1">
      <alignment horizontal="left"/>
    </xf>
    <xf numFmtId="165" fontId="7" fillId="0" borderId="2" xfId="0" applyNumberFormat="1" applyFont="1" applyBorder="1" applyAlignment="1">
      <alignment horizontal="left" vertical="center" readingOrder="1"/>
    </xf>
    <xf numFmtId="2" fontId="7" fillId="0" borderId="69" xfId="0" applyNumberFormat="1" applyFont="1" applyBorder="1" applyAlignment="1">
      <alignment horizontal="left" vertical="center"/>
    </xf>
    <xf numFmtId="165" fontId="7" fillId="0" borderId="3" xfId="0" applyNumberFormat="1" applyFont="1" applyBorder="1" applyAlignment="1">
      <alignment horizontal="left" vertical="center" readingOrder="1"/>
    </xf>
    <xf numFmtId="2" fontId="7" fillId="0" borderId="44" xfId="0" applyNumberFormat="1" applyFont="1" applyBorder="1" applyAlignment="1">
      <alignment horizontal="left" vertical="center"/>
    </xf>
    <xf numFmtId="2" fontId="7" fillId="0" borderId="46" xfId="0" applyNumberFormat="1" applyFont="1" applyBorder="1" applyAlignment="1">
      <alignment horizontal="left" vertical="center"/>
    </xf>
    <xf numFmtId="49" fontId="7" fillId="0" borderId="39" xfId="0" quotePrefix="1" applyNumberFormat="1" applyFont="1" applyBorder="1" applyAlignment="1">
      <alignment horizontal="left" vertical="center"/>
    </xf>
    <xf numFmtId="165" fontId="7" fillId="0" borderId="48" xfId="0" applyNumberFormat="1" applyFont="1" applyBorder="1" applyAlignment="1">
      <alignment horizontal="left" vertical="center" readingOrder="1"/>
    </xf>
    <xf numFmtId="0" fontId="35" fillId="0" borderId="0" xfId="0" applyFont="1" applyAlignment="1">
      <alignment horizontal="left" vertical="center"/>
    </xf>
    <xf numFmtId="0" fontId="10" fillId="0" borderId="0" xfId="0" applyFont="1" applyAlignment="1">
      <alignment horizontal="left"/>
    </xf>
    <xf numFmtId="0" fontId="10" fillId="0" borderId="0" xfId="0" applyFont="1" applyAlignment="1">
      <alignment horizontal="left" vertical="center"/>
    </xf>
    <xf numFmtId="9" fontId="0" fillId="0" borderId="0" xfId="0" applyNumberFormat="1" applyAlignment="1">
      <alignment horizontal="left"/>
    </xf>
    <xf numFmtId="10" fontId="0" fillId="0" borderId="0" xfId="0" applyNumberFormat="1" applyAlignment="1">
      <alignment horizontal="left"/>
    </xf>
    <xf numFmtId="0" fontId="27" fillId="0" borderId="0" xfId="0" applyFont="1" applyAlignment="1">
      <alignment horizontal="left" vertical="center"/>
    </xf>
    <xf numFmtId="0" fontId="0" fillId="0" borderId="18" xfId="0" applyBorder="1" applyAlignment="1">
      <alignment horizontal="left" vertical="center"/>
    </xf>
    <xf numFmtId="167" fontId="7" fillId="0" borderId="0" xfId="0" applyNumberFormat="1" applyFont="1" applyAlignment="1">
      <alignment horizontal="left"/>
    </xf>
    <xf numFmtId="171" fontId="7" fillId="0" borderId="0" xfId="0" applyNumberFormat="1" applyFont="1" applyAlignment="1">
      <alignment horizontal="left"/>
    </xf>
    <xf numFmtId="0" fontId="0" fillId="0" borderId="7" xfId="0" applyBorder="1" applyAlignment="1">
      <alignment horizontal="left"/>
    </xf>
    <xf numFmtId="0" fontId="0" fillId="20" borderId="0" xfId="0" applyFill="1" applyAlignment="1">
      <alignment horizontal="left" vertical="center"/>
    </xf>
    <xf numFmtId="0" fontId="7" fillId="26" borderId="0" xfId="0" applyFont="1" applyFill="1" applyAlignment="1">
      <alignment horizontal="left" vertical="center"/>
    </xf>
    <xf numFmtId="173" fontId="0" fillId="25" borderId="0" xfId="0" applyNumberFormat="1" applyFill="1" applyAlignment="1">
      <alignment horizontal="left" vertical="center"/>
    </xf>
    <xf numFmtId="0" fontId="7" fillId="20" borderId="0" xfId="0" applyFont="1" applyFill="1" applyAlignment="1">
      <alignment horizontal="left" vertical="center"/>
    </xf>
    <xf numFmtId="0" fontId="6" fillId="20" borderId="0" xfId="0" applyFont="1" applyFill="1" applyAlignment="1">
      <alignment horizontal="left" vertical="center"/>
    </xf>
    <xf numFmtId="2" fontId="0" fillId="20" borderId="0" xfId="0" applyNumberFormat="1" applyFill="1" applyAlignment="1">
      <alignment horizontal="left" vertical="center"/>
    </xf>
    <xf numFmtId="2" fontId="0" fillId="0" borderId="9" xfId="0" applyNumberFormat="1" applyBorder="1"/>
    <xf numFmtId="0" fontId="0" fillId="0" borderId="9" xfId="0" quotePrefix="1" applyBorder="1"/>
    <xf numFmtId="2" fontId="0" fillId="0" borderId="9" xfId="0" quotePrefix="1" applyNumberFormat="1" applyBorder="1"/>
    <xf numFmtId="0" fontId="0" fillId="0" borderId="17" xfId="0" applyBorder="1"/>
    <xf numFmtId="169" fontId="0" fillId="0" borderId="37" xfId="0" applyNumberFormat="1" applyBorder="1"/>
    <xf numFmtId="0" fontId="6" fillId="0" borderId="0" xfId="0" applyFont="1"/>
    <xf numFmtId="0" fontId="5" fillId="26" borderId="0" xfId="0" applyFont="1" applyFill="1" applyAlignment="1">
      <alignment horizontal="left" vertical="center"/>
    </xf>
    <xf numFmtId="166" fontId="7" fillId="25" borderId="0" xfId="0" applyNumberFormat="1" applyFont="1" applyFill="1" applyAlignment="1">
      <alignment horizontal="left" vertical="center"/>
    </xf>
    <xf numFmtId="0" fontId="0" fillId="26" borderId="0" xfId="0" applyFill="1" applyAlignment="1">
      <alignment horizontal="left" vertical="center"/>
    </xf>
    <xf numFmtId="165" fontId="0" fillId="25" borderId="0" xfId="0" applyNumberFormat="1" applyFill="1" applyAlignment="1">
      <alignment horizontal="left" vertical="center"/>
    </xf>
    <xf numFmtId="169" fontId="0" fillId="24" borderId="3" xfId="0" applyNumberFormat="1" applyFill="1" applyBorder="1" applyAlignment="1">
      <alignment horizontal="left" vertical="center"/>
    </xf>
    <xf numFmtId="1" fontId="0" fillId="0" borderId="3" xfId="0" applyNumberFormat="1" applyBorder="1" applyAlignment="1">
      <alignment horizontal="left" vertical="center"/>
    </xf>
    <xf numFmtId="0" fontId="7" fillId="0" borderId="73" xfId="0" applyFont="1" applyBorder="1" applyAlignment="1">
      <alignment vertical="center"/>
    </xf>
    <xf numFmtId="2" fontId="7" fillId="0" borderId="31" xfId="0" applyNumberFormat="1" applyFont="1" applyBorder="1" applyAlignment="1">
      <alignment horizontal="left" vertical="center"/>
    </xf>
    <xf numFmtId="0" fontId="54" fillId="57" borderId="0" xfId="0" applyFont="1" applyFill="1" applyAlignment="1">
      <alignment horizontal="left" vertical="center"/>
    </xf>
    <xf numFmtId="0" fontId="56" fillId="57" borderId="0" xfId="0" applyFont="1" applyFill="1"/>
    <xf numFmtId="0" fontId="0" fillId="57" borderId="9" xfId="0" applyFill="1" applyBorder="1"/>
    <xf numFmtId="0" fontId="7" fillId="57" borderId="9" xfId="0" applyFont="1" applyFill="1" applyBorder="1" applyAlignment="1">
      <alignment horizontal="left" vertical="center"/>
    </xf>
    <xf numFmtId="0" fontId="54" fillId="57" borderId="9" xfId="0" applyFont="1" applyFill="1" applyBorder="1"/>
    <xf numFmtId="0" fontId="54" fillId="57" borderId="2" xfId="0" applyFont="1" applyFill="1" applyBorder="1" applyAlignment="1">
      <alignment horizontal="left" vertical="center"/>
    </xf>
    <xf numFmtId="0" fontId="7" fillId="57" borderId="29" xfId="0" applyFont="1" applyFill="1" applyBorder="1" applyAlignment="1">
      <alignment horizontal="left" vertical="center"/>
    </xf>
    <xf numFmtId="0" fontId="54" fillId="57" borderId="29" xfId="0" applyFont="1" applyFill="1" applyBorder="1"/>
    <xf numFmtId="0" fontId="54" fillId="57" borderId="66" xfId="0" applyFont="1" applyFill="1" applyBorder="1" applyAlignment="1">
      <alignment horizontal="left" vertical="center"/>
    </xf>
    <xf numFmtId="0" fontId="54" fillId="0" borderId="17" xfId="0" applyFont="1" applyBorder="1"/>
    <xf numFmtId="0" fontId="54" fillId="0" borderId="24" xfId="0" applyFont="1" applyBorder="1"/>
    <xf numFmtId="0" fontId="54" fillId="0" borderId="58" xfId="0" applyFont="1" applyBorder="1" applyAlignment="1">
      <alignment horizontal="left" vertical="center"/>
    </xf>
    <xf numFmtId="0" fontId="54" fillId="57" borderId="9" xfId="0" applyFont="1" applyFill="1" applyBorder="1" applyAlignment="1">
      <alignment horizontal="left" vertical="center"/>
    </xf>
    <xf numFmtId="2" fontId="7" fillId="0" borderId="16" xfId="0" applyNumberFormat="1" applyFont="1" applyBorder="1" applyAlignment="1">
      <alignment horizontal="left" vertical="center"/>
    </xf>
    <xf numFmtId="0" fontId="0" fillId="17" borderId="0" xfId="0" applyFill="1"/>
    <xf numFmtId="165" fontId="0" fillId="0" borderId="0" xfId="47" applyNumberFormat="1" applyFont="1"/>
    <xf numFmtId="166" fontId="0" fillId="0" borderId="0" xfId="47" applyNumberFormat="1" applyFont="1"/>
    <xf numFmtId="0" fontId="71" fillId="0" borderId="0" xfId="0" applyFont="1"/>
    <xf numFmtId="0" fontId="0" fillId="61" borderId="0" xfId="0" applyFill="1"/>
    <xf numFmtId="2" fontId="7" fillId="0" borderId="29" xfId="0" applyNumberFormat="1" applyFont="1" applyBorder="1" applyAlignment="1">
      <alignment horizontal="left" vertical="center"/>
    </xf>
    <xf numFmtId="0" fontId="0" fillId="0" borderId="21" xfId="0" applyBorder="1" applyAlignment="1">
      <alignment horizontal="left"/>
    </xf>
    <xf numFmtId="0" fontId="7" fillId="17" borderId="64" xfId="0" applyFont="1" applyFill="1" applyBorder="1" applyAlignment="1">
      <alignment horizontal="left" vertical="center"/>
    </xf>
    <xf numFmtId="0" fontId="7" fillId="0" borderId="64" xfId="0" applyFont="1" applyBorder="1" applyAlignment="1">
      <alignment horizontal="left" vertical="center"/>
    </xf>
    <xf numFmtId="2" fontId="7" fillId="17" borderId="9" xfId="0" applyNumberFormat="1" applyFont="1" applyFill="1" applyBorder="1" applyAlignment="1">
      <alignment vertical="center"/>
    </xf>
    <xf numFmtId="0" fontId="0" fillId="17" borderId="9" xfId="0" applyFill="1" applyBorder="1" applyAlignment="1">
      <alignment horizontal="left"/>
    </xf>
    <xf numFmtId="0" fontId="55" fillId="45" borderId="47" xfId="0" applyFont="1" applyFill="1" applyBorder="1" applyAlignment="1">
      <alignment horizontal="center" vertical="center"/>
    </xf>
    <xf numFmtId="2" fontId="54" fillId="47" borderId="8" xfId="0" applyNumberFormat="1" applyFont="1" applyFill="1" applyBorder="1" applyAlignment="1">
      <alignment horizontal="center" vertical="center"/>
    </xf>
    <xf numFmtId="2" fontId="54" fillId="47" borderId="56" xfId="0" applyNumberFormat="1" applyFont="1" applyFill="1" applyBorder="1" applyAlignment="1">
      <alignment horizontal="center" vertical="center"/>
    </xf>
    <xf numFmtId="2" fontId="54" fillId="47" borderId="84" xfId="0" applyNumberFormat="1" applyFont="1" applyFill="1" applyBorder="1" applyAlignment="1">
      <alignment horizontal="center" vertical="center"/>
    </xf>
    <xf numFmtId="166" fontId="54" fillId="47" borderId="84" xfId="0" applyNumberFormat="1" applyFont="1" applyFill="1" applyBorder="1" applyAlignment="1">
      <alignment horizontal="center" vertical="center"/>
    </xf>
    <xf numFmtId="166" fontId="54" fillId="47" borderId="9" xfId="0" applyNumberFormat="1" applyFont="1" applyFill="1" applyBorder="1" applyAlignment="1">
      <alignment horizontal="center" vertical="center"/>
    </xf>
    <xf numFmtId="0" fontId="27" fillId="40" borderId="59" xfId="0" applyFont="1" applyFill="1" applyBorder="1" applyAlignment="1">
      <alignment horizontal="left" vertical="top"/>
    </xf>
    <xf numFmtId="0" fontId="0" fillId="17" borderId="16" xfId="0" applyFill="1" applyBorder="1"/>
    <xf numFmtId="0" fontId="0" fillId="0" borderId="16" xfId="0" applyBorder="1" applyAlignment="1">
      <alignment horizontal="left"/>
    </xf>
    <xf numFmtId="0" fontId="0" fillId="0" borderId="40" xfId="0" applyBorder="1"/>
    <xf numFmtId="0" fontId="15" fillId="20" borderId="0" xfId="0" applyFont="1" applyFill="1"/>
    <xf numFmtId="0" fontId="0" fillId="17" borderId="42" xfId="0" applyFill="1" applyBorder="1"/>
    <xf numFmtId="0" fontId="0" fillId="17" borderId="18" xfId="0" applyFill="1" applyBorder="1"/>
    <xf numFmtId="0" fontId="0" fillId="0" borderId="18" xfId="0" applyBorder="1"/>
    <xf numFmtId="0" fontId="0" fillId="0" borderId="52" xfId="0" applyBorder="1"/>
    <xf numFmtId="0" fontId="0" fillId="0" borderId="65" xfId="0" applyBorder="1"/>
    <xf numFmtId="0" fontId="0" fillId="17" borderId="22" xfId="0" applyFill="1" applyBorder="1"/>
    <xf numFmtId="0" fontId="0" fillId="17" borderId="66" xfId="0" applyFill="1" applyBorder="1"/>
    <xf numFmtId="0" fontId="0" fillId="0" borderId="67" xfId="0" applyBorder="1"/>
    <xf numFmtId="11" fontId="0" fillId="17" borderId="0" xfId="0" applyNumberFormat="1" applyFill="1"/>
    <xf numFmtId="11" fontId="0" fillId="0" borderId="18" xfId="0" applyNumberFormat="1" applyBorder="1"/>
    <xf numFmtId="11" fontId="0" fillId="17" borderId="18" xfId="0" applyNumberFormat="1" applyFill="1" applyBorder="1"/>
    <xf numFmtId="11" fontId="0" fillId="0" borderId="66" xfId="0" applyNumberFormat="1" applyBorder="1"/>
    <xf numFmtId="11" fontId="0" fillId="17" borderId="66" xfId="0" applyNumberFormat="1" applyFill="1" applyBorder="1"/>
    <xf numFmtId="11" fontId="0" fillId="20" borderId="0" xfId="0" applyNumberFormat="1" applyFill="1"/>
    <xf numFmtId="11" fontId="7" fillId="0" borderId="0" xfId="0" applyNumberFormat="1" applyFont="1"/>
    <xf numFmtId="11" fontId="71" fillId="0" borderId="0" xfId="0" applyNumberFormat="1" applyFont="1"/>
    <xf numFmtId="0" fontId="0" fillId="62" borderId="0" xfId="0" applyFill="1"/>
    <xf numFmtId="175" fontId="0" fillId="0" borderId="0" xfId="0" applyNumberFormat="1"/>
    <xf numFmtId="1" fontId="0" fillId="0" borderId="0" xfId="0" applyNumberFormat="1"/>
    <xf numFmtId="0" fontId="15" fillId="0" borderId="0" xfId="0" applyFont="1"/>
    <xf numFmtId="2" fontId="54" fillId="47" borderId="59" xfId="0" applyNumberFormat="1" applyFont="1" applyFill="1" applyBorder="1" applyAlignment="1">
      <alignment horizontal="center" vertical="center"/>
    </xf>
    <xf numFmtId="2" fontId="54" fillId="47" borderId="0" xfId="0" applyNumberFormat="1" applyFont="1" applyFill="1" applyAlignment="1">
      <alignment horizontal="center" vertical="center"/>
    </xf>
    <xf numFmtId="2" fontId="54" fillId="47" borderId="7" xfId="0" applyNumberFormat="1" applyFont="1" applyFill="1" applyBorder="1" applyAlignment="1">
      <alignment horizontal="center" vertical="center"/>
    </xf>
    <xf numFmtId="2" fontId="54" fillId="47" borderId="69" xfId="0" applyNumberFormat="1" applyFont="1" applyFill="1" applyBorder="1" applyAlignment="1">
      <alignment horizontal="center" vertical="center"/>
    </xf>
    <xf numFmtId="0" fontId="55" fillId="63" borderId="55" xfId="0" applyFont="1" applyFill="1" applyBorder="1" applyAlignment="1">
      <alignment horizontal="center" vertical="center"/>
    </xf>
    <xf numFmtId="0" fontId="55" fillId="63" borderId="18" xfId="0" applyFont="1" applyFill="1" applyBorder="1" applyAlignment="1">
      <alignment horizontal="center" vertical="center"/>
    </xf>
    <xf numFmtId="0" fontId="55" fillId="63" borderId="54" xfId="0" applyFont="1" applyFill="1" applyBorder="1" applyAlignment="1">
      <alignment horizontal="center" vertical="center"/>
    </xf>
    <xf numFmtId="2" fontId="54" fillId="63" borderId="23" xfId="0" applyNumberFormat="1" applyFont="1" applyFill="1" applyBorder="1" applyAlignment="1">
      <alignment horizontal="center" vertical="center"/>
    </xf>
    <xf numFmtId="2" fontId="54" fillId="63" borderId="24" xfId="0" applyNumberFormat="1" applyFont="1" applyFill="1" applyBorder="1" applyAlignment="1">
      <alignment horizontal="center" vertical="center"/>
    </xf>
    <xf numFmtId="2" fontId="54" fillId="63" borderId="25" xfId="0" applyNumberFormat="1" applyFont="1" applyFill="1" applyBorder="1" applyAlignment="1">
      <alignment horizontal="center" vertical="center"/>
    </xf>
    <xf numFmtId="2" fontId="54" fillId="63" borderId="26" xfId="0" applyNumberFormat="1" applyFont="1" applyFill="1" applyBorder="1" applyAlignment="1">
      <alignment horizontal="center" vertical="center"/>
    </xf>
    <xf numFmtId="2" fontId="54" fillId="63" borderId="9" xfId="0" applyNumberFormat="1" applyFont="1" applyFill="1" applyBorder="1" applyAlignment="1">
      <alignment horizontal="center" vertical="center"/>
    </xf>
    <xf numFmtId="2" fontId="54" fillId="63" borderId="27" xfId="0" applyNumberFormat="1" applyFont="1" applyFill="1" applyBorder="1" applyAlignment="1">
      <alignment horizontal="center" vertical="center"/>
    </xf>
    <xf numFmtId="2" fontId="54" fillId="63" borderId="28" xfId="0" applyNumberFormat="1" applyFont="1" applyFill="1" applyBorder="1" applyAlignment="1">
      <alignment horizontal="center" vertical="center"/>
    </xf>
    <xf numFmtId="2" fontId="54" fillId="63" borderId="29" xfId="0" applyNumberFormat="1" applyFont="1" applyFill="1" applyBorder="1" applyAlignment="1">
      <alignment horizontal="center" vertical="center"/>
    </xf>
    <xf numFmtId="2" fontId="54" fillId="63" borderId="30" xfId="0" applyNumberFormat="1" applyFont="1" applyFill="1" applyBorder="1" applyAlignment="1">
      <alignment horizontal="center" vertical="center"/>
    </xf>
    <xf numFmtId="0" fontId="0" fillId="64" borderId="0" xfId="0" applyFill="1"/>
    <xf numFmtId="0" fontId="27" fillId="40" borderId="62" xfId="0" applyFont="1" applyFill="1" applyBorder="1" applyAlignment="1">
      <alignment horizontal="left" vertical="top"/>
    </xf>
    <xf numFmtId="0" fontId="0" fillId="65" borderId="0" xfId="0" applyFill="1"/>
    <xf numFmtId="11" fontId="0" fillId="65" borderId="0" xfId="0" applyNumberFormat="1" applyFill="1"/>
    <xf numFmtId="11" fontId="0" fillId="61" borderId="0" xfId="0" applyNumberFormat="1" applyFill="1"/>
    <xf numFmtId="2" fontId="7" fillId="17" borderId="0" xfId="0" applyNumberFormat="1" applyFont="1" applyFill="1" applyAlignment="1">
      <alignment horizontal="left" vertical="center"/>
    </xf>
    <xf numFmtId="2" fontId="7" fillId="0" borderId="9" xfId="0" applyNumberFormat="1" applyFont="1" applyBorder="1" applyAlignment="1">
      <alignment vertical="center"/>
    </xf>
    <xf numFmtId="2" fontId="7" fillId="0" borderId="23" xfId="0" applyNumberFormat="1" applyFont="1" applyBorder="1" applyAlignment="1">
      <alignment horizontal="left" vertical="center"/>
    </xf>
    <xf numFmtId="2" fontId="7" fillId="0" borderId="24" xfId="0" applyNumberFormat="1" applyFont="1" applyBorder="1" applyAlignment="1">
      <alignment vertical="center"/>
    </xf>
    <xf numFmtId="1" fontId="7" fillId="0" borderId="24" xfId="0" applyNumberFormat="1" applyFont="1" applyBorder="1" applyAlignment="1">
      <alignment horizontal="left" vertical="center"/>
    </xf>
    <xf numFmtId="2" fontId="7" fillId="0" borderId="26" xfId="0" applyNumberFormat="1" applyFont="1" applyBorder="1" applyAlignment="1">
      <alignment horizontal="left" vertical="center"/>
    </xf>
    <xf numFmtId="2" fontId="7" fillId="0" borderId="28" xfId="0" applyNumberFormat="1" applyFont="1" applyBorder="1" applyAlignment="1">
      <alignment horizontal="left" vertical="center"/>
    </xf>
    <xf numFmtId="2" fontId="7" fillId="0" borderId="29" xfId="0" applyNumberFormat="1" applyFont="1" applyBorder="1" applyAlignment="1">
      <alignment vertical="center"/>
    </xf>
    <xf numFmtId="1" fontId="7" fillId="0" borderId="29" xfId="0" applyNumberFormat="1" applyFont="1" applyBorder="1" applyAlignment="1">
      <alignment horizontal="left" vertical="center"/>
    </xf>
    <xf numFmtId="2" fontId="7" fillId="0" borderId="68" xfId="0" applyNumberFormat="1" applyFont="1" applyBorder="1" applyAlignment="1">
      <alignment horizontal="left" vertical="center"/>
    </xf>
    <xf numFmtId="2" fontId="7" fillId="0" borderId="16" xfId="0" applyNumberFormat="1" applyFont="1" applyBorder="1" applyAlignment="1">
      <alignment vertical="center"/>
    </xf>
    <xf numFmtId="1" fontId="7" fillId="0" borderId="16" xfId="0" applyNumberFormat="1" applyFont="1" applyBorder="1" applyAlignment="1">
      <alignment horizontal="left" vertical="center"/>
    </xf>
    <xf numFmtId="0" fontId="7" fillId="0" borderId="29" xfId="0" applyFont="1" applyBorder="1"/>
    <xf numFmtId="0" fontId="0" fillId="0" borderId="29" xfId="0" applyBorder="1"/>
    <xf numFmtId="0" fontId="0" fillId="0" borderId="23" xfId="0" applyBorder="1"/>
    <xf numFmtId="0" fontId="0" fillId="0" borderId="24" xfId="0" applyBorder="1"/>
    <xf numFmtId="0" fontId="0" fillId="0" borderId="28" xfId="0" applyBorder="1"/>
    <xf numFmtId="0" fontId="7" fillId="0" borderId="9" xfId="0" applyFont="1" applyBorder="1" applyAlignment="1">
      <alignment horizontal="right" vertical="center"/>
    </xf>
    <xf numFmtId="0" fontId="7" fillId="0" borderId="27" xfId="0" applyFont="1" applyBorder="1" applyAlignment="1">
      <alignment horizontal="right" vertical="center"/>
    </xf>
    <xf numFmtId="0" fontId="7" fillId="0" borderId="29" xfId="0" applyFont="1" applyBorder="1" applyAlignment="1">
      <alignment horizontal="right" vertical="center"/>
    </xf>
    <xf numFmtId="0" fontId="7" fillId="0" borderId="30" xfId="0" applyFont="1" applyBorder="1" applyAlignment="1">
      <alignment horizontal="right" vertical="center"/>
    </xf>
    <xf numFmtId="2" fontId="7" fillId="56" borderId="9" xfId="0" applyNumberFormat="1" applyFont="1" applyFill="1" applyBorder="1" applyAlignment="1">
      <alignment horizontal="left" vertical="center"/>
    </xf>
    <xf numFmtId="169" fontId="7" fillId="56" borderId="9" xfId="0" applyNumberFormat="1" applyFont="1" applyFill="1" applyBorder="1" applyAlignment="1">
      <alignment horizontal="left" vertical="center"/>
    </xf>
    <xf numFmtId="1" fontId="7" fillId="56" borderId="9" xfId="0" applyNumberFormat="1" applyFont="1" applyFill="1" applyBorder="1" applyAlignment="1">
      <alignment horizontal="left" vertical="center"/>
    </xf>
    <xf numFmtId="0" fontId="0" fillId="56" borderId="0" xfId="0" applyFill="1" applyAlignment="1">
      <alignment horizontal="left" vertical="center"/>
    </xf>
    <xf numFmtId="0" fontId="0" fillId="56" borderId="0" xfId="0" applyFill="1"/>
    <xf numFmtId="0" fontId="7" fillId="0" borderId="43" xfId="0" applyFont="1" applyBorder="1"/>
    <xf numFmtId="0" fontId="75" fillId="0" borderId="0" xfId="0" applyFont="1"/>
    <xf numFmtId="0" fontId="0" fillId="66" borderId="0" xfId="0" applyFill="1"/>
    <xf numFmtId="0" fontId="17" fillId="66" borderId="0" xfId="0" applyFont="1" applyFill="1"/>
    <xf numFmtId="0" fontId="0" fillId="17" borderId="0" xfId="0" applyFill="1" applyAlignment="1">
      <alignment horizontal="left"/>
    </xf>
    <xf numFmtId="10" fontId="0" fillId="0" borderId="0" xfId="47" applyNumberFormat="1" applyFont="1"/>
    <xf numFmtId="0" fontId="53" fillId="0" borderId="0" xfId="52" applyBorder="1"/>
    <xf numFmtId="0" fontId="6" fillId="2" borderId="55" xfId="0" applyFont="1" applyFill="1" applyBorder="1" applyAlignment="1">
      <alignment horizontal="left" vertical="center"/>
    </xf>
    <xf numFmtId="0" fontId="6" fillId="2" borderId="56" xfId="0" applyFont="1" applyFill="1" applyBorder="1" applyAlignment="1">
      <alignment horizontal="left" vertical="center"/>
    </xf>
    <xf numFmtId="0" fontId="6" fillId="6" borderId="56" xfId="0" applyFont="1" applyFill="1" applyBorder="1" applyAlignment="1">
      <alignment horizontal="left" vertical="center"/>
    </xf>
    <xf numFmtId="167" fontId="6" fillId="6" borderId="56" xfId="0" applyNumberFormat="1" applyFont="1" applyFill="1" applyBorder="1" applyAlignment="1">
      <alignment horizontal="left" vertical="center"/>
    </xf>
    <xf numFmtId="0" fontId="6" fillId="6" borderId="54" xfId="0" applyFont="1" applyFill="1" applyBorder="1" applyAlignment="1">
      <alignment horizontal="left" vertical="center"/>
    </xf>
    <xf numFmtId="1" fontId="7" fillId="0" borderId="0" xfId="0" applyNumberFormat="1" applyFont="1" applyAlignment="1">
      <alignment horizontal="left" vertical="center"/>
    </xf>
    <xf numFmtId="0" fontId="75" fillId="0" borderId="0" xfId="0" applyFont="1" applyAlignment="1">
      <alignment vertical="center"/>
    </xf>
    <xf numFmtId="0" fontId="75" fillId="0" borderId="0" xfId="0" applyFont="1" applyAlignment="1">
      <alignment horizontal="left" vertical="center"/>
    </xf>
    <xf numFmtId="1" fontId="75" fillId="0" borderId="0" xfId="0" applyNumberFormat="1" applyFont="1" applyAlignment="1">
      <alignment horizontal="left" vertical="center"/>
    </xf>
    <xf numFmtId="177" fontId="0" fillId="0" borderId="24" xfId="47" applyNumberFormat="1" applyFont="1" applyBorder="1"/>
    <xf numFmtId="177" fontId="0" fillId="0" borderId="9" xfId="47" applyNumberFormat="1" applyFont="1" applyBorder="1"/>
    <xf numFmtId="177" fontId="7" fillId="0" borderId="9" xfId="47" applyNumberFormat="1" applyFont="1" applyBorder="1" applyAlignment="1">
      <alignment horizontal="right" vertical="center"/>
    </xf>
    <xf numFmtId="177" fontId="0" fillId="0" borderId="29" xfId="47" applyNumberFormat="1" applyFont="1" applyBorder="1"/>
    <xf numFmtId="10" fontId="7" fillId="0" borderId="24" xfId="47" applyNumberFormat="1" applyFont="1" applyBorder="1" applyAlignment="1">
      <alignment horizontal="left" vertical="center"/>
    </xf>
    <xf numFmtId="10" fontId="7" fillId="0" borderId="9" xfId="47" applyNumberFormat="1" applyFont="1" applyBorder="1" applyAlignment="1">
      <alignment horizontal="left" vertical="center"/>
    </xf>
    <xf numFmtId="10" fontId="7" fillId="0" borderId="17" xfId="47" applyNumberFormat="1" applyFont="1" applyBorder="1" applyAlignment="1">
      <alignment horizontal="left"/>
    </xf>
    <xf numFmtId="10" fontId="7" fillId="0" borderId="9" xfId="47" applyNumberFormat="1" applyFont="1" applyBorder="1" applyAlignment="1">
      <alignment horizontal="left"/>
    </xf>
    <xf numFmtId="10" fontId="7" fillId="0" borderId="29" xfId="47" applyNumberFormat="1" applyFont="1" applyBorder="1" applyAlignment="1">
      <alignment horizontal="left"/>
    </xf>
    <xf numFmtId="0" fontId="0" fillId="0" borderId="26" xfId="0" applyBorder="1"/>
    <xf numFmtId="0" fontId="57" fillId="0" borderId="36" xfId="0" applyFont="1" applyBorder="1" applyAlignment="1">
      <alignment horizontal="left" vertical="center"/>
    </xf>
    <xf numFmtId="0" fontId="57" fillId="0" borderId="7" xfId="0" applyFont="1" applyBorder="1" applyAlignment="1">
      <alignment horizontal="left" vertical="center"/>
    </xf>
    <xf numFmtId="0" fontId="57" fillId="0" borderId="26" xfId="0" applyFont="1" applyBorder="1" applyAlignment="1">
      <alignment horizontal="left" vertical="center"/>
    </xf>
    <xf numFmtId="11" fontId="7" fillId="0" borderId="0" xfId="0" applyNumberFormat="1" applyFont="1" applyAlignment="1">
      <alignment horizontal="left" vertical="center"/>
    </xf>
    <xf numFmtId="2" fontId="7" fillId="0" borderId="0" xfId="0" applyNumberFormat="1" applyFont="1" applyAlignment="1">
      <alignment horizontal="right" vertical="center"/>
    </xf>
    <xf numFmtId="0" fontId="18" fillId="14" borderId="36" xfId="43" applyFont="1" applyFill="1" applyBorder="1" applyAlignment="1">
      <alignment horizontal="center" vertical="center" wrapText="1"/>
    </xf>
    <xf numFmtId="0" fontId="18" fillId="14" borderId="7" xfId="44" applyFont="1" applyFill="1" applyBorder="1" applyAlignment="1">
      <alignment horizontal="center" vertical="center" wrapText="1"/>
    </xf>
    <xf numFmtId="0" fontId="18" fillId="14" borderId="36" xfId="45" applyFont="1" applyFill="1" applyBorder="1" applyAlignment="1">
      <alignment horizontal="center" vertical="center" wrapText="1"/>
    </xf>
    <xf numFmtId="0" fontId="18" fillId="14" borderId="33" xfId="42" applyFont="1" applyFill="1" applyBorder="1" applyAlignment="1">
      <alignment horizontal="center" vertical="center" wrapText="1"/>
    </xf>
    <xf numFmtId="0" fontId="6" fillId="3" borderId="31" xfId="0" applyFont="1" applyFill="1" applyBorder="1" applyAlignment="1">
      <alignment horizontal="left" vertical="center"/>
    </xf>
    <xf numFmtId="0" fontId="77" fillId="0" borderId="0" xfId="0" applyFont="1"/>
    <xf numFmtId="0" fontId="76" fillId="0" borderId="0" xfId="120"/>
    <xf numFmtId="169" fontId="0" fillId="0" borderId="0" xfId="0" applyNumberFormat="1"/>
    <xf numFmtId="0" fontId="0" fillId="0" borderId="13" xfId="0" applyBorder="1" applyAlignment="1">
      <alignment horizontal="left" vertical="center" wrapText="1"/>
    </xf>
    <xf numFmtId="0" fontId="0" fillId="0" borderId="9" xfId="0" applyBorder="1" applyAlignment="1">
      <alignment horizontal="left" vertical="center" wrapText="1"/>
    </xf>
    <xf numFmtId="0" fontId="0" fillId="0" borderId="27" xfId="0" applyBorder="1" applyAlignment="1">
      <alignment horizontal="left" vertical="center" wrapText="1"/>
    </xf>
    <xf numFmtId="0" fontId="0" fillId="0" borderId="26" xfId="0" applyBorder="1" applyAlignment="1">
      <alignment horizontal="left" vertical="center" wrapText="1"/>
    </xf>
    <xf numFmtId="0" fontId="0" fillId="0" borderId="23"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6" fillId="21" borderId="42" xfId="0" applyFont="1" applyFill="1" applyBorder="1" applyAlignment="1">
      <alignment horizontal="left" vertical="center" wrapText="1"/>
    </xf>
    <xf numFmtId="0" fontId="6" fillId="21" borderId="18" xfId="0" applyFont="1" applyFill="1" applyBorder="1" applyAlignment="1">
      <alignment horizontal="left" vertical="center" wrapText="1"/>
    </xf>
    <xf numFmtId="0" fontId="6" fillId="21" borderId="52" xfId="0" applyFont="1" applyFill="1" applyBorder="1" applyAlignment="1">
      <alignment horizontal="left" vertical="center" wrapText="1"/>
    </xf>
    <xf numFmtId="0" fontId="0" fillId="0" borderId="11" xfId="0" applyBorder="1" applyAlignment="1">
      <alignment horizontal="left" vertical="center" wrapText="1"/>
    </xf>
    <xf numFmtId="0" fontId="0" fillId="0" borderId="30" xfId="0" applyBorder="1" applyAlignment="1">
      <alignment horizontal="left" vertical="center" wrapText="1"/>
    </xf>
    <xf numFmtId="0" fontId="0" fillId="0" borderId="29" xfId="0" applyBorder="1" applyAlignment="1">
      <alignment horizontal="left" vertical="center" wrapText="1"/>
    </xf>
    <xf numFmtId="0" fontId="0" fillId="0" borderId="53" xfId="0" applyBorder="1" applyAlignment="1">
      <alignment horizontal="left" vertical="center" wrapText="1"/>
    </xf>
    <xf numFmtId="0" fontId="25" fillId="21" borderId="15" xfId="0" applyFont="1" applyFill="1" applyBorder="1" applyAlignment="1">
      <alignment horizontal="left" vertical="center" wrapText="1"/>
    </xf>
    <xf numFmtId="0" fontId="25" fillId="21" borderId="6" xfId="0" applyFont="1" applyFill="1" applyBorder="1" applyAlignment="1">
      <alignment horizontal="left" vertical="center" wrapText="1"/>
    </xf>
    <xf numFmtId="0" fontId="25" fillId="21" borderId="39" xfId="0" applyFont="1" applyFill="1" applyBorder="1" applyAlignment="1">
      <alignment horizontal="left" vertical="center" wrapText="1"/>
    </xf>
    <xf numFmtId="0" fontId="6" fillId="21" borderId="15" xfId="0" applyFont="1" applyFill="1" applyBorder="1" applyAlignment="1">
      <alignment horizontal="left" vertical="center" wrapText="1"/>
    </xf>
    <xf numFmtId="0" fontId="6" fillId="21" borderId="6" xfId="0" applyFont="1" applyFill="1" applyBorder="1" applyAlignment="1">
      <alignment horizontal="left" vertical="center" wrapText="1"/>
    </xf>
    <xf numFmtId="0" fontId="6" fillId="21" borderId="39" xfId="0" applyFont="1" applyFill="1" applyBorder="1" applyAlignment="1">
      <alignment horizontal="left" vertical="center" wrapText="1"/>
    </xf>
    <xf numFmtId="0" fontId="6" fillId="15" borderId="40" xfId="41" applyFont="1" applyFill="1" applyBorder="1" applyAlignment="1">
      <alignment horizontal="center" vertical="center" wrapText="1"/>
    </xf>
    <xf numFmtId="0" fontId="6" fillId="15" borderId="41" xfId="41" applyFont="1" applyFill="1" applyBorder="1" applyAlignment="1">
      <alignment horizontal="center" vertical="center" wrapText="1"/>
    </xf>
    <xf numFmtId="0" fontId="70" fillId="20" borderId="0" xfId="0" applyFont="1" applyFill="1" applyAlignment="1">
      <alignment horizontal="left"/>
    </xf>
    <xf numFmtId="0" fontId="0" fillId="20" borderId="0" xfId="0" applyFill="1" applyAlignment="1">
      <alignment horizontal="left"/>
    </xf>
    <xf numFmtId="0" fontId="70" fillId="58" borderId="0" xfId="103" applyFont="1" applyAlignment="1">
      <alignment horizontal="left"/>
    </xf>
    <xf numFmtId="0" fontId="45" fillId="60" borderId="0" xfId="0" applyFont="1" applyFill="1" applyAlignment="1">
      <alignment horizontal="left"/>
    </xf>
    <xf numFmtId="0" fontId="0" fillId="60" borderId="0" xfId="0" applyFill="1" applyAlignment="1">
      <alignment horizontal="left"/>
    </xf>
    <xf numFmtId="0" fontId="15" fillId="60" borderId="0" xfId="0" applyFont="1" applyFill="1" applyAlignment="1">
      <alignment horizontal="left"/>
    </xf>
    <xf numFmtId="0" fontId="45" fillId="20" borderId="0" xfId="0" applyFont="1" applyFill="1" applyAlignment="1">
      <alignment horizontal="left"/>
    </xf>
    <xf numFmtId="0" fontId="70" fillId="20" borderId="83" xfId="0" applyFont="1" applyFill="1" applyBorder="1" applyAlignment="1">
      <alignment horizontal="left"/>
    </xf>
    <xf numFmtId="0" fontId="17" fillId="20" borderId="0" xfId="0" applyFont="1" applyFill="1" applyAlignment="1">
      <alignment horizontal="left"/>
    </xf>
    <xf numFmtId="0" fontId="68" fillId="20" borderId="0" xfId="0" applyFont="1" applyFill="1" applyAlignment="1">
      <alignment horizontal="left"/>
    </xf>
    <xf numFmtId="0" fontId="73" fillId="20" borderId="0" xfId="0" applyFont="1" applyFill="1" applyAlignment="1">
      <alignment horizontal="left"/>
    </xf>
    <xf numFmtId="0" fontId="45" fillId="18" borderId="0" xfId="0" applyFont="1" applyFill="1" applyAlignment="1">
      <alignment horizontal="left"/>
    </xf>
    <xf numFmtId="0" fontId="72" fillId="18" borderId="0" xfId="0" applyFont="1" applyFill="1" applyAlignment="1">
      <alignment horizontal="left"/>
    </xf>
    <xf numFmtId="2" fontId="6" fillId="27" borderId="59" xfId="0" applyNumberFormat="1" applyFont="1" applyFill="1" applyBorder="1" applyAlignment="1">
      <alignment horizontal="left" vertical="center"/>
    </xf>
    <xf numFmtId="2" fontId="6" fillId="27" borderId="13" xfId="0" applyNumberFormat="1" applyFont="1" applyFill="1" applyBorder="1" applyAlignment="1">
      <alignment horizontal="left" vertical="center"/>
    </xf>
    <xf numFmtId="2" fontId="7" fillId="0" borderId="9" xfId="0" quotePrefix="1" applyNumberFormat="1" applyFont="1" applyBorder="1" applyAlignment="1">
      <alignment horizontal="left" vertical="center" readingOrder="1"/>
    </xf>
    <xf numFmtId="0" fontId="32" fillId="20" borderId="63" xfId="0" applyFont="1" applyFill="1" applyBorder="1" applyAlignment="1">
      <alignment horizontal="left" vertical="center"/>
    </xf>
    <xf numFmtId="0" fontId="32" fillId="20" borderId="0" xfId="0" applyFont="1" applyFill="1" applyAlignment="1">
      <alignment horizontal="left" vertical="center"/>
    </xf>
    <xf numFmtId="0" fontId="5" fillId="27" borderId="9" xfId="0" applyFont="1" applyFill="1" applyBorder="1" applyAlignment="1">
      <alignment horizontal="left" vertical="center"/>
    </xf>
    <xf numFmtId="0" fontId="34" fillId="0" borderId="9" xfId="37" applyFont="1" applyFill="1" applyBorder="1" applyAlignment="1">
      <alignment horizontal="left" vertical="center" readingOrder="1"/>
    </xf>
    <xf numFmtId="0" fontId="7" fillId="0" borderId="9" xfId="37" applyFont="1" applyFill="1" applyBorder="1" applyAlignment="1">
      <alignment horizontal="left" vertical="center" readingOrder="1"/>
    </xf>
    <xf numFmtId="165" fontId="7" fillId="0" borderId="9" xfId="0" applyNumberFormat="1" applyFont="1" applyBorder="1" applyAlignment="1">
      <alignment horizontal="left" vertical="center" readingOrder="1"/>
    </xf>
    <xf numFmtId="0" fontId="5" fillId="27" borderId="59" xfId="0" applyFont="1" applyFill="1" applyBorder="1" applyAlignment="1">
      <alignment horizontal="left" vertical="center"/>
    </xf>
    <xf numFmtId="0" fontId="5" fillId="27" borderId="7" xfId="0" applyFont="1" applyFill="1" applyBorder="1" applyAlignment="1">
      <alignment horizontal="left" vertical="center"/>
    </xf>
    <xf numFmtId="0" fontId="7" fillId="0" borderId="9" xfId="0" applyFont="1" applyBorder="1" applyAlignment="1">
      <alignment horizontal="left" vertical="center" readingOrder="1"/>
    </xf>
    <xf numFmtId="0" fontId="0" fillId="0" borderId="9" xfId="0" applyBorder="1" applyAlignment="1">
      <alignment horizontal="left" vertical="center"/>
    </xf>
    <xf numFmtId="165" fontId="6" fillId="0" borderId="9" xfId="0" applyNumberFormat="1" applyFont="1" applyBorder="1" applyAlignment="1">
      <alignment horizontal="left" vertical="center" readingOrder="1"/>
    </xf>
    <xf numFmtId="165" fontId="7" fillId="0" borderId="59" xfId="0" applyNumberFormat="1" applyFont="1" applyBorder="1" applyAlignment="1">
      <alignment horizontal="left" vertical="center" readingOrder="1"/>
    </xf>
    <xf numFmtId="165" fontId="7" fillId="0" borderId="7" xfId="0" applyNumberFormat="1" applyFont="1" applyBorder="1" applyAlignment="1">
      <alignment horizontal="left" vertical="center" readingOrder="1"/>
    </xf>
    <xf numFmtId="165" fontId="7" fillId="0" borderId="13" xfId="0" applyNumberFormat="1" applyFont="1" applyBorder="1" applyAlignment="1">
      <alignment horizontal="left" vertical="center" readingOrder="1"/>
    </xf>
    <xf numFmtId="0" fontId="32" fillId="20" borderId="9" xfId="0" applyFont="1" applyFill="1" applyBorder="1" applyAlignment="1">
      <alignment horizontal="left" vertical="center"/>
    </xf>
    <xf numFmtId="0" fontId="5" fillId="27" borderId="17" xfId="0" applyFont="1" applyFill="1" applyBorder="1" applyAlignment="1">
      <alignment horizontal="left" vertical="center"/>
    </xf>
    <xf numFmtId="0" fontId="0" fillId="5" borderId="9" xfId="0" applyFill="1" applyBorder="1" applyAlignment="1">
      <alignment horizontal="left" vertical="center"/>
    </xf>
    <xf numFmtId="2" fontId="7" fillId="0" borderId="59" xfId="0" quotePrefix="1" applyNumberFormat="1" applyFont="1" applyBorder="1" applyAlignment="1">
      <alignment horizontal="left" vertical="center" readingOrder="1"/>
    </xf>
    <xf numFmtId="2" fontId="7" fillId="0" borderId="7" xfId="0" quotePrefix="1" applyNumberFormat="1" applyFont="1" applyBorder="1" applyAlignment="1">
      <alignment horizontal="left" vertical="center" readingOrder="1"/>
    </xf>
    <xf numFmtId="2" fontId="7" fillId="0" borderId="13" xfId="0" quotePrefix="1" applyNumberFormat="1" applyFont="1" applyBorder="1" applyAlignment="1">
      <alignment horizontal="left" vertical="center" readingOrder="1"/>
    </xf>
    <xf numFmtId="0" fontId="5" fillId="27" borderId="61" xfId="0" applyFont="1" applyFill="1" applyBorder="1" applyAlignment="1">
      <alignment horizontal="left" vertical="center"/>
    </xf>
    <xf numFmtId="0" fontId="5" fillId="27" borderId="3" xfId="0" applyFont="1" applyFill="1" applyBorder="1" applyAlignment="1">
      <alignment horizontal="left" vertical="center"/>
    </xf>
    <xf numFmtId="0" fontId="5" fillId="27" borderId="8" xfId="0" applyFont="1" applyFill="1" applyBorder="1" applyAlignment="1">
      <alignment horizontal="left" vertical="center"/>
    </xf>
    <xf numFmtId="0" fontId="5" fillId="27" borderId="13" xfId="0" applyFont="1" applyFill="1" applyBorder="1" applyAlignment="1">
      <alignment horizontal="left" vertical="center"/>
    </xf>
    <xf numFmtId="166" fontId="0" fillId="25" borderId="59" xfId="0" applyNumberFormat="1" applyFill="1" applyBorder="1" applyAlignment="1">
      <alignment horizontal="left" vertical="center"/>
    </xf>
    <xf numFmtId="166" fontId="0" fillId="25" borderId="7" xfId="0" applyNumberFormat="1" applyFill="1" applyBorder="1" applyAlignment="1">
      <alignment horizontal="left" vertical="center"/>
    </xf>
    <xf numFmtId="166" fontId="0" fillId="25" borderId="13" xfId="0" applyNumberFormat="1" applyFill="1" applyBorder="1" applyAlignment="1">
      <alignment horizontal="left" vertical="center"/>
    </xf>
    <xf numFmtId="2" fontId="0" fillId="25" borderId="59" xfId="0" applyNumberFormat="1" applyFill="1" applyBorder="1" applyAlignment="1">
      <alignment horizontal="left" vertical="center"/>
    </xf>
    <xf numFmtId="0" fontId="0" fillId="25" borderId="7" xfId="0" applyFill="1" applyBorder="1" applyAlignment="1">
      <alignment horizontal="left" vertical="center"/>
    </xf>
    <xf numFmtId="0" fontId="0" fillId="25" borderId="13" xfId="0" applyFill="1" applyBorder="1" applyAlignment="1">
      <alignment horizontal="left" vertical="center"/>
    </xf>
    <xf numFmtId="0" fontId="0" fillId="26" borderId="9" xfId="0" applyFill="1" applyBorder="1" applyAlignment="1">
      <alignment horizontal="left" vertical="center"/>
    </xf>
    <xf numFmtId="169" fontId="7" fillId="25" borderId="9" xfId="0" applyNumberFormat="1" applyFont="1" applyFill="1" applyBorder="1" applyAlignment="1">
      <alignment horizontal="center" vertical="center"/>
    </xf>
    <xf numFmtId="2" fontId="6" fillId="27" borderId="9" xfId="0" applyNumberFormat="1" applyFont="1" applyFill="1" applyBorder="1" applyAlignment="1">
      <alignment horizontal="left" vertical="center"/>
    </xf>
    <xf numFmtId="169" fontId="7" fillId="25" borderId="59" xfId="0" applyNumberFormat="1" applyFont="1" applyFill="1" applyBorder="1" applyAlignment="1">
      <alignment horizontal="center" vertical="center"/>
    </xf>
    <xf numFmtId="169" fontId="7" fillId="25" borderId="13" xfId="0" applyNumberFormat="1" applyFont="1" applyFill="1" applyBorder="1" applyAlignment="1">
      <alignment horizontal="center" vertical="center"/>
    </xf>
    <xf numFmtId="2" fontId="7" fillId="56" borderId="9" xfId="0" applyNumberFormat="1" applyFont="1" applyFill="1" applyBorder="1" applyAlignment="1">
      <alignment horizontal="left" vertical="center"/>
    </xf>
    <xf numFmtId="2" fontId="7" fillId="26" borderId="9" xfId="0" applyNumberFormat="1" applyFont="1" applyFill="1" applyBorder="1" applyAlignment="1">
      <alignment horizontal="left" vertical="center"/>
    </xf>
    <xf numFmtId="2" fontId="7" fillId="0" borderId="9" xfId="0" applyNumberFormat="1" applyFont="1" applyBorder="1" applyAlignment="1">
      <alignment horizontal="left" vertical="center"/>
    </xf>
    <xf numFmtId="2" fontId="7" fillId="26" borderId="59" xfId="0" applyNumberFormat="1" applyFont="1" applyFill="1" applyBorder="1" applyAlignment="1">
      <alignment horizontal="left" vertical="center"/>
    </xf>
    <xf numFmtId="2" fontId="7" fillId="26" borderId="13" xfId="0" applyNumberFormat="1" applyFont="1" applyFill="1" applyBorder="1" applyAlignment="1">
      <alignment horizontal="left" vertical="center"/>
    </xf>
    <xf numFmtId="2" fontId="7" fillId="0" borderId="59" xfId="0" applyNumberFormat="1" applyFont="1" applyBorder="1" applyAlignment="1">
      <alignment horizontal="left" vertical="center"/>
    </xf>
    <xf numFmtId="2" fontId="7" fillId="0" borderId="13" xfId="0" applyNumberFormat="1" applyFont="1" applyBorder="1" applyAlignment="1">
      <alignment horizontal="left" vertical="center"/>
    </xf>
    <xf numFmtId="2" fontId="7" fillId="56" borderId="59" xfId="0" applyNumberFormat="1" applyFont="1" applyFill="1" applyBorder="1" applyAlignment="1">
      <alignment horizontal="left" vertical="center"/>
    </xf>
    <xf numFmtId="2" fontId="7" fillId="56" borderId="13" xfId="0" applyNumberFormat="1" applyFont="1" applyFill="1" applyBorder="1" applyAlignment="1">
      <alignment horizontal="left" vertical="center"/>
    </xf>
    <xf numFmtId="0" fontId="45" fillId="54" borderId="0" xfId="0" applyFont="1" applyFill="1" applyAlignment="1">
      <alignment horizontal="left"/>
    </xf>
    <xf numFmtId="0" fontId="45" fillId="55" borderId="0" xfId="0" applyFont="1" applyFill="1" applyAlignment="1">
      <alignment horizontal="left"/>
    </xf>
    <xf numFmtId="0" fontId="32" fillId="20" borderId="3" xfId="0" applyFont="1" applyFill="1" applyBorder="1" applyAlignment="1">
      <alignment horizontal="left" vertical="center"/>
    </xf>
    <xf numFmtId="0" fontId="5" fillId="27" borderId="9" xfId="0" applyFont="1" applyFill="1" applyBorder="1" applyAlignment="1">
      <alignment horizontal="left" vertical="center" wrapText="1"/>
    </xf>
    <xf numFmtId="0" fontId="0" fillId="0" borderId="9" xfId="0" applyBorder="1" applyAlignment="1">
      <alignment horizontal="left"/>
    </xf>
    <xf numFmtId="0" fontId="5" fillId="29" borderId="62" xfId="0" applyFont="1" applyFill="1" applyBorder="1" applyAlignment="1">
      <alignment horizontal="left" vertical="center"/>
    </xf>
    <xf numFmtId="0" fontId="5" fillId="29" borderId="2" xfId="0" applyFont="1" applyFill="1" applyBorder="1" applyAlignment="1">
      <alignment horizontal="left" vertical="center"/>
    </xf>
    <xf numFmtId="0" fontId="19" fillId="0" borderId="9" xfId="37" applyBorder="1" applyAlignment="1">
      <alignment horizontal="left" vertical="center"/>
    </xf>
    <xf numFmtId="0" fontId="0" fillId="0" borderId="59" xfId="0" applyBorder="1" applyAlignment="1">
      <alignment horizontal="left"/>
    </xf>
    <xf numFmtId="0" fontId="0" fillId="0" borderId="13" xfId="0" applyBorder="1" applyAlignment="1">
      <alignment horizontal="left"/>
    </xf>
    <xf numFmtId="0" fontId="0" fillId="0" borderId="62" xfId="0" applyBorder="1" applyAlignment="1">
      <alignment horizontal="left" vertical="center" wrapText="1"/>
    </xf>
    <xf numFmtId="0" fontId="0" fillId="0" borderId="10" xfId="0" applyBorder="1" applyAlignment="1">
      <alignment horizontal="left" vertical="center" wrapText="1"/>
    </xf>
    <xf numFmtId="0" fontId="0" fillId="0" borderId="63" xfId="0" applyBorder="1" applyAlignment="1">
      <alignment horizontal="left" vertical="center" wrapText="1"/>
    </xf>
    <xf numFmtId="0" fontId="0" fillId="0" borderId="73" xfId="0" applyBorder="1" applyAlignment="1">
      <alignment horizontal="left" vertical="center" wrapText="1"/>
    </xf>
    <xf numFmtId="0" fontId="0" fillId="0" borderId="61" xfId="0" applyBorder="1" applyAlignment="1">
      <alignment horizontal="left" vertical="center" wrapText="1"/>
    </xf>
    <xf numFmtId="0" fontId="0" fillId="0" borderId="8" xfId="0" applyBorder="1" applyAlignment="1">
      <alignment horizontal="left" vertical="center" wrapText="1"/>
    </xf>
    <xf numFmtId="0" fontId="7" fillId="0" borderId="59" xfId="0" applyFont="1" applyBorder="1" applyAlignment="1">
      <alignment horizontal="left"/>
    </xf>
    <xf numFmtId="0" fontId="7" fillId="0" borderId="13" xfId="0" applyFont="1" applyBorder="1" applyAlignment="1">
      <alignment horizontal="left"/>
    </xf>
    <xf numFmtId="49" fontId="6" fillId="16" borderId="59" xfId="0" applyNumberFormat="1" applyFont="1" applyFill="1" applyBorder="1" applyAlignment="1">
      <alignment horizontal="left" vertical="center"/>
    </xf>
    <xf numFmtId="49" fontId="6" fillId="16" borderId="7" xfId="0" applyNumberFormat="1" applyFont="1" applyFill="1" applyBorder="1" applyAlignment="1">
      <alignment horizontal="left" vertical="center"/>
    </xf>
    <xf numFmtId="49" fontId="6" fillId="16" borderId="13" xfId="0" applyNumberFormat="1" applyFont="1" applyFill="1" applyBorder="1" applyAlignment="1">
      <alignment horizontal="left" vertical="center"/>
    </xf>
    <xf numFmtId="49" fontId="7" fillId="0" borderId="59" xfId="0" quotePrefix="1" applyNumberFormat="1" applyFont="1" applyBorder="1" applyAlignment="1">
      <alignment horizontal="left" vertical="center"/>
    </xf>
    <xf numFmtId="49" fontId="7" fillId="0" borderId="7" xfId="0" quotePrefix="1" applyNumberFormat="1" applyFont="1" applyBorder="1" applyAlignment="1">
      <alignment horizontal="left" vertical="center"/>
    </xf>
    <xf numFmtId="49" fontId="7" fillId="0" borderId="13" xfId="0" quotePrefix="1" applyNumberFormat="1" applyFont="1" applyBorder="1" applyAlignment="1">
      <alignment horizontal="left" vertical="center"/>
    </xf>
    <xf numFmtId="0" fontId="17" fillId="52" borderId="59" xfId="0" applyFont="1" applyFill="1" applyBorder="1" applyAlignment="1">
      <alignment horizontal="left" vertical="center"/>
    </xf>
    <xf numFmtId="0" fontId="17" fillId="52" borderId="7" xfId="0" applyFont="1" applyFill="1" applyBorder="1" applyAlignment="1">
      <alignment horizontal="left" vertical="center"/>
    </xf>
    <xf numFmtId="0" fontId="17" fillId="52" borderId="13" xfId="0" applyFont="1" applyFill="1" applyBorder="1" applyAlignment="1">
      <alignment horizontal="left" vertical="center"/>
    </xf>
    <xf numFmtId="0" fontId="0" fillId="0" borderId="0" xfId="0"/>
    <xf numFmtId="165" fontId="0" fillId="25" borderId="9" xfId="0" applyNumberFormat="1" applyFill="1" applyBorder="1" applyAlignment="1">
      <alignment horizontal="left" vertical="center"/>
    </xf>
    <xf numFmtId="0" fontId="0" fillId="5" borderId="59" xfId="0" applyFill="1" applyBorder="1" applyAlignment="1">
      <alignment horizontal="left" vertical="center"/>
    </xf>
    <xf numFmtId="0" fontId="0" fillId="5" borderId="7" xfId="0" applyFill="1" applyBorder="1" applyAlignment="1">
      <alignment horizontal="left" vertical="center"/>
    </xf>
    <xf numFmtId="0" fontId="5" fillId="0" borderId="9" xfId="0" applyFont="1" applyBorder="1" applyAlignment="1">
      <alignment horizontal="left" vertical="center"/>
    </xf>
    <xf numFmtId="0" fontId="0" fillId="26" borderId="16" xfId="0" applyFill="1" applyBorder="1" applyAlignment="1">
      <alignment horizontal="left" vertical="center"/>
    </xf>
    <xf numFmtId="0" fontId="0" fillId="26" borderId="17" xfId="0" applyFill="1" applyBorder="1" applyAlignment="1">
      <alignment horizontal="left" vertical="center"/>
    </xf>
    <xf numFmtId="165" fontId="0" fillId="0" borderId="9" xfId="0" applyNumberFormat="1" applyBorder="1" applyAlignment="1">
      <alignment horizontal="left" vertical="center"/>
    </xf>
    <xf numFmtId="0" fontId="0" fillId="0" borderId="16" xfId="0" applyBorder="1" applyAlignment="1">
      <alignment horizontal="left" vertical="center"/>
    </xf>
    <xf numFmtId="0" fontId="0" fillId="0" borderId="17" xfId="0" applyBorder="1" applyAlignment="1">
      <alignment horizontal="left" vertical="center"/>
    </xf>
    <xf numFmtId="0" fontId="7" fillId="0" borderId="59" xfId="37" applyFont="1" applyBorder="1" applyAlignment="1">
      <alignment horizontal="left" vertical="center"/>
    </xf>
    <xf numFmtId="0" fontId="7" fillId="0" borderId="7" xfId="37" applyFont="1" applyBorder="1" applyAlignment="1">
      <alignment horizontal="left" vertical="center"/>
    </xf>
    <xf numFmtId="0" fontId="7" fillId="0" borderId="13" xfId="37" applyFont="1" applyBorder="1" applyAlignment="1">
      <alignment horizontal="left" vertical="center"/>
    </xf>
    <xf numFmtId="0" fontId="19" fillId="0" borderId="62" xfId="37" applyFill="1" applyBorder="1" applyAlignment="1">
      <alignment horizontal="left" vertical="center"/>
    </xf>
    <xf numFmtId="0" fontId="19" fillId="0" borderId="2" xfId="37" applyFill="1" applyBorder="1" applyAlignment="1">
      <alignment horizontal="left" vertical="center"/>
    </xf>
    <xf numFmtId="0" fontId="19" fillId="0" borderId="10" xfId="37" applyFill="1" applyBorder="1" applyAlignment="1">
      <alignment horizontal="left" vertical="center"/>
    </xf>
    <xf numFmtId="0" fontId="19" fillId="0" borderId="61" xfId="37" applyFill="1" applyBorder="1" applyAlignment="1">
      <alignment horizontal="left" vertical="center"/>
    </xf>
    <xf numFmtId="0" fontId="19" fillId="0" borderId="3" xfId="37" applyFill="1" applyBorder="1" applyAlignment="1">
      <alignment horizontal="left" vertical="center"/>
    </xf>
    <xf numFmtId="0" fontId="19" fillId="0" borderId="8" xfId="37" applyFill="1" applyBorder="1" applyAlignment="1">
      <alignment horizontal="left" vertical="center"/>
    </xf>
    <xf numFmtId="0" fontId="19" fillId="24" borderId="62" xfId="37" applyFill="1" applyBorder="1" applyAlignment="1">
      <alignment horizontal="left" vertical="center"/>
    </xf>
    <xf numFmtId="0" fontId="19" fillId="24" borderId="2" xfId="37" applyFill="1" applyBorder="1" applyAlignment="1">
      <alignment horizontal="left" vertical="center"/>
    </xf>
    <xf numFmtId="0" fontId="19" fillId="24" borderId="10" xfId="37" applyFill="1" applyBorder="1" applyAlignment="1">
      <alignment horizontal="left" vertical="center"/>
    </xf>
    <xf numFmtId="0" fontId="19" fillId="24" borderId="61" xfId="37" applyFill="1" applyBorder="1" applyAlignment="1">
      <alignment horizontal="left" vertical="center"/>
    </xf>
    <xf numFmtId="0" fontId="19" fillId="24" borderId="3" xfId="37" applyFill="1" applyBorder="1" applyAlignment="1">
      <alignment horizontal="left" vertical="center"/>
    </xf>
    <xf numFmtId="0" fontId="19" fillId="24" borderId="8" xfId="37" applyFill="1" applyBorder="1" applyAlignment="1">
      <alignment horizontal="left" vertical="center"/>
    </xf>
    <xf numFmtId="0" fontId="7" fillId="0" borderId="59" xfId="0" applyFont="1" applyBorder="1" applyAlignment="1">
      <alignment horizontal="left" vertical="center"/>
    </xf>
    <xf numFmtId="0" fontId="7" fillId="0" borderId="13" xfId="0" applyFont="1" applyBorder="1" applyAlignment="1">
      <alignment horizontal="left" vertical="center"/>
    </xf>
    <xf numFmtId="0" fontId="7" fillId="0" borderId="9" xfId="0" applyFont="1" applyBorder="1" applyAlignment="1">
      <alignment horizontal="left" vertical="center"/>
    </xf>
    <xf numFmtId="0" fontId="7" fillId="0" borderId="61" xfId="0" applyFont="1" applyBorder="1" applyAlignment="1">
      <alignment horizontal="left" vertical="center"/>
    </xf>
    <xf numFmtId="0" fontId="7" fillId="0" borderId="8" xfId="0" applyFont="1" applyBorder="1" applyAlignment="1">
      <alignment horizontal="left" vertical="center"/>
    </xf>
    <xf numFmtId="0" fontId="7" fillId="0" borderId="3" xfId="0" applyFont="1" applyBorder="1" applyAlignment="1">
      <alignment horizontal="left" vertical="center"/>
    </xf>
    <xf numFmtId="0" fontId="35" fillId="0" borderId="59" xfId="0" applyFont="1" applyBorder="1" applyAlignment="1">
      <alignment horizontal="left" vertical="center"/>
    </xf>
    <xf numFmtId="0" fontId="35" fillId="0" borderId="0" xfId="0" applyFont="1"/>
    <xf numFmtId="0" fontId="68" fillId="20" borderId="0" xfId="0" applyFont="1" applyFill="1" applyAlignment="1">
      <alignment horizontal="left" vertical="center"/>
    </xf>
    <xf numFmtId="0" fontId="69" fillId="20" borderId="0" xfId="0" applyFont="1" applyFill="1" applyAlignment="1">
      <alignment horizontal="left" vertical="center"/>
    </xf>
    <xf numFmtId="0" fontId="0" fillId="24" borderId="9" xfId="0" applyFill="1" applyBorder="1" applyAlignment="1">
      <alignment horizontal="left" vertical="center"/>
    </xf>
    <xf numFmtId="0" fontId="19" fillId="0" borderId="9" xfId="37" applyFill="1" applyBorder="1" applyAlignment="1">
      <alignment horizontal="left" vertical="center"/>
    </xf>
    <xf numFmtId="0" fontId="0" fillId="24" borderId="42" xfId="0" applyFill="1" applyBorder="1" applyAlignment="1">
      <alignment horizontal="left" vertical="center"/>
    </xf>
    <xf numFmtId="0" fontId="0" fillId="24" borderId="52" xfId="0" applyFill="1" applyBorder="1" applyAlignment="1">
      <alignment horizontal="left" vertical="center"/>
    </xf>
    <xf numFmtId="0" fontId="0" fillId="24" borderId="64" xfId="0" applyFill="1" applyBorder="1" applyAlignment="1">
      <alignment horizontal="left" vertical="center"/>
    </xf>
    <xf numFmtId="0" fontId="0" fillId="24" borderId="65" xfId="0" applyFill="1" applyBorder="1" applyAlignment="1">
      <alignment horizontal="left" vertical="center"/>
    </xf>
    <xf numFmtId="0" fontId="0" fillId="24" borderId="22" xfId="0" applyFill="1" applyBorder="1" applyAlignment="1">
      <alignment horizontal="left" vertical="center"/>
    </xf>
    <xf numFmtId="0" fontId="0" fillId="24" borderId="67" xfId="0" applyFill="1" applyBorder="1" applyAlignment="1">
      <alignment horizontal="left" vertical="center"/>
    </xf>
    <xf numFmtId="0" fontId="7" fillId="5" borderId="62" xfId="0" applyFont="1" applyFill="1" applyBorder="1" applyAlignment="1">
      <alignment horizontal="left" vertical="center"/>
    </xf>
    <xf numFmtId="0" fontId="7" fillId="5" borderId="2" xfId="0" applyFont="1" applyFill="1" applyBorder="1" applyAlignment="1">
      <alignment horizontal="left" vertical="center"/>
    </xf>
    <xf numFmtId="0" fontId="7" fillId="5" borderId="10" xfId="0" applyFont="1" applyFill="1" applyBorder="1" applyAlignment="1">
      <alignment horizontal="left" vertical="center"/>
    </xf>
    <xf numFmtId="0" fontId="6" fillId="4" borderId="31" xfId="0" applyFont="1" applyFill="1" applyBorder="1" applyAlignment="1">
      <alignment horizontal="left" vertical="center" wrapText="1"/>
    </xf>
    <xf numFmtId="0" fontId="6" fillId="4" borderId="17" xfId="0" applyFont="1" applyFill="1" applyBorder="1" applyAlignment="1">
      <alignment horizontal="left" vertical="center" wrapText="1"/>
    </xf>
    <xf numFmtId="0" fontId="5" fillId="27" borderId="31" xfId="0" applyFont="1" applyFill="1" applyBorder="1" applyAlignment="1">
      <alignment horizontal="left" vertical="center"/>
    </xf>
    <xf numFmtId="0" fontId="6" fillId="3" borderId="31" xfId="0" applyFont="1" applyFill="1" applyBorder="1" applyAlignment="1">
      <alignment horizontal="left" vertical="center"/>
    </xf>
    <xf numFmtId="0" fontId="6" fillId="3" borderId="17" xfId="0" applyFont="1" applyFill="1" applyBorder="1" applyAlignment="1">
      <alignment horizontal="left" vertical="center"/>
    </xf>
    <xf numFmtId="0" fontId="5" fillId="27" borderId="16" xfId="0" applyFont="1" applyFill="1" applyBorder="1" applyAlignment="1">
      <alignment horizontal="left" vertical="center"/>
    </xf>
    <xf numFmtId="0" fontId="32" fillId="20" borderId="59" xfId="0" applyFont="1" applyFill="1" applyBorder="1" applyAlignment="1">
      <alignment horizontal="left" vertical="center"/>
    </xf>
    <xf numFmtId="0" fontId="32" fillId="20" borderId="7" xfId="0" applyFont="1" applyFill="1" applyBorder="1" applyAlignment="1">
      <alignment horizontal="left" vertical="center"/>
    </xf>
    <xf numFmtId="0" fontId="32" fillId="20" borderId="13" xfId="0" applyFont="1" applyFill="1" applyBorder="1" applyAlignment="1">
      <alignment horizontal="left" vertical="center"/>
    </xf>
    <xf numFmtId="0" fontId="45" fillId="20" borderId="0" xfId="0" applyFont="1" applyFill="1" applyAlignment="1">
      <alignment horizontal="left" vertical="center"/>
    </xf>
    <xf numFmtId="0" fontId="6" fillId="27" borderId="9" xfId="0" applyFont="1" applyFill="1" applyBorder="1" applyAlignment="1">
      <alignment horizontal="left" vertical="center"/>
    </xf>
    <xf numFmtId="0" fontId="6" fillId="27" borderId="59" xfId="0" applyFont="1" applyFill="1" applyBorder="1" applyAlignment="1">
      <alignment horizontal="left" vertical="center"/>
    </xf>
    <xf numFmtId="0" fontId="6" fillId="27" borderId="7" xfId="0" applyFont="1" applyFill="1" applyBorder="1" applyAlignment="1">
      <alignment horizontal="left" vertical="center"/>
    </xf>
    <xf numFmtId="0" fontId="6" fillId="27" borderId="13" xfId="0" applyFont="1" applyFill="1" applyBorder="1" applyAlignment="1">
      <alignment horizontal="left" vertical="center"/>
    </xf>
    <xf numFmtId="0" fontId="7" fillId="0" borderId="7" xfId="0" applyFont="1" applyBorder="1" applyAlignment="1">
      <alignment horizontal="left" vertical="center"/>
    </xf>
    <xf numFmtId="0" fontId="19" fillId="0" borderId="59" xfId="37" applyFill="1" applyBorder="1" applyAlignment="1">
      <alignment horizontal="left" vertical="center"/>
    </xf>
    <xf numFmtId="0" fontId="19" fillId="0" borderId="7" xfId="37" applyFill="1" applyBorder="1" applyAlignment="1">
      <alignment horizontal="left" vertical="center"/>
    </xf>
    <xf numFmtId="0" fontId="19" fillId="0" borderId="13" xfId="37" applyFill="1" applyBorder="1" applyAlignment="1">
      <alignment horizontal="left" vertical="center"/>
    </xf>
    <xf numFmtId="0" fontId="6" fillId="27" borderId="9" xfId="0" applyFont="1" applyFill="1" applyBorder="1" applyAlignment="1">
      <alignment horizontal="center" vertical="center"/>
    </xf>
    <xf numFmtId="165" fontId="0" fillId="0" borderId="9" xfId="0" applyNumberFormat="1" applyBorder="1" applyAlignment="1">
      <alignment horizontal="center" vertical="center"/>
    </xf>
    <xf numFmtId="0" fontId="41" fillId="31" borderId="77" xfId="29" applyFont="1" applyFill="1" applyBorder="1" applyAlignment="1">
      <alignment horizontal="left" vertical="center"/>
    </xf>
    <xf numFmtId="0" fontId="5" fillId="7" borderId="15" xfId="0" applyFont="1" applyFill="1" applyBorder="1" applyAlignment="1">
      <alignment horizontal="left" vertical="center"/>
    </xf>
    <xf numFmtId="0" fontId="5" fillId="7" borderId="39" xfId="0" applyFont="1" applyFill="1" applyBorder="1" applyAlignment="1">
      <alignment horizontal="left" vertical="center"/>
    </xf>
    <xf numFmtId="0" fontId="17" fillId="20" borderId="42" xfId="0" applyFont="1" applyFill="1" applyBorder="1" applyAlignment="1">
      <alignment horizontal="left" vertical="center"/>
    </xf>
    <xf numFmtId="0" fontId="17" fillId="20" borderId="18" xfId="0" applyFont="1" applyFill="1" applyBorder="1" applyAlignment="1">
      <alignment horizontal="left" vertical="center"/>
    </xf>
    <xf numFmtId="0" fontId="17" fillId="20" borderId="52" xfId="0" applyFont="1" applyFill="1" applyBorder="1" applyAlignment="1">
      <alignment horizontal="left" vertical="center"/>
    </xf>
    <xf numFmtId="0" fontId="17" fillId="20" borderId="55" xfId="0" applyFont="1" applyFill="1" applyBorder="1" applyAlignment="1">
      <alignment horizontal="left" vertical="center"/>
    </xf>
    <xf numFmtId="0" fontId="17" fillId="20" borderId="56" xfId="0" applyFont="1" applyFill="1" applyBorder="1" applyAlignment="1">
      <alignment horizontal="left" vertical="center"/>
    </xf>
    <xf numFmtId="0" fontId="17" fillId="20" borderId="54" xfId="0" applyFont="1" applyFill="1" applyBorder="1" applyAlignment="1">
      <alignment horizontal="left" vertical="center"/>
    </xf>
    <xf numFmtId="2" fontId="0" fillId="0" borderId="0" xfId="0" applyNumberFormat="1" applyAlignment="1">
      <alignment horizontal="left"/>
    </xf>
    <xf numFmtId="0" fontId="14" fillId="69" borderId="0" xfId="121"/>
    <xf numFmtId="2" fontId="14" fillId="69" borderId="0" xfId="121" applyNumberFormat="1" applyAlignment="1">
      <alignment horizontal="left"/>
    </xf>
    <xf numFmtId="0" fontId="5" fillId="69" borderId="0" xfId="121" applyFont="1"/>
    <xf numFmtId="2" fontId="5" fillId="0" borderId="0" xfId="0" applyNumberFormat="1" applyFont="1" applyAlignment="1">
      <alignment horizontal="left"/>
    </xf>
    <xf numFmtId="0" fontId="0" fillId="0" borderId="0" xfId="0" applyFont="1"/>
    <xf numFmtId="1" fontId="0" fillId="0" borderId="0" xfId="0" applyNumberFormat="1" applyAlignment="1">
      <alignment horizontal="left"/>
    </xf>
    <xf numFmtId="0" fontId="19" fillId="0" borderId="0" xfId="37" applyAlignment="1">
      <alignment horizontal="left" vertical="center" indent="2"/>
    </xf>
    <xf numFmtId="0" fontId="7" fillId="0" borderId="0" xfId="0" applyFont="1" applyBorder="1" applyAlignment="1">
      <alignment horizontal="left" vertical="center"/>
    </xf>
    <xf numFmtId="0" fontId="7" fillId="17" borderId="9" xfId="0" applyFont="1" applyFill="1" applyBorder="1" applyAlignment="1">
      <alignment horizontal="left" vertical="center"/>
    </xf>
    <xf numFmtId="168" fontId="7" fillId="0" borderId="36" xfId="0" applyNumberFormat="1" applyFont="1" applyBorder="1" applyAlignment="1">
      <alignment horizontal="left" vertical="center"/>
    </xf>
    <xf numFmtId="0" fontId="0" fillId="0" borderId="36" xfId="0" applyBorder="1" applyAlignment="1">
      <alignment horizontal="left" vertical="top"/>
    </xf>
    <xf numFmtId="166" fontId="7" fillId="0" borderId="36" xfId="0" applyNumberFormat="1" applyFont="1" applyBorder="1" applyAlignment="1">
      <alignment horizontal="left" vertical="center"/>
    </xf>
    <xf numFmtId="0" fontId="6" fillId="2" borderId="6" xfId="0" applyFont="1" applyFill="1" applyBorder="1" applyAlignment="1">
      <alignment horizontal="left" vertical="center"/>
    </xf>
    <xf numFmtId="0" fontId="6" fillId="6" borderId="32" xfId="0" applyFont="1" applyFill="1" applyBorder="1" applyAlignment="1">
      <alignment horizontal="left" vertical="center"/>
    </xf>
    <xf numFmtId="0" fontId="6" fillId="6" borderId="6" xfId="0" applyFont="1" applyFill="1" applyBorder="1" applyAlignment="1">
      <alignment horizontal="left" vertical="center"/>
    </xf>
    <xf numFmtId="0" fontId="6" fillId="16" borderId="32" xfId="0" applyFont="1" applyFill="1" applyBorder="1" applyAlignment="1">
      <alignment horizontal="left" vertical="center"/>
    </xf>
    <xf numFmtId="0" fontId="7" fillId="17" borderId="26" xfId="0" applyFont="1" applyFill="1" applyBorder="1" applyAlignment="1">
      <alignment horizontal="left" vertical="center"/>
    </xf>
    <xf numFmtId="0" fontId="0" fillId="0" borderId="26" xfId="0" applyBorder="1" applyAlignment="1">
      <alignment horizontal="left"/>
    </xf>
    <xf numFmtId="0" fontId="34" fillId="0" borderId="36" xfId="37" applyFont="1" applyFill="1" applyBorder="1" applyAlignment="1">
      <alignment horizontal="left" vertical="center"/>
    </xf>
    <xf numFmtId="1" fontId="0" fillId="0" borderId="7" xfId="0" applyNumberFormat="1" applyBorder="1" applyAlignment="1">
      <alignment horizontal="left"/>
    </xf>
    <xf numFmtId="1" fontId="57" fillId="0" borderId="7" xfId="0" applyNumberFormat="1" applyFont="1" applyBorder="1" applyAlignment="1">
      <alignment horizontal="left" vertical="center"/>
    </xf>
    <xf numFmtId="0" fontId="7" fillId="0" borderId="7" xfId="0" applyFont="1" applyBorder="1"/>
    <xf numFmtId="169" fontId="0" fillId="0" borderId="36" xfId="0" applyNumberFormat="1" applyBorder="1" applyAlignment="1">
      <alignment horizontal="left"/>
    </xf>
    <xf numFmtId="2" fontId="0" fillId="0" borderId="36" xfId="0" applyNumberFormat="1" applyBorder="1" applyAlignment="1">
      <alignment horizontal="left"/>
    </xf>
    <xf numFmtId="167" fontId="7" fillId="0" borderId="36" xfId="0" applyNumberFormat="1" applyFont="1" applyBorder="1" applyAlignment="1">
      <alignment horizontal="left" vertical="center"/>
    </xf>
    <xf numFmtId="169" fontId="0" fillId="0" borderId="36" xfId="0" applyNumberFormat="1" applyBorder="1" applyAlignment="1">
      <alignment horizontal="left" vertical="center"/>
    </xf>
    <xf numFmtId="169" fontId="18" fillId="0" borderId="36" xfId="0" applyNumberFormat="1" applyFont="1" applyBorder="1" applyAlignment="1">
      <alignment horizontal="left" vertical="center"/>
    </xf>
    <xf numFmtId="169" fontId="57" fillId="0" borderId="36" xfId="0" applyNumberFormat="1" applyFont="1" applyBorder="1" applyAlignment="1">
      <alignment horizontal="left" vertical="center"/>
    </xf>
    <xf numFmtId="165" fontId="7" fillId="0" borderId="36" xfId="0" applyNumberFormat="1" applyFont="1" applyBorder="1" applyAlignment="1">
      <alignment horizontal="left" vertical="center"/>
    </xf>
    <xf numFmtId="167" fontId="0" fillId="0" borderId="36" xfId="0" applyNumberFormat="1" applyBorder="1" applyAlignment="1">
      <alignment horizontal="left" vertical="top"/>
    </xf>
    <xf numFmtId="0" fontId="0" fillId="0" borderId="7" xfId="0" applyFont="1" applyBorder="1" applyAlignment="1">
      <alignment horizontal="left" vertical="center"/>
    </xf>
    <xf numFmtId="0" fontId="6" fillId="2" borderId="45" xfId="0" applyFont="1" applyFill="1" applyBorder="1" applyAlignment="1">
      <alignment horizontal="left" vertical="center"/>
    </xf>
    <xf numFmtId="0" fontId="6" fillId="2" borderId="47" xfId="0" applyFont="1" applyFill="1" applyBorder="1" applyAlignment="1">
      <alignment horizontal="left" vertical="center"/>
    </xf>
    <xf numFmtId="0" fontId="6" fillId="6" borderId="47" xfId="0" applyFont="1" applyFill="1" applyBorder="1" applyAlignment="1">
      <alignment horizontal="left" vertical="center"/>
    </xf>
    <xf numFmtId="0" fontId="6" fillId="4" borderId="47" xfId="0" applyFont="1" applyFill="1" applyBorder="1" applyAlignment="1">
      <alignment horizontal="left" vertical="center" wrapText="1"/>
    </xf>
    <xf numFmtId="49" fontId="6" fillId="16" borderId="46" xfId="0" applyNumberFormat="1" applyFont="1" applyFill="1" applyBorder="1" applyAlignment="1">
      <alignment horizontal="left" vertical="center"/>
    </xf>
    <xf numFmtId="49" fontId="26" fillId="0" borderId="21" xfId="0" applyNumberFormat="1" applyFont="1" applyBorder="1" applyAlignment="1">
      <alignment horizontal="left" vertical="center"/>
    </xf>
    <xf numFmtId="49" fontId="26" fillId="0" borderId="33" xfId="0" applyNumberFormat="1" applyFont="1" applyBorder="1" applyAlignment="1">
      <alignment horizontal="left" vertical="center"/>
    </xf>
    <xf numFmtId="49" fontId="26" fillId="0" borderId="34" xfId="0" applyNumberFormat="1" applyFont="1" applyBorder="1" applyAlignment="1">
      <alignment horizontal="left" vertical="center"/>
    </xf>
    <xf numFmtId="0" fontId="0" fillId="0" borderId="25" xfId="0" applyBorder="1"/>
    <xf numFmtId="49" fontId="26" fillId="0" borderId="4" xfId="0" applyNumberFormat="1" applyFont="1" applyBorder="1" applyAlignment="1">
      <alignment horizontal="left" vertical="center"/>
    </xf>
    <xf numFmtId="2" fontId="7" fillId="0" borderId="0" xfId="0" applyNumberFormat="1" applyFont="1" applyBorder="1" applyAlignment="1">
      <alignment horizontal="left" vertical="center"/>
    </xf>
    <xf numFmtId="0" fontId="7" fillId="0" borderId="70" xfId="0" applyFont="1" applyBorder="1" applyAlignment="1">
      <alignment horizontal="left"/>
    </xf>
    <xf numFmtId="0" fontId="5" fillId="62" borderId="0" xfId="0" applyFont="1" applyFill="1"/>
    <xf numFmtId="0" fontId="0" fillId="26" borderId="0" xfId="0" applyFill="1"/>
    <xf numFmtId="0" fontId="18" fillId="61" borderId="0" xfId="0" applyFont="1" applyFill="1"/>
    <xf numFmtId="0" fontId="7" fillId="26" borderId="0" xfId="0" applyFont="1" applyFill="1"/>
    <xf numFmtId="170" fontId="7" fillId="0" borderId="0" xfId="47" applyNumberFormat="1" applyFont="1"/>
    <xf numFmtId="170" fontId="7" fillId="0" borderId="0" xfId="0" applyNumberFormat="1" applyFont="1"/>
    <xf numFmtId="10" fontId="7" fillId="0" borderId="0" xfId="0" applyNumberFormat="1" applyFont="1"/>
    <xf numFmtId="177" fontId="7" fillId="0" borderId="0" xfId="0" applyNumberFormat="1" applyFont="1"/>
    <xf numFmtId="176" fontId="7" fillId="0" borderId="0" xfId="0" applyNumberFormat="1" applyFont="1"/>
    <xf numFmtId="10" fontId="7" fillId="0" borderId="0" xfId="47" applyNumberFormat="1" applyFont="1" applyBorder="1"/>
    <xf numFmtId="0" fontId="7" fillId="61" borderId="0" xfId="0" applyFont="1" applyFill="1"/>
    <xf numFmtId="0" fontId="72" fillId="20" borderId="0" xfId="0" applyFont="1" applyFill="1" applyAlignment="1">
      <alignment horizontal="left"/>
    </xf>
    <xf numFmtId="0" fontId="0" fillId="0" borderId="0" xfId="0" applyAlignment="1">
      <alignment horizontal="right"/>
    </xf>
    <xf numFmtId="0" fontId="75" fillId="0" borderId="0" xfId="0" applyFont="1" applyAlignment="1">
      <alignment horizontal="left"/>
    </xf>
    <xf numFmtId="11" fontId="0" fillId="0" borderId="0" xfId="0" applyNumberFormat="1" applyAlignment="1">
      <alignment horizontal="left"/>
    </xf>
    <xf numFmtId="11" fontId="0" fillId="0" borderId="0" xfId="0" applyNumberFormat="1" applyAlignment="1">
      <alignment horizontal="right"/>
    </xf>
    <xf numFmtId="11" fontId="75" fillId="0" borderId="0" xfId="0" applyNumberFormat="1" applyFont="1" applyAlignment="1">
      <alignment horizontal="left" vertical="center"/>
    </xf>
    <xf numFmtId="11" fontId="75" fillId="0" borderId="0" xfId="0" applyNumberFormat="1" applyFont="1" applyAlignment="1">
      <alignment horizontal="left"/>
    </xf>
    <xf numFmtId="11" fontId="75" fillId="0" borderId="0" xfId="0" applyNumberFormat="1" applyFont="1" applyAlignment="1">
      <alignment horizontal="right"/>
    </xf>
    <xf numFmtId="11" fontId="0" fillId="0" borderId="0" xfId="47" applyNumberFormat="1" applyFont="1" applyAlignment="1">
      <alignment horizontal="left"/>
    </xf>
    <xf numFmtId="11" fontId="75" fillId="0" borderId="0" xfId="47" applyNumberFormat="1" applyFont="1" applyAlignment="1">
      <alignment horizontal="left"/>
    </xf>
    <xf numFmtId="11" fontId="0" fillId="0" borderId="0" xfId="47" applyNumberFormat="1" applyFont="1" applyAlignment="1">
      <alignment horizontal="right"/>
    </xf>
    <xf numFmtId="11" fontId="75" fillId="0" borderId="0" xfId="47" applyNumberFormat="1" applyFont="1" applyAlignment="1">
      <alignment horizontal="right"/>
    </xf>
    <xf numFmtId="0" fontId="6" fillId="61" borderId="0" xfId="0" applyFont="1" applyFill="1"/>
    <xf numFmtId="0" fontId="6" fillId="26" borderId="0" xfId="0" applyFont="1" applyFill="1"/>
    <xf numFmtId="10" fontId="7" fillId="0" borderId="16" xfId="47" applyNumberFormat="1" applyFont="1" applyBorder="1" applyAlignment="1">
      <alignment horizontal="left" vertical="center"/>
    </xf>
    <xf numFmtId="10" fontId="7" fillId="0" borderId="29" xfId="47" applyNumberFormat="1" applyFont="1" applyBorder="1" applyAlignment="1">
      <alignment horizontal="left" vertical="center"/>
    </xf>
    <xf numFmtId="2" fontId="72" fillId="20" borderId="0" xfId="0" applyNumberFormat="1" applyFont="1" applyFill="1" applyAlignment="1">
      <alignment horizontal="left" vertical="center"/>
    </xf>
    <xf numFmtId="0" fontId="5" fillId="0" borderId="0" xfId="0" applyFont="1" applyAlignment="1">
      <alignment horizontal="right"/>
    </xf>
    <xf numFmtId="0" fontId="0" fillId="0" borderId="0" xfId="0" applyBorder="1"/>
    <xf numFmtId="0" fontId="0" fillId="25" borderId="0" xfId="0" applyFill="1"/>
    <xf numFmtId="0" fontId="0" fillId="25" borderId="0" xfId="0" applyFill="1" applyBorder="1"/>
    <xf numFmtId="2" fontId="6" fillId="17" borderId="0" xfId="0" applyNumberFormat="1" applyFont="1" applyFill="1" applyAlignment="1">
      <alignment horizontal="left" vertical="center"/>
    </xf>
    <xf numFmtId="0" fontId="5" fillId="25" borderId="0" xfId="0" applyFont="1" applyFill="1"/>
    <xf numFmtId="0" fontId="0" fillId="0" borderId="0" xfId="0" applyFont="1" applyAlignment="1">
      <alignment horizontal="left"/>
    </xf>
    <xf numFmtId="0" fontId="0" fillId="0" borderId="0" xfId="0" applyFill="1" applyBorder="1"/>
    <xf numFmtId="9" fontId="7" fillId="0" borderId="0" xfId="47" applyFont="1" applyAlignment="1">
      <alignment horizontal="right" vertical="center"/>
    </xf>
    <xf numFmtId="10" fontId="7" fillId="0" borderId="0" xfId="47" applyNumberFormat="1" applyFont="1" applyAlignment="1">
      <alignment horizontal="right" vertical="center"/>
    </xf>
    <xf numFmtId="0" fontId="72" fillId="20" borderId="0" xfId="118" applyFont="1" applyFill="1" applyAlignment="1">
      <alignment horizontal="left"/>
    </xf>
    <xf numFmtId="0" fontId="72" fillId="25" borderId="0" xfId="118" applyFont="1" applyFill="1" applyAlignment="1">
      <alignment horizontal="left"/>
    </xf>
    <xf numFmtId="0" fontId="5" fillId="25" borderId="0" xfId="118" applyFont="1" applyFill="1" applyAlignment="1">
      <alignment horizontal="left"/>
    </xf>
    <xf numFmtId="0" fontId="17" fillId="20" borderId="0" xfId="119" applyFont="1" applyFill="1" applyBorder="1" applyAlignment="1">
      <alignment horizontal="left"/>
    </xf>
    <xf numFmtId="0" fontId="17" fillId="20" borderId="85" xfId="119" applyFont="1" applyFill="1" applyBorder="1" applyAlignment="1">
      <alignment horizontal="left"/>
    </xf>
    <xf numFmtId="0" fontId="72" fillId="20" borderId="0" xfId="119" applyFont="1" applyFill="1" applyBorder="1" applyAlignment="1">
      <alignment horizontal="left"/>
    </xf>
    <xf numFmtId="165" fontId="0" fillId="0" borderId="0" xfId="0" applyNumberFormat="1" applyFont="1" applyAlignment="1">
      <alignment horizontal="right"/>
    </xf>
    <xf numFmtId="165" fontId="0" fillId="0" borderId="0" xfId="47" applyNumberFormat="1" applyFont="1" applyAlignment="1">
      <alignment horizontal="right"/>
    </xf>
    <xf numFmtId="165" fontId="7" fillId="0" borderId="0" xfId="0" applyNumberFormat="1" applyFont="1" applyAlignment="1">
      <alignment horizontal="right" vertical="center"/>
    </xf>
    <xf numFmtId="0" fontId="17" fillId="25" borderId="0" xfId="0" applyFont="1" applyFill="1" applyAlignment="1">
      <alignment horizontal="left"/>
    </xf>
    <xf numFmtId="0" fontId="5" fillId="25" borderId="0" xfId="0" applyFont="1" applyFill="1" applyAlignment="1">
      <alignment horizontal="left"/>
    </xf>
    <xf numFmtId="0" fontId="14" fillId="0" borderId="0" xfId="52" applyFont="1" applyBorder="1"/>
    <xf numFmtId="0" fontId="6" fillId="2" borderId="1" xfId="0" applyFont="1" applyFill="1" applyBorder="1" applyAlignment="1">
      <alignment horizontal="left" vertical="center"/>
    </xf>
    <xf numFmtId="0" fontId="6" fillId="2" borderId="0" xfId="0" applyFont="1" applyFill="1" applyBorder="1" applyAlignment="1">
      <alignment horizontal="left" vertical="center"/>
    </xf>
    <xf numFmtId="0" fontId="6" fillId="6" borderId="1" xfId="0" applyFont="1" applyFill="1" applyBorder="1" applyAlignment="1">
      <alignment horizontal="left" vertical="center"/>
    </xf>
    <xf numFmtId="0" fontId="6" fillId="6" borderId="0" xfId="0" applyFont="1" applyFill="1" applyBorder="1" applyAlignment="1">
      <alignment horizontal="left" vertical="center"/>
    </xf>
    <xf numFmtId="167" fontId="6" fillId="6" borderId="1" xfId="0" applyNumberFormat="1" applyFont="1" applyFill="1" applyBorder="1" applyAlignment="1">
      <alignment horizontal="left" vertical="center"/>
    </xf>
    <xf numFmtId="0" fontId="6" fillId="6" borderId="65" xfId="0" applyFont="1" applyFill="1" applyBorder="1" applyAlignment="1">
      <alignment horizontal="left" vertical="center"/>
    </xf>
    <xf numFmtId="0" fontId="6" fillId="3" borderId="71" xfId="0" applyFont="1" applyFill="1" applyBorder="1" applyAlignment="1">
      <alignment horizontal="left" vertical="center"/>
    </xf>
    <xf numFmtId="0" fontId="6" fillId="3" borderId="72" xfId="0" applyFont="1" applyFill="1" applyBorder="1" applyAlignment="1">
      <alignment horizontal="left" vertical="center"/>
    </xf>
    <xf numFmtId="0" fontId="5" fillId="25" borderId="66" xfId="104" applyFont="1" applyFill="1" applyBorder="1"/>
    <xf numFmtId="0" fontId="14" fillId="25" borderId="66" xfId="104" applyFont="1" applyFill="1" applyBorder="1"/>
    <xf numFmtId="0" fontId="7" fillId="0" borderId="37" xfId="0" applyFont="1" applyBorder="1" applyAlignment="1">
      <alignment horizontal="left"/>
    </xf>
    <xf numFmtId="0" fontId="7" fillId="0" borderId="48" xfId="0" applyFont="1" applyBorder="1" applyAlignment="1">
      <alignment horizontal="left"/>
    </xf>
    <xf numFmtId="11" fontId="0" fillId="0" borderId="36" xfId="0" applyNumberFormat="1" applyFont="1" applyBorder="1" applyAlignment="1">
      <alignment horizontal="left"/>
    </xf>
    <xf numFmtId="11" fontId="0" fillId="0" borderId="36" xfId="0" applyNumberFormat="1" applyBorder="1" applyAlignment="1">
      <alignment horizontal="left"/>
    </xf>
    <xf numFmtId="2" fontId="7" fillId="0" borderId="36" xfId="0" applyNumberFormat="1" applyFont="1" applyBorder="1" applyAlignment="1">
      <alignment horizontal="left"/>
    </xf>
    <xf numFmtId="2" fontId="7" fillId="0" borderId="36" xfId="47" applyNumberFormat="1" applyFont="1" applyBorder="1" applyAlignment="1">
      <alignment horizontal="left"/>
    </xf>
    <xf numFmtId="2" fontId="6" fillId="4" borderId="32" xfId="0" applyNumberFormat="1" applyFont="1" applyFill="1" applyBorder="1" applyAlignment="1">
      <alignment horizontal="left" vertical="center"/>
    </xf>
    <xf numFmtId="2" fontId="7" fillId="0" borderId="17" xfId="0" applyNumberFormat="1" applyFont="1" applyBorder="1" applyAlignment="1">
      <alignment horizontal="left" vertical="center"/>
    </xf>
    <xf numFmtId="2" fontId="0" fillId="0" borderId="27" xfId="0" applyNumberFormat="1" applyBorder="1" applyAlignment="1">
      <alignment horizontal="left"/>
    </xf>
    <xf numFmtId="2" fontId="57" fillId="0" borderId="9" xfId="0" applyNumberFormat="1" applyFont="1" applyBorder="1" applyAlignment="1">
      <alignment horizontal="left" vertical="center"/>
    </xf>
    <xf numFmtId="2" fontId="57" fillId="0" borderId="27" xfId="0" applyNumberFormat="1" applyFont="1" applyBorder="1" applyAlignment="1">
      <alignment horizontal="left" vertical="center"/>
    </xf>
  </cellXfs>
  <cellStyles count="122">
    <cellStyle name="20% - Accent1" xfId="118" builtinId="30"/>
    <cellStyle name="20% - Accent2" xfId="42" builtinId="34"/>
    <cellStyle name="20% - Accent3" xfId="43" builtinId="38"/>
    <cellStyle name="20% - Accent5" xfId="44" builtinId="46"/>
    <cellStyle name="20% - Accent6" xfId="45" builtinId="50"/>
    <cellStyle name="40% - Accent4" xfId="121" builtinId="43"/>
    <cellStyle name="60% - Accent2" xfId="48" builtinId="36"/>
    <cellStyle name="60% - Accent4" xfId="49" builtinId="44"/>
    <cellStyle name="Accent1" xfId="50" builtinId="29"/>
    <cellStyle name="Accent3" xfId="119" builtinId="37"/>
    <cellStyle name="Accent4" xfId="103" builtinId="41"/>
    <cellStyle name="Accent5" xfId="104" builtinId="45"/>
    <cellStyle name="Bad" xfId="51" builtinId="27"/>
    <cellStyle name="Bad 2" xfId="39" xr:uid="{999C7675-14EA-484B-B14F-118DFBF2E243}"/>
    <cellStyle name="Changed by RIVM" xfId="52" xr:uid="{0121584D-CBBB-4C96-8FF9-0183C72D5AAA}"/>
    <cellStyle name="Comma [0] 2" xfId="32" xr:uid="{62CC1D3C-E6DD-4FB3-86A4-51ECDCBE8EC1}"/>
    <cellStyle name="Currency 2" xfId="2" xr:uid="{00000000-0005-0000-0000-000000000000}"/>
    <cellStyle name="Currency 2 2" xfId="8" xr:uid="{00000000-0005-0000-0000-000001000000}"/>
    <cellStyle name="Currency 2 2 2" xfId="21" xr:uid="{00000000-0005-0000-0000-000002000000}"/>
    <cellStyle name="Currency 2 2 2 2" xfId="53" xr:uid="{4441205C-3B7A-495D-AFBE-4E2049E32149}"/>
    <cellStyle name="Currency 2 2 2 3" xfId="54" xr:uid="{60B32AEC-D421-4305-8D4A-A04B07998DF6}"/>
    <cellStyle name="Currency 2 2 3" xfId="55" xr:uid="{27E1AC30-1DC6-41C3-AB76-2398B6228A2F}"/>
    <cellStyle name="Currency 2 2 4" xfId="56" xr:uid="{CBC3413C-C3C1-45E2-9841-0A09983030F1}"/>
    <cellStyle name="Currency 2 3" xfId="15" xr:uid="{00000000-0005-0000-0000-000003000000}"/>
    <cellStyle name="Currency 2 3 2" xfId="57" xr:uid="{74DE03F8-22DD-40DC-AEAD-722AF3FB58FF}"/>
    <cellStyle name="Currency 2 3 3" xfId="58" xr:uid="{4984B169-95D6-48E5-91C9-B8E19198EE23}"/>
    <cellStyle name="Currency 2 4" xfId="59" xr:uid="{0959CB29-3440-4E89-86FF-5C40D6D7266A}"/>
    <cellStyle name="Currency 2 5" xfId="60" xr:uid="{F68C8184-8D59-4E32-B65F-D270B821B5F7}"/>
    <cellStyle name="Currency 3" xfId="4" xr:uid="{00000000-0005-0000-0000-000004000000}"/>
    <cellStyle name="Currency 3 2" xfId="10" xr:uid="{00000000-0005-0000-0000-000005000000}"/>
    <cellStyle name="Currency 3 2 2" xfId="23" xr:uid="{00000000-0005-0000-0000-000006000000}"/>
    <cellStyle name="Currency 3 2 2 2" xfId="61" xr:uid="{DDF48D6B-F1C0-460F-B791-E5EA31AA32F3}"/>
    <cellStyle name="Currency 3 2 2 3" xfId="62" xr:uid="{A7CE5E41-0174-44D8-965D-B43EA05B197C}"/>
    <cellStyle name="Currency 3 2 3" xfId="63" xr:uid="{03486E3C-0332-4131-8002-8D4E743E71C2}"/>
    <cellStyle name="Currency 3 2 4" xfId="64" xr:uid="{85BB50D6-2467-4946-A9A2-52AFD9AC33B6}"/>
    <cellStyle name="Currency 3 3" xfId="17" xr:uid="{00000000-0005-0000-0000-000007000000}"/>
    <cellStyle name="Currency 3 3 2" xfId="65" xr:uid="{E18267B4-0C12-4B1B-9BD2-69E3A5DF2ED7}"/>
    <cellStyle name="Currency 3 3 3" xfId="66" xr:uid="{B9F06E45-141F-492A-AE19-2D72202C687C}"/>
    <cellStyle name="Currency 3 4" xfId="67" xr:uid="{3CAAA311-4B1B-4177-9207-CCF0D17503BC}"/>
    <cellStyle name="Currency 3 5" xfId="68" xr:uid="{B23DEDAF-59F5-47B5-B174-A0F0D1FBEB9C}"/>
    <cellStyle name="Currency 4" xfId="6" xr:uid="{00000000-0005-0000-0000-000008000000}"/>
    <cellStyle name="Currency 4 2" xfId="12" xr:uid="{00000000-0005-0000-0000-000009000000}"/>
    <cellStyle name="Currency 4 2 2" xfId="25" xr:uid="{00000000-0005-0000-0000-00000A000000}"/>
    <cellStyle name="Currency 4 2 2 2" xfId="69" xr:uid="{0366D073-CB18-45D0-AEE3-BD9E914E56D3}"/>
    <cellStyle name="Currency 4 2 2 3" xfId="70" xr:uid="{3AD37EF5-5284-4151-9FC2-3E6E1E48CEBA}"/>
    <cellStyle name="Currency 4 2 3" xfId="71" xr:uid="{84BFB6E3-31CC-4FF8-B601-64C74C199081}"/>
    <cellStyle name="Currency 4 2 4" xfId="72" xr:uid="{4E891575-5A0C-4099-A05C-141B9B49841A}"/>
    <cellStyle name="Currency 4 3" xfId="19" xr:uid="{00000000-0005-0000-0000-00000B000000}"/>
    <cellStyle name="Currency 4 3 2" xfId="73" xr:uid="{193A46AC-5524-4F58-8F33-0F13CEDB3E76}"/>
    <cellStyle name="Currency 4 3 3" xfId="74" xr:uid="{5993F58F-307F-493C-935B-8D6BD365F461}"/>
    <cellStyle name="Currency 4 4" xfId="75" xr:uid="{82FE1CE1-743F-4EA1-87D0-623D97632C0D}"/>
    <cellStyle name="Currency 4 5" xfId="76" xr:uid="{E9C9E295-AD09-4BA6-8178-65E9D7B08B8F}"/>
    <cellStyle name="Currency 5" xfId="27" xr:uid="{00000000-0005-0000-0000-00000C000000}"/>
    <cellStyle name="Date" xfId="33" xr:uid="{13227656-C606-451B-8B04-9D8807AEEF1A}"/>
    <cellStyle name="Explanatory Text" xfId="120" builtinId="53"/>
    <cellStyle name="Good" xfId="46" builtinId="26"/>
    <cellStyle name="Heading 1 2" xfId="30" xr:uid="{876D29DD-4C64-4561-A70C-9CE8D1664B51}"/>
    <cellStyle name="Heading 3" xfId="41" builtinId="18"/>
    <cellStyle name="Heading 3 2" xfId="35" xr:uid="{ED55513B-6757-4B3C-A9BA-E3C360FD61ED}"/>
    <cellStyle name="Hyperlink" xfId="37" builtinId="8"/>
    <cellStyle name="Input" xfId="40" builtinId="20"/>
    <cellStyle name="Input 2" xfId="38" xr:uid="{8234E3CA-C7DF-4E75-9602-9530D3E8936D}"/>
    <cellStyle name="Normal" xfId="0" builtinId="0"/>
    <cellStyle name="Normal 2" xfId="1" xr:uid="{00000000-0005-0000-0000-00000E000000}"/>
    <cellStyle name="Normal 2 2" xfId="7" xr:uid="{00000000-0005-0000-0000-00000F000000}"/>
    <cellStyle name="Normal 2 2 2" xfId="20" xr:uid="{00000000-0005-0000-0000-000010000000}"/>
    <cellStyle name="Normal 2 2 2 2" xfId="77" xr:uid="{E836C89C-45D5-445B-AB9A-615B358D42FE}"/>
    <cellStyle name="Normal 2 2 2 3" xfId="78" xr:uid="{18567EEB-6217-4532-B132-F0F2B2CAFE14}"/>
    <cellStyle name="Normal 2 2 2_Textile waste collection" xfId="107" xr:uid="{8BD84672-7DCF-4DA4-858F-EAB01689DEDC}"/>
    <cellStyle name="Normal 2 2 3" xfId="79" xr:uid="{95ABDB91-3660-4DB5-8BA0-BA80D59FE0B7}"/>
    <cellStyle name="Normal 2 2 4" xfId="80" xr:uid="{8EF4B5A1-9792-4C8A-9ABB-0408691BB355}"/>
    <cellStyle name="Normal 2 2_Textile waste collection" xfId="106" xr:uid="{0F567C9E-1C76-4987-ADD0-B1160D99A5D2}"/>
    <cellStyle name="Normal 2 3" xfId="14" xr:uid="{00000000-0005-0000-0000-000011000000}"/>
    <cellStyle name="Normal 2 3 2" xfId="81" xr:uid="{74117AA4-DDA2-475E-84C3-37CC1352F486}"/>
    <cellStyle name="Normal 2 3 3" xfId="82" xr:uid="{05DA02C7-89FE-4948-837F-ED0DC3A7B735}"/>
    <cellStyle name="Normal 2 3_Textile waste collection" xfId="108" xr:uid="{1FE9E4D1-916D-4242-B76F-79FF70F560D5}"/>
    <cellStyle name="Normal 2 4" xfId="83" xr:uid="{76F614EB-C017-4E58-B6E6-33EBB7B0B5AF}"/>
    <cellStyle name="Normal 2 5" xfId="84" xr:uid="{7BC5996F-3FE1-405A-80FE-A65F233C61A0}"/>
    <cellStyle name="Normal 2_Textile waste collection" xfId="105" xr:uid="{A1CD0967-23FC-4057-A2D9-2118B8A06C3B}"/>
    <cellStyle name="Normal 3" xfId="3" xr:uid="{00000000-0005-0000-0000-000012000000}"/>
    <cellStyle name="Normal 3 2" xfId="9" xr:uid="{00000000-0005-0000-0000-000013000000}"/>
    <cellStyle name="Normal 3 2 2" xfId="22" xr:uid="{00000000-0005-0000-0000-000014000000}"/>
    <cellStyle name="Normal 3 2 2 2" xfId="85" xr:uid="{865AF574-C291-4933-B65D-984FF88818F0}"/>
    <cellStyle name="Normal 3 2 2 3" xfId="86" xr:uid="{02B8EA34-8B49-4724-8A15-CBEDF1DE82EB}"/>
    <cellStyle name="Normal 3 2 2_Textile waste collection" xfId="111" xr:uid="{217FDBAC-0F32-4D07-B03F-91C2A7C1C36F}"/>
    <cellStyle name="Normal 3 2 3" xfId="87" xr:uid="{469B2650-0A74-4A51-B7D9-D34FCF951FFD}"/>
    <cellStyle name="Normal 3 2 4" xfId="88" xr:uid="{E982FF70-C631-4BAE-91C9-84E44D2BD653}"/>
    <cellStyle name="Normal 3 2_Textile waste collection" xfId="110" xr:uid="{C92F2FF9-8119-4CE8-A3B1-28636C115C0E}"/>
    <cellStyle name="Normal 3 3" xfId="16" xr:uid="{00000000-0005-0000-0000-000015000000}"/>
    <cellStyle name="Normal 3 3 2" xfId="89" xr:uid="{825ADFB2-E216-479C-AAFD-7A0DFA357924}"/>
    <cellStyle name="Normal 3 3 3" xfId="90" xr:uid="{EBCF7A3E-550A-4C56-A796-2089C76AD245}"/>
    <cellStyle name="Normal 3 3_Textile waste collection" xfId="112" xr:uid="{67724B5C-449F-413F-A03B-70ECB7710F60}"/>
    <cellStyle name="Normal 3 4" xfId="91" xr:uid="{6652DF51-2510-48DB-8F87-FE44ECAD6D80}"/>
    <cellStyle name="Normal 3 5" xfId="92" xr:uid="{EEE6786F-A1C6-42AE-A090-48494A364C5C}"/>
    <cellStyle name="Normal 3_Textile waste collection" xfId="109" xr:uid="{1BAA19BC-4F96-4775-9097-D0F451D96E07}"/>
    <cellStyle name="Normal 4" xfId="5" xr:uid="{00000000-0005-0000-0000-000016000000}"/>
    <cellStyle name="Normal 4 2" xfId="11" xr:uid="{00000000-0005-0000-0000-000017000000}"/>
    <cellStyle name="Normal 4 2 2" xfId="24" xr:uid="{00000000-0005-0000-0000-000018000000}"/>
    <cellStyle name="Normal 4 2 2 2" xfId="93" xr:uid="{13AF8EBC-B479-4878-A31F-19061B7E878D}"/>
    <cellStyle name="Normal 4 2 2 3" xfId="94" xr:uid="{7E251151-D736-4ABD-B2A1-5C0AB1B56D0E}"/>
    <cellStyle name="Normal 4 2 2_Textile waste collection" xfId="115" xr:uid="{80E602E7-E432-47DD-B577-C598BF839BB9}"/>
    <cellStyle name="Normal 4 2 3" xfId="95" xr:uid="{EA1F5AA3-770F-476F-A773-C89FF900E622}"/>
    <cellStyle name="Normal 4 2 4" xfId="96" xr:uid="{FEA09008-00B8-4B1E-9C55-4E4C8A087C61}"/>
    <cellStyle name="Normal 4 2_Textile waste collection" xfId="114" xr:uid="{9C0A3BD4-5F1A-4E95-9FD1-75353F69934A}"/>
    <cellStyle name="Normal 4 3" xfId="18" xr:uid="{00000000-0005-0000-0000-000019000000}"/>
    <cellStyle name="Normal 4 3 2" xfId="97" xr:uid="{5520A197-3206-4DB1-BE82-443130DDA858}"/>
    <cellStyle name="Normal 4 3 3" xfId="98" xr:uid="{CE62EDDD-A5BC-4863-B705-58713BAFAB18}"/>
    <cellStyle name="Normal 4 3_Textile waste collection" xfId="116" xr:uid="{3F8C9D93-32A0-4D2B-A06C-81D1698CE618}"/>
    <cellStyle name="Normal 4 4" xfId="99" xr:uid="{8F1D38D5-0E19-4412-B4D1-1A9F09120DC6}"/>
    <cellStyle name="Normal 4 5" xfId="100" xr:uid="{83B47DFA-4E31-45B4-9A2F-F84370CE9403}"/>
    <cellStyle name="Normal 4_Textile waste collection" xfId="113" xr:uid="{E6D7313F-8C89-44B1-AA8F-14C6470FC317}"/>
    <cellStyle name="Normal 5" xfId="13" xr:uid="{00000000-0005-0000-0000-00001A000000}"/>
    <cellStyle name="Normal 5 2" xfId="101" xr:uid="{9EFEC55F-3A26-48C7-A5F0-6DBBB5559648}"/>
    <cellStyle name="Normal 5 3" xfId="102" xr:uid="{7069C1FE-9643-4B92-ABDE-ADA7866002F8}"/>
    <cellStyle name="Normal 5_Textile waste collection" xfId="117" xr:uid="{2052AABA-AFCF-4B08-8732-D24626EA3F43}"/>
    <cellStyle name="Normal 6" xfId="26" xr:uid="{00000000-0005-0000-0000-00001B000000}"/>
    <cellStyle name="Normal 7" xfId="28" xr:uid="{00000000-0005-0000-0000-00001C000000}"/>
    <cellStyle name="Normal 8" xfId="29" xr:uid="{00000000-0005-0000-0000-00001D000000}"/>
    <cellStyle name="Percent" xfId="47" builtinId="5"/>
    <cellStyle name="Percent 2" xfId="34" xr:uid="{F57E4D53-A540-4A00-B516-07E1180C4A88}"/>
    <cellStyle name="Title 2" xfId="36" xr:uid="{935189B4-4036-4BC7-A04A-71E74F62010F}"/>
    <cellStyle name="zHiddenText" xfId="31" xr:uid="{B105E5D3-1F8C-4131-A627-6C32EDDF3257}"/>
  </cellStyles>
  <dxfs count="250">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numFmt numFmtId="0" formatCode="General"/>
    </dxf>
    <dxf>
      <numFmt numFmtId="179" formatCode="0.0E+00"/>
    </dxf>
    <dxf>
      <font>
        <color rgb="FF9C0006"/>
      </font>
      <fill>
        <patternFill>
          <bgColor rgb="FFFFC7CE"/>
        </patternFill>
      </fill>
    </dxf>
    <dxf>
      <font>
        <color rgb="FF9C0006"/>
      </font>
      <fill>
        <patternFill>
          <bgColor rgb="FFFFC7CE"/>
        </patternFill>
      </fill>
    </dxf>
    <dxf>
      <font>
        <color theme="7" tint="-0.499984740745262"/>
      </font>
      <fill>
        <patternFill>
          <bgColor theme="7"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theme="7" tint="-0.499984740745262"/>
      </font>
      <fill>
        <patternFill>
          <bgColor theme="7" tint="0.59996337778862885"/>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theme="7" tint="-0.499984740745262"/>
      </font>
      <fill>
        <patternFill>
          <bgColor theme="7" tint="0.79998168889431442"/>
        </patternFill>
      </fill>
    </dxf>
    <dxf>
      <font>
        <color rgb="FF006100"/>
      </font>
      <fill>
        <patternFill>
          <bgColor rgb="FFC6EFCE"/>
        </patternFill>
      </fill>
    </dxf>
    <dxf>
      <fill>
        <patternFill>
          <bgColor rgb="FFFF0000"/>
        </patternFill>
      </fill>
    </dxf>
    <dxf>
      <fill>
        <patternFill>
          <bgColor theme="0" tint="-0.24994659260841701"/>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patternFill>
      </fill>
    </dxf>
    <dxf>
      <fill>
        <patternFill>
          <bgColor theme="9"/>
        </patternFill>
      </fill>
    </dxf>
    <dxf>
      <fill>
        <patternFill>
          <bgColor theme="0" tint="-0.24994659260841701"/>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theme="0" tint="-0.14996795556505021"/>
        </patternFill>
      </fill>
    </dxf>
    <dxf>
      <numFmt numFmtId="1" formatCode="0"/>
      <fill>
        <patternFill>
          <bgColor theme="0" tint="-0.14996795556505021"/>
        </patternFill>
      </fill>
    </dxf>
    <dxf>
      <numFmt numFmtId="1" formatCode="0"/>
      <fill>
        <patternFill>
          <bgColor theme="0" tint="-0.1499679555650502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numFmt numFmtId="0" formatCode="General"/>
    </dxf>
    <dxf>
      <numFmt numFmtId="179" formatCode="0.0E+00"/>
    </dxf>
    <dxf>
      <numFmt numFmtId="0" formatCode="General"/>
    </dxf>
    <dxf>
      <numFmt numFmtId="179" formatCode="0.0E+00"/>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theme="9"/>
        </patternFill>
      </fill>
    </dxf>
    <dxf>
      <fill>
        <patternFill>
          <bgColor theme="0" tint="-0.24994659260841701"/>
        </patternFill>
      </fill>
    </dxf>
    <dxf>
      <fill>
        <patternFill>
          <bgColor theme="0" tint="-0.24994659260841701"/>
        </patternFill>
      </fill>
    </dxf>
    <dxf>
      <fill>
        <patternFill>
          <bgColor rgb="FFFF0000"/>
        </patternFill>
      </fill>
    </dxf>
    <dxf>
      <numFmt numFmtId="0" formatCode="General"/>
    </dxf>
    <dxf>
      <numFmt numFmtId="179" formatCode="0.0E+00"/>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numFmt numFmtId="0" formatCode="General"/>
    </dxf>
    <dxf>
      <numFmt numFmtId="179" formatCode="0.0E+00"/>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numFmt numFmtId="0" formatCode="General"/>
    </dxf>
    <dxf>
      <numFmt numFmtId="179" formatCode="0.0E+00"/>
    </dxf>
    <dxf>
      <numFmt numFmtId="0" formatCode="General"/>
    </dxf>
    <dxf>
      <numFmt numFmtId="179" formatCode="0.0E+00"/>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fill>
        <patternFill>
          <bgColor theme="1" tint="0.24994659260841701"/>
        </patternFill>
      </fill>
    </dxf>
    <dxf>
      <fill>
        <patternFill patternType="solid">
          <fgColor indexed="64"/>
          <bgColor theme="1" tint="0.34998626667073579"/>
        </patternFill>
      </fill>
      <border diagonalUp="0" diagonalDown="0">
        <left/>
        <right/>
        <top/>
        <bottom/>
        <vertical/>
        <horizontal/>
      </border>
    </dxf>
    <dxf>
      <font>
        <color theme="0"/>
      </font>
      <fill>
        <patternFill>
          <bgColor theme="1" tint="0.34998626667073579"/>
        </patternFill>
      </fill>
      <border diagonalUp="0" diagonalDown="0">
        <left/>
        <right/>
        <top/>
        <bottom/>
        <vertical/>
        <horizontal/>
      </border>
    </dxf>
    <dxf>
      <font>
        <strike val="0"/>
        <color auto="1"/>
      </font>
      <border diagonalUp="0" diagonalDown="0">
        <left/>
        <right/>
        <top/>
        <bottom/>
        <vertical/>
        <horizontal/>
      </border>
    </dxf>
  </dxfs>
  <tableStyles count="3" defaultTableStyle="TableStyleMedium2" defaultPivotStyle="PivotStyleMedium9">
    <tableStyle name="Gantt Table Style" pivot="0" count="4" xr9:uid="{F8DC52C3-8AC9-49BD-B488-7203B235AAFB}">
      <tableStyleElement type="wholeTable" dxfId="249"/>
      <tableStyleElement type="headerRow" dxfId="248"/>
      <tableStyleElement type="firstRowStripe" dxfId="247"/>
      <tableStyleElement type="secondRowStripe" dxfId="246"/>
    </tableStyle>
    <tableStyle name="ToDoList" pivot="0" count="9" xr9:uid="{2DF133CA-7C3F-4FCB-A221-9418C1D283ED}">
      <tableStyleElement type="wholeTable" dxfId="245"/>
      <tableStyleElement type="headerRow" dxfId="244"/>
      <tableStyleElement type="totalRow" dxfId="243"/>
      <tableStyleElement type="firstColumn" dxfId="242"/>
      <tableStyleElement type="lastColumn" dxfId="241"/>
      <tableStyleElement type="firstRowStripe" dxfId="240"/>
      <tableStyleElement type="secondRowStripe" dxfId="239"/>
      <tableStyleElement type="firstColumnStripe" dxfId="238"/>
      <tableStyleElement type="secondColumnStripe" dxfId="237"/>
    </tableStyle>
    <tableStyle name="ToDoList 2" pivot="0" count="9" xr9:uid="{9535B582-56B3-4FB6-A5DA-8DE3CB0C9DCB}">
      <tableStyleElement type="wholeTable" dxfId="236"/>
      <tableStyleElement type="headerRow" dxfId="235"/>
      <tableStyleElement type="totalRow" dxfId="234"/>
      <tableStyleElement type="firstColumn" dxfId="233"/>
      <tableStyleElement type="lastColumn" dxfId="232"/>
      <tableStyleElement type="firstRowStripe" dxfId="231"/>
      <tableStyleElement type="secondRowStripe" dxfId="230"/>
      <tableStyleElement type="firstColumnStripe" dxfId="229"/>
      <tableStyleElement type="secondColumnStripe" dxfId="228"/>
    </tableStyle>
  </tableStyles>
  <colors>
    <mruColors>
      <color rgb="FFD8EEC0"/>
      <color rgb="FFFFA7A7"/>
      <color rgb="FF123EB7"/>
      <color rgb="FFFF0066"/>
      <color rgb="FF0066FF"/>
      <color rgb="FF3FCDFF"/>
      <color rgb="FFF19DCB"/>
      <color rgb="FFE961AB"/>
      <color rgb="FFE0248B"/>
      <color rgb="FFFF8BD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3</xdr:col>
      <xdr:colOff>87085</xdr:colOff>
      <xdr:row>3</xdr:row>
      <xdr:rowOff>97971</xdr:rowOff>
    </xdr:from>
    <xdr:to>
      <xdr:col>6</xdr:col>
      <xdr:colOff>411480</xdr:colOff>
      <xdr:row>3</xdr:row>
      <xdr:rowOff>2964180</xdr:rowOff>
    </xdr:to>
    <xdr:pic>
      <xdr:nvPicPr>
        <xdr:cNvPr id="3" name="Picture 2">
          <a:extLst>
            <a:ext uri="{FF2B5EF4-FFF2-40B4-BE49-F238E27FC236}">
              <a16:creationId xmlns:a16="http://schemas.microsoft.com/office/drawing/2014/main" id="{BCD9A301-CB43-44DF-BB3C-B7AD247EAC09}"/>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972" b="1371"/>
        <a:stretch/>
      </xdr:blipFill>
      <xdr:spPr bwMode="auto">
        <a:xfrm>
          <a:off x="7768045" y="1492431"/>
          <a:ext cx="3547655" cy="2866209"/>
        </a:xfrm>
        <a:prstGeom prst="rect">
          <a:avLst/>
        </a:prstGeom>
        <a:noFill/>
        <a:ln w="28575">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88899</xdr:colOff>
      <xdr:row>230</xdr:row>
      <xdr:rowOff>15874</xdr:rowOff>
    </xdr:from>
    <xdr:to>
      <xdr:col>6</xdr:col>
      <xdr:colOff>702316</xdr:colOff>
      <xdr:row>262</xdr:row>
      <xdr:rowOff>76198</xdr:rowOff>
    </xdr:to>
    <xdr:pic>
      <xdr:nvPicPr>
        <xdr:cNvPr id="4" name="Picture 1">
          <a:extLst>
            <a:ext uri="{FF2B5EF4-FFF2-40B4-BE49-F238E27FC236}">
              <a16:creationId xmlns:a16="http://schemas.microsoft.com/office/drawing/2014/main" id="{C013A948-D6A9-4434-B70A-E0D714D95C04}"/>
            </a:ext>
          </a:extLst>
        </xdr:cNvPr>
        <xdr:cNvPicPr>
          <a:picLocks noChangeAspect="1"/>
        </xdr:cNvPicPr>
      </xdr:nvPicPr>
      <xdr:blipFill>
        <a:blip xmlns:r="http://schemas.openxmlformats.org/officeDocument/2006/relationships" r:embed="rId1"/>
        <a:stretch>
          <a:fillRect/>
        </a:stretch>
      </xdr:blipFill>
      <xdr:spPr>
        <a:xfrm>
          <a:off x="88899" y="17877154"/>
          <a:ext cx="13727914" cy="5912485"/>
        </a:xfrm>
        <a:prstGeom prst="rect">
          <a:avLst/>
        </a:prstGeom>
      </xdr:spPr>
    </xdr:pic>
    <xdr:clientData/>
  </xdr:twoCellAnchor>
  <xdr:twoCellAnchor editAs="oneCell">
    <xdr:from>
      <xdr:col>0</xdr:col>
      <xdr:colOff>181771</xdr:colOff>
      <xdr:row>191</xdr:row>
      <xdr:rowOff>138175</xdr:rowOff>
    </xdr:from>
    <xdr:to>
      <xdr:col>4</xdr:col>
      <xdr:colOff>451310</xdr:colOff>
      <xdr:row>224</xdr:row>
      <xdr:rowOff>4104</xdr:rowOff>
    </xdr:to>
    <xdr:pic>
      <xdr:nvPicPr>
        <xdr:cNvPr id="2" name="Picture 1" descr="Chart&#10;&#10;Description automatically generated">
          <a:extLst>
            <a:ext uri="{FF2B5EF4-FFF2-40B4-BE49-F238E27FC236}">
              <a16:creationId xmlns:a16="http://schemas.microsoft.com/office/drawing/2014/main" id="{6106E21E-EE4D-0875-BE8D-4D3B9F25F61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1771" y="39821706"/>
          <a:ext cx="9175414" cy="61524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1308101</xdr:colOff>
      <xdr:row>191</xdr:row>
      <xdr:rowOff>76200</xdr:rowOff>
    </xdr:from>
    <xdr:to>
      <xdr:col>13</xdr:col>
      <xdr:colOff>856144</xdr:colOff>
      <xdr:row>223</xdr:row>
      <xdr:rowOff>130724</xdr:rowOff>
    </xdr:to>
    <xdr:pic>
      <xdr:nvPicPr>
        <xdr:cNvPr id="3" name="Picture 2" descr="Chart&#10;&#10;Description automatically generated">
          <a:extLst>
            <a:ext uri="{FF2B5EF4-FFF2-40B4-BE49-F238E27FC236}">
              <a16:creationId xmlns:a16="http://schemas.microsoft.com/office/drawing/2014/main" id="{D1A56E22-E608-94FC-9A99-114F5CA74C7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502901" y="3657600"/>
          <a:ext cx="9579773" cy="57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254001</xdr:colOff>
      <xdr:row>145</xdr:row>
      <xdr:rowOff>50800</xdr:rowOff>
    </xdr:from>
    <xdr:to>
      <xdr:col>4</xdr:col>
      <xdr:colOff>856257</xdr:colOff>
      <xdr:row>177</xdr:row>
      <xdr:rowOff>97071</xdr:rowOff>
    </xdr:to>
    <xdr:pic>
      <xdr:nvPicPr>
        <xdr:cNvPr id="7" name="Picture 6" descr="Chart, diagram&#10;&#10;Description automatically generated">
          <a:extLst>
            <a:ext uri="{FF2B5EF4-FFF2-40B4-BE49-F238E27FC236}">
              <a16:creationId xmlns:a16="http://schemas.microsoft.com/office/drawing/2014/main" id="{E567960D-425E-CD78-71EA-62307EFE664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1" y="2006600"/>
          <a:ext cx="9829441" cy="57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1308100</xdr:colOff>
      <xdr:row>145</xdr:row>
      <xdr:rowOff>114300</xdr:rowOff>
    </xdr:from>
    <xdr:to>
      <xdr:col>13</xdr:col>
      <xdr:colOff>970096</xdr:colOff>
      <xdr:row>177</xdr:row>
      <xdr:rowOff>149141</xdr:rowOff>
    </xdr:to>
    <xdr:pic>
      <xdr:nvPicPr>
        <xdr:cNvPr id="8" name="Picture 7" descr="Chart, diagram&#10;&#10;Description automatically generated">
          <a:extLst>
            <a:ext uri="{FF2B5EF4-FFF2-40B4-BE49-F238E27FC236}">
              <a16:creationId xmlns:a16="http://schemas.microsoft.com/office/drawing/2014/main" id="{207CA739-1A90-FCF6-3F40-06000F00488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502900" y="2070100"/>
          <a:ext cx="9682296" cy="57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086CA0FF-D093-4D2E-ABCA-003CA36153C7}">
    <nsvFilter filterId="{DFD55F35-1BE8-491D-A5D1-66586526783F}" ref="A1:L1147" tableId="0">
      <columnFilter colId="0">
        <filter colId="0">
          <x:filters>
            <x:filter val="Paint"/>
          </x:filters>
        </filter>
      </columnFilter>
    </nsvFilter>
  </namedSheetView>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28F81224-1022-4680-852E-C4B288397594}">
    <nsvFilter filterId="{E97B31CE-E6BF-4F52-9FA7-52F353BEC4BE}" ref="A1:L810" tableId="0"/>
  </namedSheetView>
</namedSheetViews>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B1F628DE-17B0-423E-ADEB-4320E999845F}">
    <nsvFilter filterId="{D17F49C5-045C-4C41-8133-90E2E1555C53}" ref="A1:P1988" tableId="0">
      <columnFilter colId="0">
        <filter colId="0">
          <x:filters>
            <x:filter val="Paint"/>
          </x:filters>
        </filter>
      </columnFilter>
    </nsvFilter>
  </namedSheetView>
  <namedSheetView name="Paint2" id="{498A777A-09E9-4967-9C2C-42FFFC8DBD09}">
    <nsvFilter filterId="{D17F49C5-045C-4C41-8133-90E2E1555C53}" ref="A1:P1988" tableId="0">
      <columnFilter colId="0">
        <filter colId="0">
          <x:filters>
            <x:filter val="Concrete paint (prof) outdoor (discarded)"/>
            <x:filter val="Concrete paint (prof) outdoor (in use)"/>
            <x:filter val="Lacquer (DIY) outdoor (discarded)"/>
            <x:filter val="Lacquer (DIY) outdoor (in use)"/>
            <x:filter val="Lacquer (prof) outdoor (discarded)"/>
            <x:filter val="Lacquer (prof) outdoor (in use)"/>
            <x:filter val="Other paint uses (DIY) outdoor (discarded)"/>
            <x:filter val="Other paint uses (DIY) outdoor (in use)"/>
            <x:filter val="Other paint uses (prof) outdoor (discarded)"/>
            <x:filter val="Other paint uses (prof) outdoor (in use)"/>
            <x:filter val="Paints used in pre-made wooden products outdoor (discarded)"/>
            <x:filter val="Paints used in pre-made wooden products outdoor (in use)"/>
            <x:filter val="Plaster (DIY) outdoor (discarded)"/>
            <x:filter val="Plaster (DIY) outdoor (in use)"/>
            <x:filter val="Plaster (prof) outdoor (discarded)"/>
            <x:filter val="Plaster (prof) outdoor (in use)"/>
            <x:filter val="Wall paint (DIY) outdoor (discarded)"/>
            <x:filter val="Wall paint (DIY) outdoor (in use)"/>
            <x:filter val="Wall paint (prof) outdoor (discarded)"/>
            <x:filter val="Wall paint (prof) outdoor (in use)"/>
          </x:filters>
        </filter>
      </columnFilter>
      <columnFilter colId="1">
        <filter colId="1">
          <x:filters>
            <x:filter val="Residential soil (micro)"/>
          </x:filters>
        </filter>
      </columnFilter>
      <sortRules>
        <sortRule colId="0">
          <sortCondition ref="A1:A1988"/>
        </sortRule>
      </sortRules>
    </nsvFilter>
  </namedSheetView>
</namedSheetViews>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F45675B1-5CA8-4DD2-8572-DA409B064D0F}"/>
</namedSheetView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M351" dT="2025-09-19T14:11:37.63" personId="{00000000-0000-0000-0000-000000000000}" id="{4E78F89A-497D-41EA-9FA9-49EAE6E49F5D}">
    <text>Waarom zijn deze 3? Het zijn berekeningen op basis van PEFCR rapport toch? Op zijn minst 2 denk ik.</text>
  </threadedComment>
  <threadedComment ref="G587" dT="2025-10-09T13:57:42.05" personId="{00000000-0000-0000-0000-000000000000}" id="{39760C6E-3A6B-462C-9872-C5CA51E4B723}" done="1">
    <text>Volgens mij staat dit niet in tabel Kawecki. Gewoon assumption van maken?</text>
  </threadedComment>
  <threadedComment ref="G588" dT="2025-10-09T13:57:42.05" personId="{00000000-0000-0000-0000-000000000000}" id="{68B78F83-E446-4E88-B4AA-F21B3ABF8968}" done="1">
    <text>Volgens mij staat dit niet in tabel Kawecki. Gewoon assumption van maken?</text>
  </threadedComment>
  <threadedComment ref="G589" dT="2025-10-09T13:57:42.05" personId="{00000000-0000-0000-0000-000000000000}" id="{C294EFB6-9F16-4A90-8FE2-81DE87306431}" done="1">
    <text>Volgens mij staat dit niet in tabel Kawecki. Gewoon assumption van maken?</text>
  </threadedComment>
  <threadedComment ref="G590" dT="2025-10-09T13:57:42.05" personId="{00000000-0000-0000-0000-000000000000}" id="{78A3BB77-6ADE-4594-AE69-31A73802FB85}" done="1">
    <text>Volgens mij staat dit niet in tabel Kawecki. Gewoon assumption van maken?</text>
  </threadedComment>
  <threadedComment ref="H597" dT="2025-10-09T13:59:12.42" personId="{00000000-0000-0000-0000-000000000000}" id="{6EF3B13D-4856-486E-83E0-76053E7DFF30}" done="1">
    <text>Waarom hier 0en en niet leeg?</text>
  </threadedComment>
</ThreadedComments>
</file>

<file path=xl/threadedComments/threadedComment2.xml><?xml version="1.0" encoding="utf-8"?>
<ThreadedComments xmlns="http://schemas.microsoft.com/office/spreadsheetml/2018/threadedcomments" xmlns:x="http://schemas.openxmlformats.org/spreadsheetml/2006/main">
  <threadedComment ref="G27" dT="2025-06-23T13:26:05.79" personId="{00000000-0000-0000-0000-000000000000}" id="{40F91E8C-BD48-4DB1-BDE9-6D8AF76529C5}">
    <text xml:space="preserve">[Mention was removed] , could we add somewhere in an update of the SI of the original the table where the link is made between what are these home textiles and technical home textiles: Steeds meer textiel in Nederland | CBS </text>
    <extLst>
      <x:ext xmlns:xltc2="http://schemas.microsoft.com/office/spreadsheetml/2020/threadedcomments2" uri="{F7C98A9C-CBB3-438F-8F68-D28B6AF4A901}">
        <xltc2:checksum>2710495967</xltc2:checksum>
        <xltc2:hyperlink startIndex="185" length="38" url="https://www.cbs.nl/nl-nl/nieuws/2021/05/steeds-meer-textiel-in-nederland"/>
      </x:ext>
    </extLs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17" Type="http://schemas.openxmlformats.org/officeDocument/2006/relationships/hyperlink" Target="https://ec.europa.eu/eurostat/databrowser/view/DS-056120__custom_15192557/default/table?lang=en%20-%20Low%20estimate" TargetMode="External"/><Relationship Id="rId21" Type="http://schemas.openxmlformats.org/officeDocument/2006/relationships/hyperlink" Target="https://ec.europa.eu/eurostat/databrowser/view/DS-056120__custom_15192557/default/table?lang=en%20-%20High%20estimate" TargetMode="External"/><Relationship Id="rId42" Type="http://schemas.openxmlformats.org/officeDocument/2006/relationships/hyperlink" Target="https://ec.europa.eu/eurostat/databrowser/view/DS-056120__custom_15192557/default/table?lang=en%20-%20High%20estimate" TargetMode="External"/><Relationship Id="rId63" Type="http://schemas.openxmlformats.org/officeDocument/2006/relationships/hyperlink" Target="https://ec.europa.eu/eurostat/databrowser/view/DS-056120__custom_15192557/default/table?lang=en%20-%20High%20estimate" TargetMode="External"/><Relationship Id="rId84" Type="http://schemas.openxmlformats.org/officeDocument/2006/relationships/hyperlink" Target="https://ec.europa.eu/eurostat/databrowser/view/DS-056120__custom_15192557/default/table?lang=en%20-%20High%20estimate" TargetMode="External"/><Relationship Id="rId138" Type="http://schemas.openxmlformats.org/officeDocument/2006/relationships/hyperlink" Target="https://ec.europa.eu/eurostat/databrowser/view/DS-056120__custom_15192557/default/table?lang=en%20-%20Low%20estimate" TargetMode="External"/><Relationship Id="rId159" Type="http://schemas.openxmlformats.org/officeDocument/2006/relationships/hyperlink" Target="https://ec.europa.eu/eurostat/databrowser/view/DS-056120__custom_15192557/default/table?lang=en%20-%20Low%20estimate" TargetMode="External"/><Relationship Id="rId170" Type="http://schemas.openxmlformats.org/officeDocument/2006/relationships/hyperlink" Target="https://ec.europa.eu/eurostat/databrowser/view/DS-056120__custom_15192557/default/table?lang=en%20-%20Low%20estimate" TargetMode="External"/><Relationship Id="rId191" Type="http://schemas.openxmlformats.org/officeDocument/2006/relationships/hyperlink" Target="https://ec.europa.eu/eurostat/databrowser/view/DS-056120__custom_15192557/default/table?lang=en%20-%20High%20estimate" TargetMode="External"/><Relationship Id="rId205" Type="http://schemas.openxmlformats.org/officeDocument/2006/relationships/hyperlink" Target="https://ec.europa.eu/eurostat/databrowser/view/DS-056120__custom_15192557/default/table?lang=en%20-%20High%20estimate" TargetMode="External"/><Relationship Id="rId226" Type="http://schemas.openxmlformats.org/officeDocument/2006/relationships/hyperlink" Target="https://ec.europa.eu/eurostat/databrowser/view/DS-056120__custom_15192557/default/table?lang=en%20-%20High%20estimate" TargetMode="External"/><Relationship Id="rId247" Type="http://schemas.openxmlformats.org/officeDocument/2006/relationships/hyperlink" Target="https://ec.europa.eu/eurostat/databrowser/view/DS-056120__custom_15192557/default/table?lang=en%20-%20High%20estimate" TargetMode="External"/><Relationship Id="rId107" Type="http://schemas.openxmlformats.org/officeDocument/2006/relationships/hyperlink" Target="https://ec.europa.eu/eurostat/databrowser/view/DS-056120__custom_15192557/default/table?lang=en%20-%20Low%20estimate" TargetMode="External"/><Relationship Id="rId11" Type="http://schemas.openxmlformats.org/officeDocument/2006/relationships/hyperlink" Target="https://ec.europa.eu/eurostat/databrowser/view/DS-056120__custom_15192557/default/table?lang=en%20-%20High%20estimate" TargetMode="External"/><Relationship Id="rId32" Type="http://schemas.openxmlformats.org/officeDocument/2006/relationships/hyperlink" Target="https://ec.europa.eu/eurostat/databrowser/view/DS-056120__custom_15192557/default/table?lang=en%20-%20High%20estimate" TargetMode="External"/><Relationship Id="rId53" Type="http://schemas.openxmlformats.org/officeDocument/2006/relationships/hyperlink" Target="https://ec.europa.eu/eurostat/databrowser/view/DS-056120__custom_15192557/default/table?lang=en%20-%20High%20estimate" TargetMode="External"/><Relationship Id="rId74" Type="http://schemas.openxmlformats.org/officeDocument/2006/relationships/hyperlink" Target="https://ec.europa.eu/eurostat/databrowser/view/DS-056120__custom_15192557/default/table?lang=en%20-%20High%20estimate" TargetMode="External"/><Relationship Id="rId128" Type="http://schemas.openxmlformats.org/officeDocument/2006/relationships/hyperlink" Target="https://ec.europa.eu/eurostat/databrowser/view/DS-056120__custom_15192557/default/table?lang=en%20-%20Low%20estimate" TargetMode="External"/><Relationship Id="rId149" Type="http://schemas.openxmlformats.org/officeDocument/2006/relationships/hyperlink" Target="https://ec.europa.eu/eurostat/databrowser/view/DS-056120__custom_15192557/default/table?lang=en%20-%20Low%20estimate" TargetMode="External"/><Relationship Id="rId5" Type="http://schemas.openxmlformats.org/officeDocument/2006/relationships/hyperlink" Target="https://ec.europa.eu/eurostat/databrowser/view/DS-056120__custom_15192557/default/table?lang=en%20-%20High%20estimate" TargetMode="External"/><Relationship Id="rId95" Type="http://schemas.openxmlformats.org/officeDocument/2006/relationships/hyperlink" Target="https://ec.europa.eu/eurostat/databrowser/view/DS-056120__custom_15192557/default/table?lang=en%20-%20Low%20estimate" TargetMode="External"/><Relationship Id="rId160" Type="http://schemas.openxmlformats.org/officeDocument/2006/relationships/hyperlink" Target="https://ec.europa.eu/eurostat/databrowser/view/DS-056120__custom_15192557/default/table?lang=en%20-%20Low%20estimate" TargetMode="External"/><Relationship Id="rId181" Type="http://schemas.openxmlformats.org/officeDocument/2006/relationships/hyperlink" Target="https://ec.europa.eu/eurostat/databrowser/view/DS-056120__custom_15192557/default/table?lang=en%20-%20High%20estimate" TargetMode="External"/><Relationship Id="rId216" Type="http://schemas.openxmlformats.org/officeDocument/2006/relationships/hyperlink" Target="https://ec.europa.eu/eurostat/databrowser/view/DS-056120__custom_15192557/default/table?lang=en%20-%20High%20estimate" TargetMode="External"/><Relationship Id="rId237" Type="http://schemas.openxmlformats.org/officeDocument/2006/relationships/hyperlink" Target="https://ec.europa.eu/eurostat/databrowser/view/DS-056120__custom_15192557/default/table?lang=en%20-%20High%20estimate" TargetMode="External"/><Relationship Id="rId22" Type="http://schemas.openxmlformats.org/officeDocument/2006/relationships/hyperlink" Target="https://ec.europa.eu/eurostat/databrowser/view/DS-056120__custom_15192557/default/table?lang=en%20-%20High%20estimate" TargetMode="External"/><Relationship Id="rId43" Type="http://schemas.openxmlformats.org/officeDocument/2006/relationships/hyperlink" Target="https://ec.europa.eu/eurostat/databrowser/view/DS-056120__custom_15192557/default/table?lang=en%20-%20High%20estimate" TargetMode="External"/><Relationship Id="rId64" Type="http://schemas.openxmlformats.org/officeDocument/2006/relationships/hyperlink" Target="https://ec.europa.eu/eurostat/databrowser/view/DS-056120__custom_15192557/default/table?lang=en%20-%20High%20estimate" TargetMode="External"/><Relationship Id="rId118" Type="http://schemas.openxmlformats.org/officeDocument/2006/relationships/hyperlink" Target="https://ec.europa.eu/eurostat/databrowser/view/DS-056120__custom_15192557/default/table?lang=en%20-%20Low%20estimate" TargetMode="External"/><Relationship Id="rId139" Type="http://schemas.openxmlformats.org/officeDocument/2006/relationships/hyperlink" Target="https://ec.europa.eu/eurostat/databrowser/view/DS-056120__custom_15192557/default/table?lang=en%20-%20Low%20estimate" TargetMode="External"/><Relationship Id="rId85" Type="http://schemas.openxmlformats.org/officeDocument/2006/relationships/hyperlink" Target="https://ec.europa.eu/eurostat/databrowser/view/DS-056120__custom_15192557/default/table?lang=en%20-%20High%20estimate" TargetMode="External"/><Relationship Id="rId150" Type="http://schemas.openxmlformats.org/officeDocument/2006/relationships/hyperlink" Target="https://ec.europa.eu/eurostat/databrowser/view/DS-056120__custom_15192557/default/table?lang=en%20-%20Low%20estimate" TargetMode="External"/><Relationship Id="rId171" Type="http://schemas.openxmlformats.org/officeDocument/2006/relationships/hyperlink" Target="https://ec.europa.eu/eurostat/databrowser/view/DS-056120__custom_15192557/default/table?lang=en%20-%20Low%20estimate" TargetMode="External"/><Relationship Id="rId192" Type="http://schemas.openxmlformats.org/officeDocument/2006/relationships/hyperlink" Target="https://ec.europa.eu/eurostat/databrowser/view/DS-056120__custom_15192557/default/table?lang=en%20-%20High%20estimate" TargetMode="External"/><Relationship Id="rId206" Type="http://schemas.openxmlformats.org/officeDocument/2006/relationships/hyperlink" Target="https://ec.europa.eu/eurostat/databrowser/view/DS-056120__custom_15192557/default/table?lang=en%20-%20High%20estimate" TargetMode="External"/><Relationship Id="rId227" Type="http://schemas.openxmlformats.org/officeDocument/2006/relationships/hyperlink" Target="https://ec.europa.eu/eurostat/databrowser/view/DS-056120__custom_15192557/default/table?lang=en%20-%20High%20estimate" TargetMode="External"/><Relationship Id="rId248" Type="http://schemas.openxmlformats.org/officeDocument/2006/relationships/hyperlink" Target="https://ec.europa.eu/eurostat/databrowser/view/DS-056120__custom_15192557/default/table?lang=en%20-%20High%20estimate" TargetMode="External"/><Relationship Id="rId12" Type="http://schemas.openxmlformats.org/officeDocument/2006/relationships/hyperlink" Target="https://ec.europa.eu/eurostat/databrowser/view/DS-056120__custom_15192557/default/table?lang=en%20-%20High%20estimate" TargetMode="External"/><Relationship Id="rId33" Type="http://schemas.openxmlformats.org/officeDocument/2006/relationships/hyperlink" Target="https://ec.europa.eu/eurostat/databrowser/view/DS-056120__custom_15192557/default/table?lang=en%20-%20High%20estimate" TargetMode="External"/><Relationship Id="rId108" Type="http://schemas.openxmlformats.org/officeDocument/2006/relationships/hyperlink" Target="https://ec.europa.eu/eurostat/databrowser/view/DS-056120__custom_15192557/default/table?lang=en%20-%20Low%20estimate" TargetMode="External"/><Relationship Id="rId129" Type="http://schemas.openxmlformats.org/officeDocument/2006/relationships/hyperlink" Target="https://ec.europa.eu/eurostat/databrowser/view/DS-056120__custom_15192557/default/table?lang=en%20-%20Low%20estimate" TargetMode="External"/><Relationship Id="rId54" Type="http://schemas.openxmlformats.org/officeDocument/2006/relationships/hyperlink" Target="https://ec.europa.eu/eurostat/databrowser/view/DS-056120__custom_15192557/default/table?lang=en%20-%20High%20estimate" TargetMode="External"/><Relationship Id="rId75" Type="http://schemas.openxmlformats.org/officeDocument/2006/relationships/hyperlink" Target="https://ec.europa.eu/eurostat/databrowser/view/DS-056120__custom_15192557/default/table?lang=en%20-%20High%20estimate" TargetMode="External"/><Relationship Id="rId96" Type="http://schemas.openxmlformats.org/officeDocument/2006/relationships/hyperlink" Target="https://ec.europa.eu/eurostat/databrowser/view/DS-056120__custom_15192557/default/table?lang=en%20-%20Low%20estimate" TargetMode="External"/><Relationship Id="rId140" Type="http://schemas.openxmlformats.org/officeDocument/2006/relationships/hyperlink" Target="https://ec.europa.eu/eurostat/databrowser/view/DS-056120__custom_15192557/default/table?lang=en%20-%20Low%20estimate" TargetMode="External"/><Relationship Id="rId161" Type="http://schemas.openxmlformats.org/officeDocument/2006/relationships/hyperlink" Target="https://ec.europa.eu/eurostat/databrowser/view/DS-056120__custom_15192557/default/table?lang=en%20-%20Low%20estimate" TargetMode="External"/><Relationship Id="rId182" Type="http://schemas.openxmlformats.org/officeDocument/2006/relationships/hyperlink" Target="https://ec.europa.eu/eurostat/databrowser/view/DS-056120__custom_15192557/default/table?lang=en%20-%20High%20estimate" TargetMode="External"/><Relationship Id="rId217" Type="http://schemas.openxmlformats.org/officeDocument/2006/relationships/hyperlink" Target="https://ec.europa.eu/eurostat/databrowser/view/DS-056120__custom_15192557/default/table?lang=en%20-%20High%20estimate" TargetMode="External"/><Relationship Id="rId6" Type="http://schemas.openxmlformats.org/officeDocument/2006/relationships/hyperlink" Target="https://ec.europa.eu/eurostat/databrowser/view/DS-056120__custom_15192557/default/table?lang=en%20-%20High%20estimate" TargetMode="External"/><Relationship Id="rId238" Type="http://schemas.openxmlformats.org/officeDocument/2006/relationships/hyperlink" Target="https://ec.europa.eu/eurostat/databrowser/view/DS-056120__custom_15192557/default/table?lang=en%20-%20High%20estimate" TargetMode="External"/><Relationship Id="rId23" Type="http://schemas.openxmlformats.org/officeDocument/2006/relationships/hyperlink" Target="https://ec.europa.eu/eurostat/databrowser/view/DS-056120__custom_15192557/default/table?lang=en%20-%20High%20estimate" TargetMode="External"/><Relationship Id="rId119" Type="http://schemas.openxmlformats.org/officeDocument/2006/relationships/hyperlink" Target="https://ec.europa.eu/eurostat/databrowser/view/DS-056120__custom_15192557/default/table?lang=en%20-%20Low%20estimate" TargetMode="External"/><Relationship Id="rId44" Type="http://schemas.openxmlformats.org/officeDocument/2006/relationships/hyperlink" Target="https://ec.europa.eu/eurostat/databrowser/view/DS-056120__custom_15192557/default/table?lang=en%20-%20High%20estimate" TargetMode="External"/><Relationship Id="rId65" Type="http://schemas.openxmlformats.org/officeDocument/2006/relationships/hyperlink" Target="https://ec.europa.eu/eurostat/databrowser/view/DS-056120__custom_15192557/default/table?lang=en%20-%20High%20estimate" TargetMode="External"/><Relationship Id="rId86" Type="http://schemas.openxmlformats.org/officeDocument/2006/relationships/hyperlink" Target="https://ec.europa.eu/eurostat/databrowser/view/DS-056120__custom_15192557/default/table?lang=en%20-%20High%20estimate" TargetMode="External"/><Relationship Id="rId130" Type="http://schemas.openxmlformats.org/officeDocument/2006/relationships/hyperlink" Target="https://ec.europa.eu/eurostat/databrowser/view/DS-056120__custom_15192557/default/table?lang=en%20-%20Low%20estimate" TargetMode="External"/><Relationship Id="rId151" Type="http://schemas.openxmlformats.org/officeDocument/2006/relationships/hyperlink" Target="https://ec.europa.eu/eurostat/databrowser/view/DS-056120__custom_15192557/default/table?lang=en%20-%20Low%20estimate" TargetMode="External"/><Relationship Id="rId172" Type="http://schemas.openxmlformats.org/officeDocument/2006/relationships/hyperlink" Target="https://ec.europa.eu/eurostat/databrowser/view/DS-056120__custom_15192557/default/table?lang=en%20-%20High%20estimate" TargetMode="External"/><Relationship Id="rId193" Type="http://schemas.openxmlformats.org/officeDocument/2006/relationships/hyperlink" Target="https://ec.europa.eu/eurostat/databrowser/view/DS-056120__custom_15192557/default/table?lang=en%20-%20High%20estimate" TargetMode="External"/><Relationship Id="rId207" Type="http://schemas.openxmlformats.org/officeDocument/2006/relationships/hyperlink" Target="https://ec.europa.eu/eurostat/databrowser/view/DS-056120__custom_15192557/default/table?lang=en%20-%20High%20estimate" TargetMode="External"/><Relationship Id="rId228" Type="http://schemas.openxmlformats.org/officeDocument/2006/relationships/hyperlink" Target="https://ec.europa.eu/eurostat/databrowser/view/DS-056120__custom_15192557/default/table?lang=en%20-%20High%20estimate" TargetMode="External"/><Relationship Id="rId249" Type="http://schemas.openxmlformats.org/officeDocument/2006/relationships/hyperlink" Target="https://ec.europa.eu/eurostat/databrowser/view/DS-056120__custom_15192557/default/table?lang=en%20-%20High%20estimate" TargetMode="External"/><Relationship Id="rId13" Type="http://schemas.openxmlformats.org/officeDocument/2006/relationships/hyperlink" Target="https://ec.europa.eu/eurostat/databrowser/view/DS-056120__custom_15192557/default/table?lang=en%20-%20High%20estimate" TargetMode="External"/><Relationship Id="rId109" Type="http://schemas.openxmlformats.org/officeDocument/2006/relationships/hyperlink" Target="https://ec.europa.eu/eurostat/databrowser/view/DS-056120__custom_15192557/default/table?lang=en%20-%20Low%20estimate" TargetMode="External"/><Relationship Id="rId34" Type="http://schemas.openxmlformats.org/officeDocument/2006/relationships/hyperlink" Target="https://ec.europa.eu/eurostat/databrowser/view/DS-056120__custom_15192557/default/table?lang=en%20-%20High%20estimate" TargetMode="External"/><Relationship Id="rId55" Type="http://schemas.openxmlformats.org/officeDocument/2006/relationships/hyperlink" Target="https://ec.europa.eu/eurostat/databrowser/view/DS-056120__custom_15192557/default/table?lang=en%20-%20High%20estimate" TargetMode="External"/><Relationship Id="rId76" Type="http://schemas.openxmlformats.org/officeDocument/2006/relationships/hyperlink" Target="https://ec.europa.eu/eurostat/databrowser/view/DS-056120__custom_15192557/default/table?lang=en%20-%20High%20estimate" TargetMode="External"/><Relationship Id="rId97" Type="http://schemas.openxmlformats.org/officeDocument/2006/relationships/hyperlink" Target="https://ec.europa.eu/eurostat/databrowser/view/DS-056120__custom_15192557/default/table?lang=en%20-%20Low%20estimate" TargetMode="External"/><Relationship Id="rId120" Type="http://schemas.openxmlformats.org/officeDocument/2006/relationships/hyperlink" Target="https://ec.europa.eu/eurostat/databrowser/view/DS-056120__custom_15192557/default/table?lang=en%20-%20Low%20estimate" TargetMode="External"/><Relationship Id="rId141" Type="http://schemas.openxmlformats.org/officeDocument/2006/relationships/hyperlink" Target="https://ec.europa.eu/eurostat/databrowser/view/DS-056120__custom_15192557/default/table?lang=en%20-%20Low%20estimate" TargetMode="External"/><Relationship Id="rId7" Type="http://schemas.openxmlformats.org/officeDocument/2006/relationships/hyperlink" Target="https://ec.europa.eu/eurostat/databrowser/view/DS-056120__custom_15192557/default/table?lang=en%20-%20High%20estimate" TargetMode="External"/><Relationship Id="rId162" Type="http://schemas.openxmlformats.org/officeDocument/2006/relationships/hyperlink" Target="https://ec.europa.eu/eurostat/databrowser/view/DS-056120__custom_15192557/default/table?lang=en%20-%20Low%20estimate" TargetMode="External"/><Relationship Id="rId183" Type="http://schemas.openxmlformats.org/officeDocument/2006/relationships/hyperlink" Target="https://ec.europa.eu/eurostat/databrowser/view/DS-056120__custom_15192557/default/table?lang=en%20-%20High%20estimate" TargetMode="External"/><Relationship Id="rId218" Type="http://schemas.openxmlformats.org/officeDocument/2006/relationships/hyperlink" Target="https://ec.europa.eu/eurostat/databrowser/view/DS-056120__custom_15192557/default/table?lang=en%20-%20High%20estimate" TargetMode="External"/><Relationship Id="rId239" Type="http://schemas.openxmlformats.org/officeDocument/2006/relationships/hyperlink" Target="https://ec.europa.eu/eurostat/databrowser/view/DS-056120__custom_15192557/default/table?lang=en%20-%20High%20estimate" TargetMode="External"/><Relationship Id="rId250" Type="http://schemas.openxmlformats.org/officeDocument/2006/relationships/hyperlink" Target="https://ec.europa.eu/eurostat/databrowser/view/DS-056120__custom_15192557/default/table?lang=en%20-%20High%20estimate" TargetMode="External"/><Relationship Id="rId24" Type="http://schemas.openxmlformats.org/officeDocument/2006/relationships/hyperlink" Target="https://ec.europa.eu/eurostat/databrowser/view/DS-056120__custom_15192557/default/table?lang=en%20-%20High%20estimate" TargetMode="External"/><Relationship Id="rId45" Type="http://schemas.openxmlformats.org/officeDocument/2006/relationships/hyperlink" Target="https://ec.europa.eu/eurostat/databrowser/view/DS-056120__custom_15192557/default/table?lang=en%20-%20High%20estimate" TargetMode="External"/><Relationship Id="rId66" Type="http://schemas.openxmlformats.org/officeDocument/2006/relationships/hyperlink" Target="https://ec.europa.eu/eurostat/databrowser/view/DS-056120__custom_15192557/default/table?lang=en%20-%20High%20estimate" TargetMode="External"/><Relationship Id="rId87" Type="http://schemas.openxmlformats.org/officeDocument/2006/relationships/hyperlink" Target="https://ec.europa.eu/eurostat/databrowser/view/DS-056120__custom_15192557/default/table?lang=en%20-%20High%20estimate" TargetMode="External"/><Relationship Id="rId110" Type="http://schemas.openxmlformats.org/officeDocument/2006/relationships/hyperlink" Target="https://ec.europa.eu/eurostat/databrowser/view/DS-056120__custom_15192557/default/table?lang=en%20-%20Low%20estimate" TargetMode="External"/><Relationship Id="rId131" Type="http://schemas.openxmlformats.org/officeDocument/2006/relationships/hyperlink" Target="https://ec.europa.eu/eurostat/databrowser/view/DS-056120__custom_15192557/default/table?lang=en%20-%20Low%20estimate" TargetMode="External"/><Relationship Id="rId152" Type="http://schemas.openxmlformats.org/officeDocument/2006/relationships/hyperlink" Target="https://ec.europa.eu/eurostat/databrowser/view/DS-056120__custom_15192557/default/table?lang=en%20-%20Low%20estimate" TargetMode="External"/><Relationship Id="rId173" Type="http://schemas.openxmlformats.org/officeDocument/2006/relationships/hyperlink" Target="https://ec.europa.eu/eurostat/databrowser/view/DS-056120__custom_15192557/default/table?lang=en%20-%20High%20estimate" TargetMode="External"/><Relationship Id="rId194" Type="http://schemas.openxmlformats.org/officeDocument/2006/relationships/hyperlink" Target="https://ec.europa.eu/eurostat/databrowser/view/DS-056120__custom_15192557/default/table?lang=en%20-%20High%20estimate" TargetMode="External"/><Relationship Id="rId208" Type="http://schemas.openxmlformats.org/officeDocument/2006/relationships/hyperlink" Target="https://ec.europa.eu/eurostat/databrowser/view/DS-056120__custom_15192557/default/table?lang=en%20-%20High%20estimate" TargetMode="External"/><Relationship Id="rId229" Type="http://schemas.openxmlformats.org/officeDocument/2006/relationships/hyperlink" Target="https://ec.europa.eu/eurostat/databrowser/view/DS-056120__custom_15192557/default/table?lang=en%20-%20High%20estimate" TargetMode="External"/><Relationship Id="rId240" Type="http://schemas.openxmlformats.org/officeDocument/2006/relationships/hyperlink" Target="https://ec.europa.eu/eurostat/databrowser/view/DS-056120__custom_15192557/default/table?lang=en%20-%20High%20estimate" TargetMode="External"/><Relationship Id="rId14" Type="http://schemas.openxmlformats.org/officeDocument/2006/relationships/hyperlink" Target="https://ec.europa.eu/eurostat/databrowser/view/DS-056120__custom_15192557/default/table?lang=en%20-%20High%20estimate" TargetMode="External"/><Relationship Id="rId35" Type="http://schemas.openxmlformats.org/officeDocument/2006/relationships/hyperlink" Target="https://ec.europa.eu/eurostat/databrowser/view/DS-056120__custom_15192557/default/table?lang=en%20-%20High%20estimate" TargetMode="External"/><Relationship Id="rId56" Type="http://schemas.openxmlformats.org/officeDocument/2006/relationships/hyperlink" Target="https://ec.europa.eu/eurostat/databrowser/view/DS-056120__custom_15192557/default/table?lang=en%20-%20High%20estimate" TargetMode="External"/><Relationship Id="rId77" Type="http://schemas.openxmlformats.org/officeDocument/2006/relationships/hyperlink" Target="https://ec.europa.eu/eurostat/databrowser/view/DS-056120__custom_15192557/default/table?lang=en%20-%20High%20estimate" TargetMode="External"/><Relationship Id="rId100" Type="http://schemas.openxmlformats.org/officeDocument/2006/relationships/hyperlink" Target="https://ec.europa.eu/eurostat/databrowser/view/DS-056120__custom_15192557/default/table?lang=en%20-%20Low%20estimate" TargetMode="External"/><Relationship Id="rId8" Type="http://schemas.openxmlformats.org/officeDocument/2006/relationships/hyperlink" Target="https://ec.europa.eu/eurostat/databrowser/view/DS-056120__custom_15192557/default/table?lang=en%20-%20High%20estimate" TargetMode="External"/><Relationship Id="rId98" Type="http://schemas.openxmlformats.org/officeDocument/2006/relationships/hyperlink" Target="https://ec.europa.eu/eurostat/databrowser/view/DS-056120__custom_15192557/default/table?lang=en%20-%20Low%20estimate" TargetMode="External"/><Relationship Id="rId121" Type="http://schemas.openxmlformats.org/officeDocument/2006/relationships/hyperlink" Target="https://ec.europa.eu/eurostat/databrowser/view/DS-056120__custom_15192557/default/table?lang=en%20-%20Low%20estimate" TargetMode="External"/><Relationship Id="rId142" Type="http://schemas.openxmlformats.org/officeDocument/2006/relationships/hyperlink" Target="https://ec.europa.eu/eurostat/databrowser/view/DS-056120__custom_15192557/default/table?lang=en%20-%20Low%20estimate" TargetMode="External"/><Relationship Id="rId163" Type="http://schemas.openxmlformats.org/officeDocument/2006/relationships/hyperlink" Target="https://ec.europa.eu/eurostat/databrowser/view/DS-056120__custom_15192557/default/table?lang=en%20-%20Low%20estimate" TargetMode="External"/><Relationship Id="rId184" Type="http://schemas.openxmlformats.org/officeDocument/2006/relationships/hyperlink" Target="https://ec.europa.eu/eurostat/databrowser/view/DS-056120__custom_15192557/default/table?lang=en%20-%20High%20estimate" TargetMode="External"/><Relationship Id="rId219" Type="http://schemas.openxmlformats.org/officeDocument/2006/relationships/hyperlink" Target="https://ec.europa.eu/eurostat/databrowser/view/DS-056120__custom_15192557/default/table?lang=en%20-%20High%20estimate" TargetMode="External"/><Relationship Id="rId230" Type="http://schemas.openxmlformats.org/officeDocument/2006/relationships/hyperlink" Target="https://ec.europa.eu/eurostat/databrowser/view/DS-056120__custom_15192557/default/table?lang=en%20-%20High%20estimate" TargetMode="External"/><Relationship Id="rId251" Type="http://schemas.openxmlformats.org/officeDocument/2006/relationships/hyperlink" Target="https://ec.europa.eu/eurostat/databrowser/view/DS-056120__custom_15192557/default/table?lang=en%20-%20High%20estimate" TargetMode="External"/><Relationship Id="rId25" Type="http://schemas.openxmlformats.org/officeDocument/2006/relationships/hyperlink" Target="https://ec.europa.eu/eurostat/databrowser/view/DS-056120__custom_15192557/default/table?lang=en%20-%20High%20estimate" TargetMode="External"/><Relationship Id="rId46" Type="http://schemas.openxmlformats.org/officeDocument/2006/relationships/hyperlink" Target="https://ec.europa.eu/eurostat/databrowser/view/DS-056120__custom_15192557/default/table?lang=en%20-%20High%20estimate" TargetMode="External"/><Relationship Id="rId67" Type="http://schemas.openxmlformats.org/officeDocument/2006/relationships/hyperlink" Target="https://ec.europa.eu/eurostat/databrowser/view/DS-056120__custom_15192557/default/table?lang=en%20-%20High%20estimate" TargetMode="External"/><Relationship Id="rId88" Type="http://schemas.openxmlformats.org/officeDocument/2006/relationships/hyperlink" Target="https://ec.europa.eu/eurostat/databrowser/view/DS-056120__custom_15192557/default/table?lang=en%20-%20Low%20estimate" TargetMode="External"/><Relationship Id="rId111" Type="http://schemas.openxmlformats.org/officeDocument/2006/relationships/hyperlink" Target="https://ec.europa.eu/eurostat/databrowser/view/DS-056120__custom_15192557/default/table?lang=en%20-%20Low%20estimate" TargetMode="External"/><Relationship Id="rId132" Type="http://schemas.openxmlformats.org/officeDocument/2006/relationships/hyperlink" Target="https://ec.europa.eu/eurostat/databrowser/view/DS-056120__custom_15192557/default/table?lang=en%20-%20Low%20estimate" TargetMode="External"/><Relationship Id="rId153" Type="http://schemas.openxmlformats.org/officeDocument/2006/relationships/hyperlink" Target="https://ec.europa.eu/eurostat/databrowser/view/DS-056120__custom_15192557/default/table?lang=en%20-%20Low%20estimate" TargetMode="External"/><Relationship Id="rId174" Type="http://schemas.openxmlformats.org/officeDocument/2006/relationships/hyperlink" Target="https://ec.europa.eu/eurostat/databrowser/view/DS-056120__custom_15192557/default/table?lang=en%20-%20High%20estimate" TargetMode="External"/><Relationship Id="rId195" Type="http://schemas.openxmlformats.org/officeDocument/2006/relationships/hyperlink" Target="https://ec.europa.eu/eurostat/databrowser/view/DS-056120__custom_15192557/default/table?lang=en%20-%20High%20estimate" TargetMode="External"/><Relationship Id="rId209" Type="http://schemas.openxmlformats.org/officeDocument/2006/relationships/hyperlink" Target="https://ec.europa.eu/eurostat/databrowser/view/DS-056120__custom_15192557/default/table?lang=en%20-%20High%20estimate" TargetMode="External"/><Relationship Id="rId220" Type="http://schemas.openxmlformats.org/officeDocument/2006/relationships/hyperlink" Target="https://ec.europa.eu/eurostat/databrowser/view/DS-056120__custom_15192557/default/table?lang=en%20-%20High%20estimate" TargetMode="External"/><Relationship Id="rId241" Type="http://schemas.openxmlformats.org/officeDocument/2006/relationships/hyperlink" Target="https://ec.europa.eu/eurostat/databrowser/view/DS-056120__custom_15192557/default/table?lang=en%20-%20High%20estimate" TargetMode="External"/><Relationship Id="rId15" Type="http://schemas.openxmlformats.org/officeDocument/2006/relationships/hyperlink" Target="https://ec.europa.eu/eurostat/databrowser/view/DS-056120__custom_15192557/default/table?lang=en%20-%20High%20estimate" TargetMode="External"/><Relationship Id="rId36" Type="http://schemas.openxmlformats.org/officeDocument/2006/relationships/hyperlink" Target="https://ec.europa.eu/eurostat/databrowser/view/DS-056120__custom_15192557/default/table?lang=en%20-%20High%20estimate" TargetMode="External"/><Relationship Id="rId57" Type="http://schemas.openxmlformats.org/officeDocument/2006/relationships/hyperlink" Target="https://ec.europa.eu/eurostat/databrowser/view/DS-056120__custom_15192557/default/table?lang=en%20-%20High%20estimate" TargetMode="External"/><Relationship Id="rId78" Type="http://schemas.openxmlformats.org/officeDocument/2006/relationships/hyperlink" Target="https://ec.europa.eu/eurostat/databrowser/view/DS-056120__custom_15192557/default/table?lang=en%20-%20High%20estimate" TargetMode="External"/><Relationship Id="rId99" Type="http://schemas.openxmlformats.org/officeDocument/2006/relationships/hyperlink" Target="https://ec.europa.eu/eurostat/databrowser/view/DS-056120__custom_15192557/default/table?lang=en%20-%20Low%20estimate" TargetMode="External"/><Relationship Id="rId101" Type="http://schemas.openxmlformats.org/officeDocument/2006/relationships/hyperlink" Target="https://ec.europa.eu/eurostat/databrowser/view/DS-056120__custom_15192557/default/table?lang=en%20-%20Low%20estimate" TargetMode="External"/><Relationship Id="rId122" Type="http://schemas.openxmlformats.org/officeDocument/2006/relationships/hyperlink" Target="https://ec.europa.eu/eurostat/databrowser/view/DS-056120__custom_15192557/default/table?lang=en%20-%20Low%20estimate" TargetMode="External"/><Relationship Id="rId143" Type="http://schemas.openxmlformats.org/officeDocument/2006/relationships/hyperlink" Target="https://ec.europa.eu/eurostat/databrowser/view/DS-056120__custom_15192557/default/table?lang=en%20-%20Low%20estimate" TargetMode="External"/><Relationship Id="rId164" Type="http://schemas.openxmlformats.org/officeDocument/2006/relationships/hyperlink" Target="https://ec.europa.eu/eurostat/databrowser/view/DS-056120__custom_15192557/default/table?lang=en%20-%20Low%20estimate" TargetMode="External"/><Relationship Id="rId185" Type="http://schemas.openxmlformats.org/officeDocument/2006/relationships/hyperlink" Target="https://ec.europa.eu/eurostat/databrowser/view/DS-056120__custom_15192557/default/table?lang=en%20-%20High%20estimate" TargetMode="External"/><Relationship Id="rId9" Type="http://schemas.openxmlformats.org/officeDocument/2006/relationships/hyperlink" Target="https://ec.europa.eu/eurostat/databrowser/view/DS-056120__custom_15192557/default/table?lang=en%20-%20High%20estimate" TargetMode="External"/><Relationship Id="rId210" Type="http://schemas.openxmlformats.org/officeDocument/2006/relationships/hyperlink" Target="https://ec.europa.eu/eurostat/databrowser/view/DS-056120__custom_15192557/default/table?lang=en%20-%20High%20estimate" TargetMode="External"/><Relationship Id="rId26" Type="http://schemas.openxmlformats.org/officeDocument/2006/relationships/hyperlink" Target="https://ec.europa.eu/eurostat/databrowser/view/DS-056120__custom_15192557/default/table?lang=en%20-%20High%20estimate" TargetMode="External"/><Relationship Id="rId231" Type="http://schemas.openxmlformats.org/officeDocument/2006/relationships/hyperlink" Target="https://ec.europa.eu/eurostat/databrowser/view/DS-056120__custom_15192557/default/table?lang=en%20-%20High%20estimate" TargetMode="External"/><Relationship Id="rId252" Type="http://schemas.openxmlformats.org/officeDocument/2006/relationships/hyperlink" Target="https://ec.europa.eu/eurostat/databrowser/view/DS-056120__custom_15192557/default/table?lang=en%20-%20High%20estimate" TargetMode="External"/><Relationship Id="rId47" Type="http://schemas.openxmlformats.org/officeDocument/2006/relationships/hyperlink" Target="https://ec.europa.eu/eurostat/databrowser/view/DS-056120__custom_15192557/default/table?lang=en%20-%20High%20estimate" TargetMode="External"/><Relationship Id="rId68" Type="http://schemas.openxmlformats.org/officeDocument/2006/relationships/hyperlink" Target="https://ec.europa.eu/eurostat/databrowser/view/DS-056120__custom_15192557/default/table?lang=en%20-%20High%20estimate" TargetMode="External"/><Relationship Id="rId89" Type="http://schemas.openxmlformats.org/officeDocument/2006/relationships/hyperlink" Target="https://ec.europa.eu/eurostat/databrowser/view/DS-056120__custom_15192557/default/table?lang=en%20-%20Low%20estimate" TargetMode="External"/><Relationship Id="rId112" Type="http://schemas.openxmlformats.org/officeDocument/2006/relationships/hyperlink" Target="https://ec.europa.eu/eurostat/databrowser/view/DS-056120__custom_15192557/default/table?lang=en%20-%20Low%20estimate" TargetMode="External"/><Relationship Id="rId133" Type="http://schemas.openxmlformats.org/officeDocument/2006/relationships/hyperlink" Target="https://ec.europa.eu/eurostat/databrowser/view/DS-056120__custom_15192557/default/table?lang=en%20-%20Low%20estimate" TargetMode="External"/><Relationship Id="rId154" Type="http://schemas.openxmlformats.org/officeDocument/2006/relationships/hyperlink" Target="https://ec.europa.eu/eurostat/databrowser/view/DS-056120__custom_15192557/default/table?lang=en%20-%20Low%20estimate" TargetMode="External"/><Relationship Id="rId175" Type="http://schemas.openxmlformats.org/officeDocument/2006/relationships/hyperlink" Target="https://ec.europa.eu/eurostat/databrowser/view/DS-056120__custom_15192557/default/table?lang=en%20-%20High%20estimate" TargetMode="External"/><Relationship Id="rId196" Type="http://schemas.openxmlformats.org/officeDocument/2006/relationships/hyperlink" Target="https://ec.europa.eu/eurostat/databrowser/view/DS-056120__custom_15192557/default/table?lang=en%20-%20High%20estimate" TargetMode="External"/><Relationship Id="rId200" Type="http://schemas.openxmlformats.org/officeDocument/2006/relationships/hyperlink" Target="https://ec.europa.eu/eurostat/databrowser/view/DS-056120__custom_15192557/default/table?lang=en%20-%20High%20estimate" TargetMode="External"/><Relationship Id="rId16" Type="http://schemas.openxmlformats.org/officeDocument/2006/relationships/hyperlink" Target="https://ec.europa.eu/eurostat/databrowser/view/DS-056120__custom_15192557/default/table?lang=en%20-%20High%20estimate" TargetMode="External"/><Relationship Id="rId221" Type="http://schemas.openxmlformats.org/officeDocument/2006/relationships/hyperlink" Target="https://ec.europa.eu/eurostat/databrowser/view/DS-056120__custom_15192557/default/table?lang=en%20-%20High%20estimate" TargetMode="External"/><Relationship Id="rId242" Type="http://schemas.openxmlformats.org/officeDocument/2006/relationships/hyperlink" Target="https://ec.europa.eu/eurostat/databrowser/view/DS-056120__custom_15192557/default/table?lang=en%20-%20High%20estimate" TargetMode="External"/><Relationship Id="rId37" Type="http://schemas.openxmlformats.org/officeDocument/2006/relationships/hyperlink" Target="https://ec.europa.eu/eurostat/databrowser/view/DS-056120__custom_15192557/default/table?lang=en%20-%20High%20estimate" TargetMode="External"/><Relationship Id="rId58" Type="http://schemas.openxmlformats.org/officeDocument/2006/relationships/hyperlink" Target="https://ec.europa.eu/eurostat/databrowser/view/DS-056120__custom_15192557/default/table?lang=en%20-%20High%20estimate" TargetMode="External"/><Relationship Id="rId79" Type="http://schemas.openxmlformats.org/officeDocument/2006/relationships/hyperlink" Target="https://ec.europa.eu/eurostat/databrowser/view/DS-056120__custom_15192557/default/table?lang=en%20-%20High%20estimate" TargetMode="External"/><Relationship Id="rId102" Type="http://schemas.openxmlformats.org/officeDocument/2006/relationships/hyperlink" Target="https://ec.europa.eu/eurostat/databrowser/view/DS-056120__custom_15192557/default/table?lang=en%20-%20Low%20estimate" TargetMode="External"/><Relationship Id="rId123" Type="http://schemas.openxmlformats.org/officeDocument/2006/relationships/hyperlink" Target="https://ec.europa.eu/eurostat/databrowser/view/DS-056120__custom_15192557/default/table?lang=en%20-%20Low%20estimate" TargetMode="External"/><Relationship Id="rId144" Type="http://schemas.openxmlformats.org/officeDocument/2006/relationships/hyperlink" Target="https://ec.europa.eu/eurostat/databrowser/view/DS-056120__custom_15192557/default/table?lang=en%20-%20Low%20estimate" TargetMode="External"/><Relationship Id="rId90" Type="http://schemas.openxmlformats.org/officeDocument/2006/relationships/hyperlink" Target="https://ec.europa.eu/eurostat/databrowser/view/DS-056120__custom_15192557/default/table?lang=en%20-%20Low%20estimate" TargetMode="External"/><Relationship Id="rId165" Type="http://schemas.openxmlformats.org/officeDocument/2006/relationships/hyperlink" Target="https://ec.europa.eu/eurostat/databrowser/view/DS-056120__custom_15192557/default/table?lang=en%20-%20Low%20estimate" TargetMode="External"/><Relationship Id="rId186" Type="http://schemas.openxmlformats.org/officeDocument/2006/relationships/hyperlink" Target="https://ec.europa.eu/eurostat/databrowser/view/DS-056120__custom_15192557/default/table?lang=en%20-%20High%20estimate" TargetMode="External"/><Relationship Id="rId211" Type="http://schemas.openxmlformats.org/officeDocument/2006/relationships/hyperlink" Target="https://ec.europa.eu/eurostat/databrowser/view/DS-056120__custom_15192557/default/table?lang=en%20-%20High%20estimate" TargetMode="External"/><Relationship Id="rId232" Type="http://schemas.openxmlformats.org/officeDocument/2006/relationships/hyperlink" Target="https://ec.europa.eu/eurostat/databrowser/view/DS-056120__custom_15192557/default/table?lang=en%20-%20High%20estimate" TargetMode="External"/><Relationship Id="rId253" Type="http://schemas.openxmlformats.org/officeDocument/2006/relationships/hyperlink" Target="https://ec.europa.eu/eurostat/databrowser/view/DS-056120__custom_15192557/default/table?lang=en%20-%20High%20estimate" TargetMode="External"/><Relationship Id="rId27" Type="http://schemas.openxmlformats.org/officeDocument/2006/relationships/hyperlink" Target="https://ec.europa.eu/eurostat/databrowser/view/DS-056120__custom_15192557/default/table?lang=en%20-%20High%20estimate" TargetMode="External"/><Relationship Id="rId48" Type="http://schemas.openxmlformats.org/officeDocument/2006/relationships/hyperlink" Target="https://ec.europa.eu/eurostat/databrowser/view/DS-056120__custom_15192557/default/table?lang=en%20-%20High%20estimate" TargetMode="External"/><Relationship Id="rId69" Type="http://schemas.openxmlformats.org/officeDocument/2006/relationships/hyperlink" Target="https://ec.europa.eu/eurostat/databrowser/view/DS-056120__custom_15192557/default/table?lang=en%20-%20High%20estimate" TargetMode="External"/><Relationship Id="rId113" Type="http://schemas.openxmlformats.org/officeDocument/2006/relationships/hyperlink" Target="https://ec.europa.eu/eurostat/databrowser/view/DS-056120__custom_15192557/default/table?lang=en%20-%20Low%20estimate" TargetMode="External"/><Relationship Id="rId134" Type="http://schemas.openxmlformats.org/officeDocument/2006/relationships/hyperlink" Target="https://ec.europa.eu/eurostat/databrowser/view/DS-056120__custom_15192557/default/table?lang=en%20-%20Low%20estimate" TargetMode="External"/><Relationship Id="rId80" Type="http://schemas.openxmlformats.org/officeDocument/2006/relationships/hyperlink" Target="https://ec.europa.eu/eurostat/databrowser/view/DS-056120__custom_15192557/default/table?lang=en%20-%20High%20estimate" TargetMode="External"/><Relationship Id="rId155" Type="http://schemas.openxmlformats.org/officeDocument/2006/relationships/hyperlink" Target="https://ec.europa.eu/eurostat/databrowser/view/DS-056120__custom_15192557/default/table?lang=en%20-%20Low%20estimate" TargetMode="External"/><Relationship Id="rId176" Type="http://schemas.openxmlformats.org/officeDocument/2006/relationships/hyperlink" Target="https://ec.europa.eu/eurostat/databrowser/view/DS-056120__custom_15192557/default/table?lang=en%20-%20High%20estimate" TargetMode="External"/><Relationship Id="rId197" Type="http://schemas.openxmlformats.org/officeDocument/2006/relationships/hyperlink" Target="https://ec.europa.eu/eurostat/databrowser/view/DS-056120__custom_15192557/default/table?lang=en%20-%20High%20estimate" TargetMode="External"/><Relationship Id="rId201" Type="http://schemas.openxmlformats.org/officeDocument/2006/relationships/hyperlink" Target="https://ec.europa.eu/eurostat/databrowser/view/DS-056120__custom_15192557/default/table?lang=en%20-%20High%20estimate" TargetMode="External"/><Relationship Id="rId222" Type="http://schemas.openxmlformats.org/officeDocument/2006/relationships/hyperlink" Target="https://ec.europa.eu/eurostat/databrowser/view/DS-056120__custom_15192557/default/table?lang=en%20-%20High%20estimate" TargetMode="External"/><Relationship Id="rId243" Type="http://schemas.openxmlformats.org/officeDocument/2006/relationships/hyperlink" Target="https://ec.europa.eu/eurostat/databrowser/view/DS-056120__custom_15192557/default/table?lang=en%20-%20High%20estimate" TargetMode="External"/><Relationship Id="rId17" Type="http://schemas.openxmlformats.org/officeDocument/2006/relationships/hyperlink" Target="https://ec.europa.eu/eurostat/databrowser/view/DS-056120__custom_15192557/default/table?lang=en%20-%20High%20estimate" TargetMode="External"/><Relationship Id="rId38" Type="http://schemas.openxmlformats.org/officeDocument/2006/relationships/hyperlink" Target="https://ec.europa.eu/eurostat/databrowser/view/DS-056120__custom_15192557/default/table?lang=en%20-%20High%20estimate" TargetMode="External"/><Relationship Id="rId59" Type="http://schemas.openxmlformats.org/officeDocument/2006/relationships/hyperlink" Target="https://ec.europa.eu/eurostat/databrowser/view/DS-056120__custom_15192557/default/table?lang=en%20-%20High%20estimate" TargetMode="External"/><Relationship Id="rId103" Type="http://schemas.openxmlformats.org/officeDocument/2006/relationships/hyperlink" Target="https://ec.europa.eu/eurostat/databrowser/view/DS-056120__custom_15192557/default/table?lang=en%20-%20Low%20estimate" TargetMode="External"/><Relationship Id="rId124" Type="http://schemas.openxmlformats.org/officeDocument/2006/relationships/hyperlink" Target="https://ec.europa.eu/eurostat/databrowser/view/DS-056120__custom_15192557/default/table?lang=en%20-%20Low%20estimate" TargetMode="External"/><Relationship Id="rId70" Type="http://schemas.openxmlformats.org/officeDocument/2006/relationships/hyperlink" Target="https://ec.europa.eu/eurostat/databrowser/view/DS-056120__custom_15192557/default/table?lang=en%20-%20High%20estimate" TargetMode="External"/><Relationship Id="rId91" Type="http://schemas.openxmlformats.org/officeDocument/2006/relationships/hyperlink" Target="https://ec.europa.eu/eurostat/databrowser/view/DS-056120__custom_15192557/default/table?lang=en%20-%20Low%20estimate" TargetMode="External"/><Relationship Id="rId145" Type="http://schemas.openxmlformats.org/officeDocument/2006/relationships/hyperlink" Target="https://ec.europa.eu/eurostat/databrowser/view/DS-056120__custom_15192557/default/table?lang=en%20-%20Low%20estimate" TargetMode="External"/><Relationship Id="rId166" Type="http://schemas.openxmlformats.org/officeDocument/2006/relationships/hyperlink" Target="https://ec.europa.eu/eurostat/databrowser/view/DS-056120__custom_15192557/default/table?lang=en%20-%20Low%20estimate" TargetMode="External"/><Relationship Id="rId187" Type="http://schemas.openxmlformats.org/officeDocument/2006/relationships/hyperlink" Target="https://ec.europa.eu/eurostat/databrowser/view/DS-056120__custom_15192557/default/table?lang=en%20-%20High%20estimate" TargetMode="External"/><Relationship Id="rId1" Type="http://schemas.openxmlformats.org/officeDocument/2006/relationships/hyperlink" Target="https://ec.europa.eu/eurostat/databrowser/view/DS-056120__custom_5851448/default/table" TargetMode="External"/><Relationship Id="rId212" Type="http://schemas.openxmlformats.org/officeDocument/2006/relationships/hyperlink" Target="https://ec.europa.eu/eurostat/databrowser/view/DS-056120__custom_15192557/default/table?lang=en%20-%20High%20estimate" TargetMode="External"/><Relationship Id="rId233" Type="http://schemas.openxmlformats.org/officeDocument/2006/relationships/hyperlink" Target="https://ec.europa.eu/eurostat/databrowser/view/DS-056120__custom_15192557/default/table?lang=en%20-%20High%20estimate" TargetMode="External"/><Relationship Id="rId254" Type="http://schemas.openxmlformats.org/officeDocument/2006/relationships/hyperlink" Target="https://ec.europa.eu/eurostat/databrowser/view/DS-056120__custom_15192557/default/table?lang=en%20-%20High%20estimate" TargetMode="External"/><Relationship Id="rId28" Type="http://schemas.openxmlformats.org/officeDocument/2006/relationships/hyperlink" Target="https://ec.europa.eu/eurostat/databrowser/view/DS-056120__custom_15192557/default/table?lang=en%20-%20High%20estimate" TargetMode="External"/><Relationship Id="rId49" Type="http://schemas.openxmlformats.org/officeDocument/2006/relationships/hyperlink" Target="https://ec.europa.eu/eurostat/databrowser/view/DS-056120__custom_15192557/default/table?lang=en%20-%20High%20estimate" TargetMode="External"/><Relationship Id="rId114" Type="http://schemas.openxmlformats.org/officeDocument/2006/relationships/hyperlink" Target="https://ec.europa.eu/eurostat/databrowser/view/DS-056120__custom_15192557/default/table?lang=en%20-%20Low%20estimate" TargetMode="External"/><Relationship Id="rId60" Type="http://schemas.openxmlformats.org/officeDocument/2006/relationships/hyperlink" Target="https://ec.europa.eu/eurostat/databrowser/view/DS-056120__custom_15192557/default/table?lang=en%20-%20High%20estimate" TargetMode="External"/><Relationship Id="rId81" Type="http://schemas.openxmlformats.org/officeDocument/2006/relationships/hyperlink" Target="https://ec.europa.eu/eurostat/databrowser/view/DS-056120__custom_15192557/default/table?lang=en%20-%20High%20estimate" TargetMode="External"/><Relationship Id="rId135" Type="http://schemas.openxmlformats.org/officeDocument/2006/relationships/hyperlink" Target="https://ec.europa.eu/eurostat/databrowser/view/DS-056120__custom_15192557/default/table?lang=en%20-%20Low%20estimate" TargetMode="External"/><Relationship Id="rId156" Type="http://schemas.openxmlformats.org/officeDocument/2006/relationships/hyperlink" Target="https://ec.europa.eu/eurostat/databrowser/view/DS-056120__custom_15192557/default/table?lang=en%20-%20Low%20estimate" TargetMode="External"/><Relationship Id="rId177" Type="http://schemas.openxmlformats.org/officeDocument/2006/relationships/hyperlink" Target="https://ec.europa.eu/eurostat/databrowser/view/DS-056120__custom_15192557/default/table?lang=en%20-%20High%20estimate" TargetMode="External"/><Relationship Id="rId198" Type="http://schemas.openxmlformats.org/officeDocument/2006/relationships/hyperlink" Target="https://ec.europa.eu/eurostat/databrowser/view/DS-056120__custom_15192557/default/table?lang=en%20-%20High%20estimate" TargetMode="External"/><Relationship Id="rId202" Type="http://schemas.openxmlformats.org/officeDocument/2006/relationships/hyperlink" Target="https://ec.europa.eu/eurostat/databrowser/view/DS-056120__custom_15192557/default/table?lang=en%20-%20High%20estimate" TargetMode="External"/><Relationship Id="rId223" Type="http://schemas.openxmlformats.org/officeDocument/2006/relationships/hyperlink" Target="https://ec.europa.eu/eurostat/databrowser/view/DS-056120__custom_15192557/default/table?lang=en%20-%20High%20estimate" TargetMode="External"/><Relationship Id="rId244" Type="http://schemas.openxmlformats.org/officeDocument/2006/relationships/hyperlink" Target="https://ec.europa.eu/eurostat/databrowser/view/DS-056120__custom_15192557/default/table?lang=en%20-%20High%20estimate" TargetMode="External"/><Relationship Id="rId18" Type="http://schemas.openxmlformats.org/officeDocument/2006/relationships/hyperlink" Target="https://ec.europa.eu/eurostat/databrowser/view/DS-056120__custom_15192557/default/table?lang=en%20-%20High%20estimate" TargetMode="External"/><Relationship Id="rId39" Type="http://schemas.openxmlformats.org/officeDocument/2006/relationships/hyperlink" Target="https://ec.europa.eu/eurostat/databrowser/view/DS-056120__custom_15192557/default/table?lang=en%20-%20High%20estimate" TargetMode="External"/><Relationship Id="rId50" Type="http://schemas.openxmlformats.org/officeDocument/2006/relationships/hyperlink" Target="https://ec.europa.eu/eurostat/databrowser/view/DS-056120__custom_15192557/default/table?lang=en%20-%20High%20estimate" TargetMode="External"/><Relationship Id="rId104" Type="http://schemas.openxmlformats.org/officeDocument/2006/relationships/hyperlink" Target="https://ec.europa.eu/eurostat/databrowser/view/DS-056120__custom_15192557/default/table?lang=en%20-%20Low%20estimate" TargetMode="External"/><Relationship Id="rId125" Type="http://schemas.openxmlformats.org/officeDocument/2006/relationships/hyperlink" Target="https://ec.europa.eu/eurostat/databrowser/view/DS-056120__custom_15192557/default/table?lang=en%20-%20Low%20estimate" TargetMode="External"/><Relationship Id="rId146" Type="http://schemas.openxmlformats.org/officeDocument/2006/relationships/hyperlink" Target="https://ec.europa.eu/eurostat/databrowser/view/DS-056120__custom_15192557/default/table?lang=en%20-%20Low%20estimate" TargetMode="External"/><Relationship Id="rId167" Type="http://schemas.openxmlformats.org/officeDocument/2006/relationships/hyperlink" Target="https://ec.europa.eu/eurostat/databrowser/view/DS-056120__custom_15192557/default/table?lang=en%20-%20Low%20estimate" TargetMode="External"/><Relationship Id="rId188" Type="http://schemas.openxmlformats.org/officeDocument/2006/relationships/hyperlink" Target="https://ec.europa.eu/eurostat/databrowser/view/DS-056120__custom_15192557/default/table?lang=en%20-%20High%20estimate" TargetMode="External"/><Relationship Id="rId71" Type="http://schemas.openxmlformats.org/officeDocument/2006/relationships/hyperlink" Target="https://ec.europa.eu/eurostat/databrowser/view/DS-056120__custom_15192557/default/table?lang=en%20-%20High%20estimate" TargetMode="External"/><Relationship Id="rId92" Type="http://schemas.openxmlformats.org/officeDocument/2006/relationships/hyperlink" Target="https://ec.europa.eu/eurostat/databrowser/view/DS-056120__custom_15192557/default/table?lang=en%20-%20Low%20estimate" TargetMode="External"/><Relationship Id="rId213" Type="http://schemas.openxmlformats.org/officeDocument/2006/relationships/hyperlink" Target="https://ec.europa.eu/eurostat/databrowser/view/DS-056120__custom_15192557/default/table?lang=en%20-%20High%20estimate" TargetMode="External"/><Relationship Id="rId234" Type="http://schemas.openxmlformats.org/officeDocument/2006/relationships/hyperlink" Target="https://ec.europa.eu/eurostat/databrowser/view/DS-056120__custom_15192557/default/table?lang=en%20-%20High%20estimate" TargetMode="External"/><Relationship Id="rId2" Type="http://schemas.openxmlformats.org/officeDocument/2006/relationships/hyperlink" Target="https://ec.europa.eu/eurostat/databrowser/view/DS-056120__custom_15192557/default/table?lang=en%20-%20Low%20estimate" TargetMode="External"/><Relationship Id="rId29" Type="http://schemas.openxmlformats.org/officeDocument/2006/relationships/hyperlink" Target="https://ec.europa.eu/eurostat/databrowser/view/DS-056120__custom_15192557/default/table?lang=en%20-%20High%20estimate" TargetMode="External"/><Relationship Id="rId255" Type="http://schemas.openxmlformats.org/officeDocument/2006/relationships/hyperlink" Target="https://ec.europa.eu/eurostat/databrowser/view/DS-056120__custom_15192557/default/table?lang=en%20-%20High%20estimate" TargetMode="External"/><Relationship Id="rId40" Type="http://schemas.openxmlformats.org/officeDocument/2006/relationships/hyperlink" Target="https://ec.europa.eu/eurostat/databrowser/view/DS-056120__custom_15192557/default/table?lang=en%20-%20High%20estimate" TargetMode="External"/><Relationship Id="rId115" Type="http://schemas.openxmlformats.org/officeDocument/2006/relationships/hyperlink" Target="https://ec.europa.eu/eurostat/databrowser/view/DS-056120__custom_15192557/default/table?lang=en%20-%20Low%20estimate" TargetMode="External"/><Relationship Id="rId136" Type="http://schemas.openxmlformats.org/officeDocument/2006/relationships/hyperlink" Target="https://ec.europa.eu/eurostat/databrowser/view/DS-056120__custom_15192557/default/table?lang=en%20-%20Low%20estimate" TargetMode="External"/><Relationship Id="rId157" Type="http://schemas.openxmlformats.org/officeDocument/2006/relationships/hyperlink" Target="https://ec.europa.eu/eurostat/databrowser/view/DS-056120__custom_15192557/default/table?lang=en%20-%20Low%20estimate" TargetMode="External"/><Relationship Id="rId178" Type="http://schemas.openxmlformats.org/officeDocument/2006/relationships/hyperlink" Target="https://ec.europa.eu/eurostat/databrowser/view/DS-056120__custom_15192557/default/table?lang=en%20-%20High%20estimate" TargetMode="External"/><Relationship Id="rId61" Type="http://schemas.openxmlformats.org/officeDocument/2006/relationships/hyperlink" Target="https://ec.europa.eu/eurostat/databrowser/view/DS-056120__custom_15192557/default/table?lang=en%20-%20High%20estimate" TargetMode="External"/><Relationship Id="rId82" Type="http://schemas.openxmlformats.org/officeDocument/2006/relationships/hyperlink" Target="https://ec.europa.eu/eurostat/databrowser/view/DS-056120__custom_15192557/default/table?lang=en%20-%20High%20estimate" TargetMode="External"/><Relationship Id="rId199" Type="http://schemas.openxmlformats.org/officeDocument/2006/relationships/hyperlink" Target="https://ec.europa.eu/eurostat/databrowser/view/DS-056120__custom_15192557/default/table?lang=en%20-%20High%20estimate" TargetMode="External"/><Relationship Id="rId203" Type="http://schemas.openxmlformats.org/officeDocument/2006/relationships/hyperlink" Target="https://ec.europa.eu/eurostat/databrowser/view/DS-056120__custom_15192557/default/table?lang=en%20-%20High%20estimate" TargetMode="External"/><Relationship Id="rId19" Type="http://schemas.openxmlformats.org/officeDocument/2006/relationships/hyperlink" Target="https://ec.europa.eu/eurostat/databrowser/view/DS-056120__custom_15192557/default/table?lang=en%20-%20High%20estimate" TargetMode="External"/><Relationship Id="rId224" Type="http://schemas.openxmlformats.org/officeDocument/2006/relationships/hyperlink" Target="https://ec.europa.eu/eurostat/databrowser/view/DS-056120__custom_15192557/default/table?lang=en%20-%20High%20estimate" TargetMode="External"/><Relationship Id="rId245" Type="http://schemas.openxmlformats.org/officeDocument/2006/relationships/hyperlink" Target="https://ec.europa.eu/eurostat/databrowser/view/DS-056120__custom_15192557/default/table?lang=en%20-%20High%20estimate" TargetMode="External"/><Relationship Id="rId30" Type="http://schemas.openxmlformats.org/officeDocument/2006/relationships/hyperlink" Target="https://ec.europa.eu/eurostat/databrowser/view/DS-056120__custom_15192557/default/table?lang=en%20-%20High%20estimate" TargetMode="External"/><Relationship Id="rId105" Type="http://schemas.openxmlformats.org/officeDocument/2006/relationships/hyperlink" Target="https://ec.europa.eu/eurostat/databrowser/view/DS-056120__custom_15192557/default/table?lang=en%20-%20Low%20estimate" TargetMode="External"/><Relationship Id="rId126" Type="http://schemas.openxmlformats.org/officeDocument/2006/relationships/hyperlink" Target="https://ec.europa.eu/eurostat/databrowser/view/DS-056120__custom_15192557/default/table?lang=en%20-%20Low%20estimate" TargetMode="External"/><Relationship Id="rId147" Type="http://schemas.openxmlformats.org/officeDocument/2006/relationships/hyperlink" Target="https://ec.europa.eu/eurostat/databrowser/view/DS-056120__custom_15192557/default/table?lang=en%20-%20Low%20estimate" TargetMode="External"/><Relationship Id="rId168" Type="http://schemas.openxmlformats.org/officeDocument/2006/relationships/hyperlink" Target="https://ec.europa.eu/eurostat/databrowser/view/DS-056120__custom_15192557/default/table?lang=en%20-%20Low%20estimate" TargetMode="External"/><Relationship Id="rId51" Type="http://schemas.openxmlformats.org/officeDocument/2006/relationships/hyperlink" Target="https://ec.europa.eu/eurostat/databrowser/view/DS-056120__custom_15192557/default/table?lang=en%20-%20High%20estimate" TargetMode="External"/><Relationship Id="rId72" Type="http://schemas.openxmlformats.org/officeDocument/2006/relationships/hyperlink" Target="https://ec.europa.eu/eurostat/databrowser/view/DS-056120__custom_15192557/default/table?lang=en%20-%20High%20estimate" TargetMode="External"/><Relationship Id="rId93" Type="http://schemas.openxmlformats.org/officeDocument/2006/relationships/hyperlink" Target="https://ec.europa.eu/eurostat/databrowser/view/DS-056120__custom_15192557/default/table?lang=en%20-%20Low%20estimate" TargetMode="External"/><Relationship Id="rId189" Type="http://schemas.openxmlformats.org/officeDocument/2006/relationships/hyperlink" Target="https://ec.europa.eu/eurostat/databrowser/view/DS-056120__custom_15192557/default/table?lang=en%20-%20High%20estimate" TargetMode="External"/><Relationship Id="rId3" Type="http://schemas.openxmlformats.org/officeDocument/2006/relationships/hyperlink" Target="https://ec.europa.eu/eurostat/databrowser/view/DS-056120__custom_15192557/default/table?lang=en%20-%20Low%20estimate" TargetMode="External"/><Relationship Id="rId214" Type="http://schemas.openxmlformats.org/officeDocument/2006/relationships/hyperlink" Target="https://ec.europa.eu/eurostat/databrowser/view/DS-056120__custom_15192557/default/table?lang=en%20-%20High%20estimate" TargetMode="External"/><Relationship Id="rId235" Type="http://schemas.openxmlformats.org/officeDocument/2006/relationships/hyperlink" Target="https://ec.europa.eu/eurostat/databrowser/view/DS-056120__custom_15192557/default/table?lang=en%20-%20High%20estimate" TargetMode="External"/><Relationship Id="rId256" Type="http://schemas.openxmlformats.org/officeDocument/2006/relationships/printerSettings" Target="../printerSettings/printerSettings4.bin"/><Relationship Id="rId116" Type="http://schemas.openxmlformats.org/officeDocument/2006/relationships/hyperlink" Target="https://ec.europa.eu/eurostat/databrowser/view/DS-056120__custom_15192557/default/table?lang=en%20-%20Low%20estimate" TargetMode="External"/><Relationship Id="rId137" Type="http://schemas.openxmlformats.org/officeDocument/2006/relationships/hyperlink" Target="https://ec.europa.eu/eurostat/databrowser/view/DS-056120__custom_15192557/default/table?lang=en%20-%20Low%20estimate" TargetMode="External"/><Relationship Id="rId158" Type="http://schemas.openxmlformats.org/officeDocument/2006/relationships/hyperlink" Target="https://ec.europa.eu/eurostat/databrowser/view/DS-056120__custom_15192557/default/table?lang=en%20-%20Low%20estimate" TargetMode="External"/><Relationship Id="rId20" Type="http://schemas.openxmlformats.org/officeDocument/2006/relationships/hyperlink" Target="https://ec.europa.eu/eurostat/databrowser/view/DS-056120__custom_15192557/default/table?lang=en%20-%20High%20estimate" TargetMode="External"/><Relationship Id="rId41" Type="http://schemas.openxmlformats.org/officeDocument/2006/relationships/hyperlink" Target="https://ec.europa.eu/eurostat/databrowser/view/DS-056120__custom_15192557/default/table?lang=en%20-%20High%20estimate" TargetMode="External"/><Relationship Id="rId62" Type="http://schemas.openxmlformats.org/officeDocument/2006/relationships/hyperlink" Target="https://ec.europa.eu/eurostat/databrowser/view/DS-056120__custom_15192557/default/table?lang=en%20-%20High%20estimate" TargetMode="External"/><Relationship Id="rId83" Type="http://schemas.openxmlformats.org/officeDocument/2006/relationships/hyperlink" Target="https://ec.europa.eu/eurostat/databrowser/view/DS-056120__custom_15192557/default/table?lang=en%20-%20High%20estimate" TargetMode="External"/><Relationship Id="rId179" Type="http://schemas.openxmlformats.org/officeDocument/2006/relationships/hyperlink" Target="https://ec.europa.eu/eurostat/databrowser/view/DS-056120__custom_15192557/default/table?lang=en%20-%20High%20estimate" TargetMode="External"/><Relationship Id="rId190" Type="http://schemas.openxmlformats.org/officeDocument/2006/relationships/hyperlink" Target="https://ec.europa.eu/eurostat/databrowser/view/DS-056120__custom_15192557/default/table?lang=en%20-%20High%20estimate" TargetMode="External"/><Relationship Id="rId204" Type="http://schemas.openxmlformats.org/officeDocument/2006/relationships/hyperlink" Target="https://ec.europa.eu/eurostat/databrowser/view/DS-056120__custom_15192557/default/table?lang=en%20-%20High%20estimate" TargetMode="External"/><Relationship Id="rId225" Type="http://schemas.openxmlformats.org/officeDocument/2006/relationships/hyperlink" Target="https://ec.europa.eu/eurostat/databrowser/view/DS-056120__custom_15192557/default/table?lang=en%20-%20High%20estimate" TargetMode="External"/><Relationship Id="rId246" Type="http://schemas.openxmlformats.org/officeDocument/2006/relationships/hyperlink" Target="https://ec.europa.eu/eurostat/databrowser/view/DS-056120__custom_15192557/default/table?lang=en%20-%20High%20estimate" TargetMode="External"/><Relationship Id="rId106" Type="http://schemas.openxmlformats.org/officeDocument/2006/relationships/hyperlink" Target="https://ec.europa.eu/eurostat/databrowser/view/DS-056120__custom_15192557/default/table?lang=en%20-%20Low%20estimate" TargetMode="External"/><Relationship Id="rId127" Type="http://schemas.openxmlformats.org/officeDocument/2006/relationships/hyperlink" Target="https://ec.europa.eu/eurostat/databrowser/view/DS-056120__custom_15192557/default/table?lang=en%20-%20Low%20estimate" TargetMode="External"/><Relationship Id="rId10" Type="http://schemas.openxmlformats.org/officeDocument/2006/relationships/hyperlink" Target="https://ec.europa.eu/eurostat/databrowser/view/DS-056120__custom_15192557/default/table?lang=en%20-%20High%20estimate" TargetMode="External"/><Relationship Id="rId31" Type="http://schemas.openxmlformats.org/officeDocument/2006/relationships/hyperlink" Target="https://ec.europa.eu/eurostat/databrowser/view/DS-056120__custom_15192557/default/table?lang=en%20-%20High%20estimate" TargetMode="External"/><Relationship Id="rId52" Type="http://schemas.openxmlformats.org/officeDocument/2006/relationships/hyperlink" Target="https://ec.europa.eu/eurostat/databrowser/view/DS-056120__custom_15192557/default/table?lang=en%20-%20High%20estimate" TargetMode="External"/><Relationship Id="rId73" Type="http://schemas.openxmlformats.org/officeDocument/2006/relationships/hyperlink" Target="https://ec.europa.eu/eurostat/databrowser/view/DS-056120__custom_15192557/default/table?lang=en%20-%20High%20estimate" TargetMode="External"/><Relationship Id="rId94" Type="http://schemas.openxmlformats.org/officeDocument/2006/relationships/hyperlink" Target="https://ec.europa.eu/eurostat/databrowser/view/DS-056120__custom_15192557/default/table?lang=en%20-%20Low%20estimate" TargetMode="External"/><Relationship Id="rId148" Type="http://schemas.openxmlformats.org/officeDocument/2006/relationships/hyperlink" Target="https://ec.europa.eu/eurostat/databrowser/view/DS-056120__custom_15192557/default/table?lang=en%20-%20Low%20estimate" TargetMode="External"/><Relationship Id="rId169" Type="http://schemas.openxmlformats.org/officeDocument/2006/relationships/hyperlink" Target="https://ec.europa.eu/eurostat/databrowser/view/DS-056120__custom_15192557/default/table?lang=en%20-%20Low%20estimate" TargetMode="External"/><Relationship Id="rId4" Type="http://schemas.openxmlformats.org/officeDocument/2006/relationships/hyperlink" Target="https://ec.europa.eu/eurostat/databrowser/view/DS-056120__custom_15192557/default/table?lang=en%20-%20High%20estimate" TargetMode="External"/><Relationship Id="rId180" Type="http://schemas.openxmlformats.org/officeDocument/2006/relationships/hyperlink" Target="https://ec.europa.eu/eurostat/databrowser/view/DS-056120__custom_15192557/default/table?lang=en%20-%20High%20estimate" TargetMode="External"/><Relationship Id="rId215" Type="http://schemas.openxmlformats.org/officeDocument/2006/relationships/hyperlink" Target="https://ec.europa.eu/eurostat/databrowser/view/DS-056120__custom_15192557/default/table?lang=en%20-%20High%20estimate" TargetMode="External"/><Relationship Id="rId236" Type="http://schemas.openxmlformats.org/officeDocument/2006/relationships/hyperlink" Target="https://ec.europa.eu/eurostat/databrowser/view/DS-056120__custom_15192557/default/table?lang=en%20-%20High%20estimate" TargetMode="External"/><Relationship Id="rId257" Type="http://schemas.microsoft.com/office/2019/04/relationships/namedSheetView" Target="../namedSheetViews/namedSheetView1.xml"/></Relationships>
</file>

<file path=xl/worksheets/_rels/sheet5.xml.rels><?xml version="1.0" encoding="UTF-8" standalone="yes"?>
<Relationships xmlns="http://schemas.openxmlformats.org/package/2006/relationships"><Relationship Id="rId117" Type="http://schemas.openxmlformats.org/officeDocument/2006/relationships/hyperlink" Target="https://ec.europa.eu/eurostat/databrowser/view/DS-056120__custom_6262207/default/table" TargetMode="External"/><Relationship Id="rId299" Type="http://schemas.openxmlformats.org/officeDocument/2006/relationships/hyperlink" Target="https://ec.europa.eu/eurostat/databrowser/view/DS-056120__custom_6262207/default/table" TargetMode="External"/><Relationship Id="rId21" Type="http://schemas.openxmlformats.org/officeDocument/2006/relationships/hyperlink" Target="https://ec.europa.eu/eurostat/databrowser/view/DS-056120__custom_6262207/default/table" TargetMode="External"/><Relationship Id="rId63" Type="http://schemas.openxmlformats.org/officeDocument/2006/relationships/hyperlink" Target="https://ec.europa.eu/eurostat/databrowser/view/DS-056120__custom_6262207/default/table" TargetMode="External"/><Relationship Id="rId159" Type="http://schemas.openxmlformats.org/officeDocument/2006/relationships/hyperlink" Target="https://ec.europa.eu/eurostat/databrowser/view/DS-056120__custom_6262207/default/table" TargetMode="External"/><Relationship Id="rId324" Type="http://schemas.openxmlformats.org/officeDocument/2006/relationships/hyperlink" Target="https://ec.europa.eu/eurostat/databrowser/view/DS-056120__custom_6262207/default/table" TargetMode="External"/><Relationship Id="rId366" Type="http://schemas.openxmlformats.org/officeDocument/2006/relationships/hyperlink" Target="https://ec.europa.eu/eurostat/databrowser/view/DS-056120__custom_6262207/default/table" TargetMode="External"/><Relationship Id="rId170" Type="http://schemas.openxmlformats.org/officeDocument/2006/relationships/hyperlink" Target="https://ec.europa.eu/eurostat/databrowser/view/DS-056120__custom_6262207/default/table" TargetMode="External"/><Relationship Id="rId226" Type="http://schemas.openxmlformats.org/officeDocument/2006/relationships/hyperlink" Target="https://ec.europa.eu/eurostat/databrowser/view/DS-056120__custom_6262207/default/table" TargetMode="External"/><Relationship Id="rId433" Type="http://schemas.openxmlformats.org/officeDocument/2006/relationships/hyperlink" Target="https://ec.europa.eu/eurostat/databrowser/view/DS-056120__custom_6262207/default/table" TargetMode="External"/><Relationship Id="rId268" Type="http://schemas.openxmlformats.org/officeDocument/2006/relationships/hyperlink" Target="https://ec.europa.eu/eurostat/databrowser/view/DS-056120__custom_6262207/default/table" TargetMode="External"/><Relationship Id="rId475" Type="http://schemas.openxmlformats.org/officeDocument/2006/relationships/hyperlink" Target="https://ec.europa.eu/eurostat/databrowser/view/DS-056120__custom_6262207/default/table" TargetMode="External"/><Relationship Id="rId32" Type="http://schemas.openxmlformats.org/officeDocument/2006/relationships/hyperlink" Target="https://ec.europa.eu/eurostat/databrowser/view/DS-056120__custom_6262207/default/table" TargetMode="External"/><Relationship Id="rId74" Type="http://schemas.openxmlformats.org/officeDocument/2006/relationships/hyperlink" Target="https://ec.europa.eu/eurostat/databrowser/view/DS-056120__custom_6262207/default/table" TargetMode="External"/><Relationship Id="rId128" Type="http://schemas.openxmlformats.org/officeDocument/2006/relationships/hyperlink" Target="https://ec.europa.eu/eurostat/databrowser/view/DS-056120__custom_6262207/default/table" TargetMode="External"/><Relationship Id="rId335" Type="http://schemas.openxmlformats.org/officeDocument/2006/relationships/hyperlink" Target="https://ec.europa.eu/eurostat/databrowser/view/DS-056120__custom_6262207/default/table" TargetMode="External"/><Relationship Id="rId377" Type="http://schemas.openxmlformats.org/officeDocument/2006/relationships/hyperlink" Target="https://ec.europa.eu/eurostat/databrowser/view/DS-056120__custom_6262207/default/table" TargetMode="External"/><Relationship Id="rId5" Type="http://schemas.openxmlformats.org/officeDocument/2006/relationships/hyperlink" Target="https://ec.europa.eu/eurostat/databrowser/view/DS-056120__custom_6262207/default/table" TargetMode="External"/><Relationship Id="rId181" Type="http://schemas.openxmlformats.org/officeDocument/2006/relationships/hyperlink" Target="https://ec.europa.eu/eurostat/databrowser/view/DS-056120__custom_6262207/default/table" TargetMode="External"/><Relationship Id="rId237" Type="http://schemas.openxmlformats.org/officeDocument/2006/relationships/hyperlink" Target="https://ec.europa.eu/eurostat/databrowser/view/DS-056120__custom_6262207/default/table" TargetMode="External"/><Relationship Id="rId402" Type="http://schemas.openxmlformats.org/officeDocument/2006/relationships/hyperlink" Target="https://ec.europa.eu/eurostat/databrowser/view/DS-056120__custom_6262207/default/table" TargetMode="External"/><Relationship Id="rId279" Type="http://schemas.openxmlformats.org/officeDocument/2006/relationships/hyperlink" Target="https://ec.europa.eu/eurostat/databrowser/view/DS-056120__custom_6262207/default/table" TargetMode="External"/><Relationship Id="rId444" Type="http://schemas.openxmlformats.org/officeDocument/2006/relationships/hyperlink" Target="https://ec.europa.eu/eurostat/databrowser/view/DS-056120__custom_6262207/default/table" TargetMode="External"/><Relationship Id="rId486" Type="http://schemas.openxmlformats.org/officeDocument/2006/relationships/hyperlink" Target="https://ec.europa.eu/eurostat/databrowser/view/DS-056120__custom_6262207/default/table" TargetMode="External"/><Relationship Id="rId43" Type="http://schemas.openxmlformats.org/officeDocument/2006/relationships/hyperlink" Target="https://ec.europa.eu/eurostat/databrowser/view/DS-056120__custom_6262207/default/table" TargetMode="External"/><Relationship Id="rId139" Type="http://schemas.openxmlformats.org/officeDocument/2006/relationships/hyperlink" Target="https://ec.europa.eu/eurostat/databrowser/view/DS-056120__custom_6262207/default/table" TargetMode="External"/><Relationship Id="rId290" Type="http://schemas.openxmlformats.org/officeDocument/2006/relationships/hyperlink" Target="https://ec.europa.eu/eurostat/databrowser/view/DS-056120__custom_6262207/default/table" TargetMode="External"/><Relationship Id="rId304" Type="http://schemas.openxmlformats.org/officeDocument/2006/relationships/hyperlink" Target="https://ec.europa.eu/eurostat/databrowser/view/DS-056120__custom_6262207/default/table" TargetMode="External"/><Relationship Id="rId346" Type="http://schemas.openxmlformats.org/officeDocument/2006/relationships/hyperlink" Target="https://ec.europa.eu/eurostat/databrowser/view/DS-056120__custom_6262207/default/table" TargetMode="External"/><Relationship Id="rId388" Type="http://schemas.openxmlformats.org/officeDocument/2006/relationships/hyperlink" Target="https://ec.europa.eu/eurostat/databrowser/view/DS-056120__custom_6262207/default/table" TargetMode="External"/><Relationship Id="rId85" Type="http://schemas.openxmlformats.org/officeDocument/2006/relationships/hyperlink" Target="https://ec.europa.eu/eurostat/databrowser/view/DS-056120__custom_6262207/default/table" TargetMode="External"/><Relationship Id="rId150" Type="http://schemas.openxmlformats.org/officeDocument/2006/relationships/hyperlink" Target="https://ec.europa.eu/eurostat/databrowser/view/DS-056120__custom_6262207/default/table" TargetMode="External"/><Relationship Id="rId192" Type="http://schemas.openxmlformats.org/officeDocument/2006/relationships/hyperlink" Target="https://ec.europa.eu/eurostat/databrowser/view/DS-056120__custom_6262207/default/table" TargetMode="External"/><Relationship Id="rId206" Type="http://schemas.openxmlformats.org/officeDocument/2006/relationships/hyperlink" Target="https://ec.europa.eu/eurostat/databrowser/view/DS-056120__custom_6262207/default/table" TargetMode="External"/><Relationship Id="rId413" Type="http://schemas.openxmlformats.org/officeDocument/2006/relationships/hyperlink" Target="https://ec.europa.eu/eurostat/databrowser/view/DS-056120__custom_6262207/default/table" TargetMode="External"/><Relationship Id="rId248" Type="http://schemas.openxmlformats.org/officeDocument/2006/relationships/hyperlink" Target="https://ec.europa.eu/eurostat/databrowser/view/DS-056120__custom_6262207/default/table" TargetMode="External"/><Relationship Id="rId455" Type="http://schemas.openxmlformats.org/officeDocument/2006/relationships/hyperlink" Target="https://ec.europa.eu/eurostat/databrowser/view/DS-056120__custom_6262207/default/table" TargetMode="External"/><Relationship Id="rId497" Type="http://schemas.microsoft.com/office/2019/04/relationships/namedSheetView" Target="../namedSheetViews/namedSheetView2.xml"/><Relationship Id="rId12" Type="http://schemas.openxmlformats.org/officeDocument/2006/relationships/hyperlink" Target="https://ec.europa.eu/eurostat/databrowser/view/DS-056120__custom_6262207/default/table" TargetMode="External"/><Relationship Id="rId108" Type="http://schemas.openxmlformats.org/officeDocument/2006/relationships/hyperlink" Target="https://ec.europa.eu/eurostat/databrowser/view/DS-056120__custom_6262207/default/table" TargetMode="External"/><Relationship Id="rId315" Type="http://schemas.openxmlformats.org/officeDocument/2006/relationships/hyperlink" Target="https://ec.europa.eu/eurostat/databrowser/view/DS-056120__custom_6262207/default/table" TargetMode="External"/><Relationship Id="rId357" Type="http://schemas.openxmlformats.org/officeDocument/2006/relationships/hyperlink" Target="https://ec.europa.eu/eurostat/databrowser/view/DS-056120__custom_6262207/default/table" TargetMode="External"/><Relationship Id="rId54" Type="http://schemas.openxmlformats.org/officeDocument/2006/relationships/hyperlink" Target="https://ec.europa.eu/eurostat/databrowser/view/DS-056120__custom_6262207/default/table" TargetMode="External"/><Relationship Id="rId96" Type="http://schemas.openxmlformats.org/officeDocument/2006/relationships/hyperlink" Target="https://ec.europa.eu/eurostat/databrowser/view/DS-056120__custom_6262207/default/table" TargetMode="External"/><Relationship Id="rId161" Type="http://schemas.openxmlformats.org/officeDocument/2006/relationships/hyperlink" Target="https://ec.europa.eu/eurostat/databrowser/view/DS-056120__custom_6262207/default/table" TargetMode="External"/><Relationship Id="rId217" Type="http://schemas.openxmlformats.org/officeDocument/2006/relationships/hyperlink" Target="https://ec.europa.eu/eurostat/databrowser/view/DS-056120__custom_6262207/default/table" TargetMode="External"/><Relationship Id="rId399" Type="http://schemas.openxmlformats.org/officeDocument/2006/relationships/hyperlink" Target="https://ec.europa.eu/eurostat/databrowser/view/DS-056120__custom_6262207/default/table" TargetMode="External"/><Relationship Id="rId259" Type="http://schemas.openxmlformats.org/officeDocument/2006/relationships/hyperlink" Target="https://ec.europa.eu/eurostat/databrowser/view/DS-056120__custom_6262207/default/table" TargetMode="External"/><Relationship Id="rId424" Type="http://schemas.openxmlformats.org/officeDocument/2006/relationships/hyperlink" Target="https://ec.europa.eu/eurostat/databrowser/view/DS-056120__custom_6262207/default/table" TargetMode="External"/><Relationship Id="rId466" Type="http://schemas.openxmlformats.org/officeDocument/2006/relationships/hyperlink" Target="https://ec.europa.eu/eurostat/databrowser/view/DS-056120__custom_6262207/default/table" TargetMode="External"/><Relationship Id="rId23" Type="http://schemas.openxmlformats.org/officeDocument/2006/relationships/hyperlink" Target="https://ec.europa.eu/eurostat/databrowser/view/DS-056120__custom_6262207/default/table" TargetMode="External"/><Relationship Id="rId119" Type="http://schemas.openxmlformats.org/officeDocument/2006/relationships/hyperlink" Target="https://ec.europa.eu/eurostat/databrowser/view/DS-056120__custom_6262207/default/table" TargetMode="External"/><Relationship Id="rId270" Type="http://schemas.openxmlformats.org/officeDocument/2006/relationships/hyperlink" Target="https://ec.europa.eu/eurostat/databrowser/view/DS-056120__custom_6262207/default/table" TargetMode="External"/><Relationship Id="rId326" Type="http://schemas.openxmlformats.org/officeDocument/2006/relationships/hyperlink" Target="https://ec.europa.eu/eurostat/databrowser/view/DS-056120__custom_6262207/default/table" TargetMode="External"/><Relationship Id="rId65" Type="http://schemas.openxmlformats.org/officeDocument/2006/relationships/hyperlink" Target="https://ec.europa.eu/eurostat/databrowser/view/DS-056120__custom_6262207/default/table" TargetMode="External"/><Relationship Id="rId130" Type="http://schemas.openxmlformats.org/officeDocument/2006/relationships/hyperlink" Target="https://ec.europa.eu/eurostat/databrowser/view/DS-056120__custom_6262207/default/table" TargetMode="External"/><Relationship Id="rId368" Type="http://schemas.openxmlformats.org/officeDocument/2006/relationships/hyperlink" Target="https://ec.europa.eu/eurostat/databrowser/view/DS-056120__custom_6262207/default/table" TargetMode="External"/><Relationship Id="rId172" Type="http://schemas.openxmlformats.org/officeDocument/2006/relationships/hyperlink" Target="https://ec.europa.eu/eurostat/databrowser/view/DS-056120__custom_6262207/default/table" TargetMode="External"/><Relationship Id="rId228" Type="http://schemas.openxmlformats.org/officeDocument/2006/relationships/hyperlink" Target="https://ec.europa.eu/eurostat/databrowser/view/DS-056120__custom_6262207/default/table" TargetMode="External"/><Relationship Id="rId435" Type="http://schemas.openxmlformats.org/officeDocument/2006/relationships/hyperlink" Target="https://ec.europa.eu/eurostat/databrowser/view/DS-056120__custom_6262207/default/table" TargetMode="External"/><Relationship Id="rId477" Type="http://schemas.openxmlformats.org/officeDocument/2006/relationships/hyperlink" Target="https://ec.europa.eu/eurostat/databrowser/view/DS-056120__custom_6262207/default/table" TargetMode="External"/><Relationship Id="rId281" Type="http://schemas.openxmlformats.org/officeDocument/2006/relationships/hyperlink" Target="https://ec.europa.eu/eurostat/databrowser/view/DS-056120__custom_6262207/default/table" TargetMode="External"/><Relationship Id="rId337" Type="http://schemas.openxmlformats.org/officeDocument/2006/relationships/hyperlink" Target="https://ec.europa.eu/eurostat/databrowser/view/DS-056120__custom_6262207/default/table" TargetMode="External"/><Relationship Id="rId34" Type="http://schemas.openxmlformats.org/officeDocument/2006/relationships/hyperlink" Target="https://ec.europa.eu/eurostat/databrowser/view/DS-056120__custom_6262207/default/table" TargetMode="External"/><Relationship Id="rId76" Type="http://schemas.openxmlformats.org/officeDocument/2006/relationships/hyperlink" Target="https://ec.europa.eu/eurostat/databrowser/view/DS-056120__custom_6262207/default/table" TargetMode="External"/><Relationship Id="rId141" Type="http://schemas.openxmlformats.org/officeDocument/2006/relationships/hyperlink" Target="https://ec.europa.eu/eurostat/databrowser/view/DS-056120__custom_6262207/default/table" TargetMode="External"/><Relationship Id="rId379" Type="http://schemas.openxmlformats.org/officeDocument/2006/relationships/hyperlink" Target="https://ec.europa.eu/eurostat/databrowser/view/DS-056120__custom_6262207/default/table" TargetMode="External"/><Relationship Id="rId7" Type="http://schemas.openxmlformats.org/officeDocument/2006/relationships/hyperlink" Target="https://ec.europa.eu/eurostat/databrowser/view/DS-056120__custom_6262207/default/table" TargetMode="External"/><Relationship Id="rId183" Type="http://schemas.openxmlformats.org/officeDocument/2006/relationships/hyperlink" Target="https://ec.europa.eu/eurostat/databrowser/view/DS-056120__custom_6262207/default/table" TargetMode="External"/><Relationship Id="rId239" Type="http://schemas.openxmlformats.org/officeDocument/2006/relationships/hyperlink" Target="https://ec.europa.eu/eurostat/databrowser/view/DS-056120__custom_6262207/default/table" TargetMode="External"/><Relationship Id="rId390" Type="http://schemas.openxmlformats.org/officeDocument/2006/relationships/hyperlink" Target="https://ec.europa.eu/eurostat/databrowser/view/DS-056120__custom_6262207/default/table" TargetMode="External"/><Relationship Id="rId404" Type="http://schemas.openxmlformats.org/officeDocument/2006/relationships/hyperlink" Target="https://ec.europa.eu/eurostat/databrowser/view/DS-056120__custom_6262207/default/table" TargetMode="External"/><Relationship Id="rId446" Type="http://schemas.openxmlformats.org/officeDocument/2006/relationships/hyperlink" Target="https://ec.europa.eu/eurostat/databrowser/view/DS-056120__custom_6262207/default/table" TargetMode="External"/><Relationship Id="rId250" Type="http://schemas.openxmlformats.org/officeDocument/2006/relationships/hyperlink" Target="https://ec.europa.eu/eurostat/databrowser/view/DS-056120__custom_6262207/default/table" TargetMode="External"/><Relationship Id="rId292" Type="http://schemas.openxmlformats.org/officeDocument/2006/relationships/hyperlink" Target="https://ec.europa.eu/eurostat/databrowser/view/DS-056120__custom_6262207/default/table" TargetMode="External"/><Relationship Id="rId306" Type="http://schemas.openxmlformats.org/officeDocument/2006/relationships/hyperlink" Target="https://ec.europa.eu/eurostat/databrowser/view/DS-056120__custom_6262207/default/table" TargetMode="External"/><Relationship Id="rId488" Type="http://schemas.openxmlformats.org/officeDocument/2006/relationships/hyperlink" Target="https://ec.europa.eu/eurostat/databrowser/view/DS-056120__custom_6262207/default/table" TargetMode="External"/><Relationship Id="rId45" Type="http://schemas.openxmlformats.org/officeDocument/2006/relationships/hyperlink" Target="https://ec.europa.eu/eurostat/databrowser/view/DS-056120__custom_6262207/default/table" TargetMode="External"/><Relationship Id="rId87" Type="http://schemas.openxmlformats.org/officeDocument/2006/relationships/hyperlink" Target="https://ec.europa.eu/eurostat/databrowser/view/DS-056120__custom_6262207/default/table" TargetMode="External"/><Relationship Id="rId110" Type="http://schemas.openxmlformats.org/officeDocument/2006/relationships/hyperlink" Target="https://ec.europa.eu/eurostat/databrowser/view/DS-056120__custom_6262207/default/table" TargetMode="External"/><Relationship Id="rId348" Type="http://schemas.openxmlformats.org/officeDocument/2006/relationships/hyperlink" Target="https://ec.europa.eu/eurostat/databrowser/view/DS-056120__custom_6262207/default/table" TargetMode="External"/><Relationship Id="rId152" Type="http://schemas.openxmlformats.org/officeDocument/2006/relationships/hyperlink" Target="https://ec.europa.eu/eurostat/databrowser/view/DS-056120__custom_6262207/default/table" TargetMode="External"/><Relationship Id="rId194" Type="http://schemas.openxmlformats.org/officeDocument/2006/relationships/hyperlink" Target="https://ec.europa.eu/eurostat/databrowser/view/DS-056120__custom_6262207/default/table" TargetMode="External"/><Relationship Id="rId208" Type="http://schemas.openxmlformats.org/officeDocument/2006/relationships/hyperlink" Target="https://ec.europa.eu/eurostat/databrowser/view/DS-056120__custom_6262207/default/table" TargetMode="External"/><Relationship Id="rId415" Type="http://schemas.openxmlformats.org/officeDocument/2006/relationships/hyperlink" Target="https://ec.europa.eu/eurostat/databrowser/view/DS-056120__custom_6262207/default/table" TargetMode="External"/><Relationship Id="rId457" Type="http://schemas.openxmlformats.org/officeDocument/2006/relationships/hyperlink" Target="https://ec.europa.eu/eurostat/databrowser/view/DS-056120__custom_6262207/default/table" TargetMode="External"/><Relationship Id="rId261" Type="http://schemas.openxmlformats.org/officeDocument/2006/relationships/hyperlink" Target="https://ec.europa.eu/eurostat/databrowser/view/DS-056120__custom_6262207/default/table" TargetMode="External"/><Relationship Id="rId14" Type="http://schemas.openxmlformats.org/officeDocument/2006/relationships/hyperlink" Target="https://ec.europa.eu/eurostat/databrowser/view/DS-056120__custom_6262207/default/table" TargetMode="External"/><Relationship Id="rId56" Type="http://schemas.openxmlformats.org/officeDocument/2006/relationships/hyperlink" Target="https://ec.europa.eu/eurostat/databrowser/view/DS-056120__custom_6262207/default/table" TargetMode="External"/><Relationship Id="rId317" Type="http://schemas.openxmlformats.org/officeDocument/2006/relationships/hyperlink" Target="https://ec.europa.eu/eurostat/databrowser/view/DS-056120__custom_6262207/default/table" TargetMode="External"/><Relationship Id="rId359" Type="http://schemas.openxmlformats.org/officeDocument/2006/relationships/hyperlink" Target="https://ec.europa.eu/eurostat/databrowser/view/DS-056120__custom_6262207/default/table" TargetMode="External"/><Relationship Id="rId98" Type="http://schemas.openxmlformats.org/officeDocument/2006/relationships/hyperlink" Target="https://ec.europa.eu/eurostat/databrowser/view/DS-056120__custom_6262207/default/table" TargetMode="External"/><Relationship Id="rId121" Type="http://schemas.openxmlformats.org/officeDocument/2006/relationships/hyperlink" Target="https://ec.europa.eu/eurostat/databrowser/view/DS-056120__custom_6262207/default/table" TargetMode="External"/><Relationship Id="rId163" Type="http://schemas.openxmlformats.org/officeDocument/2006/relationships/hyperlink" Target="https://ec.europa.eu/eurostat/databrowser/view/DS-056120__custom_6262207/default/table" TargetMode="External"/><Relationship Id="rId219" Type="http://schemas.openxmlformats.org/officeDocument/2006/relationships/hyperlink" Target="https://ec.europa.eu/eurostat/databrowser/view/DS-056120__custom_6262207/default/table" TargetMode="External"/><Relationship Id="rId370" Type="http://schemas.openxmlformats.org/officeDocument/2006/relationships/hyperlink" Target="https://ec.europa.eu/eurostat/databrowser/view/DS-056120__custom_6262207/default/table" TargetMode="External"/><Relationship Id="rId426" Type="http://schemas.openxmlformats.org/officeDocument/2006/relationships/hyperlink" Target="https://ec.europa.eu/eurostat/databrowser/view/DS-056120__custom_6262207/default/table" TargetMode="External"/><Relationship Id="rId230" Type="http://schemas.openxmlformats.org/officeDocument/2006/relationships/hyperlink" Target="https://ec.europa.eu/eurostat/databrowser/view/DS-056120__custom_6262207/default/table" TargetMode="External"/><Relationship Id="rId468" Type="http://schemas.openxmlformats.org/officeDocument/2006/relationships/hyperlink" Target="https://ec.europa.eu/eurostat/databrowser/view/DS-056120__custom_6262207/default/table" TargetMode="External"/><Relationship Id="rId25" Type="http://schemas.openxmlformats.org/officeDocument/2006/relationships/hyperlink" Target="https://ec.europa.eu/eurostat/databrowser/view/DS-056120__custom_6262207/default/table" TargetMode="External"/><Relationship Id="rId67" Type="http://schemas.openxmlformats.org/officeDocument/2006/relationships/hyperlink" Target="https://ec.europa.eu/eurostat/databrowser/view/DS-056120__custom_6262207/default/table" TargetMode="External"/><Relationship Id="rId272" Type="http://schemas.openxmlformats.org/officeDocument/2006/relationships/hyperlink" Target="https://ec.europa.eu/eurostat/databrowser/view/DS-056120__custom_6262207/default/table" TargetMode="External"/><Relationship Id="rId328" Type="http://schemas.openxmlformats.org/officeDocument/2006/relationships/hyperlink" Target="https://ec.europa.eu/eurostat/databrowser/view/DS-056120__custom_6262207/default/table" TargetMode="External"/><Relationship Id="rId132" Type="http://schemas.openxmlformats.org/officeDocument/2006/relationships/hyperlink" Target="https://ec.europa.eu/eurostat/databrowser/view/DS-056120__custom_6262207/default/table" TargetMode="External"/><Relationship Id="rId174" Type="http://schemas.openxmlformats.org/officeDocument/2006/relationships/hyperlink" Target="https://ec.europa.eu/eurostat/databrowser/view/DS-056120__custom_6262207/default/table" TargetMode="External"/><Relationship Id="rId381" Type="http://schemas.openxmlformats.org/officeDocument/2006/relationships/hyperlink" Target="https://ec.europa.eu/eurostat/databrowser/view/DS-056120__custom_6262207/default/table" TargetMode="External"/><Relationship Id="rId241" Type="http://schemas.openxmlformats.org/officeDocument/2006/relationships/hyperlink" Target="https://ec.europa.eu/eurostat/databrowser/view/DS-056120__custom_6262207/default/table" TargetMode="External"/><Relationship Id="rId437" Type="http://schemas.openxmlformats.org/officeDocument/2006/relationships/hyperlink" Target="https://ec.europa.eu/eurostat/databrowser/view/DS-056120__custom_6262207/default/table" TargetMode="External"/><Relationship Id="rId479" Type="http://schemas.openxmlformats.org/officeDocument/2006/relationships/hyperlink" Target="https://ec.europa.eu/eurostat/databrowser/view/DS-056120__custom_6262207/default/table" TargetMode="External"/><Relationship Id="rId36" Type="http://schemas.openxmlformats.org/officeDocument/2006/relationships/hyperlink" Target="https://ec.europa.eu/eurostat/databrowser/view/DS-056120__custom_6262207/default/table" TargetMode="External"/><Relationship Id="rId283" Type="http://schemas.openxmlformats.org/officeDocument/2006/relationships/hyperlink" Target="https://ec.europa.eu/eurostat/databrowser/view/DS-056120__custom_6262207/default/table" TargetMode="External"/><Relationship Id="rId339" Type="http://schemas.openxmlformats.org/officeDocument/2006/relationships/hyperlink" Target="https://ec.europa.eu/eurostat/databrowser/view/DS-056120__custom_6262207/default/table" TargetMode="External"/><Relationship Id="rId490" Type="http://schemas.openxmlformats.org/officeDocument/2006/relationships/hyperlink" Target="https://ec.europa.eu/eurostat/databrowser/view/DS-056120__custom_6262207/default/table" TargetMode="External"/><Relationship Id="rId78" Type="http://schemas.openxmlformats.org/officeDocument/2006/relationships/hyperlink" Target="https://ec.europa.eu/eurostat/databrowser/view/DS-056120__custom_6262207/default/table" TargetMode="External"/><Relationship Id="rId101" Type="http://schemas.openxmlformats.org/officeDocument/2006/relationships/hyperlink" Target="https://ec.europa.eu/eurostat/databrowser/view/DS-056120__custom_6262207/default/table" TargetMode="External"/><Relationship Id="rId143" Type="http://schemas.openxmlformats.org/officeDocument/2006/relationships/hyperlink" Target="https://ec.europa.eu/eurostat/databrowser/view/DS-056120__custom_6262207/default/table" TargetMode="External"/><Relationship Id="rId185" Type="http://schemas.openxmlformats.org/officeDocument/2006/relationships/hyperlink" Target="https://ec.europa.eu/eurostat/databrowser/view/DS-056120__custom_6262207/default/table" TargetMode="External"/><Relationship Id="rId350" Type="http://schemas.openxmlformats.org/officeDocument/2006/relationships/hyperlink" Target="https://ec.europa.eu/eurostat/databrowser/view/DS-056120__custom_6262207/default/table" TargetMode="External"/><Relationship Id="rId406" Type="http://schemas.openxmlformats.org/officeDocument/2006/relationships/hyperlink" Target="https://ec.europa.eu/eurostat/databrowser/view/DS-056120__custom_6262207/default/table" TargetMode="External"/><Relationship Id="rId9" Type="http://schemas.openxmlformats.org/officeDocument/2006/relationships/hyperlink" Target="https://ec.europa.eu/eurostat/databrowser/view/DS-056120__custom_6262207/default/table" TargetMode="External"/><Relationship Id="rId210" Type="http://schemas.openxmlformats.org/officeDocument/2006/relationships/hyperlink" Target="https://ec.europa.eu/eurostat/databrowser/view/DS-056120__custom_6262207/default/table" TargetMode="External"/><Relationship Id="rId392" Type="http://schemas.openxmlformats.org/officeDocument/2006/relationships/hyperlink" Target="https://ec.europa.eu/eurostat/databrowser/view/DS-056120__custom_6262207/default/table" TargetMode="External"/><Relationship Id="rId448" Type="http://schemas.openxmlformats.org/officeDocument/2006/relationships/hyperlink" Target="https://ec.europa.eu/eurostat/databrowser/view/DS-056120__custom_6262207/default/table" TargetMode="External"/><Relationship Id="rId252" Type="http://schemas.openxmlformats.org/officeDocument/2006/relationships/hyperlink" Target="https://ec.europa.eu/eurostat/databrowser/view/DS-056120__custom_6262207/default/table" TargetMode="External"/><Relationship Id="rId294" Type="http://schemas.openxmlformats.org/officeDocument/2006/relationships/hyperlink" Target="https://ec.europa.eu/eurostat/databrowser/view/DS-056120__custom_6262207/default/table" TargetMode="External"/><Relationship Id="rId308" Type="http://schemas.openxmlformats.org/officeDocument/2006/relationships/hyperlink" Target="https://ec.europa.eu/eurostat/databrowser/view/DS-056120__custom_6262207/default/table" TargetMode="External"/><Relationship Id="rId47" Type="http://schemas.openxmlformats.org/officeDocument/2006/relationships/hyperlink" Target="https://ec.europa.eu/eurostat/databrowser/view/DS-056120__custom_6262207/default/table" TargetMode="External"/><Relationship Id="rId89" Type="http://schemas.openxmlformats.org/officeDocument/2006/relationships/hyperlink" Target="https://ec.europa.eu/eurostat/databrowser/view/DS-056120__custom_6262207/default/table" TargetMode="External"/><Relationship Id="rId112" Type="http://schemas.openxmlformats.org/officeDocument/2006/relationships/hyperlink" Target="https://ec.europa.eu/eurostat/databrowser/view/DS-056120__custom_6262207/default/table" TargetMode="External"/><Relationship Id="rId154" Type="http://schemas.openxmlformats.org/officeDocument/2006/relationships/hyperlink" Target="https://ec.europa.eu/eurostat/databrowser/view/DS-056120__custom_6262207/default/table" TargetMode="External"/><Relationship Id="rId361" Type="http://schemas.openxmlformats.org/officeDocument/2006/relationships/hyperlink" Target="https://ec.europa.eu/eurostat/databrowser/view/DS-056120__custom_6262207/default/table" TargetMode="External"/><Relationship Id="rId196" Type="http://schemas.openxmlformats.org/officeDocument/2006/relationships/hyperlink" Target="https://ec.europa.eu/eurostat/databrowser/view/DS-056120__custom_6262207/default/table" TargetMode="External"/><Relationship Id="rId417" Type="http://schemas.openxmlformats.org/officeDocument/2006/relationships/hyperlink" Target="https://ec.europa.eu/eurostat/databrowser/view/DS-056120__custom_6262207/default/table" TargetMode="External"/><Relationship Id="rId459" Type="http://schemas.openxmlformats.org/officeDocument/2006/relationships/hyperlink" Target="https://ec.europa.eu/eurostat/databrowser/view/DS-056120__custom_6262207/default/table" TargetMode="External"/><Relationship Id="rId16" Type="http://schemas.openxmlformats.org/officeDocument/2006/relationships/hyperlink" Target="https://ec.europa.eu/eurostat/databrowser/view/DS-056120__custom_6262207/default/table" TargetMode="External"/><Relationship Id="rId221" Type="http://schemas.openxmlformats.org/officeDocument/2006/relationships/hyperlink" Target="https://ec.europa.eu/eurostat/databrowser/view/DS-056120__custom_6262207/default/table" TargetMode="External"/><Relationship Id="rId263" Type="http://schemas.openxmlformats.org/officeDocument/2006/relationships/hyperlink" Target="https://ec.europa.eu/eurostat/databrowser/view/DS-056120__custom_6262207/default/table" TargetMode="External"/><Relationship Id="rId319" Type="http://schemas.openxmlformats.org/officeDocument/2006/relationships/hyperlink" Target="https://ec.europa.eu/eurostat/databrowser/view/DS-056120__custom_6262207/default/table" TargetMode="External"/><Relationship Id="rId470" Type="http://schemas.openxmlformats.org/officeDocument/2006/relationships/hyperlink" Target="https://ec.europa.eu/eurostat/databrowser/view/DS-056120__custom_6262207/default/table" TargetMode="External"/><Relationship Id="rId58" Type="http://schemas.openxmlformats.org/officeDocument/2006/relationships/hyperlink" Target="https://ec.europa.eu/eurostat/databrowser/view/DS-056120__custom_6262207/default/table" TargetMode="External"/><Relationship Id="rId123" Type="http://schemas.openxmlformats.org/officeDocument/2006/relationships/hyperlink" Target="https://ec.europa.eu/eurostat/databrowser/view/DS-056120__custom_6262207/default/table" TargetMode="External"/><Relationship Id="rId330" Type="http://schemas.openxmlformats.org/officeDocument/2006/relationships/hyperlink" Target="https://ec.europa.eu/eurostat/databrowser/view/DS-056120__custom_6262207/default/table" TargetMode="External"/><Relationship Id="rId165" Type="http://schemas.openxmlformats.org/officeDocument/2006/relationships/hyperlink" Target="https://ec.europa.eu/eurostat/databrowser/view/DS-056120__custom_6262207/default/table" TargetMode="External"/><Relationship Id="rId372" Type="http://schemas.openxmlformats.org/officeDocument/2006/relationships/hyperlink" Target="https://ec.europa.eu/eurostat/databrowser/view/DS-056120__custom_6262207/default/table" TargetMode="External"/><Relationship Id="rId428" Type="http://schemas.openxmlformats.org/officeDocument/2006/relationships/hyperlink" Target="https://ec.europa.eu/eurostat/databrowser/view/DS-056120__custom_6262207/default/table" TargetMode="External"/><Relationship Id="rId232" Type="http://schemas.openxmlformats.org/officeDocument/2006/relationships/hyperlink" Target="https://ec.europa.eu/eurostat/databrowser/view/DS-056120__custom_6262207/default/table" TargetMode="External"/><Relationship Id="rId274" Type="http://schemas.openxmlformats.org/officeDocument/2006/relationships/hyperlink" Target="https://ec.europa.eu/eurostat/databrowser/view/DS-056120__custom_6262207/default/table" TargetMode="External"/><Relationship Id="rId481" Type="http://schemas.openxmlformats.org/officeDocument/2006/relationships/hyperlink" Target="https://ec.europa.eu/eurostat/databrowser/view/DS-056120__custom_6262207/default/table" TargetMode="External"/><Relationship Id="rId27" Type="http://schemas.openxmlformats.org/officeDocument/2006/relationships/hyperlink" Target="https://ec.europa.eu/eurostat/databrowser/view/DS-056120__custom_6262207/default/table" TargetMode="External"/><Relationship Id="rId69" Type="http://schemas.openxmlformats.org/officeDocument/2006/relationships/hyperlink" Target="https://ec.europa.eu/eurostat/databrowser/view/DS-056120__custom_6262207/default/table" TargetMode="External"/><Relationship Id="rId134" Type="http://schemas.openxmlformats.org/officeDocument/2006/relationships/hyperlink" Target="https://ec.europa.eu/eurostat/databrowser/view/DS-056120__custom_6262207/default/table" TargetMode="External"/><Relationship Id="rId80" Type="http://schemas.openxmlformats.org/officeDocument/2006/relationships/hyperlink" Target="https://ec.europa.eu/eurostat/databrowser/view/DS-056120__custom_6262207/default/table" TargetMode="External"/><Relationship Id="rId176" Type="http://schemas.openxmlformats.org/officeDocument/2006/relationships/hyperlink" Target="https://ec.europa.eu/eurostat/databrowser/view/DS-056120__custom_6262207/default/table" TargetMode="External"/><Relationship Id="rId341" Type="http://schemas.openxmlformats.org/officeDocument/2006/relationships/hyperlink" Target="https://ec.europa.eu/eurostat/databrowser/view/DS-056120__custom_6262207/default/table" TargetMode="External"/><Relationship Id="rId383" Type="http://schemas.openxmlformats.org/officeDocument/2006/relationships/hyperlink" Target="https://ec.europa.eu/eurostat/databrowser/view/DS-056120__custom_6262207/default/table" TargetMode="External"/><Relationship Id="rId439" Type="http://schemas.openxmlformats.org/officeDocument/2006/relationships/hyperlink" Target="https://ec.europa.eu/eurostat/databrowser/view/DS-056120__custom_6262207/default/table" TargetMode="External"/><Relationship Id="rId201" Type="http://schemas.openxmlformats.org/officeDocument/2006/relationships/hyperlink" Target="https://ec.europa.eu/eurostat/databrowser/view/DS-056120__custom_6262207/default/table" TargetMode="External"/><Relationship Id="rId243" Type="http://schemas.openxmlformats.org/officeDocument/2006/relationships/hyperlink" Target="https://ec.europa.eu/eurostat/databrowser/view/DS-056120__custom_6262207/default/table" TargetMode="External"/><Relationship Id="rId285" Type="http://schemas.openxmlformats.org/officeDocument/2006/relationships/hyperlink" Target="https://ec.europa.eu/eurostat/databrowser/view/DS-056120__custom_6262207/default/table" TargetMode="External"/><Relationship Id="rId450" Type="http://schemas.openxmlformats.org/officeDocument/2006/relationships/hyperlink" Target="https://ec.europa.eu/eurostat/databrowser/view/DS-056120__custom_6262207/default/table" TargetMode="External"/><Relationship Id="rId38" Type="http://schemas.openxmlformats.org/officeDocument/2006/relationships/hyperlink" Target="https://ec.europa.eu/eurostat/databrowser/view/DS-056120__custom_6262207/default/table" TargetMode="External"/><Relationship Id="rId103" Type="http://schemas.openxmlformats.org/officeDocument/2006/relationships/hyperlink" Target="https://ec.europa.eu/eurostat/databrowser/view/DS-056120__custom_6262207/default/table" TargetMode="External"/><Relationship Id="rId310" Type="http://schemas.openxmlformats.org/officeDocument/2006/relationships/hyperlink" Target="https://ec.europa.eu/eurostat/databrowser/view/DS-056120__custom_6262207/default/table" TargetMode="External"/><Relationship Id="rId492" Type="http://schemas.openxmlformats.org/officeDocument/2006/relationships/hyperlink" Target="https://ec.europa.eu/eurostat/databrowser/view/DS-056120__custom_6262207/default/table" TargetMode="External"/><Relationship Id="rId91" Type="http://schemas.openxmlformats.org/officeDocument/2006/relationships/hyperlink" Target="https://ec.europa.eu/eurostat/databrowser/view/DS-056120__custom_6262207/default/table" TargetMode="External"/><Relationship Id="rId145" Type="http://schemas.openxmlformats.org/officeDocument/2006/relationships/hyperlink" Target="https://ec.europa.eu/eurostat/databrowser/view/DS-056120__custom_6262207/default/table" TargetMode="External"/><Relationship Id="rId187" Type="http://schemas.openxmlformats.org/officeDocument/2006/relationships/hyperlink" Target="https://ec.europa.eu/eurostat/databrowser/view/DS-056120__custom_6262207/default/table" TargetMode="External"/><Relationship Id="rId352" Type="http://schemas.openxmlformats.org/officeDocument/2006/relationships/hyperlink" Target="https://ec.europa.eu/eurostat/databrowser/view/DS-056120__custom_6262207/default/table" TargetMode="External"/><Relationship Id="rId394" Type="http://schemas.openxmlformats.org/officeDocument/2006/relationships/hyperlink" Target="https://ec.europa.eu/eurostat/databrowser/view/DS-056120__custom_6262207/default/table" TargetMode="External"/><Relationship Id="rId408" Type="http://schemas.openxmlformats.org/officeDocument/2006/relationships/hyperlink" Target="https://ec.europa.eu/eurostat/databrowser/view/DS-056120__custom_6262207/default/table" TargetMode="External"/><Relationship Id="rId212" Type="http://schemas.openxmlformats.org/officeDocument/2006/relationships/hyperlink" Target="https://ec.europa.eu/eurostat/databrowser/view/DS-056120__custom_6262207/default/table" TargetMode="External"/><Relationship Id="rId254" Type="http://schemas.openxmlformats.org/officeDocument/2006/relationships/hyperlink" Target="https://ec.europa.eu/eurostat/databrowser/view/DS-056120__custom_6262207/default/table" TargetMode="External"/><Relationship Id="rId49" Type="http://schemas.openxmlformats.org/officeDocument/2006/relationships/hyperlink" Target="https://ec.europa.eu/eurostat/databrowser/view/DS-056120__custom_6262207/default/table" TargetMode="External"/><Relationship Id="rId114" Type="http://schemas.openxmlformats.org/officeDocument/2006/relationships/hyperlink" Target="https://ec.europa.eu/eurostat/databrowser/view/DS-056120__custom_6262207/default/table" TargetMode="External"/><Relationship Id="rId296" Type="http://schemas.openxmlformats.org/officeDocument/2006/relationships/hyperlink" Target="https://ec.europa.eu/eurostat/databrowser/view/DS-056120__custom_6262207/default/table" TargetMode="External"/><Relationship Id="rId461" Type="http://schemas.openxmlformats.org/officeDocument/2006/relationships/hyperlink" Target="https://ec.europa.eu/eurostat/databrowser/view/DS-056120__custom_6262207/default/table" TargetMode="External"/><Relationship Id="rId60" Type="http://schemas.openxmlformats.org/officeDocument/2006/relationships/hyperlink" Target="https://ec.europa.eu/eurostat/databrowser/view/DS-056120__custom_6262207/default/table" TargetMode="External"/><Relationship Id="rId156" Type="http://schemas.openxmlformats.org/officeDocument/2006/relationships/hyperlink" Target="https://ec.europa.eu/eurostat/databrowser/view/DS-056120__custom_6262207/default/table" TargetMode="External"/><Relationship Id="rId198" Type="http://schemas.openxmlformats.org/officeDocument/2006/relationships/hyperlink" Target="https://ec.europa.eu/eurostat/databrowser/view/DS-056120__custom_6262207/default/table" TargetMode="External"/><Relationship Id="rId321" Type="http://schemas.openxmlformats.org/officeDocument/2006/relationships/hyperlink" Target="https://ec.europa.eu/eurostat/databrowser/view/DS-056120__custom_6262207/default/table" TargetMode="External"/><Relationship Id="rId363" Type="http://schemas.openxmlformats.org/officeDocument/2006/relationships/hyperlink" Target="https://ec.europa.eu/eurostat/databrowser/view/DS-056120__custom_6262207/default/table" TargetMode="External"/><Relationship Id="rId419" Type="http://schemas.openxmlformats.org/officeDocument/2006/relationships/hyperlink" Target="https://ec.europa.eu/eurostat/databrowser/view/DS-056120__custom_6262207/default/table" TargetMode="External"/><Relationship Id="rId223" Type="http://schemas.openxmlformats.org/officeDocument/2006/relationships/hyperlink" Target="https://ec.europa.eu/eurostat/databrowser/view/DS-056120__custom_6262207/default/table" TargetMode="External"/><Relationship Id="rId430" Type="http://schemas.openxmlformats.org/officeDocument/2006/relationships/hyperlink" Target="https://ec.europa.eu/eurostat/databrowser/view/DS-056120__custom_6262207/default/table" TargetMode="External"/><Relationship Id="rId18" Type="http://schemas.openxmlformats.org/officeDocument/2006/relationships/hyperlink" Target="https://ec.europa.eu/eurostat/databrowser/view/DS-056120__custom_6262207/default/table" TargetMode="External"/><Relationship Id="rId265" Type="http://schemas.openxmlformats.org/officeDocument/2006/relationships/hyperlink" Target="https://ec.europa.eu/eurostat/databrowser/view/DS-056120__custom_6262207/default/table" TargetMode="External"/><Relationship Id="rId472" Type="http://schemas.openxmlformats.org/officeDocument/2006/relationships/hyperlink" Target="https://ec.europa.eu/eurostat/databrowser/view/DS-056120__custom_6262207/default/table" TargetMode="External"/><Relationship Id="rId125" Type="http://schemas.openxmlformats.org/officeDocument/2006/relationships/hyperlink" Target="https://ec.europa.eu/eurostat/databrowser/view/DS-056120__custom_6262207/default/table" TargetMode="External"/><Relationship Id="rId167" Type="http://schemas.openxmlformats.org/officeDocument/2006/relationships/hyperlink" Target="https://ec.europa.eu/eurostat/databrowser/view/DS-056120__custom_6262207/default/table" TargetMode="External"/><Relationship Id="rId332" Type="http://schemas.openxmlformats.org/officeDocument/2006/relationships/hyperlink" Target="https://ec.europa.eu/eurostat/databrowser/view/DS-056120__custom_6262207/default/table" TargetMode="External"/><Relationship Id="rId374" Type="http://schemas.openxmlformats.org/officeDocument/2006/relationships/hyperlink" Target="https://ec.europa.eu/eurostat/databrowser/view/DS-056120__custom_6262207/default/table" TargetMode="External"/><Relationship Id="rId71" Type="http://schemas.openxmlformats.org/officeDocument/2006/relationships/hyperlink" Target="https://ec.europa.eu/eurostat/databrowser/view/DS-056120__custom_6262207/default/table" TargetMode="External"/><Relationship Id="rId234" Type="http://schemas.openxmlformats.org/officeDocument/2006/relationships/hyperlink" Target="https://ec.europa.eu/eurostat/databrowser/view/DS-056120__custom_6262207/default/table" TargetMode="External"/><Relationship Id="rId2" Type="http://schemas.openxmlformats.org/officeDocument/2006/relationships/hyperlink" Target="https://ec.europa.eu/eurostat/databrowser/view/DS-056120__custom_6262207/default/table" TargetMode="External"/><Relationship Id="rId29" Type="http://schemas.openxmlformats.org/officeDocument/2006/relationships/hyperlink" Target="https://ec.europa.eu/eurostat/databrowser/view/DS-056120__custom_6262207/default/table" TargetMode="External"/><Relationship Id="rId276" Type="http://schemas.openxmlformats.org/officeDocument/2006/relationships/hyperlink" Target="https://ec.europa.eu/eurostat/databrowser/view/DS-056120__custom_6262207/default/table" TargetMode="External"/><Relationship Id="rId441" Type="http://schemas.openxmlformats.org/officeDocument/2006/relationships/hyperlink" Target="https://ec.europa.eu/eurostat/databrowser/view/DS-056120__custom_6262207/default/table" TargetMode="External"/><Relationship Id="rId483" Type="http://schemas.openxmlformats.org/officeDocument/2006/relationships/hyperlink" Target="https://ec.europa.eu/eurostat/databrowser/view/DS-056120__custom_6262207/default/table" TargetMode="External"/><Relationship Id="rId40" Type="http://schemas.openxmlformats.org/officeDocument/2006/relationships/hyperlink" Target="https://ec.europa.eu/eurostat/databrowser/view/DS-056120__custom_6262207/default/table" TargetMode="External"/><Relationship Id="rId136" Type="http://schemas.openxmlformats.org/officeDocument/2006/relationships/hyperlink" Target="https://ec.europa.eu/eurostat/databrowser/view/DS-056120__custom_6262207/default/table" TargetMode="External"/><Relationship Id="rId178" Type="http://schemas.openxmlformats.org/officeDocument/2006/relationships/hyperlink" Target="https://ec.europa.eu/eurostat/databrowser/view/DS-056120__custom_6262207/default/table" TargetMode="External"/><Relationship Id="rId301" Type="http://schemas.openxmlformats.org/officeDocument/2006/relationships/hyperlink" Target="https://ec.europa.eu/eurostat/databrowser/view/DS-056120__custom_6262207/default/table" TargetMode="External"/><Relationship Id="rId343" Type="http://schemas.openxmlformats.org/officeDocument/2006/relationships/hyperlink" Target="https://ec.europa.eu/eurostat/databrowser/view/DS-056120__custom_6262207/default/table" TargetMode="External"/><Relationship Id="rId82" Type="http://schemas.openxmlformats.org/officeDocument/2006/relationships/hyperlink" Target="https://ec.europa.eu/eurostat/databrowser/view/DS-056120__custom_6262207/default/table" TargetMode="External"/><Relationship Id="rId203" Type="http://schemas.openxmlformats.org/officeDocument/2006/relationships/hyperlink" Target="https://ec.europa.eu/eurostat/databrowser/view/DS-056120__custom_6262207/default/table" TargetMode="External"/><Relationship Id="rId385" Type="http://schemas.openxmlformats.org/officeDocument/2006/relationships/hyperlink" Target="https://ec.europa.eu/eurostat/databrowser/view/DS-056120__custom_6262207/default/table" TargetMode="External"/><Relationship Id="rId245" Type="http://schemas.openxmlformats.org/officeDocument/2006/relationships/hyperlink" Target="https://ec.europa.eu/eurostat/databrowser/view/DS-056120__custom_6262207/default/table" TargetMode="External"/><Relationship Id="rId287" Type="http://schemas.openxmlformats.org/officeDocument/2006/relationships/hyperlink" Target="https://ec.europa.eu/eurostat/databrowser/view/DS-056120__custom_6262207/default/table" TargetMode="External"/><Relationship Id="rId410" Type="http://schemas.openxmlformats.org/officeDocument/2006/relationships/hyperlink" Target="https://ec.europa.eu/eurostat/databrowser/view/DS-056120__custom_6262207/default/table" TargetMode="External"/><Relationship Id="rId452" Type="http://schemas.openxmlformats.org/officeDocument/2006/relationships/hyperlink" Target="https://ec.europa.eu/eurostat/databrowser/view/DS-056120__custom_6262207/default/table" TargetMode="External"/><Relationship Id="rId494" Type="http://schemas.openxmlformats.org/officeDocument/2006/relationships/hyperlink" Target="https://ec.europa.eu/eurostat/databrowser/view/DS-056120__custom_6262207/default/table" TargetMode="External"/><Relationship Id="rId105" Type="http://schemas.openxmlformats.org/officeDocument/2006/relationships/hyperlink" Target="https://ec.europa.eu/eurostat/databrowser/view/DS-056120__custom_6262207/default/table" TargetMode="External"/><Relationship Id="rId147" Type="http://schemas.openxmlformats.org/officeDocument/2006/relationships/hyperlink" Target="https://ec.europa.eu/eurostat/databrowser/view/DS-056120__custom_6262207/default/table" TargetMode="External"/><Relationship Id="rId312" Type="http://schemas.openxmlformats.org/officeDocument/2006/relationships/hyperlink" Target="https://ec.europa.eu/eurostat/databrowser/view/DS-056120__custom_6262207/default/table" TargetMode="External"/><Relationship Id="rId354" Type="http://schemas.openxmlformats.org/officeDocument/2006/relationships/hyperlink" Target="https://ec.europa.eu/eurostat/databrowser/view/DS-056120__custom_6262207/default/table" TargetMode="External"/><Relationship Id="rId51" Type="http://schemas.openxmlformats.org/officeDocument/2006/relationships/hyperlink" Target="https://ec.europa.eu/eurostat/databrowser/view/DS-056120__custom_6262207/default/table" TargetMode="External"/><Relationship Id="rId93" Type="http://schemas.openxmlformats.org/officeDocument/2006/relationships/hyperlink" Target="https://ec.europa.eu/eurostat/databrowser/view/DS-056120__custom_6262207/default/table" TargetMode="External"/><Relationship Id="rId189" Type="http://schemas.openxmlformats.org/officeDocument/2006/relationships/hyperlink" Target="https://ec.europa.eu/eurostat/databrowser/view/DS-056120__custom_6262207/default/table" TargetMode="External"/><Relationship Id="rId396" Type="http://schemas.openxmlformats.org/officeDocument/2006/relationships/hyperlink" Target="https://ec.europa.eu/eurostat/databrowser/view/DS-056120__custom_6262207/default/table" TargetMode="External"/><Relationship Id="rId214" Type="http://schemas.openxmlformats.org/officeDocument/2006/relationships/hyperlink" Target="https://ec.europa.eu/eurostat/databrowser/view/DS-056120__custom_6262207/default/table" TargetMode="External"/><Relationship Id="rId256" Type="http://schemas.openxmlformats.org/officeDocument/2006/relationships/hyperlink" Target="https://ec.europa.eu/eurostat/databrowser/view/DS-056120__custom_6262207/default/table" TargetMode="External"/><Relationship Id="rId298" Type="http://schemas.openxmlformats.org/officeDocument/2006/relationships/hyperlink" Target="https://ec.europa.eu/eurostat/databrowser/view/DS-056120__custom_6262207/default/table" TargetMode="External"/><Relationship Id="rId421" Type="http://schemas.openxmlformats.org/officeDocument/2006/relationships/hyperlink" Target="https://ec.europa.eu/eurostat/databrowser/view/DS-056120__custom_6262207/default/table" TargetMode="External"/><Relationship Id="rId463" Type="http://schemas.openxmlformats.org/officeDocument/2006/relationships/hyperlink" Target="https://ec.europa.eu/eurostat/databrowser/view/DS-056120__custom_6262207/default/table" TargetMode="External"/><Relationship Id="rId116" Type="http://schemas.openxmlformats.org/officeDocument/2006/relationships/hyperlink" Target="https://ec.europa.eu/eurostat/databrowser/view/DS-056120__custom_6262207/default/table" TargetMode="External"/><Relationship Id="rId158" Type="http://schemas.openxmlformats.org/officeDocument/2006/relationships/hyperlink" Target="https://ec.europa.eu/eurostat/databrowser/view/DS-056120__custom_6262207/default/table" TargetMode="External"/><Relationship Id="rId323" Type="http://schemas.openxmlformats.org/officeDocument/2006/relationships/hyperlink" Target="https://ec.europa.eu/eurostat/databrowser/view/DS-056120__custom_6262207/default/table" TargetMode="External"/><Relationship Id="rId20" Type="http://schemas.openxmlformats.org/officeDocument/2006/relationships/hyperlink" Target="https://ec.europa.eu/eurostat/databrowser/view/DS-056120__custom_6262207/default/table" TargetMode="External"/><Relationship Id="rId62" Type="http://schemas.openxmlformats.org/officeDocument/2006/relationships/hyperlink" Target="https://ec.europa.eu/eurostat/databrowser/view/DS-056120__custom_6262207/default/table" TargetMode="External"/><Relationship Id="rId365" Type="http://schemas.openxmlformats.org/officeDocument/2006/relationships/hyperlink" Target="https://ec.europa.eu/eurostat/databrowser/view/DS-056120__custom_6262207/default/table" TargetMode="External"/><Relationship Id="rId225" Type="http://schemas.openxmlformats.org/officeDocument/2006/relationships/hyperlink" Target="https://ec.europa.eu/eurostat/databrowser/view/DS-056120__custom_6262207/default/table" TargetMode="External"/><Relationship Id="rId267" Type="http://schemas.openxmlformats.org/officeDocument/2006/relationships/hyperlink" Target="https://ec.europa.eu/eurostat/databrowser/view/DS-056120__custom_6262207/default/table" TargetMode="External"/><Relationship Id="rId432" Type="http://schemas.openxmlformats.org/officeDocument/2006/relationships/hyperlink" Target="https://ec.europa.eu/eurostat/databrowser/view/DS-056120__custom_6262207/default/table" TargetMode="External"/><Relationship Id="rId474" Type="http://schemas.openxmlformats.org/officeDocument/2006/relationships/hyperlink" Target="https://ec.europa.eu/eurostat/databrowser/view/DS-056120__custom_6262207/default/table" TargetMode="External"/><Relationship Id="rId106" Type="http://schemas.openxmlformats.org/officeDocument/2006/relationships/hyperlink" Target="https://ec.europa.eu/eurostat/databrowser/view/DS-056120__custom_6262207/default/table" TargetMode="External"/><Relationship Id="rId127" Type="http://schemas.openxmlformats.org/officeDocument/2006/relationships/hyperlink" Target="https://ec.europa.eu/eurostat/databrowser/view/DS-056120__custom_6262207/default/table" TargetMode="External"/><Relationship Id="rId313" Type="http://schemas.openxmlformats.org/officeDocument/2006/relationships/hyperlink" Target="https://ec.europa.eu/eurostat/databrowser/view/DS-056120__custom_6262207/default/table" TargetMode="External"/><Relationship Id="rId495" Type="http://schemas.openxmlformats.org/officeDocument/2006/relationships/hyperlink" Target="https://ec.europa.eu/eurostat/databrowser/view/DS-056120__custom_6262207/default/table" TargetMode="External"/><Relationship Id="rId10" Type="http://schemas.openxmlformats.org/officeDocument/2006/relationships/hyperlink" Target="https://ec.europa.eu/eurostat/databrowser/view/DS-056120__custom_6262207/default/table" TargetMode="External"/><Relationship Id="rId31" Type="http://schemas.openxmlformats.org/officeDocument/2006/relationships/hyperlink" Target="https://ec.europa.eu/eurostat/databrowser/view/DS-056120__custom_6262207/default/table" TargetMode="External"/><Relationship Id="rId52" Type="http://schemas.openxmlformats.org/officeDocument/2006/relationships/hyperlink" Target="https://ec.europa.eu/eurostat/databrowser/view/DS-056120__custom_6262207/default/table" TargetMode="External"/><Relationship Id="rId73" Type="http://schemas.openxmlformats.org/officeDocument/2006/relationships/hyperlink" Target="https://ec.europa.eu/eurostat/databrowser/view/DS-056120__custom_6262207/default/table" TargetMode="External"/><Relationship Id="rId94" Type="http://schemas.openxmlformats.org/officeDocument/2006/relationships/hyperlink" Target="https://ec.europa.eu/eurostat/databrowser/view/DS-056120__custom_6262207/default/table" TargetMode="External"/><Relationship Id="rId148" Type="http://schemas.openxmlformats.org/officeDocument/2006/relationships/hyperlink" Target="https://ec.europa.eu/eurostat/databrowser/view/DS-056120__custom_6262207/default/table" TargetMode="External"/><Relationship Id="rId169" Type="http://schemas.openxmlformats.org/officeDocument/2006/relationships/hyperlink" Target="https://ec.europa.eu/eurostat/databrowser/view/DS-056120__custom_6262207/default/table" TargetMode="External"/><Relationship Id="rId334" Type="http://schemas.openxmlformats.org/officeDocument/2006/relationships/hyperlink" Target="https://ec.europa.eu/eurostat/databrowser/view/DS-056120__custom_6262207/default/table" TargetMode="External"/><Relationship Id="rId355" Type="http://schemas.openxmlformats.org/officeDocument/2006/relationships/hyperlink" Target="https://ec.europa.eu/eurostat/databrowser/view/DS-056120__custom_6262207/default/table" TargetMode="External"/><Relationship Id="rId376" Type="http://schemas.openxmlformats.org/officeDocument/2006/relationships/hyperlink" Target="https://ec.europa.eu/eurostat/databrowser/view/DS-056120__custom_6262207/default/table" TargetMode="External"/><Relationship Id="rId397" Type="http://schemas.openxmlformats.org/officeDocument/2006/relationships/hyperlink" Target="https://ec.europa.eu/eurostat/databrowser/view/DS-056120__custom_6262207/default/table" TargetMode="External"/><Relationship Id="rId4" Type="http://schemas.openxmlformats.org/officeDocument/2006/relationships/hyperlink" Target="https://ec.europa.eu/eurostat/databrowser/view/DS-056120__custom_6262207/default/table" TargetMode="External"/><Relationship Id="rId180" Type="http://schemas.openxmlformats.org/officeDocument/2006/relationships/hyperlink" Target="https://ec.europa.eu/eurostat/databrowser/view/DS-056120__custom_6262207/default/table" TargetMode="External"/><Relationship Id="rId215" Type="http://schemas.openxmlformats.org/officeDocument/2006/relationships/hyperlink" Target="https://ec.europa.eu/eurostat/databrowser/view/DS-056120__custom_6262207/default/table" TargetMode="External"/><Relationship Id="rId236" Type="http://schemas.openxmlformats.org/officeDocument/2006/relationships/hyperlink" Target="https://ec.europa.eu/eurostat/databrowser/view/DS-056120__custom_6262207/default/table" TargetMode="External"/><Relationship Id="rId257" Type="http://schemas.openxmlformats.org/officeDocument/2006/relationships/hyperlink" Target="https://ec.europa.eu/eurostat/databrowser/view/DS-056120__custom_6262207/default/table" TargetMode="External"/><Relationship Id="rId278" Type="http://schemas.openxmlformats.org/officeDocument/2006/relationships/hyperlink" Target="https://ec.europa.eu/eurostat/databrowser/view/DS-056120__custom_6262207/default/table" TargetMode="External"/><Relationship Id="rId401" Type="http://schemas.openxmlformats.org/officeDocument/2006/relationships/hyperlink" Target="https://ec.europa.eu/eurostat/databrowser/view/DS-056120__custom_6262207/default/table" TargetMode="External"/><Relationship Id="rId422" Type="http://schemas.openxmlformats.org/officeDocument/2006/relationships/hyperlink" Target="https://ec.europa.eu/eurostat/databrowser/view/DS-056120__custom_6262207/default/table" TargetMode="External"/><Relationship Id="rId443" Type="http://schemas.openxmlformats.org/officeDocument/2006/relationships/hyperlink" Target="https://ec.europa.eu/eurostat/databrowser/view/DS-056120__custom_6262207/default/table" TargetMode="External"/><Relationship Id="rId464" Type="http://schemas.openxmlformats.org/officeDocument/2006/relationships/hyperlink" Target="https://ec.europa.eu/eurostat/databrowser/view/DS-056120__custom_6262207/default/table" TargetMode="External"/><Relationship Id="rId303" Type="http://schemas.openxmlformats.org/officeDocument/2006/relationships/hyperlink" Target="https://ec.europa.eu/eurostat/databrowser/view/DS-056120__custom_6262207/default/table" TargetMode="External"/><Relationship Id="rId485" Type="http://schemas.openxmlformats.org/officeDocument/2006/relationships/hyperlink" Target="https://ec.europa.eu/eurostat/databrowser/view/DS-056120__custom_6262207/default/table" TargetMode="External"/><Relationship Id="rId42" Type="http://schemas.openxmlformats.org/officeDocument/2006/relationships/hyperlink" Target="https://ec.europa.eu/eurostat/databrowser/view/DS-056120__custom_6262207/default/table" TargetMode="External"/><Relationship Id="rId84" Type="http://schemas.openxmlformats.org/officeDocument/2006/relationships/hyperlink" Target="https://ec.europa.eu/eurostat/databrowser/view/DS-056120__custom_6262207/default/table" TargetMode="External"/><Relationship Id="rId138" Type="http://schemas.openxmlformats.org/officeDocument/2006/relationships/hyperlink" Target="https://ec.europa.eu/eurostat/databrowser/view/DS-056120__custom_6262207/default/table" TargetMode="External"/><Relationship Id="rId345" Type="http://schemas.openxmlformats.org/officeDocument/2006/relationships/hyperlink" Target="https://ec.europa.eu/eurostat/databrowser/view/DS-056120__custom_6262207/default/table" TargetMode="External"/><Relationship Id="rId387" Type="http://schemas.openxmlformats.org/officeDocument/2006/relationships/hyperlink" Target="https://ec.europa.eu/eurostat/databrowser/view/DS-056120__custom_6262207/default/table" TargetMode="External"/><Relationship Id="rId191" Type="http://schemas.openxmlformats.org/officeDocument/2006/relationships/hyperlink" Target="https://ec.europa.eu/eurostat/databrowser/view/DS-056120__custom_6262207/default/table" TargetMode="External"/><Relationship Id="rId205" Type="http://schemas.openxmlformats.org/officeDocument/2006/relationships/hyperlink" Target="https://ec.europa.eu/eurostat/databrowser/view/DS-056120__custom_6262207/default/table" TargetMode="External"/><Relationship Id="rId247" Type="http://schemas.openxmlformats.org/officeDocument/2006/relationships/hyperlink" Target="https://ec.europa.eu/eurostat/databrowser/view/DS-056120__custom_6262207/default/table" TargetMode="External"/><Relationship Id="rId412" Type="http://schemas.openxmlformats.org/officeDocument/2006/relationships/hyperlink" Target="https://ec.europa.eu/eurostat/databrowser/view/DS-056120__custom_6262207/default/table" TargetMode="External"/><Relationship Id="rId107" Type="http://schemas.openxmlformats.org/officeDocument/2006/relationships/hyperlink" Target="https://ec.europa.eu/eurostat/databrowser/view/DS-056120__custom_6262207/default/table" TargetMode="External"/><Relationship Id="rId289" Type="http://schemas.openxmlformats.org/officeDocument/2006/relationships/hyperlink" Target="https://ec.europa.eu/eurostat/databrowser/view/DS-056120__custom_6262207/default/table" TargetMode="External"/><Relationship Id="rId454" Type="http://schemas.openxmlformats.org/officeDocument/2006/relationships/hyperlink" Target="https://ec.europa.eu/eurostat/databrowser/view/DS-056120__custom_6262207/default/table" TargetMode="External"/><Relationship Id="rId496" Type="http://schemas.openxmlformats.org/officeDocument/2006/relationships/printerSettings" Target="../printerSettings/printerSettings5.bin"/><Relationship Id="rId11" Type="http://schemas.openxmlformats.org/officeDocument/2006/relationships/hyperlink" Target="https://ec.europa.eu/eurostat/databrowser/view/DS-056120__custom_6262207/default/table" TargetMode="External"/><Relationship Id="rId53" Type="http://schemas.openxmlformats.org/officeDocument/2006/relationships/hyperlink" Target="https://ec.europa.eu/eurostat/databrowser/view/DS-056120__custom_6262207/default/table" TargetMode="External"/><Relationship Id="rId149" Type="http://schemas.openxmlformats.org/officeDocument/2006/relationships/hyperlink" Target="https://ec.europa.eu/eurostat/databrowser/view/DS-056120__custom_6262207/default/table" TargetMode="External"/><Relationship Id="rId314" Type="http://schemas.openxmlformats.org/officeDocument/2006/relationships/hyperlink" Target="https://ec.europa.eu/eurostat/databrowser/view/DS-056120__custom_6262207/default/table" TargetMode="External"/><Relationship Id="rId356" Type="http://schemas.openxmlformats.org/officeDocument/2006/relationships/hyperlink" Target="https://ec.europa.eu/eurostat/databrowser/view/DS-056120__custom_6262207/default/table" TargetMode="External"/><Relationship Id="rId398" Type="http://schemas.openxmlformats.org/officeDocument/2006/relationships/hyperlink" Target="https://ec.europa.eu/eurostat/databrowser/view/DS-056120__custom_6262207/default/table" TargetMode="External"/><Relationship Id="rId95" Type="http://schemas.openxmlformats.org/officeDocument/2006/relationships/hyperlink" Target="https://ec.europa.eu/eurostat/databrowser/view/DS-056120__custom_6262207/default/table" TargetMode="External"/><Relationship Id="rId160" Type="http://schemas.openxmlformats.org/officeDocument/2006/relationships/hyperlink" Target="https://ec.europa.eu/eurostat/databrowser/view/DS-056120__custom_6262207/default/table" TargetMode="External"/><Relationship Id="rId216" Type="http://schemas.openxmlformats.org/officeDocument/2006/relationships/hyperlink" Target="https://ec.europa.eu/eurostat/databrowser/view/DS-056120__custom_6262207/default/table" TargetMode="External"/><Relationship Id="rId423" Type="http://schemas.openxmlformats.org/officeDocument/2006/relationships/hyperlink" Target="https://ec.europa.eu/eurostat/databrowser/view/DS-056120__custom_6262207/default/table" TargetMode="External"/><Relationship Id="rId258" Type="http://schemas.openxmlformats.org/officeDocument/2006/relationships/hyperlink" Target="https://ec.europa.eu/eurostat/databrowser/view/DS-056120__custom_6262207/default/table" TargetMode="External"/><Relationship Id="rId465" Type="http://schemas.openxmlformats.org/officeDocument/2006/relationships/hyperlink" Target="https://ec.europa.eu/eurostat/databrowser/view/DS-056120__custom_6262207/default/table" TargetMode="External"/><Relationship Id="rId22" Type="http://schemas.openxmlformats.org/officeDocument/2006/relationships/hyperlink" Target="https://ec.europa.eu/eurostat/databrowser/view/DS-056120__custom_6262207/default/table" TargetMode="External"/><Relationship Id="rId64" Type="http://schemas.openxmlformats.org/officeDocument/2006/relationships/hyperlink" Target="https://ec.europa.eu/eurostat/databrowser/view/DS-056120__custom_6262207/default/table" TargetMode="External"/><Relationship Id="rId118" Type="http://schemas.openxmlformats.org/officeDocument/2006/relationships/hyperlink" Target="https://ec.europa.eu/eurostat/databrowser/view/DS-056120__custom_6262207/default/table" TargetMode="External"/><Relationship Id="rId325" Type="http://schemas.openxmlformats.org/officeDocument/2006/relationships/hyperlink" Target="https://ec.europa.eu/eurostat/databrowser/view/DS-056120__custom_6262207/default/table" TargetMode="External"/><Relationship Id="rId367" Type="http://schemas.openxmlformats.org/officeDocument/2006/relationships/hyperlink" Target="https://ec.europa.eu/eurostat/databrowser/view/DS-056120__custom_6262207/default/table" TargetMode="External"/><Relationship Id="rId171" Type="http://schemas.openxmlformats.org/officeDocument/2006/relationships/hyperlink" Target="https://ec.europa.eu/eurostat/databrowser/view/DS-056120__custom_6262207/default/table" TargetMode="External"/><Relationship Id="rId227" Type="http://schemas.openxmlformats.org/officeDocument/2006/relationships/hyperlink" Target="https://ec.europa.eu/eurostat/databrowser/view/DS-056120__custom_6262207/default/table" TargetMode="External"/><Relationship Id="rId269" Type="http://schemas.openxmlformats.org/officeDocument/2006/relationships/hyperlink" Target="https://ec.europa.eu/eurostat/databrowser/view/DS-056120__custom_6262207/default/table" TargetMode="External"/><Relationship Id="rId434" Type="http://schemas.openxmlformats.org/officeDocument/2006/relationships/hyperlink" Target="https://ec.europa.eu/eurostat/databrowser/view/DS-056120__custom_6262207/default/table" TargetMode="External"/><Relationship Id="rId476" Type="http://schemas.openxmlformats.org/officeDocument/2006/relationships/hyperlink" Target="https://ec.europa.eu/eurostat/databrowser/view/DS-056120__custom_6262207/default/table" TargetMode="External"/><Relationship Id="rId33" Type="http://schemas.openxmlformats.org/officeDocument/2006/relationships/hyperlink" Target="https://ec.europa.eu/eurostat/databrowser/view/DS-056120__custom_6262207/default/table" TargetMode="External"/><Relationship Id="rId129" Type="http://schemas.openxmlformats.org/officeDocument/2006/relationships/hyperlink" Target="https://ec.europa.eu/eurostat/databrowser/view/DS-056120__custom_6262207/default/table" TargetMode="External"/><Relationship Id="rId280" Type="http://schemas.openxmlformats.org/officeDocument/2006/relationships/hyperlink" Target="https://ec.europa.eu/eurostat/databrowser/view/DS-056120__custom_6262207/default/table" TargetMode="External"/><Relationship Id="rId336" Type="http://schemas.openxmlformats.org/officeDocument/2006/relationships/hyperlink" Target="https://ec.europa.eu/eurostat/databrowser/view/DS-056120__custom_6262207/default/table" TargetMode="External"/><Relationship Id="rId75" Type="http://schemas.openxmlformats.org/officeDocument/2006/relationships/hyperlink" Target="https://ec.europa.eu/eurostat/databrowser/view/DS-056120__custom_6262207/default/table" TargetMode="External"/><Relationship Id="rId140" Type="http://schemas.openxmlformats.org/officeDocument/2006/relationships/hyperlink" Target="https://ec.europa.eu/eurostat/databrowser/view/DS-056120__custom_6262207/default/table" TargetMode="External"/><Relationship Id="rId182" Type="http://schemas.openxmlformats.org/officeDocument/2006/relationships/hyperlink" Target="https://ec.europa.eu/eurostat/databrowser/view/DS-056120__custom_6262207/default/table" TargetMode="External"/><Relationship Id="rId378" Type="http://schemas.openxmlformats.org/officeDocument/2006/relationships/hyperlink" Target="https://ec.europa.eu/eurostat/databrowser/view/DS-056120__custom_6262207/default/table" TargetMode="External"/><Relationship Id="rId403" Type="http://schemas.openxmlformats.org/officeDocument/2006/relationships/hyperlink" Target="https://ec.europa.eu/eurostat/databrowser/view/DS-056120__custom_6262207/default/table" TargetMode="External"/><Relationship Id="rId6" Type="http://schemas.openxmlformats.org/officeDocument/2006/relationships/hyperlink" Target="https://ec.europa.eu/eurostat/databrowser/view/DS-056120__custom_6262207/default/table" TargetMode="External"/><Relationship Id="rId238" Type="http://schemas.openxmlformats.org/officeDocument/2006/relationships/hyperlink" Target="https://ec.europa.eu/eurostat/databrowser/view/DS-056120__custom_6262207/default/table" TargetMode="External"/><Relationship Id="rId445" Type="http://schemas.openxmlformats.org/officeDocument/2006/relationships/hyperlink" Target="https://ec.europa.eu/eurostat/databrowser/view/DS-056120__custom_6262207/default/table" TargetMode="External"/><Relationship Id="rId487" Type="http://schemas.openxmlformats.org/officeDocument/2006/relationships/hyperlink" Target="https://ec.europa.eu/eurostat/databrowser/view/DS-056120__custom_6262207/default/table" TargetMode="External"/><Relationship Id="rId291" Type="http://schemas.openxmlformats.org/officeDocument/2006/relationships/hyperlink" Target="https://ec.europa.eu/eurostat/databrowser/view/DS-056120__custom_6262207/default/table" TargetMode="External"/><Relationship Id="rId305" Type="http://schemas.openxmlformats.org/officeDocument/2006/relationships/hyperlink" Target="https://ec.europa.eu/eurostat/databrowser/view/DS-056120__custom_6262207/default/table" TargetMode="External"/><Relationship Id="rId347" Type="http://schemas.openxmlformats.org/officeDocument/2006/relationships/hyperlink" Target="https://ec.europa.eu/eurostat/databrowser/view/DS-056120__custom_6262207/default/table" TargetMode="External"/><Relationship Id="rId44" Type="http://schemas.openxmlformats.org/officeDocument/2006/relationships/hyperlink" Target="https://ec.europa.eu/eurostat/databrowser/view/DS-056120__custom_6262207/default/table" TargetMode="External"/><Relationship Id="rId86" Type="http://schemas.openxmlformats.org/officeDocument/2006/relationships/hyperlink" Target="https://ec.europa.eu/eurostat/databrowser/view/DS-056120__custom_6262207/default/table" TargetMode="External"/><Relationship Id="rId151" Type="http://schemas.openxmlformats.org/officeDocument/2006/relationships/hyperlink" Target="https://ec.europa.eu/eurostat/databrowser/view/DS-056120__custom_6262207/default/table" TargetMode="External"/><Relationship Id="rId389" Type="http://schemas.openxmlformats.org/officeDocument/2006/relationships/hyperlink" Target="https://ec.europa.eu/eurostat/databrowser/view/DS-056120__custom_6262207/default/table" TargetMode="External"/><Relationship Id="rId193" Type="http://schemas.openxmlformats.org/officeDocument/2006/relationships/hyperlink" Target="https://ec.europa.eu/eurostat/databrowser/view/DS-056120__custom_6262207/default/table" TargetMode="External"/><Relationship Id="rId207" Type="http://schemas.openxmlformats.org/officeDocument/2006/relationships/hyperlink" Target="https://ec.europa.eu/eurostat/databrowser/view/DS-056120__custom_6262207/default/table" TargetMode="External"/><Relationship Id="rId249" Type="http://schemas.openxmlformats.org/officeDocument/2006/relationships/hyperlink" Target="https://ec.europa.eu/eurostat/databrowser/view/DS-056120__custom_6262207/default/table" TargetMode="External"/><Relationship Id="rId414" Type="http://schemas.openxmlformats.org/officeDocument/2006/relationships/hyperlink" Target="https://ec.europa.eu/eurostat/databrowser/view/DS-056120__custom_6262207/default/table" TargetMode="External"/><Relationship Id="rId456" Type="http://schemas.openxmlformats.org/officeDocument/2006/relationships/hyperlink" Target="https://ec.europa.eu/eurostat/databrowser/view/DS-056120__custom_6262207/default/table" TargetMode="External"/><Relationship Id="rId13" Type="http://schemas.openxmlformats.org/officeDocument/2006/relationships/hyperlink" Target="https://ec.europa.eu/eurostat/databrowser/view/DS-056120__custom_6262207/default/table" TargetMode="External"/><Relationship Id="rId109" Type="http://schemas.openxmlformats.org/officeDocument/2006/relationships/hyperlink" Target="https://ec.europa.eu/eurostat/databrowser/view/DS-056120__custom_6262207/default/table" TargetMode="External"/><Relationship Id="rId260" Type="http://schemas.openxmlformats.org/officeDocument/2006/relationships/hyperlink" Target="https://ec.europa.eu/eurostat/databrowser/view/DS-056120__custom_6262207/default/table" TargetMode="External"/><Relationship Id="rId316" Type="http://schemas.openxmlformats.org/officeDocument/2006/relationships/hyperlink" Target="https://ec.europa.eu/eurostat/databrowser/view/DS-056120__custom_6262207/default/table" TargetMode="External"/><Relationship Id="rId55" Type="http://schemas.openxmlformats.org/officeDocument/2006/relationships/hyperlink" Target="https://ec.europa.eu/eurostat/databrowser/view/DS-056120__custom_6262207/default/table" TargetMode="External"/><Relationship Id="rId97" Type="http://schemas.openxmlformats.org/officeDocument/2006/relationships/hyperlink" Target="https://ec.europa.eu/eurostat/databrowser/view/DS-056120__custom_6262207/default/table" TargetMode="External"/><Relationship Id="rId120" Type="http://schemas.openxmlformats.org/officeDocument/2006/relationships/hyperlink" Target="https://ec.europa.eu/eurostat/databrowser/view/DS-056120__custom_6262207/default/table" TargetMode="External"/><Relationship Id="rId358" Type="http://schemas.openxmlformats.org/officeDocument/2006/relationships/hyperlink" Target="https://ec.europa.eu/eurostat/databrowser/view/DS-056120__custom_6262207/default/table" TargetMode="External"/><Relationship Id="rId162" Type="http://schemas.openxmlformats.org/officeDocument/2006/relationships/hyperlink" Target="https://ec.europa.eu/eurostat/databrowser/view/DS-056120__custom_6262207/default/table" TargetMode="External"/><Relationship Id="rId218" Type="http://schemas.openxmlformats.org/officeDocument/2006/relationships/hyperlink" Target="https://ec.europa.eu/eurostat/databrowser/view/DS-056120__custom_6262207/default/table" TargetMode="External"/><Relationship Id="rId425" Type="http://schemas.openxmlformats.org/officeDocument/2006/relationships/hyperlink" Target="https://ec.europa.eu/eurostat/databrowser/view/DS-056120__custom_6262207/default/table" TargetMode="External"/><Relationship Id="rId467" Type="http://schemas.openxmlformats.org/officeDocument/2006/relationships/hyperlink" Target="https://ec.europa.eu/eurostat/databrowser/view/DS-056120__custom_6262207/default/table" TargetMode="External"/><Relationship Id="rId271" Type="http://schemas.openxmlformats.org/officeDocument/2006/relationships/hyperlink" Target="https://ec.europa.eu/eurostat/databrowser/view/DS-056120__custom_6262207/default/table" TargetMode="External"/><Relationship Id="rId24" Type="http://schemas.openxmlformats.org/officeDocument/2006/relationships/hyperlink" Target="https://ec.europa.eu/eurostat/databrowser/view/DS-056120__custom_6262207/default/table" TargetMode="External"/><Relationship Id="rId66" Type="http://schemas.openxmlformats.org/officeDocument/2006/relationships/hyperlink" Target="https://ec.europa.eu/eurostat/databrowser/view/DS-056120__custom_6262207/default/table" TargetMode="External"/><Relationship Id="rId131" Type="http://schemas.openxmlformats.org/officeDocument/2006/relationships/hyperlink" Target="https://ec.europa.eu/eurostat/databrowser/view/DS-056120__custom_6262207/default/table" TargetMode="External"/><Relationship Id="rId327" Type="http://schemas.openxmlformats.org/officeDocument/2006/relationships/hyperlink" Target="https://ec.europa.eu/eurostat/databrowser/view/DS-056120__custom_6262207/default/table" TargetMode="External"/><Relationship Id="rId369" Type="http://schemas.openxmlformats.org/officeDocument/2006/relationships/hyperlink" Target="https://ec.europa.eu/eurostat/databrowser/view/DS-056120__custom_6262207/default/table" TargetMode="External"/><Relationship Id="rId173" Type="http://schemas.openxmlformats.org/officeDocument/2006/relationships/hyperlink" Target="https://ec.europa.eu/eurostat/databrowser/view/DS-056120__custom_6262207/default/table" TargetMode="External"/><Relationship Id="rId229" Type="http://schemas.openxmlformats.org/officeDocument/2006/relationships/hyperlink" Target="https://ec.europa.eu/eurostat/databrowser/view/DS-056120__custom_6262207/default/table" TargetMode="External"/><Relationship Id="rId380" Type="http://schemas.openxmlformats.org/officeDocument/2006/relationships/hyperlink" Target="https://ec.europa.eu/eurostat/databrowser/view/DS-056120__custom_6262207/default/table" TargetMode="External"/><Relationship Id="rId436" Type="http://schemas.openxmlformats.org/officeDocument/2006/relationships/hyperlink" Target="https://ec.europa.eu/eurostat/databrowser/view/DS-056120__custom_6262207/default/table" TargetMode="External"/><Relationship Id="rId240" Type="http://schemas.openxmlformats.org/officeDocument/2006/relationships/hyperlink" Target="https://ec.europa.eu/eurostat/databrowser/view/DS-056120__custom_6262207/default/table" TargetMode="External"/><Relationship Id="rId478" Type="http://schemas.openxmlformats.org/officeDocument/2006/relationships/hyperlink" Target="https://ec.europa.eu/eurostat/databrowser/view/DS-056120__custom_6262207/default/table" TargetMode="External"/><Relationship Id="rId35" Type="http://schemas.openxmlformats.org/officeDocument/2006/relationships/hyperlink" Target="https://ec.europa.eu/eurostat/databrowser/view/DS-056120__custom_6262207/default/table" TargetMode="External"/><Relationship Id="rId77" Type="http://schemas.openxmlformats.org/officeDocument/2006/relationships/hyperlink" Target="https://ec.europa.eu/eurostat/databrowser/view/DS-056120__custom_6262207/default/table" TargetMode="External"/><Relationship Id="rId100" Type="http://schemas.openxmlformats.org/officeDocument/2006/relationships/hyperlink" Target="https://ec.europa.eu/eurostat/databrowser/view/DS-056120__custom_6262207/default/table" TargetMode="External"/><Relationship Id="rId282" Type="http://schemas.openxmlformats.org/officeDocument/2006/relationships/hyperlink" Target="https://ec.europa.eu/eurostat/databrowser/view/DS-056120__custom_6262207/default/table" TargetMode="External"/><Relationship Id="rId338" Type="http://schemas.openxmlformats.org/officeDocument/2006/relationships/hyperlink" Target="https://ec.europa.eu/eurostat/databrowser/view/DS-056120__custom_6262207/default/table" TargetMode="External"/><Relationship Id="rId8" Type="http://schemas.openxmlformats.org/officeDocument/2006/relationships/hyperlink" Target="https://ec.europa.eu/eurostat/databrowser/view/DS-056120__custom_6262207/default/table" TargetMode="External"/><Relationship Id="rId142" Type="http://schemas.openxmlformats.org/officeDocument/2006/relationships/hyperlink" Target="https://ec.europa.eu/eurostat/databrowser/view/DS-056120__custom_6262207/default/table" TargetMode="External"/><Relationship Id="rId184" Type="http://schemas.openxmlformats.org/officeDocument/2006/relationships/hyperlink" Target="https://ec.europa.eu/eurostat/databrowser/view/DS-056120__custom_6262207/default/table" TargetMode="External"/><Relationship Id="rId391" Type="http://schemas.openxmlformats.org/officeDocument/2006/relationships/hyperlink" Target="https://ec.europa.eu/eurostat/databrowser/view/DS-056120__custom_6262207/default/table" TargetMode="External"/><Relationship Id="rId405" Type="http://schemas.openxmlformats.org/officeDocument/2006/relationships/hyperlink" Target="https://ec.europa.eu/eurostat/databrowser/view/DS-056120__custom_6262207/default/table" TargetMode="External"/><Relationship Id="rId447" Type="http://schemas.openxmlformats.org/officeDocument/2006/relationships/hyperlink" Target="https://ec.europa.eu/eurostat/databrowser/view/DS-056120__custom_6262207/default/table" TargetMode="External"/><Relationship Id="rId251" Type="http://schemas.openxmlformats.org/officeDocument/2006/relationships/hyperlink" Target="https://ec.europa.eu/eurostat/databrowser/view/DS-056120__custom_6262207/default/table" TargetMode="External"/><Relationship Id="rId489" Type="http://schemas.openxmlformats.org/officeDocument/2006/relationships/hyperlink" Target="https://ec.europa.eu/eurostat/databrowser/view/DS-056120__custom_6262207/default/table" TargetMode="External"/><Relationship Id="rId46" Type="http://schemas.openxmlformats.org/officeDocument/2006/relationships/hyperlink" Target="https://ec.europa.eu/eurostat/databrowser/view/DS-056120__custom_6262207/default/table" TargetMode="External"/><Relationship Id="rId293" Type="http://schemas.openxmlformats.org/officeDocument/2006/relationships/hyperlink" Target="https://ec.europa.eu/eurostat/databrowser/view/DS-056120__custom_6262207/default/table" TargetMode="External"/><Relationship Id="rId307" Type="http://schemas.openxmlformats.org/officeDocument/2006/relationships/hyperlink" Target="https://ec.europa.eu/eurostat/databrowser/view/DS-056120__custom_6262207/default/table" TargetMode="External"/><Relationship Id="rId349" Type="http://schemas.openxmlformats.org/officeDocument/2006/relationships/hyperlink" Target="https://ec.europa.eu/eurostat/databrowser/view/DS-056120__custom_6262207/default/table" TargetMode="External"/><Relationship Id="rId88" Type="http://schemas.openxmlformats.org/officeDocument/2006/relationships/hyperlink" Target="https://ec.europa.eu/eurostat/databrowser/view/DS-056120__custom_6262207/default/table" TargetMode="External"/><Relationship Id="rId111" Type="http://schemas.openxmlformats.org/officeDocument/2006/relationships/hyperlink" Target="https://ec.europa.eu/eurostat/databrowser/view/DS-056120__custom_6262207/default/table" TargetMode="External"/><Relationship Id="rId153" Type="http://schemas.openxmlformats.org/officeDocument/2006/relationships/hyperlink" Target="https://ec.europa.eu/eurostat/databrowser/view/DS-056120__custom_6262207/default/table" TargetMode="External"/><Relationship Id="rId195" Type="http://schemas.openxmlformats.org/officeDocument/2006/relationships/hyperlink" Target="https://ec.europa.eu/eurostat/databrowser/view/DS-056120__custom_6262207/default/table" TargetMode="External"/><Relationship Id="rId209" Type="http://schemas.openxmlformats.org/officeDocument/2006/relationships/hyperlink" Target="https://ec.europa.eu/eurostat/databrowser/view/DS-056120__custom_6262207/default/table" TargetMode="External"/><Relationship Id="rId360" Type="http://schemas.openxmlformats.org/officeDocument/2006/relationships/hyperlink" Target="https://ec.europa.eu/eurostat/databrowser/view/DS-056120__custom_6262207/default/table" TargetMode="External"/><Relationship Id="rId416" Type="http://schemas.openxmlformats.org/officeDocument/2006/relationships/hyperlink" Target="https://ec.europa.eu/eurostat/databrowser/view/DS-056120__custom_6262207/default/table" TargetMode="External"/><Relationship Id="rId220" Type="http://schemas.openxmlformats.org/officeDocument/2006/relationships/hyperlink" Target="https://ec.europa.eu/eurostat/databrowser/view/DS-056120__custom_6262207/default/table" TargetMode="External"/><Relationship Id="rId458" Type="http://schemas.openxmlformats.org/officeDocument/2006/relationships/hyperlink" Target="https://ec.europa.eu/eurostat/databrowser/view/DS-056120__custom_6262207/default/table" TargetMode="External"/><Relationship Id="rId15" Type="http://schemas.openxmlformats.org/officeDocument/2006/relationships/hyperlink" Target="https://ec.europa.eu/eurostat/databrowser/view/DS-056120__custom_6262207/default/table" TargetMode="External"/><Relationship Id="rId57" Type="http://schemas.openxmlformats.org/officeDocument/2006/relationships/hyperlink" Target="https://ec.europa.eu/eurostat/databrowser/view/DS-056120__custom_6262207/default/table" TargetMode="External"/><Relationship Id="rId262" Type="http://schemas.openxmlformats.org/officeDocument/2006/relationships/hyperlink" Target="https://ec.europa.eu/eurostat/databrowser/view/DS-056120__custom_6262207/default/table" TargetMode="External"/><Relationship Id="rId318" Type="http://schemas.openxmlformats.org/officeDocument/2006/relationships/hyperlink" Target="https://ec.europa.eu/eurostat/databrowser/view/DS-056120__custom_6262207/default/table" TargetMode="External"/><Relationship Id="rId99" Type="http://schemas.openxmlformats.org/officeDocument/2006/relationships/hyperlink" Target="https://ec.europa.eu/eurostat/databrowser/view/DS-056120__custom_6262207/default/table" TargetMode="External"/><Relationship Id="rId122" Type="http://schemas.openxmlformats.org/officeDocument/2006/relationships/hyperlink" Target="https://ec.europa.eu/eurostat/databrowser/view/DS-056120__custom_6262207/default/table" TargetMode="External"/><Relationship Id="rId164" Type="http://schemas.openxmlformats.org/officeDocument/2006/relationships/hyperlink" Target="https://ec.europa.eu/eurostat/databrowser/view/DS-056120__custom_6262207/default/table" TargetMode="External"/><Relationship Id="rId371" Type="http://schemas.openxmlformats.org/officeDocument/2006/relationships/hyperlink" Target="https://ec.europa.eu/eurostat/databrowser/view/DS-056120__custom_6262207/default/table" TargetMode="External"/><Relationship Id="rId427" Type="http://schemas.openxmlformats.org/officeDocument/2006/relationships/hyperlink" Target="https://ec.europa.eu/eurostat/databrowser/view/DS-056120__custom_6262207/default/table" TargetMode="External"/><Relationship Id="rId469" Type="http://schemas.openxmlformats.org/officeDocument/2006/relationships/hyperlink" Target="https://ec.europa.eu/eurostat/databrowser/view/DS-056120__custom_6262207/default/table" TargetMode="External"/><Relationship Id="rId26" Type="http://schemas.openxmlformats.org/officeDocument/2006/relationships/hyperlink" Target="https://ec.europa.eu/eurostat/databrowser/view/DS-056120__custom_6262207/default/table" TargetMode="External"/><Relationship Id="rId231" Type="http://schemas.openxmlformats.org/officeDocument/2006/relationships/hyperlink" Target="https://ec.europa.eu/eurostat/databrowser/view/DS-056120__custom_6262207/default/table" TargetMode="External"/><Relationship Id="rId273" Type="http://schemas.openxmlformats.org/officeDocument/2006/relationships/hyperlink" Target="https://ec.europa.eu/eurostat/databrowser/view/DS-056120__custom_6262207/default/table" TargetMode="External"/><Relationship Id="rId329" Type="http://schemas.openxmlformats.org/officeDocument/2006/relationships/hyperlink" Target="https://ec.europa.eu/eurostat/databrowser/view/DS-056120__custom_6262207/default/table" TargetMode="External"/><Relationship Id="rId480" Type="http://schemas.openxmlformats.org/officeDocument/2006/relationships/hyperlink" Target="https://ec.europa.eu/eurostat/databrowser/view/DS-056120__custom_6262207/default/table" TargetMode="External"/><Relationship Id="rId68" Type="http://schemas.openxmlformats.org/officeDocument/2006/relationships/hyperlink" Target="https://ec.europa.eu/eurostat/databrowser/view/DS-056120__custom_6262207/default/table" TargetMode="External"/><Relationship Id="rId133" Type="http://schemas.openxmlformats.org/officeDocument/2006/relationships/hyperlink" Target="https://ec.europa.eu/eurostat/databrowser/view/DS-056120__custom_6262207/default/table" TargetMode="External"/><Relationship Id="rId175" Type="http://schemas.openxmlformats.org/officeDocument/2006/relationships/hyperlink" Target="https://ec.europa.eu/eurostat/databrowser/view/DS-056120__custom_6262207/default/table" TargetMode="External"/><Relationship Id="rId340" Type="http://schemas.openxmlformats.org/officeDocument/2006/relationships/hyperlink" Target="https://ec.europa.eu/eurostat/databrowser/view/DS-056120__custom_6262207/default/table" TargetMode="External"/><Relationship Id="rId200" Type="http://schemas.openxmlformats.org/officeDocument/2006/relationships/hyperlink" Target="https://ec.europa.eu/eurostat/databrowser/view/DS-056120__custom_6262207/default/table" TargetMode="External"/><Relationship Id="rId382" Type="http://schemas.openxmlformats.org/officeDocument/2006/relationships/hyperlink" Target="https://ec.europa.eu/eurostat/databrowser/view/DS-056120__custom_6262207/default/table" TargetMode="External"/><Relationship Id="rId438" Type="http://schemas.openxmlformats.org/officeDocument/2006/relationships/hyperlink" Target="https://ec.europa.eu/eurostat/databrowser/view/DS-056120__custom_6262207/default/table" TargetMode="External"/><Relationship Id="rId242" Type="http://schemas.openxmlformats.org/officeDocument/2006/relationships/hyperlink" Target="https://ec.europa.eu/eurostat/databrowser/view/DS-056120__custom_6262207/default/table" TargetMode="External"/><Relationship Id="rId284" Type="http://schemas.openxmlformats.org/officeDocument/2006/relationships/hyperlink" Target="https://ec.europa.eu/eurostat/databrowser/view/DS-056120__custom_6262207/default/table" TargetMode="External"/><Relationship Id="rId491" Type="http://schemas.openxmlformats.org/officeDocument/2006/relationships/hyperlink" Target="https://ec.europa.eu/eurostat/databrowser/view/DS-056120__custom_6262207/default/table" TargetMode="External"/><Relationship Id="rId37" Type="http://schemas.openxmlformats.org/officeDocument/2006/relationships/hyperlink" Target="https://ec.europa.eu/eurostat/databrowser/view/DS-056120__custom_6262207/default/table" TargetMode="External"/><Relationship Id="rId79" Type="http://schemas.openxmlformats.org/officeDocument/2006/relationships/hyperlink" Target="https://ec.europa.eu/eurostat/databrowser/view/DS-056120__custom_6262207/default/table" TargetMode="External"/><Relationship Id="rId102" Type="http://schemas.openxmlformats.org/officeDocument/2006/relationships/hyperlink" Target="https://ec.europa.eu/eurostat/databrowser/view/DS-056120__custom_6262207/default/table" TargetMode="External"/><Relationship Id="rId144" Type="http://schemas.openxmlformats.org/officeDocument/2006/relationships/hyperlink" Target="https://ec.europa.eu/eurostat/databrowser/view/DS-056120__custom_6262207/default/table" TargetMode="External"/><Relationship Id="rId90" Type="http://schemas.openxmlformats.org/officeDocument/2006/relationships/hyperlink" Target="https://ec.europa.eu/eurostat/databrowser/view/DS-056120__custom_6262207/default/table" TargetMode="External"/><Relationship Id="rId186" Type="http://schemas.openxmlformats.org/officeDocument/2006/relationships/hyperlink" Target="https://ec.europa.eu/eurostat/databrowser/view/DS-056120__custom_6262207/default/table" TargetMode="External"/><Relationship Id="rId351" Type="http://schemas.openxmlformats.org/officeDocument/2006/relationships/hyperlink" Target="https://ec.europa.eu/eurostat/databrowser/view/DS-056120__custom_6262207/default/table" TargetMode="External"/><Relationship Id="rId393" Type="http://schemas.openxmlformats.org/officeDocument/2006/relationships/hyperlink" Target="https://ec.europa.eu/eurostat/databrowser/view/DS-056120__custom_6262207/default/table" TargetMode="External"/><Relationship Id="rId407" Type="http://schemas.openxmlformats.org/officeDocument/2006/relationships/hyperlink" Target="https://ec.europa.eu/eurostat/databrowser/view/DS-056120__custom_6262207/default/table" TargetMode="External"/><Relationship Id="rId449" Type="http://schemas.openxmlformats.org/officeDocument/2006/relationships/hyperlink" Target="https://ec.europa.eu/eurostat/databrowser/view/DS-056120__custom_6262207/default/table" TargetMode="External"/><Relationship Id="rId211" Type="http://schemas.openxmlformats.org/officeDocument/2006/relationships/hyperlink" Target="https://ec.europa.eu/eurostat/databrowser/view/DS-056120__custom_6262207/default/table" TargetMode="External"/><Relationship Id="rId253" Type="http://schemas.openxmlformats.org/officeDocument/2006/relationships/hyperlink" Target="https://ec.europa.eu/eurostat/databrowser/view/DS-056120__custom_6262207/default/table" TargetMode="External"/><Relationship Id="rId295" Type="http://schemas.openxmlformats.org/officeDocument/2006/relationships/hyperlink" Target="https://ec.europa.eu/eurostat/databrowser/view/DS-056120__custom_6262207/default/table" TargetMode="External"/><Relationship Id="rId309" Type="http://schemas.openxmlformats.org/officeDocument/2006/relationships/hyperlink" Target="https://ec.europa.eu/eurostat/databrowser/view/DS-056120__custom_6262207/default/table" TargetMode="External"/><Relationship Id="rId460" Type="http://schemas.openxmlformats.org/officeDocument/2006/relationships/hyperlink" Target="https://ec.europa.eu/eurostat/databrowser/view/DS-056120__custom_6262207/default/table" TargetMode="External"/><Relationship Id="rId48" Type="http://schemas.openxmlformats.org/officeDocument/2006/relationships/hyperlink" Target="https://ec.europa.eu/eurostat/databrowser/view/DS-056120__custom_6262207/default/table" TargetMode="External"/><Relationship Id="rId113" Type="http://schemas.openxmlformats.org/officeDocument/2006/relationships/hyperlink" Target="https://ec.europa.eu/eurostat/databrowser/view/DS-056120__custom_6262207/default/table" TargetMode="External"/><Relationship Id="rId320" Type="http://schemas.openxmlformats.org/officeDocument/2006/relationships/hyperlink" Target="https://ec.europa.eu/eurostat/databrowser/view/DS-056120__custom_6262207/default/table" TargetMode="External"/><Relationship Id="rId155" Type="http://schemas.openxmlformats.org/officeDocument/2006/relationships/hyperlink" Target="https://ec.europa.eu/eurostat/databrowser/view/DS-056120__custom_6262207/default/table" TargetMode="External"/><Relationship Id="rId197" Type="http://schemas.openxmlformats.org/officeDocument/2006/relationships/hyperlink" Target="https://ec.europa.eu/eurostat/databrowser/view/DS-056120__custom_6262207/default/table" TargetMode="External"/><Relationship Id="rId362" Type="http://schemas.openxmlformats.org/officeDocument/2006/relationships/hyperlink" Target="https://ec.europa.eu/eurostat/databrowser/view/DS-056120__custom_6262207/default/table" TargetMode="External"/><Relationship Id="rId418" Type="http://schemas.openxmlformats.org/officeDocument/2006/relationships/hyperlink" Target="https://ec.europa.eu/eurostat/databrowser/view/DS-056120__custom_6262207/default/table" TargetMode="External"/><Relationship Id="rId222" Type="http://schemas.openxmlformats.org/officeDocument/2006/relationships/hyperlink" Target="https://ec.europa.eu/eurostat/databrowser/view/DS-056120__custom_6262207/default/table" TargetMode="External"/><Relationship Id="rId264" Type="http://schemas.openxmlformats.org/officeDocument/2006/relationships/hyperlink" Target="https://ec.europa.eu/eurostat/databrowser/view/DS-056120__custom_6262207/default/table" TargetMode="External"/><Relationship Id="rId471" Type="http://schemas.openxmlformats.org/officeDocument/2006/relationships/hyperlink" Target="https://ec.europa.eu/eurostat/databrowser/view/DS-056120__custom_6262207/default/table" TargetMode="External"/><Relationship Id="rId17" Type="http://schemas.openxmlformats.org/officeDocument/2006/relationships/hyperlink" Target="https://ec.europa.eu/eurostat/databrowser/view/DS-056120__custom_6262207/default/table" TargetMode="External"/><Relationship Id="rId59" Type="http://schemas.openxmlformats.org/officeDocument/2006/relationships/hyperlink" Target="https://ec.europa.eu/eurostat/databrowser/view/DS-056120__custom_6262207/default/table" TargetMode="External"/><Relationship Id="rId124" Type="http://schemas.openxmlformats.org/officeDocument/2006/relationships/hyperlink" Target="https://ec.europa.eu/eurostat/databrowser/view/DS-056120__custom_6262207/default/table" TargetMode="External"/><Relationship Id="rId70" Type="http://schemas.openxmlformats.org/officeDocument/2006/relationships/hyperlink" Target="https://ec.europa.eu/eurostat/databrowser/view/DS-056120__custom_6262207/default/table" TargetMode="External"/><Relationship Id="rId166" Type="http://schemas.openxmlformats.org/officeDocument/2006/relationships/hyperlink" Target="https://ec.europa.eu/eurostat/databrowser/view/DS-056120__custom_6262207/default/table" TargetMode="External"/><Relationship Id="rId331" Type="http://schemas.openxmlformats.org/officeDocument/2006/relationships/hyperlink" Target="https://ec.europa.eu/eurostat/databrowser/view/DS-056120__custom_6262207/default/table" TargetMode="External"/><Relationship Id="rId373" Type="http://schemas.openxmlformats.org/officeDocument/2006/relationships/hyperlink" Target="https://ec.europa.eu/eurostat/databrowser/view/DS-056120__custom_6262207/default/table" TargetMode="External"/><Relationship Id="rId429" Type="http://schemas.openxmlformats.org/officeDocument/2006/relationships/hyperlink" Target="https://ec.europa.eu/eurostat/databrowser/view/DS-056120__custom_6262207/default/table" TargetMode="External"/><Relationship Id="rId1" Type="http://schemas.openxmlformats.org/officeDocument/2006/relationships/hyperlink" Target="https://ec.europa.eu/eurostat/databrowser/view/DS-056120__custom_6262207/default/table" TargetMode="External"/><Relationship Id="rId233" Type="http://schemas.openxmlformats.org/officeDocument/2006/relationships/hyperlink" Target="https://ec.europa.eu/eurostat/databrowser/view/DS-056120__custom_6262207/default/table" TargetMode="External"/><Relationship Id="rId440" Type="http://schemas.openxmlformats.org/officeDocument/2006/relationships/hyperlink" Target="https://ec.europa.eu/eurostat/databrowser/view/DS-056120__custom_6262207/default/table" TargetMode="External"/><Relationship Id="rId28" Type="http://schemas.openxmlformats.org/officeDocument/2006/relationships/hyperlink" Target="https://ec.europa.eu/eurostat/databrowser/view/DS-056120__custom_6262207/default/table" TargetMode="External"/><Relationship Id="rId275" Type="http://schemas.openxmlformats.org/officeDocument/2006/relationships/hyperlink" Target="https://ec.europa.eu/eurostat/databrowser/view/DS-056120__custom_6262207/default/table" TargetMode="External"/><Relationship Id="rId300" Type="http://schemas.openxmlformats.org/officeDocument/2006/relationships/hyperlink" Target="https://ec.europa.eu/eurostat/databrowser/view/DS-056120__custom_6262207/default/table" TargetMode="External"/><Relationship Id="rId482" Type="http://schemas.openxmlformats.org/officeDocument/2006/relationships/hyperlink" Target="https://ec.europa.eu/eurostat/databrowser/view/DS-056120__custom_6262207/default/table" TargetMode="External"/><Relationship Id="rId81" Type="http://schemas.openxmlformats.org/officeDocument/2006/relationships/hyperlink" Target="https://ec.europa.eu/eurostat/databrowser/view/DS-056120__custom_6262207/default/table" TargetMode="External"/><Relationship Id="rId135" Type="http://schemas.openxmlformats.org/officeDocument/2006/relationships/hyperlink" Target="https://ec.europa.eu/eurostat/databrowser/view/DS-056120__custom_6262207/default/table" TargetMode="External"/><Relationship Id="rId177" Type="http://schemas.openxmlformats.org/officeDocument/2006/relationships/hyperlink" Target="https://ec.europa.eu/eurostat/databrowser/view/DS-056120__custom_6262207/default/table" TargetMode="External"/><Relationship Id="rId342" Type="http://schemas.openxmlformats.org/officeDocument/2006/relationships/hyperlink" Target="https://ec.europa.eu/eurostat/databrowser/view/DS-056120__custom_6262207/default/table" TargetMode="External"/><Relationship Id="rId384" Type="http://schemas.openxmlformats.org/officeDocument/2006/relationships/hyperlink" Target="https://ec.europa.eu/eurostat/databrowser/view/DS-056120__custom_6262207/default/table" TargetMode="External"/><Relationship Id="rId202" Type="http://schemas.openxmlformats.org/officeDocument/2006/relationships/hyperlink" Target="https://ec.europa.eu/eurostat/databrowser/view/DS-056120__custom_6262207/default/table" TargetMode="External"/><Relationship Id="rId244" Type="http://schemas.openxmlformats.org/officeDocument/2006/relationships/hyperlink" Target="https://ec.europa.eu/eurostat/databrowser/view/DS-056120__custom_6262207/default/table" TargetMode="External"/><Relationship Id="rId39" Type="http://schemas.openxmlformats.org/officeDocument/2006/relationships/hyperlink" Target="https://ec.europa.eu/eurostat/databrowser/view/DS-056120__custom_6262207/default/table" TargetMode="External"/><Relationship Id="rId286" Type="http://schemas.openxmlformats.org/officeDocument/2006/relationships/hyperlink" Target="https://ec.europa.eu/eurostat/databrowser/view/DS-056120__custom_6262207/default/table" TargetMode="External"/><Relationship Id="rId451" Type="http://schemas.openxmlformats.org/officeDocument/2006/relationships/hyperlink" Target="https://ec.europa.eu/eurostat/databrowser/view/DS-056120__custom_6262207/default/table" TargetMode="External"/><Relationship Id="rId493" Type="http://schemas.openxmlformats.org/officeDocument/2006/relationships/hyperlink" Target="https://ec.europa.eu/eurostat/databrowser/view/DS-056120__custom_6262207/default/table" TargetMode="External"/><Relationship Id="rId50" Type="http://schemas.openxmlformats.org/officeDocument/2006/relationships/hyperlink" Target="https://ec.europa.eu/eurostat/databrowser/view/DS-056120__custom_6262207/default/table" TargetMode="External"/><Relationship Id="rId104" Type="http://schemas.openxmlformats.org/officeDocument/2006/relationships/hyperlink" Target="https://ec.europa.eu/eurostat/databrowser/view/DS-056120__custom_6262207/default/table" TargetMode="External"/><Relationship Id="rId146" Type="http://schemas.openxmlformats.org/officeDocument/2006/relationships/hyperlink" Target="https://ec.europa.eu/eurostat/databrowser/view/DS-056120__custom_6262207/default/table" TargetMode="External"/><Relationship Id="rId188" Type="http://schemas.openxmlformats.org/officeDocument/2006/relationships/hyperlink" Target="https://ec.europa.eu/eurostat/databrowser/view/DS-056120__custom_6262207/default/table" TargetMode="External"/><Relationship Id="rId311" Type="http://schemas.openxmlformats.org/officeDocument/2006/relationships/hyperlink" Target="https://ec.europa.eu/eurostat/databrowser/view/DS-056120__custom_6262207/default/table" TargetMode="External"/><Relationship Id="rId353" Type="http://schemas.openxmlformats.org/officeDocument/2006/relationships/hyperlink" Target="https://ec.europa.eu/eurostat/databrowser/view/DS-056120__custom_6262207/default/table" TargetMode="External"/><Relationship Id="rId395" Type="http://schemas.openxmlformats.org/officeDocument/2006/relationships/hyperlink" Target="https://ec.europa.eu/eurostat/databrowser/view/DS-056120__custom_6262207/default/table" TargetMode="External"/><Relationship Id="rId409" Type="http://schemas.openxmlformats.org/officeDocument/2006/relationships/hyperlink" Target="https://ec.europa.eu/eurostat/databrowser/view/DS-056120__custom_6262207/default/table" TargetMode="External"/><Relationship Id="rId92" Type="http://schemas.openxmlformats.org/officeDocument/2006/relationships/hyperlink" Target="https://ec.europa.eu/eurostat/databrowser/view/DS-056120__custom_6262207/default/table" TargetMode="External"/><Relationship Id="rId213" Type="http://schemas.openxmlformats.org/officeDocument/2006/relationships/hyperlink" Target="https://ec.europa.eu/eurostat/databrowser/view/DS-056120__custom_6262207/default/table" TargetMode="External"/><Relationship Id="rId420" Type="http://schemas.openxmlformats.org/officeDocument/2006/relationships/hyperlink" Target="https://ec.europa.eu/eurostat/databrowser/view/DS-056120__custom_6262207/default/table" TargetMode="External"/><Relationship Id="rId255" Type="http://schemas.openxmlformats.org/officeDocument/2006/relationships/hyperlink" Target="https://ec.europa.eu/eurostat/databrowser/view/DS-056120__custom_6262207/default/table" TargetMode="External"/><Relationship Id="rId297" Type="http://schemas.openxmlformats.org/officeDocument/2006/relationships/hyperlink" Target="https://ec.europa.eu/eurostat/databrowser/view/DS-056120__custom_6262207/default/table" TargetMode="External"/><Relationship Id="rId462" Type="http://schemas.openxmlformats.org/officeDocument/2006/relationships/hyperlink" Target="https://ec.europa.eu/eurostat/databrowser/view/DS-056120__custom_6262207/default/table" TargetMode="External"/><Relationship Id="rId115" Type="http://schemas.openxmlformats.org/officeDocument/2006/relationships/hyperlink" Target="https://ec.europa.eu/eurostat/databrowser/view/DS-056120__custom_6262207/default/table" TargetMode="External"/><Relationship Id="rId157" Type="http://schemas.openxmlformats.org/officeDocument/2006/relationships/hyperlink" Target="https://ec.europa.eu/eurostat/databrowser/view/DS-056120__custom_6262207/default/table" TargetMode="External"/><Relationship Id="rId322" Type="http://schemas.openxmlformats.org/officeDocument/2006/relationships/hyperlink" Target="https://ec.europa.eu/eurostat/databrowser/view/DS-056120__custom_6262207/default/table" TargetMode="External"/><Relationship Id="rId364" Type="http://schemas.openxmlformats.org/officeDocument/2006/relationships/hyperlink" Target="https://ec.europa.eu/eurostat/databrowser/view/DS-056120__custom_6262207/default/table" TargetMode="External"/><Relationship Id="rId61" Type="http://schemas.openxmlformats.org/officeDocument/2006/relationships/hyperlink" Target="https://ec.europa.eu/eurostat/databrowser/view/DS-056120__custom_6262207/default/table" TargetMode="External"/><Relationship Id="rId199" Type="http://schemas.openxmlformats.org/officeDocument/2006/relationships/hyperlink" Target="https://ec.europa.eu/eurostat/databrowser/view/DS-056120__custom_6262207/default/table" TargetMode="External"/><Relationship Id="rId19" Type="http://schemas.openxmlformats.org/officeDocument/2006/relationships/hyperlink" Target="https://ec.europa.eu/eurostat/databrowser/view/DS-056120__custom_6262207/default/table" TargetMode="External"/><Relationship Id="rId224" Type="http://schemas.openxmlformats.org/officeDocument/2006/relationships/hyperlink" Target="https://ec.europa.eu/eurostat/databrowser/view/DS-056120__custom_6262207/default/table" TargetMode="External"/><Relationship Id="rId266" Type="http://schemas.openxmlformats.org/officeDocument/2006/relationships/hyperlink" Target="https://ec.europa.eu/eurostat/databrowser/view/DS-056120__custom_6262207/default/table" TargetMode="External"/><Relationship Id="rId431" Type="http://schemas.openxmlformats.org/officeDocument/2006/relationships/hyperlink" Target="https://ec.europa.eu/eurostat/databrowser/view/DS-056120__custom_6262207/default/table" TargetMode="External"/><Relationship Id="rId473" Type="http://schemas.openxmlformats.org/officeDocument/2006/relationships/hyperlink" Target="https://ec.europa.eu/eurostat/databrowser/view/DS-056120__custom_6262207/default/table" TargetMode="External"/><Relationship Id="rId30" Type="http://schemas.openxmlformats.org/officeDocument/2006/relationships/hyperlink" Target="https://ec.europa.eu/eurostat/databrowser/view/DS-056120__custom_6262207/default/table" TargetMode="External"/><Relationship Id="rId126" Type="http://schemas.openxmlformats.org/officeDocument/2006/relationships/hyperlink" Target="https://ec.europa.eu/eurostat/databrowser/view/DS-056120__custom_6262207/default/table" TargetMode="External"/><Relationship Id="rId168" Type="http://schemas.openxmlformats.org/officeDocument/2006/relationships/hyperlink" Target="https://ec.europa.eu/eurostat/databrowser/view/DS-056120__custom_6262207/default/table" TargetMode="External"/><Relationship Id="rId333" Type="http://schemas.openxmlformats.org/officeDocument/2006/relationships/hyperlink" Target="https://ec.europa.eu/eurostat/databrowser/view/DS-056120__custom_6262207/default/table" TargetMode="External"/><Relationship Id="rId72" Type="http://schemas.openxmlformats.org/officeDocument/2006/relationships/hyperlink" Target="https://ec.europa.eu/eurostat/databrowser/view/DS-056120__custom_6262207/default/table" TargetMode="External"/><Relationship Id="rId375" Type="http://schemas.openxmlformats.org/officeDocument/2006/relationships/hyperlink" Target="https://ec.europa.eu/eurostat/databrowser/view/DS-056120__custom_6262207/default/table" TargetMode="External"/><Relationship Id="rId3" Type="http://schemas.openxmlformats.org/officeDocument/2006/relationships/hyperlink" Target="https://ec.europa.eu/eurostat/databrowser/view/DS-056120__custom_6262207/default/table" TargetMode="External"/><Relationship Id="rId235" Type="http://schemas.openxmlformats.org/officeDocument/2006/relationships/hyperlink" Target="https://ec.europa.eu/eurostat/databrowser/view/DS-056120__custom_6262207/default/table" TargetMode="External"/><Relationship Id="rId277" Type="http://schemas.openxmlformats.org/officeDocument/2006/relationships/hyperlink" Target="https://ec.europa.eu/eurostat/databrowser/view/DS-056120__custom_6262207/default/table" TargetMode="External"/><Relationship Id="rId400" Type="http://schemas.openxmlformats.org/officeDocument/2006/relationships/hyperlink" Target="https://ec.europa.eu/eurostat/databrowser/view/DS-056120__custom_6262207/default/table" TargetMode="External"/><Relationship Id="rId442" Type="http://schemas.openxmlformats.org/officeDocument/2006/relationships/hyperlink" Target="https://ec.europa.eu/eurostat/databrowser/view/DS-056120__custom_6262207/default/table" TargetMode="External"/><Relationship Id="rId484" Type="http://schemas.openxmlformats.org/officeDocument/2006/relationships/hyperlink" Target="https://ec.europa.eu/eurostat/databrowser/view/DS-056120__custom_6262207/default/table" TargetMode="External"/><Relationship Id="rId137" Type="http://schemas.openxmlformats.org/officeDocument/2006/relationships/hyperlink" Target="https://ec.europa.eu/eurostat/databrowser/view/DS-056120__custom_6262207/default/table" TargetMode="External"/><Relationship Id="rId302" Type="http://schemas.openxmlformats.org/officeDocument/2006/relationships/hyperlink" Target="https://ec.europa.eu/eurostat/databrowser/view/DS-056120__custom_6262207/default/table" TargetMode="External"/><Relationship Id="rId344" Type="http://schemas.openxmlformats.org/officeDocument/2006/relationships/hyperlink" Target="https://ec.europa.eu/eurostat/databrowser/view/DS-056120__custom_6262207/default/table" TargetMode="External"/><Relationship Id="rId41" Type="http://schemas.openxmlformats.org/officeDocument/2006/relationships/hyperlink" Target="https://ec.europa.eu/eurostat/databrowser/view/DS-056120__custom_6262207/default/table" TargetMode="External"/><Relationship Id="rId83" Type="http://schemas.openxmlformats.org/officeDocument/2006/relationships/hyperlink" Target="https://ec.europa.eu/eurostat/databrowser/view/DS-056120__custom_6262207/default/table" TargetMode="External"/><Relationship Id="rId179" Type="http://schemas.openxmlformats.org/officeDocument/2006/relationships/hyperlink" Target="https://ec.europa.eu/eurostat/databrowser/view/DS-056120__custom_6262207/default/table" TargetMode="External"/><Relationship Id="rId386" Type="http://schemas.openxmlformats.org/officeDocument/2006/relationships/hyperlink" Target="https://ec.europa.eu/eurostat/databrowser/view/DS-056120__custom_6262207/default/table" TargetMode="External"/><Relationship Id="rId190" Type="http://schemas.openxmlformats.org/officeDocument/2006/relationships/hyperlink" Target="https://ec.europa.eu/eurostat/databrowser/view/DS-056120__custom_6262207/default/table" TargetMode="External"/><Relationship Id="rId204" Type="http://schemas.openxmlformats.org/officeDocument/2006/relationships/hyperlink" Target="https://ec.europa.eu/eurostat/databrowser/view/DS-056120__custom_6262207/default/table" TargetMode="External"/><Relationship Id="rId246" Type="http://schemas.openxmlformats.org/officeDocument/2006/relationships/hyperlink" Target="https://ec.europa.eu/eurostat/databrowser/view/DS-056120__custom_6262207/default/table" TargetMode="External"/><Relationship Id="rId288" Type="http://schemas.openxmlformats.org/officeDocument/2006/relationships/hyperlink" Target="https://ec.europa.eu/eurostat/databrowser/view/DS-056120__custom_6262207/default/table" TargetMode="External"/><Relationship Id="rId411" Type="http://schemas.openxmlformats.org/officeDocument/2006/relationships/hyperlink" Target="https://ec.europa.eu/eurostat/databrowser/view/DS-056120__custom_6262207/default/table" TargetMode="External"/><Relationship Id="rId453" Type="http://schemas.openxmlformats.org/officeDocument/2006/relationships/hyperlink" Target="https://ec.europa.eu/eurostat/databrowser/view/DS-056120__custom_6262207/default/table"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ec.europa.eu/eurostat/databrowser/view/DS-056120__custom_5851448/default/table" TargetMode="External"/><Relationship Id="rId3" Type="http://schemas.openxmlformats.org/officeDocument/2006/relationships/hyperlink" Target="https://doi.org/10.1016/j.resconrec.2023.107389" TargetMode="External"/><Relationship Id="rId7" Type="http://schemas.openxmlformats.org/officeDocument/2006/relationships/hyperlink" Target="https://ec.europa.eu/eurostat/databrowser/view/DS-056120__custom_6262207/default/table" TargetMode="External"/><Relationship Id="rId2" Type="http://schemas.openxmlformats.org/officeDocument/2006/relationships/hyperlink" Target="https://ec.europa.eu/eurostat/databrowser/view/DS-056120__custom_5851448/default/table" TargetMode="External"/><Relationship Id="rId1" Type="http://schemas.openxmlformats.org/officeDocument/2006/relationships/hyperlink" Target="https://ec.europa.eu/eurostat/databrowser/view/DS-056120__custom_6262207/default/table" TargetMode="External"/><Relationship Id="rId6" Type="http://schemas.openxmlformats.org/officeDocument/2006/relationships/hyperlink" Target="https://doi.org/10.1016/j.resconrec.2023.107389" TargetMode="External"/><Relationship Id="rId5" Type="http://schemas.openxmlformats.org/officeDocument/2006/relationships/hyperlink" Target="https://doi.org/10.1016/j.resconrec.2023.107389" TargetMode="External"/><Relationship Id="rId10" Type="http://schemas.microsoft.com/office/2019/04/relationships/namedSheetView" Target="../namedSheetViews/namedSheetView3.xml"/><Relationship Id="rId4" Type="http://schemas.openxmlformats.org/officeDocument/2006/relationships/hyperlink" Target="https://doi.org/10.1016/j.resconrec.2023.107389"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s://ec.europa.eu/eurostat/databrowser/view/DS-056120__custom_15192557/default/table?lang=en" TargetMode="External"/><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8" Type="http://schemas.openxmlformats.org/officeDocument/2006/relationships/hyperlink" Target="https://ec.europa.eu/eurostat/databrowser/view/DS-056120__custom_15192557/default/table?lang=en" TargetMode="External"/><Relationship Id="rId3" Type="http://schemas.openxmlformats.org/officeDocument/2006/relationships/hyperlink" Target="https://ec.europa.eu/eurostat/databrowser/view/DS-056120__custom_15192557/default/table?lang=en" TargetMode="External"/><Relationship Id="rId7" Type="http://schemas.openxmlformats.org/officeDocument/2006/relationships/hyperlink" Target="https://ec.europa.eu/eurostat/databrowser/view/DS-056120__custom_15192557/default/table?lang=en" TargetMode="External"/><Relationship Id="rId2" Type="http://schemas.openxmlformats.org/officeDocument/2006/relationships/hyperlink" Target="https://ec.europa.eu/eurostat/databrowser/view/DS-056120__custom_15192557/default/table?lang=en" TargetMode="External"/><Relationship Id="rId1" Type="http://schemas.openxmlformats.org/officeDocument/2006/relationships/hyperlink" Target="https://ec.europa.eu/eurostat/databrowser/view/DS-056120__custom_15192557/default/table?lang=en" TargetMode="External"/><Relationship Id="rId6" Type="http://schemas.openxmlformats.org/officeDocument/2006/relationships/hyperlink" Target="https://ec.europa.eu/eurostat/databrowser/view/DS-056120__custom_15192557/default/table?lang=en" TargetMode="External"/><Relationship Id="rId5" Type="http://schemas.openxmlformats.org/officeDocument/2006/relationships/hyperlink" Target="https://ec.europa.eu/eurostat/databrowser/view/DS-056120__custom_15192557/default/table?lang=en" TargetMode="External"/><Relationship Id="rId4" Type="http://schemas.openxmlformats.org/officeDocument/2006/relationships/hyperlink" Target="https://ec.europa.eu/eurostat/databrowser/view/DS-056120__custom_15192557/default/table?lang=en"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polymerdatabase.com/Fibers/Carpets.html" TargetMode="External"/><Relationship Id="rId7" Type="http://schemas.microsoft.com/office/2017/10/relationships/threadedComment" Target="../threadedComments/threadedComment2.xml"/><Relationship Id="rId2" Type="http://schemas.openxmlformats.org/officeDocument/2006/relationships/hyperlink" Target="https://polymerdatabase.com/Fibers/Fibers.html" TargetMode="External"/><Relationship Id="rId1" Type="http://schemas.openxmlformats.org/officeDocument/2006/relationships/hyperlink" Target="https://polymerdatabase.com/Fibers/Fibers.html" TargetMode="Externa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17" Type="http://schemas.openxmlformats.org/officeDocument/2006/relationships/hyperlink" Target="https://ec.europa.eu/eurostat/databrowser/view/DS-056120__custom_6262207/default/table" TargetMode="External"/><Relationship Id="rId21" Type="http://schemas.openxmlformats.org/officeDocument/2006/relationships/hyperlink" Target="https://ec.europa.eu/eurostat/databrowser/view/DS-056120__custom_6262207/default/table" TargetMode="External"/><Relationship Id="rId42" Type="http://schemas.openxmlformats.org/officeDocument/2006/relationships/hyperlink" Target="https://ec.europa.eu/eurostat/databrowser/view/DS-056120__custom_6262207/default/table" TargetMode="External"/><Relationship Id="rId63" Type="http://schemas.openxmlformats.org/officeDocument/2006/relationships/hyperlink" Target="https://ec.europa.eu/eurostat/databrowser/view/DS-056120__custom_6262207/default/table" TargetMode="External"/><Relationship Id="rId84" Type="http://schemas.openxmlformats.org/officeDocument/2006/relationships/hyperlink" Target="https://ec.europa.eu/eurostat/databrowser/view/DS-056120__custom_6262207/default/table" TargetMode="External"/><Relationship Id="rId138" Type="http://schemas.openxmlformats.org/officeDocument/2006/relationships/hyperlink" Target="https://ec.europa.eu/eurostat/databrowser/view/DS-056120__custom_6262207/default/table" TargetMode="External"/><Relationship Id="rId159" Type="http://schemas.openxmlformats.org/officeDocument/2006/relationships/hyperlink" Target="https://ec.europa.eu/eurostat/databrowser/view/DS-056120__custom_6262207/default/table" TargetMode="External"/><Relationship Id="rId170" Type="http://schemas.openxmlformats.org/officeDocument/2006/relationships/hyperlink" Target="https://ec.europa.eu/eurostat/databrowser/view/DS-056120__custom_6262207/default/table" TargetMode="External"/><Relationship Id="rId191" Type="http://schemas.openxmlformats.org/officeDocument/2006/relationships/hyperlink" Target="https://ec.europa.eu/eurostat/databrowser/view/DS-056120__custom_6262207/default/table" TargetMode="External"/><Relationship Id="rId205" Type="http://schemas.openxmlformats.org/officeDocument/2006/relationships/hyperlink" Target="https://ec.europa.eu/eurostat/databrowser/view/DS-056120__custom_6262207/default/table" TargetMode="External"/><Relationship Id="rId226" Type="http://schemas.openxmlformats.org/officeDocument/2006/relationships/hyperlink" Target="https://ec.europa.eu/eurostat/databrowser/view/DS-056120__custom_6262207/default/table" TargetMode="External"/><Relationship Id="rId247" Type="http://schemas.openxmlformats.org/officeDocument/2006/relationships/hyperlink" Target="https://ec.europa.eu/eurostat/databrowser/view/DS-056120__custom_6262207/default/table" TargetMode="External"/><Relationship Id="rId107" Type="http://schemas.openxmlformats.org/officeDocument/2006/relationships/hyperlink" Target="https://ec.europa.eu/eurostat/databrowser/view/DS-056120__custom_6262207/default/table" TargetMode="External"/><Relationship Id="rId11" Type="http://schemas.openxmlformats.org/officeDocument/2006/relationships/hyperlink" Target="https://ec.europa.eu/eurostat/databrowser/view/DS-056120__custom_6262207/default/table" TargetMode="External"/><Relationship Id="rId32" Type="http://schemas.openxmlformats.org/officeDocument/2006/relationships/hyperlink" Target="https://ec.europa.eu/eurostat/databrowser/view/DS-056120__custom_6262207/default/table" TargetMode="External"/><Relationship Id="rId53" Type="http://schemas.openxmlformats.org/officeDocument/2006/relationships/hyperlink" Target="https://ec.europa.eu/eurostat/databrowser/view/DS-056120__custom_6262207/default/table" TargetMode="External"/><Relationship Id="rId74" Type="http://schemas.openxmlformats.org/officeDocument/2006/relationships/hyperlink" Target="https://ec.europa.eu/eurostat/databrowser/view/DS-056120__custom_6262207/default/table" TargetMode="External"/><Relationship Id="rId128" Type="http://schemas.openxmlformats.org/officeDocument/2006/relationships/hyperlink" Target="https://ec.europa.eu/eurostat/databrowser/view/DS-056120__custom_6262207/default/table" TargetMode="External"/><Relationship Id="rId149" Type="http://schemas.openxmlformats.org/officeDocument/2006/relationships/hyperlink" Target="https://ec.europa.eu/eurostat/databrowser/view/DS-056120__custom_6262207/default/table" TargetMode="External"/><Relationship Id="rId5" Type="http://schemas.openxmlformats.org/officeDocument/2006/relationships/hyperlink" Target="https://ec.europa.eu/eurostat/databrowser/view/DS-056120__custom_6262207/default/table" TargetMode="External"/><Relationship Id="rId95" Type="http://schemas.openxmlformats.org/officeDocument/2006/relationships/hyperlink" Target="https://ec.europa.eu/eurostat/databrowser/view/DS-056120__custom_6262207/default/table" TargetMode="External"/><Relationship Id="rId160" Type="http://schemas.openxmlformats.org/officeDocument/2006/relationships/hyperlink" Target="https://ec.europa.eu/eurostat/databrowser/view/DS-056120__custom_6262207/default/table" TargetMode="External"/><Relationship Id="rId181" Type="http://schemas.openxmlformats.org/officeDocument/2006/relationships/hyperlink" Target="https://ec.europa.eu/eurostat/databrowser/view/DS-056120__custom_6262207/default/table" TargetMode="External"/><Relationship Id="rId216" Type="http://schemas.openxmlformats.org/officeDocument/2006/relationships/hyperlink" Target="https://ec.europa.eu/eurostat/databrowser/view/DS-056120__custom_6262207/default/table" TargetMode="External"/><Relationship Id="rId237" Type="http://schemas.openxmlformats.org/officeDocument/2006/relationships/hyperlink" Target="https://ec.europa.eu/eurostat/databrowser/view/DS-056120__custom_6262207/default/table" TargetMode="External"/><Relationship Id="rId22" Type="http://schemas.openxmlformats.org/officeDocument/2006/relationships/hyperlink" Target="https://ec.europa.eu/eurostat/databrowser/view/DS-056120__custom_6262207/default/table" TargetMode="External"/><Relationship Id="rId43" Type="http://schemas.openxmlformats.org/officeDocument/2006/relationships/hyperlink" Target="https://ec.europa.eu/eurostat/databrowser/view/DS-056120__custom_6262207/default/table" TargetMode="External"/><Relationship Id="rId64" Type="http://schemas.openxmlformats.org/officeDocument/2006/relationships/hyperlink" Target="https://ec.europa.eu/eurostat/databrowser/view/DS-056120__custom_6262207/default/table" TargetMode="External"/><Relationship Id="rId118" Type="http://schemas.openxmlformats.org/officeDocument/2006/relationships/hyperlink" Target="https://ec.europa.eu/eurostat/databrowser/view/DS-056120__custom_6262207/default/table" TargetMode="External"/><Relationship Id="rId139" Type="http://schemas.openxmlformats.org/officeDocument/2006/relationships/hyperlink" Target="https://ec.europa.eu/eurostat/databrowser/view/DS-056120__custom_6262207/default/table" TargetMode="External"/><Relationship Id="rId85" Type="http://schemas.openxmlformats.org/officeDocument/2006/relationships/hyperlink" Target="https://ec.europa.eu/eurostat/databrowser/view/DS-056120__custom_6262207/default/table" TargetMode="External"/><Relationship Id="rId150" Type="http://schemas.openxmlformats.org/officeDocument/2006/relationships/hyperlink" Target="https://ec.europa.eu/eurostat/databrowser/view/DS-056120__custom_6262207/default/table" TargetMode="External"/><Relationship Id="rId171" Type="http://schemas.openxmlformats.org/officeDocument/2006/relationships/hyperlink" Target="https://ec.europa.eu/eurostat/databrowser/view/DS-056120__custom_6262207/default/table" TargetMode="External"/><Relationship Id="rId192" Type="http://schemas.openxmlformats.org/officeDocument/2006/relationships/hyperlink" Target="https://ec.europa.eu/eurostat/databrowser/view/DS-056120__custom_6262207/default/table" TargetMode="External"/><Relationship Id="rId206" Type="http://schemas.openxmlformats.org/officeDocument/2006/relationships/hyperlink" Target="https://ec.europa.eu/eurostat/databrowser/view/DS-056120__custom_6262207/default/table" TargetMode="External"/><Relationship Id="rId227" Type="http://schemas.openxmlformats.org/officeDocument/2006/relationships/hyperlink" Target="https://ec.europa.eu/eurostat/databrowser/view/DS-056120__custom_6262207/default/table" TargetMode="External"/><Relationship Id="rId248" Type="http://schemas.openxmlformats.org/officeDocument/2006/relationships/printerSettings" Target="../printerSettings/printerSettings8.bin"/><Relationship Id="rId12" Type="http://schemas.openxmlformats.org/officeDocument/2006/relationships/hyperlink" Target="https://ec.europa.eu/eurostat/databrowser/view/DS-056120__custom_6262207/default/table" TargetMode="External"/><Relationship Id="rId33" Type="http://schemas.openxmlformats.org/officeDocument/2006/relationships/hyperlink" Target="https://ec.europa.eu/eurostat/databrowser/view/DS-056120__custom_6262207/default/table" TargetMode="External"/><Relationship Id="rId108" Type="http://schemas.openxmlformats.org/officeDocument/2006/relationships/hyperlink" Target="https://ec.europa.eu/eurostat/databrowser/view/DS-056120__custom_6262207/default/table" TargetMode="External"/><Relationship Id="rId129" Type="http://schemas.openxmlformats.org/officeDocument/2006/relationships/hyperlink" Target="https://ec.europa.eu/eurostat/databrowser/view/DS-056120__custom_6262207/default/table" TargetMode="External"/><Relationship Id="rId54" Type="http://schemas.openxmlformats.org/officeDocument/2006/relationships/hyperlink" Target="https://ec.europa.eu/eurostat/databrowser/view/DS-056120__custom_6262207/default/table" TargetMode="External"/><Relationship Id="rId75" Type="http://schemas.openxmlformats.org/officeDocument/2006/relationships/hyperlink" Target="https://ec.europa.eu/eurostat/databrowser/view/DS-056120__custom_6262207/default/table" TargetMode="External"/><Relationship Id="rId96" Type="http://schemas.openxmlformats.org/officeDocument/2006/relationships/hyperlink" Target="https://ec.europa.eu/eurostat/databrowser/view/DS-056120__custom_6262207/default/table" TargetMode="External"/><Relationship Id="rId140" Type="http://schemas.openxmlformats.org/officeDocument/2006/relationships/hyperlink" Target="https://ec.europa.eu/eurostat/databrowser/view/DS-056120__custom_6262207/default/table" TargetMode="External"/><Relationship Id="rId161" Type="http://schemas.openxmlformats.org/officeDocument/2006/relationships/hyperlink" Target="https://ec.europa.eu/eurostat/databrowser/view/DS-056120__custom_6262207/default/table" TargetMode="External"/><Relationship Id="rId182" Type="http://schemas.openxmlformats.org/officeDocument/2006/relationships/hyperlink" Target="https://ec.europa.eu/eurostat/databrowser/view/DS-056120__custom_6262207/default/table" TargetMode="External"/><Relationship Id="rId217" Type="http://schemas.openxmlformats.org/officeDocument/2006/relationships/hyperlink" Target="https://ec.europa.eu/eurostat/databrowser/view/DS-056120__custom_6262207/default/table" TargetMode="External"/><Relationship Id="rId6" Type="http://schemas.openxmlformats.org/officeDocument/2006/relationships/hyperlink" Target="https://ec.europa.eu/eurostat/databrowser/view/DS-056120__custom_6262207/default/table" TargetMode="External"/><Relationship Id="rId238" Type="http://schemas.openxmlformats.org/officeDocument/2006/relationships/hyperlink" Target="https://ec.europa.eu/eurostat/databrowser/view/DS-056120__custom_6262207/default/table" TargetMode="External"/><Relationship Id="rId23" Type="http://schemas.openxmlformats.org/officeDocument/2006/relationships/hyperlink" Target="https://ec.europa.eu/eurostat/databrowser/view/DS-056120__custom_6262207/default/table" TargetMode="External"/><Relationship Id="rId119" Type="http://schemas.openxmlformats.org/officeDocument/2006/relationships/hyperlink" Target="https://ec.europa.eu/eurostat/databrowser/view/DS-056120__custom_6262207/default/table" TargetMode="External"/><Relationship Id="rId44" Type="http://schemas.openxmlformats.org/officeDocument/2006/relationships/hyperlink" Target="https://ec.europa.eu/eurostat/databrowser/view/DS-056120__custom_6262207/default/table" TargetMode="External"/><Relationship Id="rId65" Type="http://schemas.openxmlformats.org/officeDocument/2006/relationships/hyperlink" Target="https://ec.europa.eu/eurostat/databrowser/view/DS-056120__custom_6262207/default/table" TargetMode="External"/><Relationship Id="rId86" Type="http://schemas.openxmlformats.org/officeDocument/2006/relationships/hyperlink" Target="https://ec.europa.eu/eurostat/databrowser/view/DS-056120__custom_6262207/default/table" TargetMode="External"/><Relationship Id="rId130" Type="http://schemas.openxmlformats.org/officeDocument/2006/relationships/hyperlink" Target="https://ec.europa.eu/eurostat/databrowser/view/DS-056120__custom_6262207/default/table" TargetMode="External"/><Relationship Id="rId151" Type="http://schemas.openxmlformats.org/officeDocument/2006/relationships/hyperlink" Target="https://ec.europa.eu/eurostat/databrowser/view/DS-056120__custom_6262207/default/table" TargetMode="External"/><Relationship Id="rId172" Type="http://schemas.openxmlformats.org/officeDocument/2006/relationships/hyperlink" Target="https://ec.europa.eu/eurostat/databrowser/view/DS-056120__custom_6262207/default/table" TargetMode="External"/><Relationship Id="rId193" Type="http://schemas.openxmlformats.org/officeDocument/2006/relationships/hyperlink" Target="https://ec.europa.eu/eurostat/databrowser/view/DS-056120__custom_6262207/default/table" TargetMode="External"/><Relationship Id="rId207" Type="http://schemas.openxmlformats.org/officeDocument/2006/relationships/hyperlink" Target="https://ec.europa.eu/eurostat/databrowser/view/DS-056120__custom_6262207/default/table" TargetMode="External"/><Relationship Id="rId228" Type="http://schemas.openxmlformats.org/officeDocument/2006/relationships/hyperlink" Target="https://ec.europa.eu/eurostat/databrowser/view/DS-056120__custom_6262207/default/table" TargetMode="External"/><Relationship Id="rId13" Type="http://schemas.openxmlformats.org/officeDocument/2006/relationships/hyperlink" Target="https://ec.europa.eu/eurostat/databrowser/view/DS-056120__custom_6262207/default/table" TargetMode="External"/><Relationship Id="rId109" Type="http://schemas.openxmlformats.org/officeDocument/2006/relationships/hyperlink" Target="https://ec.europa.eu/eurostat/databrowser/view/DS-056120__custom_6262207/default/table" TargetMode="External"/><Relationship Id="rId34" Type="http://schemas.openxmlformats.org/officeDocument/2006/relationships/hyperlink" Target="https://ec.europa.eu/eurostat/databrowser/view/DS-056120__custom_6262207/default/table" TargetMode="External"/><Relationship Id="rId55" Type="http://schemas.openxmlformats.org/officeDocument/2006/relationships/hyperlink" Target="https://ec.europa.eu/eurostat/databrowser/view/DS-056120__custom_6262207/default/table" TargetMode="External"/><Relationship Id="rId76" Type="http://schemas.openxmlformats.org/officeDocument/2006/relationships/hyperlink" Target="https://ec.europa.eu/eurostat/databrowser/view/DS-056120__custom_6262207/default/table" TargetMode="External"/><Relationship Id="rId97" Type="http://schemas.openxmlformats.org/officeDocument/2006/relationships/hyperlink" Target="https://ec.europa.eu/eurostat/databrowser/view/DS-056120__custom_6262207/default/table" TargetMode="External"/><Relationship Id="rId120" Type="http://schemas.openxmlformats.org/officeDocument/2006/relationships/hyperlink" Target="https://ec.europa.eu/eurostat/databrowser/view/DS-056120__custom_6262207/default/table" TargetMode="External"/><Relationship Id="rId141" Type="http://schemas.openxmlformats.org/officeDocument/2006/relationships/hyperlink" Target="https://ec.europa.eu/eurostat/databrowser/view/DS-056120__custom_6262207/default/table" TargetMode="External"/><Relationship Id="rId7" Type="http://schemas.openxmlformats.org/officeDocument/2006/relationships/hyperlink" Target="https://ec.europa.eu/eurostat/databrowser/view/DS-056120__custom_6262207/default/table" TargetMode="External"/><Relationship Id="rId162" Type="http://schemas.openxmlformats.org/officeDocument/2006/relationships/hyperlink" Target="https://ec.europa.eu/eurostat/databrowser/view/DS-056120__custom_6262207/default/table" TargetMode="External"/><Relationship Id="rId183" Type="http://schemas.openxmlformats.org/officeDocument/2006/relationships/hyperlink" Target="https://ec.europa.eu/eurostat/databrowser/view/DS-056120__custom_6262207/default/table" TargetMode="External"/><Relationship Id="rId218" Type="http://schemas.openxmlformats.org/officeDocument/2006/relationships/hyperlink" Target="https://ec.europa.eu/eurostat/databrowser/view/DS-056120__custom_6262207/default/table" TargetMode="External"/><Relationship Id="rId239" Type="http://schemas.openxmlformats.org/officeDocument/2006/relationships/hyperlink" Target="https://ec.europa.eu/eurostat/databrowser/view/DS-056120__custom_6262207/default/table" TargetMode="External"/><Relationship Id="rId24" Type="http://schemas.openxmlformats.org/officeDocument/2006/relationships/hyperlink" Target="https://ec.europa.eu/eurostat/databrowser/view/DS-056120__custom_6262207/default/table" TargetMode="External"/><Relationship Id="rId45" Type="http://schemas.openxmlformats.org/officeDocument/2006/relationships/hyperlink" Target="https://ec.europa.eu/eurostat/databrowser/view/DS-056120__custom_6262207/default/table" TargetMode="External"/><Relationship Id="rId66" Type="http://schemas.openxmlformats.org/officeDocument/2006/relationships/hyperlink" Target="https://ec.europa.eu/eurostat/databrowser/view/DS-056120__custom_6262207/default/table" TargetMode="External"/><Relationship Id="rId87" Type="http://schemas.openxmlformats.org/officeDocument/2006/relationships/hyperlink" Target="https://ec.europa.eu/eurostat/databrowser/view/DS-056120__custom_6262207/default/table" TargetMode="External"/><Relationship Id="rId110" Type="http://schemas.openxmlformats.org/officeDocument/2006/relationships/hyperlink" Target="https://ec.europa.eu/eurostat/databrowser/view/DS-056120__custom_6262207/default/table" TargetMode="External"/><Relationship Id="rId131" Type="http://schemas.openxmlformats.org/officeDocument/2006/relationships/hyperlink" Target="https://ec.europa.eu/eurostat/databrowser/view/DS-056120__custom_6262207/default/table" TargetMode="External"/><Relationship Id="rId152" Type="http://schemas.openxmlformats.org/officeDocument/2006/relationships/hyperlink" Target="https://ec.europa.eu/eurostat/databrowser/view/DS-056120__custom_6262207/default/table" TargetMode="External"/><Relationship Id="rId173" Type="http://schemas.openxmlformats.org/officeDocument/2006/relationships/hyperlink" Target="https://ec.europa.eu/eurostat/databrowser/view/DS-056120__custom_6262207/default/table" TargetMode="External"/><Relationship Id="rId194" Type="http://schemas.openxmlformats.org/officeDocument/2006/relationships/hyperlink" Target="https://ec.europa.eu/eurostat/databrowser/view/DS-056120__custom_6262207/default/table" TargetMode="External"/><Relationship Id="rId208" Type="http://schemas.openxmlformats.org/officeDocument/2006/relationships/hyperlink" Target="https://ec.europa.eu/eurostat/databrowser/view/DS-056120__custom_6262207/default/table" TargetMode="External"/><Relationship Id="rId229" Type="http://schemas.openxmlformats.org/officeDocument/2006/relationships/hyperlink" Target="https://ec.europa.eu/eurostat/databrowser/view/DS-056120__custom_6262207/default/table" TargetMode="External"/><Relationship Id="rId240" Type="http://schemas.openxmlformats.org/officeDocument/2006/relationships/hyperlink" Target="https://ec.europa.eu/eurostat/databrowser/view/DS-056120__custom_6262207/default/table" TargetMode="External"/><Relationship Id="rId14" Type="http://schemas.openxmlformats.org/officeDocument/2006/relationships/hyperlink" Target="https://ec.europa.eu/eurostat/databrowser/view/DS-056120__custom_6262207/default/table" TargetMode="External"/><Relationship Id="rId35" Type="http://schemas.openxmlformats.org/officeDocument/2006/relationships/hyperlink" Target="https://ec.europa.eu/eurostat/databrowser/view/DS-056120__custom_6262207/default/table" TargetMode="External"/><Relationship Id="rId56" Type="http://schemas.openxmlformats.org/officeDocument/2006/relationships/hyperlink" Target="https://ec.europa.eu/eurostat/databrowser/view/DS-056120__custom_6262207/default/table" TargetMode="External"/><Relationship Id="rId77" Type="http://schemas.openxmlformats.org/officeDocument/2006/relationships/hyperlink" Target="https://ec.europa.eu/eurostat/databrowser/view/DS-056120__custom_6262207/default/table" TargetMode="External"/><Relationship Id="rId100" Type="http://schemas.openxmlformats.org/officeDocument/2006/relationships/hyperlink" Target="https://ec.europa.eu/eurostat/databrowser/view/DS-056120__custom_6262207/default/table" TargetMode="External"/><Relationship Id="rId8" Type="http://schemas.openxmlformats.org/officeDocument/2006/relationships/hyperlink" Target="https://ec.europa.eu/eurostat/databrowser/view/DS-056120__custom_6262207/default/table" TargetMode="External"/><Relationship Id="rId98" Type="http://schemas.openxmlformats.org/officeDocument/2006/relationships/hyperlink" Target="https://ec.europa.eu/eurostat/databrowser/view/DS-056120__custom_6262207/default/table" TargetMode="External"/><Relationship Id="rId121" Type="http://schemas.openxmlformats.org/officeDocument/2006/relationships/hyperlink" Target="https://ec.europa.eu/eurostat/databrowser/view/DS-056120__custom_6262207/default/table" TargetMode="External"/><Relationship Id="rId142" Type="http://schemas.openxmlformats.org/officeDocument/2006/relationships/hyperlink" Target="https://ec.europa.eu/eurostat/databrowser/view/DS-056120__custom_6262207/default/table" TargetMode="External"/><Relationship Id="rId163" Type="http://schemas.openxmlformats.org/officeDocument/2006/relationships/hyperlink" Target="https://ec.europa.eu/eurostat/databrowser/view/DS-056120__custom_6262207/default/table" TargetMode="External"/><Relationship Id="rId184" Type="http://schemas.openxmlformats.org/officeDocument/2006/relationships/hyperlink" Target="https://ec.europa.eu/eurostat/databrowser/view/DS-056120__custom_6262207/default/table" TargetMode="External"/><Relationship Id="rId219" Type="http://schemas.openxmlformats.org/officeDocument/2006/relationships/hyperlink" Target="https://ec.europa.eu/eurostat/databrowser/view/DS-056120__custom_6262207/default/table" TargetMode="External"/><Relationship Id="rId230" Type="http://schemas.openxmlformats.org/officeDocument/2006/relationships/hyperlink" Target="https://ec.europa.eu/eurostat/databrowser/view/DS-056120__custom_6262207/default/table" TargetMode="External"/><Relationship Id="rId25" Type="http://schemas.openxmlformats.org/officeDocument/2006/relationships/hyperlink" Target="https://ec.europa.eu/eurostat/databrowser/view/DS-056120__custom_6262207/default/table" TargetMode="External"/><Relationship Id="rId46" Type="http://schemas.openxmlformats.org/officeDocument/2006/relationships/hyperlink" Target="https://ec.europa.eu/eurostat/databrowser/view/DS-056120__custom_6262207/default/table" TargetMode="External"/><Relationship Id="rId67" Type="http://schemas.openxmlformats.org/officeDocument/2006/relationships/hyperlink" Target="https://ec.europa.eu/eurostat/databrowser/view/DS-056120__custom_6262207/default/table" TargetMode="External"/><Relationship Id="rId88" Type="http://schemas.openxmlformats.org/officeDocument/2006/relationships/hyperlink" Target="https://ec.europa.eu/eurostat/databrowser/view/DS-056120__custom_6262207/default/table" TargetMode="External"/><Relationship Id="rId111" Type="http://schemas.openxmlformats.org/officeDocument/2006/relationships/hyperlink" Target="https://ec.europa.eu/eurostat/databrowser/view/DS-056120__custom_6262207/default/table" TargetMode="External"/><Relationship Id="rId132" Type="http://schemas.openxmlformats.org/officeDocument/2006/relationships/hyperlink" Target="https://ec.europa.eu/eurostat/databrowser/view/DS-056120__custom_6262207/default/table" TargetMode="External"/><Relationship Id="rId153" Type="http://schemas.openxmlformats.org/officeDocument/2006/relationships/hyperlink" Target="https://ec.europa.eu/eurostat/databrowser/view/DS-056120__custom_6262207/default/table" TargetMode="External"/><Relationship Id="rId174" Type="http://schemas.openxmlformats.org/officeDocument/2006/relationships/hyperlink" Target="https://ec.europa.eu/eurostat/databrowser/view/DS-056120__custom_6262207/default/table" TargetMode="External"/><Relationship Id="rId195" Type="http://schemas.openxmlformats.org/officeDocument/2006/relationships/hyperlink" Target="https://ec.europa.eu/eurostat/databrowser/view/DS-056120__custom_6262207/default/table" TargetMode="External"/><Relationship Id="rId209" Type="http://schemas.openxmlformats.org/officeDocument/2006/relationships/hyperlink" Target="https://ec.europa.eu/eurostat/databrowser/view/DS-056120__custom_6262207/default/table" TargetMode="External"/><Relationship Id="rId220" Type="http://schemas.openxmlformats.org/officeDocument/2006/relationships/hyperlink" Target="https://ec.europa.eu/eurostat/databrowser/view/DS-056120__custom_6262207/default/table" TargetMode="External"/><Relationship Id="rId241" Type="http://schemas.openxmlformats.org/officeDocument/2006/relationships/hyperlink" Target="https://ec.europa.eu/eurostat/databrowser/view/DS-056120__custom_6262207/default/table" TargetMode="External"/><Relationship Id="rId15" Type="http://schemas.openxmlformats.org/officeDocument/2006/relationships/hyperlink" Target="https://ec.europa.eu/eurostat/databrowser/view/DS-056120__custom_6262207/default/table" TargetMode="External"/><Relationship Id="rId36" Type="http://schemas.openxmlformats.org/officeDocument/2006/relationships/hyperlink" Target="https://ec.europa.eu/eurostat/databrowser/view/DS-056120__custom_6262207/default/table" TargetMode="External"/><Relationship Id="rId57" Type="http://schemas.openxmlformats.org/officeDocument/2006/relationships/hyperlink" Target="https://ec.europa.eu/eurostat/databrowser/view/DS-056120__custom_6262207/default/table" TargetMode="External"/><Relationship Id="rId10" Type="http://schemas.openxmlformats.org/officeDocument/2006/relationships/hyperlink" Target="https://ec.europa.eu/eurostat/databrowser/view/DS-056120__custom_6262207/default/table" TargetMode="External"/><Relationship Id="rId31" Type="http://schemas.openxmlformats.org/officeDocument/2006/relationships/hyperlink" Target="https://ec.europa.eu/eurostat/databrowser/view/DS-056120__custom_6262207/default/table" TargetMode="External"/><Relationship Id="rId52" Type="http://schemas.openxmlformats.org/officeDocument/2006/relationships/hyperlink" Target="https://ec.europa.eu/eurostat/databrowser/view/DS-056120__custom_6262207/default/table" TargetMode="External"/><Relationship Id="rId73" Type="http://schemas.openxmlformats.org/officeDocument/2006/relationships/hyperlink" Target="https://ec.europa.eu/eurostat/databrowser/view/DS-056120__custom_6262207/default/table" TargetMode="External"/><Relationship Id="rId78" Type="http://schemas.openxmlformats.org/officeDocument/2006/relationships/hyperlink" Target="https://ec.europa.eu/eurostat/databrowser/view/DS-056120__custom_6262207/default/table" TargetMode="External"/><Relationship Id="rId94" Type="http://schemas.openxmlformats.org/officeDocument/2006/relationships/hyperlink" Target="https://ec.europa.eu/eurostat/databrowser/view/DS-056120__custom_6262207/default/table" TargetMode="External"/><Relationship Id="rId99" Type="http://schemas.openxmlformats.org/officeDocument/2006/relationships/hyperlink" Target="https://ec.europa.eu/eurostat/databrowser/view/DS-056120__custom_6262207/default/table" TargetMode="External"/><Relationship Id="rId101" Type="http://schemas.openxmlformats.org/officeDocument/2006/relationships/hyperlink" Target="https://ec.europa.eu/eurostat/databrowser/view/DS-056120__custom_6262207/default/table" TargetMode="External"/><Relationship Id="rId122" Type="http://schemas.openxmlformats.org/officeDocument/2006/relationships/hyperlink" Target="https://ec.europa.eu/eurostat/databrowser/view/DS-056120__custom_6262207/default/table" TargetMode="External"/><Relationship Id="rId143" Type="http://schemas.openxmlformats.org/officeDocument/2006/relationships/hyperlink" Target="https://ec.europa.eu/eurostat/databrowser/view/DS-056120__custom_6262207/default/table" TargetMode="External"/><Relationship Id="rId148" Type="http://schemas.openxmlformats.org/officeDocument/2006/relationships/hyperlink" Target="https://ec.europa.eu/eurostat/databrowser/view/DS-056120__custom_6262207/default/table" TargetMode="External"/><Relationship Id="rId164" Type="http://schemas.openxmlformats.org/officeDocument/2006/relationships/hyperlink" Target="https://ec.europa.eu/eurostat/databrowser/view/DS-056120__custom_6262207/default/table" TargetMode="External"/><Relationship Id="rId169" Type="http://schemas.openxmlformats.org/officeDocument/2006/relationships/hyperlink" Target="https://ec.europa.eu/eurostat/databrowser/view/DS-056120__custom_6262207/default/table" TargetMode="External"/><Relationship Id="rId185" Type="http://schemas.openxmlformats.org/officeDocument/2006/relationships/hyperlink" Target="https://ec.europa.eu/eurostat/databrowser/view/DS-056120__custom_6262207/default/table" TargetMode="External"/><Relationship Id="rId4" Type="http://schemas.openxmlformats.org/officeDocument/2006/relationships/hyperlink" Target="https://ec.europa.eu/eurostat/databrowser/view/DS-056120__custom_6262207/default/table" TargetMode="External"/><Relationship Id="rId9" Type="http://schemas.openxmlformats.org/officeDocument/2006/relationships/hyperlink" Target="https://ec.europa.eu/eurostat/databrowser/view/DS-056120__custom_6262207/default/table" TargetMode="External"/><Relationship Id="rId180" Type="http://schemas.openxmlformats.org/officeDocument/2006/relationships/hyperlink" Target="https://ec.europa.eu/eurostat/databrowser/view/DS-056120__custom_6262207/default/table" TargetMode="External"/><Relationship Id="rId210" Type="http://schemas.openxmlformats.org/officeDocument/2006/relationships/hyperlink" Target="https://ec.europa.eu/eurostat/databrowser/view/DS-056120__custom_6262207/default/table" TargetMode="External"/><Relationship Id="rId215" Type="http://schemas.openxmlformats.org/officeDocument/2006/relationships/hyperlink" Target="https://ec.europa.eu/eurostat/databrowser/view/DS-056120__custom_6262207/default/table" TargetMode="External"/><Relationship Id="rId236" Type="http://schemas.openxmlformats.org/officeDocument/2006/relationships/hyperlink" Target="https://ec.europa.eu/eurostat/databrowser/view/DS-056120__custom_6262207/default/table" TargetMode="External"/><Relationship Id="rId26" Type="http://schemas.openxmlformats.org/officeDocument/2006/relationships/hyperlink" Target="https://ec.europa.eu/eurostat/databrowser/view/DS-056120__custom_6262207/default/table" TargetMode="External"/><Relationship Id="rId231" Type="http://schemas.openxmlformats.org/officeDocument/2006/relationships/hyperlink" Target="https://ec.europa.eu/eurostat/databrowser/view/DS-056120__custom_6262207/default/table" TargetMode="External"/><Relationship Id="rId47" Type="http://schemas.openxmlformats.org/officeDocument/2006/relationships/hyperlink" Target="https://ec.europa.eu/eurostat/databrowser/view/DS-056120__custom_6262207/default/table" TargetMode="External"/><Relationship Id="rId68" Type="http://schemas.openxmlformats.org/officeDocument/2006/relationships/hyperlink" Target="https://ec.europa.eu/eurostat/databrowser/view/DS-056120__custom_6262207/default/table" TargetMode="External"/><Relationship Id="rId89" Type="http://schemas.openxmlformats.org/officeDocument/2006/relationships/hyperlink" Target="https://ec.europa.eu/eurostat/databrowser/view/DS-056120__custom_6262207/default/table" TargetMode="External"/><Relationship Id="rId112" Type="http://schemas.openxmlformats.org/officeDocument/2006/relationships/hyperlink" Target="https://ec.europa.eu/eurostat/databrowser/view/DS-056120__custom_6262207/default/table" TargetMode="External"/><Relationship Id="rId133" Type="http://schemas.openxmlformats.org/officeDocument/2006/relationships/hyperlink" Target="https://ec.europa.eu/eurostat/databrowser/view/DS-056120__custom_6262207/default/table" TargetMode="External"/><Relationship Id="rId154" Type="http://schemas.openxmlformats.org/officeDocument/2006/relationships/hyperlink" Target="https://ec.europa.eu/eurostat/databrowser/view/DS-056120__custom_6262207/default/table" TargetMode="External"/><Relationship Id="rId175" Type="http://schemas.openxmlformats.org/officeDocument/2006/relationships/hyperlink" Target="https://ec.europa.eu/eurostat/databrowser/view/DS-056120__custom_6262207/default/table" TargetMode="External"/><Relationship Id="rId196" Type="http://schemas.openxmlformats.org/officeDocument/2006/relationships/hyperlink" Target="https://ec.europa.eu/eurostat/databrowser/view/DS-056120__custom_6262207/default/table" TargetMode="External"/><Relationship Id="rId200" Type="http://schemas.openxmlformats.org/officeDocument/2006/relationships/hyperlink" Target="https://ec.europa.eu/eurostat/databrowser/view/DS-056120__custom_6262207/default/table" TargetMode="External"/><Relationship Id="rId16" Type="http://schemas.openxmlformats.org/officeDocument/2006/relationships/hyperlink" Target="https://ec.europa.eu/eurostat/databrowser/view/DS-056120__custom_6262207/default/table" TargetMode="External"/><Relationship Id="rId221" Type="http://schemas.openxmlformats.org/officeDocument/2006/relationships/hyperlink" Target="https://ec.europa.eu/eurostat/databrowser/view/DS-056120__custom_6262207/default/table" TargetMode="External"/><Relationship Id="rId242" Type="http://schemas.openxmlformats.org/officeDocument/2006/relationships/hyperlink" Target="https://ec.europa.eu/eurostat/databrowser/view/DS-056120__custom_6262207/default/table" TargetMode="External"/><Relationship Id="rId37" Type="http://schemas.openxmlformats.org/officeDocument/2006/relationships/hyperlink" Target="https://ec.europa.eu/eurostat/databrowser/view/DS-056120__custom_6262207/default/table" TargetMode="External"/><Relationship Id="rId58" Type="http://schemas.openxmlformats.org/officeDocument/2006/relationships/hyperlink" Target="https://ec.europa.eu/eurostat/databrowser/view/DS-056120__custom_6262207/default/table" TargetMode="External"/><Relationship Id="rId79" Type="http://schemas.openxmlformats.org/officeDocument/2006/relationships/hyperlink" Target="https://ec.europa.eu/eurostat/databrowser/view/DS-056120__custom_6262207/default/table" TargetMode="External"/><Relationship Id="rId102" Type="http://schemas.openxmlformats.org/officeDocument/2006/relationships/hyperlink" Target="https://ec.europa.eu/eurostat/databrowser/view/DS-056120__custom_6262207/default/table" TargetMode="External"/><Relationship Id="rId123" Type="http://schemas.openxmlformats.org/officeDocument/2006/relationships/hyperlink" Target="https://ec.europa.eu/eurostat/databrowser/view/DS-056120__custom_6262207/default/table" TargetMode="External"/><Relationship Id="rId144" Type="http://schemas.openxmlformats.org/officeDocument/2006/relationships/hyperlink" Target="https://ec.europa.eu/eurostat/databrowser/view/DS-056120__custom_6262207/default/table" TargetMode="External"/><Relationship Id="rId90" Type="http://schemas.openxmlformats.org/officeDocument/2006/relationships/hyperlink" Target="https://ec.europa.eu/eurostat/databrowser/view/DS-056120__custom_6262207/default/table" TargetMode="External"/><Relationship Id="rId165" Type="http://schemas.openxmlformats.org/officeDocument/2006/relationships/hyperlink" Target="https://ec.europa.eu/eurostat/databrowser/view/DS-056120__custom_6262207/default/table" TargetMode="External"/><Relationship Id="rId186" Type="http://schemas.openxmlformats.org/officeDocument/2006/relationships/hyperlink" Target="https://ec.europa.eu/eurostat/databrowser/view/DS-056120__custom_6262207/default/table" TargetMode="External"/><Relationship Id="rId211" Type="http://schemas.openxmlformats.org/officeDocument/2006/relationships/hyperlink" Target="https://ec.europa.eu/eurostat/databrowser/view/DS-056120__custom_6262207/default/table" TargetMode="External"/><Relationship Id="rId232" Type="http://schemas.openxmlformats.org/officeDocument/2006/relationships/hyperlink" Target="https://ec.europa.eu/eurostat/databrowser/view/DS-056120__custom_6262207/default/table" TargetMode="External"/><Relationship Id="rId27" Type="http://schemas.openxmlformats.org/officeDocument/2006/relationships/hyperlink" Target="https://ec.europa.eu/eurostat/databrowser/view/DS-056120__custom_6262207/default/table" TargetMode="External"/><Relationship Id="rId48" Type="http://schemas.openxmlformats.org/officeDocument/2006/relationships/hyperlink" Target="https://ec.europa.eu/eurostat/databrowser/view/DS-056120__custom_6262207/default/table" TargetMode="External"/><Relationship Id="rId69" Type="http://schemas.openxmlformats.org/officeDocument/2006/relationships/hyperlink" Target="https://ec.europa.eu/eurostat/databrowser/view/DS-056120__custom_6262207/default/table" TargetMode="External"/><Relationship Id="rId113" Type="http://schemas.openxmlformats.org/officeDocument/2006/relationships/hyperlink" Target="https://ec.europa.eu/eurostat/databrowser/view/DS-056120__custom_6262207/default/table" TargetMode="External"/><Relationship Id="rId134" Type="http://schemas.openxmlformats.org/officeDocument/2006/relationships/hyperlink" Target="https://ec.europa.eu/eurostat/databrowser/view/DS-056120__custom_6262207/default/table" TargetMode="External"/><Relationship Id="rId80" Type="http://schemas.openxmlformats.org/officeDocument/2006/relationships/hyperlink" Target="https://ec.europa.eu/eurostat/databrowser/view/DS-056120__custom_6262207/default/table" TargetMode="External"/><Relationship Id="rId155" Type="http://schemas.openxmlformats.org/officeDocument/2006/relationships/hyperlink" Target="https://ec.europa.eu/eurostat/databrowser/view/DS-056120__custom_6262207/default/table" TargetMode="External"/><Relationship Id="rId176" Type="http://schemas.openxmlformats.org/officeDocument/2006/relationships/hyperlink" Target="https://ec.europa.eu/eurostat/databrowser/view/DS-056120__custom_6262207/default/table" TargetMode="External"/><Relationship Id="rId197" Type="http://schemas.openxmlformats.org/officeDocument/2006/relationships/hyperlink" Target="https://ec.europa.eu/eurostat/databrowser/view/DS-056120__custom_6262207/default/table" TargetMode="External"/><Relationship Id="rId201" Type="http://schemas.openxmlformats.org/officeDocument/2006/relationships/hyperlink" Target="https://ec.europa.eu/eurostat/databrowser/view/DS-056120__custom_6262207/default/table" TargetMode="External"/><Relationship Id="rId222" Type="http://schemas.openxmlformats.org/officeDocument/2006/relationships/hyperlink" Target="https://ec.europa.eu/eurostat/databrowser/view/DS-056120__custom_6262207/default/table" TargetMode="External"/><Relationship Id="rId243" Type="http://schemas.openxmlformats.org/officeDocument/2006/relationships/hyperlink" Target="https://ec.europa.eu/eurostat/databrowser/view/DS-056120__custom_6262207/default/table" TargetMode="External"/><Relationship Id="rId17" Type="http://schemas.openxmlformats.org/officeDocument/2006/relationships/hyperlink" Target="https://ec.europa.eu/eurostat/databrowser/view/DS-056120__custom_6262207/default/table" TargetMode="External"/><Relationship Id="rId38" Type="http://schemas.openxmlformats.org/officeDocument/2006/relationships/hyperlink" Target="https://ec.europa.eu/eurostat/databrowser/view/DS-056120__custom_6262207/default/table" TargetMode="External"/><Relationship Id="rId59" Type="http://schemas.openxmlformats.org/officeDocument/2006/relationships/hyperlink" Target="https://ec.europa.eu/eurostat/databrowser/view/DS-056120__custom_6262207/default/table" TargetMode="External"/><Relationship Id="rId103" Type="http://schemas.openxmlformats.org/officeDocument/2006/relationships/hyperlink" Target="https://ec.europa.eu/eurostat/databrowser/view/DS-056120__custom_6262207/default/table" TargetMode="External"/><Relationship Id="rId124" Type="http://schemas.openxmlformats.org/officeDocument/2006/relationships/hyperlink" Target="https://ec.europa.eu/eurostat/databrowser/view/DS-056120__custom_6262207/default/table" TargetMode="External"/><Relationship Id="rId70" Type="http://schemas.openxmlformats.org/officeDocument/2006/relationships/hyperlink" Target="https://ec.europa.eu/eurostat/databrowser/view/DS-056120__custom_6262207/default/table" TargetMode="External"/><Relationship Id="rId91" Type="http://schemas.openxmlformats.org/officeDocument/2006/relationships/hyperlink" Target="https://ec.europa.eu/eurostat/databrowser/view/DS-056120__custom_6262207/default/table" TargetMode="External"/><Relationship Id="rId145" Type="http://schemas.openxmlformats.org/officeDocument/2006/relationships/hyperlink" Target="https://ec.europa.eu/eurostat/databrowser/view/DS-056120__custom_6262207/default/table" TargetMode="External"/><Relationship Id="rId166" Type="http://schemas.openxmlformats.org/officeDocument/2006/relationships/hyperlink" Target="https://ec.europa.eu/eurostat/databrowser/view/DS-056120__custom_6262207/default/table" TargetMode="External"/><Relationship Id="rId187" Type="http://schemas.openxmlformats.org/officeDocument/2006/relationships/hyperlink" Target="https://ec.europa.eu/eurostat/databrowser/view/DS-056120__custom_6262207/default/table" TargetMode="External"/><Relationship Id="rId1" Type="http://schemas.openxmlformats.org/officeDocument/2006/relationships/hyperlink" Target="https://ec.europa.eu/eurostat/databrowser/view/DS-056120__custom_6262207/default/table" TargetMode="External"/><Relationship Id="rId212" Type="http://schemas.openxmlformats.org/officeDocument/2006/relationships/hyperlink" Target="https://ec.europa.eu/eurostat/databrowser/view/DS-056120__custom_6262207/default/table" TargetMode="External"/><Relationship Id="rId233" Type="http://schemas.openxmlformats.org/officeDocument/2006/relationships/hyperlink" Target="https://ec.europa.eu/eurostat/databrowser/view/DS-056120__custom_6262207/default/table" TargetMode="External"/><Relationship Id="rId28" Type="http://schemas.openxmlformats.org/officeDocument/2006/relationships/hyperlink" Target="https://ec.europa.eu/eurostat/databrowser/view/DS-056120__custom_6262207/default/table" TargetMode="External"/><Relationship Id="rId49" Type="http://schemas.openxmlformats.org/officeDocument/2006/relationships/hyperlink" Target="https://ec.europa.eu/eurostat/databrowser/view/DS-056120__custom_6262207/default/table" TargetMode="External"/><Relationship Id="rId114" Type="http://schemas.openxmlformats.org/officeDocument/2006/relationships/hyperlink" Target="https://ec.europa.eu/eurostat/databrowser/view/DS-056120__custom_6262207/default/table" TargetMode="External"/><Relationship Id="rId60" Type="http://schemas.openxmlformats.org/officeDocument/2006/relationships/hyperlink" Target="https://ec.europa.eu/eurostat/databrowser/view/DS-056120__custom_6262207/default/table" TargetMode="External"/><Relationship Id="rId81" Type="http://schemas.openxmlformats.org/officeDocument/2006/relationships/hyperlink" Target="https://ec.europa.eu/eurostat/databrowser/view/DS-056120__custom_6262207/default/table" TargetMode="External"/><Relationship Id="rId135" Type="http://schemas.openxmlformats.org/officeDocument/2006/relationships/hyperlink" Target="https://ec.europa.eu/eurostat/databrowser/view/DS-056120__custom_6262207/default/table" TargetMode="External"/><Relationship Id="rId156" Type="http://schemas.openxmlformats.org/officeDocument/2006/relationships/hyperlink" Target="https://ec.europa.eu/eurostat/databrowser/view/DS-056120__custom_6262207/default/table" TargetMode="External"/><Relationship Id="rId177" Type="http://schemas.openxmlformats.org/officeDocument/2006/relationships/hyperlink" Target="https://ec.europa.eu/eurostat/databrowser/view/DS-056120__custom_6262207/default/table" TargetMode="External"/><Relationship Id="rId198" Type="http://schemas.openxmlformats.org/officeDocument/2006/relationships/hyperlink" Target="https://ec.europa.eu/eurostat/databrowser/view/DS-056120__custom_6262207/default/table" TargetMode="External"/><Relationship Id="rId202" Type="http://schemas.openxmlformats.org/officeDocument/2006/relationships/hyperlink" Target="https://ec.europa.eu/eurostat/databrowser/view/DS-056120__custom_6262207/default/table" TargetMode="External"/><Relationship Id="rId223" Type="http://schemas.openxmlformats.org/officeDocument/2006/relationships/hyperlink" Target="https://ec.europa.eu/eurostat/databrowser/view/DS-056120__custom_6262207/default/table" TargetMode="External"/><Relationship Id="rId244" Type="http://schemas.openxmlformats.org/officeDocument/2006/relationships/hyperlink" Target="https://ec.europa.eu/eurostat/databrowser/view/DS-056120__custom_6262207/default/table" TargetMode="External"/><Relationship Id="rId18" Type="http://schemas.openxmlformats.org/officeDocument/2006/relationships/hyperlink" Target="https://ec.europa.eu/eurostat/databrowser/view/DS-056120__custom_6262207/default/table" TargetMode="External"/><Relationship Id="rId39" Type="http://schemas.openxmlformats.org/officeDocument/2006/relationships/hyperlink" Target="https://ec.europa.eu/eurostat/databrowser/view/DS-056120__custom_6262207/default/table" TargetMode="External"/><Relationship Id="rId50" Type="http://schemas.openxmlformats.org/officeDocument/2006/relationships/hyperlink" Target="https://ec.europa.eu/eurostat/databrowser/view/DS-056120__custom_6262207/default/table" TargetMode="External"/><Relationship Id="rId104" Type="http://schemas.openxmlformats.org/officeDocument/2006/relationships/hyperlink" Target="https://ec.europa.eu/eurostat/databrowser/view/DS-056120__custom_6262207/default/table" TargetMode="External"/><Relationship Id="rId125" Type="http://schemas.openxmlformats.org/officeDocument/2006/relationships/hyperlink" Target="https://ec.europa.eu/eurostat/databrowser/view/DS-056120__custom_6262207/default/table" TargetMode="External"/><Relationship Id="rId146" Type="http://schemas.openxmlformats.org/officeDocument/2006/relationships/hyperlink" Target="https://ec.europa.eu/eurostat/databrowser/view/DS-056120__custom_6262207/default/table" TargetMode="External"/><Relationship Id="rId167" Type="http://schemas.openxmlformats.org/officeDocument/2006/relationships/hyperlink" Target="https://ec.europa.eu/eurostat/databrowser/view/DS-056120__custom_6262207/default/table" TargetMode="External"/><Relationship Id="rId188" Type="http://schemas.openxmlformats.org/officeDocument/2006/relationships/hyperlink" Target="https://ec.europa.eu/eurostat/databrowser/view/DS-056120__custom_6262207/default/table" TargetMode="External"/><Relationship Id="rId71" Type="http://schemas.openxmlformats.org/officeDocument/2006/relationships/hyperlink" Target="https://ec.europa.eu/eurostat/databrowser/view/DS-056120__custom_6262207/default/table" TargetMode="External"/><Relationship Id="rId92" Type="http://schemas.openxmlformats.org/officeDocument/2006/relationships/hyperlink" Target="https://ec.europa.eu/eurostat/databrowser/view/DS-056120__custom_6262207/default/table" TargetMode="External"/><Relationship Id="rId213" Type="http://schemas.openxmlformats.org/officeDocument/2006/relationships/hyperlink" Target="https://ec.europa.eu/eurostat/databrowser/view/DS-056120__custom_6262207/default/table" TargetMode="External"/><Relationship Id="rId234" Type="http://schemas.openxmlformats.org/officeDocument/2006/relationships/hyperlink" Target="https://ec.europa.eu/eurostat/databrowser/view/DS-056120__custom_6262207/default/table" TargetMode="External"/><Relationship Id="rId2" Type="http://schemas.openxmlformats.org/officeDocument/2006/relationships/hyperlink" Target="https://ec.europa.eu/eurostat/databrowser/view/DS-056120__custom_6262207/default/table" TargetMode="External"/><Relationship Id="rId29" Type="http://schemas.openxmlformats.org/officeDocument/2006/relationships/hyperlink" Target="https://ec.europa.eu/eurostat/databrowser/view/DS-056120__custom_6262207/default/table" TargetMode="External"/><Relationship Id="rId40" Type="http://schemas.openxmlformats.org/officeDocument/2006/relationships/hyperlink" Target="https://ec.europa.eu/eurostat/databrowser/view/DS-056120__custom_6262207/default/table" TargetMode="External"/><Relationship Id="rId115" Type="http://schemas.openxmlformats.org/officeDocument/2006/relationships/hyperlink" Target="https://ec.europa.eu/eurostat/databrowser/view/DS-056120__custom_6262207/default/table" TargetMode="External"/><Relationship Id="rId136" Type="http://schemas.openxmlformats.org/officeDocument/2006/relationships/hyperlink" Target="https://ec.europa.eu/eurostat/databrowser/view/DS-056120__custom_6262207/default/table" TargetMode="External"/><Relationship Id="rId157" Type="http://schemas.openxmlformats.org/officeDocument/2006/relationships/hyperlink" Target="https://ec.europa.eu/eurostat/databrowser/view/DS-056120__custom_6262207/default/table" TargetMode="External"/><Relationship Id="rId178" Type="http://schemas.openxmlformats.org/officeDocument/2006/relationships/hyperlink" Target="https://ec.europa.eu/eurostat/databrowser/view/DS-056120__custom_6262207/default/table" TargetMode="External"/><Relationship Id="rId61" Type="http://schemas.openxmlformats.org/officeDocument/2006/relationships/hyperlink" Target="https://ec.europa.eu/eurostat/databrowser/view/DS-056120__custom_6262207/default/table" TargetMode="External"/><Relationship Id="rId82" Type="http://schemas.openxmlformats.org/officeDocument/2006/relationships/hyperlink" Target="https://ec.europa.eu/eurostat/databrowser/view/DS-056120__custom_6262207/default/table" TargetMode="External"/><Relationship Id="rId199" Type="http://schemas.openxmlformats.org/officeDocument/2006/relationships/hyperlink" Target="https://ec.europa.eu/eurostat/databrowser/view/DS-056120__custom_6262207/default/table" TargetMode="External"/><Relationship Id="rId203" Type="http://schemas.openxmlformats.org/officeDocument/2006/relationships/hyperlink" Target="https://ec.europa.eu/eurostat/databrowser/view/DS-056120__custom_6262207/default/table" TargetMode="External"/><Relationship Id="rId19" Type="http://schemas.openxmlformats.org/officeDocument/2006/relationships/hyperlink" Target="https://ec.europa.eu/eurostat/databrowser/view/DS-056120__custom_6262207/default/table" TargetMode="External"/><Relationship Id="rId224" Type="http://schemas.openxmlformats.org/officeDocument/2006/relationships/hyperlink" Target="https://ec.europa.eu/eurostat/databrowser/view/DS-056120__custom_6262207/default/table" TargetMode="External"/><Relationship Id="rId245" Type="http://schemas.openxmlformats.org/officeDocument/2006/relationships/hyperlink" Target="https://ec.europa.eu/eurostat/databrowser/view/DS-056120__custom_6262207/default/table" TargetMode="External"/><Relationship Id="rId30" Type="http://schemas.openxmlformats.org/officeDocument/2006/relationships/hyperlink" Target="https://ec.europa.eu/eurostat/databrowser/view/DS-056120__custom_6262207/default/table" TargetMode="External"/><Relationship Id="rId105" Type="http://schemas.openxmlformats.org/officeDocument/2006/relationships/hyperlink" Target="https://ec.europa.eu/eurostat/databrowser/view/DS-056120__custom_6262207/default/table" TargetMode="External"/><Relationship Id="rId126" Type="http://schemas.openxmlformats.org/officeDocument/2006/relationships/hyperlink" Target="https://ec.europa.eu/eurostat/databrowser/view/DS-056120__custom_6262207/default/table" TargetMode="External"/><Relationship Id="rId147" Type="http://schemas.openxmlformats.org/officeDocument/2006/relationships/hyperlink" Target="https://ec.europa.eu/eurostat/databrowser/view/DS-056120__custom_6262207/default/table" TargetMode="External"/><Relationship Id="rId168" Type="http://schemas.openxmlformats.org/officeDocument/2006/relationships/hyperlink" Target="https://ec.europa.eu/eurostat/databrowser/view/DS-056120__custom_6262207/default/table" TargetMode="External"/><Relationship Id="rId51" Type="http://schemas.openxmlformats.org/officeDocument/2006/relationships/hyperlink" Target="https://ec.europa.eu/eurostat/databrowser/view/DS-056120__custom_6262207/default/table" TargetMode="External"/><Relationship Id="rId72" Type="http://schemas.openxmlformats.org/officeDocument/2006/relationships/hyperlink" Target="https://ec.europa.eu/eurostat/databrowser/view/DS-056120__custom_6262207/default/table" TargetMode="External"/><Relationship Id="rId93" Type="http://schemas.openxmlformats.org/officeDocument/2006/relationships/hyperlink" Target="https://ec.europa.eu/eurostat/databrowser/view/DS-056120__custom_6262207/default/table" TargetMode="External"/><Relationship Id="rId189" Type="http://schemas.openxmlformats.org/officeDocument/2006/relationships/hyperlink" Target="https://ec.europa.eu/eurostat/databrowser/view/DS-056120__custom_6262207/default/table" TargetMode="External"/><Relationship Id="rId3" Type="http://schemas.openxmlformats.org/officeDocument/2006/relationships/hyperlink" Target="https://ec.europa.eu/eurostat/databrowser/view/DS-056120__custom_6262207/default/table" TargetMode="External"/><Relationship Id="rId214" Type="http://schemas.openxmlformats.org/officeDocument/2006/relationships/hyperlink" Target="https://ec.europa.eu/eurostat/databrowser/view/DS-056120__custom_6262207/default/table" TargetMode="External"/><Relationship Id="rId235" Type="http://schemas.openxmlformats.org/officeDocument/2006/relationships/hyperlink" Target="https://ec.europa.eu/eurostat/databrowser/view/DS-056120__custom_6262207/default/table" TargetMode="External"/><Relationship Id="rId116" Type="http://schemas.openxmlformats.org/officeDocument/2006/relationships/hyperlink" Target="https://ec.europa.eu/eurostat/databrowser/view/DS-056120__custom_6262207/default/table" TargetMode="External"/><Relationship Id="rId137" Type="http://schemas.openxmlformats.org/officeDocument/2006/relationships/hyperlink" Target="https://ec.europa.eu/eurostat/databrowser/view/DS-056120__custom_6262207/default/table" TargetMode="External"/><Relationship Id="rId158" Type="http://schemas.openxmlformats.org/officeDocument/2006/relationships/hyperlink" Target="https://ec.europa.eu/eurostat/databrowser/view/DS-056120__custom_6262207/default/table" TargetMode="External"/><Relationship Id="rId20" Type="http://schemas.openxmlformats.org/officeDocument/2006/relationships/hyperlink" Target="https://ec.europa.eu/eurostat/databrowser/view/DS-056120__custom_6262207/default/table" TargetMode="External"/><Relationship Id="rId41" Type="http://schemas.openxmlformats.org/officeDocument/2006/relationships/hyperlink" Target="https://ec.europa.eu/eurostat/databrowser/view/DS-056120__custom_6262207/default/table" TargetMode="External"/><Relationship Id="rId62" Type="http://schemas.openxmlformats.org/officeDocument/2006/relationships/hyperlink" Target="https://ec.europa.eu/eurostat/databrowser/view/DS-056120__custom_6262207/default/table" TargetMode="External"/><Relationship Id="rId83" Type="http://schemas.openxmlformats.org/officeDocument/2006/relationships/hyperlink" Target="https://ec.europa.eu/eurostat/databrowser/view/DS-056120__custom_6262207/default/table" TargetMode="External"/><Relationship Id="rId179" Type="http://schemas.openxmlformats.org/officeDocument/2006/relationships/hyperlink" Target="https://ec.europa.eu/eurostat/databrowser/view/DS-056120__custom_6262207/default/table" TargetMode="External"/><Relationship Id="rId190" Type="http://schemas.openxmlformats.org/officeDocument/2006/relationships/hyperlink" Target="https://ec.europa.eu/eurostat/databrowser/view/DS-056120__custom_6262207/default/table" TargetMode="External"/><Relationship Id="rId204" Type="http://schemas.openxmlformats.org/officeDocument/2006/relationships/hyperlink" Target="https://ec.europa.eu/eurostat/databrowser/view/DS-056120__custom_6262207/default/table" TargetMode="External"/><Relationship Id="rId225" Type="http://schemas.openxmlformats.org/officeDocument/2006/relationships/hyperlink" Target="https://ec.europa.eu/eurostat/databrowser/view/DS-056120__custom_6262207/default/table" TargetMode="External"/><Relationship Id="rId246" Type="http://schemas.openxmlformats.org/officeDocument/2006/relationships/hyperlink" Target="https://ec.europa.eu/eurostat/databrowser/view/DS-056120__custom_6262207/default/table" TargetMode="External"/><Relationship Id="rId106" Type="http://schemas.openxmlformats.org/officeDocument/2006/relationships/hyperlink" Target="https://ec.europa.eu/eurostat/databrowser/view/DS-056120__custom_6262207/default/table" TargetMode="External"/><Relationship Id="rId127" Type="http://schemas.openxmlformats.org/officeDocument/2006/relationships/hyperlink" Target="https://ec.europa.eu/eurostat/databrowser/view/DS-056120__custom_6262207/default/tabl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doi.org/10.1016/j.resconrec.2023.107389" TargetMode="External"/><Relationship Id="rId2" Type="http://schemas.openxmlformats.org/officeDocument/2006/relationships/hyperlink" Target="https://doi.org/10.1016/j.resconrec.2023.107389" TargetMode="External"/><Relationship Id="rId1" Type="http://schemas.openxmlformats.org/officeDocument/2006/relationships/hyperlink" Target="https://doi.org/10.1016/j.resconrec.2023.107389" TargetMode="External"/><Relationship Id="rId5" Type="http://schemas.openxmlformats.org/officeDocument/2006/relationships/printerSettings" Target="../printerSettings/printerSettings9.bin"/><Relationship Id="rId4" Type="http://schemas.openxmlformats.org/officeDocument/2006/relationships/hyperlink" Target="https://doi.org/10.1016/j.resconrec.2023.107389"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vvvf.nl/stream/jaaroverzicht-vvvf-in-2022" TargetMode="External"/><Relationship Id="rId3" Type="http://schemas.openxmlformats.org/officeDocument/2006/relationships/hyperlink" Target="https://docplayer.nl/138278287-Vvvf-jaaroverzicht-2018.html" TargetMode="External"/><Relationship Id="rId7" Type="http://schemas.openxmlformats.org/officeDocument/2006/relationships/hyperlink" Target="https://www.vvvf.nl/stream/jaaroverzicht-vvvf-in-2022" TargetMode="External"/><Relationship Id="rId2" Type="http://schemas.openxmlformats.org/officeDocument/2006/relationships/hyperlink" Target="https://issuu.com/vvvf/docs/vvvf_jaaroverzicht2017_webversie" TargetMode="External"/><Relationship Id="rId1" Type="http://schemas.openxmlformats.org/officeDocument/2006/relationships/hyperlink" Target="https://issuu.com/vvvf/docs/vvvf_jaaroverzicht2017_webversie" TargetMode="External"/><Relationship Id="rId6" Type="http://schemas.openxmlformats.org/officeDocument/2006/relationships/hyperlink" Target="https://www.vvvf.nl/stream/jaaroverzicht-vvvf-in-2022" TargetMode="External"/><Relationship Id="rId5" Type="http://schemas.openxmlformats.org/officeDocument/2006/relationships/hyperlink" Target="https://docplayer.nl/189357972-2019-verf-en-drukinktindustrie-sector-ketens.html" TargetMode="External"/><Relationship Id="rId4" Type="http://schemas.openxmlformats.org/officeDocument/2006/relationships/hyperlink" Target="https://docplayer.nl/138278287-Vvvf-jaaroverzicht-2018.html" TargetMode="External"/><Relationship Id="rId9"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8" Type="http://schemas.openxmlformats.org/officeDocument/2006/relationships/hyperlink" Target="https://web.archive.org/web/20230930160250/https:/apeeurope.eu/statistics/" TargetMode="External"/><Relationship Id="rId13" Type="http://schemas.openxmlformats.org/officeDocument/2006/relationships/hyperlink" Target="https://web.archive.org/web/20230930160250/https:/apeeurope.eu/statistics/" TargetMode="External"/><Relationship Id="rId18" Type="http://schemas.openxmlformats.org/officeDocument/2006/relationships/hyperlink" Target="https://web.archive.org/web/20230930160250/https:/apeeurope.eu/statistics/" TargetMode="External"/><Relationship Id="rId3" Type="http://schemas.openxmlformats.org/officeDocument/2006/relationships/hyperlink" Target="https://web.archive.org/web/20230930160250/https:/apeeurope.eu/statistics/" TargetMode="External"/><Relationship Id="rId7" Type="http://schemas.openxmlformats.org/officeDocument/2006/relationships/hyperlink" Target="https://web.archive.org/web/20230930160250/https:/apeeurope.eu/statistics/" TargetMode="External"/><Relationship Id="rId12" Type="http://schemas.openxmlformats.org/officeDocument/2006/relationships/hyperlink" Target="https://web.archive.org/web/20230930160250/https:/apeeurope.eu/statistics/" TargetMode="External"/><Relationship Id="rId17" Type="http://schemas.openxmlformats.org/officeDocument/2006/relationships/hyperlink" Target="https://web.archive.org/web/20230930160250/https:/apeeurope.eu/statistics/" TargetMode="External"/><Relationship Id="rId2" Type="http://schemas.openxmlformats.org/officeDocument/2006/relationships/hyperlink" Target="https://web.archive.org/web/20230930160250/https:/apeeurope.eu/statistics/" TargetMode="External"/><Relationship Id="rId16" Type="http://schemas.openxmlformats.org/officeDocument/2006/relationships/hyperlink" Target="https://web.archive.org/web/20230930160250/https:/apeeurope.eu/statistics/" TargetMode="External"/><Relationship Id="rId20" Type="http://schemas.openxmlformats.org/officeDocument/2006/relationships/printerSettings" Target="../printerSettings/printerSettings11.bin"/><Relationship Id="rId1" Type="http://schemas.openxmlformats.org/officeDocument/2006/relationships/hyperlink" Target="https://web.archive.org/web/20230930160250/https:/apeeurope.eu/statistics/" TargetMode="External"/><Relationship Id="rId6" Type="http://schemas.openxmlformats.org/officeDocument/2006/relationships/hyperlink" Target="https://web.archive.org/web/20230930160250/https:/apeeurope.eu/statistics/" TargetMode="External"/><Relationship Id="rId11" Type="http://schemas.openxmlformats.org/officeDocument/2006/relationships/hyperlink" Target="https://web.archive.org/web/20230930160250/https:/apeeurope.eu/statistics/" TargetMode="External"/><Relationship Id="rId5" Type="http://schemas.openxmlformats.org/officeDocument/2006/relationships/hyperlink" Target="https://web.archive.org/web/20230930160250/https:/apeeurope.eu/statistics/" TargetMode="External"/><Relationship Id="rId15" Type="http://schemas.openxmlformats.org/officeDocument/2006/relationships/hyperlink" Target="https://web.archive.org/web/20230930160250/https:/apeeurope.eu/statistics/" TargetMode="External"/><Relationship Id="rId10" Type="http://schemas.openxmlformats.org/officeDocument/2006/relationships/hyperlink" Target="https://web.archive.org/web/20230930160250/https:/apeeurope.eu/statistics/" TargetMode="External"/><Relationship Id="rId19" Type="http://schemas.openxmlformats.org/officeDocument/2006/relationships/hyperlink" Target="https://ec.europa.eu/eurostat/databrowser/bookmark/ad869a47-4196-4282-b054-0a75caf9373f?lang=en" TargetMode="External"/><Relationship Id="rId4" Type="http://schemas.openxmlformats.org/officeDocument/2006/relationships/hyperlink" Target="https://web.archive.org/web/20230930160250/https:/apeeurope.eu/statistics/" TargetMode="External"/><Relationship Id="rId9" Type="http://schemas.openxmlformats.org/officeDocument/2006/relationships/hyperlink" Target="https://web.archive.org/web/20230930160250/https:/apeeurope.eu/statistics/" TargetMode="External"/><Relationship Id="rId14" Type="http://schemas.openxmlformats.org/officeDocument/2006/relationships/hyperlink" Target="https://web.archive.org/web/20230930160250/https:/apeeurope.eu/statistics/"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echa.europa.eu/documents/10162/827ab66d-8f59-9076-e000-064274ba5b5e" TargetMode="External"/><Relationship Id="rId3" Type="http://schemas.openxmlformats.org/officeDocument/2006/relationships/hyperlink" Target="https://echa.europa.eu/documents/10162/827ab66d-8f59-9076-e000-064274ba5b5e" TargetMode="External"/><Relationship Id="rId7" Type="http://schemas.openxmlformats.org/officeDocument/2006/relationships/hyperlink" Target="https://echa.europa.eu/documents/10162/827ab66d-8f59-9076-e000-064274ba5b5e" TargetMode="External"/><Relationship Id="rId2" Type="http://schemas.openxmlformats.org/officeDocument/2006/relationships/hyperlink" Target="https://ec.europa.eu/eurostat/databrowser/bookmark/ad869a47-4196-4282-b054-0a75caf9373f?lang=en" TargetMode="External"/><Relationship Id="rId1" Type="http://schemas.openxmlformats.org/officeDocument/2006/relationships/hyperlink" Target="https://ec.europa.eu/eurostat/databrowser/view/DEMO_GIND__custom_2733962/bookmark/table?lang=en&amp;bookmarkId=7084ed24-6b91-4cf3-b90d-d47565593505" TargetMode="External"/><Relationship Id="rId6" Type="http://schemas.openxmlformats.org/officeDocument/2006/relationships/hyperlink" Target="https://echa.europa.eu/documents/10162/827ab66d-8f59-9076-e000-064274ba5b5e" TargetMode="External"/><Relationship Id="rId11" Type="http://schemas.openxmlformats.org/officeDocument/2006/relationships/printerSettings" Target="../printerSettings/printerSettings12.bin"/><Relationship Id="rId5" Type="http://schemas.openxmlformats.org/officeDocument/2006/relationships/hyperlink" Target="https://echa.europa.eu/documents/10162/827ab66d-8f59-9076-e000-064274ba5b5e" TargetMode="External"/><Relationship Id="rId10" Type="http://schemas.openxmlformats.org/officeDocument/2006/relationships/hyperlink" Target="https://www.eerstekamer.nl/overig/20190220/verwerking_van_kunstgras_huidige/document" TargetMode="External"/><Relationship Id="rId4" Type="http://schemas.openxmlformats.org/officeDocument/2006/relationships/hyperlink" Target="https://ec.europa.eu/eurostat/databrowser/bookmark/2e211686-43a6-4cb8-90f4-401aa9ef8d81?lang=en" TargetMode="External"/><Relationship Id="rId9" Type="http://schemas.openxmlformats.org/officeDocument/2006/relationships/hyperlink" Target="https://echa.europa.eu/documents/10162/827ab66d-8f59-9076-e000-064274ba5b5e"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onlinelibrary.wiley.com/doi/full/10.1111/jiec.13175" TargetMode="External"/><Relationship Id="rId13" Type="http://schemas.openxmlformats.org/officeDocument/2006/relationships/hyperlink" Target="https://ec.europa.eu/eurostat/databrowser/bookmark/19fb9122-d657-402c-9caf-78be4e0aa7ea?lang=en" TargetMode="External"/><Relationship Id="rId18" Type="http://schemas.openxmlformats.org/officeDocument/2006/relationships/hyperlink" Target="https://ec.europa.eu/eurostat/databrowser/bookmark/19fb9122-d657-402c-9caf-78be4e0aa7ea?lang=en" TargetMode="External"/><Relationship Id="rId3" Type="http://schemas.openxmlformats.org/officeDocument/2006/relationships/hyperlink" Target="https://onlinelibrary.wiley.com/doi/full/10.1111/jiec.13175" TargetMode="External"/><Relationship Id="rId21" Type="http://schemas.openxmlformats.org/officeDocument/2006/relationships/printerSettings" Target="../printerSettings/printerSettings13.bin"/><Relationship Id="rId7" Type="http://schemas.openxmlformats.org/officeDocument/2006/relationships/hyperlink" Target="https://onlinelibrary.wiley.com/doi/full/10.1111/jiec.13175" TargetMode="External"/><Relationship Id="rId12" Type="http://schemas.openxmlformats.org/officeDocument/2006/relationships/hyperlink" Target="https://ec.europa.eu/eurostat/databrowser/bookmark/19fb9122-d657-402c-9caf-78be4e0aa7ea?lang=en" TargetMode="External"/><Relationship Id="rId17" Type="http://schemas.openxmlformats.org/officeDocument/2006/relationships/hyperlink" Target="https://ec.europa.eu/eurostat/databrowser/bookmark/19fb9122-d657-402c-9caf-78be4e0aa7ea?lang=en" TargetMode="External"/><Relationship Id="rId2" Type="http://schemas.openxmlformats.org/officeDocument/2006/relationships/hyperlink" Target="https://onlinelibrary.wiley.com/doi/full/10.1111/jiec.13175" TargetMode="External"/><Relationship Id="rId16" Type="http://schemas.openxmlformats.org/officeDocument/2006/relationships/hyperlink" Target="https://ec.europa.eu/eurostat/databrowser/bookmark/19fb9122-d657-402c-9caf-78be4e0aa7ea?lang=en" TargetMode="External"/><Relationship Id="rId20" Type="http://schemas.openxmlformats.org/officeDocument/2006/relationships/hyperlink" Target="https://ec.europa.eu/eurostat/databrowser/bookmark/19fb9122-d657-402c-9caf-78be4e0aa7ea?lang=en" TargetMode="External"/><Relationship Id="rId1" Type="http://schemas.openxmlformats.org/officeDocument/2006/relationships/hyperlink" Target="https://onlinelibrary.wiley.com/doi/full/10.1111/jiec.13175" TargetMode="External"/><Relationship Id="rId6" Type="http://schemas.openxmlformats.org/officeDocument/2006/relationships/hyperlink" Target="https://onlinelibrary.wiley.com/doi/full/10.1111/jiec.13175" TargetMode="External"/><Relationship Id="rId11" Type="http://schemas.openxmlformats.org/officeDocument/2006/relationships/hyperlink" Target="https://ec.europa.eu/eurostat/databrowser/bookmark/19fb9122-d657-402c-9caf-78be4e0aa7ea?lang=en" TargetMode="External"/><Relationship Id="rId5" Type="http://schemas.openxmlformats.org/officeDocument/2006/relationships/hyperlink" Target="https://onlinelibrary.wiley.com/doi/full/10.1111/jiec.13175" TargetMode="External"/><Relationship Id="rId15" Type="http://schemas.openxmlformats.org/officeDocument/2006/relationships/hyperlink" Target="https://ec.europa.eu/eurostat/databrowser/bookmark/19fb9122-d657-402c-9caf-78be4e0aa7ea?lang=en" TargetMode="External"/><Relationship Id="rId10" Type="http://schemas.openxmlformats.org/officeDocument/2006/relationships/hyperlink" Target="https://ec.europa.eu/eurostat/databrowser/bookmark/19fb9122-d657-402c-9caf-78be4e0aa7ea?lang=en" TargetMode="External"/><Relationship Id="rId19" Type="http://schemas.openxmlformats.org/officeDocument/2006/relationships/hyperlink" Target="https://ec.europa.eu/eurostat/databrowser/bookmark/19fb9122-d657-402c-9caf-78be4e0aa7ea?lang=en" TargetMode="External"/><Relationship Id="rId4" Type="http://schemas.openxmlformats.org/officeDocument/2006/relationships/hyperlink" Target="https://onlinelibrary.wiley.com/doi/full/10.1111/jiec.13175" TargetMode="External"/><Relationship Id="rId9" Type="http://schemas.openxmlformats.org/officeDocument/2006/relationships/hyperlink" Target="https://ec.europa.eu/eurostat/databrowser/view/env_waspac/default/table?lang=en" TargetMode="External"/><Relationship Id="rId14" Type="http://schemas.openxmlformats.org/officeDocument/2006/relationships/hyperlink" Target="https://ec.europa.eu/eurostat/databrowser/bookmark/19fb9122-d657-402c-9caf-78be4e0aa7ea?lang=en" TargetMode="External"/><Relationship Id="rId22"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3" Type="http://schemas.openxmlformats.org/officeDocument/2006/relationships/hyperlink" Target="https://nos.nl/artikel/2193860-plastic-afval-recyclen-heeft-weinig-effect-op-milieu" TargetMode="External"/><Relationship Id="rId2" Type="http://schemas.openxmlformats.org/officeDocument/2006/relationships/hyperlink" Target="https://www.verenigingafvalbedrijven.nl/userfiles/files/VA_Meer_waarde_uit_gft-afval_Jaarverslag_Afdeling_Bioconversie.pdf" TargetMode="External"/><Relationship Id="rId1" Type="http://schemas.openxmlformats.org/officeDocument/2006/relationships/hyperlink" Target="https://www.verenigingafvalbedrijven.nl/userfiles/files/VA_Meer_waarde_uit_gft-afval_Jaarverslag_Afdeling_Bioconversie.pdf" TargetMode="External"/><Relationship Id="rId4"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s://www.oecd-ilibrary.org/environment/global-plastics-outlook_aa1edf33-en" TargetMode="External"/><Relationship Id="rId1" Type="http://schemas.openxmlformats.org/officeDocument/2006/relationships/hyperlink" Target="https://www.oecd-ilibrary.org/environment/global-plastics-outlook_aa1edf33-en"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hyperlink" Target="https://elitepropainting.com/how-long-does-paint-last-lifespan-of-paint/" TargetMode="External"/><Relationship Id="rId13" Type="http://schemas.openxmlformats.org/officeDocument/2006/relationships/hyperlink" Target="https://www.verfwinkel.nl/blog/hoe-vaak-is-buitenschilderwerk-en-kozijnen-schilderen-nodig/" TargetMode="External"/><Relationship Id="rId18" Type="http://schemas.openxmlformats.org/officeDocument/2006/relationships/hyperlink" Target="https://woodmodo.com/blogs/style-blog/how-long-does-wood-furniture-last-a-comprehensive-guide" TargetMode="External"/><Relationship Id="rId3" Type="http://schemas.openxmlformats.org/officeDocument/2006/relationships/hyperlink" Target="https://elitepropainting.com/how-long-does-paint-last-lifespan-of-paint/" TargetMode="External"/><Relationship Id="rId7" Type="http://schemas.openxmlformats.org/officeDocument/2006/relationships/hyperlink" Target="https://elitepropainting.com/how-long-does-paint-last-lifespan-of-paint/" TargetMode="External"/><Relationship Id="rId12" Type="http://schemas.openxmlformats.org/officeDocument/2006/relationships/hyperlink" Target="https://www.verfwinkel.nl/blog/hoe-vaak-is-buitenschilderwerk-en-kozijnen-schilderen-nodig/" TargetMode="External"/><Relationship Id="rId17" Type="http://schemas.openxmlformats.org/officeDocument/2006/relationships/hyperlink" Target="https://woodmodo.com/blogs/style-blog/how-long-does-wood-furniture-last-a-comprehensive-guide" TargetMode="External"/><Relationship Id="rId2" Type="http://schemas.openxmlformats.org/officeDocument/2006/relationships/hyperlink" Target="https://verfhandelnatte.nl/tip-4-wanneer-zijn-deuren-en-kozijnen-toe-aan-nieuwe-buitenlak/" TargetMode="External"/><Relationship Id="rId16" Type="http://schemas.openxmlformats.org/officeDocument/2006/relationships/hyperlink" Target="https://www.verfwinkel.nl/blog/hoe-vaak-je-huis-schilderen-binnen-and-buiten/" TargetMode="External"/><Relationship Id="rId1" Type="http://schemas.openxmlformats.org/officeDocument/2006/relationships/hyperlink" Target="https://verfhandelnatte.nl/tip-4-wanneer-zijn-deuren-en-kozijnen-toe-aan-nieuwe-buitenlak/" TargetMode="External"/><Relationship Id="rId6" Type="http://schemas.openxmlformats.org/officeDocument/2006/relationships/hyperlink" Target="https://elitepropainting.com/how-long-does-paint-last-lifespan-of-paint/" TargetMode="External"/><Relationship Id="rId11" Type="http://schemas.openxmlformats.org/officeDocument/2006/relationships/hyperlink" Target="https://www.wovar.be/betonverf-voor-buiten/" TargetMode="External"/><Relationship Id="rId5" Type="http://schemas.openxmlformats.org/officeDocument/2006/relationships/hyperlink" Target="https://elitepropainting.com/how-long-does-paint-last-lifespan-of-paint/" TargetMode="External"/><Relationship Id="rId15" Type="http://schemas.openxmlformats.org/officeDocument/2006/relationships/hyperlink" Target="https://www.verfwinkel.nl/blog/hoe-vaak-je-huis-schilderen-binnen-and-buiten/" TargetMode="External"/><Relationship Id="rId10" Type="http://schemas.openxmlformats.org/officeDocument/2006/relationships/hyperlink" Target="https://elitepropainting.com/how-long-does-paint-last-lifespan-of-paint/" TargetMode="External"/><Relationship Id="rId19" Type="http://schemas.openxmlformats.org/officeDocument/2006/relationships/printerSettings" Target="../printerSettings/printerSettings20.bin"/><Relationship Id="rId4" Type="http://schemas.openxmlformats.org/officeDocument/2006/relationships/hyperlink" Target="https://elitepropainting.com/how-long-does-paint-last-lifespan-of-paint/" TargetMode="External"/><Relationship Id="rId9" Type="http://schemas.openxmlformats.org/officeDocument/2006/relationships/hyperlink" Target="https://elitepropainting.com/how-long-does-paint-last-lifespan-of-paint/" TargetMode="External"/><Relationship Id="rId14" Type="http://schemas.openxmlformats.org/officeDocument/2006/relationships/hyperlink" Target="https://www.verfwinkel.nl/blog/hoe-vaak-je-huis-schilderen-binnen-and-buiten/"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2" Type="http://schemas.microsoft.com/office/2019/04/relationships/namedSheetView" Target="../namedSheetViews/namedSheetView4.xml"/><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0208F-94C3-4BF0-A904-2C3110BBB34F}">
  <sheetPr>
    <tabColor rgb="FFFF8BD8"/>
  </sheetPr>
  <dimension ref="A1:P23"/>
  <sheetViews>
    <sheetView zoomScaleNormal="100" workbookViewId="0">
      <selection activeCell="D9" sqref="D8:P9"/>
    </sheetView>
  </sheetViews>
  <sheetFormatPr defaultColWidth="9.33203125" defaultRowHeight="14.4"/>
  <cols>
    <col min="1" max="1" width="50.6640625" style="76" customWidth="1"/>
    <col min="2" max="2" width="30.6640625" style="19" customWidth="1"/>
    <col min="3" max="3" width="30.6640625" style="3" customWidth="1"/>
    <col min="4" max="16" width="15.6640625" style="3" customWidth="1"/>
    <col min="17" max="16384" width="9.33203125" style="3"/>
  </cols>
  <sheetData>
    <row r="1" spans="1:16" ht="30" customHeight="1" thickBot="1">
      <c r="A1" s="1000" t="s">
        <v>0</v>
      </c>
      <c r="B1" s="1001"/>
      <c r="C1" s="1001"/>
      <c r="D1" s="1001"/>
      <c r="E1" s="1001"/>
      <c r="F1" s="1001"/>
      <c r="G1" s="1001"/>
      <c r="H1" s="1001"/>
      <c r="I1" s="1001"/>
      <c r="J1" s="1001"/>
      <c r="K1" s="1001"/>
      <c r="L1" s="1001"/>
      <c r="M1" s="1001"/>
      <c r="N1" s="1001"/>
      <c r="O1" s="1001"/>
      <c r="P1" s="1002"/>
    </row>
    <row r="2" spans="1:16" s="18" customFormat="1" ht="30" customHeight="1" thickBot="1">
      <c r="A2" s="102" t="s">
        <v>1</v>
      </c>
      <c r="B2" s="1003" t="s">
        <v>2</v>
      </c>
      <c r="C2" s="1004"/>
      <c r="D2" s="1003" t="s">
        <v>3</v>
      </c>
      <c r="E2" s="1004"/>
      <c r="F2" s="1004"/>
      <c r="G2" s="1004"/>
      <c r="H2" s="1004"/>
      <c r="I2" s="1004"/>
      <c r="J2" s="1004"/>
      <c r="K2" s="1004"/>
      <c r="L2" s="1004"/>
      <c r="M2" s="1004"/>
      <c r="N2" s="1004"/>
      <c r="O2" s="1004"/>
      <c r="P2" s="1005"/>
    </row>
    <row r="3" spans="1:16" s="18" customFormat="1" ht="49.95" customHeight="1">
      <c r="A3" s="103" t="s">
        <v>4</v>
      </c>
      <c r="B3" s="999" t="s">
        <v>5</v>
      </c>
      <c r="C3" s="992"/>
      <c r="D3" s="999" t="s">
        <v>6</v>
      </c>
      <c r="E3" s="991"/>
      <c r="F3" s="991"/>
      <c r="G3" s="991"/>
      <c r="H3" s="991"/>
      <c r="I3" s="991"/>
      <c r="J3" s="991"/>
      <c r="K3" s="991"/>
      <c r="L3" s="991"/>
      <c r="M3" s="991"/>
      <c r="N3" s="991"/>
      <c r="O3" s="991"/>
      <c r="P3" s="992"/>
    </row>
    <row r="4" spans="1:16" s="18" customFormat="1" ht="250.2" customHeight="1">
      <c r="A4" s="104" t="s">
        <v>7</v>
      </c>
      <c r="B4" s="986" t="s">
        <v>8</v>
      </c>
      <c r="C4" s="988"/>
      <c r="D4" s="986"/>
      <c r="E4" s="987"/>
      <c r="F4" s="987"/>
      <c r="G4" s="987"/>
      <c r="H4" s="987"/>
      <c r="I4" s="987"/>
      <c r="J4" s="987"/>
      <c r="K4" s="987"/>
      <c r="L4" s="987"/>
      <c r="M4" s="987"/>
      <c r="N4" s="987"/>
      <c r="O4" s="987"/>
      <c r="P4" s="988"/>
    </row>
    <row r="5" spans="1:16" s="18" customFormat="1" ht="49.95" customHeight="1">
      <c r="A5" s="104" t="s">
        <v>9</v>
      </c>
      <c r="B5" s="986" t="s">
        <v>10</v>
      </c>
      <c r="C5" s="988"/>
      <c r="D5" s="986" t="s">
        <v>11</v>
      </c>
      <c r="E5" s="987"/>
      <c r="F5" s="987"/>
      <c r="G5" s="987"/>
      <c r="H5" s="987"/>
      <c r="I5" s="987"/>
      <c r="J5" s="987"/>
      <c r="K5" s="987"/>
      <c r="L5" s="987"/>
      <c r="M5" s="987"/>
      <c r="N5" s="987"/>
      <c r="O5" s="987"/>
      <c r="P5" s="988"/>
    </row>
    <row r="6" spans="1:16" s="18" customFormat="1" ht="49.95" customHeight="1">
      <c r="A6" s="104" t="s">
        <v>12</v>
      </c>
      <c r="B6" s="986" t="s">
        <v>13</v>
      </c>
      <c r="C6" s="988"/>
      <c r="D6" s="986" t="s">
        <v>14</v>
      </c>
      <c r="E6" s="987"/>
      <c r="F6" s="987"/>
      <c r="G6" s="987"/>
      <c r="H6" s="987"/>
      <c r="I6" s="987"/>
      <c r="J6" s="987"/>
      <c r="K6" s="987"/>
      <c r="L6" s="987"/>
      <c r="M6" s="987"/>
      <c r="N6" s="987"/>
      <c r="O6" s="987"/>
      <c r="P6" s="988"/>
    </row>
    <row r="7" spans="1:16" s="18" customFormat="1" ht="49.95" customHeight="1">
      <c r="A7" s="104" t="s">
        <v>15</v>
      </c>
      <c r="B7" s="986" t="s">
        <v>16</v>
      </c>
      <c r="C7" s="988"/>
      <c r="D7" s="986" t="s">
        <v>17</v>
      </c>
      <c r="E7" s="987"/>
      <c r="F7" s="987"/>
      <c r="G7" s="987"/>
      <c r="H7" s="987"/>
      <c r="I7" s="987"/>
      <c r="J7" s="987"/>
      <c r="K7" s="987"/>
      <c r="L7" s="987"/>
      <c r="M7" s="987"/>
      <c r="N7" s="987"/>
      <c r="O7" s="987"/>
      <c r="P7" s="988"/>
    </row>
    <row r="8" spans="1:16" s="18" customFormat="1" ht="49.95" customHeight="1">
      <c r="A8" s="104" t="s">
        <v>18</v>
      </c>
      <c r="B8" s="986" t="s">
        <v>19</v>
      </c>
      <c r="C8" s="988"/>
      <c r="D8" s="986" t="s">
        <v>20</v>
      </c>
      <c r="E8" s="987"/>
      <c r="F8" s="987"/>
      <c r="G8" s="987"/>
      <c r="H8" s="987"/>
      <c r="I8" s="987"/>
      <c r="J8" s="987"/>
      <c r="K8" s="987"/>
      <c r="L8" s="987"/>
      <c r="M8" s="987"/>
      <c r="N8" s="987"/>
      <c r="O8" s="987"/>
      <c r="P8" s="988"/>
    </row>
    <row r="9" spans="1:16" s="18" customFormat="1" ht="49.95" customHeight="1">
      <c r="A9" s="104" t="s">
        <v>21</v>
      </c>
      <c r="B9" s="986" t="s">
        <v>22</v>
      </c>
      <c r="C9" s="988"/>
      <c r="D9" s="986" t="s">
        <v>23</v>
      </c>
      <c r="E9" s="987"/>
      <c r="F9" s="987"/>
      <c r="G9" s="987"/>
      <c r="H9" s="987"/>
      <c r="I9" s="987"/>
      <c r="J9" s="987"/>
      <c r="K9" s="987"/>
      <c r="L9" s="987"/>
      <c r="M9" s="987"/>
      <c r="N9" s="987"/>
      <c r="O9" s="987"/>
      <c r="P9" s="988"/>
    </row>
    <row r="10" spans="1:16" s="18" customFormat="1" ht="49.95" customHeight="1">
      <c r="A10" s="104" t="s">
        <v>24</v>
      </c>
      <c r="B10" s="986" t="s">
        <v>25</v>
      </c>
      <c r="C10" s="988"/>
      <c r="D10" s="986" t="s">
        <v>26</v>
      </c>
      <c r="E10" s="987"/>
      <c r="F10" s="987"/>
      <c r="G10" s="987"/>
      <c r="H10" s="987"/>
      <c r="I10" s="987"/>
      <c r="J10" s="987"/>
      <c r="K10" s="987"/>
      <c r="L10" s="987"/>
      <c r="M10" s="987"/>
      <c r="N10" s="987"/>
      <c r="O10" s="987"/>
      <c r="P10" s="988"/>
    </row>
    <row r="11" spans="1:16" s="18" customFormat="1" ht="49.95" customHeight="1">
      <c r="A11" s="104" t="s">
        <v>27</v>
      </c>
      <c r="B11" s="986" t="s">
        <v>28</v>
      </c>
      <c r="C11" s="988"/>
      <c r="D11" s="986" t="s">
        <v>26</v>
      </c>
      <c r="E11" s="987"/>
      <c r="F11" s="987"/>
      <c r="G11" s="987"/>
      <c r="H11" s="987"/>
      <c r="I11" s="987"/>
      <c r="J11" s="987"/>
      <c r="K11" s="987"/>
      <c r="L11" s="987"/>
      <c r="M11" s="987"/>
      <c r="N11" s="987"/>
      <c r="O11" s="987"/>
      <c r="P11" s="988"/>
    </row>
    <row r="12" spans="1:16" s="18" customFormat="1" ht="49.95" customHeight="1">
      <c r="A12" s="104" t="s">
        <v>29</v>
      </c>
      <c r="B12" s="986" t="s">
        <v>30</v>
      </c>
      <c r="C12" s="988"/>
      <c r="D12" s="986" t="s">
        <v>26</v>
      </c>
      <c r="E12" s="987"/>
      <c r="F12" s="987"/>
      <c r="G12" s="987"/>
      <c r="H12" s="987"/>
      <c r="I12" s="987"/>
      <c r="J12" s="987"/>
      <c r="K12" s="987"/>
      <c r="L12" s="987"/>
      <c r="M12" s="987"/>
      <c r="N12" s="987"/>
      <c r="O12" s="987"/>
      <c r="P12" s="988"/>
    </row>
    <row r="13" spans="1:16" s="18" customFormat="1" ht="49.95" customHeight="1">
      <c r="A13" s="104" t="s">
        <v>31</v>
      </c>
      <c r="B13" s="986" t="s">
        <v>32</v>
      </c>
      <c r="C13" s="988"/>
      <c r="D13" s="986" t="s">
        <v>33</v>
      </c>
      <c r="E13" s="987"/>
      <c r="F13" s="987"/>
      <c r="G13" s="987"/>
      <c r="H13" s="987"/>
      <c r="I13" s="987"/>
      <c r="J13" s="987"/>
      <c r="K13" s="987"/>
      <c r="L13" s="987"/>
      <c r="M13" s="987"/>
      <c r="N13" s="987"/>
      <c r="O13" s="987"/>
      <c r="P13" s="988"/>
    </row>
    <row r="14" spans="1:16" s="18" customFormat="1" ht="49.95" customHeight="1">
      <c r="A14" s="104" t="s">
        <v>34</v>
      </c>
      <c r="B14" s="986" t="s">
        <v>35</v>
      </c>
      <c r="C14" s="988"/>
      <c r="D14" s="986" t="s">
        <v>36</v>
      </c>
      <c r="E14" s="987"/>
      <c r="F14" s="987"/>
      <c r="G14" s="987"/>
      <c r="H14" s="987"/>
      <c r="I14" s="987"/>
      <c r="J14" s="987"/>
      <c r="K14" s="987"/>
      <c r="L14" s="987"/>
      <c r="M14" s="987"/>
      <c r="N14" s="987"/>
      <c r="O14" s="987"/>
      <c r="P14" s="988"/>
    </row>
    <row r="15" spans="1:16" s="18" customFormat="1" ht="49.95" customHeight="1">
      <c r="A15" s="104" t="s">
        <v>37</v>
      </c>
      <c r="B15" s="986" t="s">
        <v>38</v>
      </c>
      <c r="C15" s="988"/>
      <c r="D15" s="986" t="s">
        <v>36</v>
      </c>
      <c r="E15" s="987"/>
      <c r="F15" s="987"/>
      <c r="G15" s="987"/>
      <c r="H15" s="987"/>
      <c r="I15" s="987"/>
      <c r="J15" s="987"/>
      <c r="K15" s="987"/>
      <c r="L15" s="987"/>
      <c r="M15" s="987"/>
      <c r="N15" s="987"/>
      <c r="O15" s="987"/>
      <c r="P15" s="988"/>
    </row>
    <row r="16" spans="1:16" s="18" customFormat="1" ht="49.95" customHeight="1" thickBot="1">
      <c r="A16" s="105" t="s">
        <v>39</v>
      </c>
      <c r="B16" s="996" t="s">
        <v>40</v>
      </c>
      <c r="C16" s="997"/>
      <c r="D16" s="996" t="s">
        <v>36</v>
      </c>
      <c r="E16" s="998"/>
      <c r="F16" s="998"/>
      <c r="G16" s="998"/>
      <c r="H16" s="998"/>
      <c r="I16" s="998"/>
      <c r="J16" s="998"/>
      <c r="K16" s="998"/>
      <c r="L16" s="998"/>
      <c r="M16" s="998"/>
      <c r="N16" s="998"/>
      <c r="O16" s="998"/>
      <c r="P16" s="997"/>
    </row>
    <row r="17" spans="1:16">
      <c r="A17" s="78"/>
      <c r="B17" s="20"/>
      <c r="C17" s="21"/>
    </row>
    <row r="18" spans="1:16" ht="15" thickBot="1"/>
    <row r="19" spans="1:16" ht="30" customHeight="1" thickBot="1">
      <c r="A19" s="102" t="s">
        <v>41</v>
      </c>
      <c r="B19" s="993" t="s">
        <v>42</v>
      </c>
      <c r="C19" s="994"/>
      <c r="D19" s="994"/>
      <c r="E19" s="994"/>
      <c r="F19" s="994"/>
      <c r="G19" s="994"/>
      <c r="H19" s="994"/>
      <c r="I19" s="994"/>
      <c r="J19" s="994"/>
      <c r="K19" s="994"/>
      <c r="L19" s="994"/>
      <c r="M19" s="994"/>
      <c r="N19" s="994"/>
      <c r="O19" s="994"/>
      <c r="P19" s="995"/>
    </row>
    <row r="20" spans="1:16" ht="30" customHeight="1">
      <c r="A20" s="103" t="s">
        <v>43</v>
      </c>
      <c r="B20" s="990" t="s">
        <v>44</v>
      </c>
      <c r="C20" s="991"/>
      <c r="D20" s="991"/>
      <c r="E20" s="991"/>
      <c r="F20" s="991"/>
      <c r="G20" s="991"/>
      <c r="H20" s="991"/>
      <c r="I20" s="991"/>
      <c r="J20" s="991"/>
      <c r="K20" s="991"/>
      <c r="L20" s="991"/>
      <c r="M20" s="991"/>
      <c r="N20" s="991"/>
      <c r="O20" s="991"/>
      <c r="P20" s="992"/>
    </row>
    <row r="21" spans="1:16" ht="30" customHeight="1">
      <c r="A21" s="104" t="s">
        <v>45</v>
      </c>
      <c r="B21" s="989" t="s">
        <v>46</v>
      </c>
      <c r="C21" s="987"/>
      <c r="D21" s="987"/>
      <c r="E21" s="987"/>
      <c r="F21" s="987"/>
      <c r="G21" s="987"/>
      <c r="H21" s="987"/>
      <c r="I21" s="987"/>
      <c r="J21" s="987"/>
      <c r="K21" s="987"/>
      <c r="L21" s="987"/>
      <c r="M21" s="987"/>
      <c r="N21" s="987"/>
      <c r="O21" s="987"/>
      <c r="P21" s="988"/>
    </row>
    <row r="23" spans="1:16" ht="14.4" customHeight="1"/>
  </sheetData>
  <mergeCells count="34">
    <mergeCell ref="A1:P1"/>
    <mergeCell ref="B9:C9"/>
    <mergeCell ref="B8:C8"/>
    <mergeCell ref="D10:P10"/>
    <mergeCell ref="D9:P9"/>
    <mergeCell ref="D8:P8"/>
    <mergeCell ref="B4:C4"/>
    <mergeCell ref="D4:P4"/>
    <mergeCell ref="B10:C10"/>
    <mergeCell ref="B2:C2"/>
    <mergeCell ref="D2:P2"/>
    <mergeCell ref="D3:P3"/>
    <mergeCell ref="B5:C5"/>
    <mergeCell ref="D5:P5"/>
    <mergeCell ref="D7:P7"/>
    <mergeCell ref="D6:P6"/>
    <mergeCell ref="B3:C3"/>
    <mergeCell ref="B6:C6"/>
    <mergeCell ref="B7:C7"/>
    <mergeCell ref="D11:P11"/>
    <mergeCell ref="B12:C12"/>
    <mergeCell ref="D12:P12"/>
    <mergeCell ref="B11:C11"/>
    <mergeCell ref="D13:P13"/>
    <mergeCell ref="B21:P21"/>
    <mergeCell ref="B20:P20"/>
    <mergeCell ref="B13:C13"/>
    <mergeCell ref="B14:C14"/>
    <mergeCell ref="B19:P19"/>
    <mergeCell ref="D14:P14"/>
    <mergeCell ref="B15:C15"/>
    <mergeCell ref="B16:C16"/>
    <mergeCell ref="D15:P15"/>
    <mergeCell ref="D16:P16"/>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04245-AD2A-4701-BD36-F6E5844609B2}">
  <sheetPr>
    <tabColor theme="8"/>
  </sheetPr>
  <dimension ref="A1:F7"/>
  <sheetViews>
    <sheetView zoomScale="80" zoomScaleNormal="80" workbookViewId="0">
      <selection activeCell="E16" sqref="E16"/>
    </sheetView>
  </sheetViews>
  <sheetFormatPr defaultRowHeight="14.4"/>
  <cols>
    <col min="1" max="1" width="40.6640625" customWidth="1"/>
    <col min="2" max="2" width="15.6640625" customWidth="1"/>
    <col min="3" max="6" width="50.6640625" customWidth="1"/>
  </cols>
  <sheetData>
    <row r="1" spans="1:6" ht="30" customHeight="1">
      <c r="A1" s="262" t="s">
        <v>47</v>
      </c>
      <c r="B1" s="1006" t="s">
        <v>48</v>
      </c>
      <c r="C1" s="269" t="s">
        <v>49</v>
      </c>
      <c r="D1" s="267" t="s">
        <v>50</v>
      </c>
      <c r="E1" s="269" t="s">
        <v>51</v>
      </c>
      <c r="F1" s="277" t="s">
        <v>52</v>
      </c>
    </row>
    <row r="2" spans="1:6" ht="30" customHeight="1" thickBot="1">
      <c r="A2" s="263" t="s">
        <v>53</v>
      </c>
      <c r="B2" s="1007"/>
      <c r="C2" s="270" t="s">
        <v>54</v>
      </c>
      <c r="D2" s="268" t="s">
        <v>55</v>
      </c>
      <c r="E2" s="270" t="s">
        <v>56</v>
      </c>
      <c r="F2" s="278" t="s">
        <v>57</v>
      </c>
    </row>
    <row r="3" spans="1:6" ht="39.9" customHeight="1">
      <c r="A3" s="22" t="s">
        <v>58</v>
      </c>
      <c r="B3" s="264" t="s">
        <v>59</v>
      </c>
      <c r="C3" s="271" t="s">
        <v>60</v>
      </c>
      <c r="D3" s="274" t="s">
        <v>61</v>
      </c>
      <c r="E3" s="282" t="s">
        <v>62</v>
      </c>
      <c r="F3" s="279" t="s">
        <v>63</v>
      </c>
    </row>
    <row r="4" spans="1:6" ht="39.9" customHeight="1">
      <c r="A4" s="23" t="s">
        <v>64</v>
      </c>
      <c r="B4" s="265" t="s">
        <v>65</v>
      </c>
      <c r="C4" s="978" t="s">
        <v>2273</v>
      </c>
      <c r="D4" s="979" t="s">
        <v>2272</v>
      </c>
      <c r="E4" s="980" t="s">
        <v>2271</v>
      </c>
      <c r="F4" s="981" t="s">
        <v>2270</v>
      </c>
    </row>
    <row r="5" spans="1:6" ht="39.9" customHeight="1">
      <c r="A5" s="23" t="s">
        <v>66</v>
      </c>
      <c r="B5" s="265" t="s">
        <v>67</v>
      </c>
      <c r="C5" s="272" t="s">
        <v>68</v>
      </c>
      <c r="D5" s="275" t="s">
        <v>69</v>
      </c>
      <c r="E5" s="283" t="s">
        <v>70</v>
      </c>
      <c r="F5" s="280" t="s">
        <v>71</v>
      </c>
    </row>
    <row r="6" spans="1:6" ht="39.9" customHeight="1">
      <c r="A6" s="23" t="s">
        <v>72</v>
      </c>
      <c r="B6" s="265" t="s">
        <v>73</v>
      </c>
      <c r="C6" s="272" t="s">
        <v>74</v>
      </c>
      <c r="D6" s="275" t="s">
        <v>75</v>
      </c>
      <c r="E6" s="283" t="s">
        <v>76</v>
      </c>
      <c r="F6" s="280" t="s">
        <v>77</v>
      </c>
    </row>
    <row r="7" spans="1:6" ht="39.9" customHeight="1" thickBot="1">
      <c r="A7" s="24" t="s">
        <v>78</v>
      </c>
      <c r="B7" s="266" t="s">
        <v>79</v>
      </c>
      <c r="C7" s="273" t="s">
        <v>80</v>
      </c>
      <c r="D7" s="276" t="s">
        <v>81</v>
      </c>
      <c r="E7" s="284" t="s">
        <v>82</v>
      </c>
      <c r="F7" s="281" t="s">
        <v>83</v>
      </c>
    </row>
  </sheetData>
  <mergeCells count="1">
    <mergeCell ref="B1:B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5C3CD-72F7-4756-90FD-AE51EAF88EA1}">
  <sheetPr>
    <tabColor theme="7"/>
  </sheetPr>
  <dimension ref="A1:A16"/>
  <sheetViews>
    <sheetView zoomScale="80" zoomScaleNormal="80" workbookViewId="0">
      <selection activeCell="A5" sqref="A5"/>
    </sheetView>
  </sheetViews>
  <sheetFormatPr defaultRowHeight="14.4"/>
  <cols>
    <col min="1" max="1" width="15.6640625" customWidth="1"/>
    <col min="2" max="2" width="10.33203125" customWidth="1"/>
  </cols>
  <sheetData>
    <row r="1" spans="1:1" ht="30" customHeight="1" thickBot="1">
      <c r="A1" s="146" t="s">
        <v>84</v>
      </c>
    </row>
    <row r="2" spans="1:1">
      <c r="A2" s="147" t="s">
        <v>85</v>
      </c>
    </row>
    <row r="3" spans="1:1">
      <c r="A3" s="148" t="s">
        <v>86</v>
      </c>
    </row>
    <row r="4" spans="1:1">
      <c r="A4" s="148" t="s">
        <v>87</v>
      </c>
    </row>
    <row r="5" spans="1:1">
      <c r="A5" s="148" t="s">
        <v>88</v>
      </c>
    </row>
    <row r="6" spans="1:1">
      <c r="A6" s="148" t="s">
        <v>89</v>
      </c>
    </row>
    <row r="7" spans="1:1">
      <c r="A7" s="148" t="s">
        <v>90</v>
      </c>
    </row>
    <row r="8" spans="1:1">
      <c r="A8" s="148" t="s">
        <v>91</v>
      </c>
    </row>
    <row r="9" spans="1:1">
      <c r="A9" s="148" t="s">
        <v>92</v>
      </c>
    </row>
    <row r="10" spans="1:1">
      <c r="A10" s="148" t="s">
        <v>93</v>
      </c>
    </row>
    <row r="11" spans="1:1">
      <c r="A11" s="148" t="s">
        <v>94</v>
      </c>
    </row>
    <row r="12" spans="1:1">
      <c r="A12" s="148" t="s">
        <v>95</v>
      </c>
    </row>
    <row r="13" spans="1:1">
      <c r="A13" s="148" t="s">
        <v>96</v>
      </c>
    </row>
    <row r="14" spans="1:1">
      <c r="A14" s="148" t="s">
        <v>97</v>
      </c>
    </row>
    <row r="15" spans="1:1">
      <c r="A15" s="148" t="s">
        <v>98</v>
      </c>
    </row>
    <row r="16" spans="1:1">
      <c r="A16" s="148" t="s">
        <v>99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55F35-1BE8-491D-A5D1-66586526783F}">
  <sheetPr>
    <tabColor rgb="FFFFC000"/>
  </sheetPr>
  <dimension ref="A1:L1156"/>
  <sheetViews>
    <sheetView zoomScale="90" zoomScaleNormal="90" workbookViewId="0">
      <pane ySplit="1" topLeftCell="A1109" activePane="bottomLeft" state="frozen"/>
      <selection pane="bottomLeft" activeCell="E1122" sqref="E1122"/>
    </sheetView>
  </sheetViews>
  <sheetFormatPr defaultColWidth="9.33203125" defaultRowHeight="14.4"/>
  <cols>
    <col min="1" max="1" width="26" style="25" customWidth="1"/>
    <col min="2" max="2" width="15.6640625" style="25" customWidth="1"/>
    <col min="3" max="3" width="15.6640625" style="26" customWidth="1"/>
    <col min="4" max="4" width="15.6640625" style="7" customWidth="1"/>
    <col min="5" max="5" width="108.6640625" style="27" customWidth="1"/>
    <col min="6" max="10" width="10.6640625" style="7" customWidth="1"/>
    <col min="11" max="11" width="9.44140625" style="7" bestFit="1" customWidth="1"/>
    <col min="12" max="12" width="94" style="57" customWidth="1"/>
    <col min="13" max="16384" width="9.33203125" style="2"/>
  </cols>
  <sheetData>
    <row r="1" spans="1:12" s="5" customFormat="1" ht="30" customHeight="1" thickBot="1">
      <c r="A1" s="1202" t="s">
        <v>100</v>
      </c>
      <c r="B1" s="1203" t="s">
        <v>101</v>
      </c>
      <c r="C1" s="1204" t="s">
        <v>102</v>
      </c>
      <c r="D1" s="1204" t="s">
        <v>103</v>
      </c>
      <c r="E1" s="1204" t="s">
        <v>104</v>
      </c>
      <c r="F1" s="46" t="s">
        <v>105</v>
      </c>
      <c r="G1" s="46" t="s">
        <v>65</v>
      </c>
      <c r="H1" s="46" t="s">
        <v>67</v>
      </c>
      <c r="I1" s="46" t="s">
        <v>73</v>
      </c>
      <c r="J1" s="46" t="s">
        <v>79</v>
      </c>
      <c r="K1" s="1205" t="s">
        <v>106</v>
      </c>
      <c r="L1" s="1206" t="s">
        <v>107</v>
      </c>
    </row>
    <row r="2" spans="1:12">
      <c r="A2" s="60" t="str">
        <f>Agriculture!A47</f>
        <v>Agriculture</v>
      </c>
      <c r="B2" s="161">
        <f>Agriculture!C47</f>
        <v>2019</v>
      </c>
      <c r="C2" s="60" t="str">
        <f>Agriculture!D47</f>
        <v>LDPE</v>
      </c>
      <c r="D2" s="792">
        <f>Agriculture!E47</f>
        <v>40.881766363330044</v>
      </c>
      <c r="E2" s="230" t="str">
        <f>Agriculture!F47</f>
        <v>Combined from TNO Sieger Henke and Statistics - APE Europe [WWW Document], n.d. URL https://web.archive.org/web/20230930160250/https://apeeurope.eu/statistics/ (accessed 3.27.24). Using 6.7% conversion to NL</v>
      </c>
      <c r="F2" s="656">
        <v>2</v>
      </c>
      <c r="G2" s="118">
        <v>1</v>
      </c>
      <c r="H2" s="118">
        <v>2</v>
      </c>
      <c r="I2" s="118">
        <v>1</v>
      </c>
      <c r="J2" s="657">
        <v>2</v>
      </c>
      <c r="K2" s="570">
        <f t="shared" ref="K2:K60" si="0">IF( OR( ISBLANK(F2),ISBLANK(G2), ISBLANK(H2), ISBLANK(I2), ISBLANK(J2) ), "", 1.5*SQRT(   EXP(2.21*(F2-1)) + EXP(2.21*(G2-1)) + EXP(2.21*(H2-1)) + EXP(2.21*(I2-1)) + EXP(2.21*J2)   )/100*2.45 )</f>
        <v>0.37356464144298934</v>
      </c>
      <c r="L2" s="432" t="str">
        <f>Agriculture!M47</f>
        <v>Estimation using 6.7% conversion to NL (https://ec.europa.eu/eurostat/databrowser/bookmark/ad869a47-4196-4282-b054-0a75caf9373f?lang=en)</v>
      </c>
    </row>
    <row r="3" spans="1:12">
      <c r="A3" s="34" t="str">
        <f>Agriculture!A37</f>
        <v>Agriculture</v>
      </c>
      <c r="B3" s="40">
        <f>Agriculture!C37</f>
        <v>2018</v>
      </c>
      <c r="C3" s="34" t="str">
        <f>Agriculture!D37</f>
        <v>LDPE</v>
      </c>
      <c r="D3" s="790">
        <f>Agriculture!E37</f>
        <v>40.723723573663108</v>
      </c>
      <c r="E3" s="151" t="str">
        <f>Agriculture!F37</f>
        <v>Combined from TNO Sieger Henke and Statistics - APE Europe [WWW Document], n.d. URL https://web.archive.org/web/20230930160250/https://apeeurope.eu/statistics/ (accessed 3.27.24). Using 6.7% conversion to NL</v>
      </c>
      <c r="F3" s="29">
        <v>2</v>
      </c>
      <c r="G3" s="9">
        <v>1</v>
      </c>
      <c r="H3" s="9">
        <v>2</v>
      </c>
      <c r="I3" s="9">
        <v>1</v>
      </c>
      <c r="J3" s="43">
        <v>2</v>
      </c>
      <c r="K3" s="260">
        <f t="shared" si="0"/>
        <v>0.37356464144298934</v>
      </c>
      <c r="L3" s="361" t="str">
        <f>Agriculture!M37</f>
        <v>Estimation using 6.7% conversion to NL (https://ec.europa.eu/eurostat/databrowser/bookmark/ad869a47-4196-4282-b054-0a75caf9373f?lang=en)</v>
      </c>
    </row>
    <row r="4" spans="1:12">
      <c r="A4" s="34" t="str">
        <f>Agriculture!A42</f>
        <v>Agriculture</v>
      </c>
      <c r="B4" s="40">
        <f>Agriculture!C42</f>
        <v>2019</v>
      </c>
      <c r="C4" s="34" t="str">
        <f>Agriculture!D42</f>
        <v>LDPE</v>
      </c>
      <c r="D4" s="790">
        <f>Agriculture!E42</f>
        <v>20.034143869664984</v>
      </c>
      <c r="E4" s="151" t="str">
        <f>Agriculture!F42</f>
        <v>Combined from TNO Sieger Henke and Statistics - APE Europe [WWW Document], n.d. URL https://web.archive.org/web/20230930160250/https://apeeurope.eu/statistics/ (accessed 3.27.24). Using 3.36% conversion to NL</v>
      </c>
      <c r="F4" s="29">
        <v>2</v>
      </c>
      <c r="G4" s="9">
        <v>1</v>
      </c>
      <c r="H4" s="9">
        <v>2</v>
      </c>
      <c r="I4" s="9">
        <v>1</v>
      </c>
      <c r="J4" s="43">
        <v>2</v>
      </c>
      <c r="K4" s="260">
        <f t="shared" si="0"/>
        <v>0.37356464144298934</v>
      </c>
      <c r="L4" s="361" t="str">
        <f>Agriculture!M42</f>
        <v>Estimation using 3.36% conversion to NL (Plastics Europe, 2014)</v>
      </c>
    </row>
    <row r="5" spans="1:12">
      <c r="A5" s="34" t="str">
        <f>Agriculture!A32</f>
        <v>Agriculture</v>
      </c>
      <c r="B5" s="40">
        <f>Agriculture!C32</f>
        <v>2018</v>
      </c>
      <c r="C5" s="34" t="str">
        <f>Agriculture!D32</f>
        <v>LDPE</v>
      </c>
      <c r="D5" s="790">
        <f>Agriculture!E32</f>
        <v>19.95503155784176</v>
      </c>
      <c r="E5" s="151" t="str">
        <f>Agriculture!F32</f>
        <v>Combined from TNO Sieger Henke and Statistics - APE Europe [WWW Document], n.d. URL https://web.archive.org/web/20230930160250/https://apeeurope.eu/statistics/ (accessed 3.27.24). Using 3.36% conversion to NL</v>
      </c>
      <c r="F5" s="29">
        <v>2</v>
      </c>
      <c r="G5" s="9">
        <v>1</v>
      </c>
      <c r="H5" s="9">
        <v>2</v>
      </c>
      <c r="I5" s="9">
        <v>1</v>
      </c>
      <c r="J5" s="43">
        <v>2</v>
      </c>
      <c r="K5" s="260">
        <f t="shared" si="0"/>
        <v>0.37356464144298934</v>
      </c>
      <c r="L5" s="361" t="str">
        <f>Agriculture!M32</f>
        <v>Estimation using 3.36% conversion to NL (Plastics Europe, 2014)</v>
      </c>
    </row>
    <row r="6" spans="1:12">
      <c r="A6" s="34" t="str">
        <f>Agriculture!A44</f>
        <v>Agriculture</v>
      </c>
      <c r="B6" s="40">
        <f>Agriculture!C44</f>
        <v>2019</v>
      </c>
      <c r="C6" s="34" t="str">
        <f>Agriculture!D44</f>
        <v>PVC</v>
      </c>
      <c r="D6" s="790">
        <f>Agriculture!E44</f>
        <v>4.7909395374181711</v>
      </c>
      <c r="E6" s="151" t="str">
        <f>Agriculture!F44</f>
        <v>Combined from TNO Sieger Henke and Statistics - APE Europe [WWW Document], n.d. URL https://web.archive.org/web/20230930160250/https://apeeurope.eu/statistics/ (accessed 3.27.24). Using 6.7% conversion to NL</v>
      </c>
      <c r="F6" s="29">
        <v>2</v>
      </c>
      <c r="G6" s="9">
        <v>1</v>
      </c>
      <c r="H6" s="9">
        <v>2</v>
      </c>
      <c r="I6" s="9">
        <v>1</v>
      </c>
      <c r="J6" s="43">
        <v>2</v>
      </c>
      <c r="K6" s="260">
        <f t="shared" si="0"/>
        <v>0.37356464144298934</v>
      </c>
      <c r="L6" s="361" t="str">
        <f>Agriculture!M44</f>
        <v>Estimation using 6.7% conversion to NL (https://ec.europa.eu/eurostat/databrowser/bookmark/ad869a47-4196-4282-b054-0a75caf9373f?lang=en)</v>
      </c>
    </row>
    <row r="7" spans="1:12">
      <c r="A7" s="34" t="str">
        <f>Agriculture!A34</f>
        <v>Agriculture</v>
      </c>
      <c r="B7" s="40">
        <f>Agriculture!C34</f>
        <v>2018</v>
      </c>
      <c r="C7" s="34" t="str">
        <f>Agriculture!D34</f>
        <v>PVC</v>
      </c>
      <c r="D7" s="790">
        <f>Agriculture!E34</f>
        <v>4.7724184822639018</v>
      </c>
      <c r="E7" s="151" t="str">
        <f>Agriculture!F34</f>
        <v>Combined from TNO Sieger Henke and Statistics - APE Europe [WWW Document], n.d. URL https://web.archive.org/web/20230930160250/https://apeeurope.eu/statistics/ (accessed 3.27.24). Using 6.7% conversion to NL</v>
      </c>
      <c r="F7" s="29">
        <v>2</v>
      </c>
      <c r="G7" s="9">
        <v>1</v>
      </c>
      <c r="H7" s="9">
        <v>2</v>
      </c>
      <c r="I7" s="9">
        <v>1</v>
      </c>
      <c r="J7" s="43">
        <v>2</v>
      </c>
      <c r="K7" s="260">
        <f t="shared" si="0"/>
        <v>0.37356464144298934</v>
      </c>
      <c r="L7" s="361" t="str">
        <f>Agriculture!M34</f>
        <v>Estimation using 6.7% conversion to NL (https://ec.europa.eu/eurostat/databrowser/bookmark/ad869a47-4196-4282-b054-0a75caf9373f?lang=en)</v>
      </c>
    </row>
    <row r="8" spans="1:12">
      <c r="A8" s="34" t="str">
        <f>Agriculture!A39</f>
        <v>Agriculture</v>
      </c>
      <c r="B8" s="40">
        <f>Agriculture!C39</f>
        <v>2019</v>
      </c>
      <c r="C8" s="34" t="str">
        <f>Agriculture!D39</f>
        <v>PVC</v>
      </c>
      <c r="D8" s="790">
        <f>Agriculture!E39</f>
        <v>2.3478039356341438</v>
      </c>
      <c r="E8" s="151" t="str">
        <f>Agriculture!F39</f>
        <v>Combined from TNO Sieger Henke and Statistics - APE Europe [WWW Document], n.d. URL https://web.archive.org/web/20230930160250/https://apeeurope.eu/statistics/ (accessed 3.27.24). Using 3.36% conversion to NL</v>
      </c>
      <c r="F8" s="29">
        <v>2</v>
      </c>
      <c r="G8" s="9">
        <v>1</v>
      </c>
      <c r="H8" s="9">
        <v>2</v>
      </c>
      <c r="I8" s="9">
        <v>1</v>
      </c>
      <c r="J8" s="43">
        <v>2</v>
      </c>
      <c r="K8" s="260">
        <f t="shared" si="0"/>
        <v>0.37356464144298934</v>
      </c>
      <c r="L8" s="361" t="str">
        <f>Agriculture!M39</f>
        <v>Estimation using 3.36% conversion to NL (Plastics Europe, 2014)</v>
      </c>
    </row>
    <row r="9" spans="1:12">
      <c r="A9" s="34" t="str">
        <f>Agriculture!A29</f>
        <v>Agriculture</v>
      </c>
      <c r="B9" s="40">
        <f>Agriculture!C29</f>
        <v>2018</v>
      </c>
      <c r="C9" s="34" t="str">
        <f>Agriculture!D29</f>
        <v>PVC</v>
      </c>
      <c r="D9" s="790">
        <f>Agriculture!E29</f>
        <v>2.3385327534831104</v>
      </c>
      <c r="E9" s="151" t="str">
        <f>Agriculture!F29</f>
        <v>Combined from TNO Sieger Henke and Statistics - APE Europe [WWW Document], n.d. URL https://web.archive.org/web/20230930160250/https://apeeurope.eu/statistics/ (accessed 3.27.24). Using 3.36% conversion to NL</v>
      </c>
      <c r="F9" s="29">
        <v>2</v>
      </c>
      <c r="G9" s="9">
        <v>1</v>
      </c>
      <c r="H9" s="9">
        <v>2</v>
      </c>
      <c r="I9" s="9">
        <v>1</v>
      </c>
      <c r="J9" s="43">
        <v>2</v>
      </c>
      <c r="K9" s="260">
        <f t="shared" si="0"/>
        <v>0.37356464144298934</v>
      </c>
      <c r="L9" s="361" t="str">
        <f>Agriculture!M29</f>
        <v>Estimation using 3.36% conversion to NL (Plastics Europe, 2014)</v>
      </c>
    </row>
    <row r="10" spans="1:12">
      <c r="A10" s="34" t="str">
        <f>Agriculture!A48</f>
        <v>Agriculture</v>
      </c>
      <c r="B10" s="40">
        <f>Agriculture!C48</f>
        <v>2019</v>
      </c>
      <c r="C10" s="34" t="str">
        <f>Agriculture!D48</f>
        <v>HDPE</v>
      </c>
      <c r="D10" s="790">
        <f>Agriculture!E48</f>
        <v>0.57869313747088835</v>
      </c>
      <c r="E10" s="151" t="str">
        <f>Agriculture!F48</f>
        <v>Combined from TNO Sieger Henke and Statistics - APE Europe [WWW Document], n.d. URL https://web.archive.org/web/20230930160250/https://apeeurope.eu/statistics/ (accessed 3.27.24). Using 6.7% conversion to NL</v>
      </c>
      <c r="F10" s="29">
        <v>2</v>
      </c>
      <c r="G10" s="9">
        <v>1</v>
      </c>
      <c r="H10" s="9">
        <v>2</v>
      </c>
      <c r="I10" s="9">
        <v>1</v>
      </c>
      <c r="J10" s="43">
        <v>2</v>
      </c>
      <c r="K10" s="260">
        <f t="shared" si="0"/>
        <v>0.37356464144298934</v>
      </c>
      <c r="L10" s="361" t="str">
        <f>Agriculture!M48</f>
        <v>Estimation using 6.7% conversion to NL (https://ec.europa.eu/eurostat/databrowser/bookmark/ad869a47-4196-4282-b054-0a75caf9373f?lang=en)</v>
      </c>
    </row>
    <row r="11" spans="1:12">
      <c r="A11" s="34" t="str">
        <f>Agriculture!A38</f>
        <v>Agriculture</v>
      </c>
      <c r="B11" s="40">
        <f>Agriculture!C38</f>
        <v>2018</v>
      </c>
      <c r="C11" s="34" t="str">
        <f>Agriculture!D38</f>
        <v>HDPE</v>
      </c>
      <c r="D11" s="790">
        <f>Agriculture!E38</f>
        <v>0.57645599641895362</v>
      </c>
      <c r="E11" s="151" t="str">
        <f>Agriculture!F38</f>
        <v>Combined from TNO Sieger Henke and Statistics - APE Europe [WWW Document], n.d. URL https://web.archive.org/web/20230930160250/https://apeeurope.eu/statistics/ (accessed 3.27.24). Using 6.7% conversion to NL</v>
      </c>
      <c r="F11" s="29">
        <v>2</v>
      </c>
      <c r="G11" s="9">
        <v>1</v>
      </c>
      <c r="H11" s="9">
        <v>2</v>
      </c>
      <c r="I11" s="9">
        <v>1</v>
      </c>
      <c r="J11" s="43">
        <v>2</v>
      </c>
      <c r="K11" s="260">
        <f t="shared" si="0"/>
        <v>0.37356464144298934</v>
      </c>
      <c r="L11" s="361" t="str">
        <f>Agriculture!M38</f>
        <v>Estimation using 6.7% conversion to NL (https://ec.europa.eu/eurostat/databrowser/bookmark/ad869a47-4196-4282-b054-0a75caf9373f?lang=en)</v>
      </c>
    </row>
    <row r="12" spans="1:12">
      <c r="A12" s="34" t="str">
        <f>Agriculture!A43</f>
        <v>Agriculture</v>
      </c>
      <c r="B12" s="40">
        <f>Agriculture!C43</f>
        <v>2019</v>
      </c>
      <c r="C12" s="34" t="str">
        <f>Agriculture!D43</f>
        <v>HDPE</v>
      </c>
      <c r="D12" s="790">
        <f>Agriculture!E43</f>
        <v>0.28358905702466886</v>
      </c>
      <c r="E12" s="151" t="str">
        <f>Agriculture!F43</f>
        <v>Combined from TNO Sieger Henke and Statistics - APE Europe [WWW Document], n.d. URL https://web.archive.org/web/20230930160250/https://apeeurope.eu/statistics/ (accessed 3.27.24). Using 3.36% conversion to NL</v>
      </c>
      <c r="F12" s="29">
        <v>2</v>
      </c>
      <c r="G12" s="9">
        <v>1</v>
      </c>
      <c r="H12" s="9">
        <v>2</v>
      </c>
      <c r="I12" s="9">
        <v>1</v>
      </c>
      <c r="J12" s="43">
        <v>2</v>
      </c>
      <c r="K12" s="260">
        <f t="shared" si="0"/>
        <v>0.37356464144298934</v>
      </c>
      <c r="L12" s="361" t="str">
        <f>Agriculture!M43</f>
        <v>Estimation using 3.36% conversion to NL (Plastics Europe, 2014)</v>
      </c>
    </row>
    <row r="13" spans="1:12">
      <c r="A13" s="34" t="str">
        <f>Agriculture!A33</f>
        <v>Agriculture</v>
      </c>
      <c r="B13" s="40">
        <f>Agriculture!C33</f>
        <v>2018</v>
      </c>
      <c r="C13" s="34" t="str">
        <f>Agriculture!D33</f>
        <v>HDPE</v>
      </c>
      <c r="D13" s="790">
        <f>Agriculture!E33</f>
        <v>0.2824691995426149</v>
      </c>
      <c r="E13" s="151" t="str">
        <f>Agriculture!F33</f>
        <v>Combined from TNO Sieger Henke and Statistics - APE Europe [WWW Document], n.d. URL https://web.archive.org/web/20230930160250/https://apeeurope.eu/statistics/ (accessed 3.27.24). Using 3.36% conversion to NL</v>
      </c>
      <c r="F13" s="29">
        <v>2</v>
      </c>
      <c r="G13" s="9">
        <v>1</v>
      </c>
      <c r="H13" s="9">
        <v>2</v>
      </c>
      <c r="I13" s="9">
        <v>1</v>
      </c>
      <c r="J13" s="43">
        <v>2</v>
      </c>
      <c r="K13" s="260">
        <f t="shared" si="0"/>
        <v>0.37356464144298934</v>
      </c>
      <c r="L13" s="361" t="str">
        <f>Agriculture!M33</f>
        <v>Estimation using 3.36% conversion to NL (Plastics Europe, 2014)</v>
      </c>
    </row>
    <row r="14" spans="1:12">
      <c r="A14" s="34" t="str">
        <f>Agriculture!A45</f>
        <v>Agriculture</v>
      </c>
      <c r="B14" s="40">
        <f>Agriculture!C45</f>
        <v>2019</v>
      </c>
      <c r="C14" s="34" t="str">
        <f>Agriculture!D45</f>
        <v>PS</v>
      </c>
      <c r="D14" s="790">
        <f>Agriculture!E45</f>
        <v>0.22754023477239763</v>
      </c>
      <c r="E14" s="151" t="str">
        <f>Agriculture!F45</f>
        <v>Combined from TNO Sieger Henke and Statistics - APE Europe [WWW Document], n.d. URL https://web.archive.org/web/20230930160250/https://apeeurope.eu/statistics/ (accessed 3.27.24). Using 6.7% conversion to NL</v>
      </c>
      <c r="F14" s="29">
        <v>2</v>
      </c>
      <c r="G14" s="9">
        <v>1</v>
      </c>
      <c r="H14" s="9">
        <v>2</v>
      </c>
      <c r="I14" s="9">
        <v>1</v>
      </c>
      <c r="J14" s="43">
        <v>2</v>
      </c>
      <c r="K14" s="260">
        <f t="shared" si="0"/>
        <v>0.37356464144298934</v>
      </c>
      <c r="L14" s="361" t="str">
        <f>Agriculture!M45</f>
        <v>Estimation using 6.7% conversion to NL (https://ec.europa.eu/eurostat/databrowser/bookmark/ad869a47-4196-4282-b054-0a75caf9373f?lang=en)</v>
      </c>
    </row>
    <row r="15" spans="1:12">
      <c r="A15" s="34" t="str">
        <f>Agriculture!A46</f>
        <v>Agriculture</v>
      </c>
      <c r="B15" s="40">
        <f>Agriculture!C46</f>
        <v>2019</v>
      </c>
      <c r="C15" s="34" t="str">
        <f>Agriculture!D46</f>
        <v>PP</v>
      </c>
      <c r="D15" s="790">
        <f>Agriculture!E46</f>
        <v>0.22754023477239763</v>
      </c>
      <c r="E15" s="151" t="str">
        <f>Agriculture!F46</f>
        <v>Combined from TNO Sieger Henke and Statistics - APE Europe [WWW Document], n.d. URL https://web.archive.org/web/20230930160250/https://apeeurope.eu/statistics/ (accessed 3.27.24). Using 6.7% conversion to NL</v>
      </c>
      <c r="F15" s="29">
        <v>2</v>
      </c>
      <c r="G15" s="9">
        <v>1</v>
      </c>
      <c r="H15" s="9">
        <v>2</v>
      </c>
      <c r="I15" s="9">
        <v>1</v>
      </c>
      <c r="J15" s="43">
        <v>2</v>
      </c>
      <c r="K15" s="260">
        <f t="shared" si="0"/>
        <v>0.37356464144298934</v>
      </c>
      <c r="L15" s="361" t="str">
        <f>Agriculture!M46</f>
        <v>Estimation using 6.7% conversion to NL (https://ec.europa.eu/eurostat/databrowser/bookmark/ad869a47-4196-4282-b054-0a75caf9373f?lang=en)</v>
      </c>
    </row>
    <row r="16" spans="1:12">
      <c r="A16" s="34" t="str">
        <f>Agriculture!A35</f>
        <v>Agriculture</v>
      </c>
      <c r="B16" s="40">
        <f>Agriculture!C35</f>
        <v>2018</v>
      </c>
      <c r="C16" s="34" t="str">
        <f>Agriculture!D35</f>
        <v>PS</v>
      </c>
      <c r="D16" s="790">
        <f>Agriculture!E35</f>
        <v>0.22666059828249402</v>
      </c>
      <c r="E16" s="151" t="str">
        <f>Agriculture!F35</f>
        <v>Combined from TNO Sieger Henke and Statistics - APE Europe [WWW Document], n.d. URL https://web.archive.org/web/20230930160250/https://apeeurope.eu/statistics/ (accessed 3.27.24). Using 6.7% conversion to NL</v>
      </c>
      <c r="F16" s="29">
        <v>2</v>
      </c>
      <c r="G16" s="9">
        <v>1</v>
      </c>
      <c r="H16" s="9">
        <v>2</v>
      </c>
      <c r="I16" s="9">
        <v>1</v>
      </c>
      <c r="J16" s="43">
        <v>2</v>
      </c>
      <c r="K16" s="260">
        <f t="shared" si="0"/>
        <v>0.37356464144298934</v>
      </c>
      <c r="L16" s="361" t="str">
        <f>Agriculture!M35</f>
        <v>Estimation using 6.7% conversion to NL (https://ec.europa.eu/eurostat/databrowser/bookmark/ad869a47-4196-4282-b054-0a75caf9373f?lang=en)</v>
      </c>
    </row>
    <row r="17" spans="1:12">
      <c r="A17" s="34" t="str">
        <f>Agriculture!A36</f>
        <v>Agriculture</v>
      </c>
      <c r="B17" s="40">
        <f>Agriculture!C36</f>
        <v>2018</v>
      </c>
      <c r="C17" s="34" t="str">
        <f>Agriculture!D36</f>
        <v>PP</v>
      </c>
      <c r="D17" s="790">
        <f>Agriculture!E36</f>
        <v>0.22666059828249402</v>
      </c>
      <c r="E17" s="151" t="str">
        <f>Agriculture!F36</f>
        <v>Combined from TNO Sieger Henke and Statistics - APE Europe [WWW Document], n.d. URL https://web.archive.org/web/20230930160250/https://apeeurope.eu/statistics/ (accessed 3.27.24). Using 6.7% conversion to NL</v>
      </c>
      <c r="F17" s="29">
        <v>2</v>
      </c>
      <c r="G17" s="9">
        <v>1</v>
      </c>
      <c r="H17" s="9">
        <v>2</v>
      </c>
      <c r="I17" s="9">
        <v>1</v>
      </c>
      <c r="J17" s="43">
        <v>2</v>
      </c>
      <c r="K17" s="260">
        <f t="shared" si="0"/>
        <v>0.37356464144298934</v>
      </c>
      <c r="L17" s="361" t="str">
        <f>Agriculture!M36</f>
        <v>Estimation using 6.7% conversion to NL (https://ec.europa.eu/eurostat/databrowser/bookmark/ad869a47-4196-4282-b054-0a75caf9373f?lang=en)</v>
      </c>
    </row>
    <row r="18" spans="1:12">
      <c r="A18" s="34" t="str">
        <f>Agriculture!A40</f>
        <v>Agriculture</v>
      </c>
      <c r="B18" s="40">
        <f>Agriculture!C40</f>
        <v>2019</v>
      </c>
      <c r="C18" s="34" t="str">
        <f>Agriculture!D40</f>
        <v>PS</v>
      </c>
      <c r="D18" s="790">
        <f>Agriculture!E40</f>
        <v>0.11150628275339129</v>
      </c>
      <c r="E18" s="151" t="str">
        <f>Agriculture!F40</f>
        <v>Combined from TNO Sieger Henke and Statistics - APE Europe [WWW Document], n.d. URL https://web.archive.org/web/20230930160250/https://apeeurope.eu/statistics/ (accessed 3.27.24). Using 3.36% conversion to NL</v>
      </c>
      <c r="F18" s="29">
        <v>2</v>
      </c>
      <c r="G18" s="9">
        <v>1</v>
      </c>
      <c r="H18" s="9">
        <v>2</v>
      </c>
      <c r="I18" s="9">
        <v>1</v>
      </c>
      <c r="J18" s="43">
        <v>2</v>
      </c>
      <c r="K18" s="260">
        <f t="shared" si="0"/>
        <v>0.37356464144298934</v>
      </c>
      <c r="L18" s="361" t="str">
        <f>Agriculture!M40</f>
        <v>Estimation using 3.36% conversion to NL (Plastics Europe, 2014)</v>
      </c>
    </row>
    <row r="19" spans="1:12">
      <c r="A19" s="34" t="str">
        <f>Agriculture!A41</f>
        <v>Agriculture</v>
      </c>
      <c r="B19" s="40">
        <f>Agriculture!C41</f>
        <v>2019</v>
      </c>
      <c r="C19" s="34" t="str">
        <f>Agriculture!D41</f>
        <v>PP</v>
      </c>
      <c r="D19" s="790">
        <f>Agriculture!E41</f>
        <v>0.11150628275339129</v>
      </c>
      <c r="E19" s="151" t="str">
        <f>Agriculture!F41</f>
        <v>Combined from TNO Sieger Henke and Statistics - APE Europe [WWW Document], n.d. URL https://web.archive.org/web/20230930160250/https://apeeurope.eu/statistics/ (accessed 3.27.24). Using 3.36% conversion to NL</v>
      </c>
      <c r="F19" s="29">
        <v>2</v>
      </c>
      <c r="G19" s="9">
        <v>1</v>
      </c>
      <c r="H19" s="9">
        <v>2</v>
      </c>
      <c r="I19" s="9">
        <v>1</v>
      </c>
      <c r="J19" s="43">
        <v>2</v>
      </c>
      <c r="K19" s="260">
        <f t="shared" si="0"/>
        <v>0.37356464144298934</v>
      </c>
      <c r="L19" s="361" t="str">
        <f>Agriculture!M41</f>
        <v>Estimation using 3.36% conversion to NL (Plastics Europe, 2014)</v>
      </c>
    </row>
    <row r="20" spans="1:12">
      <c r="A20" s="34" t="str">
        <f>Agriculture!A30</f>
        <v>Agriculture</v>
      </c>
      <c r="B20" s="40">
        <f>Agriculture!C30</f>
        <v>2018</v>
      </c>
      <c r="C20" s="34" t="str">
        <f>Agriculture!D30</f>
        <v>PS</v>
      </c>
      <c r="D20" s="790">
        <f>Agriculture!E30</f>
        <v>0.11106595848154695</v>
      </c>
      <c r="E20" s="151" t="str">
        <f>Agriculture!F30</f>
        <v>Combined from TNO Sieger Henke and Statistics - APE Europe [WWW Document], n.d. URL https://web.archive.org/web/20230930160250/https://apeeurope.eu/statistics/ (accessed 3.27.24). Using 3.36% conversion to NL</v>
      </c>
      <c r="F20" s="29">
        <v>2</v>
      </c>
      <c r="G20" s="9">
        <v>1</v>
      </c>
      <c r="H20" s="9">
        <v>2</v>
      </c>
      <c r="I20" s="9">
        <v>1</v>
      </c>
      <c r="J20" s="43">
        <v>2</v>
      </c>
      <c r="K20" s="260">
        <f t="shared" si="0"/>
        <v>0.37356464144298934</v>
      </c>
      <c r="L20" s="361" t="str">
        <f>Agriculture!M30</f>
        <v>Estimation using 3.36% conversion to NL (Plastics Europe, 2014)</v>
      </c>
    </row>
    <row r="21" spans="1:12" ht="15" thickBot="1">
      <c r="A21" s="35" t="str">
        <f>Agriculture!A31</f>
        <v>Agriculture</v>
      </c>
      <c r="B21" s="41">
        <f>Agriculture!C31</f>
        <v>2018</v>
      </c>
      <c r="C21" s="35" t="str">
        <f>Agriculture!D31</f>
        <v>PP</v>
      </c>
      <c r="D21" s="793">
        <f>Agriculture!E31</f>
        <v>0.11106595848154695</v>
      </c>
      <c r="E21" s="152" t="str">
        <f>Agriculture!F31</f>
        <v>Combined from TNO Sieger Henke and Statistics - APE Europe [WWW Document], n.d. URL https://web.archive.org/web/20230930160250/https://apeeurope.eu/statistics/ (accessed 3.27.24). Using 3.36% conversion to NL</v>
      </c>
      <c r="F21" s="30">
        <v>2</v>
      </c>
      <c r="G21" s="12">
        <v>1</v>
      </c>
      <c r="H21" s="12">
        <v>2</v>
      </c>
      <c r="I21" s="12">
        <v>1</v>
      </c>
      <c r="J21" s="44">
        <v>2</v>
      </c>
      <c r="K21" s="261">
        <f t="shared" si="0"/>
        <v>0.37356464144298934</v>
      </c>
      <c r="L21" s="431" t="str">
        <f>Agriculture!M31</f>
        <v>Estimation using 3.36% conversion to NL (Plastics Europe, 2014)</v>
      </c>
    </row>
    <row r="22" spans="1:12">
      <c r="A22" s="60" t="s">
        <v>109</v>
      </c>
      <c r="B22" s="800">
        <v>1995</v>
      </c>
      <c r="C22" s="801" t="s">
        <v>85</v>
      </c>
      <c r="D22" s="801">
        <v>1435</v>
      </c>
      <c r="E22" s="432" t="s">
        <v>110</v>
      </c>
      <c r="F22" s="611">
        <v>1</v>
      </c>
      <c r="G22" s="118">
        <v>1</v>
      </c>
      <c r="H22" s="118">
        <v>1</v>
      </c>
      <c r="I22" s="118">
        <v>2</v>
      </c>
      <c r="J22" s="657">
        <v>2</v>
      </c>
      <c r="K22" s="570">
        <f t="shared" si="0"/>
        <v>0.35859414261160716</v>
      </c>
      <c r="L22" s="649" t="s">
        <v>111</v>
      </c>
    </row>
    <row r="23" spans="1:12">
      <c r="A23" s="34" t="s">
        <v>109</v>
      </c>
      <c r="B23" s="336">
        <v>1995</v>
      </c>
      <c r="C23" s="59" t="s">
        <v>86</v>
      </c>
      <c r="D23" s="59">
        <v>290</v>
      </c>
      <c r="E23" s="361" t="s">
        <v>110</v>
      </c>
      <c r="F23" s="122">
        <v>1</v>
      </c>
      <c r="G23" s="9">
        <v>1</v>
      </c>
      <c r="H23" s="9">
        <v>1</v>
      </c>
      <c r="I23" s="9">
        <v>2</v>
      </c>
      <c r="J23" s="43">
        <v>2</v>
      </c>
      <c r="K23" s="260">
        <f t="shared" si="0"/>
        <v>0.35859414261160716</v>
      </c>
      <c r="L23" s="163" t="s">
        <v>111</v>
      </c>
    </row>
    <row r="24" spans="1:12">
      <c r="A24" s="34" t="s">
        <v>109</v>
      </c>
      <c r="B24" s="336">
        <v>1995</v>
      </c>
      <c r="C24" s="59" t="s">
        <v>87</v>
      </c>
      <c r="D24" s="59">
        <v>852</v>
      </c>
      <c r="E24" s="361" t="s">
        <v>110</v>
      </c>
      <c r="F24" s="122">
        <v>1</v>
      </c>
      <c r="G24" s="9">
        <v>1</v>
      </c>
      <c r="H24" s="9">
        <v>1</v>
      </c>
      <c r="I24" s="9">
        <v>2</v>
      </c>
      <c r="J24" s="43">
        <v>2</v>
      </c>
      <c r="K24" s="260">
        <f t="shared" si="0"/>
        <v>0.35859414261160716</v>
      </c>
      <c r="L24" s="163" t="s">
        <v>111</v>
      </c>
    </row>
    <row r="25" spans="1:12">
      <c r="A25" s="34" t="s">
        <v>109</v>
      </c>
      <c r="B25" s="336">
        <v>1995</v>
      </c>
      <c r="C25" s="59" t="s">
        <v>88</v>
      </c>
      <c r="D25" s="59">
        <v>4</v>
      </c>
      <c r="E25" s="361" t="s">
        <v>110</v>
      </c>
      <c r="F25" s="122">
        <v>1</v>
      </c>
      <c r="G25" s="9">
        <v>1</v>
      </c>
      <c r="H25" s="9">
        <v>1</v>
      </c>
      <c r="I25" s="9">
        <v>2</v>
      </c>
      <c r="J25" s="43">
        <v>2</v>
      </c>
      <c r="K25" s="260">
        <f t="shared" si="0"/>
        <v>0.35859414261160716</v>
      </c>
      <c r="L25" s="163" t="s">
        <v>111</v>
      </c>
    </row>
    <row r="26" spans="1:12">
      <c r="A26" s="34" t="s">
        <v>109</v>
      </c>
      <c r="B26" s="336">
        <v>1995</v>
      </c>
      <c r="C26" s="59" t="s">
        <v>89</v>
      </c>
      <c r="D26" s="59">
        <v>191</v>
      </c>
      <c r="E26" s="361" t="s">
        <v>110</v>
      </c>
      <c r="F26" s="122">
        <v>1</v>
      </c>
      <c r="G26" s="9">
        <v>1</v>
      </c>
      <c r="H26" s="9">
        <v>1</v>
      </c>
      <c r="I26" s="9">
        <v>2</v>
      </c>
      <c r="J26" s="43">
        <v>2</v>
      </c>
      <c r="K26" s="260">
        <f t="shared" si="0"/>
        <v>0.35859414261160716</v>
      </c>
      <c r="L26" s="163" t="s">
        <v>111</v>
      </c>
    </row>
    <row r="27" spans="1:12">
      <c r="A27" s="34" t="s">
        <v>109</v>
      </c>
      <c r="B27" s="336">
        <v>1995</v>
      </c>
      <c r="C27" s="59" t="s">
        <v>90</v>
      </c>
      <c r="D27" s="59">
        <v>610</v>
      </c>
      <c r="E27" s="361" t="s">
        <v>110</v>
      </c>
      <c r="F27" s="122">
        <v>1</v>
      </c>
      <c r="G27" s="9">
        <v>1</v>
      </c>
      <c r="H27" s="9">
        <v>1</v>
      </c>
      <c r="I27" s="9">
        <v>2</v>
      </c>
      <c r="J27" s="43">
        <v>2</v>
      </c>
      <c r="K27" s="260">
        <f t="shared" si="0"/>
        <v>0.35859414261160716</v>
      </c>
      <c r="L27" s="163" t="s">
        <v>111</v>
      </c>
    </row>
    <row r="28" spans="1:12">
      <c r="A28" s="34" t="s">
        <v>109</v>
      </c>
      <c r="B28" s="336">
        <v>1995</v>
      </c>
      <c r="C28" s="59" t="s">
        <v>91</v>
      </c>
      <c r="D28" s="59">
        <v>0</v>
      </c>
      <c r="E28" s="361" t="s">
        <v>110</v>
      </c>
      <c r="F28" s="122">
        <v>1</v>
      </c>
      <c r="G28" s="9">
        <v>1</v>
      </c>
      <c r="H28" s="9">
        <v>1</v>
      </c>
      <c r="I28" s="9">
        <v>2</v>
      </c>
      <c r="J28" s="43">
        <v>2</v>
      </c>
      <c r="K28" s="260">
        <f t="shared" si="0"/>
        <v>0.35859414261160716</v>
      </c>
      <c r="L28" s="163" t="s">
        <v>111</v>
      </c>
    </row>
    <row r="29" spans="1:12">
      <c r="A29" s="34" t="s">
        <v>109</v>
      </c>
      <c r="B29" s="336">
        <v>1995</v>
      </c>
      <c r="C29" s="59" t="s">
        <v>94</v>
      </c>
      <c r="D29" s="59">
        <v>144</v>
      </c>
      <c r="E29" s="361" t="s">
        <v>110</v>
      </c>
      <c r="F29" s="122">
        <v>1</v>
      </c>
      <c r="G29" s="9">
        <v>1</v>
      </c>
      <c r="H29" s="9">
        <v>1</v>
      </c>
      <c r="I29" s="9">
        <v>2</v>
      </c>
      <c r="J29" s="43">
        <v>2</v>
      </c>
      <c r="K29" s="260">
        <f t="shared" si="0"/>
        <v>0.35859414261160716</v>
      </c>
      <c r="L29" s="163" t="s">
        <v>111</v>
      </c>
    </row>
    <row r="30" spans="1:12">
      <c r="A30" s="34" t="s">
        <v>109</v>
      </c>
      <c r="B30" s="336">
        <v>1995</v>
      </c>
      <c r="C30" s="59" t="s">
        <v>96</v>
      </c>
      <c r="D30" s="59">
        <v>337</v>
      </c>
      <c r="E30" s="361" t="s">
        <v>110</v>
      </c>
      <c r="F30" s="122">
        <v>1</v>
      </c>
      <c r="G30" s="9">
        <v>1</v>
      </c>
      <c r="H30" s="9">
        <v>1</v>
      </c>
      <c r="I30" s="9">
        <v>2</v>
      </c>
      <c r="J30" s="43">
        <v>2</v>
      </c>
      <c r="K30" s="260">
        <f t="shared" si="0"/>
        <v>0.35859414261160716</v>
      </c>
      <c r="L30" s="163" t="s">
        <v>111</v>
      </c>
    </row>
    <row r="31" spans="1:12">
      <c r="A31" s="34" t="s">
        <v>109</v>
      </c>
      <c r="B31" s="336">
        <v>1995</v>
      </c>
      <c r="C31" s="59" t="s">
        <v>97</v>
      </c>
      <c r="D31" s="59">
        <v>233</v>
      </c>
      <c r="E31" s="361" t="s">
        <v>110</v>
      </c>
      <c r="F31" s="122">
        <v>1</v>
      </c>
      <c r="G31" s="9">
        <v>1</v>
      </c>
      <c r="H31" s="9">
        <v>1</v>
      </c>
      <c r="I31" s="9">
        <v>2</v>
      </c>
      <c r="J31" s="43">
        <v>2</v>
      </c>
      <c r="K31" s="260">
        <f t="shared" si="0"/>
        <v>0.35859414261160716</v>
      </c>
      <c r="L31" s="163" t="s">
        <v>111</v>
      </c>
    </row>
    <row r="32" spans="1:12">
      <c r="A32" s="34" t="s">
        <v>109</v>
      </c>
      <c r="B32" s="336">
        <v>1995</v>
      </c>
      <c r="C32" s="59" t="s">
        <v>95</v>
      </c>
      <c r="D32" s="59">
        <v>200</v>
      </c>
      <c r="E32" s="361" t="s">
        <v>110</v>
      </c>
      <c r="F32" s="122">
        <v>1</v>
      </c>
      <c r="G32" s="9">
        <v>1</v>
      </c>
      <c r="H32" s="9">
        <v>1</v>
      </c>
      <c r="I32" s="9">
        <v>2</v>
      </c>
      <c r="J32" s="43">
        <v>2</v>
      </c>
      <c r="K32" s="260">
        <f t="shared" si="0"/>
        <v>0.35859414261160716</v>
      </c>
      <c r="L32" s="163" t="s">
        <v>111</v>
      </c>
    </row>
    <row r="33" spans="1:12">
      <c r="A33" s="34" t="s">
        <v>109</v>
      </c>
      <c r="B33" s="336">
        <v>1995</v>
      </c>
      <c r="C33" s="59" t="s">
        <v>93</v>
      </c>
      <c r="D33" s="59">
        <v>98</v>
      </c>
      <c r="E33" s="361" t="s">
        <v>110</v>
      </c>
      <c r="F33" s="122">
        <v>1</v>
      </c>
      <c r="G33" s="9">
        <v>1</v>
      </c>
      <c r="H33" s="9">
        <v>1</v>
      </c>
      <c r="I33" s="9">
        <v>2</v>
      </c>
      <c r="J33" s="43">
        <v>2</v>
      </c>
      <c r="K33" s="260">
        <f t="shared" si="0"/>
        <v>0.35859414261160716</v>
      </c>
      <c r="L33" s="163" t="s">
        <v>111</v>
      </c>
    </row>
    <row r="34" spans="1:12">
      <c r="A34" s="34" t="s">
        <v>109</v>
      </c>
      <c r="B34" s="336">
        <v>1995</v>
      </c>
      <c r="C34" s="59" t="s">
        <v>98</v>
      </c>
      <c r="D34" s="59">
        <v>1106</v>
      </c>
      <c r="E34" s="361" t="s">
        <v>110</v>
      </c>
      <c r="F34" s="122">
        <v>1</v>
      </c>
      <c r="G34" s="9">
        <v>1</v>
      </c>
      <c r="H34" s="9">
        <v>1</v>
      </c>
      <c r="I34" s="9">
        <v>2</v>
      </c>
      <c r="J34" s="43">
        <v>2</v>
      </c>
      <c r="K34" s="260">
        <f t="shared" si="0"/>
        <v>0.35859414261160716</v>
      </c>
      <c r="L34" s="163" t="s">
        <v>111</v>
      </c>
    </row>
    <row r="35" spans="1:12">
      <c r="A35" s="34" t="s">
        <v>109</v>
      </c>
      <c r="B35" s="336">
        <v>1996</v>
      </c>
      <c r="C35" s="59" t="s">
        <v>85</v>
      </c>
      <c r="D35" s="59">
        <v>1435</v>
      </c>
      <c r="E35" s="361" t="s">
        <v>110</v>
      </c>
      <c r="F35" s="122">
        <v>1</v>
      </c>
      <c r="G35" s="9">
        <v>1</v>
      </c>
      <c r="H35" s="9">
        <v>1</v>
      </c>
      <c r="I35" s="9">
        <v>2</v>
      </c>
      <c r="J35" s="43">
        <v>2</v>
      </c>
      <c r="K35" s="260">
        <f t="shared" si="0"/>
        <v>0.35859414261160716</v>
      </c>
      <c r="L35" s="163" t="s">
        <v>111</v>
      </c>
    </row>
    <row r="36" spans="1:12">
      <c r="A36" s="34" t="s">
        <v>109</v>
      </c>
      <c r="B36" s="336">
        <v>1996</v>
      </c>
      <c r="C36" s="59" t="s">
        <v>86</v>
      </c>
      <c r="D36" s="59">
        <v>290</v>
      </c>
      <c r="E36" s="361" t="s">
        <v>110</v>
      </c>
      <c r="F36" s="122">
        <v>1</v>
      </c>
      <c r="G36" s="9">
        <v>1</v>
      </c>
      <c r="H36" s="9">
        <v>1</v>
      </c>
      <c r="I36" s="9">
        <v>2</v>
      </c>
      <c r="J36" s="43">
        <v>2</v>
      </c>
      <c r="K36" s="260">
        <f t="shared" si="0"/>
        <v>0.35859414261160716</v>
      </c>
      <c r="L36" s="163" t="s">
        <v>111</v>
      </c>
    </row>
    <row r="37" spans="1:12">
      <c r="A37" s="34" t="s">
        <v>109</v>
      </c>
      <c r="B37" s="336">
        <v>1996</v>
      </c>
      <c r="C37" s="59" t="s">
        <v>87</v>
      </c>
      <c r="D37" s="59">
        <v>852</v>
      </c>
      <c r="E37" s="361" t="s">
        <v>110</v>
      </c>
      <c r="F37" s="122">
        <v>1</v>
      </c>
      <c r="G37" s="9">
        <v>1</v>
      </c>
      <c r="H37" s="9">
        <v>1</v>
      </c>
      <c r="I37" s="9">
        <v>2</v>
      </c>
      <c r="J37" s="43">
        <v>2</v>
      </c>
      <c r="K37" s="260">
        <f t="shared" si="0"/>
        <v>0.35859414261160716</v>
      </c>
      <c r="L37" s="163" t="s">
        <v>111</v>
      </c>
    </row>
    <row r="38" spans="1:12">
      <c r="A38" s="34" t="s">
        <v>109</v>
      </c>
      <c r="B38" s="336">
        <v>1996</v>
      </c>
      <c r="C38" s="59" t="s">
        <v>88</v>
      </c>
      <c r="D38" s="59">
        <v>4</v>
      </c>
      <c r="E38" s="361" t="s">
        <v>110</v>
      </c>
      <c r="F38" s="122">
        <v>1</v>
      </c>
      <c r="G38" s="9">
        <v>1</v>
      </c>
      <c r="H38" s="9">
        <v>1</v>
      </c>
      <c r="I38" s="9">
        <v>2</v>
      </c>
      <c r="J38" s="43">
        <v>2</v>
      </c>
      <c r="K38" s="260">
        <f t="shared" si="0"/>
        <v>0.35859414261160716</v>
      </c>
      <c r="L38" s="163" t="s">
        <v>111</v>
      </c>
    </row>
    <row r="39" spans="1:12">
      <c r="A39" s="34" t="s">
        <v>109</v>
      </c>
      <c r="B39" s="336">
        <v>1996</v>
      </c>
      <c r="C39" s="59" t="s">
        <v>89</v>
      </c>
      <c r="D39" s="59">
        <v>191</v>
      </c>
      <c r="E39" s="361" t="s">
        <v>110</v>
      </c>
      <c r="F39" s="122">
        <v>1</v>
      </c>
      <c r="G39" s="9">
        <v>1</v>
      </c>
      <c r="H39" s="9">
        <v>1</v>
      </c>
      <c r="I39" s="9">
        <v>2</v>
      </c>
      <c r="J39" s="43">
        <v>2</v>
      </c>
      <c r="K39" s="260">
        <f t="shared" si="0"/>
        <v>0.35859414261160716</v>
      </c>
      <c r="L39" s="163" t="s">
        <v>111</v>
      </c>
    </row>
    <row r="40" spans="1:12">
      <c r="A40" s="34" t="s">
        <v>109</v>
      </c>
      <c r="B40" s="336">
        <v>1996</v>
      </c>
      <c r="C40" s="59" t="s">
        <v>90</v>
      </c>
      <c r="D40" s="59">
        <v>610</v>
      </c>
      <c r="E40" s="361" t="s">
        <v>110</v>
      </c>
      <c r="F40" s="122">
        <v>1</v>
      </c>
      <c r="G40" s="9">
        <v>1</v>
      </c>
      <c r="H40" s="9">
        <v>1</v>
      </c>
      <c r="I40" s="9">
        <v>2</v>
      </c>
      <c r="J40" s="43">
        <v>2</v>
      </c>
      <c r="K40" s="260">
        <f t="shared" si="0"/>
        <v>0.35859414261160716</v>
      </c>
      <c r="L40" s="163" t="s">
        <v>111</v>
      </c>
    </row>
    <row r="41" spans="1:12">
      <c r="A41" s="34" t="s">
        <v>109</v>
      </c>
      <c r="B41" s="336">
        <v>1996</v>
      </c>
      <c r="C41" s="59" t="s">
        <v>91</v>
      </c>
      <c r="D41" s="59">
        <v>0</v>
      </c>
      <c r="E41" s="361" t="s">
        <v>110</v>
      </c>
      <c r="F41" s="122">
        <v>1</v>
      </c>
      <c r="G41" s="9">
        <v>1</v>
      </c>
      <c r="H41" s="9">
        <v>1</v>
      </c>
      <c r="I41" s="9">
        <v>2</v>
      </c>
      <c r="J41" s="43">
        <v>2</v>
      </c>
      <c r="K41" s="260">
        <f t="shared" si="0"/>
        <v>0.35859414261160716</v>
      </c>
      <c r="L41" s="163" t="s">
        <v>111</v>
      </c>
    </row>
    <row r="42" spans="1:12">
      <c r="A42" s="34" t="s">
        <v>109</v>
      </c>
      <c r="B42" s="336">
        <v>1996</v>
      </c>
      <c r="C42" s="59" t="s">
        <v>94</v>
      </c>
      <c r="D42" s="59">
        <v>149</v>
      </c>
      <c r="E42" s="361" t="s">
        <v>110</v>
      </c>
      <c r="F42" s="122">
        <v>1</v>
      </c>
      <c r="G42" s="9">
        <v>1</v>
      </c>
      <c r="H42" s="9">
        <v>1</v>
      </c>
      <c r="I42" s="9">
        <v>2</v>
      </c>
      <c r="J42" s="43">
        <v>2</v>
      </c>
      <c r="K42" s="260">
        <f t="shared" si="0"/>
        <v>0.35859414261160716</v>
      </c>
      <c r="L42" s="163" t="s">
        <v>111</v>
      </c>
    </row>
    <row r="43" spans="1:12">
      <c r="A43" s="34" t="s">
        <v>109</v>
      </c>
      <c r="B43" s="336">
        <v>1996</v>
      </c>
      <c r="C43" s="59" t="s">
        <v>96</v>
      </c>
      <c r="D43" s="59">
        <v>337</v>
      </c>
      <c r="E43" s="361" t="s">
        <v>110</v>
      </c>
      <c r="F43" s="122">
        <v>1</v>
      </c>
      <c r="G43" s="9">
        <v>1</v>
      </c>
      <c r="H43" s="9">
        <v>1</v>
      </c>
      <c r="I43" s="9">
        <v>2</v>
      </c>
      <c r="J43" s="43">
        <v>2</v>
      </c>
      <c r="K43" s="260">
        <f t="shared" si="0"/>
        <v>0.35859414261160716</v>
      </c>
      <c r="L43" s="163" t="s">
        <v>111</v>
      </c>
    </row>
    <row r="44" spans="1:12">
      <c r="A44" s="34" t="s">
        <v>109</v>
      </c>
      <c r="B44" s="336">
        <v>1996</v>
      </c>
      <c r="C44" s="59" t="s">
        <v>97</v>
      </c>
      <c r="D44" s="59">
        <v>233</v>
      </c>
      <c r="E44" s="361" t="s">
        <v>110</v>
      </c>
      <c r="F44" s="122">
        <v>1</v>
      </c>
      <c r="G44" s="9">
        <v>1</v>
      </c>
      <c r="H44" s="9">
        <v>1</v>
      </c>
      <c r="I44" s="9">
        <v>2</v>
      </c>
      <c r="J44" s="43">
        <v>2</v>
      </c>
      <c r="K44" s="260">
        <f t="shared" si="0"/>
        <v>0.35859414261160716</v>
      </c>
      <c r="L44" s="163" t="s">
        <v>111</v>
      </c>
    </row>
    <row r="45" spans="1:12">
      <c r="A45" s="34" t="s">
        <v>109</v>
      </c>
      <c r="B45" s="336">
        <v>1996</v>
      </c>
      <c r="C45" s="59" t="s">
        <v>95</v>
      </c>
      <c r="D45" s="59">
        <v>200</v>
      </c>
      <c r="E45" s="361" t="s">
        <v>110</v>
      </c>
      <c r="F45" s="122">
        <v>1</v>
      </c>
      <c r="G45" s="9">
        <v>1</v>
      </c>
      <c r="H45" s="9">
        <v>1</v>
      </c>
      <c r="I45" s="9">
        <v>2</v>
      </c>
      <c r="J45" s="43">
        <v>2</v>
      </c>
      <c r="K45" s="260">
        <f t="shared" si="0"/>
        <v>0.35859414261160716</v>
      </c>
      <c r="L45" s="163" t="s">
        <v>111</v>
      </c>
    </row>
    <row r="46" spans="1:12">
      <c r="A46" s="34" t="s">
        <v>109</v>
      </c>
      <c r="B46" s="336">
        <v>1996</v>
      </c>
      <c r="C46" s="59" t="s">
        <v>93</v>
      </c>
      <c r="D46" s="59">
        <v>98</v>
      </c>
      <c r="E46" s="361" t="s">
        <v>110</v>
      </c>
      <c r="F46" s="122">
        <v>1</v>
      </c>
      <c r="G46" s="9">
        <v>1</v>
      </c>
      <c r="H46" s="9">
        <v>1</v>
      </c>
      <c r="I46" s="9">
        <v>2</v>
      </c>
      <c r="J46" s="43">
        <v>2</v>
      </c>
      <c r="K46" s="260">
        <f t="shared" si="0"/>
        <v>0.35859414261160716</v>
      </c>
      <c r="L46" s="163" t="s">
        <v>111</v>
      </c>
    </row>
    <row r="47" spans="1:12">
      <c r="A47" s="34" t="s">
        <v>109</v>
      </c>
      <c r="B47" s="336">
        <v>1996</v>
      </c>
      <c r="C47" s="59" t="s">
        <v>98</v>
      </c>
      <c r="D47" s="59">
        <v>1106</v>
      </c>
      <c r="E47" s="361" t="s">
        <v>110</v>
      </c>
      <c r="F47" s="122">
        <v>1</v>
      </c>
      <c r="G47" s="9">
        <v>1</v>
      </c>
      <c r="H47" s="9">
        <v>1</v>
      </c>
      <c r="I47" s="9">
        <v>2</v>
      </c>
      <c r="J47" s="43">
        <v>2</v>
      </c>
      <c r="K47" s="260">
        <f t="shared" si="0"/>
        <v>0.35859414261160716</v>
      </c>
      <c r="L47" s="163" t="s">
        <v>111</v>
      </c>
    </row>
    <row r="48" spans="1:12">
      <c r="A48" s="34" t="s">
        <v>109</v>
      </c>
      <c r="B48" s="336">
        <v>1997</v>
      </c>
      <c r="C48" s="59" t="s">
        <v>85</v>
      </c>
      <c r="D48" s="59">
        <v>1435</v>
      </c>
      <c r="E48" s="361" t="s">
        <v>110</v>
      </c>
      <c r="F48" s="122">
        <v>1</v>
      </c>
      <c r="G48" s="9">
        <v>1</v>
      </c>
      <c r="H48" s="9">
        <v>1</v>
      </c>
      <c r="I48" s="9">
        <v>2</v>
      </c>
      <c r="J48" s="43">
        <v>2</v>
      </c>
      <c r="K48" s="260">
        <f t="shared" si="0"/>
        <v>0.35859414261160716</v>
      </c>
      <c r="L48" s="163" t="s">
        <v>111</v>
      </c>
    </row>
    <row r="49" spans="1:12">
      <c r="A49" s="34" t="s">
        <v>109</v>
      </c>
      <c r="B49" s="336">
        <v>1997</v>
      </c>
      <c r="C49" s="59" t="s">
        <v>86</v>
      </c>
      <c r="D49" s="59">
        <v>290</v>
      </c>
      <c r="E49" s="361" t="s">
        <v>110</v>
      </c>
      <c r="F49" s="122">
        <v>1</v>
      </c>
      <c r="G49" s="9">
        <v>1</v>
      </c>
      <c r="H49" s="9">
        <v>1</v>
      </c>
      <c r="I49" s="9">
        <v>2</v>
      </c>
      <c r="J49" s="43">
        <v>2</v>
      </c>
      <c r="K49" s="260">
        <f t="shared" si="0"/>
        <v>0.35859414261160716</v>
      </c>
      <c r="L49" s="163" t="s">
        <v>111</v>
      </c>
    </row>
    <row r="50" spans="1:12">
      <c r="A50" s="34" t="s">
        <v>109</v>
      </c>
      <c r="B50" s="336">
        <v>1997</v>
      </c>
      <c r="C50" s="59" t="s">
        <v>87</v>
      </c>
      <c r="D50" s="59">
        <v>852</v>
      </c>
      <c r="E50" s="361" t="s">
        <v>110</v>
      </c>
      <c r="F50" s="122">
        <v>1</v>
      </c>
      <c r="G50" s="9">
        <v>1</v>
      </c>
      <c r="H50" s="9">
        <v>1</v>
      </c>
      <c r="I50" s="9">
        <v>2</v>
      </c>
      <c r="J50" s="43">
        <v>2</v>
      </c>
      <c r="K50" s="260">
        <f t="shared" si="0"/>
        <v>0.35859414261160716</v>
      </c>
      <c r="L50" s="163" t="s">
        <v>111</v>
      </c>
    </row>
    <row r="51" spans="1:12">
      <c r="A51" s="34" t="s">
        <v>109</v>
      </c>
      <c r="B51" s="336">
        <v>1997</v>
      </c>
      <c r="C51" s="59" t="s">
        <v>88</v>
      </c>
      <c r="D51" s="59">
        <v>38</v>
      </c>
      <c r="E51" s="361" t="s">
        <v>110</v>
      </c>
      <c r="F51" s="122">
        <v>1</v>
      </c>
      <c r="G51" s="9">
        <v>1</v>
      </c>
      <c r="H51" s="9">
        <v>1</v>
      </c>
      <c r="I51" s="9">
        <v>2</v>
      </c>
      <c r="J51" s="43">
        <v>2</v>
      </c>
      <c r="K51" s="260">
        <f t="shared" si="0"/>
        <v>0.35859414261160716</v>
      </c>
      <c r="L51" s="163" t="s">
        <v>111</v>
      </c>
    </row>
    <row r="52" spans="1:12">
      <c r="A52" s="34" t="s">
        <v>109</v>
      </c>
      <c r="B52" s="336">
        <v>1997</v>
      </c>
      <c r="C52" s="59" t="s">
        <v>89</v>
      </c>
      <c r="D52" s="59">
        <v>191</v>
      </c>
      <c r="E52" s="361" t="s">
        <v>110</v>
      </c>
      <c r="F52" s="122">
        <v>1</v>
      </c>
      <c r="G52" s="9">
        <v>1</v>
      </c>
      <c r="H52" s="9">
        <v>1</v>
      </c>
      <c r="I52" s="9">
        <v>2</v>
      </c>
      <c r="J52" s="43">
        <v>2</v>
      </c>
      <c r="K52" s="260">
        <f t="shared" si="0"/>
        <v>0.35859414261160716</v>
      </c>
      <c r="L52" s="163" t="s">
        <v>111</v>
      </c>
    </row>
    <row r="53" spans="1:12">
      <c r="A53" s="34" t="s">
        <v>109</v>
      </c>
      <c r="B53" s="336">
        <v>1997</v>
      </c>
      <c r="C53" s="59" t="s">
        <v>90</v>
      </c>
      <c r="D53" s="59">
        <v>610</v>
      </c>
      <c r="E53" s="361" t="s">
        <v>110</v>
      </c>
      <c r="F53" s="122">
        <v>1</v>
      </c>
      <c r="G53" s="9">
        <v>1</v>
      </c>
      <c r="H53" s="9">
        <v>1</v>
      </c>
      <c r="I53" s="9">
        <v>2</v>
      </c>
      <c r="J53" s="43">
        <v>2</v>
      </c>
      <c r="K53" s="260">
        <f t="shared" si="0"/>
        <v>0.35859414261160716</v>
      </c>
      <c r="L53" s="163" t="s">
        <v>111</v>
      </c>
    </row>
    <row r="54" spans="1:12">
      <c r="A54" s="34" t="s">
        <v>109</v>
      </c>
      <c r="B54" s="336">
        <v>1997</v>
      </c>
      <c r="C54" s="59" t="s">
        <v>91</v>
      </c>
      <c r="D54" s="59">
        <v>0</v>
      </c>
      <c r="E54" s="361" t="s">
        <v>110</v>
      </c>
      <c r="F54" s="122">
        <v>1</v>
      </c>
      <c r="G54" s="9">
        <v>1</v>
      </c>
      <c r="H54" s="9">
        <v>1</v>
      </c>
      <c r="I54" s="9">
        <v>2</v>
      </c>
      <c r="J54" s="43">
        <v>2</v>
      </c>
      <c r="K54" s="260">
        <f t="shared" si="0"/>
        <v>0.35859414261160716</v>
      </c>
      <c r="L54" s="163" t="s">
        <v>111</v>
      </c>
    </row>
    <row r="55" spans="1:12">
      <c r="A55" s="34" t="s">
        <v>109</v>
      </c>
      <c r="B55" s="336">
        <v>1997</v>
      </c>
      <c r="C55" s="59" t="s">
        <v>94</v>
      </c>
      <c r="D55" s="59">
        <v>155</v>
      </c>
      <c r="E55" s="361" t="s">
        <v>110</v>
      </c>
      <c r="F55" s="122">
        <v>1</v>
      </c>
      <c r="G55" s="9">
        <v>1</v>
      </c>
      <c r="H55" s="9">
        <v>1</v>
      </c>
      <c r="I55" s="9">
        <v>2</v>
      </c>
      <c r="J55" s="43">
        <v>2</v>
      </c>
      <c r="K55" s="260">
        <f t="shared" si="0"/>
        <v>0.35859414261160716</v>
      </c>
      <c r="L55" s="163" t="s">
        <v>111</v>
      </c>
    </row>
    <row r="56" spans="1:12">
      <c r="A56" s="34" t="s">
        <v>109</v>
      </c>
      <c r="B56" s="336">
        <v>1997</v>
      </c>
      <c r="C56" s="59" t="s">
        <v>96</v>
      </c>
      <c r="D56" s="59">
        <v>337</v>
      </c>
      <c r="E56" s="361" t="s">
        <v>110</v>
      </c>
      <c r="F56" s="122">
        <v>1</v>
      </c>
      <c r="G56" s="9">
        <v>1</v>
      </c>
      <c r="H56" s="9">
        <v>1</v>
      </c>
      <c r="I56" s="9">
        <v>2</v>
      </c>
      <c r="J56" s="43">
        <v>2</v>
      </c>
      <c r="K56" s="260">
        <f t="shared" si="0"/>
        <v>0.35859414261160716</v>
      </c>
      <c r="L56" s="163" t="s">
        <v>111</v>
      </c>
    </row>
    <row r="57" spans="1:12">
      <c r="A57" s="34" t="s">
        <v>109</v>
      </c>
      <c r="B57" s="336">
        <v>1997</v>
      </c>
      <c r="C57" s="59" t="s">
        <v>97</v>
      </c>
      <c r="D57" s="59">
        <v>233</v>
      </c>
      <c r="E57" s="361" t="s">
        <v>110</v>
      </c>
      <c r="F57" s="122">
        <v>1</v>
      </c>
      <c r="G57" s="9">
        <v>1</v>
      </c>
      <c r="H57" s="9">
        <v>1</v>
      </c>
      <c r="I57" s="9">
        <v>2</v>
      </c>
      <c r="J57" s="43">
        <v>2</v>
      </c>
      <c r="K57" s="260">
        <f t="shared" si="0"/>
        <v>0.35859414261160716</v>
      </c>
      <c r="L57" s="163" t="s">
        <v>111</v>
      </c>
    </row>
    <row r="58" spans="1:12">
      <c r="A58" s="34" t="s">
        <v>109</v>
      </c>
      <c r="B58" s="336">
        <v>1997</v>
      </c>
      <c r="C58" s="59" t="s">
        <v>95</v>
      </c>
      <c r="D58" s="59">
        <v>200</v>
      </c>
      <c r="E58" s="361" t="s">
        <v>110</v>
      </c>
      <c r="F58" s="122">
        <v>1</v>
      </c>
      <c r="G58" s="9">
        <v>1</v>
      </c>
      <c r="H58" s="9">
        <v>1</v>
      </c>
      <c r="I58" s="9">
        <v>2</v>
      </c>
      <c r="J58" s="43">
        <v>2</v>
      </c>
      <c r="K58" s="260">
        <f t="shared" si="0"/>
        <v>0.35859414261160716</v>
      </c>
      <c r="L58" s="163" t="s">
        <v>111</v>
      </c>
    </row>
    <row r="59" spans="1:12">
      <c r="A59" s="34" t="s">
        <v>109</v>
      </c>
      <c r="B59" s="336">
        <v>1997</v>
      </c>
      <c r="C59" s="59" t="s">
        <v>93</v>
      </c>
      <c r="D59" s="59">
        <v>98</v>
      </c>
      <c r="E59" s="361" t="s">
        <v>110</v>
      </c>
      <c r="F59" s="122">
        <v>1</v>
      </c>
      <c r="G59" s="9">
        <v>1</v>
      </c>
      <c r="H59" s="9">
        <v>1</v>
      </c>
      <c r="I59" s="9">
        <v>2</v>
      </c>
      <c r="J59" s="43">
        <v>2</v>
      </c>
      <c r="K59" s="260">
        <f t="shared" si="0"/>
        <v>0.35859414261160716</v>
      </c>
      <c r="L59" s="163" t="s">
        <v>111</v>
      </c>
    </row>
    <row r="60" spans="1:12">
      <c r="A60" s="34" t="s">
        <v>109</v>
      </c>
      <c r="B60" s="336">
        <v>1997</v>
      </c>
      <c r="C60" s="59" t="s">
        <v>98</v>
      </c>
      <c r="D60" s="59">
        <v>1233</v>
      </c>
      <c r="E60" s="361" t="s">
        <v>110</v>
      </c>
      <c r="F60" s="122">
        <v>1</v>
      </c>
      <c r="G60" s="9">
        <v>1</v>
      </c>
      <c r="H60" s="9">
        <v>1</v>
      </c>
      <c r="I60" s="9">
        <v>2</v>
      </c>
      <c r="J60" s="43">
        <v>2</v>
      </c>
      <c r="K60" s="260">
        <f t="shared" si="0"/>
        <v>0.35859414261160716</v>
      </c>
      <c r="L60" s="163" t="s">
        <v>111</v>
      </c>
    </row>
    <row r="61" spans="1:12">
      <c r="A61" s="34" t="s">
        <v>109</v>
      </c>
      <c r="B61" s="336">
        <v>1998</v>
      </c>
      <c r="C61" s="59" t="s">
        <v>85</v>
      </c>
      <c r="D61" s="59">
        <v>1435</v>
      </c>
      <c r="E61" s="361" t="s">
        <v>110</v>
      </c>
      <c r="F61" s="122">
        <v>1</v>
      </c>
      <c r="G61" s="9">
        <v>1</v>
      </c>
      <c r="H61" s="9">
        <v>1</v>
      </c>
      <c r="I61" s="9">
        <v>2</v>
      </c>
      <c r="J61" s="43">
        <v>2</v>
      </c>
      <c r="K61" s="260">
        <f t="shared" ref="K61:K124" si="1">IF( OR( ISBLANK(F61),ISBLANK(G61), ISBLANK(H61), ISBLANK(I61), ISBLANK(J61) ), "", 1.5*SQRT(   EXP(2.21*(F61-1)) + EXP(2.21*(G61-1)) + EXP(2.21*(H61-1)) + EXP(2.21*(I61-1)) + EXP(2.21*J61)   )/100*2.45 )</f>
        <v>0.35859414261160716</v>
      </c>
      <c r="L61" s="163" t="s">
        <v>111</v>
      </c>
    </row>
    <row r="62" spans="1:12">
      <c r="A62" s="34" t="s">
        <v>109</v>
      </c>
      <c r="B62" s="336">
        <v>1998</v>
      </c>
      <c r="C62" s="59" t="s">
        <v>86</v>
      </c>
      <c r="D62" s="59">
        <v>290</v>
      </c>
      <c r="E62" s="361" t="s">
        <v>110</v>
      </c>
      <c r="F62" s="122">
        <v>1</v>
      </c>
      <c r="G62" s="9">
        <v>1</v>
      </c>
      <c r="H62" s="9">
        <v>1</v>
      </c>
      <c r="I62" s="9">
        <v>2</v>
      </c>
      <c r="J62" s="43">
        <v>2</v>
      </c>
      <c r="K62" s="260">
        <f t="shared" si="1"/>
        <v>0.35859414261160716</v>
      </c>
      <c r="L62" s="163" t="s">
        <v>111</v>
      </c>
    </row>
    <row r="63" spans="1:12">
      <c r="A63" s="34" t="s">
        <v>109</v>
      </c>
      <c r="B63" s="336">
        <v>1998</v>
      </c>
      <c r="C63" s="59" t="s">
        <v>87</v>
      </c>
      <c r="D63" s="59">
        <v>852</v>
      </c>
      <c r="E63" s="361" t="s">
        <v>110</v>
      </c>
      <c r="F63" s="122">
        <v>1</v>
      </c>
      <c r="G63" s="9">
        <v>1</v>
      </c>
      <c r="H63" s="9">
        <v>1</v>
      </c>
      <c r="I63" s="9">
        <v>2</v>
      </c>
      <c r="J63" s="43">
        <v>2</v>
      </c>
      <c r="K63" s="260">
        <f t="shared" si="1"/>
        <v>0.35859414261160716</v>
      </c>
      <c r="L63" s="163" t="s">
        <v>111</v>
      </c>
    </row>
    <row r="64" spans="1:12">
      <c r="A64" s="34" t="s">
        <v>109</v>
      </c>
      <c r="B64" s="336">
        <v>1998</v>
      </c>
      <c r="C64" s="59" t="s">
        <v>88</v>
      </c>
      <c r="D64" s="59">
        <v>33</v>
      </c>
      <c r="E64" s="361" t="s">
        <v>110</v>
      </c>
      <c r="F64" s="122">
        <v>1</v>
      </c>
      <c r="G64" s="9">
        <v>1</v>
      </c>
      <c r="H64" s="9">
        <v>1</v>
      </c>
      <c r="I64" s="9">
        <v>2</v>
      </c>
      <c r="J64" s="43">
        <v>2</v>
      </c>
      <c r="K64" s="260">
        <f t="shared" si="1"/>
        <v>0.35859414261160716</v>
      </c>
      <c r="L64" s="163" t="s">
        <v>111</v>
      </c>
    </row>
    <row r="65" spans="1:12">
      <c r="A65" s="34" t="s">
        <v>109</v>
      </c>
      <c r="B65" s="336">
        <v>1998</v>
      </c>
      <c r="C65" s="59" t="s">
        <v>89</v>
      </c>
      <c r="D65" s="59">
        <v>191</v>
      </c>
      <c r="E65" s="361" t="s">
        <v>110</v>
      </c>
      <c r="F65" s="122">
        <v>1</v>
      </c>
      <c r="G65" s="9">
        <v>1</v>
      </c>
      <c r="H65" s="9">
        <v>1</v>
      </c>
      <c r="I65" s="9">
        <v>2</v>
      </c>
      <c r="J65" s="43">
        <v>2</v>
      </c>
      <c r="K65" s="260">
        <f t="shared" si="1"/>
        <v>0.35859414261160716</v>
      </c>
      <c r="L65" s="163" t="s">
        <v>111</v>
      </c>
    </row>
    <row r="66" spans="1:12">
      <c r="A66" s="34" t="s">
        <v>109</v>
      </c>
      <c r="B66" s="336">
        <v>1998</v>
      </c>
      <c r="C66" s="59" t="s">
        <v>90</v>
      </c>
      <c r="D66" s="59">
        <v>610</v>
      </c>
      <c r="E66" s="361" t="s">
        <v>110</v>
      </c>
      <c r="F66" s="122">
        <v>1</v>
      </c>
      <c r="G66" s="9">
        <v>1</v>
      </c>
      <c r="H66" s="9">
        <v>1</v>
      </c>
      <c r="I66" s="9">
        <v>2</v>
      </c>
      <c r="J66" s="43">
        <v>2</v>
      </c>
      <c r="K66" s="260">
        <f t="shared" si="1"/>
        <v>0.35859414261160716</v>
      </c>
      <c r="L66" s="163" t="s">
        <v>111</v>
      </c>
    </row>
    <row r="67" spans="1:12">
      <c r="A67" s="34" t="s">
        <v>109</v>
      </c>
      <c r="B67" s="336">
        <v>1998</v>
      </c>
      <c r="C67" s="59" t="s">
        <v>91</v>
      </c>
      <c r="D67" s="59">
        <v>0</v>
      </c>
      <c r="E67" s="361" t="s">
        <v>110</v>
      </c>
      <c r="F67" s="122">
        <v>1</v>
      </c>
      <c r="G67" s="9">
        <v>1</v>
      </c>
      <c r="H67" s="9">
        <v>1</v>
      </c>
      <c r="I67" s="9">
        <v>2</v>
      </c>
      <c r="J67" s="43">
        <v>2</v>
      </c>
      <c r="K67" s="260">
        <f t="shared" si="1"/>
        <v>0.35859414261160716</v>
      </c>
      <c r="L67" s="163" t="s">
        <v>111</v>
      </c>
    </row>
    <row r="68" spans="1:12">
      <c r="A68" s="34" t="s">
        <v>109</v>
      </c>
      <c r="B68" s="336">
        <v>1998</v>
      </c>
      <c r="C68" s="59" t="s">
        <v>94</v>
      </c>
      <c r="D68" s="59">
        <v>144</v>
      </c>
      <c r="E68" s="361" t="s">
        <v>110</v>
      </c>
      <c r="F68" s="122">
        <v>1</v>
      </c>
      <c r="G68" s="9">
        <v>1</v>
      </c>
      <c r="H68" s="9">
        <v>1</v>
      </c>
      <c r="I68" s="9">
        <v>2</v>
      </c>
      <c r="J68" s="43">
        <v>2</v>
      </c>
      <c r="K68" s="260">
        <f t="shared" si="1"/>
        <v>0.35859414261160716</v>
      </c>
      <c r="L68" s="163" t="s">
        <v>111</v>
      </c>
    </row>
    <row r="69" spans="1:12">
      <c r="A69" s="34" t="s">
        <v>109</v>
      </c>
      <c r="B69" s="336">
        <v>1998</v>
      </c>
      <c r="C69" s="59" t="s">
        <v>96</v>
      </c>
      <c r="D69" s="59">
        <v>337</v>
      </c>
      <c r="E69" s="361" t="s">
        <v>110</v>
      </c>
      <c r="F69" s="122">
        <v>1</v>
      </c>
      <c r="G69" s="9">
        <v>1</v>
      </c>
      <c r="H69" s="9">
        <v>1</v>
      </c>
      <c r="I69" s="9">
        <v>2</v>
      </c>
      <c r="J69" s="43">
        <v>2</v>
      </c>
      <c r="K69" s="260">
        <f t="shared" si="1"/>
        <v>0.35859414261160716</v>
      </c>
      <c r="L69" s="163" t="s">
        <v>111</v>
      </c>
    </row>
    <row r="70" spans="1:12">
      <c r="A70" s="34" t="s">
        <v>109</v>
      </c>
      <c r="B70" s="336">
        <v>1998</v>
      </c>
      <c r="C70" s="59" t="s">
        <v>97</v>
      </c>
      <c r="D70" s="59">
        <v>233</v>
      </c>
      <c r="E70" s="361" t="s">
        <v>110</v>
      </c>
      <c r="F70" s="122">
        <v>1</v>
      </c>
      <c r="G70" s="9">
        <v>1</v>
      </c>
      <c r="H70" s="9">
        <v>1</v>
      </c>
      <c r="I70" s="9">
        <v>2</v>
      </c>
      <c r="J70" s="43">
        <v>2</v>
      </c>
      <c r="K70" s="260">
        <f t="shared" si="1"/>
        <v>0.35859414261160716</v>
      </c>
      <c r="L70" s="163" t="s">
        <v>111</v>
      </c>
    </row>
    <row r="71" spans="1:12">
      <c r="A71" s="34" t="s">
        <v>109</v>
      </c>
      <c r="B71" s="336">
        <v>1998</v>
      </c>
      <c r="C71" s="59" t="s">
        <v>95</v>
      </c>
      <c r="D71" s="59">
        <v>200</v>
      </c>
      <c r="E71" s="361" t="s">
        <v>110</v>
      </c>
      <c r="F71" s="122">
        <v>1</v>
      </c>
      <c r="G71" s="9">
        <v>1</v>
      </c>
      <c r="H71" s="9">
        <v>1</v>
      </c>
      <c r="I71" s="9">
        <v>2</v>
      </c>
      <c r="J71" s="43">
        <v>2</v>
      </c>
      <c r="K71" s="260">
        <f t="shared" si="1"/>
        <v>0.35859414261160716</v>
      </c>
      <c r="L71" s="163" t="s">
        <v>111</v>
      </c>
    </row>
    <row r="72" spans="1:12">
      <c r="A72" s="34" t="s">
        <v>109</v>
      </c>
      <c r="B72" s="336">
        <v>1998</v>
      </c>
      <c r="C72" s="59" t="s">
        <v>93</v>
      </c>
      <c r="D72" s="59">
        <v>98</v>
      </c>
      <c r="E72" s="633" t="s">
        <v>110</v>
      </c>
      <c r="F72" s="9">
        <v>1</v>
      </c>
      <c r="G72" s="9">
        <v>1</v>
      </c>
      <c r="H72" s="9">
        <v>1</v>
      </c>
      <c r="I72" s="9">
        <v>2</v>
      </c>
      <c r="J72" s="43">
        <v>2</v>
      </c>
      <c r="K72" s="260">
        <f t="shared" si="1"/>
        <v>0.35859414261160716</v>
      </c>
      <c r="L72" s="163" t="s">
        <v>111</v>
      </c>
    </row>
    <row r="73" spans="1:12">
      <c r="A73" s="34" t="s">
        <v>109</v>
      </c>
      <c r="B73" s="336">
        <v>1998</v>
      </c>
      <c r="C73" s="59" t="s">
        <v>98</v>
      </c>
      <c r="D73" s="59">
        <v>1521</v>
      </c>
      <c r="E73" s="633" t="s">
        <v>110</v>
      </c>
      <c r="F73" s="9">
        <v>1</v>
      </c>
      <c r="G73" s="9">
        <v>1</v>
      </c>
      <c r="H73" s="9">
        <v>1</v>
      </c>
      <c r="I73" s="9">
        <v>2</v>
      </c>
      <c r="J73" s="43">
        <v>2</v>
      </c>
      <c r="K73" s="260">
        <f t="shared" si="1"/>
        <v>0.35859414261160716</v>
      </c>
      <c r="L73" s="163" t="s">
        <v>111</v>
      </c>
    </row>
    <row r="74" spans="1:12">
      <c r="A74" s="34" t="s">
        <v>109</v>
      </c>
      <c r="B74" s="336">
        <v>1999</v>
      </c>
      <c r="C74" s="59" t="s">
        <v>85</v>
      </c>
      <c r="D74" s="59">
        <v>1435</v>
      </c>
      <c r="E74" s="633" t="s">
        <v>110</v>
      </c>
      <c r="F74" s="9">
        <v>1</v>
      </c>
      <c r="G74" s="9">
        <v>1</v>
      </c>
      <c r="H74" s="9">
        <v>1</v>
      </c>
      <c r="I74" s="9">
        <v>2</v>
      </c>
      <c r="J74" s="43">
        <v>2</v>
      </c>
      <c r="K74" s="260">
        <f t="shared" si="1"/>
        <v>0.35859414261160716</v>
      </c>
      <c r="L74" s="163" t="s">
        <v>111</v>
      </c>
    </row>
    <row r="75" spans="1:12">
      <c r="A75" s="34" t="s">
        <v>109</v>
      </c>
      <c r="B75" s="336">
        <v>1999</v>
      </c>
      <c r="C75" s="59" t="s">
        <v>86</v>
      </c>
      <c r="D75" s="59">
        <v>290</v>
      </c>
      <c r="E75" s="633" t="s">
        <v>110</v>
      </c>
      <c r="F75" s="9">
        <v>1</v>
      </c>
      <c r="G75" s="9">
        <v>1</v>
      </c>
      <c r="H75" s="9">
        <v>1</v>
      </c>
      <c r="I75" s="9">
        <v>2</v>
      </c>
      <c r="J75" s="43">
        <v>2</v>
      </c>
      <c r="K75" s="260">
        <f t="shared" si="1"/>
        <v>0.35859414261160716</v>
      </c>
      <c r="L75" s="163" t="s">
        <v>111</v>
      </c>
    </row>
    <row r="76" spans="1:12">
      <c r="A76" s="34" t="s">
        <v>109</v>
      </c>
      <c r="B76" s="336">
        <v>1999</v>
      </c>
      <c r="C76" s="59" t="s">
        <v>87</v>
      </c>
      <c r="D76" s="59">
        <v>852</v>
      </c>
      <c r="E76" s="633" t="s">
        <v>110</v>
      </c>
      <c r="F76" s="9">
        <v>1</v>
      </c>
      <c r="G76" s="9">
        <v>1</v>
      </c>
      <c r="H76" s="9">
        <v>1</v>
      </c>
      <c r="I76" s="9">
        <v>2</v>
      </c>
      <c r="J76" s="43">
        <v>2</v>
      </c>
      <c r="K76" s="260">
        <f t="shared" si="1"/>
        <v>0.35859414261160716</v>
      </c>
      <c r="L76" s="163" t="s">
        <v>111</v>
      </c>
    </row>
    <row r="77" spans="1:12">
      <c r="A77" s="34" t="s">
        <v>109</v>
      </c>
      <c r="B77" s="336">
        <v>1999</v>
      </c>
      <c r="C77" s="59" t="s">
        <v>88</v>
      </c>
      <c r="D77" s="59">
        <v>38</v>
      </c>
      <c r="E77" s="633" t="s">
        <v>110</v>
      </c>
      <c r="F77" s="9">
        <v>1</v>
      </c>
      <c r="G77" s="9">
        <v>1</v>
      </c>
      <c r="H77" s="9">
        <v>1</v>
      </c>
      <c r="I77" s="9">
        <v>2</v>
      </c>
      <c r="J77" s="43">
        <v>2</v>
      </c>
      <c r="K77" s="260">
        <f t="shared" si="1"/>
        <v>0.35859414261160716</v>
      </c>
      <c r="L77" s="163" t="s">
        <v>111</v>
      </c>
    </row>
    <row r="78" spans="1:12">
      <c r="A78" s="34" t="s">
        <v>109</v>
      </c>
      <c r="B78" s="336">
        <v>1999</v>
      </c>
      <c r="C78" s="59" t="s">
        <v>89</v>
      </c>
      <c r="D78" s="59">
        <v>191</v>
      </c>
      <c r="E78" s="633" t="s">
        <v>110</v>
      </c>
      <c r="F78" s="9">
        <v>1</v>
      </c>
      <c r="G78" s="9">
        <v>1</v>
      </c>
      <c r="H78" s="9">
        <v>1</v>
      </c>
      <c r="I78" s="9">
        <v>2</v>
      </c>
      <c r="J78" s="43">
        <v>2</v>
      </c>
      <c r="K78" s="260">
        <f t="shared" si="1"/>
        <v>0.35859414261160716</v>
      </c>
      <c r="L78" s="163" t="s">
        <v>111</v>
      </c>
    </row>
    <row r="79" spans="1:12">
      <c r="A79" s="34" t="s">
        <v>109</v>
      </c>
      <c r="B79" s="336">
        <v>1999</v>
      </c>
      <c r="C79" s="59" t="s">
        <v>90</v>
      </c>
      <c r="D79" s="59">
        <v>610</v>
      </c>
      <c r="E79" s="633" t="s">
        <v>110</v>
      </c>
      <c r="F79" s="9">
        <v>1</v>
      </c>
      <c r="G79" s="9">
        <v>1</v>
      </c>
      <c r="H79" s="9">
        <v>1</v>
      </c>
      <c r="I79" s="9">
        <v>2</v>
      </c>
      <c r="J79" s="43">
        <v>2</v>
      </c>
      <c r="K79" s="260">
        <f t="shared" si="1"/>
        <v>0.35859414261160716</v>
      </c>
      <c r="L79" s="163" t="s">
        <v>111</v>
      </c>
    </row>
    <row r="80" spans="1:12">
      <c r="A80" s="34" t="s">
        <v>109</v>
      </c>
      <c r="B80" s="336">
        <v>1999</v>
      </c>
      <c r="C80" s="59" t="s">
        <v>91</v>
      </c>
      <c r="D80" s="59">
        <v>0</v>
      </c>
      <c r="E80" s="633" t="s">
        <v>110</v>
      </c>
      <c r="F80" s="9">
        <v>1</v>
      </c>
      <c r="G80" s="9">
        <v>1</v>
      </c>
      <c r="H80" s="9">
        <v>1</v>
      </c>
      <c r="I80" s="9">
        <v>2</v>
      </c>
      <c r="J80" s="43">
        <v>2</v>
      </c>
      <c r="K80" s="260">
        <f t="shared" si="1"/>
        <v>0.35859414261160716</v>
      </c>
      <c r="L80" s="163" t="s">
        <v>111</v>
      </c>
    </row>
    <row r="81" spans="1:12">
      <c r="A81" s="34" t="s">
        <v>109</v>
      </c>
      <c r="B81" s="336">
        <v>1999</v>
      </c>
      <c r="C81" s="59" t="s">
        <v>94</v>
      </c>
      <c r="D81" s="59">
        <v>108</v>
      </c>
      <c r="E81" s="633" t="s">
        <v>110</v>
      </c>
      <c r="F81" s="9">
        <v>1</v>
      </c>
      <c r="G81" s="9">
        <v>1</v>
      </c>
      <c r="H81" s="9">
        <v>1</v>
      </c>
      <c r="I81" s="9">
        <v>2</v>
      </c>
      <c r="J81" s="43">
        <v>2</v>
      </c>
      <c r="K81" s="260">
        <f t="shared" si="1"/>
        <v>0.35859414261160716</v>
      </c>
      <c r="L81" s="163" t="s">
        <v>111</v>
      </c>
    </row>
    <row r="82" spans="1:12">
      <c r="A82" s="34" t="s">
        <v>109</v>
      </c>
      <c r="B82" s="336">
        <v>1999</v>
      </c>
      <c r="C82" s="59" t="s">
        <v>96</v>
      </c>
      <c r="D82" s="59">
        <v>337</v>
      </c>
      <c r="E82" s="633" t="s">
        <v>110</v>
      </c>
      <c r="F82" s="9">
        <v>1</v>
      </c>
      <c r="G82" s="9">
        <v>1</v>
      </c>
      <c r="H82" s="9">
        <v>1</v>
      </c>
      <c r="I82" s="9">
        <v>2</v>
      </c>
      <c r="J82" s="43">
        <v>2</v>
      </c>
      <c r="K82" s="260">
        <f t="shared" si="1"/>
        <v>0.35859414261160716</v>
      </c>
      <c r="L82" s="163" t="s">
        <v>111</v>
      </c>
    </row>
    <row r="83" spans="1:12">
      <c r="A83" s="34" t="s">
        <v>109</v>
      </c>
      <c r="B83" s="336">
        <v>1999</v>
      </c>
      <c r="C83" s="59" t="s">
        <v>97</v>
      </c>
      <c r="D83" s="59">
        <v>233</v>
      </c>
      <c r="E83" s="633" t="s">
        <v>110</v>
      </c>
      <c r="F83" s="9">
        <v>1</v>
      </c>
      <c r="G83" s="9">
        <v>1</v>
      </c>
      <c r="H83" s="9">
        <v>1</v>
      </c>
      <c r="I83" s="9">
        <v>2</v>
      </c>
      <c r="J83" s="43">
        <v>2</v>
      </c>
      <c r="K83" s="260">
        <f t="shared" si="1"/>
        <v>0.35859414261160716</v>
      </c>
      <c r="L83" s="163" t="s">
        <v>111</v>
      </c>
    </row>
    <row r="84" spans="1:12">
      <c r="A84" s="34" t="s">
        <v>109</v>
      </c>
      <c r="B84" s="336">
        <v>1999</v>
      </c>
      <c r="C84" s="59" t="s">
        <v>95</v>
      </c>
      <c r="D84" s="59">
        <v>200</v>
      </c>
      <c r="E84" s="493" t="s">
        <v>110</v>
      </c>
      <c r="F84" s="122">
        <v>1</v>
      </c>
      <c r="G84" s="118">
        <v>1</v>
      </c>
      <c r="H84" s="118">
        <v>1</v>
      </c>
      <c r="I84" s="9">
        <v>2</v>
      </c>
      <c r="J84" s="43">
        <v>2</v>
      </c>
      <c r="K84" s="260">
        <f t="shared" si="1"/>
        <v>0.35859414261160716</v>
      </c>
      <c r="L84" s="163" t="s">
        <v>111</v>
      </c>
    </row>
    <row r="85" spans="1:12">
      <c r="A85" s="34" t="s">
        <v>109</v>
      </c>
      <c r="B85" s="336">
        <v>1999</v>
      </c>
      <c r="C85" s="59" t="s">
        <v>93</v>
      </c>
      <c r="D85" s="59">
        <v>98</v>
      </c>
      <c r="E85" s="493" t="s">
        <v>110</v>
      </c>
      <c r="F85" s="122">
        <v>1</v>
      </c>
      <c r="G85" s="118">
        <v>1</v>
      </c>
      <c r="H85" s="118">
        <v>1</v>
      </c>
      <c r="I85" s="9">
        <v>2</v>
      </c>
      <c r="J85" s="43">
        <v>2</v>
      </c>
      <c r="K85" s="260">
        <f t="shared" si="1"/>
        <v>0.35859414261160716</v>
      </c>
      <c r="L85" s="163" t="s">
        <v>111</v>
      </c>
    </row>
    <row r="86" spans="1:12">
      <c r="A86" s="34" t="s">
        <v>109</v>
      </c>
      <c r="B86" s="336">
        <v>1999</v>
      </c>
      <c r="C86" s="59" t="s">
        <v>98</v>
      </c>
      <c r="D86" s="59">
        <v>1633</v>
      </c>
      <c r="E86" s="493" t="s">
        <v>110</v>
      </c>
      <c r="F86" s="122">
        <v>1</v>
      </c>
      <c r="G86" s="118">
        <v>1</v>
      </c>
      <c r="H86" s="118">
        <v>1</v>
      </c>
      <c r="I86" s="9">
        <v>2</v>
      </c>
      <c r="J86" s="43">
        <v>2</v>
      </c>
      <c r="K86" s="260">
        <f t="shared" si="1"/>
        <v>0.35859414261160716</v>
      </c>
      <c r="L86" s="163" t="s">
        <v>111</v>
      </c>
    </row>
    <row r="87" spans="1:12">
      <c r="A87" s="34" t="s">
        <v>109</v>
      </c>
      <c r="B87" s="336">
        <v>2000</v>
      </c>
      <c r="C87" s="59" t="s">
        <v>85</v>
      </c>
      <c r="D87" s="59">
        <v>1435</v>
      </c>
      <c r="E87" s="493" t="s">
        <v>110</v>
      </c>
      <c r="F87" s="611">
        <v>1</v>
      </c>
      <c r="G87" s="118">
        <v>1</v>
      </c>
      <c r="H87" s="118">
        <v>1</v>
      </c>
      <c r="I87" s="118">
        <v>2</v>
      </c>
      <c r="J87" s="657">
        <v>2</v>
      </c>
      <c r="K87" s="260">
        <f t="shared" si="1"/>
        <v>0.35859414261160716</v>
      </c>
      <c r="L87" s="163" t="s">
        <v>111</v>
      </c>
    </row>
    <row r="88" spans="1:12">
      <c r="A88" s="34" t="s">
        <v>109</v>
      </c>
      <c r="B88" s="336">
        <v>2000</v>
      </c>
      <c r="C88" s="59" t="s">
        <v>86</v>
      </c>
      <c r="D88" s="59">
        <v>290</v>
      </c>
      <c r="E88" s="493" t="s">
        <v>110</v>
      </c>
      <c r="F88" s="122">
        <v>1</v>
      </c>
      <c r="G88" s="118">
        <v>1</v>
      </c>
      <c r="H88" s="118">
        <v>1</v>
      </c>
      <c r="I88" s="9">
        <v>2</v>
      </c>
      <c r="J88" s="43">
        <v>2</v>
      </c>
      <c r="K88" s="260">
        <f t="shared" si="1"/>
        <v>0.35859414261160716</v>
      </c>
      <c r="L88" s="163" t="s">
        <v>111</v>
      </c>
    </row>
    <row r="89" spans="1:12">
      <c r="A89" s="34" t="s">
        <v>109</v>
      </c>
      <c r="B89" s="336">
        <v>2000</v>
      </c>
      <c r="C89" s="59" t="s">
        <v>87</v>
      </c>
      <c r="D89" s="59">
        <v>852</v>
      </c>
      <c r="E89" s="493" t="s">
        <v>110</v>
      </c>
      <c r="F89" s="122">
        <v>1</v>
      </c>
      <c r="G89" s="118">
        <v>1</v>
      </c>
      <c r="H89" s="118">
        <v>1</v>
      </c>
      <c r="I89" s="9">
        <v>2</v>
      </c>
      <c r="J89" s="43">
        <v>2</v>
      </c>
      <c r="K89" s="260">
        <f t="shared" si="1"/>
        <v>0.35859414261160716</v>
      </c>
      <c r="L89" s="163" t="s">
        <v>111</v>
      </c>
    </row>
    <row r="90" spans="1:12">
      <c r="A90" s="34" t="s">
        <v>109</v>
      </c>
      <c r="B90" s="336">
        <v>2000</v>
      </c>
      <c r="C90" s="59" t="s">
        <v>88</v>
      </c>
      <c r="D90" s="59">
        <v>18</v>
      </c>
      <c r="E90" s="493" t="s">
        <v>110</v>
      </c>
      <c r="F90" s="122">
        <v>1</v>
      </c>
      <c r="G90" s="118">
        <v>1</v>
      </c>
      <c r="H90" s="118">
        <v>1</v>
      </c>
      <c r="I90" s="9">
        <v>2</v>
      </c>
      <c r="J90" s="43">
        <v>2</v>
      </c>
      <c r="K90" s="260">
        <f t="shared" si="1"/>
        <v>0.35859414261160716</v>
      </c>
      <c r="L90" s="163" t="s">
        <v>111</v>
      </c>
    </row>
    <row r="91" spans="1:12">
      <c r="A91" s="34" t="s">
        <v>109</v>
      </c>
      <c r="B91" s="336">
        <v>2000</v>
      </c>
      <c r="C91" s="59" t="s">
        <v>89</v>
      </c>
      <c r="D91" s="59">
        <v>191</v>
      </c>
      <c r="E91" s="493" t="s">
        <v>110</v>
      </c>
      <c r="F91" s="122">
        <v>1</v>
      </c>
      <c r="G91" s="118">
        <v>1</v>
      </c>
      <c r="H91" s="118">
        <v>1</v>
      </c>
      <c r="I91" s="9">
        <v>2</v>
      </c>
      <c r="J91" s="43">
        <v>2</v>
      </c>
      <c r="K91" s="260">
        <f t="shared" si="1"/>
        <v>0.35859414261160716</v>
      </c>
      <c r="L91" s="163" t="s">
        <v>111</v>
      </c>
    </row>
    <row r="92" spans="1:12">
      <c r="A92" s="34" t="s">
        <v>109</v>
      </c>
      <c r="B92" s="336">
        <v>2000</v>
      </c>
      <c r="C92" s="59" t="s">
        <v>90</v>
      </c>
      <c r="D92" s="59">
        <v>610</v>
      </c>
      <c r="E92" s="493" t="s">
        <v>110</v>
      </c>
      <c r="F92" s="611">
        <v>1</v>
      </c>
      <c r="G92" s="118">
        <v>1</v>
      </c>
      <c r="H92" s="118">
        <v>1</v>
      </c>
      <c r="I92" s="118">
        <v>2</v>
      </c>
      <c r="J92" s="657">
        <v>2</v>
      </c>
      <c r="K92" s="260">
        <f t="shared" si="1"/>
        <v>0.35859414261160716</v>
      </c>
      <c r="L92" s="163" t="s">
        <v>111</v>
      </c>
    </row>
    <row r="93" spans="1:12">
      <c r="A93" s="34" t="s">
        <v>109</v>
      </c>
      <c r="B93" s="336">
        <v>2000</v>
      </c>
      <c r="C93" s="59" t="s">
        <v>91</v>
      </c>
      <c r="D93" s="59">
        <v>149</v>
      </c>
      <c r="E93" s="493" t="s">
        <v>110</v>
      </c>
      <c r="F93" s="122">
        <v>1</v>
      </c>
      <c r="G93" s="118">
        <v>1</v>
      </c>
      <c r="H93" s="118">
        <v>1</v>
      </c>
      <c r="I93" s="9">
        <v>2</v>
      </c>
      <c r="J93" s="43">
        <v>2</v>
      </c>
      <c r="K93" s="260">
        <f t="shared" si="1"/>
        <v>0.35859414261160716</v>
      </c>
      <c r="L93" s="163" t="s">
        <v>111</v>
      </c>
    </row>
    <row r="94" spans="1:12">
      <c r="A94" s="34" t="s">
        <v>109</v>
      </c>
      <c r="B94" s="336">
        <v>2000</v>
      </c>
      <c r="C94" s="59" t="s">
        <v>94</v>
      </c>
      <c r="D94" s="59">
        <v>109</v>
      </c>
      <c r="E94" s="493" t="s">
        <v>110</v>
      </c>
      <c r="F94" s="122">
        <v>1</v>
      </c>
      <c r="G94" s="118">
        <v>1</v>
      </c>
      <c r="H94" s="118">
        <v>1</v>
      </c>
      <c r="I94" s="9">
        <v>2</v>
      </c>
      <c r="J94" s="43">
        <v>2</v>
      </c>
      <c r="K94" s="260">
        <f t="shared" si="1"/>
        <v>0.35859414261160716</v>
      </c>
      <c r="L94" s="163" t="s">
        <v>111</v>
      </c>
    </row>
    <row r="95" spans="1:12">
      <c r="A95" s="34" t="s">
        <v>109</v>
      </c>
      <c r="B95" s="336">
        <v>2000</v>
      </c>
      <c r="C95" s="59" t="s">
        <v>96</v>
      </c>
      <c r="D95" s="59">
        <v>337</v>
      </c>
      <c r="E95" s="493" t="s">
        <v>110</v>
      </c>
      <c r="F95" s="122">
        <v>1</v>
      </c>
      <c r="G95" s="118">
        <v>1</v>
      </c>
      <c r="H95" s="118">
        <v>1</v>
      </c>
      <c r="I95" s="9">
        <v>2</v>
      </c>
      <c r="J95" s="43">
        <v>2</v>
      </c>
      <c r="K95" s="260">
        <f t="shared" si="1"/>
        <v>0.35859414261160716</v>
      </c>
      <c r="L95" s="163" t="s">
        <v>111</v>
      </c>
    </row>
    <row r="96" spans="1:12">
      <c r="A96" s="34" t="s">
        <v>109</v>
      </c>
      <c r="B96" s="336">
        <v>2000</v>
      </c>
      <c r="C96" s="59" t="s">
        <v>97</v>
      </c>
      <c r="D96" s="59">
        <v>233</v>
      </c>
      <c r="E96" s="493" t="s">
        <v>110</v>
      </c>
      <c r="F96" s="122">
        <v>1</v>
      </c>
      <c r="G96" s="118">
        <v>1</v>
      </c>
      <c r="H96" s="118">
        <v>1</v>
      </c>
      <c r="I96" s="9">
        <v>2</v>
      </c>
      <c r="J96" s="43">
        <v>2</v>
      </c>
      <c r="K96" s="260">
        <f t="shared" si="1"/>
        <v>0.35859414261160716</v>
      </c>
      <c r="L96" s="163" t="s">
        <v>111</v>
      </c>
    </row>
    <row r="97" spans="1:12">
      <c r="A97" s="34" t="s">
        <v>109</v>
      </c>
      <c r="B97" s="336">
        <v>2000</v>
      </c>
      <c r="C97" s="59" t="s">
        <v>95</v>
      </c>
      <c r="D97" s="59">
        <v>200</v>
      </c>
      <c r="E97" s="493" t="s">
        <v>110</v>
      </c>
      <c r="F97" s="611">
        <v>1</v>
      </c>
      <c r="G97" s="118">
        <v>1</v>
      </c>
      <c r="H97" s="118">
        <v>1</v>
      </c>
      <c r="I97" s="118">
        <v>2</v>
      </c>
      <c r="J97" s="657">
        <v>2</v>
      </c>
      <c r="K97" s="260">
        <f t="shared" si="1"/>
        <v>0.35859414261160716</v>
      </c>
      <c r="L97" s="163" t="s">
        <v>111</v>
      </c>
    </row>
    <row r="98" spans="1:12">
      <c r="A98" s="34" t="s">
        <v>109</v>
      </c>
      <c r="B98" s="336">
        <v>2000</v>
      </c>
      <c r="C98" s="59" t="s">
        <v>93</v>
      </c>
      <c r="D98" s="59">
        <v>98</v>
      </c>
      <c r="E98" s="493" t="s">
        <v>110</v>
      </c>
      <c r="F98" s="122">
        <v>1</v>
      </c>
      <c r="G98" s="118">
        <v>1</v>
      </c>
      <c r="H98" s="118">
        <v>1</v>
      </c>
      <c r="I98" s="9">
        <v>2</v>
      </c>
      <c r="J98" s="43">
        <v>2</v>
      </c>
      <c r="K98" s="260">
        <f t="shared" si="1"/>
        <v>0.35859414261160716</v>
      </c>
      <c r="L98" s="163" t="s">
        <v>111</v>
      </c>
    </row>
    <row r="99" spans="1:12">
      <c r="A99" s="34" t="s">
        <v>109</v>
      </c>
      <c r="B99" s="336">
        <v>2000</v>
      </c>
      <c r="C99" s="59" t="s">
        <v>98</v>
      </c>
      <c r="D99" s="59">
        <v>1381</v>
      </c>
      <c r="E99" s="493" t="s">
        <v>110</v>
      </c>
      <c r="F99" s="122">
        <v>1</v>
      </c>
      <c r="G99" s="118">
        <v>1</v>
      </c>
      <c r="H99" s="118">
        <v>1</v>
      </c>
      <c r="I99" s="9">
        <v>2</v>
      </c>
      <c r="J99" s="43">
        <v>2</v>
      </c>
      <c r="K99" s="260">
        <f t="shared" si="1"/>
        <v>0.35859414261160716</v>
      </c>
      <c r="L99" s="163" t="s">
        <v>111</v>
      </c>
    </row>
    <row r="100" spans="1:12">
      <c r="A100" s="34" t="s">
        <v>109</v>
      </c>
      <c r="B100" s="336">
        <v>2001</v>
      </c>
      <c r="C100" s="59" t="s">
        <v>85</v>
      </c>
      <c r="D100" s="59">
        <v>1435</v>
      </c>
      <c r="E100" s="493" t="s">
        <v>110</v>
      </c>
      <c r="F100" s="122">
        <v>1</v>
      </c>
      <c r="G100" s="118">
        <v>1</v>
      </c>
      <c r="H100" s="118">
        <v>1</v>
      </c>
      <c r="I100" s="9">
        <v>2</v>
      </c>
      <c r="J100" s="43">
        <v>2</v>
      </c>
      <c r="K100" s="260">
        <f t="shared" si="1"/>
        <v>0.35859414261160716</v>
      </c>
      <c r="L100" s="163" t="s">
        <v>111</v>
      </c>
    </row>
    <row r="101" spans="1:12">
      <c r="A101" s="34" t="s">
        <v>109</v>
      </c>
      <c r="B101" s="336">
        <v>2001</v>
      </c>
      <c r="C101" s="59" t="s">
        <v>86</v>
      </c>
      <c r="D101" s="59">
        <v>290</v>
      </c>
      <c r="E101" s="633" t="s">
        <v>110</v>
      </c>
      <c r="F101" s="9">
        <v>1</v>
      </c>
      <c r="G101" s="9">
        <v>1</v>
      </c>
      <c r="H101" s="9">
        <v>1</v>
      </c>
      <c r="I101" s="9">
        <v>2</v>
      </c>
      <c r="J101" s="43">
        <v>2</v>
      </c>
      <c r="K101" s="260">
        <f t="shared" si="1"/>
        <v>0.35859414261160716</v>
      </c>
      <c r="L101" s="163" t="s">
        <v>111</v>
      </c>
    </row>
    <row r="102" spans="1:12">
      <c r="A102" s="34" t="s">
        <v>109</v>
      </c>
      <c r="B102" s="336">
        <v>2001</v>
      </c>
      <c r="C102" s="59" t="s">
        <v>87</v>
      </c>
      <c r="D102" s="59">
        <v>852</v>
      </c>
      <c r="E102" s="633" t="s">
        <v>110</v>
      </c>
      <c r="F102" s="9">
        <v>1</v>
      </c>
      <c r="G102" s="9">
        <v>1</v>
      </c>
      <c r="H102" s="9">
        <v>1</v>
      </c>
      <c r="I102" s="9">
        <v>2</v>
      </c>
      <c r="J102" s="43">
        <v>2</v>
      </c>
      <c r="K102" s="260">
        <f t="shared" si="1"/>
        <v>0.35859414261160716</v>
      </c>
      <c r="L102" s="163" t="s">
        <v>111</v>
      </c>
    </row>
    <row r="103" spans="1:12">
      <c r="A103" s="34" t="s">
        <v>109</v>
      </c>
      <c r="B103" s="336">
        <v>2001</v>
      </c>
      <c r="C103" s="59" t="s">
        <v>88</v>
      </c>
      <c r="D103" s="59">
        <v>4</v>
      </c>
      <c r="E103" s="633" t="s">
        <v>110</v>
      </c>
      <c r="F103" s="9">
        <v>1</v>
      </c>
      <c r="G103" s="9">
        <v>1</v>
      </c>
      <c r="H103" s="9">
        <v>1</v>
      </c>
      <c r="I103" s="9">
        <v>2</v>
      </c>
      <c r="J103" s="43">
        <v>2</v>
      </c>
      <c r="K103" s="260">
        <f t="shared" si="1"/>
        <v>0.35859414261160716</v>
      </c>
      <c r="L103" s="163" t="s">
        <v>111</v>
      </c>
    </row>
    <row r="104" spans="1:12">
      <c r="A104" s="34" t="s">
        <v>109</v>
      </c>
      <c r="B104" s="336">
        <v>2001</v>
      </c>
      <c r="C104" s="59" t="s">
        <v>89</v>
      </c>
      <c r="D104" s="59">
        <v>191</v>
      </c>
      <c r="E104" s="633" t="s">
        <v>110</v>
      </c>
      <c r="F104" s="9">
        <v>1</v>
      </c>
      <c r="G104" s="9">
        <v>1</v>
      </c>
      <c r="H104" s="9">
        <v>1</v>
      </c>
      <c r="I104" s="9">
        <v>2</v>
      </c>
      <c r="J104" s="43">
        <v>2</v>
      </c>
      <c r="K104" s="260">
        <f t="shared" si="1"/>
        <v>0.35859414261160716</v>
      </c>
      <c r="L104" s="163" t="s">
        <v>111</v>
      </c>
    </row>
    <row r="105" spans="1:12">
      <c r="A105" s="34" t="s">
        <v>109</v>
      </c>
      <c r="B105" s="336">
        <v>2001</v>
      </c>
      <c r="C105" s="59" t="s">
        <v>90</v>
      </c>
      <c r="D105" s="59">
        <v>610</v>
      </c>
      <c r="E105" s="633" t="s">
        <v>110</v>
      </c>
      <c r="F105" s="9">
        <v>1</v>
      </c>
      <c r="G105" s="9">
        <v>1</v>
      </c>
      <c r="H105" s="9">
        <v>1</v>
      </c>
      <c r="I105" s="9">
        <v>2</v>
      </c>
      <c r="J105" s="43">
        <v>2</v>
      </c>
      <c r="K105" s="260">
        <f t="shared" si="1"/>
        <v>0.35859414261160716</v>
      </c>
      <c r="L105" s="163" t="s">
        <v>111</v>
      </c>
    </row>
    <row r="106" spans="1:12">
      <c r="A106" s="34" t="s">
        <v>109</v>
      </c>
      <c r="B106" s="336">
        <v>2001</v>
      </c>
      <c r="C106" s="59" t="s">
        <v>91</v>
      </c>
      <c r="D106" s="59">
        <v>129</v>
      </c>
      <c r="E106" s="633" t="s">
        <v>110</v>
      </c>
      <c r="F106" s="9">
        <v>1</v>
      </c>
      <c r="G106" s="9">
        <v>1</v>
      </c>
      <c r="H106" s="9">
        <v>1</v>
      </c>
      <c r="I106" s="9">
        <v>2</v>
      </c>
      <c r="J106" s="43">
        <v>2</v>
      </c>
      <c r="K106" s="260">
        <f t="shared" si="1"/>
        <v>0.35859414261160716</v>
      </c>
      <c r="L106" s="163" t="s">
        <v>111</v>
      </c>
    </row>
    <row r="107" spans="1:12">
      <c r="A107" s="34" t="s">
        <v>109</v>
      </c>
      <c r="B107" s="336">
        <v>2001</v>
      </c>
      <c r="C107" s="59" t="s">
        <v>94</v>
      </c>
      <c r="D107" s="59">
        <v>88</v>
      </c>
      <c r="E107" s="633" t="s">
        <v>110</v>
      </c>
      <c r="F107" s="9">
        <v>1</v>
      </c>
      <c r="G107" s="9">
        <v>1</v>
      </c>
      <c r="H107" s="9">
        <v>1</v>
      </c>
      <c r="I107" s="9">
        <v>2</v>
      </c>
      <c r="J107" s="43">
        <v>2</v>
      </c>
      <c r="K107" s="260">
        <f t="shared" si="1"/>
        <v>0.35859414261160716</v>
      </c>
      <c r="L107" s="163" t="s">
        <v>111</v>
      </c>
    </row>
    <row r="108" spans="1:12">
      <c r="A108" s="34" t="s">
        <v>109</v>
      </c>
      <c r="B108" s="336">
        <v>2001</v>
      </c>
      <c r="C108" s="59" t="s">
        <v>96</v>
      </c>
      <c r="D108" s="59">
        <v>337</v>
      </c>
      <c r="E108" s="633" t="s">
        <v>110</v>
      </c>
      <c r="F108" s="9">
        <v>1</v>
      </c>
      <c r="G108" s="9">
        <v>1</v>
      </c>
      <c r="H108" s="9">
        <v>1</v>
      </c>
      <c r="I108" s="9">
        <v>2</v>
      </c>
      <c r="J108" s="43">
        <v>2</v>
      </c>
      <c r="K108" s="260">
        <f t="shared" si="1"/>
        <v>0.35859414261160716</v>
      </c>
      <c r="L108" s="163" t="s">
        <v>111</v>
      </c>
    </row>
    <row r="109" spans="1:12">
      <c r="A109" s="34" t="s">
        <v>109</v>
      </c>
      <c r="B109" s="336">
        <v>2001</v>
      </c>
      <c r="C109" s="59" t="s">
        <v>97</v>
      </c>
      <c r="D109" s="59">
        <v>233</v>
      </c>
      <c r="E109" s="633" t="s">
        <v>110</v>
      </c>
      <c r="F109" s="9">
        <v>1</v>
      </c>
      <c r="G109" s="9">
        <v>1</v>
      </c>
      <c r="H109" s="9">
        <v>1</v>
      </c>
      <c r="I109" s="9">
        <v>2</v>
      </c>
      <c r="J109" s="43">
        <v>2</v>
      </c>
      <c r="K109" s="260">
        <f t="shared" si="1"/>
        <v>0.35859414261160716</v>
      </c>
      <c r="L109" s="163" t="s">
        <v>111</v>
      </c>
    </row>
    <row r="110" spans="1:12">
      <c r="A110" s="34" t="s">
        <v>109</v>
      </c>
      <c r="B110" s="336">
        <v>2001</v>
      </c>
      <c r="C110" s="59" t="s">
        <v>95</v>
      </c>
      <c r="D110" s="59">
        <v>200</v>
      </c>
      <c r="E110" s="633" t="s">
        <v>110</v>
      </c>
      <c r="F110" s="9">
        <v>1</v>
      </c>
      <c r="G110" s="9">
        <v>1</v>
      </c>
      <c r="H110" s="9">
        <v>1</v>
      </c>
      <c r="I110" s="9">
        <v>2</v>
      </c>
      <c r="J110" s="43">
        <v>2</v>
      </c>
      <c r="K110" s="260">
        <f t="shared" si="1"/>
        <v>0.35859414261160716</v>
      </c>
      <c r="L110" s="163" t="s">
        <v>111</v>
      </c>
    </row>
    <row r="111" spans="1:12">
      <c r="A111" s="34" t="s">
        <v>109</v>
      </c>
      <c r="B111" s="336">
        <v>2001</v>
      </c>
      <c r="C111" s="59" t="s">
        <v>93</v>
      </c>
      <c r="D111" s="59">
        <v>98</v>
      </c>
      <c r="E111" s="633" t="s">
        <v>110</v>
      </c>
      <c r="F111" s="9">
        <v>1</v>
      </c>
      <c r="G111" s="9">
        <v>1</v>
      </c>
      <c r="H111" s="9">
        <v>1</v>
      </c>
      <c r="I111" s="9">
        <v>2</v>
      </c>
      <c r="J111" s="43">
        <v>2</v>
      </c>
      <c r="K111" s="260">
        <f t="shared" si="1"/>
        <v>0.35859414261160716</v>
      </c>
      <c r="L111" s="163" t="s">
        <v>111</v>
      </c>
    </row>
    <row r="112" spans="1:12">
      <c r="A112" s="34" t="s">
        <v>109</v>
      </c>
      <c r="B112" s="336">
        <v>2001</v>
      </c>
      <c r="C112" s="59" t="s">
        <v>98</v>
      </c>
      <c r="D112" s="59">
        <v>1473</v>
      </c>
      <c r="E112" s="493" t="s">
        <v>110</v>
      </c>
      <c r="F112" s="29">
        <v>1</v>
      </c>
      <c r="G112" s="9">
        <v>1</v>
      </c>
      <c r="H112" s="9">
        <v>1</v>
      </c>
      <c r="I112" s="9">
        <v>2</v>
      </c>
      <c r="J112" s="43">
        <v>2</v>
      </c>
      <c r="K112" s="260">
        <f t="shared" si="1"/>
        <v>0.35859414261160716</v>
      </c>
      <c r="L112" s="163" t="s">
        <v>111</v>
      </c>
    </row>
    <row r="113" spans="1:12">
      <c r="A113" s="34" t="s">
        <v>109</v>
      </c>
      <c r="B113" s="336">
        <v>2002</v>
      </c>
      <c r="C113" s="59" t="s">
        <v>85</v>
      </c>
      <c r="D113" s="59">
        <v>1435</v>
      </c>
      <c r="E113" s="493" t="s">
        <v>110</v>
      </c>
      <c r="F113" s="29">
        <v>1</v>
      </c>
      <c r="G113" s="9">
        <v>1</v>
      </c>
      <c r="H113" s="9">
        <v>1</v>
      </c>
      <c r="I113" s="9">
        <v>2</v>
      </c>
      <c r="J113" s="43">
        <v>2</v>
      </c>
      <c r="K113" s="260">
        <f t="shared" si="1"/>
        <v>0.35859414261160716</v>
      </c>
      <c r="L113" s="163" t="s">
        <v>111</v>
      </c>
    </row>
    <row r="114" spans="1:12">
      <c r="A114" s="34" t="s">
        <v>109</v>
      </c>
      <c r="B114" s="336">
        <v>2002</v>
      </c>
      <c r="C114" s="59" t="s">
        <v>86</v>
      </c>
      <c r="D114" s="59">
        <v>290</v>
      </c>
      <c r="E114" s="493" t="s">
        <v>110</v>
      </c>
      <c r="F114" s="29">
        <v>1</v>
      </c>
      <c r="G114" s="9">
        <v>1</v>
      </c>
      <c r="H114" s="9">
        <v>1</v>
      </c>
      <c r="I114" s="9">
        <v>2</v>
      </c>
      <c r="J114" s="43">
        <v>2</v>
      </c>
      <c r="K114" s="260">
        <f t="shared" si="1"/>
        <v>0.35859414261160716</v>
      </c>
      <c r="L114" s="163" t="s">
        <v>111</v>
      </c>
    </row>
    <row r="115" spans="1:12">
      <c r="A115" s="34" t="s">
        <v>109</v>
      </c>
      <c r="B115" s="336">
        <v>2002</v>
      </c>
      <c r="C115" s="59" t="s">
        <v>87</v>
      </c>
      <c r="D115" s="59">
        <v>852</v>
      </c>
      <c r="E115" s="493" t="s">
        <v>110</v>
      </c>
      <c r="F115" s="29">
        <v>1</v>
      </c>
      <c r="G115" s="9">
        <v>1</v>
      </c>
      <c r="H115" s="9">
        <v>1</v>
      </c>
      <c r="I115" s="9">
        <v>2</v>
      </c>
      <c r="J115" s="43">
        <v>2</v>
      </c>
      <c r="K115" s="260">
        <f t="shared" si="1"/>
        <v>0.35859414261160716</v>
      </c>
      <c r="L115" s="163" t="s">
        <v>111</v>
      </c>
    </row>
    <row r="116" spans="1:12">
      <c r="A116" s="34" t="s">
        <v>109</v>
      </c>
      <c r="B116" s="336">
        <v>2002</v>
      </c>
      <c r="C116" s="59" t="s">
        <v>88</v>
      </c>
      <c r="D116" s="59">
        <v>19</v>
      </c>
      <c r="E116" s="493" t="s">
        <v>110</v>
      </c>
      <c r="F116" s="29">
        <v>1</v>
      </c>
      <c r="G116" s="9">
        <v>1</v>
      </c>
      <c r="H116" s="9">
        <v>1</v>
      </c>
      <c r="I116" s="9">
        <v>2</v>
      </c>
      <c r="J116" s="43">
        <v>2</v>
      </c>
      <c r="K116" s="260">
        <f t="shared" si="1"/>
        <v>0.35859414261160716</v>
      </c>
      <c r="L116" s="163" t="s">
        <v>111</v>
      </c>
    </row>
    <row r="117" spans="1:12">
      <c r="A117" s="34" t="s">
        <v>109</v>
      </c>
      <c r="B117" s="336">
        <v>2002</v>
      </c>
      <c r="C117" s="59" t="s">
        <v>89</v>
      </c>
      <c r="D117" s="59">
        <v>191</v>
      </c>
      <c r="E117" s="493" t="s">
        <v>110</v>
      </c>
      <c r="F117" s="29">
        <v>1</v>
      </c>
      <c r="G117" s="9">
        <v>1</v>
      </c>
      <c r="H117" s="9">
        <v>1</v>
      </c>
      <c r="I117" s="9">
        <v>2</v>
      </c>
      <c r="J117" s="43">
        <v>2</v>
      </c>
      <c r="K117" s="260">
        <f t="shared" si="1"/>
        <v>0.35859414261160716</v>
      </c>
      <c r="L117" s="163" t="s">
        <v>111</v>
      </c>
    </row>
    <row r="118" spans="1:12">
      <c r="A118" s="34" t="s">
        <v>109</v>
      </c>
      <c r="B118" s="336">
        <v>2002</v>
      </c>
      <c r="C118" s="59" t="s">
        <v>90</v>
      </c>
      <c r="D118" s="59">
        <v>610</v>
      </c>
      <c r="E118" s="493" t="s">
        <v>110</v>
      </c>
      <c r="F118" s="29">
        <v>1</v>
      </c>
      <c r="G118" s="9">
        <v>1</v>
      </c>
      <c r="H118" s="9">
        <v>1</v>
      </c>
      <c r="I118" s="9">
        <v>2</v>
      </c>
      <c r="J118" s="43">
        <v>2</v>
      </c>
      <c r="K118" s="260">
        <f t="shared" si="1"/>
        <v>0.35859414261160716</v>
      </c>
      <c r="L118" s="163" t="s">
        <v>111</v>
      </c>
    </row>
    <row r="119" spans="1:12">
      <c r="A119" s="34" t="s">
        <v>109</v>
      </c>
      <c r="B119" s="336">
        <v>2002</v>
      </c>
      <c r="C119" s="59" t="s">
        <v>91</v>
      </c>
      <c r="D119" s="59">
        <v>144</v>
      </c>
      <c r="E119" s="493" t="s">
        <v>110</v>
      </c>
      <c r="F119" s="29">
        <v>1</v>
      </c>
      <c r="G119" s="9">
        <v>1</v>
      </c>
      <c r="H119" s="9">
        <v>1</v>
      </c>
      <c r="I119" s="9">
        <v>2</v>
      </c>
      <c r="J119" s="43">
        <v>2</v>
      </c>
      <c r="K119" s="260">
        <f t="shared" si="1"/>
        <v>0.35859414261160716</v>
      </c>
      <c r="L119" s="163" t="s">
        <v>111</v>
      </c>
    </row>
    <row r="120" spans="1:12">
      <c r="A120" s="34" t="s">
        <v>109</v>
      </c>
      <c r="B120" s="336">
        <v>2002</v>
      </c>
      <c r="C120" s="59" t="s">
        <v>94</v>
      </c>
      <c r="D120" s="59">
        <v>68</v>
      </c>
      <c r="E120" s="493" t="s">
        <v>110</v>
      </c>
      <c r="F120" s="29">
        <v>1</v>
      </c>
      <c r="G120" s="9">
        <v>1</v>
      </c>
      <c r="H120" s="9">
        <v>1</v>
      </c>
      <c r="I120" s="9">
        <v>2</v>
      </c>
      <c r="J120" s="43">
        <v>2</v>
      </c>
      <c r="K120" s="260">
        <f t="shared" si="1"/>
        <v>0.35859414261160716</v>
      </c>
      <c r="L120" s="163" t="s">
        <v>111</v>
      </c>
    </row>
    <row r="121" spans="1:12">
      <c r="A121" s="34" t="s">
        <v>109</v>
      </c>
      <c r="B121" s="336">
        <v>2002</v>
      </c>
      <c r="C121" s="59" t="s">
        <v>96</v>
      </c>
      <c r="D121" s="59">
        <v>337</v>
      </c>
      <c r="E121" s="493" t="s">
        <v>110</v>
      </c>
      <c r="F121" s="29">
        <v>1</v>
      </c>
      <c r="G121" s="9">
        <v>1</v>
      </c>
      <c r="H121" s="9">
        <v>1</v>
      </c>
      <c r="I121" s="9">
        <v>2</v>
      </c>
      <c r="J121" s="43">
        <v>2</v>
      </c>
      <c r="K121" s="260">
        <f t="shared" si="1"/>
        <v>0.35859414261160716</v>
      </c>
      <c r="L121" s="163" t="s">
        <v>111</v>
      </c>
    </row>
    <row r="122" spans="1:12">
      <c r="A122" s="34" t="s">
        <v>109</v>
      </c>
      <c r="B122" s="336">
        <v>2002</v>
      </c>
      <c r="C122" s="59" t="s">
        <v>97</v>
      </c>
      <c r="D122" s="59">
        <v>233</v>
      </c>
      <c r="E122" s="493" t="s">
        <v>110</v>
      </c>
      <c r="F122" s="29">
        <v>1</v>
      </c>
      <c r="G122" s="9">
        <v>1</v>
      </c>
      <c r="H122" s="9">
        <v>1</v>
      </c>
      <c r="I122" s="9">
        <v>2</v>
      </c>
      <c r="J122" s="43">
        <v>2</v>
      </c>
      <c r="K122" s="260">
        <f t="shared" si="1"/>
        <v>0.35859414261160716</v>
      </c>
      <c r="L122" s="163" t="s">
        <v>111</v>
      </c>
    </row>
    <row r="123" spans="1:12">
      <c r="A123" s="34" t="s">
        <v>109</v>
      </c>
      <c r="B123" s="336">
        <v>2002</v>
      </c>
      <c r="C123" s="59" t="s">
        <v>95</v>
      </c>
      <c r="D123" s="59">
        <v>200</v>
      </c>
      <c r="E123" s="493" t="s">
        <v>110</v>
      </c>
      <c r="F123" s="29">
        <v>1</v>
      </c>
      <c r="G123" s="9">
        <v>1</v>
      </c>
      <c r="H123" s="9">
        <v>1</v>
      </c>
      <c r="I123" s="9">
        <v>2</v>
      </c>
      <c r="J123" s="43">
        <v>2</v>
      </c>
      <c r="K123" s="260">
        <f t="shared" si="1"/>
        <v>0.35859414261160716</v>
      </c>
      <c r="L123" s="163" t="s">
        <v>111</v>
      </c>
    </row>
    <row r="124" spans="1:12">
      <c r="A124" s="34" t="s">
        <v>109</v>
      </c>
      <c r="B124" s="336">
        <v>2002</v>
      </c>
      <c r="C124" s="59" t="s">
        <v>93</v>
      </c>
      <c r="D124" s="59">
        <v>98</v>
      </c>
      <c r="E124" s="493" t="s">
        <v>110</v>
      </c>
      <c r="F124" s="29">
        <v>1</v>
      </c>
      <c r="G124" s="9">
        <v>1</v>
      </c>
      <c r="H124" s="9">
        <v>1</v>
      </c>
      <c r="I124" s="9">
        <v>2</v>
      </c>
      <c r="J124" s="43">
        <v>2</v>
      </c>
      <c r="K124" s="260">
        <f t="shared" si="1"/>
        <v>0.35859414261160716</v>
      </c>
      <c r="L124" s="163" t="s">
        <v>111</v>
      </c>
    </row>
    <row r="125" spans="1:12">
      <c r="A125" s="34" t="s">
        <v>109</v>
      </c>
      <c r="B125" s="336">
        <v>2002</v>
      </c>
      <c r="C125" s="59" t="s">
        <v>98</v>
      </c>
      <c r="D125" s="59">
        <v>1400</v>
      </c>
      <c r="E125" s="493" t="s">
        <v>110</v>
      </c>
      <c r="F125" s="29">
        <v>1</v>
      </c>
      <c r="G125" s="9">
        <v>1</v>
      </c>
      <c r="H125" s="9">
        <v>1</v>
      </c>
      <c r="I125" s="9">
        <v>2</v>
      </c>
      <c r="J125" s="43">
        <v>2</v>
      </c>
      <c r="K125" s="260">
        <f t="shared" ref="K125:K188" si="2">IF( OR( ISBLANK(F125),ISBLANK(G125), ISBLANK(H125), ISBLANK(I125), ISBLANK(J125) ), "", 1.5*SQRT(   EXP(2.21*(F125-1)) + EXP(2.21*(G125-1)) + EXP(2.21*(H125-1)) + EXP(2.21*(I125-1)) + EXP(2.21*J125)   )/100*2.45 )</f>
        <v>0.35859414261160716</v>
      </c>
      <c r="L125" s="163" t="s">
        <v>111</v>
      </c>
    </row>
    <row r="126" spans="1:12">
      <c r="A126" s="34" t="s">
        <v>109</v>
      </c>
      <c r="B126" s="336">
        <v>2003</v>
      </c>
      <c r="C126" s="59" t="s">
        <v>85</v>
      </c>
      <c r="D126" s="59">
        <v>1435</v>
      </c>
      <c r="E126" s="493" t="s">
        <v>110</v>
      </c>
      <c r="F126" s="29">
        <v>1</v>
      </c>
      <c r="G126" s="9">
        <v>1</v>
      </c>
      <c r="H126" s="9">
        <v>1</v>
      </c>
      <c r="I126" s="9">
        <v>2</v>
      </c>
      <c r="J126" s="43">
        <v>2</v>
      </c>
      <c r="K126" s="260">
        <f t="shared" si="2"/>
        <v>0.35859414261160716</v>
      </c>
      <c r="L126" s="163" t="s">
        <v>111</v>
      </c>
    </row>
    <row r="127" spans="1:12">
      <c r="A127" s="34" t="s">
        <v>109</v>
      </c>
      <c r="B127" s="336">
        <v>2003</v>
      </c>
      <c r="C127" s="59" t="s">
        <v>86</v>
      </c>
      <c r="D127" s="59">
        <v>290</v>
      </c>
      <c r="E127" s="493" t="s">
        <v>110</v>
      </c>
      <c r="F127" s="29">
        <v>1</v>
      </c>
      <c r="G127" s="9">
        <v>1</v>
      </c>
      <c r="H127" s="9">
        <v>1</v>
      </c>
      <c r="I127" s="9">
        <v>2</v>
      </c>
      <c r="J127" s="43">
        <v>2</v>
      </c>
      <c r="K127" s="260">
        <f t="shared" si="2"/>
        <v>0.35859414261160716</v>
      </c>
      <c r="L127" s="163" t="s">
        <v>111</v>
      </c>
    </row>
    <row r="128" spans="1:12">
      <c r="A128" s="34" t="s">
        <v>109</v>
      </c>
      <c r="B128" s="336">
        <v>2003</v>
      </c>
      <c r="C128" s="59" t="s">
        <v>87</v>
      </c>
      <c r="D128" s="59">
        <v>852</v>
      </c>
      <c r="E128" s="493" t="s">
        <v>110</v>
      </c>
      <c r="F128" s="29">
        <v>1</v>
      </c>
      <c r="G128" s="9">
        <v>1</v>
      </c>
      <c r="H128" s="9">
        <v>1</v>
      </c>
      <c r="I128" s="9">
        <v>2</v>
      </c>
      <c r="J128" s="43">
        <v>2</v>
      </c>
      <c r="K128" s="260">
        <f t="shared" si="2"/>
        <v>0.35859414261160716</v>
      </c>
      <c r="L128" s="163" t="s">
        <v>111</v>
      </c>
    </row>
    <row r="129" spans="1:12">
      <c r="A129" s="34" t="s">
        <v>109</v>
      </c>
      <c r="B129" s="336">
        <v>2003</v>
      </c>
      <c r="C129" s="59" t="s">
        <v>88</v>
      </c>
      <c r="D129" s="59">
        <v>4</v>
      </c>
      <c r="E129" s="493" t="s">
        <v>110</v>
      </c>
      <c r="F129" s="29">
        <v>1</v>
      </c>
      <c r="G129" s="9">
        <v>1</v>
      </c>
      <c r="H129" s="9">
        <v>1</v>
      </c>
      <c r="I129" s="9">
        <v>2</v>
      </c>
      <c r="J129" s="43">
        <v>2</v>
      </c>
      <c r="K129" s="260">
        <f t="shared" si="2"/>
        <v>0.35859414261160716</v>
      </c>
      <c r="L129" s="163" t="s">
        <v>111</v>
      </c>
    </row>
    <row r="130" spans="1:12">
      <c r="A130" s="34" t="s">
        <v>109</v>
      </c>
      <c r="B130" s="336">
        <v>2003</v>
      </c>
      <c r="C130" s="59" t="s">
        <v>89</v>
      </c>
      <c r="D130" s="59">
        <v>191</v>
      </c>
      <c r="E130" s="493" t="s">
        <v>110</v>
      </c>
      <c r="F130" s="29">
        <v>1</v>
      </c>
      <c r="G130" s="9">
        <v>1</v>
      </c>
      <c r="H130" s="9">
        <v>1</v>
      </c>
      <c r="I130" s="9">
        <v>2</v>
      </c>
      <c r="J130" s="43">
        <v>2</v>
      </c>
      <c r="K130" s="260">
        <f t="shared" si="2"/>
        <v>0.35859414261160716</v>
      </c>
      <c r="L130" s="163" t="s">
        <v>111</v>
      </c>
    </row>
    <row r="131" spans="1:12">
      <c r="A131" s="34" t="s">
        <v>109</v>
      </c>
      <c r="B131" s="336">
        <v>2003</v>
      </c>
      <c r="C131" s="59" t="s">
        <v>90</v>
      </c>
      <c r="D131" s="59">
        <v>610</v>
      </c>
      <c r="E131" s="493" t="s">
        <v>110</v>
      </c>
      <c r="F131" s="29">
        <v>1</v>
      </c>
      <c r="G131" s="9">
        <v>1</v>
      </c>
      <c r="H131" s="9">
        <v>1</v>
      </c>
      <c r="I131" s="9">
        <v>2</v>
      </c>
      <c r="J131" s="43">
        <v>2</v>
      </c>
      <c r="K131" s="260">
        <f t="shared" si="2"/>
        <v>0.35859414261160716</v>
      </c>
      <c r="L131" s="163" t="s">
        <v>111</v>
      </c>
    </row>
    <row r="132" spans="1:12">
      <c r="A132" s="34" t="s">
        <v>109</v>
      </c>
      <c r="B132" s="336">
        <v>2003</v>
      </c>
      <c r="C132" s="59" t="s">
        <v>91</v>
      </c>
      <c r="D132" s="59">
        <v>167</v>
      </c>
      <c r="E132" s="493" t="s">
        <v>110</v>
      </c>
      <c r="F132" s="29">
        <v>1</v>
      </c>
      <c r="G132" s="9">
        <v>1</v>
      </c>
      <c r="H132" s="9">
        <v>1</v>
      </c>
      <c r="I132" s="9">
        <v>2</v>
      </c>
      <c r="J132" s="43">
        <v>2</v>
      </c>
      <c r="K132" s="260">
        <f t="shared" si="2"/>
        <v>0.35859414261160716</v>
      </c>
      <c r="L132" s="163" t="s">
        <v>111</v>
      </c>
    </row>
    <row r="133" spans="1:12">
      <c r="A133" s="34" t="s">
        <v>109</v>
      </c>
      <c r="B133" s="336">
        <v>2003</v>
      </c>
      <c r="C133" s="59" t="s">
        <v>94</v>
      </c>
      <c r="D133" s="59">
        <v>83</v>
      </c>
      <c r="E133" s="493" t="s">
        <v>110</v>
      </c>
      <c r="F133" s="29">
        <v>1</v>
      </c>
      <c r="G133" s="9">
        <v>1</v>
      </c>
      <c r="H133" s="9">
        <v>1</v>
      </c>
      <c r="I133" s="9">
        <v>2</v>
      </c>
      <c r="J133" s="43">
        <v>2</v>
      </c>
      <c r="K133" s="260">
        <f t="shared" si="2"/>
        <v>0.35859414261160716</v>
      </c>
      <c r="L133" s="163" t="s">
        <v>111</v>
      </c>
    </row>
    <row r="134" spans="1:12">
      <c r="A134" s="34" t="s">
        <v>109</v>
      </c>
      <c r="B134" s="336">
        <v>2003</v>
      </c>
      <c r="C134" s="59" t="s">
        <v>96</v>
      </c>
      <c r="D134" s="59">
        <v>337</v>
      </c>
      <c r="E134" s="493" t="s">
        <v>110</v>
      </c>
      <c r="F134" s="29">
        <v>1</v>
      </c>
      <c r="G134" s="9">
        <v>1</v>
      </c>
      <c r="H134" s="9">
        <v>1</v>
      </c>
      <c r="I134" s="9">
        <v>2</v>
      </c>
      <c r="J134" s="43">
        <v>2</v>
      </c>
      <c r="K134" s="260">
        <f t="shared" si="2"/>
        <v>0.35859414261160716</v>
      </c>
      <c r="L134" s="163" t="s">
        <v>111</v>
      </c>
    </row>
    <row r="135" spans="1:12">
      <c r="A135" s="34" t="s">
        <v>109</v>
      </c>
      <c r="B135" s="336">
        <v>2003</v>
      </c>
      <c r="C135" s="59" t="s">
        <v>97</v>
      </c>
      <c r="D135" s="59">
        <v>233</v>
      </c>
      <c r="E135" s="493" t="s">
        <v>110</v>
      </c>
      <c r="F135" s="29">
        <v>1</v>
      </c>
      <c r="G135" s="9">
        <v>1</v>
      </c>
      <c r="H135" s="9">
        <v>1</v>
      </c>
      <c r="I135" s="9">
        <v>2</v>
      </c>
      <c r="J135" s="43">
        <v>2</v>
      </c>
      <c r="K135" s="260">
        <f t="shared" si="2"/>
        <v>0.35859414261160716</v>
      </c>
      <c r="L135" s="163" t="s">
        <v>111</v>
      </c>
    </row>
    <row r="136" spans="1:12">
      <c r="A136" s="34" t="s">
        <v>109</v>
      </c>
      <c r="B136" s="336">
        <v>2003</v>
      </c>
      <c r="C136" s="59" t="s">
        <v>95</v>
      </c>
      <c r="D136" s="59">
        <v>200</v>
      </c>
      <c r="E136" s="493" t="s">
        <v>110</v>
      </c>
      <c r="F136" s="29">
        <v>1</v>
      </c>
      <c r="G136" s="9">
        <v>1</v>
      </c>
      <c r="H136" s="9">
        <v>1</v>
      </c>
      <c r="I136" s="9">
        <v>2</v>
      </c>
      <c r="J136" s="43">
        <v>2</v>
      </c>
      <c r="K136" s="260">
        <f t="shared" si="2"/>
        <v>0.35859414261160716</v>
      </c>
      <c r="L136" s="163" t="s">
        <v>111</v>
      </c>
    </row>
    <row r="137" spans="1:12">
      <c r="A137" s="34" t="s">
        <v>109</v>
      </c>
      <c r="B137" s="336">
        <v>2003</v>
      </c>
      <c r="C137" s="59" t="s">
        <v>93</v>
      </c>
      <c r="D137" s="59">
        <v>98</v>
      </c>
      <c r="E137" s="493" t="s">
        <v>110</v>
      </c>
      <c r="F137" s="29">
        <v>1</v>
      </c>
      <c r="G137" s="9">
        <v>1</v>
      </c>
      <c r="H137" s="9">
        <v>1</v>
      </c>
      <c r="I137" s="9">
        <v>2</v>
      </c>
      <c r="J137" s="43">
        <v>2</v>
      </c>
      <c r="K137" s="260">
        <f t="shared" si="2"/>
        <v>0.35859414261160716</v>
      </c>
      <c r="L137" s="163" t="s">
        <v>111</v>
      </c>
    </row>
    <row r="138" spans="1:12">
      <c r="A138" s="34" t="s">
        <v>109</v>
      </c>
      <c r="B138" s="336">
        <v>2003</v>
      </c>
      <c r="C138" s="59" t="s">
        <v>98</v>
      </c>
      <c r="D138" s="59">
        <v>1732</v>
      </c>
      <c r="E138" s="493" t="s">
        <v>110</v>
      </c>
      <c r="F138" s="29">
        <v>1</v>
      </c>
      <c r="G138" s="9">
        <v>1</v>
      </c>
      <c r="H138" s="9">
        <v>1</v>
      </c>
      <c r="I138" s="9">
        <v>2</v>
      </c>
      <c r="J138" s="43">
        <v>2</v>
      </c>
      <c r="K138" s="260">
        <f t="shared" si="2"/>
        <v>0.35859414261160716</v>
      </c>
      <c r="L138" s="163" t="s">
        <v>111</v>
      </c>
    </row>
    <row r="139" spans="1:12">
      <c r="A139" s="34" t="s">
        <v>109</v>
      </c>
      <c r="B139" s="336">
        <v>2004</v>
      </c>
      <c r="C139" s="59" t="s">
        <v>85</v>
      </c>
      <c r="D139" s="59">
        <v>1435</v>
      </c>
      <c r="E139" s="493" t="s">
        <v>110</v>
      </c>
      <c r="F139" s="29">
        <v>1</v>
      </c>
      <c r="G139" s="9">
        <v>1</v>
      </c>
      <c r="H139" s="9">
        <v>1</v>
      </c>
      <c r="I139" s="9">
        <v>2</v>
      </c>
      <c r="J139" s="43">
        <v>2</v>
      </c>
      <c r="K139" s="260">
        <f t="shared" si="2"/>
        <v>0.35859414261160716</v>
      </c>
      <c r="L139" s="163" t="s">
        <v>111</v>
      </c>
    </row>
    <row r="140" spans="1:12">
      <c r="A140" s="34" t="s">
        <v>109</v>
      </c>
      <c r="B140" s="336">
        <v>2004</v>
      </c>
      <c r="C140" s="59" t="s">
        <v>86</v>
      </c>
      <c r="D140" s="59">
        <v>290</v>
      </c>
      <c r="E140" s="493" t="s">
        <v>110</v>
      </c>
      <c r="F140" s="29">
        <v>1</v>
      </c>
      <c r="G140" s="9">
        <v>1</v>
      </c>
      <c r="H140" s="9">
        <v>1</v>
      </c>
      <c r="I140" s="9">
        <v>2</v>
      </c>
      <c r="J140" s="43">
        <v>2</v>
      </c>
      <c r="K140" s="260">
        <f t="shared" si="2"/>
        <v>0.35859414261160716</v>
      </c>
      <c r="L140" s="163" t="s">
        <v>111</v>
      </c>
    </row>
    <row r="141" spans="1:12">
      <c r="A141" s="34" t="s">
        <v>109</v>
      </c>
      <c r="B141" s="336">
        <v>2004</v>
      </c>
      <c r="C141" s="59" t="s">
        <v>87</v>
      </c>
      <c r="D141" s="59">
        <v>852</v>
      </c>
      <c r="E141" s="493" t="s">
        <v>110</v>
      </c>
      <c r="F141" s="29">
        <v>1</v>
      </c>
      <c r="G141" s="9">
        <v>1</v>
      </c>
      <c r="H141" s="9">
        <v>1</v>
      </c>
      <c r="I141" s="9">
        <v>2</v>
      </c>
      <c r="J141" s="43">
        <v>2</v>
      </c>
      <c r="K141" s="260">
        <f t="shared" si="2"/>
        <v>0.35859414261160716</v>
      </c>
      <c r="L141" s="163" t="s">
        <v>111</v>
      </c>
    </row>
    <row r="142" spans="1:12">
      <c r="A142" s="34" t="s">
        <v>109</v>
      </c>
      <c r="B142" s="336">
        <v>2004</v>
      </c>
      <c r="C142" s="59" t="s">
        <v>88</v>
      </c>
      <c r="D142" s="59">
        <v>11</v>
      </c>
      <c r="E142" s="493" t="s">
        <v>110</v>
      </c>
      <c r="F142" s="29">
        <v>1</v>
      </c>
      <c r="G142" s="9">
        <v>1</v>
      </c>
      <c r="H142" s="9">
        <v>1</v>
      </c>
      <c r="I142" s="9">
        <v>2</v>
      </c>
      <c r="J142" s="43">
        <v>2</v>
      </c>
      <c r="K142" s="260">
        <f t="shared" si="2"/>
        <v>0.35859414261160716</v>
      </c>
      <c r="L142" s="163" t="s">
        <v>111</v>
      </c>
    </row>
    <row r="143" spans="1:12">
      <c r="A143" s="34" t="s">
        <v>109</v>
      </c>
      <c r="B143" s="336">
        <v>2004</v>
      </c>
      <c r="C143" s="59" t="s">
        <v>89</v>
      </c>
      <c r="D143" s="59">
        <v>191</v>
      </c>
      <c r="E143" s="493" t="s">
        <v>110</v>
      </c>
      <c r="F143" s="29">
        <v>1</v>
      </c>
      <c r="G143" s="9">
        <v>1</v>
      </c>
      <c r="H143" s="9">
        <v>1</v>
      </c>
      <c r="I143" s="9">
        <v>2</v>
      </c>
      <c r="J143" s="43">
        <v>2</v>
      </c>
      <c r="K143" s="260">
        <f t="shared" si="2"/>
        <v>0.35859414261160716</v>
      </c>
      <c r="L143" s="163" t="s">
        <v>111</v>
      </c>
    </row>
    <row r="144" spans="1:12">
      <c r="A144" s="34" t="s">
        <v>109</v>
      </c>
      <c r="B144" s="336">
        <v>2004</v>
      </c>
      <c r="C144" s="59" t="s">
        <v>90</v>
      </c>
      <c r="D144" s="59">
        <v>610</v>
      </c>
      <c r="E144" s="493" t="s">
        <v>110</v>
      </c>
      <c r="F144" s="29">
        <v>1</v>
      </c>
      <c r="G144" s="9">
        <v>1</v>
      </c>
      <c r="H144" s="9">
        <v>1</v>
      </c>
      <c r="I144" s="9">
        <v>2</v>
      </c>
      <c r="J144" s="43">
        <v>2</v>
      </c>
      <c r="K144" s="260">
        <f t="shared" si="2"/>
        <v>0.35859414261160716</v>
      </c>
      <c r="L144" s="163" t="s">
        <v>111</v>
      </c>
    </row>
    <row r="145" spans="1:12">
      <c r="A145" s="34" t="s">
        <v>109</v>
      </c>
      <c r="B145" s="336">
        <v>2004</v>
      </c>
      <c r="C145" s="59" t="s">
        <v>91</v>
      </c>
      <c r="D145" s="59">
        <v>0</v>
      </c>
      <c r="E145" s="493" t="s">
        <v>110</v>
      </c>
      <c r="F145" s="29">
        <v>1</v>
      </c>
      <c r="G145" s="9">
        <v>1</v>
      </c>
      <c r="H145" s="9">
        <v>1</v>
      </c>
      <c r="I145" s="9">
        <v>2</v>
      </c>
      <c r="J145" s="43">
        <v>2</v>
      </c>
      <c r="K145" s="260">
        <f t="shared" si="2"/>
        <v>0.35859414261160716</v>
      </c>
      <c r="L145" s="163" t="s">
        <v>111</v>
      </c>
    </row>
    <row r="146" spans="1:12">
      <c r="A146" s="34" t="s">
        <v>109</v>
      </c>
      <c r="B146" s="336">
        <v>2004</v>
      </c>
      <c r="C146" s="59" t="s">
        <v>94</v>
      </c>
      <c r="D146" s="59">
        <v>67</v>
      </c>
      <c r="E146" s="493" t="s">
        <v>110</v>
      </c>
      <c r="F146" s="29">
        <v>1</v>
      </c>
      <c r="G146" s="9">
        <v>1</v>
      </c>
      <c r="H146" s="9">
        <v>1</v>
      </c>
      <c r="I146" s="9">
        <v>2</v>
      </c>
      <c r="J146" s="43">
        <v>2</v>
      </c>
      <c r="K146" s="260">
        <f t="shared" si="2"/>
        <v>0.35859414261160716</v>
      </c>
      <c r="L146" s="163" t="s">
        <v>111</v>
      </c>
    </row>
    <row r="147" spans="1:12">
      <c r="A147" s="34" t="s">
        <v>109</v>
      </c>
      <c r="B147" s="336">
        <v>2004</v>
      </c>
      <c r="C147" s="59" t="s">
        <v>96</v>
      </c>
      <c r="D147" s="59">
        <v>337</v>
      </c>
      <c r="E147" s="493" t="s">
        <v>110</v>
      </c>
      <c r="F147" s="29">
        <v>1</v>
      </c>
      <c r="G147" s="9">
        <v>1</v>
      </c>
      <c r="H147" s="9">
        <v>1</v>
      </c>
      <c r="I147" s="9">
        <v>2</v>
      </c>
      <c r="J147" s="43">
        <v>2</v>
      </c>
      <c r="K147" s="260">
        <f t="shared" si="2"/>
        <v>0.35859414261160716</v>
      </c>
      <c r="L147" s="163" t="s">
        <v>111</v>
      </c>
    </row>
    <row r="148" spans="1:12">
      <c r="A148" s="34" t="s">
        <v>109</v>
      </c>
      <c r="B148" s="336">
        <v>2004</v>
      </c>
      <c r="C148" s="59" t="s">
        <v>97</v>
      </c>
      <c r="D148" s="59">
        <v>233</v>
      </c>
      <c r="E148" s="493" t="s">
        <v>110</v>
      </c>
      <c r="F148" s="29">
        <v>1</v>
      </c>
      <c r="G148" s="9">
        <v>1</v>
      </c>
      <c r="H148" s="9">
        <v>1</v>
      </c>
      <c r="I148" s="9">
        <v>2</v>
      </c>
      <c r="J148" s="43">
        <v>2</v>
      </c>
      <c r="K148" s="260">
        <f t="shared" si="2"/>
        <v>0.35859414261160716</v>
      </c>
      <c r="L148" s="163" t="s">
        <v>111</v>
      </c>
    </row>
    <row r="149" spans="1:12">
      <c r="A149" s="34" t="s">
        <v>109</v>
      </c>
      <c r="B149" s="336">
        <v>2004</v>
      </c>
      <c r="C149" s="59" t="s">
        <v>95</v>
      </c>
      <c r="D149" s="59">
        <v>200</v>
      </c>
      <c r="E149" s="493" t="s">
        <v>110</v>
      </c>
      <c r="F149" s="29">
        <v>1</v>
      </c>
      <c r="G149" s="9">
        <v>1</v>
      </c>
      <c r="H149" s="9">
        <v>1</v>
      </c>
      <c r="I149" s="9">
        <v>2</v>
      </c>
      <c r="J149" s="43">
        <v>2</v>
      </c>
      <c r="K149" s="260">
        <f t="shared" si="2"/>
        <v>0.35859414261160716</v>
      </c>
      <c r="L149" s="163" t="s">
        <v>111</v>
      </c>
    </row>
    <row r="150" spans="1:12">
      <c r="A150" s="34" t="s">
        <v>109</v>
      </c>
      <c r="B150" s="336">
        <v>2004</v>
      </c>
      <c r="C150" s="59" t="s">
        <v>93</v>
      </c>
      <c r="D150" s="59">
        <v>98</v>
      </c>
      <c r="E150" s="493" t="s">
        <v>110</v>
      </c>
      <c r="F150" s="29">
        <v>1</v>
      </c>
      <c r="G150" s="9">
        <v>1</v>
      </c>
      <c r="H150" s="9">
        <v>1</v>
      </c>
      <c r="I150" s="9">
        <v>2</v>
      </c>
      <c r="J150" s="43">
        <v>2</v>
      </c>
      <c r="K150" s="260">
        <f t="shared" si="2"/>
        <v>0.35859414261160716</v>
      </c>
      <c r="L150" s="163" t="s">
        <v>111</v>
      </c>
    </row>
    <row r="151" spans="1:12">
      <c r="A151" s="34" t="s">
        <v>109</v>
      </c>
      <c r="B151" s="336">
        <v>2004</v>
      </c>
      <c r="C151" s="59" t="s">
        <v>98</v>
      </c>
      <c r="D151" s="59">
        <v>2287</v>
      </c>
      <c r="E151" s="493" t="s">
        <v>110</v>
      </c>
      <c r="F151" s="29">
        <v>1</v>
      </c>
      <c r="G151" s="9">
        <v>1</v>
      </c>
      <c r="H151" s="9">
        <v>1</v>
      </c>
      <c r="I151" s="9">
        <v>2</v>
      </c>
      <c r="J151" s="43">
        <v>2</v>
      </c>
      <c r="K151" s="260">
        <f t="shared" si="2"/>
        <v>0.35859414261160716</v>
      </c>
      <c r="L151" s="163" t="s">
        <v>111</v>
      </c>
    </row>
    <row r="152" spans="1:12">
      <c r="A152" s="34" t="s">
        <v>109</v>
      </c>
      <c r="B152" s="336">
        <v>2005</v>
      </c>
      <c r="C152" s="59" t="s">
        <v>85</v>
      </c>
      <c r="D152" s="59">
        <v>1435</v>
      </c>
      <c r="E152" s="493" t="s">
        <v>110</v>
      </c>
      <c r="F152" s="29">
        <v>1</v>
      </c>
      <c r="G152" s="9">
        <v>1</v>
      </c>
      <c r="H152" s="9">
        <v>1</v>
      </c>
      <c r="I152" s="9">
        <v>2</v>
      </c>
      <c r="J152" s="43">
        <v>2</v>
      </c>
      <c r="K152" s="260">
        <f t="shared" si="2"/>
        <v>0.35859414261160716</v>
      </c>
      <c r="L152" s="163" t="s">
        <v>111</v>
      </c>
    </row>
    <row r="153" spans="1:12">
      <c r="A153" s="34" t="s">
        <v>109</v>
      </c>
      <c r="B153" s="336">
        <v>2005</v>
      </c>
      <c r="C153" s="59" t="s">
        <v>86</v>
      </c>
      <c r="D153" s="59">
        <v>290</v>
      </c>
      <c r="E153" s="493" t="s">
        <v>110</v>
      </c>
      <c r="F153" s="29">
        <v>1</v>
      </c>
      <c r="G153" s="9">
        <v>1</v>
      </c>
      <c r="H153" s="9">
        <v>1</v>
      </c>
      <c r="I153" s="9">
        <v>2</v>
      </c>
      <c r="J153" s="43">
        <v>2</v>
      </c>
      <c r="K153" s="260">
        <f t="shared" si="2"/>
        <v>0.35859414261160716</v>
      </c>
      <c r="L153" s="163" t="s">
        <v>111</v>
      </c>
    </row>
    <row r="154" spans="1:12">
      <c r="A154" s="34" t="s">
        <v>109</v>
      </c>
      <c r="B154" s="336">
        <v>2005</v>
      </c>
      <c r="C154" s="59" t="s">
        <v>87</v>
      </c>
      <c r="D154" s="59">
        <v>852</v>
      </c>
      <c r="E154" s="493" t="s">
        <v>110</v>
      </c>
      <c r="F154" s="29">
        <v>1</v>
      </c>
      <c r="G154" s="9">
        <v>1</v>
      </c>
      <c r="H154" s="9">
        <v>1</v>
      </c>
      <c r="I154" s="9">
        <v>2</v>
      </c>
      <c r="J154" s="43">
        <v>2</v>
      </c>
      <c r="K154" s="260">
        <f t="shared" si="2"/>
        <v>0.35859414261160716</v>
      </c>
      <c r="L154" s="163" t="s">
        <v>111</v>
      </c>
    </row>
    <row r="155" spans="1:12">
      <c r="A155" s="34" t="s">
        <v>109</v>
      </c>
      <c r="B155" s="336">
        <v>2005</v>
      </c>
      <c r="C155" s="59" t="s">
        <v>88</v>
      </c>
      <c r="D155" s="59">
        <v>4</v>
      </c>
      <c r="E155" s="493" t="s">
        <v>110</v>
      </c>
      <c r="F155" s="29">
        <v>1</v>
      </c>
      <c r="G155" s="9">
        <v>1</v>
      </c>
      <c r="H155" s="9">
        <v>1</v>
      </c>
      <c r="I155" s="9">
        <v>2</v>
      </c>
      <c r="J155" s="43">
        <v>2</v>
      </c>
      <c r="K155" s="260">
        <f t="shared" si="2"/>
        <v>0.35859414261160716</v>
      </c>
      <c r="L155" s="163" t="s">
        <v>111</v>
      </c>
    </row>
    <row r="156" spans="1:12">
      <c r="A156" s="34" t="s">
        <v>109</v>
      </c>
      <c r="B156" s="336">
        <v>2005</v>
      </c>
      <c r="C156" s="59" t="s">
        <v>89</v>
      </c>
      <c r="D156" s="59">
        <v>191</v>
      </c>
      <c r="E156" s="493" t="s">
        <v>110</v>
      </c>
      <c r="F156" s="29">
        <v>1</v>
      </c>
      <c r="G156" s="9">
        <v>1</v>
      </c>
      <c r="H156" s="9">
        <v>1</v>
      </c>
      <c r="I156" s="9">
        <v>2</v>
      </c>
      <c r="J156" s="43">
        <v>2</v>
      </c>
      <c r="K156" s="260">
        <f t="shared" si="2"/>
        <v>0.35859414261160716</v>
      </c>
      <c r="L156" s="163" t="s">
        <v>111</v>
      </c>
    </row>
    <row r="157" spans="1:12">
      <c r="A157" s="34" t="s">
        <v>109</v>
      </c>
      <c r="B157" s="336">
        <v>2005</v>
      </c>
      <c r="C157" s="59" t="s">
        <v>90</v>
      </c>
      <c r="D157" s="59">
        <v>610</v>
      </c>
      <c r="E157" s="493" t="s">
        <v>110</v>
      </c>
      <c r="F157" s="29">
        <v>1</v>
      </c>
      <c r="G157" s="9">
        <v>1</v>
      </c>
      <c r="H157" s="9">
        <v>1</v>
      </c>
      <c r="I157" s="9">
        <v>2</v>
      </c>
      <c r="J157" s="43">
        <v>2</v>
      </c>
      <c r="K157" s="260">
        <f t="shared" si="2"/>
        <v>0.35859414261160716</v>
      </c>
      <c r="L157" s="163" t="s">
        <v>111</v>
      </c>
    </row>
    <row r="158" spans="1:12">
      <c r="A158" s="34" t="s">
        <v>109</v>
      </c>
      <c r="B158" s="336">
        <v>2005</v>
      </c>
      <c r="C158" s="59" t="s">
        <v>91</v>
      </c>
      <c r="D158" s="59">
        <v>156</v>
      </c>
      <c r="E158" s="493" t="s">
        <v>110</v>
      </c>
      <c r="F158" s="29">
        <v>1</v>
      </c>
      <c r="G158" s="9">
        <v>1</v>
      </c>
      <c r="H158" s="9">
        <v>1</v>
      </c>
      <c r="I158" s="9">
        <v>2</v>
      </c>
      <c r="J158" s="43">
        <v>2</v>
      </c>
      <c r="K158" s="260">
        <f t="shared" si="2"/>
        <v>0.35859414261160716</v>
      </c>
      <c r="L158" s="163" t="s">
        <v>111</v>
      </c>
    </row>
    <row r="159" spans="1:12">
      <c r="A159" s="34" t="s">
        <v>109</v>
      </c>
      <c r="B159" s="336">
        <v>2005</v>
      </c>
      <c r="C159" s="59" t="s">
        <v>94</v>
      </c>
      <c r="D159" s="59">
        <v>78</v>
      </c>
      <c r="E159" s="493" t="s">
        <v>110</v>
      </c>
      <c r="F159" s="29">
        <v>1</v>
      </c>
      <c r="G159" s="9">
        <v>1</v>
      </c>
      <c r="H159" s="9">
        <v>1</v>
      </c>
      <c r="I159" s="9">
        <v>2</v>
      </c>
      <c r="J159" s="43">
        <v>2</v>
      </c>
      <c r="K159" s="260">
        <f t="shared" si="2"/>
        <v>0.35859414261160716</v>
      </c>
      <c r="L159" s="163" t="s">
        <v>111</v>
      </c>
    </row>
    <row r="160" spans="1:12">
      <c r="A160" s="34" t="s">
        <v>109</v>
      </c>
      <c r="B160" s="336">
        <v>2005</v>
      </c>
      <c r="C160" s="59" t="s">
        <v>96</v>
      </c>
      <c r="D160" s="59">
        <v>337</v>
      </c>
      <c r="E160" s="493" t="s">
        <v>110</v>
      </c>
      <c r="F160" s="29">
        <v>1</v>
      </c>
      <c r="G160" s="9">
        <v>1</v>
      </c>
      <c r="H160" s="9">
        <v>1</v>
      </c>
      <c r="I160" s="9">
        <v>2</v>
      </c>
      <c r="J160" s="43">
        <v>2</v>
      </c>
      <c r="K160" s="260">
        <f t="shared" si="2"/>
        <v>0.35859414261160716</v>
      </c>
      <c r="L160" s="163" t="s">
        <v>111</v>
      </c>
    </row>
    <row r="161" spans="1:12">
      <c r="A161" s="34" t="s">
        <v>109</v>
      </c>
      <c r="B161" s="336">
        <v>2005</v>
      </c>
      <c r="C161" s="59" t="s">
        <v>97</v>
      </c>
      <c r="D161" s="59">
        <v>233</v>
      </c>
      <c r="E161" s="493" t="s">
        <v>110</v>
      </c>
      <c r="F161" s="29">
        <v>1</v>
      </c>
      <c r="G161" s="9">
        <v>1</v>
      </c>
      <c r="H161" s="9">
        <v>1</v>
      </c>
      <c r="I161" s="9">
        <v>2</v>
      </c>
      <c r="J161" s="43">
        <v>2</v>
      </c>
      <c r="K161" s="260">
        <f t="shared" si="2"/>
        <v>0.35859414261160716</v>
      </c>
      <c r="L161" s="163" t="s">
        <v>111</v>
      </c>
    </row>
    <row r="162" spans="1:12">
      <c r="A162" s="34" t="s">
        <v>109</v>
      </c>
      <c r="B162" s="336">
        <v>2005</v>
      </c>
      <c r="C162" s="59" t="s">
        <v>95</v>
      </c>
      <c r="D162" s="59">
        <v>200</v>
      </c>
      <c r="E162" s="493" t="s">
        <v>110</v>
      </c>
      <c r="F162" s="29">
        <v>1</v>
      </c>
      <c r="G162" s="9">
        <v>1</v>
      </c>
      <c r="H162" s="9">
        <v>1</v>
      </c>
      <c r="I162" s="9">
        <v>2</v>
      </c>
      <c r="J162" s="43">
        <v>2</v>
      </c>
      <c r="K162" s="260">
        <f t="shared" si="2"/>
        <v>0.35859414261160716</v>
      </c>
      <c r="L162" s="163" t="s">
        <v>111</v>
      </c>
    </row>
    <row r="163" spans="1:12">
      <c r="A163" s="34" t="s">
        <v>109</v>
      </c>
      <c r="B163" s="336">
        <v>2005</v>
      </c>
      <c r="C163" s="59" t="s">
        <v>93</v>
      </c>
      <c r="D163" s="59">
        <v>98</v>
      </c>
      <c r="E163" s="493" t="s">
        <v>110</v>
      </c>
      <c r="F163" s="29">
        <v>1</v>
      </c>
      <c r="G163" s="9">
        <v>1</v>
      </c>
      <c r="H163" s="9">
        <v>1</v>
      </c>
      <c r="I163" s="9">
        <v>2</v>
      </c>
      <c r="J163" s="43">
        <v>2</v>
      </c>
      <c r="K163" s="260">
        <f t="shared" si="2"/>
        <v>0.35859414261160716</v>
      </c>
      <c r="L163" s="163" t="s">
        <v>111</v>
      </c>
    </row>
    <row r="164" spans="1:12">
      <c r="A164" s="34" t="s">
        <v>109</v>
      </c>
      <c r="B164" s="336">
        <v>2005</v>
      </c>
      <c r="C164" s="59" t="s">
        <v>98</v>
      </c>
      <c r="D164" s="59">
        <v>2309</v>
      </c>
      <c r="E164" s="493" t="s">
        <v>110</v>
      </c>
      <c r="F164" s="29">
        <v>1</v>
      </c>
      <c r="G164" s="9">
        <v>1</v>
      </c>
      <c r="H164" s="9">
        <v>1</v>
      </c>
      <c r="I164" s="9">
        <v>2</v>
      </c>
      <c r="J164" s="43">
        <v>2</v>
      </c>
      <c r="K164" s="260">
        <f t="shared" si="2"/>
        <v>0.35859414261160716</v>
      </c>
      <c r="L164" s="163" t="s">
        <v>111</v>
      </c>
    </row>
    <row r="165" spans="1:12">
      <c r="A165" s="34" t="s">
        <v>109</v>
      </c>
      <c r="B165" s="336">
        <v>2006</v>
      </c>
      <c r="C165" s="59" t="s">
        <v>85</v>
      </c>
      <c r="D165" s="59">
        <v>1448</v>
      </c>
      <c r="E165" s="493" t="s">
        <v>110</v>
      </c>
      <c r="F165" s="29">
        <v>1</v>
      </c>
      <c r="G165" s="9">
        <v>1</v>
      </c>
      <c r="H165" s="9">
        <v>1</v>
      </c>
      <c r="I165" s="9">
        <v>2</v>
      </c>
      <c r="J165" s="43">
        <v>2</v>
      </c>
      <c r="K165" s="260">
        <f t="shared" si="2"/>
        <v>0.35859414261160716</v>
      </c>
      <c r="L165" s="163" t="s">
        <v>111</v>
      </c>
    </row>
    <row r="166" spans="1:12">
      <c r="A166" s="34" t="s">
        <v>109</v>
      </c>
      <c r="B166" s="336">
        <v>2006</v>
      </c>
      <c r="C166" s="59" t="s">
        <v>86</v>
      </c>
      <c r="D166" s="59">
        <v>290</v>
      </c>
      <c r="E166" s="493" t="s">
        <v>110</v>
      </c>
      <c r="F166" s="29">
        <v>1</v>
      </c>
      <c r="G166" s="9">
        <v>1</v>
      </c>
      <c r="H166" s="9">
        <v>1</v>
      </c>
      <c r="I166" s="9">
        <v>2</v>
      </c>
      <c r="J166" s="43">
        <v>2</v>
      </c>
      <c r="K166" s="260">
        <f t="shared" si="2"/>
        <v>0.35859414261160716</v>
      </c>
      <c r="L166" s="163" t="s">
        <v>111</v>
      </c>
    </row>
    <row r="167" spans="1:12">
      <c r="A167" s="34" t="s">
        <v>109</v>
      </c>
      <c r="B167" s="336">
        <v>2006</v>
      </c>
      <c r="C167" s="59" t="s">
        <v>87</v>
      </c>
      <c r="D167" s="59">
        <v>955</v>
      </c>
      <c r="E167" s="493" t="s">
        <v>110</v>
      </c>
      <c r="F167" s="29">
        <v>1</v>
      </c>
      <c r="G167" s="9">
        <v>1</v>
      </c>
      <c r="H167" s="9">
        <v>1</v>
      </c>
      <c r="I167" s="9">
        <v>2</v>
      </c>
      <c r="J167" s="43">
        <v>2</v>
      </c>
      <c r="K167" s="260">
        <f t="shared" si="2"/>
        <v>0.35859414261160716</v>
      </c>
      <c r="L167" s="163" t="s">
        <v>111</v>
      </c>
    </row>
    <row r="168" spans="1:12">
      <c r="A168" s="34" t="s">
        <v>109</v>
      </c>
      <c r="B168" s="336">
        <v>2006</v>
      </c>
      <c r="C168" s="59" t="s">
        <v>88</v>
      </c>
      <c r="D168" s="59">
        <v>13</v>
      </c>
      <c r="E168" s="493" t="s">
        <v>110</v>
      </c>
      <c r="F168" s="29">
        <v>1</v>
      </c>
      <c r="G168" s="9">
        <v>1</v>
      </c>
      <c r="H168" s="9">
        <v>1</v>
      </c>
      <c r="I168" s="9">
        <v>2</v>
      </c>
      <c r="J168" s="43">
        <v>2</v>
      </c>
      <c r="K168" s="260">
        <f t="shared" si="2"/>
        <v>0.35859414261160716</v>
      </c>
      <c r="L168" s="163" t="s">
        <v>111</v>
      </c>
    </row>
    <row r="169" spans="1:12">
      <c r="A169" s="34" t="s">
        <v>109</v>
      </c>
      <c r="B169" s="336">
        <v>2006</v>
      </c>
      <c r="C169" s="59" t="s">
        <v>89</v>
      </c>
      <c r="D169" s="59">
        <v>191</v>
      </c>
      <c r="E169" s="493" t="s">
        <v>110</v>
      </c>
      <c r="F169" s="29">
        <v>1</v>
      </c>
      <c r="G169" s="9">
        <v>1</v>
      </c>
      <c r="H169" s="9">
        <v>1</v>
      </c>
      <c r="I169" s="9">
        <v>2</v>
      </c>
      <c r="J169" s="43">
        <v>2</v>
      </c>
      <c r="K169" s="260">
        <f t="shared" si="2"/>
        <v>0.35859414261160716</v>
      </c>
      <c r="L169" s="163" t="s">
        <v>111</v>
      </c>
    </row>
    <row r="170" spans="1:12">
      <c r="A170" s="34" t="s">
        <v>109</v>
      </c>
      <c r="B170" s="336">
        <v>2006</v>
      </c>
      <c r="C170" s="59" t="s">
        <v>90</v>
      </c>
      <c r="D170" s="59">
        <v>610</v>
      </c>
      <c r="E170" s="493" t="s">
        <v>110</v>
      </c>
      <c r="F170" s="29">
        <v>1</v>
      </c>
      <c r="G170" s="9">
        <v>1</v>
      </c>
      <c r="H170" s="9">
        <v>1</v>
      </c>
      <c r="I170" s="9">
        <v>2</v>
      </c>
      <c r="J170" s="43">
        <v>2</v>
      </c>
      <c r="K170" s="260">
        <f t="shared" si="2"/>
        <v>0.35859414261160716</v>
      </c>
      <c r="L170" s="163" t="s">
        <v>111</v>
      </c>
    </row>
    <row r="171" spans="1:12">
      <c r="A171" s="34" t="s">
        <v>109</v>
      </c>
      <c r="B171" s="336">
        <v>2006</v>
      </c>
      <c r="C171" s="59" t="s">
        <v>91</v>
      </c>
      <c r="D171" s="59">
        <v>177</v>
      </c>
      <c r="E171" s="493" t="s">
        <v>110</v>
      </c>
      <c r="F171" s="29">
        <v>1</v>
      </c>
      <c r="G171" s="9">
        <v>1</v>
      </c>
      <c r="H171" s="9">
        <v>1</v>
      </c>
      <c r="I171" s="9">
        <v>2</v>
      </c>
      <c r="J171" s="43">
        <v>2</v>
      </c>
      <c r="K171" s="260">
        <f t="shared" si="2"/>
        <v>0.35859414261160716</v>
      </c>
      <c r="L171" s="163" t="s">
        <v>111</v>
      </c>
    </row>
    <row r="172" spans="1:12">
      <c r="A172" s="34" t="s">
        <v>109</v>
      </c>
      <c r="B172" s="336">
        <v>2006</v>
      </c>
      <c r="C172" s="59" t="s">
        <v>94</v>
      </c>
      <c r="D172" s="59">
        <v>122</v>
      </c>
      <c r="E172" s="493" t="s">
        <v>110</v>
      </c>
      <c r="F172" s="29">
        <v>1</v>
      </c>
      <c r="G172" s="9">
        <v>1</v>
      </c>
      <c r="H172" s="9">
        <v>1</v>
      </c>
      <c r="I172" s="9">
        <v>2</v>
      </c>
      <c r="J172" s="43">
        <v>2</v>
      </c>
      <c r="K172" s="260">
        <f t="shared" si="2"/>
        <v>0.35859414261160716</v>
      </c>
      <c r="L172" s="163" t="s">
        <v>111</v>
      </c>
    </row>
    <row r="173" spans="1:12">
      <c r="A173" s="34" t="s">
        <v>109</v>
      </c>
      <c r="B173" s="336">
        <v>2006</v>
      </c>
      <c r="C173" s="59" t="s">
        <v>96</v>
      </c>
      <c r="D173" s="59">
        <v>204</v>
      </c>
      <c r="E173" s="493" t="s">
        <v>110</v>
      </c>
      <c r="F173" s="29">
        <v>1</v>
      </c>
      <c r="G173" s="9">
        <v>1</v>
      </c>
      <c r="H173" s="9">
        <v>1</v>
      </c>
      <c r="I173" s="9">
        <v>2</v>
      </c>
      <c r="J173" s="43">
        <v>2</v>
      </c>
      <c r="K173" s="260">
        <f t="shared" si="2"/>
        <v>0.35859414261160716</v>
      </c>
      <c r="L173" s="163" t="s">
        <v>111</v>
      </c>
    </row>
    <row r="174" spans="1:12">
      <c r="A174" s="34" t="s">
        <v>109</v>
      </c>
      <c r="B174" s="336">
        <v>2006</v>
      </c>
      <c r="C174" s="59" t="s">
        <v>97</v>
      </c>
      <c r="D174" s="59">
        <v>126</v>
      </c>
      <c r="E174" s="493" t="s">
        <v>110</v>
      </c>
      <c r="F174" s="29">
        <v>1</v>
      </c>
      <c r="G174" s="9">
        <v>1</v>
      </c>
      <c r="H174" s="9">
        <v>1</v>
      </c>
      <c r="I174" s="9">
        <v>2</v>
      </c>
      <c r="J174" s="43">
        <v>2</v>
      </c>
      <c r="K174" s="260">
        <f t="shared" si="2"/>
        <v>0.35859414261160716</v>
      </c>
      <c r="L174" s="163" t="s">
        <v>111</v>
      </c>
    </row>
    <row r="175" spans="1:12">
      <c r="A175" s="34" t="s">
        <v>109</v>
      </c>
      <c r="B175" s="336">
        <v>2006</v>
      </c>
      <c r="C175" s="59" t="s">
        <v>95</v>
      </c>
      <c r="D175" s="59">
        <v>241</v>
      </c>
      <c r="E175" s="493" t="s">
        <v>110</v>
      </c>
      <c r="F175" s="29">
        <v>1</v>
      </c>
      <c r="G175" s="9">
        <v>1</v>
      </c>
      <c r="H175" s="9">
        <v>1</v>
      </c>
      <c r="I175" s="9">
        <v>2</v>
      </c>
      <c r="J175" s="43">
        <v>2</v>
      </c>
      <c r="K175" s="260">
        <f t="shared" si="2"/>
        <v>0.35859414261160716</v>
      </c>
      <c r="L175" s="163" t="s">
        <v>111</v>
      </c>
    </row>
    <row r="176" spans="1:12">
      <c r="A176" s="34" t="s">
        <v>109</v>
      </c>
      <c r="B176" s="336">
        <v>2006</v>
      </c>
      <c r="C176" s="59" t="s">
        <v>93</v>
      </c>
      <c r="D176" s="59">
        <v>98</v>
      </c>
      <c r="E176" s="493" t="s">
        <v>110</v>
      </c>
      <c r="F176" s="29">
        <v>1</v>
      </c>
      <c r="G176" s="9">
        <v>1</v>
      </c>
      <c r="H176" s="9">
        <v>1</v>
      </c>
      <c r="I176" s="9">
        <v>2</v>
      </c>
      <c r="J176" s="43">
        <v>2</v>
      </c>
      <c r="K176" s="260">
        <f t="shared" si="2"/>
        <v>0.35859414261160716</v>
      </c>
      <c r="L176" s="163" t="s">
        <v>111</v>
      </c>
    </row>
    <row r="177" spans="1:12">
      <c r="A177" s="34" t="s">
        <v>109</v>
      </c>
      <c r="B177" s="336">
        <v>2006</v>
      </c>
      <c r="C177" s="59" t="s">
        <v>98</v>
      </c>
      <c r="D177" s="59">
        <v>2399</v>
      </c>
      <c r="E177" s="493" t="s">
        <v>110</v>
      </c>
      <c r="F177" s="29">
        <v>1</v>
      </c>
      <c r="G177" s="9">
        <v>1</v>
      </c>
      <c r="H177" s="9">
        <v>1</v>
      </c>
      <c r="I177" s="9">
        <v>2</v>
      </c>
      <c r="J177" s="43">
        <v>2</v>
      </c>
      <c r="K177" s="260">
        <f t="shared" si="2"/>
        <v>0.35859414261160716</v>
      </c>
      <c r="L177" s="163" t="s">
        <v>111</v>
      </c>
    </row>
    <row r="178" spans="1:12">
      <c r="A178" s="34" t="s">
        <v>109</v>
      </c>
      <c r="B178" s="336">
        <v>2007</v>
      </c>
      <c r="C178" s="59" t="s">
        <v>85</v>
      </c>
      <c r="D178" s="59">
        <v>1685</v>
      </c>
      <c r="E178" s="493" t="s">
        <v>110</v>
      </c>
      <c r="F178" s="29">
        <v>1</v>
      </c>
      <c r="G178" s="9">
        <v>1</v>
      </c>
      <c r="H178" s="9">
        <v>1</v>
      </c>
      <c r="I178" s="9">
        <v>2</v>
      </c>
      <c r="J178" s="43">
        <v>2</v>
      </c>
      <c r="K178" s="260">
        <f t="shared" si="2"/>
        <v>0.35859414261160716</v>
      </c>
      <c r="L178" s="163" t="s">
        <v>111</v>
      </c>
    </row>
    <row r="179" spans="1:12">
      <c r="A179" s="34" t="s">
        <v>109</v>
      </c>
      <c r="B179" s="336">
        <v>2007</v>
      </c>
      <c r="C179" s="59" t="s">
        <v>86</v>
      </c>
      <c r="D179" s="59">
        <v>290</v>
      </c>
      <c r="E179" s="493" t="s">
        <v>110</v>
      </c>
      <c r="F179" s="29">
        <v>1</v>
      </c>
      <c r="G179" s="9">
        <v>1</v>
      </c>
      <c r="H179" s="9">
        <v>1</v>
      </c>
      <c r="I179" s="9">
        <v>2</v>
      </c>
      <c r="J179" s="43">
        <v>2</v>
      </c>
      <c r="K179" s="260">
        <f t="shared" si="2"/>
        <v>0.35859414261160716</v>
      </c>
      <c r="L179" s="163" t="s">
        <v>111</v>
      </c>
    </row>
    <row r="180" spans="1:12">
      <c r="A180" s="34" t="s">
        <v>109</v>
      </c>
      <c r="B180" s="336">
        <v>2007</v>
      </c>
      <c r="C180" s="59" t="s">
        <v>87</v>
      </c>
      <c r="D180" s="59">
        <v>1021</v>
      </c>
      <c r="E180" s="493" t="s">
        <v>110</v>
      </c>
      <c r="F180" s="29">
        <v>1</v>
      </c>
      <c r="G180" s="9">
        <v>1</v>
      </c>
      <c r="H180" s="9">
        <v>1</v>
      </c>
      <c r="I180" s="9">
        <v>2</v>
      </c>
      <c r="J180" s="43">
        <v>2</v>
      </c>
      <c r="K180" s="260">
        <f t="shared" si="2"/>
        <v>0.35859414261160716</v>
      </c>
      <c r="L180" s="163" t="s">
        <v>111</v>
      </c>
    </row>
    <row r="181" spans="1:12">
      <c r="A181" s="34" t="s">
        <v>109</v>
      </c>
      <c r="B181" s="336">
        <v>2007</v>
      </c>
      <c r="C181" s="59" t="s">
        <v>88</v>
      </c>
      <c r="D181" s="59">
        <v>8</v>
      </c>
      <c r="E181" s="493" t="s">
        <v>110</v>
      </c>
      <c r="F181" s="29">
        <v>1</v>
      </c>
      <c r="G181" s="9">
        <v>1</v>
      </c>
      <c r="H181" s="9">
        <v>1</v>
      </c>
      <c r="I181" s="9">
        <v>2</v>
      </c>
      <c r="J181" s="43">
        <v>2</v>
      </c>
      <c r="K181" s="260">
        <f t="shared" si="2"/>
        <v>0.35859414261160716</v>
      </c>
      <c r="L181" s="163" t="s">
        <v>111</v>
      </c>
    </row>
    <row r="182" spans="1:12">
      <c r="A182" s="34" t="s">
        <v>109</v>
      </c>
      <c r="B182" s="336">
        <v>2007</v>
      </c>
      <c r="C182" s="59" t="s">
        <v>89</v>
      </c>
      <c r="D182" s="59">
        <v>191</v>
      </c>
      <c r="E182" s="493" t="s">
        <v>110</v>
      </c>
      <c r="F182" s="29">
        <v>1</v>
      </c>
      <c r="G182" s="9">
        <v>1</v>
      </c>
      <c r="H182" s="9">
        <v>1</v>
      </c>
      <c r="I182" s="9">
        <v>2</v>
      </c>
      <c r="J182" s="43">
        <v>2</v>
      </c>
      <c r="K182" s="260">
        <f t="shared" si="2"/>
        <v>0.35859414261160716</v>
      </c>
      <c r="L182" s="163" t="s">
        <v>111</v>
      </c>
    </row>
    <row r="183" spans="1:12">
      <c r="A183" s="34" t="s">
        <v>109</v>
      </c>
      <c r="B183" s="336">
        <v>2007</v>
      </c>
      <c r="C183" s="59" t="s">
        <v>90</v>
      </c>
      <c r="D183" s="59">
        <v>610</v>
      </c>
      <c r="E183" s="493" t="s">
        <v>110</v>
      </c>
      <c r="F183" s="29">
        <v>1</v>
      </c>
      <c r="G183" s="9">
        <v>1</v>
      </c>
      <c r="H183" s="9">
        <v>1</v>
      </c>
      <c r="I183" s="9">
        <v>2</v>
      </c>
      <c r="J183" s="43">
        <v>2</v>
      </c>
      <c r="K183" s="260">
        <f t="shared" si="2"/>
        <v>0.35859414261160716</v>
      </c>
      <c r="L183" s="163" t="s">
        <v>111</v>
      </c>
    </row>
    <row r="184" spans="1:12">
      <c r="A184" s="34" t="s">
        <v>109</v>
      </c>
      <c r="B184" s="336">
        <v>2007</v>
      </c>
      <c r="C184" s="59" t="s">
        <v>91</v>
      </c>
      <c r="D184" s="59">
        <v>209</v>
      </c>
      <c r="E184" s="493" t="s">
        <v>110</v>
      </c>
      <c r="F184" s="29">
        <v>1</v>
      </c>
      <c r="G184" s="9">
        <v>1</v>
      </c>
      <c r="H184" s="9">
        <v>1</v>
      </c>
      <c r="I184" s="9">
        <v>2</v>
      </c>
      <c r="J184" s="43">
        <v>2</v>
      </c>
      <c r="K184" s="260">
        <f t="shared" si="2"/>
        <v>0.35859414261160716</v>
      </c>
      <c r="L184" s="163" t="s">
        <v>111</v>
      </c>
    </row>
    <row r="185" spans="1:12">
      <c r="A185" s="34" t="s">
        <v>109</v>
      </c>
      <c r="B185" s="336">
        <v>2007</v>
      </c>
      <c r="C185" s="59" t="s">
        <v>94</v>
      </c>
      <c r="D185" s="59">
        <v>140</v>
      </c>
      <c r="E185" s="493" t="s">
        <v>110</v>
      </c>
      <c r="F185" s="29">
        <v>1</v>
      </c>
      <c r="G185" s="9">
        <v>1</v>
      </c>
      <c r="H185" s="9">
        <v>1</v>
      </c>
      <c r="I185" s="9">
        <v>2</v>
      </c>
      <c r="J185" s="43">
        <v>2</v>
      </c>
      <c r="K185" s="260">
        <f t="shared" si="2"/>
        <v>0.35859414261160716</v>
      </c>
      <c r="L185" s="163" t="s">
        <v>111</v>
      </c>
    </row>
    <row r="186" spans="1:12">
      <c r="A186" s="34" t="s">
        <v>109</v>
      </c>
      <c r="B186" s="336">
        <v>2007</v>
      </c>
      <c r="C186" s="59" t="s">
        <v>96</v>
      </c>
      <c r="D186" s="59">
        <v>337</v>
      </c>
      <c r="E186" s="493" t="s">
        <v>110</v>
      </c>
      <c r="F186" s="29">
        <v>1</v>
      </c>
      <c r="G186" s="9">
        <v>1</v>
      </c>
      <c r="H186" s="9">
        <v>1</v>
      </c>
      <c r="I186" s="9">
        <v>2</v>
      </c>
      <c r="J186" s="43">
        <v>2</v>
      </c>
      <c r="K186" s="260">
        <f t="shared" si="2"/>
        <v>0.35859414261160716</v>
      </c>
      <c r="L186" s="163" t="s">
        <v>111</v>
      </c>
    </row>
    <row r="187" spans="1:12">
      <c r="A187" s="34" t="s">
        <v>109</v>
      </c>
      <c r="B187" s="336">
        <v>2007</v>
      </c>
      <c r="C187" s="59" t="s">
        <v>97</v>
      </c>
      <c r="D187" s="59">
        <v>139</v>
      </c>
      <c r="E187" s="493" t="s">
        <v>110</v>
      </c>
      <c r="F187" s="29">
        <v>1</v>
      </c>
      <c r="G187" s="9">
        <v>1</v>
      </c>
      <c r="H187" s="9">
        <v>1</v>
      </c>
      <c r="I187" s="9">
        <v>2</v>
      </c>
      <c r="J187" s="43">
        <v>2</v>
      </c>
      <c r="K187" s="260">
        <f t="shared" si="2"/>
        <v>0.35859414261160716</v>
      </c>
      <c r="L187" s="163" t="s">
        <v>111</v>
      </c>
    </row>
    <row r="188" spans="1:12">
      <c r="A188" s="34" t="s">
        <v>109</v>
      </c>
      <c r="B188" s="336">
        <v>2007</v>
      </c>
      <c r="C188" s="59" t="s">
        <v>95</v>
      </c>
      <c r="D188" s="59">
        <v>219</v>
      </c>
      <c r="E188" s="493" t="s">
        <v>110</v>
      </c>
      <c r="F188" s="29">
        <v>1</v>
      </c>
      <c r="G188" s="9">
        <v>1</v>
      </c>
      <c r="H188" s="9">
        <v>1</v>
      </c>
      <c r="I188" s="9">
        <v>2</v>
      </c>
      <c r="J188" s="43">
        <v>2</v>
      </c>
      <c r="K188" s="260">
        <f t="shared" si="2"/>
        <v>0.35859414261160716</v>
      </c>
      <c r="L188" s="163" t="s">
        <v>111</v>
      </c>
    </row>
    <row r="189" spans="1:12">
      <c r="A189" s="34" t="s">
        <v>109</v>
      </c>
      <c r="B189" s="336">
        <v>2007</v>
      </c>
      <c r="C189" s="59" t="s">
        <v>93</v>
      </c>
      <c r="D189" s="59">
        <v>98</v>
      </c>
      <c r="E189" s="493" t="s">
        <v>110</v>
      </c>
      <c r="F189" s="29">
        <v>1</v>
      </c>
      <c r="G189" s="9">
        <v>1</v>
      </c>
      <c r="H189" s="9">
        <v>1</v>
      </c>
      <c r="I189" s="9">
        <v>2</v>
      </c>
      <c r="J189" s="43">
        <v>2</v>
      </c>
      <c r="K189" s="260">
        <f t="shared" ref="K189:K252" si="3">IF( OR( ISBLANK(F189),ISBLANK(G189), ISBLANK(H189), ISBLANK(I189), ISBLANK(J189) ), "", 1.5*SQRT(   EXP(2.21*(F189-1)) + EXP(2.21*(G189-1)) + EXP(2.21*(H189-1)) + EXP(2.21*(I189-1)) + EXP(2.21*J189)   )/100*2.45 )</f>
        <v>0.35859414261160716</v>
      </c>
      <c r="L189" s="163" t="s">
        <v>111</v>
      </c>
    </row>
    <row r="190" spans="1:12">
      <c r="A190" s="34" t="s">
        <v>109</v>
      </c>
      <c r="B190" s="336">
        <v>2007</v>
      </c>
      <c r="C190" s="59" t="s">
        <v>98</v>
      </c>
      <c r="D190" s="59">
        <v>2337</v>
      </c>
      <c r="E190" s="493" t="s">
        <v>110</v>
      </c>
      <c r="F190" s="29">
        <v>1</v>
      </c>
      <c r="G190" s="9">
        <v>1</v>
      </c>
      <c r="H190" s="9">
        <v>1</v>
      </c>
      <c r="I190" s="9">
        <v>2</v>
      </c>
      <c r="J190" s="43">
        <v>2</v>
      </c>
      <c r="K190" s="260">
        <f t="shared" si="3"/>
        <v>0.35859414261160716</v>
      </c>
      <c r="L190" s="163" t="s">
        <v>111</v>
      </c>
    </row>
    <row r="191" spans="1:12">
      <c r="A191" s="34" t="s">
        <v>109</v>
      </c>
      <c r="B191" s="336">
        <v>2008</v>
      </c>
      <c r="C191" s="59" t="s">
        <v>85</v>
      </c>
      <c r="D191" s="59">
        <v>1680</v>
      </c>
      <c r="E191" s="493" t="s">
        <v>110</v>
      </c>
      <c r="F191" s="29">
        <v>1</v>
      </c>
      <c r="G191" s="9">
        <v>1</v>
      </c>
      <c r="H191" s="9">
        <v>1</v>
      </c>
      <c r="I191" s="9">
        <v>2</v>
      </c>
      <c r="J191" s="43">
        <v>2</v>
      </c>
      <c r="K191" s="260">
        <f t="shared" si="3"/>
        <v>0.35859414261160716</v>
      </c>
      <c r="L191" s="163" t="s">
        <v>111</v>
      </c>
    </row>
    <row r="192" spans="1:12">
      <c r="A192" s="34" t="s">
        <v>109</v>
      </c>
      <c r="B192" s="336">
        <v>2008</v>
      </c>
      <c r="C192" s="59" t="s">
        <v>86</v>
      </c>
      <c r="D192" s="59">
        <v>290</v>
      </c>
      <c r="E192" s="493" t="s">
        <v>110</v>
      </c>
      <c r="F192" s="29">
        <v>1</v>
      </c>
      <c r="G192" s="9">
        <v>1</v>
      </c>
      <c r="H192" s="9">
        <v>1</v>
      </c>
      <c r="I192" s="9">
        <v>2</v>
      </c>
      <c r="J192" s="43">
        <v>2</v>
      </c>
      <c r="K192" s="260">
        <f t="shared" si="3"/>
        <v>0.35859414261160716</v>
      </c>
      <c r="L192" s="163" t="s">
        <v>111</v>
      </c>
    </row>
    <row r="193" spans="1:12">
      <c r="A193" s="34" t="s">
        <v>109</v>
      </c>
      <c r="B193" s="336">
        <v>2008</v>
      </c>
      <c r="C193" s="59" t="s">
        <v>87</v>
      </c>
      <c r="D193" s="59">
        <v>852</v>
      </c>
      <c r="E193" s="493" t="s">
        <v>110</v>
      </c>
      <c r="F193" s="29">
        <v>1</v>
      </c>
      <c r="G193" s="9">
        <v>1</v>
      </c>
      <c r="H193" s="9">
        <v>1</v>
      </c>
      <c r="I193" s="9">
        <v>2</v>
      </c>
      <c r="J193" s="43">
        <v>2</v>
      </c>
      <c r="K193" s="260">
        <f t="shared" si="3"/>
        <v>0.35859414261160716</v>
      </c>
      <c r="L193" s="163" t="s">
        <v>111</v>
      </c>
    </row>
    <row r="194" spans="1:12">
      <c r="A194" s="34" t="s">
        <v>109</v>
      </c>
      <c r="B194" s="336">
        <v>2008</v>
      </c>
      <c r="C194" s="59" t="s">
        <v>88</v>
      </c>
      <c r="D194" s="59">
        <v>25</v>
      </c>
      <c r="E194" s="493" t="s">
        <v>110</v>
      </c>
      <c r="F194" s="29">
        <v>1</v>
      </c>
      <c r="G194" s="9">
        <v>1</v>
      </c>
      <c r="H194" s="9">
        <v>1</v>
      </c>
      <c r="I194" s="9">
        <v>2</v>
      </c>
      <c r="J194" s="43">
        <v>2</v>
      </c>
      <c r="K194" s="260">
        <f t="shared" si="3"/>
        <v>0.35859414261160716</v>
      </c>
      <c r="L194" s="163" t="s">
        <v>111</v>
      </c>
    </row>
    <row r="195" spans="1:12">
      <c r="A195" s="34" t="s">
        <v>109</v>
      </c>
      <c r="B195" s="336">
        <v>2008</v>
      </c>
      <c r="C195" s="59" t="s">
        <v>89</v>
      </c>
      <c r="D195" s="59">
        <v>191</v>
      </c>
      <c r="E195" s="493" t="s">
        <v>110</v>
      </c>
      <c r="F195" s="29">
        <v>1</v>
      </c>
      <c r="G195" s="9">
        <v>1</v>
      </c>
      <c r="H195" s="9">
        <v>1</v>
      </c>
      <c r="I195" s="9">
        <v>2</v>
      </c>
      <c r="J195" s="43">
        <v>2</v>
      </c>
      <c r="K195" s="260">
        <f t="shared" si="3"/>
        <v>0.35859414261160716</v>
      </c>
      <c r="L195" s="163" t="s">
        <v>111</v>
      </c>
    </row>
    <row r="196" spans="1:12">
      <c r="A196" s="34" t="s">
        <v>109</v>
      </c>
      <c r="B196" s="336">
        <v>2008</v>
      </c>
      <c r="C196" s="59" t="s">
        <v>90</v>
      </c>
      <c r="D196" s="59">
        <v>610</v>
      </c>
      <c r="E196" s="493" t="s">
        <v>110</v>
      </c>
      <c r="F196" s="29">
        <v>1</v>
      </c>
      <c r="G196" s="9">
        <v>1</v>
      </c>
      <c r="H196" s="9">
        <v>1</v>
      </c>
      <c r="I196" s="9">
        <v>2</v>
      </c>
      <c r="J196" s="43">
        <v>2</v>
      </c>
      <c r="K196" s="260">
        <f t="shared" si="3"/>
        <v>0.35859414261160716</v>
      </c>
      <c r="L196" s="163" t="s">
        <v>111</v>
      </c>
    </row>
    <row r="197" spans="1:12">
      <c r="A197" s="34" t="s">
        <v>109</v>
      </c>
      <c r="B197" s="336">
        <v>2008</v>
      </c>
      <c r="C197" s="59" t="s">
        <v>91</v>
      </c>
      <c r="D197" s="59">
        <v>176</v>
      </c>
      <c r="E197" s="493" t="s">
        <v>110</v>
      </c>
      <c r="F197" s="29">
        <v>1</v>
      </c>
      <c r="G197" s="9">
        <v>1</v>
      </c>
      <c r="H197" s="9">
        <v>1</v>
      </c>
      <c r="I197" s="9">
        <v>2</v>
      </c>
      <c r="J197" s="43">
        <v>2</v>
      </c>
      <c r="K197" s="260">
        <f t="shared" si="3"/>
        <v>0.35859414261160716</v>
      </c>
      <c r="L197" s="163" t="s">
        <v>111</v>
      </c>
    </row>
    <row r="198" spans="1:12">
      <c r="A198" s="34" t="s">
        <v>109</v>
      </c>
      <c r="B198" s="336">
        <v>2008</v>
      </c>
      <c r="C198" s="59" t="s">
        <v>94</v>
      </c>
      <c r="D198" s="59">
        <v>128</v>
      </c>
      <c r="E198" s="493" t="s">
        <v>110</v>
      </c>
      <c r="F198" s="29">
        <v>1</v>
      </c>
      <c r="G198" s="9">
        <v>1</v>
      </c>
      <c r="H198" s="9">
        <v>1</v>
      </c>
      <c r="I198" s="9">
        <v>2</v>
      </c>
      <c r="J198" s="43">
        <v>2</v>
      </c>
      <c r="K198" s="260">
        <f t="shared" si="3"/>
        <v>0.35859414261160716</v>
      </c>
      <c r="L198" s="163" t="s">
        <v>111</v>
      </c>
    </row>
    <row r="199" spans="1:12">
      <c r="A199" s="34" t="s">
        <v>109</v>
      </c>
      <c r="B199" s="336">
        <v>2008</v>
      </c>
      <c r="C199" s="59" t="s">
        <v>96</v>
      </c>
      <c r="D199" s="59">
        <v>337</v>
      </c>
      <c r="E199" s="493" t="s">
        <v>110</v>
      </c>
      <c r="F199" s="29">
        <v>1</v>
      </c>
      <c r="G199" s="9">
        <v>1</v>
      </c>
      <c r="H199" s="9">
        <v>1</v>
      </c>
      <c r="I199" s="9">
        <v>2</v>
      </c>
      <c r="J199" s="43">
        <v>2</v>
      </c>
      <c r="K199" s="260">
        <f t="shared" si="3"/>
        <v>0.35859414261160716</v>
      </c>
      <c r="L199" s="163" t="s">
        <v>111</v>
      </c>
    </row>
    <row r="200" spans="1:12">
      <c r="A200" s="34" t="s">
        <v>109</v>
      </c>
      <c r="B200" s="336">
        <v>2008</v>
      </c>
      <c r="C200" s="59" t="s">
        <v>97</v>
      </c>
      <c r="D200" s="59">
        <v>125</v>
      </c>
      <c r="E200" s="493" t="s">
        <v>110</v>
      </c>
      <c r="F200" s="29">
        <v>1</v>
      </c>
      <c r="G200" s="9">
        <v>1</v>
      </c>
      <c r="H200" s="9">
        <v>1</v>
      </c>
      <c r="I200" s="9">
        <v>2</v>
      </c>
      <c r="J200" s="43">
        <v>2</v>
      </c>
      <c r="K200" s="260">
        <f t="shared" si="3"/>
        <v>0.35859414261160716</v>
      </c>
      <c r="L200" s="163" t="s">
        <v>111</v>
      </c>
    </row>
    <row r="201" spans="1:12">
      <c r="A201" s="34" t="s">
        <v>109</v>
      </c>
      <c r="B201" s="336">
        <v>2008</v>
      </c>
      <c r="C201" s="59" t="s">
        <v>95</v>
      </c>
      <c r="D201" s="59">
        <v>199</v>
      </c>
      <c r="E201" s="493" t="s">
        <v>110</v>
      </c>
      <c r="F201" s="29">
        <v>1</v>
      </c>
      <c r="G201" s="9">
        <v>1</v>
      </c>
      <c r="H201" s="9">
        <v>1</v>
      </c>
      <c r="I201" s="9">
        <v>2</v>
      </c>
      <c r="J201" s="43">
        <v>2</v>
      </c>
      <c r="K201" s="260">
        <f t="shared" si="3"/>
        <v>0.35859414261160716</v>
      </c>
      <c r="L201" s="163" t="s">
        <v>111</v>
      </c>
    </row>
    <row r="202" spans="1:12">
      <c r="A202" s="34" t="s">
        <v>109</v>
      </c>
      <c r="B202" s="336">
        <v>2008</v>
      </c>
      <c r="C202" s="59" t="s">
        <v>93</v>
      </c>
      <c r="D202" s="59">
        <v>98</v>
      </c>
      <c r="E202" s="493" t="s">
        <v>110</v>
      </c>
      <c r="F202" s="29">
        <v>1</v>
      </c>
      <c r="G202" s="9">
        <v>1</v>
      </c>
      <c r="H202" s="9">
        <v>1</v>
      </c>
      <c r="I202" s="9">
        <v>2</v>
      </c>
      <c r="J202" s="43">
        <v>2</v>
      </c>
      <c r="K202" s="260">
        <f t="shared" si="3"/>
        <v>0.35859414261160716</v>
      </c>
      <c r="L202" s="163" t="s">
        <v>111</v>
      </c>
    </row>
    <row r="203" spans="1:12">
      <c r="A203" s="34" t="s">
        <v>109</v>
      </c>
      <c r="B203" s="336">
        <v>2008</v>
      </c>
      <c r="C203" s="59" t="s">
        <v>98</v>
      </c>
      <c r="D203" s="59">
        <v>2137</v>
      </c>
      <c r="E203" s="493" t="s">
        <v>110</v>
      </c>
      <c r="F203" s="29">
        <v>1</v>
      </c>
      <c r="G203" s="9">
        <v>1</v>
      </c>
      <c r="H203" s="9">
        <v>1</v>
      </c>
      <c r="I203" s="9">
        <v>2</v>
      </c>
      <c r="J203" s="43">
        <v>2</v>
      </c>
      <c r="K203" s="260">
        <f t="shared" si="3"/>
        <v>0.35859414261160716</v>
      </c>
      <c r="L203" s="163" t="s">
        <v>111</v>
      </c>
    </row>
    <row r="204" spans="1:12">
      <c r="A204" s="34" t="s">
        <v>109</v>
      </c>
      <c r="B204" s="336">
        <v>2009</v>
      </c>
      <c r="C204" s="59" t="s">
        <v>85</v>
      </c>
      <c r="D204" s="59">
        <v>1560</v>
      </c>
      <c r="E204" s="493" t="s">
        <v>110</v>
      </c>
      <c r="F204" s="29">
        <v>1</v>
      </c>
      <c r="G204" s="9">
        <v>1</v>
      </c>
      <c r="H204" s="9">
        <v>1</v>
      </c>
      <c r="I204" s="9">
        <v>2</v>
      </c>
      <c r="J204" s="43">
        <v>2</v>
      </c>
      <c r="K204" s="260">
        <f t="shared" si="3"/>
        <v>0.35859414261160716</v>
      </c>
      <c r="L204" s="163" t="s">
        <v>111</v>
      </c>
    </row>
    <row r="205" spans="1:12">
      <c r="A205" s="34" t="s">
        <v>109</v>
      </c>
      <c r="B205" s="336">
        <v>2009</v>
      </c>
      <c r="C205" s="59" t="s">
        <v>86</v>
      </c>
      <c r="D205" s="59">
        <v>290</v>
      </c>
      <c r="E205" s="493" t="s">
        <v>110</v>
      </c>
      <c r="F205" s="29">
        <v>1</v>
      </c>
      <c r="G205" s="9">
        <v>1</v>
      </c>
      <c r="H205" s="9">
        <v>1</v>
      </c>
      <c r="I205" s="9">
        <v>2</v>
      </c>
      <c r="J205" s="43">
        <v>2</v>
      </c>
      <c r="K205" s="260">
        <f t="shared" si="3"/>
        <v>0.35859414261160716</v>
      </c>
      <c r="L205" s="163" t="s">
        <v>111</v>
      </c>
    </row>
    <row r="206" spans="1:12">
      <c r="A206" s="34" t="s">
        <v>109</v>
      </c>
      <c r="B206" s="336">
        <v>2009</v>
      </c>
      <c r="C206" s="59" t="s">
        <v>87</v>
      </c>
      <c r="D206" s="59">
        <v>852</v>
      </c>
      <c r="E206" s="493" t="s">
        <v>110</v>
      </c>
      <c r="F206" s="29">
        <v>1</v>
      </c>
      <c r="G206" s="9">
        <v>1</v>
      </c>
      <c r="H206" s="9">
        <v>1</v>
      </c>
      <c r="I206" s="9">
        <v>2</v>
      </c>
      <c r="J206" s="43">
        <v>2</v>
      </c>
      <c r="K206" s="260">
        <f t="shared" si="3"/>
        <v>0.35859414261160716</v>
      </c>
      <c r="L206" s="163" t="s">
        <v>111</v>
      </c>
    </row>
    <row r="207" spans="1:12">
      <c r="A207" s="34" t="s">
        <v>109</v>
      </c>
      <c r="B207" s="336">
        <v>2009</v>
      </c>
      <c r="C207" s="59" t="s">
        <v>88</v>
      </c>
      <c r="D207" s="59">
        <v>9</v>
      </c>
      <c r="E207" s="493" t="s">
        <v>110</v>
      </c>
      <c r="F207" s="29">
        <v>1</v>
      </c>
      <c r="G207" s="9">
        <v>1</v>
      </c>
      <c r="H207" s="9">
        <v>1</v>
      </c>
      <c r="I207" s="9">
        <v>2</v>
      </c>
      <c r="J207" s="43">
        <v>2</v>
      </c>
      <c r="K207" s="260">
        <f t="shared" si="3"/>
        <v>0.35859414261160716</v>
      </c>
      <c r="L207" s="163" t="s">
        <v>111</v>
      </c>
    </row>
    <row r="208" spans="1:12">
      <c r="A208" s="34" t="s">
        <v>109</v>
      </c>
      <c r="B208" s="336">
        <v>2009</v>
      </c>
      <c r="C208" s="59" t="s">
        <v>89</v>
      </c>
      <c r="D208" s="59">
        <v>191</v>
      </c>
      <c r="E208" s="493" t="s">
        <v>110</v>
      </c>
      <c r="F208" s="29">
        <v>1</v>
      </c>
      <c r="G208" s="9">
        <v>1</v>
      </c>
      <c r="H208" s="9">
        <v>1</v>
      </c>
      <c r="I208" s="9">
        <v>2</v>
      </c>
      <c r="J208" s="43">
        <v>2</v>
      </c>
      <c r="K208" s="260">
        <f t="shared" si="3"/>
        <v>0.35859414261160716</v>
      </c>
      <c r="L208" s="163" t="s">
        <v>111</v>
      </c>
    </row>
    <row r="209" spans="1:12">
      <c r="A209" s="34" t="s">
        <v>109</v>
      </c>
      <c r="B209" s="336">
        <v>2009</v>
      </c>
      <c r="C209" s="59" t="s">
        <v>90</v>
      </c>
      <c r="D209" s="59">
        <v>610</v>
      </c>
      <c r="E209" s="493" t="s">
        <v>110</v>
      </c>
      <c r="F209" s="29">
        <v>1</v>
      </c>
      <c r="G209" s="9">
        <v>1</v>
      </c>
      <c r="H209" s="9">
        <v>1</v>
      </c>
      <c r="I209" s="9">
        <v>2</v>
      </c>
      <c r="J209" s="43">
        <v>2</v>
      </c>
      <c r="K209" s="260">
        <f t="shared" si="3"/>
        <v>0.35859414261160716</v>
      </c>
      <c r="L209" s="163" t="s">
        <v>111</v>
      </c>
    </row>
    <row r="210" spans="1:12">
      <c r="A210" s="34" t="s">
        <v>109</v>
      </c>
      <c r="B210" s="336">
        <v>2009</v>
      </c>
      <c r="C210" s="59" t="s">
        <v>91</v>
      </c>
      <c r="D210" s="59">
        <v>184</v>
      </c>
      <c r="E210" s="493" t="s">
        <v>110</v>
      </c>
      <c r="F210" s="29">
        <v>1</v>
      </c>
      <c r="G210" s="9">
        <v>1</v>
      </c>
      <c r="H210" s="9">
        <v>1</v>
      </c>
      <c r="I210" s="9">
        <v>2</v>
      </c>
      <c r="J210" s="43">
        <v>2</v>
      </c>
      <c r="K210" s="260">
        <f t="shared" si="3"/>
        <v>0.35859414261160716</v>
      </c>
      <c r="L210" s="163" t="s">
        <v>111</v>
      </c>
    </row>
    <row r="211" spans="1:12">
      <c r="A211" s="34" t="s">
        <v>109</v>
      </c>
      <c r="B211" s="336">
        <v>2009</v>
      </c>
      <c r="C211" s="59" t="s">
        <v>94</v>
      </c>
      <c r="D211" s="59">
        <v>109</v>
      </c>
      <c r="E211" s="493" t="s">
        <v>110</v>
      </c>
      <c r="F211" s="29">
        <v>1</v>
      </c>
      <c r="G211" s="9">
        <v>1</v>
      </c>
      <c r="H211" s="9">
        <v>1</v>
      </c>
      <c r="I211" s="9">
        <v>2</v>
      </c>
      <c r="J211" s="43">
        <v>2</v>
      </c>
      <c r="K211" s="260">
        <f t="shared" si="3"/>
        <v>0.35859414261160716</v>
      </c>
      <c r="L211" s="163" t="s">
        <v>111</v>
      </c>
    </row>
    <row r="212" spans="1:12">
      <c r="A212" s="34" t="s">
        <v>109</v>
      </c>
      <c r="B212" s="336">
        <v>2009</v>
      </c>
      <c r="C212" s="59" t="s">
        <v>96</v>
      </c>
      <c r="D212" s="59">
        <v>337</v>
      </c>
      <c r="E212" s="493" t="s">
        <v>110</v>
      </c>
      <c r="F212" s="29">
        <v>1</v>
      </c>
      <c r="G212" s="9">
        <v>1</v>
      </c>
      <c r="H212" s="9">
        <v>1</v>
      </c>
      <c r="I212" s="9">
        <v>2</v>
      </c>
      <c r="J212" s="43">
        <v>2</v>
      </c>
      <c r="K212" s="260">
        <f t="shared" si="3"/>
        <v>0.35859414261160716</v>
      </c>
      <c r="L212" s="163" t="s">
        <v>111</v>
      </c>
    </row>
    <row r="213" spans="1:12">
      <c r="A213" s="34" t="s">
        <v>109</v>
      </c>
      <c r="B213" s="336">
        <v>2009</v>
      </c>
      <c r="C213" s="59" t="s">
        <v>97</v>
      </c>
      <c r="D213" s="59">
        <v>126</v>
      </c>
      <c r="E213" s="493" t="s">
        <v>110</v>
      </c>
      <c r="F213" s="29">
        <v>1</v>
      </c>
      <c r="G213" s="9">
        <v>1</v>
      </c>
      <c r="H213" s="9">
        <v>1</v>
      </c>
      <c r="I213" s="9">
        <v>2</v>
      </c>
      <c r="J213" s="43">
        <v>2</v>
      </c>
      <c r="K213" s="260">
        <f t="shared" si="3"/>
        <v>0.35859414261160716</v>
      </c>
      <c r="L213" s="163" t="s">
        <v>111</v>
      </c>
    </row>
    <row r="214" spans="1:12">
      <c r="A214" s="34" t="s">
        <v>109</v>
      </c>
      <c r="B214" s="336">
        <v>2009</v>
      </c>
      <c r="C214" s="59" t="s">
        <v>95</v>
      </c>
      <c r="D214" s="59">
        <v>205</v>
      </c>
      <c r="E214" s="493" t="s">
        <v>110</v>
      </c>
      <c r="F214" s="29">
        <v>1</v>
      </c>
      <c r="G214" s="9">
        <v>1</v>
      </c>
      <c r="H214" s="9">
        <v>1</v>
      </c>
      <c r="I214" s="9">
        <v>2</v>
      </c>
      <c r="J214" s="43">
        <v>2</v>
      </c>
      <c r="K214" s="260">
        <f t="shared" si="3"/>
        <v>0.35859414261160716</v>
      </c>
      <c r="L214" s="163" t="s">
        <v>111</v>
      </c>
    </row>
    <row r="215" spans="1:12">
      <c r="A215" s="34" t="s">
        <v>109</v>
      </c>
      <c r="B215" s="336">
        <v>2009</v>
      </c>
      <c r="C215" s="59" t="s">
        <v>93</v>
      </c>
      <c r="D215" s="59">
        <v>69</v>
      </c>
      <c r="E215" s="493" t="s">
        <v>110</v>
      </c>
      <c r="F215" s="29">
        <v>1</v>
      </c>
      <c r="G215" s="9">
        <v>1</v>
      </c>
      <c r="H215" s="9">
        <v>1</v>
      </c>
      <c r="I215" s="9">
        <v>2</v>
      </c>
      <c r="J215" s="43">
        <v>2</v>
      </c>
      <c r="K215" s="260">
        <f t="shared" si="3"/>
        <v>0.35859414261160716</v>
      </c>
      <c r="L215" s="163" t="s">
        <v>111</v>
      </c>
    </row>
    <row r="216" spans="1:12">
      <c r="A216" s="34" t="s">
        <v>109</v>
      </c>
      <c r="B216" s="336">
        <v>2009</v>
      </c>
      <c r="C216" s="59" t="s">
        <v>98</v>
      </c>
      <c r="D216" s="59">
        <v>2139</v>
      </c>
      <c r="E216" s="493" t="s">
        <v>110</v>
      </c>
      <c r="F216" s="29">
        <v>1</v>
      </c>
      <c r="G216" s="9">
        <v>1</v>
      </c>
      <c r="H216" s="9">
        <v>1</v>
      </c>
      <c r="I216" s="9">
        <v>2</v>
      </c>
      <c r="J216" s="43">
        <v>2</v>
      </c>
      <c r="K216" s="260">
        <f t="shared" si="3"/>
        <v>0.35859414261160716</v>
      </c>
      <c r="L216" s="163" t="s">
        <v>111</v>
      </c>
    </row>
    <row r="217" spans="1:12">
      <c r="A217" s="34" t="s">
        <v>109</v>
      </c>
      <c r="B217" s="336">
        <v>2010</v>
      </c>
      <c r="C217" s="59" t="s">
        <v>85</v>
      </c>
      <c r="D217" s="59">
        <v>1474</v>
      </c>
      <c r="E217" s="493" t="s">
        <v>110</v>
      </c>
      <c r="F217" s="29">
        <v>1</v>
      </c>
      <c r="G217" s="9">
        <v>1</v>
      </c>
      <c r="H217" s="9">
        <v>1</v>
      </c>
      <c r="I217" s="9">
        <v>2</v>
      </c>
      <c r="J217" s="43">
        <v>2</v>
      </c>
      <c r="K217" s="260">
        <f t="shared" si="3"/>
        <v>0.35859414261160716</v>
      </c>
      <c r="L217" s="163" t="s">
        <v>111</v>
      </c>
    </row>
    <row r="218" spans="1:12">
      <c r="A218" s="34" t="s">
        <v>109</v>
      </c>
      <c r="B218" s="336">
        <v>2010</v>
      </c>
      <c r="C218" s="59" t="s">
        <v>86</v>
      </c>
      <c r="D218" s="59">
        <v>290</v>
      </c>
      <c r="E218" s="493" t="s">
        <v>110</v>
      </c>
      <c r="F218" s="29">
        <v>1</v>
      </c>
      <c r="G218" s="9">
        <v>1</v>
      </c>
      <c r="H218" s="9">
        <v>1</v>
      </c>
      <c r="I218" s="9">
        <v>2</v>
      </c>
      <c r="J218" s="43">
        <v>2</v>
      </c>
      <c r="K218" s="260">
        <f t="shared" si="3"/>
        <v>0.35859414261160716</v>
      </c>
      <c r="L218" s="163" t="s">
        <v>111</v>
      </c>
    </row>
    <row r="219" spans="1:12">
      <c r="A219" s="34" t="s">
        <v>109</v>
      </c>
      <c r="B219" s="336">
        <v>2010</v>
      </c>
      <c r="C219" s="59" t="s">
        <v>87</v>
      </c>
      <c r="D219" s="59">
        <v>852</v>
      </c>
      <c r="E219" s="493" t="s">
        <v>110</v>
      </c>
      <c r="F219" s="29">
        <v>1</v>
      </c>
      <c r="G219" s="9">
        <v>1</v>
      </c>
      <c r="H219" s="9">
        <v>1</v>
      </c>
      <c r="I219" s="9">
        <v>2</v>
      </c>
      <c r="J219" s="43">
        <v>2</v>
      </c>
      <c r="K219" s="260">
        <f t="shared" si="3"/>
        <v>0.35859414261160716</v>
      </c>
      <c r="L219" s="163" t="s">
        <v>111</v>
      </c>
    </row>
    <row r="220" spans="1:12">
      <c r="A220" s="34" t="s">
        <v>109</v>
      </c>
      <c r="B220" s="336">
        <v>2010</v>
      </c>
      <c r="C220" s="59" t="s">
        <v>88</v>
      </c>
      <c r="D220" s="59">
        <v>4</v>
      </c>
      <c r="E220" s="493" t="s">
        <v>110</v>
      </c>
      <c r="F220" s="29">
        <v>1</v>
      </c>
      <c r="G220" s="9">
        <v>1</v>
      </c>
      <c r="H220" s="9">
        <v>1</v>
      </c>
      <c r="I220" s="9">
        <v>2</v>
      </c>
      <c r="J220" s="43">
        <v>2</v>
      </c>
      <c r="K220" s="260">
        <f t="shared" si="3"/>
        <v>0.35859414261160716</v>
      </c>
      <c r="L220" s="163" t="s">
        <v>111</v>
      </c>
    </row>
    <row r="221" spans="1:12">
      <c r="A221" s="34" t="s">
        <v>109</v>
      </c>
      <c r="B221" s="336">
        <v>2010</v>
      </c>
      <c r="C221" s="59" t="s">
        <v>89</v>
      </c>
      <c r="D221" s="59">
        <v>191</v>
      </c>
      <c r="E221" s="493" t="s">
        <v>110</v>
      </c>
      <c r="F221" s="29">
        <v>1</v>
      </c>
      <c r="G221" s="9">
        <v>1</v>
      </c>
      <c r="H221" s="9">
        <v>1</v>
      </c>
      <c r="I221" s="9">
        <v>2</v>
      </c>
      <c r="J221" s="43">
        <v>2</v>
      </c>
      <c r="K221" s="260">
        <f t="shared" si="3"/>
        <v>0.35859414261160716</v>
      </c>
      <c r="L221" s="163" t="s">
        <v>111</v>
      </c>
    </row>
    <row r="222" spans="1:12">
      <c r="A222" s="34" t="s">
        <v>109</v>
      </c>
      <c r="B222" s="336">
        <v>2010</v>
      </c>
      <c r="C222" s="59" t="s">
        <v>90</v>
      </c>
      <c r="D222" s="59">
        <v>610</v>
      </c>
      <c r="E222" s="493" t="s">
        <v>110</v>
      </c>
      <c r="F222" s="29">
        <v>1</v>
      </c>
      <c r="G222" s="9">
        <v>1</v>
      </c>
      <c r="H222" s="9">
        <v>1</v>
      </c>
      <c r="I222" s="9">
        <v>2</v>
      </c>
      <c r="J222" s="43">
        <v>2</v>
      </c>
      <c r="K222" s="260">
        <f t="shared" si="3"/>
        <v>0.35859414261160716</v>
      </c>
      <c r="L222" s="163" t="s">
        <v>111</v>
      </c>
    </row>
    <row r="223" spans="1:12">
      <c r="A223" s="34" t="s">
        <v>109</v>
      </c>
      <c r="B223" s="336">
        <v>2010</v>
      </c>
      <c r="C223" s="59" t="s">
        <v>91</v>
      </c>
      <c r="D223" s="59">
        <v>356</v>
      </c>
      <c r="E223" s="493" t="s">
        <v>110</v>
      </c>
      <c r="F223" s="29">
        <v>1</v>
      </c>
      <c r="G223" s="9">
        <v>1</v>
      </c>
      <c r="H223" s="9">
        <v>1</v>
      </c>
      <c r="I223" s="9">
        <v>2</v>
      </c>
      <c r="J223" s="43">
        <v>2</v>
      </c>
      <c r="K223" s="260">
        <f t="shared" si="3"/>
        <v>0.35859414261160716</v>
      </c>
      <c r="L223" s="163" t="s">
        <v>111</v>
      </c>
    </row>
    <row r="224" spans="1:12">
      <c r="A224" s="34" t="s">
        <v>109</v>
      </c>
      <c r="B224" s="336">
        <v>2010</v>
      </c>
      <c r="C224" s="59" t="s">
        <v>94</v>
      </c>
      <c r="D224" s="59">
        <v>55</v>
      </c>
      <c r="E224" s="493" t="s">
        <v>110</v>
      </c>
      <c r="F224" s="29">
        <v>1</v>
      </c>
      <c r="G224" s="9">
        <v>1</v>
      </c>
      <c r="H224" s="9">
        <v>1</v>
      </c>
      <c r="I224" s="9">
        <v>2</v>
      </c>
      <c r="J224" s="43">
        <v>2</v>
      </c>
      <c r="K224" s="260">
        <f t="shared" si="3"/>
        <v>0.35859414261160716</v>
      </c>
      <c r="L224" s="163" t="s">
        <v>111</v>
      </c>
    </row>
    <row r="225" spans="1:12">
      <c r="A225" s="34" t="s">
        <v>109</v>
      </c>
      <c r="B225" s="336">
        <v>2010</v>
      </c>
      <c r="C225" s="59" t="s">
        <v>96</v>
      </c>
      <c r="D225" s="59">
        <v>250</v>
      </c>
      <c r="E225" s="493" t="s">
        <v>110</v>
      </c>
      <c r="F225" s="29">
        <v>1</v>
      </c>
      <c r="G225" s="9">
        <v>1</v>
      </c>
      <c r="H225" s="9">
        <v>1</v>
      </c>
      <c r="I225" s="9">
        <v>2</v>
      </c>
      <c r="J225" s="43">
        <v>2</v>
      </c>
      <c r="K225" s="260">
        <f t="shared" si="3"/>
        <v>0.35859414261160716</v>
      </c>
      <c r="L225" s="163" t="s">
        <v>111</v>
      </c>
    </row>
    <row r="226" spans="1:12">
      <c r="A226" s="34" t="s">
        <v>109</v>
      </c>
      <c r="B226" s="336">
        <v>2010</v>
      </c>
      <c r="C226" s="59" t="s">
        <v>97</v>
      </c>
      <c r="D226" s="59">
        <v>188</v>
      </c>
      <c r="E226" s="493" t="s">
        <v>110</v>
      </c>
      <c r="F226" s="29">
        <v>1</v>
      </c>
      <c r="G226" s="9">
        <v>1</v>
      </c>
      <c r="H226" s="9">
        <v>1</v>
      </c>
      <c r="I226" s="9">
        <v>2</v>
      </c>
      <c r="J226" s="43">
        <v>2</v>
      </c>
      <c r="K226" s="260">
        <f t="shared" si="3"/>
        <v>0.35859414261160716</v>
      </c>
      <c r="L226" s="163" t="s">
        <v>111</v>
      </c>
    </row>
    <row r="227" spans="1:12">
      <c r="A227" s="34" t="s">
        <v>109</v>
      </c>
      <c r="B227" s="336">
        <v>2010</v>
      </c>
      <c r="C227" s="59" t="s">
        <v>95</v>
      </c>
      <c r="D227" s="59">
        <v>247</v>
      </c>
      <c r="E227" s="493" t="s">
        <v>110</v>
      </c>
      <c r="F227" s="29">
        <v>1</v>
      </c>
      <c r="G227" s="9">
        <v>1</v>
      </c>
      <c r="H227" s="9">
        <v>1</v>
      </c>
      <c r="I227" s="9">
        <v>2</v>
      </c>
      <c r="J227" s="43">
        <v>2</v>
      </c>
      <c r="K227" s="260">
        <f t="shared" si="3"/>
        <v>0.35859414261160716</v>
      </c>
      <c r="L227" s="163" t="s">
        <v>111</v>
      </c>
    </row>
    <row r="228" spans="1:12">
      <c r="A228" s="34" t="s">
        <v>109</v>
      </c>
      <c r="B228" s="336">
        <v>2010</v>
      </c>
      <c r="C228" s="59" t="s">
        <v>93</v>
      </c>
      <c r="D228" s="59">
        <v>78</v>
      </c>
      <c r="E228" s="493" t="s">
        <v>110</v>
      </c>
      <c r="F228" s="29">
        <v>1</v>
      </c>
      <c r="G228" s="9">
        <v>1</v>
      </c>
      <c r="H228" s="9">
        <v>1</v>
      </c>
      <c r="I228" s="9">
        <v>2</v>
      </c>
      <c r="J228" s="43">
        <v>2</v>
      </c>
      <c r="K228" s="260">
        <f t="shared" si="3"/>
        <v>0.35859414261160716</v>
      </c>
      <c r="L228" s="163" t="s">
        <v>111</v>
      </c>
    </row>
    <row r="229" spans="1:12">
      <c r="A229" s="34" t="s">
        <v>109</v>
      </c>
      <c r="B229" s="336">
        <v>2010</v>
      </c>
      <c r="C229" s="59" t="s">
        <v>98</v>
      </c>
      <c r="D229" s="59">
        <v>2132</v>
      </c>
      <c r="E229" s="493" t="s">
        <v>110</v>
      </c>
      <c r="F229" s="29">
        <v>1</v>
      </c>
      <c r="G229" s="9">
        <v>1</v>
      </c>
      <c r="H229" s="9">
        <v>1</v>
      </c>
      <c r="I229" s="9">
        <v>2</v>
      </c>
      <c r="J229" s="43">
        <v>2</v>
      </c>
      <c r="K229" s="260">
        <f t="shared" si="3"/>
        <v>0.35859414261160716</v>
      </c>
      <c r="L229" s="163" t="s">
        <v>111</v>
      </c>
    </row>
    <row r="230" spans="1:12">
      <c r="A230" s="34" t="s">
        <v>109</v>
      </c>
      <c r="B230" s="336">
        <v>2011</v>
      </c>
      <c r="C230" s="59" t="s">
        <v>85</v>
      </c>
      <c r="D230" s="59">
        <v>1435</v>
      </c>
      <c r="E230" s="493" t="s">
        <v>110</v>
      </c>
      <c r="F230" s="29">
        <v>1</v>
      </c>
      <c r="G230" s="9">
        <v>1</v>
      </c>
      <c r="H230" s="9">
        <v>1</v>
      </c>
      <c r="I230" s="9">
        <v>2</v>
      </c>
      <c r="J230" s="43">
        <v>2</v>
      </c>
      <c r="K230" s="260">
        <f t="shared" si="3"/>
        <v>0.35859414261160716</v>
      </c>
      <c r="L230" s="163" t="s">
        <v>111</v>
      </c>
    </row>
    <row r="231" spans="1:12">
      <c r="A231" s="34" t="s">
        <v>109</v>
      </c>
      <c r="B231" s="336">
        <v>2011</v>
      </c>
      <c r="C231" s="59" t="s">
        <v>86</v>
      </c>
      <c r="D231" s="59">
        <v>290</v>
      </c>
      <c r="E231" s="493" t="s">
        <v>110</v>
      </c>
      <c r="F231" s="29">
        <v>1</v>
      </c>
      <c r="G231" s="9">
        <v>1</v>
      </c>
      <c r="H231" s="9">
        <v>1</v>
      </c>
      <c r="I231" s="9">
        <v>2</v>
      </c>
      <c r="J231" s="43">
        <v>2</v>
      </c>
      <c r="K231" s="260">
        <f t="shared" si="3"/>
        <v>0.35859414261160716</v>
      </c>
      <c r="L231" s="163" t="s">
        <v>111</v>
      </c>
    </row>
    <row r="232" spans="1:12">
      <c r="A232" s="34" t="s">
        <v>109</v>
      </c>
      <c r="B232" s="336">
        <v>2011</v>
      </c>
      <c r="C232" s="59" t="s">
        <v>87</v>
      </c>
      <c r="D232" s="59">
        <v>852</v>
      </c>
      <c r="E232" s="493" t="s">
        <v>110</v>
      </c>
      <c r="F232" s="29">
        <v>1</v>
      </c>
      <c r="G232" s="9">
        <v>1</v>
      </c>
      <c r="H232" s="9">
        <v>1</v>
      </c>
      <c r="I232" s="9">
        <v>2</v>
      </c>
      <c r="J232" s="43">
        <v>2</v>
      </c>
      <c r="K232" s="260">
        <f t="shared" si="3"/>
        <v>0.35859414261160716</v>
      </c>
      <c r="L232" s="163" t="s">
        <v>111</v>
      </c>
    </row>
    <row r="233" spans="1:12">
      <c r="A233" s="34" t="s">
        <v>109</v>
      </c>
      <c r="B233" s="336">
        <v>2011</v>
      </c>
      <c r="C233" s="59" t="s">
        <v>88</v>
      </c>
      <c r="D233" s="59">
        <v>4</v>
      </c>
      <c r="E233" s="493" t="s">
        <v>110</v>
      </c>
      <c r="F233" s="29">
        <v>1</v>
      </c>
      <c r="G233" s="9">
        <v>1</v>
      </c>
      <c r="H233" s="9">
        <v>1</v>
      </c>
      <c r="I233" s="9">
        <v>2</v>
      </c>
      <c r="J233" s="43">
        <v>2</v>
      </c>
      <c r="K233" s="260">
        <f t="shared" si="3"/>
        <v>0.35859414261160716</v>
      </c>
      <c r="L233" s="163" t="s">
        <v>111</v>
      </c>
    </row>
    <row r="234" spans="1:12">
      <c r="A234" s="34" t="s">
        <v>109</v>
      </c>
      <c r="B234" s="336">
        <v>2011</v>
      </c>
      <c r="C234" s="59" t="s">
        <v>89</v>
      </c>
      <c r="D234" s="59">
        <v>191</v>
      </c>
      <c r="E234" s="493" t="s">
        <v>110</v>
      </c>
      <c r="F234" s="29">
        <v>1</v>
      </c>
      <c r="G234" s="9">
        <v>1</v>
      </c>
      <c r="H234" s="9">
        <v>1</v>
      </c>
      <c r="I234" s="9">
        <v>2</v>
      </c>
      <c r="J234" s="43">
        <v>2</v>
      </c>
      <c r="K234" s="260">
        <f t="shared" si="3"/>
        <v>0.35859414261160716</v>
      </c>
      <c r="L234" s="163" t="s">
        <v>111</v>
      </c>
    </row>
    <row r="235" spans="1:12">
      <c r="A235" s="34" t="s">
        <v>109</v>
      </c>
      <c r="B235" s="336">
        <v>2011</v>
      </c>
      <c r="C235" s="59" t="s">
        <v>90</v>
      </c>
      <c r="D235" s="59">
        <v>610</v>
      </c>
      <c r="E235" s="493" t="s">
        <v>110</v>
      </c>
      <c r="F235" s="29">
        <v>1</v>
      </c>
      <c r="G235" s="9">
        <v>1</v>
      </c>
      <c r="H235" s="9">
        <v>1</v>
      </c>
      <c r="I235" s="9">
        <v>2</v>
      </c>
      <c r="J235" s="43">
        <v>2</v>
      </c>
      <c r="K235" s="260">
        <f t="shared" si="3"/>
        <v>0.35859414261160716</v>
      </c>
      <c r="L235" s="163" t="s">
        <v>111</v>
      </c>
    </row>
    <row r="236" spans="1:12">
      <c r="A236" s="34" t="s">
        <v>109</v>
      </c>
      <c r="B236" s="336">
        <v>2011</v>
      </c>
      <c r="C236" s="59" t="s">
        <v>91</v>
      </c>
      <c r="D236" s="59">
        <v>389</v>
      </c>
      <c r="E236" s="493" t="s">
        <v>110</v>
      </c>
      <c r="F236" s="29">
        <v>1</v>
      </c>
      <c r="G236" s="9">
        <v>1</v>
      </c>
      <c r="H236" s="9">
        <v>1</v>
      </c>
      <c r="I236" s="9">
        <v>2</v>
      </c>
      <c r="J236" s="43">
        <v>2</v>
      </c>
      <c r="K236" s="260">
        <f t="shared" si="3"/>
        <v>0.35859414261160716</v>
      </c>
      <c r="L236" s="163" t="s">
        <v>111</v>
      </c>
    </row>
    <row r="237" spans="1:12">
      <c r="A237" s="34" t="s">
        <v>109</v>
      </c>
      <c r="B237" s="336">
        <v>2011</v>
      </c>
      <c r="C237" s="59" t="s">
        <v>94</v>
      </c>
      <c r="D237" s="59">
        <v>141</v>
      </c>
      <c r="E237" s="493" t="s">
        <v>110</v>
      </c>
      <c r="F237" s="29">
        <v>1</v>
      </c>
      <c r="G237" s="9">
        <v>1</v>
      </c>
      <c r="H237" s="9">
        <v>1</v>
      </c>
      <c r="I237" s="9">
        <v>2</v>
      </c>
      <c r="J237" s="43">
        <v>2</v>
      </c>
      <c r="K237" s="260">
        <f t="shared" si="3"/>
        <v>0.35859414261160716</v>
      </c>
      <c r="L237" s="163" t="s">
        <v>111</v>
      </c>
    </row>
    <row r="238" spans="1:12">
      <c r="A238" s="34" t="s">
        <v>109</v>
      </c>
      <c r="B238" s="336">
        <v>2011</v>
      </c>
      <c r="C238" s="59" t="s">
        <v>96</v>
      </c>
      <c r="D238" s="59">
        <v>337</v>
      </c>
      <c r="E238" s="493" t="s">
        <v>110</v>
      </c>
      <c r="F238" s="29">
        <v>1</v>
      </c>
      <c r="G238" s="9">
        <v>1</v>
      </c>
      <c r="H238" s="9">
        <v>1</v>
      </c>
      <c r="I238" s="9">
        <v>2</v>
      </c>
      <c r="J238" s="43">
        <v>2</v>
      </c>
      <c r="K238" s="260">
        <f t="shared" si="3"/>
        <v>0.35859414261160716</v>
      </c>
      <c r="L238" s="163" t="s">
        <v>111</v>
      </c>
    </row>
    <row r="239" spans="1:12">
      <c r="A239" s="34" t="s">
        <v>109</v>
      </c>
      <c r="B239" s="336">
        <v>2011</v>
      </c>
      <c r="C239" s="59" t="s">
        <v>97</v>
      </c>
      <c r="D239" s="59">
        <v>252</v>
      </c>
      <c r="E239" s="493" t="s">
        <v>110</v>
      </c>
      <c r="F239" s="29">
        <v>1</v>
      </c>
      <c r="G239" s="9">
        <v>1</v>
      </c>
      <c r="H239" s="9">
        <v>1</v>
      </c>
      <c r="I239" s="9">
        <v>2</v>
      </c>
      <c r="J239" s="43">
        <v>2</v>
      </c>
      <c r="K239" s="260">
        <f t="shared" si="3"/>
        <v>0.35859414261160716</v>
      </c>
      <c r="L239" s="163" t="s">
        <v>111</v>
      </c>
    </row>
    <row r="240" spans="1:12">
      <c r="A240" s="34" t="s">
        <v>109</v>
      </c>
      <c r="B240" s="336">
        <v>2011</v>
      </c>
      <c r="C240" s="59" t="s">
        <v>95</v>
      </c>
      <c r="D240" s="59">
        <v>240</v>
      </c>
      <c r="E240" s="493" t="s">
        <v>110</v>
      </c>
      <c r="F240" s="29">
        <v>1</v>
      </c>
      <c r="G240" s="9">
        <v>1</v>
      </c>
      <c r="H240" s="9">
        <v>1</v>
      </c>
      <c r="I240" s="9">
        <v>2</v>
      </c>
      <c r="J240" s="43">
        <v>2</v>
      </c>
      <c r="K240" s="260">
        <f t="shared" si="3"/>
        <v>0.35859414261160716</v>
      </c>
      <c r="L240" s="163" t="s">
        <v>111</v>
      </c>
    </row>
    <row r="241" spans="1:12">
      <c r="A241" s="34" t="s">
        <v>109</v>
      </c>
      <c r="B241" s="336">
        <v>2011</v>
      </c>
      <c r="C241" s="59" t="s">
        <v>93</v>
      </c>
      <c r="D241" s="59">
        <v>101</v>
      </c>
      <c r="E241" s="493" t="s">
        <v>110</v>
      </c>
      <c r="F241" s="29">
        <v>1</v>
      </c>
      <c r="G241" s="9">
        <v>1</v>
      </c>
      <c r="H241" s="9">
        <v>1</v>
      </c>
      <c r="I241" s="9">
        <v>2</v>
      </c>
      <c r="J241" s="43">
        <v>2</v>
      </c>
      <c r="K241" s="260">
        <f t="shared" si="3"/>
        <v>0.35859414261160716</v>
      </c>
      <c r="L241" s="163" t="s">
        <v>111</v>
      </c>
    </row>
    <row r="242" spans="1:12">
      <c r="A242" s="34" t="s">
        <v>109</v>
      </c>
      <c r="B242" s="336">
        <v>2011</v>
      </c>
      <c r="C242" s="59" t="s">
        <v>98</v>
      </c>
      <c r="D242" s="59">
        <v>2115</v>
      </c>
      <c r="E242" s="493" t="s">
        <v>110</v>
      </c>
      <c r="F242" s="29">
        <v>1</v>
      </c>
      <c r="G242" s="9">
        <v>1</v>
      </c>
      <c r="H242" s="9">
        <v>1</v>
      </c>
      <c r="I242" s="9">
        <v>2</v>
      </c>
      <c r="J242" s="43">
        <v>2</v>
      </c>
      <c r="K242" s="260">
        <f t="shared" si="3"/>
        <v>0.35859414261160716</v>
      </c>
      <c r="L242" s="163" t="s">
        <v>111</v>
      </c>
    </row>
    <row r="243" spans="1:12">
      <c r="A243" s="34" t="s">
        <v>109</v>
      </c>
      <c r="B243" s="336">
        <v>2012</v>
      </c>
      <c r="C243" s="59" t="s">
        <v>85</v>
      </c>
      <c r="D243" s="59">
        <v>1807</v>
      </c>
      <c r="E243" s="493" t="s">
        <v>110</v>
      </c>
      <c r="F243" s="29">
        <v>1</v>
      </c>
      <c r="G243" s="9">
        <v>1</v>
      </c>
      <c r="H243" s="9">
        <v>1</v>
      </c>
      <c r="I243" s="9">
        <v>2</v>
      </c>
      <c r="J243" s="43">
        <v>2</v>
      </c>
      <c r="K243" s="260">
        <f t="shared" si="3"/>
        <v>0.35859414261160716</v>
      </c>
      <c r="L243" s="163" t="s">
        <v>111</v>
      </c>
    </row>
    <row r="244" spans="1:12">
      <c r="A244" s="34" t="s">
        <v>109</v>
      </c>
      <c r="B244" s="336">
        <v>2012</v>
      </c>
      <c r="C244" s="59" t="s">
        <v>86</v>
      </c>
      <c r="D244" s="59">
        <v>290</v>
      </c>
      <c r="E244" s="493" t="s">
        <v>110</v>
      </c>
      <c r="F244" s="29">
        <v>1</v>
      </c>
      <c r="G244" s="9">
        <v>1</v>
      </c>
      <c r="H244" s="9">
        <v>1</v>
      </c>
      <c r="I244" s="9">
        <v>2</v>
      </c>
      <c r="J244" s="43">
        <v>2</v>
      </c>
      <c r="K244" s="260">
        <f t="shared" si="3"/>
        <v>0.35859414261160716</v>
      </c>
      <c r="L244" s="163" t="s">
        <v>111</v>
      </c>
    </row>
    <row r="245" spans="1:12">
      <c r="A245" s="34" t="s">
        <v>109</v>
      </c>
      <c r="B245" s="336">
        <v>2012</v>
      </c>
      <c r="C245" s="59" t="s">
        <v>87</v>
      </c>
      <c r="D245" s="59">
        <v>631</v>
      </c>
      <c r="E245" s="493" t="s">
        <v>110</v>
      </c>
      <c r="F245" s="29">
        <v>1</v>
      </c>
      <c r="G245" s="9">
        <v>1</v>
      </c>
      <c r="H245" s="9">
        <v>1</v>
      </c>
      <c r="I245" s="9">
        <v>2</v>
      </c>
      <c r="J245" s="43">
        <v>2</v>
      </c>
      <c r="K245" s="260">
        <f t="shared" si="3"/>
        <v>0.35859414261160716</v>
      </c>
      <c r="L245" s="163" t="s">
        <v>111</v>
      </c>
    </row>
    <row r="246" spans="1:12">
      <c r="A246" s="34" t="s">
        <v>109</v>
      </c>
      <c r="B246" s="336">
        <v>2012</v>
      </c>
      <c r="C246" s="59" t="s">
        <v>88</v>
      </c>
      <c r="D246" s="59">
        <v>1</v>
      </c>
      <c r="E246" s="493" t="s">
        <v>110</v>
      </c>
      <c r="F246" s="29">
        <v>1</v>
      </c>
      <c r="G246" s="9">
        <v>1</v>
      </c>
      <c r="H246" s="9">
        <v>1</v>
      </c>
      <c r="I246" s="9">
        <v>2</v>
      </c>
      <c r="J246" s="43">
        <v>2</v>
      </c>
      <c r="K246" s="260">
        <f t="shared" si="3"/>
        <v>0.35859414261160716</v>
      </c>
      <c r="L246" s="163" t="s">
        <v>111</v>
      </c>
    </row>
    <row r="247" spans="1:12">
      <c r="A247" s="34" t="s">
        <v>109</v>
      </c>
      <c r="B247" s="336">
        <v>2012</v>
      </c>
      <c r="C247" s="59" t="s">
        <v>89</v>
      </c>
      <c r="D247" s="59">
        <v>191</v>
      </c>
      <c r="E247" s="493" t="s">
        <v>110</v>
      </c>
      <c r="F247" s="29">
        <v>1</v>
      </c>
      <c r="G247" s="9">
        <v>1</v>
      </c>
      <c r="H247" s="9">
        <v>1</v>
      </c>
      <c r="I247" s="9">
        <v>2</v>
      </c>
      <c r="J247" s="43">
        <v>2</v>
      </c>
      <c r="K247" s="260">
        <f t="shared" si="3"/>
        <v>0.35859414261160716</v>
      </c>
      <c r="L247" s="163" t="s">
        <v>111</v>
      </c>
    </row>
    <row r="248" spans="1:12">
      <c r="A248" s="34" t="s">
        <v>109</v>
      </c>
      <c r="B248" s="336">
        <v>2012</v>
      </c>
      <c r="C248" s="59" t="s">
        <v>90</v>
      </c>
      <c r="D248" s="59">
        <v>610</v>
      </c>
      <c r="E248" s="493" t="s">
        <v>110</v>
      </c>
      <c r="F248" s="29">
        <v>1</v>
      </c>
      <c r="G248" s="9">
        <v>1</v>
      </c>
      <c r="H248" s="9">
        <v>1</v>
      </c>
      <c r="I248" s="9">
        <v>2</v>
      </c>
      <c r="J248" s="43">
        <v>2</v>
      </c>
      <c r="K248" s="260">
        <f t="shared" si="3"/>
        <v>0.35859414261160716</v>
      </c>
      <c r="L248" s="163" t="s">
        <v>111</v>
      </c>
    </row>
    <row r="249" spans="1:12">
      <c r="A249" s="34" t="s">
        <v>109</v>
      </c>
      <c r="B249" s="336">
        <v>2012</v>
      </c>
      <c r="C249" s="59" t="s">
        <v>91</v>
      </c>
      <c r="D249" s="59">
        <v>208</v>
      </c>
      <c r="E249" s="493" t="s">
        <v>110</v>
      </c>
      <c r="F249" s="29">
        <v>1</v>
      </c>
      <c r="G249" s="9">
        <v>1</v>
      </c>
      <c r="H249" s="9">
        <v>1</v>
      </c>
      <c r="I249" s="9">
        <v>2</v>
      </c>
      <c r="J249" s="43">
        <v>2</v>
      </c>
      <c r="K249" s="260">
        <f t="shared" si="3"/>
        <v>0.35859414261160716</v>
      </c>
      <c r="L249" s="163" t="s">
        <v>111</v>
      </c>
    </row>
    <row r="250" spans="1:12">
      <c r="A250" s="34" t="s">
        <v>109</v>
      </c>
      <c r="B250" s="336">
        <v>2012</v>
      </c>
      <c r="C250" s="59" t="s">
        <v>94</v>
      </c>
      <c r="D250" s="59">
        <v>143</v>
      </c>
      <c r="E250" s="493" t="s">
        <v>110</v>
      </c>
      <c r="F250" s="29">
        <v>1</v>
      </c>
      <c r="G250" s="9">
        <v>1</v>
      </c>
      <c r="H250" s="9">
        <v>1</v>
      </c>
      <c r="I250" s="9">
        <v>2</v>
      </c>
      <c r="J250" s="43">
        <v>2</v>
      </c>
      <c r="K250" s="260">
        <f t="shared" si="3"/>
        <v>0.35859414261160716</v>
      </c>
      <c r="L250" s="163" t="s">
        <v>111</v>
      </c>
    </row>
    <row r="251" spans="1:12">
      <c r="A251" s="34" t="s">
        <v>109</v>
      </c>
      <c r="B251" s="336">
        <v>2012</v>
      </c>
      <c r="C251" s="59" t="s">
        <v>96</v>
      </c>
      <c r="D251" s="59">
        <v>306</v>
      </c>
      <c r="E251" s="493" t="s">
        <v>110</v>
      </c>
      <c r="F251" s="29">
        <v>1</v>
      </c>
      <c r="G251" s="9">
        <v>1</v>
      </c>
      <c r="H251" s="9">
        <v>1</v>
      </c>
      <c r="I251" s="9">
        <v>2</v>
      </c>
      <c r="J251" s="43">
        <v>2</v>
      </c>
      <c r="K251" s="260">
        <f t="shared" si="3"/>
        <v>0.35859414261160716</v>
      </c>
      <c r="L251" s="163" t="s">
        <v>111</v>
      </c>
    </row>
    <row r="252" spans="1:12">
      <c r="A252" s="34" t="s">
        <v>109</v>
      </c>
      <c r="B252" s="336">
        <v>2012</v>
      </c>
      <c r="C252" s="59" t="s">
        <v>97</v>
      </c>
      <c r="D252" s="59">
        <v>232</v>
      </c>
      <c r="E252" s="493" t="s">
        <v>110</v>
      </c>
      <c r="F252" s="29">
        <v>1</v>
      </c>
      <c r="G252" s="9">
        <v>1</v>
      </c>
      <c r="H252" s="9">
        <v>1</v>
      </c>
      <c r="I252" s="9">
        <v>2</v>
      </c>
      <c r="J252" s="43">
        <v>2</v>
      </c>
      <c r="K252" s="260">
        <f t="shared" si="3"/>
        <v>0.35859414261160716</v>
      </c>
      <c r="L252" s="163" t="s">
        <v>111</v>
      </c>
    </row>
    <row r="253" spans="1:12">
      <c r="A253" s="34" t="s">
        <v>109</v>
      </c>
      <c r="B253" s="336">
        <v>2012</v>
      </c>
      <c r="C253" s="59" t="s">
        <v>95</v>
      </c>
      <c r="D253" s="59">
        <v>221</v>
      </c>
      <c r="E253" s="493" t="s">
        <v>110</v>
      </c>
      <c r="F253" s="29">
        <v>1</v>
      </c>
      <c r="G253" s="9">
        <v>1</v>
      </c>
      <c r="H253" s="9">
        <v>1</v>
      </c>
      <c r="I253" s="9">
        <v>2</v>
      </c>
      <c r="J253" s="43">
        <v>2</v>
      </c>
      <c r="K253" s="260">
        <f t="shared" ref="K253:K316" si="4">IF( OR( ISBLANK(F253),ISBLANK(G253), ISBLANK(H253), ISBLANK(I253), ISBLANK(J253) ), "", 1.5*SQRT(   EXP(2.21*(F253-1)) + EXP(2.21*(G253-1)) + EXP(2.21*(H253-1)) + EXP(2.21*(I253-1)) + EXP(2.21*J253)   )/100*2.45 )</f>
        <v>0.35859414261160716</v>
      </c>
      <c r="L253" s="163" t="s">
        <v>111</v>
      </c>
    </row>
    <row r="254" spans="1:12">
      <c r="A254" s="34" t="s">
        <v>109</v>
      </c>
      <c r="B254" s="336">
        <v>2012</v>
      </c>
      <c r="C254" s="59" t="s">
        <v>93</v>
      </c>
      <c r="D254" s="59">
        <v>86</v>
      </c>
      <c r="E254" s="493" t="s">
        <v>110</v>
      </c>
      <c r="F254" s="29">
        <v>1</v>
      </c>
      <c r="G254" s="9">
        <v>1</v>
      </c>
      <c r="H254" s="9">
        <v>1</v>
      </c>
      <c r="I254" s="9">
        <v>2</v>
      </c>
      <c r="J254" s="43">
        <v>2</v>
      </c>
      <c r="K254" s="260">
        <f t="shared" si="4"/>
        <v>0.35859414261160716</v>
      </c>
      <c r="L254" s="163" t="s">
        <v>111</v>
      </c>
    </row>
    <row r="255" spans="1:12">
      <c r="A255" s="34" t="s">
        <v>109</v>
      </c>
      <c r="B255" s="336">
        <v>2012</v>
      </c>
      <c r="C255" s="59" t="s">
        <v>98</v>
      </c>
      <c r="D255" s="59">
        <v>2322</v>
      </c>
      <c r="E255" s="493" t="s">
        <v>110</v>
      </c>
      <c r="F255" s="29">
        <v>1</v>
      </c>
      <c r="G255" s="9">
        <v>1</v>
      </c>
      <c r="H255" s="9">
        <v>1</v>
      </c>
      <c r="I255" s="9">
        <v>2</v>
      </c>
      <c r="J255" s="43">
        <v>2</v>
      </c>
      <c r="K255" s="260">
        <f t="shared" si="4"/>
        <v>0.35859414261160716</v>
      </c>
      <c r="L255" s="163" t="s">
        <v>111</v>
      </c>
    </row>
    <row r="256" spans="1:12">
      <c r="A256" s="34" t="s">
        <v>109</v>
      </c>
      <c r="B256" s="336">
        <v>2013</v>
      </c>
      <c r="C256" s="59" t="s">
        <v>85</v>
      </c>
      <c r="D256" s="59">
        <v>1347</v>
      </c>
      <c r="E256" s="493" t="s">
        <v>110</v>
      </c>
      <c r="F256" s="29">
        <v>1</v>
      </c>
      <c r="G256" s="9">
        <v>1</v>
      </c>
      <c r="H256" s="9">
        <v>1</v>
      </c>
      <c r="I256" s="9">
        <v>2</v>
      </c>
      <c r="J256" s="43">
        <v>2</v>
      </c>
      <c r="K256" s="260">
        <f t="shared" si="4"/>
        <v>0.35859414261160716</v>
      </c>
      <c r="L256" s="163" t="s">
        <v>111</v>
      </c>
    </row>
    <row r="257" spans="1:12">
      <c r="A257" s="34" t="s">
        <v>109</v>
      </c>
      <c r="B257" s="336">
        <v>2013</v>
      </c>
      <c r="C257" s="59" t="s">
        <v>86</v>
      </c>
      <c r="D257" s="59">
        <v>290</v>
      </c>
      <c r="E257" s="493" t="s">
        <v>110</v>
      </c>
      <c r="F257" s="29">
        <v>1</v>
      </c>
      <c r="G257" s="9">
        <v>1</v>
      </c>
      <c r="H257" s="9">
        <v>1</v>
      </c>
      <c r="I257" s="9">
        <v>2</v>
      </c>
      <c r="J257" s="43">
        <v>2</v>
      </c>
      <c r="K257" s="260">
        <f t="shared" si="4"/>
        <v>0.35859414261160716</v>
      </c>
      <c r="L257" s="163" t="s">
        <v>111</v>
      </c>
    </row>
    <row r="258" spans="1:12">
      <c r="A258" s="34" t="s">
        <v>109</v>
      </c>
      <c r="B258" s="336">
        <v>2013</v>
      </c>
      <c r="C258" s="59" t="s">
        <v>87</v>
      </c>
      <c r="D258" s="59">
        <v>613</v>
      </c>
      <c r="E258" s="493" t="s">
        <v>110</v>
      </c>
      <c r="F258" s="29">
        <v>1</v>
      </c>
      <c r="G258" s="9">
        <v>1</v>
      </c>
      <c r="H258" s="9">
        <v>1</v>
      </c>
      <c r="I258" s="9">
        <v>2</v>
      </c>
      <c r="J258" s="43">
        <v>2</v>
      </c>
      <c r="K258" s="260">
        <f t="shared" si="4"/>
        <v>0.35859414261160716</v>
      </c>
      <c r="L258" s="163" t="s">
        <v>111</v>
      </c>
    </row>
    <row r="259" spans="1:12">
      <c r="A259" s="34" t="s">
        <v>109</v>
      </c>
      <c r="B259" s="336">
        <v>2013</v>
      </c>
      <c r="C259" s="59" t="s">
        <v>88</v>
      </c>
      <c r="D259" s="59">
        <v>1</v>
      </c>
      <c r="E259" s="493" t="s">
        <v>110</v>
      </c>
      <c r="F259" s="29">
        <v>1</v>
      </c>
      <c r="G259" s="9">
        <v>1</v>
      </c>
      <c r="H259" s="9">
        <v>1</v>
      </c>
      <c r="I259" s="9">
        <v>2</v>
      </c>
      <c r="J259" s="43">
        <v>2</v>
      </c>
      <c r="K259" s="260">
        <f t="shared" si="4"/>
        <v>0.35859414261160716</v>
      </c>
      <c r="L259" s="163" t="s">
        <v>111</v>
      </c>
    </row>
    <row r="260" spans="1:12">
      <c r="A260" s="34" t="s">
        <v>109</v>
      </c>
      <c r="B260" s="336">
        <v>2013</v>
      </c>
      <c r="C260" s="59" t="s">
        <v>89</v>
      </c>
      <c r="D260" s="59">
        <v>191</v>
      </c>
      <c r="E260" s="493" t="s">
        <v>110</v>
      </c>
      <c r="F260" s="29">
        <v>1</v>
      </c>
      <c r="G260" s="9">
        <v>1</v>
      </c>
      <c r="H260" s="9">
        <v>1</v>
      </c>
      <c r="I260" s="9">
        <v>2</v>
      </c>
      <c r="J260" s="43">
        <v>2</v>
      </c>
      <c r="K260" s="260">
        <f t="shared" si="4"/>
        <v>0.35859414261160716</v>
      </c>
      <c r="L260" s="163" t="s">
        <v>111</v>
      </c>
    </row>
    <row r="261" spans="1:12">
      <c r="A261" s="34" t="s">
        <v>109</v>
      </c>
      <c r="B261" s="336">
        <v>2013</v>
      </c>
      <c r="C261" s="59" t="s">
        <v>90</v>
      </c>
      <c r="D261" s="59">
        <v>610</v>
      </c>
      <c r="E261" s="493" t="s">
        <v>110</v>
      </c>
      <c r="F261" s="29">
        <v>1</v>
      </c>
      <c r="G261" s="9">
        <v>1</v>
      </c>
      <c r="H261" s="9">
        <v>1</v>
      </c>
      <c r="I261" s="9">
        <v>2</v>
      </c>
      <c r="J261" s="43">
        <v>2</v>
      </c>
      <c r="K261" s="260">
        <f t="shared" si="4"/>
        <v>0.35859414261160716</v>
      </c>
      <c r="L261" s="163" t="s">
        <v>111</v>
      </c>
    </row>
    <row r="262" spans="1:12">
      <c r="A262" s="34" t="s">
        <v>109</v>
      </c>
      <c r="B262" s="336">
        <v>2013</v>
      </c>
      <c r="C262" s="59" t="s">
        <v>91</v>
      </c>
      <c r="D262" s="59">
        <v>343</v>
      </c>
      <c r="E262" s="493" t="s">
        <v>110</v>
      </c>
      <c r="F262" s="29">
        <v>1</v>
      </c>
      <c r="G262" s="9">
        <v>1</v>
      </c>
      <c r="H262" s="9">
        <v>1</v>
      </c>
      <c r="I262" s="9">
        <v>2</v>
      </c>
      <c r="J262" s="43">
        <v>2</v>
      </c>
      <c r="K262" s="260">
        <f t="shared" si="4"/>
        <v>0.35859414261160716</v>
      </c>
      <c r="L262" s="163" t="s">
        <v>111</v>
      </c>
    </row>
    <row r="263" spans="1:12">
      <c r="A263" s="34" t="s">
        <v>109</v>
      </c>
      <c r="B263" s="336">
        <v>2013</v>
      </c>
      <c r="C263" s="59" t="s">
        <v>94</v>
      </c>
      <c r="D263" s="59">
        <v>156</v>
      </c>
      <c r="E263" s="493" t="s">
        <v>110</v>
      </c>
      <c r="F263" s="29">
        <v>1</v>
      </c>
      <c r="G263" s="9">
        <v>1</v>
      </c>
      <c r="H263" s="9">
        <v>1</v>
      </c>
      <c r="I263" s="9">
        <v>2</v>
      </c>
      <c r="J263" s="43">
        <v>2</v>
      </c>
      <c r="K263" s="260">
        <f t="shared" si="4"/>
        <v>0.35859414261160716</v>
      </c>
      <c r="L263" s="163" t="s">
        <v>111</v>
      </c>
    </row>
    <row r="264" spans="1:12">
      <c r="A264" s="34" t="s">
        <v>109</v>
      </c>
      <c r="B264" s="336">
        <v>2013</v>
      </c>
      <c r="C264" s="59" t="s">
        <v>96</v>
      </c>
      <c r="D264" s="59">
        <v>337</v>
      </c>
      <c r="E264" s="493" t="s">
        <v>110</v>
      </c>
      <c r="F264" s="29">
        <v>1</v>
      </c>
      <c r="G264" s="9">
        <v>1</v>
      </c>
      <c r="H264" s="9">
        <v>1</v>
      </c>
      <c r="I264" s="9">
        <v>2</v>
      </c>
      <c r="J264" s="43">
        <v>2</v>
      </c>
      <c r="K264" s="260">
        <f t="shared" si="4"/>
        <v>0.35859414261160716</v>
      </c>
      <c r="L264" s="163" t="s">
        <v>111</v>
      </c>
    </row>
    <row r="265" spans="1:12">
      <c r="A265" s="34" t="s">
        <v>109</v>
      </c>
      <c r="B265" s="336">
        <v>2013</v>
      </c>
      <c r="C265" s="59" t="s">
        <v>97</v>
      </c>
      <c r="D265" s="59">
        <v>246</v>
      </c>
      <c r="E265" s="493" t="s">
        <v>110</v>
      </c>
      <c r="F265" s="29">
        <v>1</v>
      </c>
      <c r="G265" s="9">
        <v>1</v>
      </c>
      <c r="H265" s="9">
        <v>1</v>
      </c>
      <c r="I265" s="9">
        <v>2</v>
      </c>
      <c r="J265" s="43">
        <v>2</v>
      </c>
      <c r="K265" s="260">
        <f t="shared" si="4"/>
        <v>0.35859414261160716</v>
      </c>
      <c r="L265" s="163" t="s">
        <v>111</v>
      </c>
    </row>
    <row r="266" spans="1:12">
      <c r="A266" s="34" t="s">
        <v>109</v>
      </c>
      <c r="B266" s="336">
        <v>2013</v>
      </c>
      <c r="C266" s="59" t="s">
        <v>95</v>
      </c>
      <c r="D266" s="59">
        <v>248</v>
      </c>
      <c r="E266" s="493" t="s">
        <v>110</v>
      </c>
      <c r="F266" s="29">
        <v>1</v>
      </c>
      <c r="G266" s="9">
        <v>1</v>
      </c>
      <c r="H266" s="9">
        <v>1</v>
      </c>
      <c r="I266" s="9">
        <v>2</v>
      </c>
      <c r="J266" s="43">
        <v>2</v>
      </c>
      <c r="K266" s="260">
        <f t="shared" si="4"/>
        <v>0.35859414261160716</v>
      </c>
      <c r="L266" s="163" t="s">
        <v>111</v>
      </c>
    </row>
    <row r="267" spans="1:12">
      <c r="A267" s="34" t="s">
        <v>109</v>
      </c>
      <c r="B267" s="336">
        <v>2013</v>
      </c>
      <c r="C267" s="59" t="s">
        <v>93</v>
      </c>
      <c r="D267" s="59">
        <v>120</v>
      </c>
      <c r="E267" s="493" t="s">
        <v>110</v>
      </c>
      <c r="F267" s="29">
        <v>1</v>
      </c>
      <c r="G267" s="9">
        <v>1</v>
      </c>
      <c r="H267" s="9">
        <v>1</v>
      </c>
      <c r="I267" s="9">
        <v>2</v>
      </c>
      <c r="J267" s="43">
        <v>2</v>
      </c>
      <c r="K267" s="260">
        <f t="shared" si="4"/>
        <v>0.35859414261160716</v>
      </c>
      <c r="L267" s="163" t="s">
        <v>111</v>
      </c>
    </row>
    <row r="268" spans="1:12">
      <c r="A268" s="34" t="s">
        <v>109</v>
      </c>
      <c r="B268" s="336">
        <v>2013</v>
      </c>
      <c r="C268" s="59" t="s">
        <v>98</v>
      </c>
      <c r="D268" s="59">
        <v>2021</v>
      </c>
      <c r="E268" s="493" t="s">
        <v>110</v>
      </c>
      <c r="F268" s="29">
        <v>1</v>
      </c>
      <c r="G268" s="9">
        <v>1</v>
      </c>
      <c r="H268" s="9">
        <v>1</v>
      </c>
      <c r="I268" s="9">
        <v>2</v>
      </c>
      <c r="J268" s="43">
        <v>2</v>
      </c>
      <c r="K268" s="260">
        <f t="shared" si="4"/>
        <v>0.35859414261160716</v>
      </c>
      <c r="L268" s="163" t="s">
        <v>111</v>
      </c>
    </row>
    <row r="269" spans="1:12">
      <c r="A269" s="34" t="s">
        <v>109</v>
      </c>
      <c r="B269" s="336">
        <v>2014</v>
      </c>
      <c r="C269" s="59" t="s">
        <v>85</v>
      </c>
      <c r="D269" s="59">
        <v>1317</v>
      </c>
      <c r="E269" s="493" t="s">
        <v>110</v>
      </c>
      <c r="F269" s="29">
        <v>1</v>
      </c>
      <c r="G269" s="9">
        <v>1</v>
      </c>
      <c r="H269" s="9">
        <v>1</v>
      </c>
      <c r="I269" s="9">
        <v>2</v>
      </c>
      <c r="J269" s="43">
        <v>2</v>
      </c>
      <c r="K269" s="260">
        <f t="shared" si="4"/>
        <v>0.35859414261160716</v>
      </c>
      <c r="L269" s="163" t="s">
        <v>111</v>
      </c>
    </row>
    <row r="270" spans="1:12">
      <c r="A270" s="34" t="s">
        <v>109</v>
      </c>
      <c r="B270" s="336">
        <v>2014</v>
      </c>
      <c r="C270" s="59" t="s">
        <v>86</v>
      </c>
      <c r="D270" s="59">
        <v>290</v>
      </c>
      <c r="E270" s="493" t="s">
        <v>110</v>
      </c>
      <c r="F270" s="29">
        <v>1</v>
      </c>
      <c r="G270" s="9">
        <v>1</v>
      </c>
      <c r="H270" s="9">
        <v>1</v>
      </c>
      <c r="I270" s="9">
        <v>2</v>
      </c>
      <c r="J270" s="43">
        <v>2</v>
      </c>
      <c r="K270" s="260">
        <f t="shared" si="4"/>
        <v>0.35859414261160716</v>
      </c>
      <c r="L270" s="163" t="s">
        <v>111</v>
      </c>
    </row>
    <row r="271" spans="1:12">
      <c r="A271" s="34" t="s">
        <v>109</v>
      </c>
      <c r="B271" s="336">
        <v>2014</v>
      </c>
      <c r="C271" s="59" t="s">
        <v>87</v>
      </c>
      <c r="D271" s="59">
        <v>852</v>
      </c>
      <c r="E271" s="493" t="s">
        <v>110</v>
      </c>
      <c r="F271" s="29">
        <v>1</v>
      </c>
      <c r="G271" s="9">
        <v>1</v>
      </c>
      <c r="H271" s="9">
        <v>1</v>
      </c>
      <c r="I271" s="9">
        <v>2</v>
      </c>
      <c r="J271" s="43">
        <v>2</v>
      </c>
      <c r="K271" s="260">
        <f t="shared" si="4"/>
        <v>0.35859414261160716</v>
      </c>
      <c r="L271" s="163" t="s">
        <v>111</v>
      </c>
    </row>
    <row r="272" spans="1:12">
      <c r="A272" s="34" t="s">
        <v>109</v>
      </c>
      <c r="B272" s="336">
        <v>2014</v>
      </c>
      <c r="C272" s="59" t="s">
        <v>88</v>
      </c>
      <c r="D272" s="59">
        <v>4</v>
      </c>
      <c r="E272" s="493" t="s">
        <v>110</v>
      </c>
      <c r="F272" s="29">
        <v>1</v>
      </c>
      <c r="G272" s="9">
        <v>1</v>
      </c>
      <c r="H272" s="9">
        <v>1</v>
      </c>
      <c r="I272" s="9">
        <v>2</v>
      </c>
      <c r="J272" s="43">
        <v>2</v>
      </c>
      <c r="K272" s="260">
        <f t="shared" si="4"/>
        <v>0.35859414261160716</v>
      </c>
      <c r="L272" s="163" t="s">
        <v>111</v>
      </c>
    </row>
    <row r="273" spans="1:12">
      <c r="A273" s="34" t="s">
        <v>109</v>
      </c>
      <c r="B273" s="336">
        <v>2014</v>
      </c>
      <c r="C273" s="59" t="s">
        <v>89</v>
      </c>
      <c r="D273" s="59">
        <v>191</v>
      </c>
      <c r="E273" s="493" t="s">
        <v>110</v>
      </c>
      <c r="F273" s="29">
        <v>1</v>
      </c>
      <c r="G273" s="9">
        <v>1</v>
      </c>
      <c r="H273" s="9">
        <v>1</v>
      </c>
      <c r="I273" s="9">
        <v>2</v>
      </c>
      <c r="J273" s="43">
        <v>2</v>
      </c>
      <c r="K273" s="260">
        <f t="shared" si="4"/>
        <v>0.35859414261160716</v>
      </c>
      <c r="L273" s="163" t="s">
        <v>111</v>
      </c>
    </row>
    <row r="274" spans="1:12">
      <c r="A274" s="34" t="s">
        <v>109</v>
      </c>
      <c r="B274" s="336">
        <v>2014</v>
      </c>
      <c r="C274" s="59" t="s">
        <v>90</v>
      </c>
      <c r="D274" s="59">
        <v>610</v>
      </c>
      <c r="E274" s="493" t="s">
        <v>110</v>
      </c>
      <c r="F274" s="29">
        <v>1</v>
      </c>
      <c r="G274" s="9">
        <v>1</v>
      </c>
      <c r="H274" s="9">
        <v>1</v>
      </c>
      <c r="I274" s="9">
        <v>2</v>
      </c>
      <c r="J274" s="43">
        <v>2</v>
      </c>
      <c r="K274" s="260">
        <f t="shared" si="4"/>
        <v>0.35859414261160716</v>
      </c>
      <c r="L274" s="163" t="s">
        <v>111</v>
      </c>
    </row>
    <row r="275" spans="1:12">
      <c r="A275" s="34" t="s">
        <v>109</v>
      </c>
      <c r="B275" s="336">
        <v>2014</v>
      </c>
      <c r="C275" s="59" t="s">
        <v>91</v>
      </c>
      <c r="D275" s="59">
        <v>359</v>
      </c>
      <c r="E275" s="493" t="s">
        <v>110</v>
      </c>
      <c r="F275" s="29">
        <v>1</v>
      </c>
      <c r="G275" s="9">
        <v>1</v>
      </c>
      <c r="H275" s="9">
        <v>1</v>
      </c>
      <c r="I275" s="9">
        <v>2</v>
      </c>
      <c r="J275" s="43">
        <v>2</v>
      </c>
      <c r="K275" s="260">
        <f t="shared" si="4"/>
        <v>0.35859414261160716</v>
      </c>
      <c r="L275" s="163" t="s">
        <v>111</v>
      </c>
    </row>
    <row r="276" spans="1:12">
      <c r="A276" s="34" t="s">
        <v>109</v>
      </c>
      <c r="B276" s="336">
        <v>2014</v>
      </c>
      <c r="C276" s="59" t="s">
        <v>94</v>
      </c>
      <c r="D276" s="59">
        <v>137</v>
      </c>
      <c r="E276" s="493" t="s">
        <v>110</v>
      </c>
      <c r="F276" s="29">
        <v>1</v>
      </c>
      <c r="G276" s="9">
        <v>1</v>
      </c>
      <c r="H276" s="9">
        <v>1</v>
      </c>
      <c r="I276" s="9">
        <v>2</v>
      </c>
      <c r="J276" s="43">
        <v>2</v>
      </c>
      <c r="K276" s="260">
        <f t="shared" si="4"/>
        <v>0.35859414261160716</v>
      </c>
      <c r="L276" s="163" t="s">
        <v>111</v>
      </c>
    </row>
    <row r="277" spans="1:12">
      <c r="A277" s="34" t="s">
        <v>109</v>
      </c>
      <c r="B277" s="336">
        <v>2014</v>
      </c>
      <c r="C277" s="59" t="s">
        <v>96</v>
      </c>
      <c r="D277" s="59">
        <v>337</v>
      </c>
      <c r="E277" s="493" t="s">
        <v>110</v>
      </c>
      <c r="F277" s="29">
        <v>1</v>
      </c>
      <c r="G277" s="9">
        <v>1</v>
      </c>
      <c r="H277" s="9">
        <v>1</v>
      </c>
      <c r="I277" s="9">
        <v>2</v>
      </c>
      <c r="J277" s="43">
        <v>2</v>
      </c>
      <c r="K277" s="260">
        <f t="shared" si="4"/>
        <v>0.35859414261160716</v>
      </c>
      <c r="L277" s="163" t="s">
        <v>111</v>
      </c>
    </row>
    <row r="278" spans="1:12">
      <c r="A278" s="34" t="s">
        <v>109</v>
      </c>
      <c r="B278" s="336">
        <v>2014</v>
      </c>
      <c r="C278" s="59" t="s">
        <v>97</v>
      </c>
      <c r="D278" s="59">
        <v>249</v>
      </c>
      <c r="E278" s="493" t="s">
        <v>110</v>
      </c>
      <c r="F278" s="29">
        <v>1</v>
      </c>
      <c r="G278" s="9">
        <v>1</v>
      </c>
      <c r="H278" s="9">
        <v>1</v>
      </c>
      <c r="I278" s="9">
        <v>2</v>
      </c>
      <c r="J278" s="43">
        <v>2</v>
      </c>
      <c r="K278" s="260">
        <f t="shared" si="4"/>
        <v>0.35859414261160716</v>
      </c>
      <c r="L278" s="163" t="s">
        <v>111</v>
      </c>
    </row>
    <row r="279" spans="1:12">
      <c r="A279" s="34" t="s">
        <v>109</v>
      </c>
      <c r="B279" s="336">
        <v>2014</v>
      </c>
      <c r="C279" s="59" t="s">
        <v>95</v>
      </c>
      <c r="D279" s="59">
        <v>254</v>
      </c>
      <c r="E279" s="493" t="s">
        <v>110</v>
      </c>
      <c r="F279" s="29">
        <v>1</v>
      </c>
      <c r="G279" s="9">
        <v>1</v>
      </c>
      <c r="H279" s="9">
        <v>1</v>
      </c>
      <c r="I279" s="9">
        <v>2</v>
      </c>
      <c r="J279" s="43">
        <v>2</v>
      </c>
      <c r="K279" s="260">
        <f t="shared" si="4"/>
        <v>0.35859414261160716</v>
      </c>
      <c r="L279" s="163" t="s">
        <v>111</v>
      </c>
    </row>
    <row r="280" spans="1:12">
      <c r="A280" s="34" t="s">
        <v>109</v>
      </c>
      <c r="B280" s="336">
        <v>2014</v>
      </c>
      <c r="C280" s="59" t="s">
        <v>93</v>
      </c>
      <c r="D280" s="59">
        <v>102</v>
      </c>
      <c r="E280" s="493" t="s">
        <v>110</v>
      </c>
      <c r="F280" s="29">
        <v>1</v>
      </c>
      <c r="G280" s="9">
        <v>1</v>
      </c>
      <c r="H280" s="9">
        <v>1</v>
      </c>
      <c r="I280" s="9">
        <v>2</v>
      </c>
      <c r="J280" s="43">
        <v>2</v>
      </c>
      <c r="K280" s="260">
        <f t="shared" si="4"/>
        <v>0.35859414261160716</v>
      </c>
      <c r="L280" s="163" t="s">
        <v>111</v>
      </c>
    </row>
    <row r="281" spans="1:12">
      <c r="A281" s="34" t="s">
        <v>109</v>
      </c>
      <c r="B281" s="336">
        <v>2014</v>
      </c>
      <c r="C281" s="59" t="s">
        <v>98</v>
      </c>
      <c r="D281" s="59">
        <v>2236</v>
      </c>
      <c r="E281" s="493" t="s">
        <v>110</v>
      </c>
      <c r="F281" s="29">
        <v>1</v>
      </c>
      <c r="G281" s="9">
        <v>1</v>
      </c>
      <c r="H281" s="9">
        <v>1</v>
      </c>
      <c r="I281" s="9">
        <v>2</v>
      </c>
      <c r="J281" s="43">
        <v>2</v>
      </c>
      <c r="K281" s="260">
        <f t="shared" si="4"/>
        <v>0.35859414261160716</v>
      </c>
      <c r="L281" s="163" t="s">
        <v>111</v>
      </c>
    </row>
    <row r="282" spans="1:12">
      <c r="A282" s="34" t="s">
        <v>109</v>
      </c>
      <c r="B282" s="336">
        <v>2015</v>
      </c>
      <c r="C282" s="59" t="s">
        <v>85</v>
      </c>
      <c r="D282" s="59">
        <v>1455</v>
      </c>
      <c r="E282" s="493" t="s">
        <v>110</v>
      </c>
      <c r="F282" s="29">
        <v>1</v>
      </c>
      <c r="G282" s="9">
        <v>1</v>
      </c>
      <c r="H282" s="9">
        <v>1</v>
      </c>
      <c r="I282" s="9">
        <v>2</v>
      </c>
      <c r="J282" s="43">
        <v>2</v>
      </c>
      <c r="K282" s="260">
        <f t="shared" si="4"/>
        <v>0.35859414261160716</v>
      </c>
      <c r="L282" s="163" t="s">
        <v>111</v>
      </c>
    </row>
    <row r="283" spans="1:12">
      <c r="A283" s="34" t="s">
        <v>109</v>
      </c>
      <c r="B283" s="336">
        <v>2015</v>
      </c>
      <c r="C283" s="59" t="s">
        <v>86</v>
      </c>
      <c r="D283" s="59">
        <v>290</v>
      </c>
      <c r="E283" s="493" t="s">
        <v>110</v>
      </c>
      <c r="F283" s="29">
        <v>1</v>
      </c>
      <c r="G283" s="9">
        <v>1</v>
      </c>
      <c r="H283" s="9">
        <v>1</v>
      </c>
      <c r="I283" s="9">
        <v>2</v>
      </c>
      <c r="J283" s="43">
        <v>2</v>
      </c>
      <c r="K283" s="260">
        <f t="shared" si="4"/>
        <v>0.35859414261160716</v>
      </c>
      <c r="L283" s="163" t="s">
        <v>111</v>
      </c>
    </row>
    <row r="284" spans="1:12">
      <c r="A284" s="34" t="s">
        <v>109</v>
      </c>
      <c r="B284" s="336">
        <v>2015</v>
      </c>
      <c r="C284" s="59" t="s">
        <v>87</v>
      </c>
      <c r="D284" s="59">
        <v>852</v>
      </c>
      <c r="E284" s="493" t="s">
        <v>110</v>
      </c>
      <c r="F284" s="29">
        <v>1</v>
      </c>
      <c r="G284" s="9">
        <v>1</v>
      </c>
      <c r="H284" s="9">
        <v>1</v>
      </c>
      <c r="I284" s="9">
        <v>2</v>
      </c>
      <c r="J284" s="43">
        <v>2</v>
      </c>
      <c r="K284" s="260">
        <f t="shared" si="4"/>
        <v>0.35859414261160716</v>
      </c>
      <c r="L284" s="163" t="s">
        <v>111</v>
      </c>
    </row>
    <row r="285" spans="1:12">
      <c r="A285" s="34" t="s">
        <v>109</v>
      </c>
      <c r="B285" s="336">
        <v>2015</v>
      </c>
      <c r="C285" s="59" t="s">
        <v>88</v>
      </c>
      <c r="D285" s="59">
        <v>4</v>
      </c>
      <c r="E285" s="493" t="s">
        <v>110</v>
      </c>
      <c r="F285" s="29">
        <v>1</v>
      </c>
      <c r="G285" s="9">
        <v>1</v>
      </c>
      <c r="H285" s="9">
        <v>1</v>
      </c>
      <c r="I285" s="9">
        <v>2</v>
      </c>
      <c r="J285" s="43">
        <v>2</v>
      </c>
      <c r="K285" s="260">
        <f t="shared" si="4"/>
        <v>0.35859414261160716</v>
      </c>
      <c r="L285" s="163" t="s">
        <v>111</v>
      </c>
    </row>
    <row r="286" spans="1:12">
      <c r="A286" s="34" t="s">
        <v>109</v>
      </c>
      <c r="B286" s="336">
        <v>2015</v>
      </c>
      <c r="C286" s="59" t="s">
        <v>89</v>
      </c>
      <c r="D286" s="59">
        <v>191</v>
      </c>
      <c r="E286" s="493" t="s">
        <v>110</v>
      </c>
      <c r="F286" s="29">
        <v>1</v>
      </c>
      <c r="G286" s="9">
        <v>1</v>
      </c>
      <c r="H286" s="9">
        <v>1</v>
      </c>
      <c r="I286" s="9">
        <v>2</v>
      </c>
      <c r="J286" s="43">
        <v>2</v>
      </c>
      <c r="K286" s="260">
        <f t="shared" si="4"/>
        <v>0.35859414261160716</v>
      </c>
      <c r="L286" s="163" t="s">
        <v>111</v>
      </c>
    </row>
    <row r="287" spans="1:12">
      <c r="A287" s="34" t="s">
        <v>109</v>
      </c>
      <c r="B287" s="336">
        <v>2015</v>
      </c>
      <c r="C287" s="59" t="s">
        <v>90</v>
      </c>
      <c r="D287" s="59">
        <v>610</v>
      </c>
      <c r="E287" s="493" t="s">
        <v>110</v>
      </c>
      <c r="F287" s="29">
        <v>1</v>
      </c>
      <c r="G287" s="9">
        <v>1</v>
      </c>
      <c r="H287" s="9">
        <v>1</v>
      </c>
      <c r="I287" s="9">
        <v>2</v>
      </c>
      <c r="J287" s="43">
        <v>2</v>
      </c>
      <c r="K287" s="260">
        <f t="shared" si="4"/>
        <v>0.35859414261160716</v>
      </c>
      <c r="L287" s="163" t="s">
        <v>111</v>
      </c>
    </row>
    <row r="288" spans="1:12">
      <c r="A288" s="34" t="s">
        <v>109</v>
      </c>
      <c r="B288" s="336">
        <v>2015</v>
      </c>
      <c r="C288" s="59" t="s">
        <v>91</v>
      </c>
      <c r="D288" s="59">
        <v>421</v>
      </c>
      <c r="E288" s="493" t="s">
        <v>110</v>
      </c>
      <c r="F288" s="29">
        <v>1</v>
      </c>
      <c r="G288" s="9">
        <v>1</v>
      </c>
      <c r="H288" s="9">
        <v>1</v>
      </c>
      <c r="I288" s="9">
        <v>2</v>
      </c>
      <c r="J288" s="43">
        <v>2</v>
      </c>
      <c r="K288" s="260">
        <f t="shared" si="4"/>
        <v>0.35859414261160716</v>
      </c>
      <c r="L288" s="163" t="s">
        <v>111</v>
      </c>
    </row>
    <row r="289" spans="1:12">
      <c r="A289" s="34" t="s">
        <v>109</v>
      </c>
      <c r="B289" s="336">
        <v>2015</v>
      </c>
      <c r="C289" s="59" t="s">
        <v>94</v>
      </c>
      <c r="D289" s="59">
        <v>159</v>
      </c>
      <c r="E289" s="493" t="s">
        <v>110</v>
      </c>
      <c r="F289" s="29">
        <v>1</v>
      </c>
      <c r="G289" s="9">
        <v>1</v>
      </c>
      <c r="H289" s="9">
        <v>1</v>
      </c>
      <c r="I289" s="9">
        <v>2</v>
      </c>
      <c r="J289" s="43">
        <v>2</v>
      </c>
      <c r="K289" s="260">
        <f t="shared" si="4"/>
        <v>0.35859414261160716</v>
      </c>
      <c r="L289" s="163" t="s">
        <v>111</v>
      </c>
    </row>
    <row r="290" spans="1:12">
      <c r="A290" s="34" t="s">
        <v>109</v>
      </c>
      <c r="B290" s="336">
        <v>2015</v>
      </c>
      <c r="C290" s="59" t="s">
        <v>96</v>
      </c>
      <c r="D290" s="59">
        <v>337</v>
      </c>
      <c r="E290" s="493" t="s">
        <v>110</v>
      </c>
      <c r="F290" s="29">
        <v>1</v>
      </c>
      <c r="G290" s="9">
        <v>1</v>
      </c>
      <c r="H290" s="9">
        <v>1</v>
      </c>
      <c r="I290" s="9">
        <v>2</v>
      </c>
      <c r="J290" s="43">
        <v>2</v>
      </c>
      <c r="K290" s="260">
        <f t="shared" si="4"/>
        <v>0.35859414261160716</v>
      </c>
      <c r="L290" s="163" t="s">
        <v>111</v>
      </c>
    </row>
    <row r="291" spans="1:12">
      <c r="A291" s="34" t="s">
        <v>109</v>
      </c>
      <c r="B291" s="336">
        <v>2015</v>
      </c>
      <c r="C291" s="59" t="s">
        <v>97</v>
      </c>
      <c r="D291" s="59">
        <v>280</v>
      </c>
      <c r="E291" s="493" t="s">
        <v>110</v>
      </c>
      <c r="F291" s="29">
        <v>1</v>
      </c>
      <c r="G291" s="9">
        <v>1</v>
      </c>
      <c r="H291" s="9">
        <v>1</v>
      </c>
      <c r="I291" s="9">
        <v>2</v>
      </c>
      <c r="J291" s="43">
        <v>2</v>
      </c>
      <c r="K291" s="260">
        <f t="shared" si="4"/>
        <v>0.35859414261160716</v>
      </c>
      <c r="L291" s="163" t="s">
        <v>111</v>
      </c>
    </row>
    <row r="292" spans="1:12">
      <c r="A292" s="34" t="s">
        <v>109</v>
      </c>
      <c r="B292" s="336">
        <v>2015</v>
      </c>
      <c r="C292" s="59" t="s">
        <v>95</v>
      </c>
      <c r="D292" s="59">
        <v>270</v>
      </c>
      <c r="E292" s="493" t="s">
        <v>110</v>
      </c>
      <c r="F292" s="29">
        <v>1</v>
      </c>
      <c r="G292" s="9">
        <v>1</v>
      </c>
      <c r="H292" s="9">
        <v>1</v>
      </c>
      <c r="I292" s="9">
        <v>2</v>
      </c>
      <c r="J292" s="43">
        <v>2</v>
      </c>
      <c r="K292" s="260">
        <f t="shared" si="4"/>
        <v>0.35859414261160716</v>
      </c>
      <c r="L292" s="163" t="s">
        <v>111</v>
      </c>
    </row>
    <row r="293" spans="1:12">
      <c r="A293" s="34" t="s">
        <v>109</v>
      </c>
      <c r="B293" s="336">
        <v>2015</v>
      </c>
      <c r="C293" s="59" t="s">
        <v>93</v>
      </c>
      <c r="D293" s="59">
        <v>116</v>
      </c>
      <c r="E293" s="493" t="s">
        <v>110</v>
      </c>
      <c r="F293" s="29">
        <v>1</v>
      </c>
      <c r="G293" s="9">
        <v>1</v>
      </c>
      <c r="H293" s="9">
        <v>1</v>
      </c>
      <c r="I293" s="9">
        <v>2</v>
      </c>
      <c r="J293" s="43">
        <v>2</v>
      </c>
      <c r="K293" s="260">
        <f t="shared" si="4"/>
        <v>0.35859414261160716</v>
      </c>
      <c r="L293" s="163" t="s">
        <v>111</v>
      </c>
    </row>
    <row r="294" spans="1:12">
      <c r="A294" s="34" t="s">
        <v>109</v>
      </c>
      <c r="B294" s="336">
        <v>2015</v>
      </c>
      <c r="C294" s="59" t="s">
        <v>98</v>
      </c>
      <c r="D294" s="59">
        <v>2411</v>
      </c>
      <c r="E294" s="493" t="s">
        <v>110</v>
      </c>
      <c r="F294" s="29">
        <v>1</v>
      </c>
      <c r="G294" s="9">
        <v>1</v>
      </c>
      <c r="H294" s="9">
        <v>1</v>
      </c>
      <c r="I294" s="9">
        <v>2</v>
      </c>
      <c r="J294" s="43">
        <v>2</v>
      </c>
      <c r="K294" s="260">
        <f t="shared" si="4"/>
        <v>0.35859414261160716</v>
      </c>
      <c r="L294" s="163" t="s">
        <v>111</v>
      </c>
    </row>
    <row r="295" spans="1:12">
      <c r="A295" s="34" t="s">
        <v>109</v>
      </c>
      <c r="B295" s="336">
        <v>2016</v>
      </c>
      <c r="C295" s="59" t="s">
        <v>85</v>
      </c>
      <c r="D295" s="59">
        <v>1633</v>
      </c>
      <c r="E295" s="493" t="s">
        <v>110</v>
      </c>
      <c r="F295" s="29">
        <v>1</v>
      </c>
      <c r="G295" s="9">
        <v>1</v>
      </c>
      <c r="H295" s="9">
        <v>1</v>
      </c>
      <c r="I295" s="9">
        <v>2</v>
      </c>
      <c r="J295" s="43">
        <v>2</v>
      </c>
      <c r="K295" s="260">
        <f t="shared" si="4"/>
        <v>0.35859414261160716</v>
      </c>
      <c r="L295" s="163" t="s">
        <v>111</v>
      </c>
    </row>
    <row r="296" spans="1:12">
      <c r="A296" s="34" t="s">
        <v>109</v>
      </c>
      <c r="B296" s="336">
        <v>2016</v>
      </c>
      <c r="C296" s="59" t="s">
        <v>86</v>
      </c>
      <c r="D296" s="59">
        <v>290</v>
      </c>
      <c r="E296" s="493" t="s">
        <v>110</v>
      </c>
      <c r="F296" s="29">
        <v>1</v>
      </c>
      <c r="G296" s="9">
        <v>1</v>
      </c>
      <c r="H296" s="9">
        <v>1</v>
      </c>
      <c r="I296" s="9">
        <v>2</v>
      </c>
      <c r="J296" s="43">
        <v>2</v>
      </c>
      <c r="K296" s="260">
        <f t="shared" si="4"/>
        <v>0.35859414261160716</v>
      </c>
      <c r="L296" s="163" t="s">
        <v>111</v>
      </c>
    </row>
    <row r="297" spans="1:12">
      <c r="A297" s="34" t="s">
        <v>109</v>
      </c>
      <c r="B297" s="336">
        <v>2016</v>
      </c>
      <c r="C297" s="59" t="s">
        <v>87</v>
      </c>
      <c r="D297" s="59">
        <v>852</v>
      </c>
      <c r="E297" s="493" t="s">
        <v>110</v>
      </c>
      <c r="F297" s="29">
        <v>1</v>
      </c>
      <c r="G297" s="9">
        <v>1</v>
      </c>
      <c r="H297" s="9">
        <v>1</v>
      </c>
      <c r="I297" s="9">
        <v>2</v>
      </c>
      <c r="J297" s="43">
        <v>2</v>
      </c>
      <c r="K297" s="260">
        <f t="shared" si="4"/>
        <v>0.35859414261160716</v>
      </c>
      <c r="L297" s="163" t="s">
        <v>111</v>
      </c>
    </row>
    <row r="298" spans="1:12">
      <c r="A298" s="34" t="s">
        <v>109</v>
      </c>
      <c r="B298" s="336">
        <v>2016</v>
      </c>
      <c r="C298" s="59" t="s">
        <v>88</v>
      </c>
      <c r="D298" s="59">
        <v>4</v>
      </c>
      <c r="E298" s="493" t="s">
        <v>110</v>
      </c>
      <c r="F298" s="29">
        <v>1</v>
      </c>
      <c r="G298" s="9">
        <v>1</v>
      </c>
      <c r="H298" s="9">
        <v>1</v>
      </c>
      <c r="I298" s="9">
        <v>2</v>
      </c>
      <c r="J298" s="43">
        <v>2</v>
      </c>
      <c r="K298" s="260">
        <f t="shared" si="4"/>
        <v>0.35859414261160716</v>
      </c>
      <c r="L298" s="163" t="s">
        <v>111</v>
      </c>
    </row>
    <row r="299" spans="1:12">
      <c r="A299" s="34" t="s">
        <v>109</v>
      </c>
      <c r="B299" s="336">
        <v>2016</v>
      </c>
      <c r="C299" s="59" t="s">
        <v>89</v>
      </c>
      <c r="D299" s="59">
        <v>185</v>
      </c>
      <c r="E299" s="493" t="s">
        <v>110</v>
      </c>
      <c r="F299" s="29">
        <v>1</v>
      </c>
      <c r="G299" s="9">
        <v>1</v>
      </c>
      <c r="H299" s="9">
        <v>1</v>
      </c>
      <c r="I299" s="9">
        <v>2</v>
      </c>
      <c r="J299" s="43">
        <v>2</v>
      </c>
      <c r="K299" s="260">
        <f t="shared" si="4"/>
        <v>0.35859414261160716</v>
      </c>
      <c r="L299" s="163" t="s">
        <v>111</v>
      </c>
    </row>
    <row r="300" spans="1:12">
      <c r="A300" s="34" t="s">
        <v>109</v>
      </c>
      <c r="B300" s="336">
        <v>2016</v>
      </c>
      <c r="C300" s="59" t="s">
        <v>90</v>
      </c>
      <c r="D300" s="59">
        <v>610</v>
      </c>
      <c r="E300" s="493" t="s">
        <v>110</v>
      </c>
      <c r="F300" s="29">
        <v>1</v>
      </c>
      <c r="G300" s="9">
        <v>1</v>
      </c>
      <c r="H300" s="9">
        <v>1</v>
      </c>
      <c r="I300" s="9">
        <v>2</v>
      </c>
      <c r="J300" s="43">
        <v>2</v>
      </c>
      <c r="K300" s="260">
        <f t="shared" si="4"/>
        <v>0.35859414261160716</v>
      </c>
      <c r="L300" s="163" t="s">
        <v>111</v>
      </c>
    </row>
    <row r="301" spans="1:12">
      <c r="A301" s="34" t="s">
        <v>109</v>
      </c>
      <c r="B301" s="336">
        <v>2016</v>
      </c>
      <c r="C301" s="59" t="s">
        <v>91</v>
      </c>
      <c r="D301" s="59">
        <v>386</v>
      </c>
      <c r="E301" s="493" t="s">
        <v>110</v>
      </c>
      <c r="F301" s="29">
        <v>1</v>
      </c>
      <c r="G301" s="9">
        <v>1</v>
      </c>
      <c r="H301" s="9">
        <v>1</v>
      </c>
      <c r="I301" s="9">
        <v>2</v>
      </c>
      <c r="J301" s="43">
        <v>2</v>
      </c>
      <c r="K301" s="260">
        <f t="shared" si="4"/>
        <v>0.35859414261160716</v>
      </c>
      <c r="L301" s="163" t="s">
        <v>111</v>
      </c>
    </row>
    <row r="302" spans="1:12">
      <c r="A302" s="34" t="s">
        <v>109</v>
      </c>
      <c r="B302" s="336">
        <v>2016</v>
      </c>
      <c r="C302" s="59" t="s">
        <v>94</v>
      </c>
      <c r="D302" s="59">
        <v>155</v>
      </c>
      <c r="E302" s="493" t="s">
        <v>110</v>
      </c>
      <c r="F302" s="29">
        <v>1</v>
      </c>
      <c r="G302" s="9">
        <v>1</v>
      </c>
      <c r="H302" s="9">
        <v>1</v>
      </c>
      <c r="I302" s="9">
        <v>2</v>
      </c>
      <c r="J302" s="43">
        <v>2</v>
      </c>
      <c r="K302" s="260">
        <f t="shared" si="4"/>
        <v>0.35859414261160716</v>
      </c>
      <c r="L302" s="163" t="s">
        <v>111</v>
      </c>
    </row>
    <row r="303" spans="1:12">
      <c r="A303" s="34" t="s">
        <v>109</v>
      </c>
      <c r="B303" s="336">
        <v>2016</v>
      </c>
      <c r="C303" s="59" t="s">
        <v>96</v>
      </c>
      <c r="D303" s="59">
        <v>337</v>
      </c>
      <c r="E303" s="493" t="s">
        <v>110</v>
      </c>
      <c r="F303" s="29">
        <v>1</v>
      </c>
      <c r="G303" s="9">
        <v>1</v>
      </c>
      <c r="H303" s="9">
        <v>1</v>
      </c>
      <c r="I303" s="9">
        <v>2</v>
      </c>
      <c r="J303" s="43">
        <v>2</v>
      </c>
      <c r="K303" s="260">
        <f t="shared" si="4"/>
        <v>0.35859414261160716</v>
      </c>
      <c r="L303" s="163" t="s">
        <v>111</v>
      </c>
    </row>
    <row r="304" spans="1:12">
      <c r="A304" s="34" t="s">
        <v>109</v>
      </c>
      <c r="B304" s="336">
        <v>2016</v>
      </c>
      <c r="C304" s="59" t="s">
        <v>97</v>
      </c>
      <c r="D304" s="59">
        <v>373</v>
      </c>
      <c r="E304" s="493" t="s">
        <v>110</v>
      </c>
      <c r="F304" s="29">
        <v>1</v>
      </c>
      <c r="G304" s="9">
        <v>1</v>
      </c>
      <c r="H304" s="9">
        <v>1</v>
      </c>
      <c r="I304" s="9">
        <v>2</v>
      </c>
      <c r="J304" s="43">
        <v>2</v>
      </c>
      <c r="K304" s="260">
        <f t="shared" si="4"/>
        <v>0.35859414261160716</v>
      </c>
      <c r="L304" s="163" t="s">
        <v>111</v>
      </c>
    </row>
    <row r="305" spans="1:12">
      <c r="A305" s="34" t="s">
        <v>109</v>
      </c>
      <c r="B305" s="336">
        <v>2016</v>
      </c>
      <c r="C305" s="59" t="s">
        <v>95</v>
      </c>
      <c r="D305" s="59">
        <v>258</v>
      </c>
      <c r="E305" s="493" t="s">
        <v>110</v>
      </c>
      <c r="F305" s="29">
        <v>1</v>
      </c>
      <c r="G305" s="9">
        <v>1</v>
      </c>
      <c r="H305" s="9">
        <v>1</v>
      </c>
      <c r="I305" s="9">
        <v>2</v>
      </c>
      <c r="J305" s="43">
        <v>2</v>
      </c>
      <c r="K305" s="260">
        <f t="shared" si="4"/>
        <v>0.35859414261160716</v>
      </c>
      <c r="L305" s="163" t="s">
        <v>111</v>
      </c>
    </row>
    <row r="306" spans="1:12">
      <c r="A306" s="34" t="s">
        <v>109</v>
      </c>
      <c r="B306" s="336">
        <v>2016</v>
      </c>
      <c r="C306" s="59" t="s">
        <v>93</v>
      </c>
      <c r="D306" s="59">
        <v>121</v>
      </c>
      <c r="E306" s="493" t="s">
        <v>110</v>
      </c>
      <c r="F306" s="29">
        <v>1</v>
      </c>
      <c r="G306" s="9">
        <v>1</v>
      </c>
      <c r="H306" s="9">
        <v>1</v>
      </c>
      <c r="I306" s="9">
        <v>2</v>
      </c>
      <c r="J306" s="43">
        <v>2</v>
      </c>
      <c r="K306" s="260">
        <f t="shared" si="4"/>
        <v>0.35859414261160716</v>
      </c>
      <c r="L306" s="163" t="s">
        <v>111</v>
      </c>
    </row>
    <row r="307" spans="1:12">
      <c r="A307" s="34" t="s">
        <v>109</v>
      </c>
      <c r="B307" s="336">
        <v>2016</v>
      </c>
      <c r="C307" s="59" t="s">
        <v>98</v>
      </c>
      <c r="D307" s="59">
        <v>2513</v>
      </c>
      <c r="E307" s="493" t="s">
        <v>110</v>
      </c>
      <c r="F307" s="29">
        <v>1</v>
      </c>
      <c r="G307" s="9">
        <v>1</v>
      </c>
      <c r="H307" s="9">
        <v>1</v>
      </c>
      <c r="I307" s="9">
        <v>2</v>
      </c>
      <c r="J307" s="43">
        <v>2</v>
      </c>
      <c r="K307" s="260">
        <f t="shared" si="4"/>
        <v>0.35859414261160716</v>
      </c>
      <c r="L307" s="163" t="s">
        <v>111</v>
      </c>
    </row>
    <row r="308" spans="1:12">
      <c r="A308" s="34" t="s">
        <v>109</v>
      </c>
      <c r="B308" s="336">
        <v>2017</v>
      </c>
      <c r="C308" s="59" t="s">
        <v>85</v>
      </c>
      <c r="D308" s="59">
        <v>786</v>
      </c>
      <c r="E308" s="493" t="s">
        <v>110</v>
      </c>
      <c r="F308" s="29">
        <v>1</v>
      </c>
      <c r="G308" s="9">
        <v>1</v>
      </c>
      <c r="H308" s="9">
        <v>1</v>
      </c>
      <c r="I308" s="9">
        <v>2</v>
      </c>
      <c r="J308" s="43">
        <v>2</v>
      </c>
      <c r="K308" s="260">
        <f t="shared" si="4"/>
        <v>0.35859414261160716</v>
      </c>
      <c r="L308" s="163" t="s">
        <v>111</v>
      </c>
    </row>
    <row r="309" spans="1:12">
      <c r="A309" s="34" t="s">
        <v>109</v>
      </c>
      <c r="B309" s="336">
        <v>2017</v>
      </c>
      <c r="C309" s="59" t="s">
        <v>86</v>
      </c>
      <c r="D309" s="59">
        <v>290</v>
      </c>
      <c r="E309" s="493" t="s">
        <v>110</v>
      </c>
      <c r="F309" s="29">
        <v>1</v>
      </c>
      <c r="G309" s="9">
        <v>1</v>
      </c>
      <c r="H309" s="9">
        <v>1</v>
      </c>
      <c r="I309" s="9">
        <v>2</v>
      </c>
      <c r="J309" s="43">
        <v>2</v>
      </c>
      <c r="K309" s="260">
        <f t="shared" si="4"/>
        <v>0.35859414261160716</v>
      </c>
      <c r="L309" s="163" t="s">
        <v>111</v>
      </c>
    </row>
    <row r="310" spans="1:12">
      <c r="A310" s="34" t="s">
        <v>109</v>
      </c>
      <c r="B310" s="336">
        <v>2017</v>
      </c>
      <c r="C310" s="59" t="s">
        <v>87</v>
      </c>
      <c r="D310" s="59">
        <v>852</v>
      </c>
      <c r="E310" s="493" t="s">
        <v>110</v>
      </c>
      <c r="F310" s="29">
        <v>1</v>
      </c>
      <c r="G310" s="9">
        <v>1</v>
      </c>
      <c r="H310" s="9">
        <v>1</v>
      </c>
      <c r="I310" s="9">
        <v>2</v>
      </c>
      <c r="J310" s="43">
        <v>2</v>
      </c>
      <c r="K310" s="260">
        <f t="shared" si="4"/>
        <v>0.35859414261160716</v>
      </c>
      <c r="L310" s="163" t="s">
        <v>111</v>
      </c>
    </row>
    <row r="311" spans="1:12">
      <c r="A311" s="34" t="s">
        <v>109</v>
      </c>
      <c r="B311" s="336">
        <v>2017</v>
      </c>
      <c r="C311" s="59" t="s">
        <v>88</v>
      </c>
      <c r="D311" s="59">
        <v>4</v>
      </c>
      <c r="E311" s="493" t="s">
        <v>110</v>
      </c>
      <c r="F311" s="29">
        <v>1</v>
      </c>
      <c r="G311" s="9">
        <v>1</v>
      </c>
      <c r="H311" s="9">
        <v>1</v>
      </c>
      <c r="I311" s="9">
        <v>2</v>
      </c>
      <c r="J311" s="43">
        <v>2</v>
      </c>
      <c r="K311" s="260">
        <f t="shared" si="4"/>
        <v>0.35859414261160716</v>
      </c>
      <c r="L311" s="163" t="s">
        <v>111</v>
      </c>
    </row>
    <row r="312" spans="1:12">
      <c r="A312" s="34" t="s">
        <v>109</v>
      </c>
      <c r="B312" s="336">
        <v>2017</v>
      </c>
      <c r="C312" s="59" t="s">
        <v>89</v>
      </c>
      <c r="D312" s="59">
        <v>199</v>
      </c>
      <c r="E312" s="493" t="s">
        <v>110</v>
      </c>
      <c r="F312" s="29">
        <v>1</v>
      </c>
      <c r="G312" s="9">
        <v>1</v>
      </c>
      <c r="H312" s="9">
        <v>1</v>
      </c>
      <c r="I312" s="9">
        <v>2</v>
      </c>
      <c r="J312" s="43">
        <v>2</v>
      </c>
      <c r="K312" s="260">
        <f t="shared" si="4"/>
        <v>0.35859414261160716</v>
      </c>
      <c r="L312" s="163" t="s">
        <v>111</v>
      </c>
    </row>
    <row r="313" spans="1:12">
      <c r="A313" s="34" t="s">
        <v>109</v>
      </c>
      <c r="B313" s="336">
        <v>2017</v>
      </c>
      <c r="C313" s="59" t="s">
        <v>90</v>
      </c>
      <c r="D313" s="59">
        <v>610</v>
      </c>
      <c r="E313" s="493" t="s">
        <v>110</v>
      </c>
      <c r="F313" s="29">
        <v>1</v>
      </c>
      <c r="G313" s="9">
        <v>1</v>
      </c>
      <c r="H313" s="9">
        <v>1</v>
      </c>
      <c r="I313" s="9">
        <v>2</v>
      </c>
      <c r="J313" s="43">
        <v>2</v>
      </c>
      <c r="K313" s="260">
        <f t="shared" si="4"/>
        <v>0.35859414261160716</v>
      </c>
      <c r="L313" s="163" t="s">
        <v>111</v>
      </c>
    </row>
    <row r="314" spans="1:12">
      <c r="A314" s="34" t="s">
        <v>109</v>
      </c>
      <c r="B314" s="336">
        <v>2017</v>
      </c>
      <c r="C314" s="59" t="s">
        <v>91</v>
      </c>
      <c r="D314" s="59">
        <v>331</v>
      </c>
      <c r="E314" s="493" t="s">
        <v>110</v>
      </c>
      <c r="F314" s="29">
        <v>1</v>
      </c>
      <c r="G314" s="9">
        <v>1</v>
      </c>
      <c r="H314" s="9">
        <v>1</v>
      </c>
      <c r="I314" s="9">
        <v>2</v>
      </c>
      <c r="J314" s="43">
        <v>2</v>
      </c>
      <c r="K314" s="260">
        <f t="shared" si="4"/>
        <v>0.35859414261160716</v>
      </c>
      <c r="L314" s="163" t="s">
        <v>111</v>
      </c>
    </row>
    <row r="315" spans="1:12">
      <c r="A315" s="34" t="s">
        <v>109</v>
      </c>
      <c r="B315" s="336">
        <v>2017</v>
      </c>
      <c r="C315" s="59" t="s">
        <v>94</v>
      </c>
      <c r="D315" s="59">
        <v>193</v>
      </c>
      <c r="E315" s="493" t="s">
        <v>110</v>
      </c>
      <c r="F315" s="29">
        <v>1</v>
      </c>
      <c r="G315" s="9">
        <v>1</v>
      </c>
      <c r="H315" s="9">
        <v>1</v>
      </c>
      <c r="I315" s="9">
        <v>2</v>
      </c>
      <c r="J315" s="43">
        <v>2</v>
      </c>
      <c r="K315" s="260">
        <f t="shared" si="4"/>
        <v>0.35859414261160716</v>
      </c>
      <c r="L315" s="163" t="s">
        <v>111</v>
      </c>
    </row>
    <row r="316" spans="1:12">
      <c r="A316" s="34" t="s">
        <v>109</v>
      </c>
      <c r="B316" s="336">
        <v>2017</v>
      </c>
      <c r="C316" s="59" t="s">
        <v>96</v>
      </c>
      <c r="D316" s="59">
        <v>337</v>
      </c>
      <c r="E316" s="493" t="s">
        <v>110</v>
      </c>
      <c r="F316" s="29">
        <v>1</v>
      </c>
      <c r="G316" s="9">
        <v>1</v>
      </c>
      <c r="H316" s="9">
        <v>1</v>
      </c>
      <c r="I316" s="9">
        <v>2</v>
      </c>
      <c r="J316" s="43">
        <v>2</v>
      </c>
      <c r="K316" s="260">
        <f t="shared" si="4"/>
        <v>0.35859414261160716</v>
      </c>
      <c r="L316" s="163" t="s">
        <v>111</v>
      </c>
    </row>
    <row r="317" spans="1:12">
      <c r="A317" s="34" t="s">
        <v>109</v>
      </c>
      <c r="B317" s="336">
        <v>2017</v>
      </c>
      <c r="C317" s="59" t="s">
        <v>97</v>
      </c>
      <c r="D317" s="59">
        <v>313</v>
      </c>
      <c r="E317" s="493" t="s">
        <v>110</v>
      </c>
      <c r="F317" s="29">
        <v>1</v>
      </c>
      <c r="G317" s="9">
        <v>1</v>
      </c>
      <c r="H317" s="9">
        <v>1</v>
      </c>
      <c r="I317" s="9">
        <v>2</v>
      </c>
      <c r="J317" s="43">
        <v>2</v>
      </c>
      <c r="K317" s="260">
        <f t="shared" ref="K317:K380" si="5">IF( OR( ISBLANK(F317),ISBLANK(G317), ISBLANK(H317), ISBLANK(I317), ISBLANK(J317) ), "", 1.5*SQRT(   EXP(2.21*(F317-1)) + EXP(2.21*(G317-1)) + EXP(2.21*(H317-1)) + EXP(2.21*(I317-1)) + EXP(2.21*J317)   )/100*2.45 )</f>
        <v>0.35859414261160716</v>
      </c>
      <c r="L317" s="163" t="s">
        <v>111</v>
      </c>
    </row>
    <row r="318" spans="1:12">
      <c r="A318" s="34" t="s">
        <v>109</v>
      </c>
      <c r="B318" s="336">
        <v>2017</v>
      </c>
      <c r="C318" s="59" t="s">
        <v>95</v>
      </c>
      <c r="D318" s="59">
        <v>280</v>
      </c>
      <c r="E318" s="493" t="s">
        <v>110</v>
      </c>
      <c r="F318" s="29">
        <v>1</v>
      </c>
      <c r="G318" s="9">
        <v>1</v>
      </c>
      <c r="H318" s="9">
        <v>1</v>
      </c>
      <c r="I318" s="9">
        <v>2</v>
      </c>
      <c r="J318" s="43">
        <v>2</v>
      </c>
      <c r="K318" s="260">
        <f t="shared" si="5"/>
        <v>0.35859414261160716</v>
      </c>
      <c r="L318" s="163" t="s">
        <v>111</v>
      </c>
    </row>
    <row r="319" spans="1:12">
      <c r="A319" s="34" t="s">
        <v>109</v>
      </c>
      <c r="B319" s="336">
        <v>2017</v>
      </c>
      <c r="C319" s="59" t="s">
        <v>93</v>
      </c>
      <c r="D319" s="59">
        <v>124</v>
      </c>
      <c r="E319" s="493" t="s">
        <v>110</v>
      </c>
      <c r="F319" s="29">
        <v>1</v>
      </c>
      <c r="G319" s="9">
        <v>1</v>
      </c>
      <c r="H319" s="9">
        <v>1</v>
      </c>
      <c r="I319" s="9">
        <v>2</v>
      </c>
      <c r="J319" s="43">
        <v>2</v>
      </c>
      <c r="K319" s="260">
        <f t="shared" si="5"/>
        <v>0.35859414261160716</v>
      </c>
      <c r="L319" s="163" t="s">
        <v>111</v>
      </c>
    </row>
    <row r="320" spans="1:12">
      <c r="A320" s="34" t="s">
        <v>109</v>
      </c>
      <c r="B320" s="336">
        <v>2017</v>
      </c>
      <c r="C320" s="59" t="s">
        <v>98</v>
      </c>
      <c r="D320" s="59">
        <v>2566</v>
      </c>
      <c r="E320" s="493" t="s">
        <v>110</v>
      </c>
      <c r="F320" s="29">
        <v>1</v>
      </c>
      <c r="G320" s="9">
        <v>1</v>
      </c>
      <c r="H320" s="9">
        <v>1</v>
      </c>
      <c r="I320" s="9">
        <v>2</v>
      </c>
      <c r="J320" s="43">
        <v>2</v>
      </c>
      <c r="K320" s="260">
        <f t="shared" si="5"/>
        <v>0.35859414261160716</v>
      </c>
      <c r="L320" s="163" t="s">
        <v>111</v>
      </c>
    </row>
    <row r="321" spans="1:12">
      <c r="A321" s="34" t="s">
        <v>109</v>
      </c>
      <c r="B321" s="336">
        <v>2018</v>
      </c>
      <c r="C321" s="59" t="s">
        <v>85</v>
      </c>
      <c r="D321" s="59">
        <v>1661</v>
      </c>
      <c r="E321" s="493" t="s">
        <v>110</v>
      </c>
      <c r="F321" s="29">
        <v>1</v>
      </c>
      <c r="G321" s="9">
        <v>1</v>
      </c>
      <c r="H321" s="9">
        <v>1</v>
      </c>
      <c r="I321" s="9">
        <v>2</v>
      </c>
      <c r="J321" s="43">
        <v>2</v>
      </c>
      <c r="K321" s="260">
        <f t="shared" si="5"/>
        <v>0.35859414261160716</v>
      </c>
      <c r="L321" s="163" t="s">
        <v>111</v>
      </c>
    </row>
    <row r="322" spans="1:12">
      <c r="A322" s="34" t="s">
        <v>109</v>
      </c>
      <c r="B322" s="336">
        <v>2018</v>
      </c>
      <c r="C322" s="59" t="s">
        <v>86</v>
      </c>
      <c r="D322" s="59">
        <v>290</v>
      </c>
      <c r="E322" s="493" t="s">
        <v>110</v>
      </c>
      <c r="F322" s="29">
        <v>1</v>
      </c>
      <c r="G322" s="9">
        <v>1</v>
      </c>
      <c r="H322" s="9">
        <v>1</v>
      </c>
      <c r="I322" s="9">
        <v>2</v>
      </c>
      <c r="J322" s="43">
        <v>2</v>
      </c>
      <c r="K322" s="260">
        <f t="shared" si="5"/>
        <v>0.35859414261160716</v>
      </c>
      <c r="L322" s="163" t="s">
        <v>111</v>
      </c>
    </row>
    <row r="323" spans="1:12">
      <c r="A323" s="34" t="s">
        <v>109</v>
      </c>
      <c r="B323" s="336">
        <v>2018</v>
      </c>
      <c r="C323" s="59" t="s">
        <v>87</v>
      </c>
      <c r="D323" s="59">
        <v>1105</v>
      </c>
      <c r="E323" s="493" t="s">
        <v>110</v>
      </c>
      <c r="F323" s="29">
        <v>1</v>
      </c>
      <c r="G323" s="9">
        <v>1</v>
      </c>
      <c r="H323" s="9">
        <v>1</v>
      </c>
      <c r="I323" s="9">
        <v>2</v>
      </c>
      <c r="J323" s="43">
        <v>2</v>
      </c>
      <c r="K323" s="260">
        <f t="shared" si="5"/>
        <v>0.35859414261160716</v>
      </c>
      <c r="L323" s="163" t="s">
        <v>111</v>
      </c>
    </row>
    <row r="324" spans="1:12">
      <c r="A324" s="34" t="s">
        <v>109</v>
      </c>
      <c r="B324" s="336">
        <v>2018</v>
      </c>
      <c r="C324" s="59" t="s">
        <v>88</v>
      </c>
      <c r="D324" s="59">
        <v>4</v>
      </c>
      <c r="E324" s="493" t="s">
        <v>110</v>
      </c>
      <c r="F324" s="29">
        <v>1</v>
      </c>
      <c r="G324" s="9">
        <v>1</v>
      </c>
      <c r="H324" s="9">
        <v>1</v>
      </c>
      <c r="I324" s="9">
        <v>2</v>
      </c>
      <c r="J324" s="43">
        <v>2</v>
      </c>
      <c r="K324" s="260">
        <f t="shared" si="5"/>
        <v>0.35859414261160716</v>
      </c>
      <c r="L324" s="163" t="s">
        <v>111</v>
      </c>
    </row>
    <row r="325" spans="1:12">
      <c r="A325" s="34" t="s">
        <v>109</v>
      </c>
      <c r="B325" s="336">
        <v>2018</v>
      </c>
      <c r="C325" s="59" t="s">
        <v>89</v>
      </c>
      <c r="D325" s="59">
        <v>185</v>
      </c>
      <c r="E325" s="493" t="s">
        <v>110</v>
      </c>
      <c r="F325" s="29">
        <v>1</v>
      </c>
      <c r="G325" s="9">
        <v>1</v>
      </c>
      <c r="H325" s="9">
        <v>1</v>
      </c>
      <c r="I325" s="9">
        <v>2</v>
      </c>
      <c r="J325" s="43">
        <v>2</v>
      </c>
      <c r="K325" s="260">
        <f t="shared" si="5"/>
        <v>0.35859414261160716</v>
      </c>
      <c r="L325" s="163" t="s">
        <v>111</v>
      </c>
    </row>
    <row r="326" spans="1:12">
      <c r="A326" s="34" t="s">
        <v>109</v>
      </c>
      <c r="B326" s="336">
        <v>2018</v>
      </c>
      <c r="C326" s="59" t="s">
        <v>90</v>
      </c>
      <c r="D326" s="59">
        <v>610</v>
      </c>
      <c r="E326" s="493" t="s">
        <v>110</v>
      </c>
      <c r="F326" s="29">
        <v>1</v>
      </c>
      <c r="G326" s="9">
        <v>1</v>
      </c>
      <c r="H326" s="9">
        <v>1</v>
      </c>
      <c r="I326" s="9">
        <v>2</v>
      </c>
      <c r="J326" s="43">
        <v>2</v>
      </c>
      <c r="K326" s="260">
        <f t="shared" si="5"/>
        <v>0.35859414261160716</v>
      </c>
      <c r="L326" s="163" t="s">
        <v>111</v>
      </c>
    </row>
    <row r="327" spans="1:12">
      <c r="A327" s="34" t="s">
        <v>109</v>
      </c>
      <c r="B327" s="336">
        <v>2018</v>
      </c>
      <c r="C327" s="59" t="s">
        <v>91</v>
      </c>
      <c r="D327" s="59">
        <v>516</v>
      </c>
      <c r="E327" s="493" t="s">
        <v>110</v>
      </c>
      <c r="F327" s="29">
        <v>1</v>
      </c>
      <c r="G327" s="9">
        <v>1</v>
      </c>
      <c r="H327" s="9">
        <v>1</v>
      </c>
      <c r="I327" s="9">
        <v>2</v>
      </c>
      <c r="J327" s="43">
        <v>2</v>
      </c>
      <c r="K327" s="260">
        <f t="shared" si="5"/>
        <v>0.35859414261160716</v>
      </c>
      <c r="L327" s="163" t="s">
        <v>111</v>
      </c>
    </row>
    <row r="328" spans="1:12">
      <c r="A328" s="34" t="s">
        <v>109</v>
      </c>
      <c r="B328" s="336">
        <v>2018</v>
      </c>
      <c r="C328" s="59" t="s">
        <v>94</v>
      </c>
      <c r="D328" s="59">
        <v>192</v>
      </c>
      <c r="E328" s="493" t="s">
        <v>110</v>
      </c>
      <c r="F328" s="29">
        <v>1</v>
      </c>
      <c r="G328" s="9">
        <v>1</v>
      </c>
      <c r="H328" s="9">
        <v>1</v>
      </c>
      <c r="I328" s="9">
        <v>2</v>
      </c>
      <c r="J328" s="43">
        <v>2</v>
      </c>
      <c r="K328" s="260">
        <f t="shared" si="5"/>
        <v>0.35859414261160716</v>
      </c>
      <c r="L328" s="163" t="s">
        <v>111</v>
      </c>
    </row>
    <row r="329" spans="1:12">
      <c r="A329" s="34" t="s">
        <v>109</v>
      </c>
      <c r="B329" s="336">
        <v>2018</v>
      </c>
      <c r="C329" s="59" t="s">
        <v>96</v>
      </c>
      <c r="D329" s="59">
        <v>337</v>
      </c>
      <c r="E329" s="493" t="s">
        <v>110</v>
      </c>
      <c r="F329" s="29">
        <v>1</v>
      </c>
      <c r="G329" s="9">
        <v>1</v>
      </c>
      <c r="H329" s="9">
        <v>1</v>
      </c>
      <c r="I329" s="9">
        <v>2</v>
      </c>
      <c r="J329" s="43">
        <v>2</v>
      </c>
      <c r="K329" s="260">
        <f t="shared" si="5"/>
        <v>0.35859414261160716</v>
      </c>
      <c r="L329" s="163" t="s">
        <v>111</v>
      </c>
    </row>
    <row r="330" spans="1:12">
      <c r="A330" s="34" t="s">
        <v>109</v>
      </c>
      <c r="B330" s="336">
        <v>2018</v>
      </c>
      <c r="C330" s="59" t="s">
        <v>97</v>
      </c>
      <c r="D330" s="59">
        <v>355</v>
      </c>
      <c r="E330" s="493" t="s">
        <v>110</v>
      </c>
      <c r="F330" s="29">
        <v>1</v>
      </c>
      <c r="G330" s="9">
        <v>1</v>
      </c>
      <c r="H330" s="9">
        <v>1</v>
      </c>
      <c r="I330" s="9">
        <v>2</v>
      </c>
      <c r="J330" s="43">
        <v>2</v>
      </c>
      <c r="K330" s="260">
        <f t="shared" si="5"/>
        <v>0.35859414261160716</v>
      </c>
      <c r="L330" s="163" t="s">
        <v>111</v>
      </c>
    </row>
    <row r="331" spans="1:12">
      <c r="A331" s="34" t="s">
        <v>109</v>
      </c>
      <c r="B331" s="336">
        <v>2018</v>
      </c>
      <c r="C331" s="59" t="s">
        <v>95</v>
      </c>
      <c r="D331" s="59">
        <v>257</v>
      </c>
      <c r="E331" s="493" t="s">
        <v>110</v>
      </c>
      <c r="F331" s="29">
        <v>1</v>
      </c>
      <c r="G331" s="9">
        <v>1</v>
      </c>
      <c r="H331" s="9">
        <v>1</v>
      </c>
      <c r="I331" s="9">
        <v>2</v>
      </c>
      <c r="J331" s="43">
        <v>2</v>
      </c>
      <c r="K331" s="260">
        <f t="shared" si="5"/>
        <v>0.35859414261160716</v>
      </c>
      <c r="L331" s="163" t="s">
        <v>111</v>
      </c>
    </row>
    <row r="332" spans="1:12">
      <c r="A332" s="34" t="s">
        <v>109</v>
      </c>
      <c r="B332" s="336">
        <v>2018</v>
      </c>
      <c r="C332" s="59" t="s">
        <v>93</v>
      </c>
      <c r="D332" s="59">
        <v>104</v>
      </c>
      <c r="E332" s="493" t="s">
        <v>110</v>
      </c>
      <c r="F332" s="29">
        <v>1</v>
      </c>
      <c r="G332" s="9">
        <v>1</v>
      </c>
      <c r="H332" s="9">
        <v>1</v>
      </c>
      <c r="I332" s="9">
        <v>2</v>
      </c>
      <c r="J332" s="43">
        <v>2</v>
      </c>
      <c r="K332" s="260">
        <f t="shared" si="5"/>
        <v>0.35859414261160716</v>
      </c>
      <c r="L332" s="163" t="s">
        <v>111</v>
      </c>
    </row>
    <row r="333" spans="1:12">
      <c r="A333" s="34" t="s">
        <v>109</v>
      </c>
      <c r="B333" s="336">
        <v>2018</v>
      </c>
      <c r="C333" s="59" t="s">
        <v>98</v>
      </c>
      <c r="D333" s="59">
        <v>2403</v>
      </c>
      <c r="E333" s="493" t="s">
        <v>110</v>
      </c>
      <c r="F333" s="29">
        <v>1</v>
      </c>
      <c r="G333" s="9">
        <v>1</v>
      </c>
      <c r="H333" s="9">
        <v>1</v>
      </c>
      <c r="I333" s="9">
        <v>2</v>
      </c>
      <c r="J333" s="43">
        <v>2</v>
      </c>
      <c r="K333" s="260">
        <f t="shared" si="5"/>
        <v>0.35859414261160716</v>
      </c>
      <c r="L333" s="163" t="s">
        <v>111</v>
      </c>
    </row>
    <row r="334" spans="1:12">
      <c r="A334" s="34" t="s">
        <v>109</v>
      </c>
      <c r="B334" s="336">
        <v>2019</v>
      </c>
      <c r="C334" s="59" t="s">
        <v>85</v>
      </c>
      <c r="D334" s="59">
        <v>1278</v>
      </c>
      <c r="E334" s="493" t="s">
        <v>110</v>
      </c>
      <c r="F334" s="29">
        <v>1</v>
      </c>
      <c r="G334" s="9">
        <v>1</v>
      </c>
      <c r="H334" s="9">
        <v>1</v>
      </c>
      <c r="I334" s="9">
        <v>2</v>
      </c>
      <c r="J334" s="43">
        <v>2</v>
      </c>
      <c r="K334" s="260">
        <f t="shared" si="5"/>
        <v>0.35859414261160716</v>
      </c>
      <c r="L334" s="163" t="s">
        <v>111</v>
      </c>
    </row>
    <row r="335" spans="1:12">
      <c r="A335" s="34" t="s">
        <v>109</v>
      </c>
      <c r="B335" s="336">
        <v>2019</v>
      </c>
      <c r="C335" s="59" t="s">
        <v>86</v>
      </c>
      <c r="D335" s="59">
        <v>266</v>
      </c>
      <c r="E335" s="493" t="s">
        <v>110</v>
      </c>
      <c r="F335" s="29">
        <v>1</v>
      </c>
      <c r="G335" s="9">
        <v>1</v>
      </c>
      <c r="H335" s="9">
        <v>1</v>
      </c>
      <c r="I335" s="9">
        <v>2</v>
      </c>
      <c r="J335" s="43">
        <v>2</v>
      </c>
      <c r="K335" s="260">
        <f t="shared" si="5"/>
        <v>0.35859414261160716</v>
      </c>
      <c r="L335" s="163" t="s">
        <v>111</v>
      </c>
    </row>
    <row r="336" spans="1:12">
      <c r="A336" s="34" t="s">
        <v>109</v>
      </c>
      <c r="B336" s="336">
        <v>2019</v>
      </c>
      <c r="C336" s="59" t="s">
        <v>87</v>
      </c>
      <c r="D336" s="59">
        <v>936</v>
      </c>
      <c r="E336" s="493" t="s">
        <v>110</v>
      </c>
      <c r="F336" s="29">
        <v>1</v>
      </c>
      <c r="G336" s="9">
        <v>1</v>
      </c>
      <c r="H336" s="9">
        <v>1</v>
      </c>
      <c r="I336" s="9">
        <v>2</v>
      </c>
      <c r="J336" s="43">
        <v>2</v>
      </c>
      <c r="K336" s="260">
        <f t="shared" si="5"/>
        <v>0.35859414261160716</v>
      </c>
      <c r="L336" s="163" t="s">
        <v>111</v>
      </c>
    </row>
    <row r="337" spans="1:12">
      <c r="A337" s="34" t="s">
        <v>109</v>
      </c>
      <c r="B337" s="336">
        <v>2019</v>
      </c>
      <c r="C337" s="59" t="s">
        <v>88</v>
      </c>
      <c r="D337" s="59">
        <v>4</v>
      </c>
      <c r="E337" s="493" t="s">
        <v>110</v>
      </c>
      <c r="F337" s="29">
        <v>1</v>
      </c>
      <c r="G337" s="9">
        <v>1</v>
      </c>
      <c r="H337" s="9">
        <v>1</v>
      </c>
      <c r="I337" s="9">
        <v>2</v>
      </c>
      <c r="J337" s="43">
        <v>2</v>
      </c>
      <c r="K337" s="260">
        <f t="shared" si="5"/>
        <v>0.35859414261160716</v>
      </c>
      <c r="L337" s="163" t="s">
        <v>111</v>
      </c>
    </row>
    <row r="338" spans="1:12">
      <c r="A338" s="34" t="s">
        <v>109</v>
      </c>
      <c r="B338" s="336">
        <v>2019</v>
      </c>
      <c r="C338" s="59" t="s">
        <v>89</v>
      </c>
      <c r="D338" s="59">
        <v>306</v>
      </c>
      <c r="E338" s="493" t="s">
        <v>110</v>
      </c>
      <c r="F338" s="29">
        <v>1</v>
      </c>
      <c r="G338" s="9">
        <v>1</v>
      </c>
      <c r="H338" s="9">
        <v>1</v>
      </c>
      <c r="I338" s="9">
        <v>2</v>
      </c>
      <c r="J338" s="43">
        <v>2</v>
      </c>
      <c r="K338" s="260">
        <f t="shared" si="5"/>
        <v>0.35859414261160716</v>
      </c>
      <c r="L338" s="163" t="s">
        <v>111</v>
      </c>
    </row>
    <row r="339" spans="1:12">
      <c r="A339" s="34" t="s">
        <v>109</v>
      </c>
      <c r="B339" s="336">
        <v>2019</v>
      </c>
      <c r="C339" s="59" t="s">
        <v>90</v>
      </c>
      <c r="D339" s="59">
        <v>610</v>
      </c>
      <c r="E339" s="493" t="s">
        <v>110</v>
      </c>
      <c r="F339" s="29">
        <v>1</v>
      </c>
      <c r="G339" s="9">
        <v>1</v>
      </c>
      <c r="H339" s="9">
        <v>1</v>
      </c>
      <c r="I339" s="9">
        <v>2</v>
      </c>
      <c r="J339" s="43">
        <v>2</v>
      </c>
      <c r="K339" s="260">
        <f t="shared" si="5"/>
        <v>0.35859414261160716</v>
      </c>
      <c r="L339" s="163" t="s">
        <v>111</v>
      </c>
    </row>
    <row r="340" spans="1:12">
      <c r="A340" s="34" t="s">
        <v>109</v>
      </c>
      <c r="B340" s="336">
        <v>2019</v>
      </c>
      <c r="C340" s="59" t="s">
        <v>91</v>
      </c>
      <c r="D340" s="59">
        <v>443</v>
      </c>
      <c r="E340" s="493" t="s">
        <v>110</v>
      </c>
      <c r="F340" s="29">
        <v>1</v>
      </c>
      <c r="G340" s="9">
        <v>1</v>
      </c>
      <c r="H340" s="9">
        <v>1</v>
      </c>
      <c r="I340" s="9">
        <v>2</v>
      </c>
      <c r="J340" s="43">
        <v>2</v>
      </c>
      <c r="K340" s="260">
        <f t="shared" si="5"/>
        <v>0.35859414261160716</v>
      </c>
      <c r="L340" s="163" t="s">
        <v>111</v>
      </c>
    </row>
    <row r="341" spans="1:12">
      <c r="A341" s="34" t="s">
        <v>109</v>
      </c>
      <c r="B341" s="336">
        <v>2019</v>
      </c>
      <c r="C341" s="59" t="s">
        <v>94</v>
      </c>
      <c r="D341" s="59">
        <v>202</v>
      </c>
      <c r="E341" s="493" t="s">
        <v>110</v>
      </c>
      <c r="F341" s="29">
        <v>1</v>
      </c>
      <c r="G341" s="9">
        <v>1</v>
      </c>
      <c r="H341" s="9">
        <v>1</v>
      </c>
      <c r="I341" s="9">
        <v>2</v>
      </c>
      <c r="J341" s="43">
        <v>2</v>
      </c>
      <c r="K341" s="260">
        <f t="shared" si="5"/>
        <v>0.35859414261160716</v>
      </c>
      <c r="L341" s="163" t="s">
        <v>111</v>
      </c>
    </row>
    <row r="342" spans="1:12">
      <c r="A342" s="34" t="s">
        <v>109</v>
      </c>
      <c r="B342" s="336">
        <v>2019</v>
      </c>
      <c r="C342" s="59" t="s">
        <v>96</v>
      </c>
      <c r="D342" s="59">
        <v>448</v>
      </c>
      <c r="E342" s="493" t="s">
        <v>110</v>
      </c>
      <c r="F342" s="29">
        <v>1</v>
      </c>
      <c r="G342" s="9">
        <v>1</v>
      </c>
      <c r="H342" s="9">
        <v>1</v>
      </c>
      <c r="I342" s="9">
        <v>2</v>
      </c>
      <c r="J342" s="43">
        <v>2</v>
      </c>
      <c r="K342" s="260">
        <f t="shared" si="5"/>
        <v>0.35859414261160716</v>
      </c>
      <c r="L342" s="163" t="s">
        <v>111</v>
      </c>
    </row>
    <row r="343" spans="1:12">
      <c r="A343" s="34" t="s">
        <v>109</v>
      </c>
      <c r="B343" s="336">
        <v>2019</v>
      </c>
      <c r="C343" s="59" t="s">
        <v>97</v>
      </c>
      <c r="D343" s="59">
        <v>360</v>
      </c>
      <c r="E343" s="493" t="s">
        <v>110</v>
      </c>
      <c r="F343" s="29">
        <v>1</v>
      </c>
      <c r="G343" s="9">
        <v>1</v>
      </c>
      <c r="H343" s="9">
        <v>1</v>
      </c>
      <c r="I343" s="9">
        <v>2</v>
      </c>
      <c r="J343" s="43">
        <v>2</v>
      </c>
      <c r="K343" s="260">
        <f t="shared" si="5"/>
        <v>0.35859414261160716</v>
      </c>
      <c r="L343" s="163" t="s">
        <v>111</v>
      </c>
    </row>
    <row r="344" spans="1:12">
      <c r="A344" s="34" t="s">
        <v>109</v>
      </c>
      <c r="B344" s="336">
        <v>2019</v>
      </c>
      <c r="C344" s="59" t="s">
        <v>95</v>
      </c>
      <c r="D344" s="59">
        <v>165</v>
      </c>
      <c r="E344" s="493" t="s">
        <v>110</v>
      </c>
      <c r="F344" s="29">
        <v>1</v>
      </c>
      <c r="G344" s="9">
        <v>1</v>
      </c>
      <c r="H344" s="9">
        <v>1</v>
      </c>
      <c r="I344" s="9">
        <v>2</v>
      </c>
      <c r="J344" s="43">
        <v>2</v>
      </c>
      <c r="K344" s="260">
        <f t="shared" si="5"/>
        <v>0.35859414261160716</v>
      </c>
      <c r="L344" s="163" t="s">
        <v>111</v>
      </c>
    </row>
    <row r="345" spans="1:12">
      <c r="A345" s="34" t="s">
        <v>109</v>
      </c>
      <c r="B345" s="336">
        <v>2019</v>
      </c>
      <c r="C345" s="59" t="s">
        <v>93</v>
      </c>
      <c r="D345" s="59">
        <v>98</v>
      </c>
      <c r="E345" s="493" t="s">
        <v>110</v>
      </c>
      <c r="F345" s="29">
        <v>1</v>
      </c>
      <c r="G345" s="9">
        <v>1</v>
      </c>
      <c r="H345" s="9">
        <v>1</v>
      </c>
      <c r="I345" s="9">
        <v>2</v>
      </c>
      <c r="J345" s="43">
        <v>2</v>
      </c>
      <c r="K345" s="260">
        <f t="shared" si="5"/>
        <v>0.35859414261160716</v>
      </c>
      <c r="L345" s="163" t="s">
        <v>111</v>
      </c>
    </row>
    <row r="346" spans="1:12">
      <c r="A346" s="34" t="s">
        <v>109</v>
      </c>
      <c r="B346" s="336">
        <v>2019</v>
      </c>
      <c r="C346" s="59" t="s">
        <v>98</v>
      </c>
      <c r="D346" s="59">
        <v>2309</v>
      </c>
      <c r="E346" s="493" t="s">
        <v>110</v>
      </c>
      <c r="F346" s="29">
        <v>1</v>
      </c>
      <c r="G346" s="9">
        <v>1</v>
      </c>
      <c r="H346" s="9">
        <v>1</v>
      </c>
      <c r="I346" s="9">
        <v>2</v>
      </c>
      <c r="J346" s="43">
        <v>2</v>
      </c>
      <c r="K346" s="260">
        <f t="shared" si="5"/>
        <v>0.35859414261160716</v>
      </c>
      <c r="L346" s="163" t="s">
        <v>111</v>
      </c>
    </row>
    <row r="347" spans="1:12">
      <c r="A347" s="34" t="s">
        <v>109</v>
      </c>
      <c r="B347" s="336">
        <v>2020</v>
      </c>
      <c r="C347" s="59" t="s">
        <v>85</v>
      </c>
      <c r="D347" s="59">
        <v>1665</v>
      </c>
      <c r="E347" s="493" t="s">
        <v>110</v>
      </c>
      <c r="F347" s="29">
        <v>1</v>
      </c>
      <c r="G347" s="9">
        <v>1</v>
      </c>
      <c r="H347" s="9">
        <v>1</v>
      </c>
      <c r="I347" s="9">
        <v>2</v>
      </c>
      <c r="J347" s="43">
        <v>2</v>
      </c>
      <c r="K347" s="260">
        <f t="shared" si="5"/>
        <v>0.35859414261160716</v>
      </c>
      <c r="L347" s="163" t="s">
        <v>111</v>
      </c>
    </row>
    <row r="348" spans="1:12">
      <c r="A348" s="34" t="s">
        <v>109</v>
      </c>
      <c r="B348" s="336">
        <v>2020</v>
      </c>
      <c r="C348" s="59" t="s">
        <v>86</v>
      </c>
      <c r="D348" s="59">
        <v>315</v>
      </c>
      <c r="E348" s="493" t="s">
        <v>110</v>
      </c>
      <c r="F348" s="29">
        <v>1</v>
      </c>
      <c r="G348" s="9">
        <v>1</v>
      </c>
      <c r="H348" s="9">
        <v>1</v>
      </c>
      <c r="I348" s="9">
        <v>2</v>
      </c>
      <c r="J348" s="43">
        <v>2</v>
      </c>
      <c r="K348" s="260">
        <f t="shared" si="5"/>
        <v>0.35859414261160716</v>
      </c>
      <c r="L348" s="163" t="s">
        <v>111</v>
      </c>
    </row>
    <row r="349" spans="1:12">
      <c r="A349" s="34" t="s">
        <v>109</v>
      </c>
      <c r="B349" s="336">
        <v>2020</v>
      </c>
      <c r="C349" s="59" t="s">
        <v>87</v>
      </c>
      <c r="D349" s="59">
        <v>701</v>
      </c>
      <c r="E349" s="493" t="s">
        <v>110</v>
      </c>
      <c r="F349" s="29">
        <v>1</v>
      </c>
      <c r="G349" s="9">
        <v>1</v>
      </c>
      <c r="H349" s="9">
        <v>1</v>
      </c>
      <c r="I349" s="9">
        <v>2</v>
      </c>
      <c r="J349" s="43">
        <v>2</v>
      </c>
      <c r="K349" s="260">
        <f t="shared" si="5"/>
        <v>0.35859414261160716</v>
      </c>
      <c r="L349" s="163" t="s">
        <v>111</v>
      </c>
    </row>
    <row r="350" spans="1:12">
      <c r="A350" s="34" t="s">
        <v>109</v>
      </c>
      <c r="B350" s="336">
        <v>2020</v>
      </c>
      <c r="C350" s="59" t="s">
        <v>88</v>
      </c>
      <c r="D350" s="59">
        <v>4</v>
      </c>
      <c r="E350" s="493" t="s">
        <v>110</v>
      </c>
      <c r="F350" s="29">
        <v>1</v>
      </c>
      <c r="G350" s="9">
        <v>1</v>
      </c>
      <c r="H350" s="9">
        <v>1</v>
      </c>
      <c r="I350" s="9">
        <v>2</v>
      </c>
      <c r="J350" s="43">
        <v>2</v>
      </c>
      <c r="K350" s="260">
        <f t="shared" si="5"/>
        <v>0.35859414261160716</v>
      </c>
      <c r="L350" s="163" t="s">
        <v>111</v>
      </c>
    </row>
    <row r="351" spans="1:12">
      <c r="A351" s="34" t="s">
        <v>109</v>
      </c>
      <c r="B351" s="336">
        <v>2020</v>
      </c>
      <c r="C351" s="59" t="s">
        <v>89</v>
      </c>
      <c r="D351" s="59">
        <v>317</v>
      </c>
      <c r="E351" s="493" t="s">
        <v>110</v>
      </c>
      <c r="F351" s="29">
        <v>1</v>
      </c>
      <c r="G351" s="9">
        <v>1</v>
      </c>
      <c r="H351" s="9">
        <v>1</v>
      </c>
      <c r="I351" s="9">
        <v>2</v>
      </c>
      <c r="J351" s="43">
        <v>2</v>
      </c>
      <c r="K351" s="260">
        <f t="shared" si="5"/>
        <v>0.35859414261160716</v>
      </c>
      <c r="L351" s="163" t="s">
        <v>111</v>
      </c>
    </row>
    <row r="352" spans="1:12">
      <c r="A352" s="34" t="s">
        <v>109</v>
      </c>
      <c r="B352" s="336">
        <v>2020</v>
      </c>
      <c r="C352" s="59" t="s">
        <v>90</v>
      </c>
      <c r="D352" s="59">
        <v>610</v>
      </c>
      <c r="E352" s="493" t="s">
        <v>110</v>
      </c>
      <c r="F352" s="29">
        <v>1</v>
      </c>
      <c r="G352" s="9">
        <v>1</v>
      </c>
      <c r="H352" s="9">
        <v>1</v>
      </c>
      <c r="I352" s="9">
        <v>2</v>
      </c>
      <c r="J352" s="43">
        <v>2</v>
      </c>
      <c r="K352" s="260">
        <f t="shared" si="5"/>
        <v>0.35859414261160716</v>
      </c>
      <c r="L352" s="163" t="s">
        <v>111</v>
      </c>
    </row>
    <row r="353" spans="1:12">
      <c r="A353" s="34" t="s">
        <v>109</v>
      </c>
      <c r="B353" s="336">
        <v>2020</v>
      </c>
      <c r="C353" s="59" t="s">
        <v>91</v>
      </c>
      <c r="D353" s="59">
        <v>474</v>
      </c>
      <c r="E353" s="493" t="s">
        <v>110</v>
      </c>
      <c r="F353" s="29">
        <v>1</v>
      </c>
      <c r="G353" s="9">
        <v>1</v>
      </c>
      <c r="H353" s="9">
        <v>1</v>
      </c>
      <c r="I353" s="9">
        <v>2</v>
      </c>
      <c r="J353" s="43">
        <v>2</v>
      </c>
      <c r="K353" s="260">
        <f t="shared" si="5"/>
        <v>0.35859414261160716</v>
      </c>
      <c r="L353" s="163" t="s">
        <v>111</v>
      </c>
    </row>
    <row r="354" spans="1:12">
      <c r="A354" s="34" t="s">
        <v>109</v>
      </c>
      <c r="B354" s="336">
        <v>2020</v>
      </c>
      <c r="C354" s="59" t="s">
        <v>94</v>
      </c>
      <c r="D354" s="59">
        <v>184</v>
      </c>
      <c r="E354" s="493" t="s">
        <v>110</v>
      </c>
      <c r="F354" s="29">
        <v>1</v>
      </c>
      <c r="G354" s="9">
        <v>1</v>
      </c>
      <c r="H354" s="9">
        <v>1</v>
      </c>
      <c r="I354" s="9">
        <v>2</v>
      </c>
      <c r="J354" s="43">
        <v>2</v>
      </c>
      <c r="K354" s="260">
        <f t="shared" si="5"/>
        <v>0.35859414261160716</v>
      </c>
      <c r="L354" s="163" t="s">
        <v>111</v>
      </c>
    </row>
    <row r="355" spans="1:12">
      <c r="A355" s="34" t="s">
        <v>109</v>
      </c>
      <c r="B355" s="336">
        <v>2020</v>
      </c>
      <c r="C355" s="59" t="s">
        <v>96</v>
      </c>
      <c r="D355" s="59">
        <v>337</v>
      </c>
      <c r="E355" s="493" t="s">
        <v>110</v>
      </c>
      <c r="F355" s="29">
        <v>1</v>
      </c>
      <c r="G355" s="9">
        <v>1</v>
      </c>
      <c r="H355" s="9">
        <v>1</v>
      </c>
      <c r="I355" s="9">
        <v>2</v>
      </c>
      <c r="J355" s="43">
        <v>2</v>
      </c>
      <c r="K355" s="260">
        <f t="shared" si="5"/>
        <v>0.35859414261160716</v>
      </c>
      <c r="L355" s="163" t="s">
        <v>111</v>
      </c>
    </row>
    <row r="356" spans="1:12">
      <c r="A356" s="34" t="s">
        <v>109</v>
      </c>
      <c r="B356" s="336">
        <v>2020</v>
      </c>
      <c r="C356" s="59" t="s">
        <v>97</v>
      </c>
      <c r="D356" s="59">
        <v>344</v>
      </c>
      <c r="E356" s="493" t="s">
        <v>110</v>
      </c>
      <c r="F356" s="29">
        <v>1</v>
      </c>
      <c r="G356" s="9">
        <v>1</v>
      </c>
      <c r="H356" s="9">
        <v>1</v>
      </c>
      <c r="I356" s="9">
        <v>2</v>
      </c>
      <c r="J356" s="43">
        <v>2</v>
      </c>
      <c r="K356" s="260">
        <f t="shared" si="5"/>
        <v>0.35859414261160716</v>
      </c>
      <c r="L356" s="163" t="s">
        <v>111</v>
      </c>
    </row>
    <row r="357" spans="1:12">
      <c r="A357" s="34" t="s">
        <v>109</v>
      </c>
      <c r="B357" s="336">
        <v>2020</v>
      </c>
      <c r="C357" s="59" t="s">
        <v>95</v>
      </c>
      <c r="D357" s="59">
        <v>200</v>
      </c>
      <c r="E357" s="493" t="s">
        <v>110</v>
      </c>
      <c r="F357" s="29">
        <v>1</v>
      </c>
      <c r="G357" s="9">
        <v>1</v>
      </c>
      <c r="H357" s="9">
        <v>1</v>
      </c>
      <c r="I357" s="9">
        <v>2</v>
      </c>
      <c r="J357" s="43">
        <v>2</v>
      </c>
      <c r="K357" s="260">
        <f t="shared" si="5"/>
        <v>0.35859414261160716</v>
      </c>
      <c r="L357" s="163" t="s">
        <v>111</v>
      </c>
    </row>
    <row r="358" spans="1:12">
      <c r="A358" s="34" t="s">
        <v>109</v>
      </c>
      <c r="B358" s="336">
        <v>2020</v>
      </c>
      <c r="C358" s="59" t="s">
        <v>93</v>
      </c>
      <c r="D358" s="59">
        <v>80</v>
      </c>
      <c r="E358" s="493" t="s">
        <v>110</v>
      </c>
      <c r="F358" s="29">
        <v>1</v>
      </c>
      <c r="G358" s="9">
        <v>1</v>
      </c>
      <c r="H358" s="9">
        <v>1</v>
      </c>
      <c r="I358" s="9">
        <v>2</v>
      </c>
      <c r="J358" s="43">
        <v>2</v>
      </c>
      <c r="K358" s="260">
        <f t="shared" si="5"/>
        <v>0.35859414261160716</v>
      </c>
      <c r="L358" s="163" t="s">
        <v>111</v>
      </c>
    </row>
    <row r="359" spans="1:12">
      <c r="A359" s="34" t="s">
        <v>109</v>
      </c>
      <c r="B359" s="336">
        <v>2020</v>
      </c>
      <c r="C359" s="59" t="s">
        <v>98</v>
      </c>
      <c r="D359" s="59">
        <v>2520</v>
      </c>
      <c r="E359" s="493" t="s">
        <v>110</v>
      </c>
      <c r="F359" s="29">
        <v>1</v>
      </c>
      <c r="G359" s="9">
        <v>1</v>
      </c>
      <c r="H359" s="9">
        <v>1</v>
      </c>
      <c r="I359" s="9">
        <v>2</v>
      </c>
      <c r="J359" s="43">
        <v>2</v>
      </c>
      <c r="K359" s="260">
        <f t="shared" si="5"/>
        <v>0.35859414261160716</v>
      </c>
      <c r="L359" s="163" t="s">
        <v>111</v>
      </c>
    </row>
    <row r="360" spans="1:12">
      <c r="A360" s="34" t="s">
        <v>109</v>
      </c>
      <c r="B360" s="336">
        <v>2021</v>
      </c>
      <c r="C360" s="59" t="s">
        <v>85</v>
      </c>
      <c r="D360" s="59">
        <v>1559</v>
      </c>
      <c r="E360" s="493" t="s">
        <v>110</v>
      </c>
      <c r="F360" s="29">
        <v>1</v>
      </c>
      <c r="G360" s="9">
        <v>1</v>
      </c>
      <c r="H360" s="9">
        <v>1</v>
      </c>
      <c r="I360" s="9">
        <v>2</v>
      </c>
      <c r="J360" s="43">
        <v>2</v>
      </c>
      <c r="K360" s="260">
        <f t="shared" si="5"/>
        <v>0.35859414261160716</v>
      </c>
      <c r="L360" s="163" t="s">
        <v>111</v>
      </c>
    </row>
    <row r="361" spans="1:12">
      <c r="A361" s="34" t="s">
        <v>109</v>
      </c>
      <c r="B361" s="336">
        <v>2021</v>
      </c>
      <c r="C361" s="59" t="s">
        <v>86</v>
      </c>
      <c r="D361" s="59">
        <v>290</v>
      </c>
      <c r="E361" s="493" t="s">
        <v>110</v>
      </c>
      <c r="F361" s="29">
        <v>1</v>
      </c>
      <c r="G361" s="9">
        <v>1</v>
      </c>
      <c r="H361" s="9">
        <v>1</v>
      </c>
      <c r="I361" s="9">
        <v>2</v>
      </c>
      <c r="J361" s="43">
        <v>2</v>
      </c>
      <c r="K361" s="260">
        <f t="shared" si="5"/>
        <v>0.35859414261160716</v>
      </c>
      <c r="L361" s="163" t="s">
        <v>111</v>
      </c>
    </row>
    <row r="362" spans="1:12">
      <c r="A362" s="34" t="s">
        <v>109</v>
      </c>
      <c r="B362" s="336">
        <v>2021</v>
      </c>
      <c r="C362" s="59" t="s">
        <v>87</v>
      </c>
      <c r="D362" s="59">
        <v>852</v>
      </c>
      <c r="E362" s="493" t="s">
        <v>110</v>
      </c>
      <c r="F362" s="29">
        <v>1</v>
      </c>
      <c r="G362" s="9">
        <v>1</v>
      </c>
      <c r="H362" s="9">
        <v>1</v>
      </c>
      <c r="I362" s="9">
        <v>2</v>
      </c>
      <c r="J362" s="43">
        <v>2</v>
      </c>
      <c r="K362" s="260">
        <f t="shared" si="5"/>
        <v>0.35859414261160716</v>
      </c>
      <c r="L362" s="163" t="s">
        <v>111</v>
      </c>
    </row>
    <row r="363" spans="1:12">
      <c r="A363" s="34" t="s">
        <v>109</v>
      </c>
      <c r="B363" s="336">
        <v>2021</v>
      </c>
      <c r="C363" s="59" t="s">
        <v>88</v>
      </c>
      <c r="D363" s="59">
        <v>9</v>
      </c>
      <c r="E363" s="493" t="s">
        <v>110</v>
      </c>
      <c r="F363" s="29">
        <v>1</v>
      </c>
      <c r="G363" s="9">
        <v>1</v>
      </c>
      <c r="H363" s="9">
        <v>1</v>
      </c>
      <c r="I363" s="9">
        <v>2</v>
      </c>
      <c r="J363" s="43">
        <v>2</v>
      </c>
      <c r="K363" s="260">
        <f t="shared" si="5"/>
        <v>0.35859414261160716</v>
      </c>
      <c r="L363" s="163" t="s">
        <v>111</v>
      </c>
    </row>
    <row r="364" spans="1:12">
      <c r="A364" s="34" t="s">
        <v>109</v>
      </c>
      <c r="B364" s="336">
        <v>2021</v>
      </c>
      <c r="C364" s="59" t="s">
        <v>89</v>
      </c>
      <c r="D364" s="59">
        <v>231</v>
      </c>
      <c r="E364" s="493" t="s">
        <v>110</v>
      </c>
      <c r="F364" s="29">
        <v>1</v>
      </c>
      <c r="G364" s="9">
        <v>1</v>
      </c>
      <c r="H364" s="9">
        <v>1</v>
      </c>
      <c r="I364" s="9">
        <v>2</v>
      </c>
      <c r="J364" s="43">
        <v>2</v>
      </c>
      <c r="K364" s="260">
        <f t="shared" si="5"/>
        <v>0.35859414261160716</v>
      </c>
      <c r="L364" s="163" t="s">
        <v>111</v>
      </c>
    </row>
    <row r="365" spans="1:12">
      <c r="A365" s="34" t="s">
        <v>109</v>
      </c>
      <c r="B365" s="336">
        <v>2021</v>
      </c>
      <c r="C365" s="59" t="s">
        <v>90</v>
      </c>
      <c r="D365" s="59">
        <v>610</v>
      </c>
      <c r="E365" s="493" t="s">
        <v>110</v>
      </c>
      <c r="F365" s="29">
        <v>1</v>
      </c>
      <c r="G365" s="9">
        <v>1</v>
      </c>
      <c r="H365" s="9">
        <v>1</v>
      </c>
      <c r="I365" s="9">
        <v>2</v>
      </c>
      <c r="J365" s="43">
        <v>2</v>
      </c>
      <c r="K365" s="260">
        <f t="shared" si="5"/>
        <v>0.35859414261160716</v>
      </c>
      <c r="L365" s="163" t="s">
        <v>111</v>
      </c>
    </row>
    <row r="366" spans="1:12">
      <c r="A366" s="34" t="s">
        <v>109</v>
      </c>
      <c r="B366" s="336">
        <v>2021</v>
      </c>
      <c r="C366" s="59" t="s">
        <v>91</v>
      </c>
      <c r="D366" s="59">
        <v>576</v>
      </c>
      <c r="E366" s="493" t="s">
        <v>110</v>
      </c>
      <c r="F366" s="29">
        <v>1</v>
      </c>
      <c r="G366" s="9">
        <v>1</v>
      </c>
      <c r="H366" s="9">
        <v>1</v>
      </c>
      <c r="I366" s="9">
        <v>2</v>
      </c>
      <c r="J366" s="43">
        <v>2</v>
      </c>
      <c r="K366" s="260">
        <f t="shared" si="5"/>
        <v>0.35859414261160716</v>
      </c>
      <c r="L366" s="163" t="s">
        <v>111</v>
      </c>
    </row>
    <row r="367" spans="1:12">
      <c r="A367" s="34" t="s">
        <v>109</v>
      </c>
      <c r="B367" s="336">
        <v>2021</v>
      </c>
      <c r="C367" s="59" t="s">
        <v>94</v>
      </c>
      <c r="D367" s="59">
        <v>210</v>
      </c>
      <c r="E367" s="493" t="s">
        <v>110</v>
      </c>
      <c r="F367" s="29">
        <v>1</v>
      </c>
      <c r="G367" s="9">
        <v>1</v>
      </c>
      <c r="H367" s="9">
        <v>1</v>
      </c>
      <c r="I367" s="9">
        <v>2</v>
      </c>
      <c r="J367" s="43">
        <v>2</v>
      </c>
      <c r="K367" s="260">
        <f t="shared" si="5"/>
        <v>0.35859414261160716</v>
      </c>
      <c r="L367" s="163" t="s">
        <v>111</v>
      </c>
    </row>
    <row r="368" spans="1:12">
      <c r="A368" s="34" t="s">
        <v>109</v>
      </c>
      <c r="B368" s="336">
        <v>2021</v>
      </c>
      <c r="C368" s="59" t="s">
        <v>96</v>
      </c>
      <c r="D368" s="59">
        <v>477</v>
      </c>
      <c r="E368" s="493" t="s">
        <v>110</v>
      </c>
      <c r="F368" s="29">
        <v>1</v>
      </c>
      <c r="G368" s="9">
        <v>1</v>
      </c>
      <c r="H368" s="9">
        <v>1</v>
      </c>
      <c r="I368" s="9">
        <v>2</v>
      </c>
      <c r="J368" s="43">
        <v>2</v>
      </c>
      <c r="K368" s="260">
        <f t="shared" si="5"/>
        <v>0.35859414261160716</v>
      </c>
      <c r="L368" s="163" t="s">
        <v>111</v>
      </c>
    </row>
    <row r="369" spans="1:12">
      <c r="A369" s="34" t="s">
        <v>109</v>
      </c>
      <c r="B369" s="336">
        <v>2021</v>
      </c>
      <c r="C369" s="59" t="s">
        <v>97</v>
      </c>
      <c r="D369" s="59">
        <v>184</v>
      </c>
      <c r="E369" s="493" t="s">
        <v>110</v>
      </c>
      <c r="F369" s="29">
        <v>1</v>
      </c>
      <c r="G369" s="9">
        <v>1</v>
      </c>
      <c r="H369" s="9">
        <v>1</v>
      </c>
      <c r="I369" s="9">
        <v>2</v>
      </c>
      <c r="J369" s="43">
        <v>2</v>
      </c>
      <c r="K369" s="260">
        <f t="shared" si="5"/>
        <v>0.35859414261160716</v>
      </c>
      <c r="L369" s="163" t="s">
        <v>111</v>
      </c>
    </row>
    <row r="370" spans="1:12">
      <c r="A370" s="34" t="s">
        <v>109</v>
      </c>
      <c r="B370" s="336">
        <v>2021</v>
      </c>
      <c r="C370" s="59" t="s">
        <v>95</v>
      </c>
      <c r="D370" s="59">
        <v>200</v>
      </c>
      <c r="E370" s="493" t="s">
        <v>110</v>
      </c>
      <c r="F370" s="29">
        <v>1</v>
      </c>
      <c r="G370" s="9">
        <v>1</v>
      </c>
      <c r="H370" s="9">
        <v>1</v>
      </c>
      <c r="I370" s="9">
        <v>2</v>
      </c>
      <c r="J370" s="43">
        <v>2</v>
      </c>
      <c r="K370" s="260">
        <f t="shared" si="5"/>
        <v>0.35859414261160716</v>
      </c>
      <c r="L370" s="163" t="s">
        <v>111</v>
      </c>
    </row>
    <row r="371" spans="1:12">
      <c r="A371" s="34" t="s">
        <v>109</v>
      </c>
      <c r="B371" s="336">
        <v>2021</v>
      </c>
      <c r="C371" s="59" t="s">
        <v>93</v>
      </c>
      <c r="D371" s="59">
        <v>82</v>
      </c>
      <c r="E371" s="493" t="s">
        <v>110</v>
      </c>
      <c r="F371" s="29">
        <v>1</v>
      </c>
      <c r="G371" s="9">
        <v>1</v>
      </c>
      <c r="H371" s="9">
        <v>1</v>
      </c>
      <c r="I371" s="9">
        <v>2</v>
      </c>
      <c r="J371" s="43">
        <v>2</v>
      </c>
      <c r="K371" s="260">
        <f t="shared" si="5"/>
        <v>0.35859414261160716</v>
      </c>
      <c r="L371" s="163" t="s">
        <v>111</v>
      </c>
    </row>
    <row r="372" spans="1:12" ht="15" thickBot="1">
      <c r="A372" s="149" t="s">
        <v>109</v>
      </c>
      <c r="B372" s="639">
        <v>2021</v>
      </c>
      <c r="C372" s="798" t="s">
        <v>98</v>
      </c>
      <c r="D372" s="798">
        <v>2480</v>
      </c>
      <c r="E372" s="779" t="s">
        <v>110</v>
      </c>
      <c r="F372" s="154">
        <v>1</v>
      </c>
      <c r="G372" s="119">
        <v>1</v>
      </c>
      <c r="H372" s="119">
        <v>1</v>
      </c>
      <c r="I372" s="119">
        <v>2</v>
      </c>
      <c r="J372" s="155">
        <v>2</v>
      </c>
      <c r="K372" s="287">
        <f t="shared" si="5"/>
        <v>0.35859414261160716</v>
      </c>
      <c r="L372" s="795" t="s">
        <v>111</v>
      </c>
    </row>
    <row r="373" spans="1:12">
      <c r="A373" s="33" t="s">
        <v>112</v>
      </c>
      <c r="B373" s="39">
        <v>2017</v>
      </c>
      <c r="C373" s="33" t="s">
        <v>91</v>
      </c>
      <c r="D373" s="789">
        <v>30.108566666666665</v>
      </c>
      <c r="E373" s="150" t="s">
        <v>113</v>
      </c>
      <c r="F373" s="28">
        <v>1</v>
      </c>
      <c r="G373" s="11">
        <v>1</v>
      </c>
      <c r="H373" s="11">
        <v>2</v>
      </c>
      <c r="I373" s="11">
        <v>3</v>
      </c>
      <c r="J373" s="42">
        <v>2</v>
      </c>
      <c r="K373" s="259">
        <f t="shared" si="5"/>
        <v>0.48935255543384243</v>
      </c>
      <c r="L373" s="162"/>
    </row>
    <row r="374" spans="1:12">
      <c r="A374" s="34" t="s">
        <v>112</v>
      </c>
      <c r="B374" s="40">
        <v>2017</v>
      </c>
      <c r="C374" s="34" t="s">
        <v>86</v>
      </c>
      <c r="D374" s="790">
        <v>7.2763666666666662</v>
      </c>
      <c r="E374" s="151" t="s">
        <v>113</v>
      </c>
      <c r="F374" s="29">
        <v>1</v>
      </c>
      <c r="G374" s="9">
        <v>1</v>
      </c>
      <c r="H374" s="9">
        <v>2</v>
      </c>
      <c r="I374" s="9">
        <v>3</v>
      </c>
      <c r="J374" s="43">
        <v>2</v>
      </c>
      <c r="K374" s="260">
        <f t="shared" si="5"/>
        <v>0.48935255543384243</v>
      </c>
      <c r="L374" s="163"/>
    </row>
    <row r="375" spans="1:12">
      <c r="A375" s="34" t="s">
        <v>112</v>
      </c>
      <c r="B375" s="40">
        <v>2017</v>
      </c>
      <c r="C375" s="34" t="s">
        <v>95</v>
      </c>
      <c r="D375" s="790">
        <v>4.2913999999999994</v>
      </c>
      <c r="E375" s="151" t="s">
        <v>113</v>
      </c>
      <c r="F375" s="29">
        <v>1</v>
      </c>
      <c r="G375" s="9">
        <v>1</v>
      </c>
      <c r="H375" s="9">
        <v>2</v>
      </c>
      <c r="I375" s="9">
        <v>3</v>
      </c>
      <c r="J375" s="43">
        <v>2</v>
      </c>
      <c r="K375" s="260">
        <f t="shared" si="5"/>
        <v>0.48935255543384243</v>
      </c>
      <c r="L375" s="163"/>
    </row>
    <row r="376" spans="1:12">
      <c r="A376" s="34" t="s">
        <v>112</v>
      </c>
      <c r="B376" s="40">
        <v>2017</v>
      </c>
      <c r="C376" s="34" t="s">
        <v>87</v>
      </c>
      <c r="D376" s="790">
        <v>4.2263666666666664</v>
      </c>
      <c r="E376" s="151" t="s">
        <v>113</v>
      </c>
      <c r="F376" s="29">
        <v>1</v>
      </c>
      <c r="G376" s="9">
        <v>1</v>
      </c>
      <c r="H376" s="9">
        <v>2</v>
      </c>
      <c r="I376" s="9">
        <v>3</v>
      </c>
      <c r="J376" s="43">
        <v>2</v>
      </c>
      <c r="K376" s="260">
        <f t="shared" si="5"/>
        <v>0.48935255543384243</v>
      </c>
      <c r="L376" s="163"/>
    </row>
    <row r="377" spans="1:12" ht="15" thickBot="1">
      <c r="A377" s="35" t="s">
        <v>112</v>
      </c>
      <c r="B377" s="41">
        <v>2017</v>
      </c>
      <c r="C377" s="35" t="s">
        <v>99</v>
      </c>
      <c r="D377" s="793">
        <v>2.6073</v>
      </c>
      <c r="E377" s="152" t="s">
        <v>113</v>
      </c>
      <c r="F377" s="30">
        <v>1</v>
      </c>
      <c r="G377" s="12">
        <v>1</v>
      </c>
      <c r="H377" s="12">
        <v>2</v>
      </c>
      <c r="I377" s="12">
        <v>3</v>
      </c>
      <c r="J377" s="44">
        <v>2</v>
      </c>
      <c r="K377" s="261">
        <f t="shared" si="5"/>
        <v>0.48935255543384243</v>
      </c>
      <c r="L377" s="164"/>
    </row>
    <row r="378" spans="1:12">
      <c r="A378" s="60" t="s">
        <v>114</v>
      </c>
      <c r="B378" s="800">
        <v>1995</v>
      </c>
      <c r="C378" s="801" t="s">
        <v>85</v>
      </c>
      <c r="D378" s="801">
        <v>415</v>
      </c>
      <c r="E378" s="785" t="s">
        <v>110</v>
      </c>
      <c r="F378" s="656">
        <v>1</v>
      </c>
      <c r="G378" s="118">
        <v>1</v>
      </c>
      <c r="H378" s="118">
        <v>1</v>
      </c>
      <c r="I378" s="118">
        <v>2</v>
      </c>
      <c r="J378" s="657">
        <v>2</v>
      </c>
      <c r="K378" s="570">
        <f t="shared" si="5"/>
        <v>0.35859414261160716</v>
      </c>
      <c r="L378" s="649" t="s">
        <v>111</v>
      </c>
    </row>
    <row r="379" spans="1:12">
      <c r="A379" s="34" t="s">
        <v>114</v>
      </c>
      <c r="B379" s="336">
        <v>1995</v>
      </c>
      <c r="C379" s="59" t="s">
        <v>86</v>
      </c>
      <c r="D379" s="59">
        <v>130</v>
      </c>
      <c r="E379" s="493" t="s">
        <v>110</v>
      </c>
      <c r="F379" s="29">
        <v>1</v>
      </c>
      <c r="G379" s="9">
        <v>1</v>
      </c>
      <c r="H379" s="9">
        <v>1</v>
      </c>
      <c r="I379" s="9">
        <v>2</v>
      </c>
      <c r="J379" s="43">
        <v>2</v>
      </c>
      <c r="K379" s="260">
        <f t="shared" si="5"/>
        <v>0.35859414261160716</v>
      </c>
      <c r="L379" s="163" t="s">
        <v>111</v>
      </c>
    </row>
    <row r="380" spans="1:12">
      <c r="A380" s="34" t="s">
        <v>114</v>
      </c>
      <c r="B380" s="336">
        <v>1995</v>
      </c>
      <c r="C380" s="59" t="s">
        <v>87</v>
      </c>
      <c r="D380" s="59">
        <v>145</v>
      </c>
      <c r="E380" s="493" t="s">
        <v>110</v>
      </c>
      <c r="F380" s="29">
        <v>1</v>
      </c>
      <c r="G380" s="9">
        <v>1</v>
      </c>
      <c r="H380" s="9">
        <v>1</v>
      </c>
      <c r="I380" s="9">
        <v>2</v>
      </c>
      <c r="J380" s="43">
        <v>2</v>
      </c>
      <c r="K380" s="260">
        <f t="shared" si="5"/>
        <v>0.35859414261160716</v>
      </c>
      <c r="L380" s="163" t="s">
        <v>111</v>
      </c>
    </row>
    <row r="381" spans="1:12">
      <c r="A381" s="34" t="s">
        <v>114</v>
      </c>
      <c r="B381" s="336">
        <v>1995</v>
      </c>
      <c r="C381" s="59" t="s">
        <v>88</v>
      </c>
      <c r="D381" s="59">
        <v>103</v>
      </c>
      <c r="E381" s="493" t="s">
        <v>110</v>
      </c>
      <c r="F381" s="29">
        <v>1</v>
      </c>
      <c r="G381" s="9">
        <v>1</v>
      </c>
      <c r="H381" s="9">
        <v>1</v>
      </c>
      <c r="I381" s="9">
        <v>2</v>
      </c>
      <c r="J381" s="43">
        <v>2</v>
      </c>
      <c r="K381" s="260">
        <f t="shared" ref="K381:K444" si="6">IF( OR( ISBLANK(F381),ISBLANK(G381), ISBLANK(H381), ISBLANK(I381), ISBLANK(J381) ), "", 1.5*SQRT(   EXP(2.21*(F381-1)) + EXP(2.21*(G381-1)) + EXP(2.21*(H381-1)) + EXP(2.21*(I381-1)) + EXP(2.21*J381)   )/100*2.45 )</f>
        <v>0.35859414261160716</v>
      </c>
      <c r="L381" s="163" t="s">
        <v>111</v>
      </c>
    </row>
    <row r="382" spans="1:12">
      <c r="A382" s="34" t="s">
        <v>114</v>
      </c>
      <c r="B382" s="336">
        <v>1995</v>
      </c>
      <c r="C382" s="59" t="s">
        <v>89</v>
      </c>
      <c r="D382" s="59">
        <v>29</v>
      </c>
      <c r="E382" s="493" t="s">
        <v>110</v>
      </c>
      <c r="F382" s="29">
        <v>1</v>
      </c>
      <c r="G382" s="9">
        <v>1</v>
      </c>
      <c r="H382" s="9">
        <v>1</v>
      </c>
      <c r="I382" s="9">
        <v>2</v>
      </c>
      <c r="J382" s="43">
        <v>2</v>
      </c>
      <c r="K382" s="260">
        <f t="shared" si="6"/>
        <v>0.35859414261160716</v>
      </c>
      <c r="L382" s="163" t="s">
        <v>111</v>
      </c>
    </row>
    <row r="383" spans="1:12">
      <c r="A383" s="34" t="s">
        <v>114</v>
      </c>
      <c r="B383" s="336">
        <v>1995</v>
      </c>
      <c r="C383" s="59" t="s">
        <v>90</v>
      </c>
      <c r="D383" s="59">
        <v>213</v>
      </c>
      <c r="E383" s="493" t="s">
        <v>110</v>
      </c>
      <c r="F383" s="29">
        <v>1</v>
      </c>
      <c r="G383" s="9">
        <v>1</v>
      </c>
      <c r="H383" s="9">
        <v>1</v>
      </c>
      <c r="I383" s="9">
        <v>2</v>
      </c>
      <c r="J383" s="43">
        <v>2</v>
      </c>
      <c r="K383" s="260">
        <f t="shared" si="6"/>
        <v>0.35859414261160716</v>
      </c>
      <c r="L383" s="163" t="s">
        <v>111</v>
      </c>
    </row>
    <row r="384" spans="1:12">
      <c r="A384" s="34" t="s">
        <v>114</v>
      </c>
      <c r="B384" s="336">
        <v>1995</v>
      </c>
      <c r="C384" s="59" t="s">
        <v>91</v>
      </c>
      <c r="D384" s="59">
        <v>0</v>
      </c>
      <c r="E384" s="493" t="s">
        <v>110</v>
      </c>
      <c r="F384" s="29">
        <v>1</v>
      </c>
      <c r="G384" s="9">
        <v>1</v>
      </c>
      <c r="H384" s="9">
        <v>1</v>
      </c>
      <c r="I384" s="9">
        <v>2</v>
      </c>
      <c r="J384" s="43">
        <v>2</v>
      </c>
      <c r="K384" s="260">
        <f t="shared" si="6"/>
        <v>0.35859414261160716</v>
      </c>
      <c r="L384" s="163" t="s">
        <v>111</v>
      </c>
    </row>
    <row r="385" spans="1:12">
      <c r="A385" s="34" t="s">
        <v>114</v>
      </c>
      <c r="B385" s="336">
        <v>1995</v>
      </c>
      <c r="C385" s="59" t="s">
        <v>94</v>
      </c>
      <c r="D385" s="59">
        <v>17</v>
      </c>
      <c r="E385" s="493" t="s">
        <v>110</v>
      </c>
      <c r="F385" s="29">
        <v>1</v>
      </c>
      <c r="G385" s="9">
        <v>1</v>
      </c>
      <c r="H385" s="9">
        <v>1</v>
      </c>
      <c r="I385" s="9">
        <v>2</v>
      </c>
      <c r="J385" s="43">
        <v>2</v>
      </c>
      <c r="K385" s="260">
        <f t="shared" si="6"/>
        <v>0.35859414261160716</v>
      </c>
      <c r="L385" s="163" t="s">
        <v>111</v>
      </c>
    </row>
    <row r="386" spans="1:12">
      <c r="A386" s="34" t="s">
        <v>114</v>
      </c>
      <c r="B386" s="336">
        <v>1995</v>
      </c>
      <c r="C386" s="59" t="s">
        <v>96</v>
      </c>
      <c r="D386" s="59">
        <v>38</v>
      </c>
      <c r="E386" s="493" t="s">
        <v>110</v>
      </c>
      <c r="F386" s="29">
        <v>1</v>
      </c>
      <c r="G386" s="9">
        <v>1</v>
      </c>
      <c r="H386" s="9">
        <v>1</v>
      </c>
      <c r="I386" s="9">
        <v>2</v>
      </c>
      <c r="J386" s="43">
        <v>2</v>
      </c>
      <c r="K386" s="260">
        <f t="shared" si="6"/>
        <v>0.35859414261160716</v>
      </c>
      <c r="L386" s="163" t="s">
        <v>111</v>
      </c>
    </row>
    <row r="387" spans="1:12">
      <c r="A387" s="34" t="s">
        <v>114</v>
      </c>
      <c r="B387" s="336">
        <v>1995</v>
      </c>
      <c r="C387" s="59" t="s">
        <v>97</v>
      </c>
      <c r="D387" s="59">
        <v>84</v>
      </c>
      <c r="E387" s="493" t="s">
        <v>110</v>
      </c>
      <c r="F387" s="29">
        <v>1</v>
      </c>
      <c r="G387" s="9">
        <v>1</v>
      </c>
      <c r="H387" s="9">
        <v>1</v>
      </c>
      <c r="I387" s="9">
        <v>2</v>
      </c>
      <c r="J387" s="43">
        <v>2</v>
      </c>
      <c r="K387" s="260">
        <f t="shared" si="6"/>
        <v>0.35859414261160716</v>
      </c>
      <c r="L387" s="163" t="s">
        <v>111</v>
      </c>
    </row>
    <row r="388" spans="1:12">
      <c r="A388" s="34" t="s">
        <v>114</v>
      </c>
      <c r="B388" s="336">
        <v>1995</v>
      </c>
      <c r="C388" s="59" t="s">
        <v>95</v>
      </c>
      <c r="D388" s="59">
        <v>142</v>
      </c>
      <c r="E388" s="493" t="s">
        <v>110</v>
      </c>
      <c r="F388" s="29">
        <v>1</v>
      </c>
      <c r="G388" s="9">
        <v>1</v>
      </c>
      <c r="H388" s="9">
        <v>1</v>
      </c>
      <c r="I388" s="9">
        <v>2</v>
      </c>
      <c r="J388" s="43">
        <v>2</v>
      </c>
      <c r="K388" s="260">
        <f t="shared" si="6"/>
        <v>0.35859414261160716</v>
      </c>
      <c r="L388" s="163" t="s">
        <v>111</v>
      </c>
    </row>
    <row r="389" spans="1:12">
      <c r="A389" s="34" t="s">
        <v>114</v>
      </c>
      <c r="B389" s="336">
        <v>1995</v>
      </c>
      <c r="C389" s="59" t="s">
        <v>93</v>
      </c>
      <c r="D389" s="59">
        <v>19</v>
      </c>
      <c r="E389" s="493" t="s">
        <v>110</v>
      </c>
      <c r="F389" s="29">
        <v>1</v>
      </c>
      <c r="G389" s="9">
        <v>1</v>
      </c>
      <c r="H389" s="9">
        <v>1</v>
      </c>
      <c r="I389" s="9">
        <v>2</v>
      </c>
      <c r="J389" s="43">
        <v>2</v>
      </c>
      <c r="K389" s="260">
        <f t="shared" si="6"/>
        <v>0.35859414261160716</v>
      </c>
      <c r="L389" s="163" t="s">
        <v>111</v>
      </c>
    </row>
    <row r="390" spans="1:12">
      <c r="A390" s="34" t="s">
        <v>114</v>
      </c>
      <c r="B390" s="336">
        <v>1995</v>
      </c>
      <c r="C390" s="59" t="s">
        <v>98</v>
      </c>
      <c r="D390" s="59">
        <v>540</v>
      </c>
      <c r="E390" s="493" t="s">
        <v>110</v>
      </c>
      <c r="F390" s="29">
        <v>1</v>
      </c>
      <c r="G390" s="9">
        <v>1</v>
      </c>
      <c r="H390" s="9">
        <v>1</v>
      </c>
      <c r="I390" s="9">
        <v>2</v>
      </c>
      <c r="J390" s="43">
        <v>2</v>
      </c>
      <c r="K390" s="260">
        <f t="shared" si="6"/>
        <v>0.35859414261160716</v>
      </c>
      <c r="L390" s="163" t="s">
        <v>111</v>
      </c>
    </row>
    <row r="391" spans="1:12">
      <c r="A391" s="34" t="s">
        <v>114</v>
      </c>
      <c r="B391" s="336">
        <v>1996</v>
      </c>
      <c r="C391" s="59" t="s">
        <v>85</v>
      </c>
      <c r="D391" s="59">
        <v>368</v>
      </c>
      <c r="E391" s="493" t="s">
        <v>110</v>
      </c>
      <c r="F391" s="29">
        <v>1</v>
      </c>
      <c r="G391" s="9">
        <v>1</v>
      </c>
      <c r="H391" s="9">
        <v>1</v>
      </c>
      <c r="I391" s="9">
        <v>2</v>
      </c>
      <c r="J391" s="43">
        <v>2</v>
      </c>
      <c r="K391" s="260">
        <f t="shared" si="6"/>
        <v>0.35859414261160716</v>
      </c>
      <c r="L391" s="163" t="s">
        <v>111</v>
      </c>
    </row>
    <row r="392" spans="1:12">
      <c r="A392" s="34" t="s">
        <v>114</v>
      </c>
      <c r="B392" s="336">
        <v>1996</v>
      </c>
      <c r="C392" s="59" t="s">
        <v>86</v>
      </c>
      <c r="D392" s="59">
        <v>134</v>
      </c>
      <c r="E392" s="493" t="s">
        <v>110</v>
      </c>
      <c r="F392" s="29">
        <v>1</v>
      </c>
      <c r="G392" s="9">
        <v>1</v>
      </c>
      <c r="H392" s="9">
        <v>1</v>
      </c>
      <c r="I392" s="9">
        <v>2</v>
      </c>
      <c r="J392" s="43">
        <v>2</v>
      </c>
      <c r="K392" s="260">
        <f t="shared" si="6"/>
        <v>0.35859414261160716</v>
      </c>
      <c r="L392" s="163" t="s">
        <v>111</v>
      </c>
    </row>
    <row r="393" spans="1:12">
      <c r="A393" s="34" t="s">
        <v>114</v>
      </c>
      <c r="B393" s="336">
        <v>1996</v>
      </c>
      <c r="C393" s="59" t="s">
        <v>87</v>
      </c>
      <c r="D393" s="59">
        <v>168</v>
      </c>
      <c r="E393" s="493" t="s">
        <v>110</v>
      </c>
      <c r="F393" s="29">
        <v>1</v>
      </c>
      <c r="G393" s="9">
        <v>1</v>
      </c>
      <c r="H393" s="9">
        <v>1</v>
      </c>
      <c r="I393" s="9">
        <v>2</v>
      </c>
      <c r="J393" s="43">
        <v>2</v>
      </c>
      <c r="K393" s="260">
        <f t="shared" si="6"/>
        <v>0.35859414261160716</v>
      </c>
      <c r="L393" s="163" t="s">
        <v>111</v>
      </c>
    </row>
    <row r="394" spans="1:12">
      <c r="A394" s="34" t="s">
        <v>114</v>
      </c>
      <c r="B394" s="336">
        <v>1996</v>
      </c>
      <c r="C394" s="59" t="s">
        <v>88</v>
      </c>
      <c r="D394" s="59">
        <v>113</v>
      </c>
      <c r="E394" s="493" t="s">
        <v>110</v>
      </c>
      <c r="F394" s="29">
        <v>1</v>
      </c>
      <c r="G394" s="9">
        <v>1</v>
      </c>
      <c r="H394" s="9">
        <v>1</v>
      </c>
      <c r="I394" s="9">
        <v>2</v>
      </c>
      <c r="J394" s="43">
        <v>2</v>
      </c>
      <c r="K394" s="260">
        <f t="shared" si="6"/>
        <v>0.35859414261160716</v>
      </c>
      <c r="L394" s="163" t="s">
        <v>111</v>
      </c>
    </row>
    <row r="395" spans="1:12">
      <c r="A395" s="34" t="s">
        <v>114</v>
      </c>
      <c r="B395" s="336">
        <v>1996</v>
      </c>
      <c r="C395" s="59" t="s">
        <v>89</v>
      </c>
      <c r="D395" s="59">
        <v>45</v>
      </c>
      <c r="E395" s="493" t="s">
        <v>110</v>
      </c>
      <c r="F395" s="29">
        <v>1</v>
      </c>
      <c r="G395" s="9">
        <v>1</v>
      </c>
      <c r="H395" s="9">
        <v>1</v>
      </c>
      <c r="I395" s="9">
        <v>2</v>
      </c>
      <c r="J395" s="43">
        <v>2</v>
      </c>
      <c r="K395" s="260">
        <f t="shared" si="6"/>
        <v>0.35859414261160716</v>
      </c>
      <c r="L395" s="163" t="s">
        <v>111</v>
      </c>
    </row>
    <row r="396" spans="1:12">
      <c r="A396" s="34" t="s">
        <v>114</v>
      </c>
      <c r="B396" s="336">
        <v>1996</v>
      </c>
      <c r="C396" s="59" t="s">
        <v>90</v>
      </c>
      <c r="D396" s="59">
        <v>287</v>
      </c>
      <c r="E396" s="493" t="s">
        <v>110</v>
      </c>
      <c r="F396" s="29">
        <v>1</v>
      </c>
      <c r="G396" s="9">
        <v>1</v>
      </c>
      <c r="H396" s="9">
        <v>1</v>
      </c>
      <c r="I396" s="9">
        <v>2</v>
      </c>
      <c r="J396" s="43">
        <v>2</v>
      </c>
      <c r="K396" s="260">
        <f t="shared" si="6"/>
        <v>0.35859414261160716</v>
      </c>
      <c r="L396" s="163" t="s">
        <v>111</v>
      </c>
    </row>
    <row r="397" spans="1:12">
      <c r="A397" s="34" t="s">
        <v>114</v>
      </c>
      <c r="B397" s="336">
        <v>1996</v>
      </c>
      <c r="C397" s="59" t="s">
        <v>91</v>
      </c>
      <c r="D397" s="59">
        <v>0</v>
      </c>
      <c r="E397" s="493" t="s">
        <v>110</v>
      </c>
      <c r="F397" s="29">
        <v>1</v>
      </c>
      <c r="G397" s="9">
        <v>1</v>
      </c>
      <c r="H397" s="9">
        <v>1</v>
      </c>
      <c r="I397" s="9">
        <v>2</v>
      </c>
      <c r="J397" s="43">
        <v>2</v>
      </c>
      <c r="K397" s="260">
        <f t="shared" si="6"/>
        <v>0.35859414261160716</v>
      </c>
      <c r="L397" s="163" t="s">
        <v>111</v>
      </c>
    </row>
    <row r="398" spans="1:12">
      <c r="A398" s="34" t="s">
        <v>114</v>
      </c>
      <c r="B398" s="336">
        <v>1996</v>
      </c>
      <c r="C398" s="59" t="s">
        <v>94</v>
      </c>
      <c r="D398" s="59">
        <v>17</v>
      </c>
      <c r="E398" s="493" t="s">
        <v>110</v>
      </c>
      <c r="F398" s="29">
        <v>1</v>
      </c>
      <c r="G398" s="9">
        <v>1</v>
      </c>
      <c r="H398" s="9">
        <v>1</v>
      </c>
      <c r="I398" s="9">
        <v>2</v>
      </c>
      <c r="J398" s="43">
        <v>2</v>
      </c>
      <c r="K398" s="260">
        <f t="shared" si="6"/>
        <v>0.35859414261160716</v>
      </c>
      <c r="L398" s="163" t="s">
        <v>111</v>
      </c>
    </row>
    <row r="399" spans="1:12">
      <c r="A399" s="34" t="s">
        <v>114</v>
      </c>
      <c r="B399" s="336">
        <v>1996</v>
      </c>
      <c r="C399" s="59" t="s">
        <v>96</v>
      </c>
      <c r="D399" s="59">
        <v>47</v>
      </c>
      <c r="E399" s="493" t="s">
        <v>110</v>
      </c>
      <c r="F399" s="29">
        <v>1</v>
      </c>
      <c r="G399" s="9">
        <v>1</v>
      </c>
      <c r="H399" s="9">
        <v>1</v>
      </c>
      <c r="I399" s="9">
        <v>2</v>
      </c>
      <c r="J399" s="43">
        <v>2</v>
      </c>
      <c r="K399" s="260">
        <f t="shared" si="6"/>
        <v>0.35859414261160716</v>
      </c>
      <c r="L399" s="163" t="s">
        <v>111</v>
      </c>
    </row>
    <row r="400" spans="1:12">
      <c r="A400" s="34" t="s">
        <v>114</v>
      </c>
      <c r="B400" s="336">
        <v>1996</v>
      </c>
      <c r="C400" s="59" t="s">
        <v>97</v>
      </c>
      <c r="D400" s="59">
        <v>86</v>
      </c>
      <c r="E400" s="493" t="s">
        <v>110</v>
      </c>
      <c r="F400" s="29">
        <v>1</v>
      </c>
      <c r="G400" s="9">
        <v>1</v>
      </c>
      <c r="H400" s="9">
        <v>1</v>
      </c>
      <c r="I400" s="9">
        <v>2</v>
      </c>
      <c r="J400" s="43">
        <v>2</v>
      </c>
      <c r="K400" s="260">
        <f t="shared" si="6"/>
        <v>0.35859414261160716</v>
      </c>
      <c r="L400" s="163" t="s">
        <v>111</v>
      </c>
    </row>
    <row r="401" spans="1:12">
      <c r="A401" s="34" t="s">
        <v>114</v>
      </c>
      <c r="B401" s="336">
        <v>1996</v>
      </c>
      <c r="C401" s="59" t="s">
        <v>95</v>
      </c>
      <c r="D401" s="59">
        <v>138</v>
      </c>
      <c r="E401" s="493" t="s">
        <v>110</v>
      </c>
      <c r="F401" s="29">
        <v>1</v>
      </c>
      <c r="G401" s="9">
        <v>1</v>
      </c>
      <c r="H401" s="9">
        <v>1</v>
      </c>
      <c r="I401" s="9">
        <v>2</v>
      </c>
      <c r="J401" s="43">
        <v>2</v>
      </c>
      <c r="K401" s="260">
        <f t="shared" si="6"/>
        <v>0.35859414261160716</v>
      </c>
      <c r="L401" s="163" t="s">
        <v>111</v>
      </c>
    </row>
    <row r="402" spans="1:12">
      <c r="A402" s="34" t="s">
        <v>114</v>
      </c>
      <c r="B402" s="336">
        <v>1996</v>
      </c>
      <c r="C402" s="59" t="s">
        <v>93</v>
      </c>
      <c r="D402" s="59">
        <v>20</v>
      </c>
      <c r="E402" s="493" t="s">
        <v>110</v>
      </c>
      <c r="F402" s="29">
        <v>1</v>
      </c>
      <c r="G402" s="9">
        <v>1</v>
      </c>
      <c r="H402" s="9">
        <v>1</v>
      </c>
      <c r="I402" s="9">
        <v>2</v>
      </c>
      <c r="J402" s="43">
        <v>2</v>
      </c>
      <c r="K402" s="260">
        <f t="shared" si="6"/>
        <v>0.35859414261160716</v>
      </c>
      <c r="L402" s="163" t="s">
        <v>111</v>
      </c>
    </row>
    <row r="403" spans="1:12">
      <c r="A403" s="34" t="s">
        <v>114</v>
      </c>
      <c r="B403" s="336">
        <v>1996</v>
      </c>
      <c r="C403" s="59" t="s">
        <v>98</v>
      </c>
      <c r="D403" s="59">
        <v>502</v>
      </c>
      <c r="E403" s="493" t="s">
        <v>110</v>
      </c>
      <c r="F403" s="29">
        <v>1</v>
      </c>
      <c r="G403" s="9">
        <v>1</v>
      </c>
      <c r="H403" s="9">
        <v>1</v>
      </c>
      <c r="I403" s="9">
        <v>2</v>
      </c>
      <c r="J403" s="43">
        <v>2</v>
      </c>
      <c r="K403" s="260">
        <f t="shared" si="6"/>
        <v>0.35859414261160716</v>
      </c>
      <c r="L403" s="163" t="s">
        <v>111</v>
      </c>
    </row>
    <row r="404" spans="1:12">
      <c r="A404" s="34" t="s">
        <v>114</v>
      </c>
      <c r="B404" s="336">
        <v>1997</v>
      </c>
      <c r="C404" s="59" t="s">
        <v>85</v>
      </c>
      <c r="D404" s="59">
        <v>405</v>
      </c>
      <c r="E404" s="493" t="s">
        <v>110</v>
      </c>
      <c r="F404" s="29">
        <v>1</v>
      </c>
      <c r="G404" s="9">
        <v>1</v>
      </c>
      <c r="H404" s="9">
        <v>1</v>
      </c>
      <c r="I404" s="9">
        <v>2</v>
      </c>
      <c r="J404" s="43">
        <v>2</v>
      </c>
      <c r="K404" s="260">
        <f t="shared" si="6"/>
        <v>0.35859414261160716</v>
      </c>
      <c r="L404" s="163" t="s">
        <v>111</v>
      </c>
    </row>
    <row r="405" spans="1:12">
      <c r="A405" s="34" t="s">
        <v>114</v>
      </c>
      <c r="B405" s="336">
        <v>1997</v>
      </c>
      <c r="C405" s="59" t="s">
        <v>86</v>
      </c>
      <c r="D405" s="59">
        <v>148</v>
      </c>
      <c r="E405" s="493" t="s">
        <v>110</v>
      </c>
      <c r="F405" s="29">
        <v>1</v>
      </c>
      <c r="G405" s="9">
        <v>1</v>
      </c>
      <c r="H405" s="9">
        <v>1</v>
      </c>
      <c r="I405" s="9">
        <v>2</v>
      </c>
      <c r="J405" s="43">
        <v>2</v>
      </c>
      <c r="K405" s="260">
        <f t="shared" si="6"/>
        <v>0.35859414261160716</v>
      </c>
      <c r="L405" s="163" t="s">
        <v>111</v>
      </c>
    </row>
    <row r="406" spans="1:12">
      <c r="A406" s="34" t="s">
        <v>114</v>
      </c>
      <c r="B406" s="336">
        <v>1997</v>
      </c>
      <c r="C406" s="59" t="s">
        <v>87</v>
      </c>
      <c r="D406" s="59">
        <v>199</v>
      </c>
      <c r="E406" s="493" t="s">
        <v>110</v>
      </c>
      <c r="F406" s="29">
        <v>1</v>
      </c>
      <c r="G406" s="9">
        <v>1</v>
      </c>
      <c r="H406" s="9">
        <v>1</v>
      </c>
      <c r="I406" s="9">
        <v>2</v>
      </c>
      <c r="J406" s="43">
        <v>2</v>
      </c>
      <c r="K406" s="260">
        <f t="shared" si="6"/>
        <v>0.35859414261160716</v>
      </c>
      <c r="L406" s="163" t="s">
        <v>111</v>
      </c>
    </row>
    <row r="407" spans="1:12">
      <c r="A407" s="34" t="s">
        <v>114</v>
      </c>
      <c r="B407" s="336">
        <v>1997</v>
      </c>
      <c r="C407" s="59" t="s">
        <v>88</v>
      </c>
      <c r="D407" s="59">
        <v>77</v>
      </c>
      <c r="E407" s="493" t="s">
        <v>110</v>
      </c>
      <c r="F407" s="29">
        <v>1</v>
      </c>
      <c r="G407" s="9">
        <v>1</v>
      </c>
      <c r="H407" s="9">
        <v>1</v>
      </c>
      <c r="I407" s="9">
        <v>2</v>
      </c>
      <c r="J407" s="43">
        <v>2</v>
      </c>
      <c r="K407" s="260">
        <f t="shared" si="6"/>
        <v>0.35859414261160716</v>
      </c>
      <c r="L407" s="163" t="s">
        <v>111</v>
      </c>
    </row>
    <row r="408" spans="1:12">
      <c r="A408" s="34" t="s">
        <v>114</v>
      </c>
      <c r="B408" s="336">
        <v>1997</v>
      </c>
      <c r="C408" s="59" t="s">
        <v>89</v>
      </c>
      <c r="D408" s="59">
        <v>43</v>
      </c>
      <c r="E408" s="493" t="s">
        <v>110</v>
      </c>
      <c r="F408" s="29">
        <v>1</v>
      </c>
      <c r="G408" s="9">
        <v>1</v>
      </c>
      <c r="H408" s="9">
        <v>1</v>
      </c>
      <c r="I408" s="9">
        <v>2</v>
      </c>
      <c r="J408" s="43">
        <v>2</v>
      </c>
      <c r="K408" s="260">
        <f t="shared" si="6"/>
        <v>0.35859414261160716</v>
      </c>
      <c r="L408" s="163" t="s">
        <v>111</v>
      </c>
    </row>
    <row r="409" spans="1:12">
      <c r="A409" s="34" t="s">
        <v>114</v>
      </c>
      <c r="B409" s="336">
        <v>1997</v>
      </c>
      <c r="C409" s="59" t="s">
        <v>90</v>
      </c>
      <c r="D409" s="59">
        <v>210</v>
      </c>
      <c r="E409" s="493" t="s">
        <v>110</v>
      </c>
      <c r="F409" s="29">
        <v>1</v>
      </c>
      <c r="G409" s="9">
        <v>1</v>
      </c>
      <c r="H409" s="9">
        <v>1</v>
      </c>
      <c r="I409" s="9">
        <v>2</v>
      </c>
      <c r="J409" s="43">
        <v>2</v>
      </c>
      <c r="K409" s="260">
        <f t="shared" si="6"/>
        <v>0.35859414261160716</v>
      </c>
      <c r="L409" s="163" t="s">
        <v>111</v>
      </c>
    </row>
    <row r="410" spans="1:12">
      <c r="A410" s="34" t="s">
        <v>114</v>
      </c>
      <c r="B410" s="336">
        <v>1997</v>
      </c>
      <c r="C410" s="59" t="s">
        <v>91</v>
      </c>
      <c r="D410" s="59">
        <v>0</v>
      </c>
      <c r="E410" s="493" t="s">
        <v>110</v>
      </c>
      <c r="F410" s="29">
        <v>1</v>
      </c>
      <c r="G410" s="9">
        <v>1</v>
      </c>
      <c r="H410" s="9">
        <v>1</v>
      </c>
      <c r="I410" s="9">
        <v>2</v>
      </c>
      <c r="J410" s="43">
        <v>2</v>
      </c>
      <c r="K410" s="260">
        <f t="shared" si="6"/>
        <v>0.35859414261160716</v>
      </c>
      <c r="L410" s="163" t="s">
        <v>111</v>
      </c>
    </row>
    <row r="411" spans="1:12">
      <c r="A411" s="34" t="s">
        <v>114</v>
      </c>
      <c r="B411" s="336">
        <v>1997</v>
      </c>
      <c r="C411" s="59" t="s">
        <v>94</v>
      </c>
      <c r="D411" s="59">
        <v>28</v>
      </c>
      <c r="E411" s="493" t="s">
        <v>110</v>
      </c>
      <c r="F411" s="29">
        <v>1</v>
      </c>
      <c r="G411" s="9">
        <v>1</v>
      </c>
      <c r="H411" s="9">
        <v>1</v>
      </c>
      <c r="I411" s="9">
        <v>2</v>
      </c>
      <c r="J411" s="43">
        <v>2</v>
      </c>
      <c r="K411" s="260">
        <f t="shared" si="6"/>
        <v>0.35859414261160716</v>
      </c>
      <c r="L411" s="163" t="s">
        <v>111</v>
      </c>
    </row>
    <row r="412" spans="1:12">
      <c r="A412" s="34" t="s">
        <v>114</v>
      </c>
      <c r="B412" s="336">
        <v>1997</v>
      </c>
      <c r="C412" s="59" t="s">
        <v>96</v>
      </c>
      <c r="D412" s="59">
        <v>47</v>
      </c>
      <c r="E412" s="493" t="s">
        <v>110</v>
      </c>
      <c r="F412" s="29">
        <v>1</v>
      </c>
      <c r="G412" s="9">
        <v>1</v>
      </c>
      <c r="H412" s="9">
        <v>1</v>
      </c>
      <c r="I412" s="9">
        <v>2</v>
      </c>
      <c r="J412" s="43">
        <v>2</v>
      </c>
      <c r="K412" s="260">
        <f t="shared" si="6"/>
        <v>0.35859414261160716</v>
      </c>
      <c r="L412" s="163" t="s">
        <v>111</v>
      </c>
    </row>
    <row r="413" spans="1:12">
      <c r="A413" s="34" t="s">
        <v>114</v>
      </c>
      <c r="B413" s="336">
        <v>1997</v>
      </c>
      <c r="C413" s="59" t="s">
        <v>97</v>
      </c>
      <c r="D413" s="59">
        <v>104</v>
      </c>
      <c r="E413" s="493" t="s">
        <v>110</v>
      </c>
      <c r="F413" s="29">
        <v>1</v>
      </c>
      <c r="G413" s="9">
        <v>1</v>
      </c>
      <c r="H413" s="9">
        <v>1</v>
      </c>
      <c r="I413" s="9">
        <v>2</v>
      </c>
      <c r="J413" s="43">
        <v>2</v>
      </c>
      <c r="K413" s="260">
        <f t="shared" si="6"/>
        <v>0.35859414261160716</v>
      </c>
      <c r="L413" s="163" t="s">
        <v>111</v>
      </c>
    </row>
    <row r="414" spans="1:12">
      <c r="A414" s="34" t="s">
        <v>114</v>
      </c>
      <c r="B414" s="336">
        <v>1997</v>
      </c>
      <c r="C414" s="59" t="s">
        <v>95</v>
      </c>
      <c r="D414" s="59">
        <v>135</v>
      </c>
      <c r="E414" s="493" t="s">
        <v>110</v>
      </c>
      <c r="F414" s="29">
        <v>1</v>
      </c>
      <c r="G414" s="9">
        <v>1</v>
      </c>
      <c r="H414" s="9">
        <v>1</v>
      </c>
      <c r="I414" s="9">
        <v>2</v>
      </c>
      <c r="J414" s="43">
        <v>2</v>
      </c>
      <c r="K414" s="260">
        <f t="shared" si="6"/>
        <v>0.35859414261160716</v>
      </c>
      <c r="L414" s="163" t="s">
        <v>111</v>
      </c>
    </row>
    <row r="415" spans="1:12">
      <c r="A415" s="34" t="s">
        <v>114</v>
      </c>
      <c r="B415" s="336">
        <v>1997</v>
      </c>
      <c r="C415" s="59" t="s">
        <v>93</v>
      </c>
      <c r="D415" s="59">
        <v>17</v>
      </c>
      <c r="E415" s="493" t="s">
        <v>110</v>
      </c>
      <c r="F415" s="29">
        <v>1</v>
      </c>
      <c r="G415" s="9">
        <v>1</v>
      </c>
      <c r="H415" s="9">
        <v>1</v>
      </c>
      <c r="I415" s="9">
        <v>2</v>
      </c>
      <c r="J415" s="43">
        <v>2</v>
      </c>
      <c r="K415" s="260">
        <f t="shared" si="6"/>
        <v>0.35859414261160716</v>
      </c>
      <c r="L415" s="163" t="s">
        <v>111</v>
      </c>
    </row>
    <row r="416" spans="1:12">
      <c r="A416" s="34" t="s">
        <v>114</v>
      </c>
      <c r="B416" s="336">
        <v>1997</v>
      </c>
      <c r="C416" s="59" t="s">
        <v>98</v>
      </c>
      <c r="D416" s="59">
        <v>556</v>
      </c>
      <c r="E416" s="493" t="s">
        <v>110</v>
      </c>
      <c r="F416" s="29">
        <v>1</v>
      </c>
      <c r="G416" s="9">
        <v>1</v>
      </c>
      <c r="H416" s="9">
        <v>1</v>
      </c>
      <c r="I416" s="9">
        <v>2</v>
      </c>
      <c r="J416" s="43">
        <v>2</v>
      </c>
      <c r="K416" s="260">
        <f t="shared" si="6"/>
        <v>0.35859414261160716</v>
      </c>
      <c r="L416" s="163" t="s">
        <v>111</v>
      </c>
    </row>
    <row r="417" spans="1:12">
      <c r="A417" s="34" t="s">
        <v>114</v>
      </c>
      <c r="B417" s="336">
        <v>1998</v>
      </c>
      <c r="C417" s="59" t="s">
        <v>85</v>
      </c>
      <c r="D417" s="59">
        <v>403</v>
      </c>
      <c r="E417" s="493" t="s">
        <v>110</v>
      </c>
      <c r="F417" s="29">
        <v>1</v>
      </c>
      <c r="G417" s="9">
        <v>1</v>
      </c>
      <c r="H417" s="9">
        <v>1</v>
      </c>
      <c r="I417" s="9">
        <v>2</v>
      </c>
      <c r="J417" s="43">
        <v>2</v>
      </c>
      <c r="K417" s="260">
        <f t="shared" si="6"/>
        <v>0.35859414261160716</v>
      </c>
      <c r="L417" s="163" t="s">
        <v>111</v>
      </c>
    </row>
    <row r="418" spans="1:12">
      <c r="A418" s="34" t="s">
        <v>114</v>
      </c>
      <c r="B418" s="336">
        <v>1998</v>
      </c>
      <c r="C418" s="59" t="s">
        <v>86</v>
      </c>
      <c r="D418" s="59">
        <v>195</v>
      </c>
      <c r="E418" s="493" t="s">
        <v>110</v>
      </c>
      <c r="F418" s="29">
        <v>1</v>
      </c>
      <c r="G418" s="9">
        <v>1</v>
      </c>
      <c r="H418" s="9">
        <v>1</v>
      </c>
      <c r="I418" s="9">
        <v>2</v>
      </c>
      <c r="J418" s="43">
        <v>2</v>
      </c>
      <c r="K418" s="260">
        <f t="shared" si="6"/>
        <v>0.35859414261160716</v>
      </c>
      <c r="L418" s="163" t="s">
        <v>111</v>
      </c>
    </row>
    <row r="419" spans="1:12">
      <c r="A419" s="34" t="s">
        <v>114</v>
      </c>
      <c r="B419" s="336">
        <v>1998</v>
      </c>
      <c r="C419" s="59" t="s">
        <v>87</v>
      </c>
      <c r="D419" s="59">
        <v>167</v>
      </c>
      <c r="E419" s="493" t="s">
        <v>110</v>
      </c>
      <c r="F419" s="29">
        <v>1</v>
      </c>
      <c r="G419" s="9">
        <v>1</v>
      </c>
      <c r="H419" s="9">
        <v>1</v>
      </c>
      <c r="I419" s="9">
        <v>2</v>
      </c>
      <c r="J419" s="43">
        <v>2</v>
      </c>
      <c r="K419" s="260">
        <f t="shared" si="6"/>
        <v>0.35859414261160716</v>
      </c>
      <c r="L419" s="163" t="s">
        <v>111</v>
      </c>
    </row>
    <row r="420" spans="1:12">
      <c r="A420" s="34" t="s">
        <v>114</v>
      </c>
      <c r="B420" s="336">
        <v>1998</v>
      </c>
      <c r="C420" s="59" t="s">
        <v>88</v>
      </c>
      <c r="D420" s="59">
        <v>79</v>
      </c>
      <c r="E420" s="493" t="s">
        <v>110</v>
      </c>
      <c r="F420" s="29">
        <v>1</v>
      </c>
      <c r="G420" s="9">
        <v>1</v>
      </c>
      <c r="H420" s="9">
        <v>1</v>
      </c>
      <c r="I420" s="9">
        <v>2</v>
      </c>
      <c r="J420" s="43">
        <v>2</v>
      </c>
      <c r="K420" s="260">
        <f t="shared" si="6"/>
        <v>0.35859414261160716</v>
      </c>
      <c r="L420" s="163" t="s">
        <v>111</v>
      </c>
    </row>
    <row r="421" spans="1:12">
      <c r="A421" s="34" t="s">
        <v>114</v>
      </c>
      <c r="B421" s="336">
        <v>1998</v>
      </c>
      <c r="C421" s="59" t="s">
        <v>89</v>
      </c>
      <c r="D421" s="59">
        <v>36</v>
      </c>
      <c r="E421" s="493" t="s">
        <v>110</v>
      </c>
      <c r="F421" s="29">
        <v>1</v>
      </c>
      <c r="G421" s="9">
        <v>1</v>
      </c>
      <c r="H421" s="9">
        <v>1</v>
      </c>
      <c r="I421" s="9">
        <v>2</v>
      </c>
      <c r="J421" s="43">
        <v>2</v>
      </c>
      <c r="K421" s="260">
        <f t="shared" si="6"/>
        <v>0.35859414261160716</v>
      </c>
      <c r="L421" s="163" t="s">
        <v>111</v>
      </c>
    </row>
    <row r="422" spans="1:12">
      <c r="A422" s="34" t="s">
        <v>114</v>
      </c>
      <c r="B422" s="336">
        <v>1998</v>
      </c>
      <c r="C422" s="59" t="s">
        <v>90</v>
      </c>
      <c r="D422" s="59">
        <v>219</v>
      </c>
      <c r="E422" s="493" t="s">
        <v>110</v>
      </c>
      <c r="F422" s="29">
        <v>1</v>
      </c>
      <c r="G422" s="9">
        <v>1</v>
      </c>
      <c r="H422" s="9">
        <v>1</v>
      </c>
      <c r="I422" s="9">
        <v>2</v>
      </c>
      <c r="J422" s="43">
        <v>2</v>
      </c>
      <c r="K422" s="260">
        <f t="shared" si="6"/>
        <v>0.35859414261160716</v>
      </c>
      <c r="L422" s="163" t="s">
        <v>111</v>
      </c>
    </row>
    <row r="423" spans="1:12">
      <c r="A423" s="34" t="s">
        <v>114</v>
      </c>
      <c r="B423" s="336">
        <v>1998</v>
      </c>
      <c r="C423" s="59" t="s">
        <v>91</v>
      </c>
      <c r="D423" s="59">
        <v>0</v>
      </c>
      <c r="E423" s="493" t="s">
        <v>110</v>
      </c>
      <c r="F423" s="29">
        <v>1</v>
      </c>
      <c r="G423" s="9">
        <v>1</v>
      </c>
      <c r="H423" s="9">
        <v>1</v>
      </c>
      <c r="I423" s="9">
        <v>2</v>
      </c>
      <c r="J423" s="43">
        <v>2</v>
      </c>
      <c r="K423" s="260">
        <f t="shared" si="6"/>
        <v>0.35859414261160716</v>
      </c>
      <c r="L423" s="163" t="s">
        <v>111</v>
      </c>
    </row>
    <row r="424" spans="1:12">
      <c r="A424" s="34" t="s">
        <v>114</v>
      </c>
      <c r="B424" s="336">
        <v>1998</v>
      </c>
      <c r="C424" s="59" t="s">
        <v>94</v>
      </c>
      <c r="D424" s="59">
        <v>20</v>
      </c>
      <c r="E424" s="493" t="s">
        <v>110</v>
      </c>
      <c r="F424" s="29">
        <v>1</v>
      </c>
      <c r="G424" s="9">
        <v>1</v>
      </c>
      <c r="H424" s="9">
        <v>1</v>
      </c>
      <c r="I424" s="9">
        <v>2</v>
      </c>
      <c r="J424" s="43">
        <v>2</v>
      </c>
      <c r="K424" s="260">
        <f t="shared" si="6"/>
        <v>0.35859414261160716</v>
      </c>
      <c r="L424" s="163" t="s">
        <v>111</v>
      </c>
    </row>
    <row r="425" spans="1:12">
      <c r="A425" s="34" t="s">
        <v>114</v>
      </c>
      <c r="B425" s="336">
        <v>1998</v>
      </c>
      <c r="C425" s="59" t="s">
        <v>96</v>
      </c>
      <c r="D425" s="59">
        <v>67</v>
      </c>
      <c r="E425" s="493" t="s">
        <v>110</v>
      </c>
      <c r="F425" s="29">
        <v>1</v>
      </c>
      <c r="G425" s="9">
        <v>1</v>
      </c>
      <c r="H425" s="9">
        <v>1</v>
      </c>
      <c r="I425" s="9">
        <v>2</v>
      </c>
      <c r="J425" s="43">
        <v>2</v>
      </c>
      <c r="K425" s="260">
        <f t="shared" si="6"/>
        <v>0.35859414261160716</v>
      </c>
      <c r="L425" s="163" t="s">
        <v>111</v>
      </c>
    </row>
    <row r="426" spans="1:12">
      <c r="A426" s="34" t="s">
        <v>114</v>
      </c>
      <c r="B426" s="336">
        <v>1998</v>
      </c>
      <c r="C426" s="59" t="s">
        <v>97</v>
      </c>
      <c r="D426" s="59">
        <v>96</v>
      </c>
      <c r="E426" s="493" t="s">
        <v>110</v>
      </c>
      <c r="F426" s="29">
        <v>1</v>
      </c>
      <c r="G426" s="9">
        <v>1</v>
      </c>
      <c r="H426" s="9">
        <v>1</v>
      </c>
      <c r="I426" s="9">
        <v>2</v>
      </c>
      <c r="J426" s="43">
        <v>2</v>
      </c>
      <c r="K426" s="260">
        <f t="shared" si="6"/>
        <v>0.35859414261160716</v>
      </c>
      <c r="L426" s="163" t="s">
        <v>111</v>
      </c>
    </row>
    <row r="427" spans="1:12">
      <c r="A427" s="34" t="s">
        <v>114</v>
      </c>
      <c r="B427" s="336">
        <v>1998</v>
      </c>
      <c r="C427" s="59" t="s">
        <v>95</v>
      </c>
      <c r="D427" s="59">
        <v>141</v>
      </c>
      <c r="E427" s="493" t="s">
        <v>110</v>
      </c>
      <c r="F427" s="29">
        <v>1</v>
      </c>
      <c r="G427" s="9">
        <v>1</v>
      </c>
      <c r="H427" s="9">
        <v>1</v>
      </c>
      <c r="I427" s="9">
        <v>2</v>
      </c>
      <c r="J427" s="43">
        <v>2</v>
      </c>
      <c r="K427" s="260">
        <f t="shared" si="6"/>
        <v>0.35859414261160716</v>
      </c>
      <c r="L427" s="163" t="s">
        <v>111</v>
      </c>
    </row>
    <row r="428" spans="1:12">
      <c r="A428" s="34" t="s">
        <v>114</v>
      </c>
      <c r="B428" s="336">
        <v>1998</v>
      </c>
      <c r="C428" s="59" t="s">
        <v>93</v>
      </c>
      <c r="D428" s="59">
        <v>16</v>
      </c>
      <c r="E428" s="493" t="s">
        <v>110</v>
      </c>
      <c r="F428" s="29">
        <v>1</v>
      </c>
      <c r="G428" s="9">
        <v>1</v>
      </c>
      <c r="H428" s="9">
        <v>1</v>
      </c>
      <c r="I428" s="9">
        <v>2</v>
      </c>
      <c r="J428" s="43">
        <v>2</v>
      </c>
      <c r="K428" s="260">
        <f t="shared" si="6"/>
        <v>0.35859414261160716</v>
      </c>
      <c r="L428" s="163" t="s">
        <v>111</v>
      </c>
    </row>
    <row r="429" spans="1:12">
      <c r="A429" s="34" t="s">
        <v>114</v>
      </c>
      <c r="B429" s="336">
        <v>1998</v>
      </c>
      <c r="C429" s="59" t="s">
        <v>98</v>
      </c>
      <c r="D429" s="59">
        <v>544</v>
      </c>
      <c r="E429" s="493" t="s">
        <v>110</v>
      </c>
      <c r="F429" s="29">
        <v>1</v>
      </c>
      <c r="G429" s="9">
        <v>1</v>
      </c>
      <c r="H429" s="9">
        <v>1</v>
      </c>
      <c r="I429" s="9">
        <v>2</v>
      </c>
      <c r="J429" s="43">
        <v>2</v>
      </c>
      <c r="K429" s="260">
        <f t="shared" si="6"/>
        <v>0.35859414261160716</v>
      </c>
      <c r="L429" s="163" t="s">
        <v>111</v>
      </c>
    </row>
    <row r="430" spans="1:12">
      <c r="A430" s="34" t="s">
        <v>114</v>
      </c>
      <c r="B430" s="336">
        <v>1999</v>
      </c>
      <c r="C430" s="59" t="s">
        <v>85</v>
      </c>
      <c r="D430" s="59">
        <v>379</v>
      </c>
      <c r="E430" s="493" t="s">
        <v>110</v>
      </c>
      <c r="F430" s="29">
        <v>1</v>
      </c>
      <c r="G430" s="9">
        <v>1</v>
      </c>
      <c r="H430" s="9">
        <v>1</v>
      </c>
      <c r="I430" s="9">
        <v>2</v>
      </c>
      <c r="J430" s="43">
        <v>2</v>
      </c>
      <c r="K430" s="260">
        <f t="shared" si="6"/>
        <v>0.35859414261160716</v>
      </c>
      <c r="L430" s="163" t="s">
        <v>111</v>
      </c>
    </row>
    <row r="431" spans="1:12">
      <c r="A431" s="34" t="s">
        <v>114</v>
      </c>
      <c r="B431" s="336">
        <v>1999</v>
      </c>
      <c r="C431" s="59" t="s">
        <v>86</v>
      </c>
      <c r="D431" s="59">
        <v>170</v>
      </c>
      <c r="E431" s="493" t="s">
        <v>110</v>
      </c>
      <c r="F431" s="29">
        <v>1</v>
      </c>
      <c r="G431" s="9">
        <v>1</v>
      </c>
      <c r="H431" s="9">
        <v>1</v>
      </c>
      <c r="I431" s="9">
        <v>2</v>
      </c>
      <c r="J431" s="43">
        <v>2</v>
      </c>
      <c r="K431" s="260">
        <f t="shared" si="6"/>
        <v>0.35859414261160716</v>
      </c>
      <c r="L431" s="163" t="s">
        <v>111</v>
      </c>
    </row>
    <row r="432" spans="1:12">
      <c r="A432" s="34" t="s">
        <v>114</v>
      </c>
      <c r="B432" s="336">
        <v>1999</v>
      </c>
      <c r="C432" s="59" t="s">
        <v>87</v>
      </c>
      <c r="D432" s="59">
        <v>180</v>
      </c>
      <c r="E432" s="493" t="s">
        <v>110</v>
      </c>
      <c r="F432" s="29">
        <v>1</v>
      </c>
      <c r="G432" s="9">
        <v>1</v>
      </c>
      <c r="H432" s="9">
        <v>1</v>
      </c>
      <c r="I432" s="9">
        <v>2</v>
      </c>
      <c r="J432" s="43">
        <v>2</v>
      </c>
      <c r="K432" s="260">
        <f t="shared" si="6"/>
        <v>0.35859414261160716</v>
      </c>
      <c r="L432" s="163" t="s">
        <v>111</v>
      </c>
    </row>
    <row r="433" spans="1:12">
      <c r="A433" s="34" t="s">
        <v>114</v>
      </c>
      <c r="B433" s="336">
        <v>1999</v>
      </c>
      <c r="C433" s="59" t="s">
        <v>88</v>
      </c>
      <c r="D433" s="59">
        <v>80</v>
      </c>
      <c r="E433" s="493" t="s">
        <v>110</v>
      </c>
      <c r="F433" s="29">
        <v>1</v>
      </c>
      <c r="G433" s="9">
        <v>1</v>
      </c>
      <c r="H433" s="9">
        <v>1</v>
      </c>
      <c r="I433" s="9">
        <v>2</v>
      </c>
      <c r="J433" s="43">
        <v>2</v>
      </c>
      <c r="K433" s="260">
        <f t="shared" si="6"/>
        <v>0.35859414261160716</v>
      </c>
      <c r="L433" s="163" t="s">
        <v>111</v>
      </c>
    </row>
    <row r="434" spans="1:12">
      <c r="A434" s="34" t="s">
        <v>114</v>
      </c>
      <c r="B434" s="336">
        <v>1999</v>
      </c>
      <c r="C434" s="59" t="s">
        <v>89</v>
      </c>
      <c r="D434" s="59">
        <v>26</v>
      </c>
      <c r="E434" s="493" t="s">
        <v>110</v>
      </c>
      <c r="F434" s="29">
        <v>1</v>
      </c>
      <c r="G434" s="9">
        <v>1</v>
      </c>
      <c r="H434" s="9">
        <v>1</v>
      </c>
      <c r="I434" s="9">
        <v>2</v>
      </c>
      <c r="J434" s="43">
        <v>2</v>
      </c>
      <c r="K434" s="260">
        <f t="shared" si="6"/>
        <v>0.35859414261160716</v>
      </c>
      <c r="L434" s="163" t="s">
        <v>111</v>
      </c>
    </row>
    <row r="435" spans="1:12">
      <c r="A435" s="34" t="s">
        <v>114</v>
      </c>
      <c r="B435" s="336">
        <v>1999</v>
      </c>
      <c r="C435" s="59" t="s">
        <v>90</v>
      </c>
      <c r="D435" s="59">
        <v>245</v>
      </c>
      <c r="E435" s="493" t="s">
        <v>110</v>
      </c>
      <c r="F435" s="29">
        <v>1</v>
      </c>
      <c r="G435" s="9">
        <v>1</v>
      </c>
      <c r="H435" s="9">
        <v>1</v>
      </c>
      <c r="I435" s="9">
        <v>2</v>
      </c>
      <c r="J435" s="43">
        <v>2</v>
      </c>
      <c r="K435" s="260">
        <f t="shared" si="6"/>
        <v>0.35859414261160716</v>
      </c>
      <c r="L435" s="163" t="s">
        <v>111</v>
      </c>
    </row>
    <row r="436" spans="1:12">
      <c r="A436" s="34" t="s">
        <v>114</v>
      </c>
      <c r="B436" s="336">
        <v>1999</v>
      </c>
      <c r="C436" s="59" t="s">
        <v>91</v>
      </c>
      <c r="D436" s="59">
        <v>0</v>
      </c>
      <c r="E436" s="493" t="s">
        <v>110</v>
      </c>
      <c r="F436" s="29">
        <v>1</v>
      </c>
      <c r="G436" s="9">
        <v>1</v>
      </c>
      <c r="H436" s="9">
        <v>1</v>
      </c>
      <c r="I436" s="9">
        <v>2</v>
      </c>
      <c r="J436" s="43">
        <v>2</v>
      </c>
      <c r="K436" s="260">
        <f t="shared" si="6"/>
        <v>0.35859414261160716</v>
      </c>
      <c r="L436" s="163" t="s">
        <v>111</v>
      </c>
    </row>
    <row r="437" spans="1:12">
      <c r="A437" s="34" t="s">
        <v>114</v>
      </c>
      <c r="B437" s="336">
        <v>1999</v>
      </c>
      <c r="C437" s="59" t="s">
        <v>94</v>
      </c>
      <c r="D437" s="59">
        <v>15</v>
      </c>
      <c r="E437" s="493" t="s">
        <v>110</v>
      </c>
      <c r="F437" s="29">
        <v>1</v>
      </c>
      <c r="G437" s="9">
        <v>1</v>
      </c>
      <c r="H437" s="9">
        <v>1</v>
      </c>
      <c r="I437" s="9">
        <v>2</v>
      </c>
      <c r="J437" s="43">
        <v>2</v>
      </c>
      <c r="K437" s="260">
        <f t="shared" si="6"/>
        <v>0.35859414261160716</v>
      </c>
      <c r="L437" s="163" t="s">
        <v>111</v>
      </c>
    </row>
    <row r="438" spans="1:12">
      <c r="A438" s="34" t="s">
        <v>114</v>
      </c>
      <c r="B438" s="336">
        <v>1999</v>
      </c>
      <c r="C438" s="59" t="s">
        <v>96</v>
      </c>
      <c r="D438" s="59">
        <v>39</v>
      </c>
      <c r="E438" s="493" t="s">
        <v>110</v>
      </c>
      <c r="F438" s="29">
        <v>1</v>
      </c>
      <c r="G438" s="9">
        <v>1</v>
      </c>
      <c r="H438" s="9">
        <v>1</v>
      </c>
      <c r="I438" s="9">
        <v>2</v>
      </c>
      <c r="J438" s="43">
        <v>2</v>
      </c>
      <c r="K438" s="260">
        <f t="shared" si="6"/>
        <v>0.35859414261160716</v>
      </c>
      <c r="L438" s="163" t="s">
        <v>111</v>
      </c>
    </row>
    <row r="439" spans="1:12">
      <c r="A439" s="34" t="s">
        <v>114</v>
      </c>
      <c r="B439" s="336">
        <v>1999</v>
      </c>
      <c r="C439" s="59" t="s">
        <v>97</v>
      </c>
      <c r="D439" s="59">
        <v>117</v>
      </c>
      <c r="E439" s="493" t="s">
        <v>110</v>
      </c>
      <c r="F439" s="29">
        <v>1</v>
      </c>
      <c r="G439" s="9">
        <v>1</v>
      </c>
      <c r="H439" s="9">
        <v>1</v>
      </c>
      <c r="I439" s="9">
        <v>2</v>
      </c>
      <c r="J439" s="43">
        <v>2</v>
      </c>
      <c r="K439" s="260">
        <f t="shared" si="6"/>
        <v>0.35859414261160716</v>
      </c>
      <c r="L439" s="163" t="s">
        <v>111</v>
      </c>
    </row>
    <row r="440" spans="1:12">
      <c r="A440" s="34" t="s">
        <v>114</v>
      </c>
      <c r="B440" s="336">
        <v>1999</v>
      </c>
      <c r="C440" s="59" t="s">
        <v>95</v>
      </c>
      <c r="D440" s="59">
        <v>58</v>
      </c>
      <c r="E440" s="493" t="s">
        <v>110</v>
      </c>
      <c r="F440" s="29">
        <v>1</v>
      </c>
      <c r="G440" s="9">
        <v>1</v>
      </c>
      <c r="H440" s="9">
        <v>1</v>
      </c>
      <c r="I440" s="9">
        <v>2</v>
      </c>
      <c r="J440" s="43">
        <v>2</v>
      </c>
      <c r="K440" s="260">
        <f t="shared" si="6"/>
        <v>0.35859414261160716</v>
      </c>
      <c r="L440" s="163" t="s">
        <v>111</v>
      </c>
    </row>
    <row r="441" spans="1:12">
      <c r="A441" s="34" t="s">
        <v>114</v>
      </c>
      <c r="B441" s="336">
        <v>1999</v>
      </c>
      <c r="C441" s="59" t="s">
        <v>93</v>
      </c>
      <c r="D441" s="59">
        <v>20</v>
      </c>
      <c r="E441" s="493" t="s">
        <v>110</v>
      </c>
      <c r="F441" s="29">
        <v>1</v>
      </c>
      <c r="G441" s="9">
        <v>1</v>
      </c>
      <c r="H441" s="9">
        <v>1</v>
      </c>
      <c r="I441" s="9">
        <v>2</v>
      </c>
      <c r="J441" s="43">
        <v>2</v>
      </c>
      <c r="K441" s="260">
        <f t="shared" si="6"/>
        <v>0.35859414261160716</v>
      </c>
      <c r="L441" s="163" t="s">
        <v>111</v>
      </c>
    </row>
    <row r="442" spans="1:12">
      <c r="A442" s="34" t="s">
        <v>114</v>
      </c>
      <c r="B442" s="336">
        <v>1999</v>
      </c>
      <c r="C442" s="59" t="s">
        <v>98</v>
      </c>
      <c r="D442" s="59">
        <v>511</v>
      </c>
      <c r="E442" s="493" t="s">
        <v>110</v>
      </c>
      <c r="F442" s="29">
        <v>1</v>
      </c>
      <c r="G442" s="9">
        <v>1</v>
      </c>
      <c r="H442" s="9">
        <v>1</v>
      </c>
      <c r="I442" s="9">
        <v>2</v>
      </c>
      <c r="J442" s="43">
        <v>2</v>
      </c>
      <c r="K442" s="260">
        <f t="shared" si="6"/>
        <v>0.35859414261160716</v>
      </c>
      <c r="L442" s="163" t="s">
        <v>111</v>
      </c>
    </row>
    <row r="443" spans="1:12">
      <c r="A443" s="34" t="s">
        <v>114</v>
      </c>
      <c r="B443" s="336">
        <v>2000</v>
      </c>
      <c r="C443" s="59" t="s">
        <v>85</v>
      </c>
      <c r="D443" s="59">
        <v>388</v>
      </c>
      <c r="E443" s="493" t="s">
        <v>110</v>
      </c>
      <c r="F443" s="29">
        <v>1</v>
      </c>
      <c r="G443" s="9">
        <v>1</v>
      </c>
      <c r="H443" s="9">
        <v>1</v>
      </c>
      <c r="I443" s="9">
        <v>2</v>
      </c>
      <c r="J443" s="43">
        <v>2</v>
      </c>
      <c r="K443" s="260">
        <f t="shared" si="6"/>
        <v>0.35859414261160716</v>
      </c>
      <c r="L443" s="163" t="s">
        <v>111</v>
      </c>
    </row>
    <row r="444" spans="1:12">
      <c r="A444" s="34" t="s">
        <v>114</v>
      </c>
      <c r="B444" s="336">
        <v>2000</v>
      </c>
      <c r="C444" s="59" t="s">
        <v>86</v>
      </c>
      <c r="D444" s="59">
        <v>167</v>
      </c>
      <c r="E444" s="493" t="s">
        <v>110</v>
      </c>
      <c r="F444" s="29">
        <v>1</v>
      </c>
      <c r="G444" s="9">
        <v>1</v>
      </c>
      <c r="H444" s="9">
        <v>1</v>
      </c>
      <c r="I444" s="9">
        <v>2</v>
      </c>
      <c r="J444" s="43">
        <v>2</v>
      </c>
      <c r="K444" s="260">
        <f t="shared" si="6"/>
        <v>0.35859414261160716</v>
      </c>
      <c r="L444" s="163" t="s">
        <v>111</v>
      </c>
    </row>
    <row r="445" spans="1:12">
      <c r="A445" s="34" t="s">
        <v>114</v>
      </c>
      <c r="B445" s="336">
        <v>2000</v>
      </c>
      <c r="C445" s="59" t="s">
        <v>87</v>
      </c>
      <c r="D445" s="59">
        <v>176</v>
      </c>
      <c r="E445" s="493" t="s">
        <v>110</v>
      </c>
      <c r="F445" s="29">
        <v>1</v>
      </c>
      <c r="G445" s="9">
        <v>1</v>
      </c>
      <c r="H445" s="9">
        <v>1</v>
      </c>
      <c r="I445" s="9">
        <v>2</v>
      </c>
      <c r="J445" s="43">
        <v>2</v>
      </c>
      <c r="K445" s="260">
        <f t="shared" ref="K445:K508" si="7">IF( OR( ISBLANK(F445),ISBLANK(G445), ISBLANK(H445), ISBLANK(I445), ISBLANK(J445) ), "", 1.5*SQRT(   EXP(2.21*(F445-1)) + EXP(2.21*(G445-1)) + EXP(2.21*(H445-1)) + EXP(2.21*(I445-1)) + EXP(2.21*J445)   )/100*2.45 )</f>
        <v>0.35859414261160716</v>
      </c>
      <c r="L445" s="163" t="s">
        <v>111</v>
      </c>
    </row>
    <row r="446" spans="1:12">
      <c r="A446" s="34" t="s">
        <v>114</v>
      </c>
      <c r="B446" s="336">
        <v>2000</v>
      </c>
      <c r="C446" s="59" t="s">
        <v>88</v>
      </c>
      <c r="D446" s="59">
        <v>76</v>
      </c>
      <c r="E446" s="493" t="s">
        <v>110</v>
      </c>
      <c r="F446" s="29">
        <v>1</v>
      </c>
      <c r="G446" s="9">
        <v>1</v>
      </c>
      <c r="H446" s="9">
        <v>1</v>
      </c>
      <c r="I446" s="9">
        <v>2</v>
      </c>
      <c r="J446" s="43">
        <v>2</v>
      </c>
      <c r="K446" s="260">
        <f t="shared" si="7"/>
        <v>0.35859414261160716</v>
      </c>
      <c r="L446" s="163" t="s">
        <v>111</v>
      </c>
    </row>
    <row r="447" spans="1:12">
      <c r="A447" s="34" t="s">
        <v>114</v>
      </c>
      <c r="B447" s="336">
        <v>2000</v>
      </c>
      <c r="C447" s="59" t="s">
        <v>89</v>
      </c>
      <c r="D447" s="59">
        <v>17</v>
      </c>
      <c r="E447" s="493" t="s">
        <v>110</v>
      </c>
      <c r="F447" s="29">
        <v>1</v>
      </c>
      <c r="G447" s="9">
        <v>1</v>
      </c>
      <c r="H447" s="9">
        <v>1</v>
      </c>
      <c r="I447" s="9">
        <v>2</v>
      </c>
      <c r="J447" s="43">
        <v>2</v>
      </c>
      <c r="K447" s="260">
        <f t="shared" si="7"/>
        <v>0.35859414261160716</v>
      </c>
      <c r="L447" s="163" t="s">
        <v>111</v>
      </c>
    </row>
    <row r="448" spans="1:12">
      <c r="A448" s="34" t="s">
        <v>114</v>
      </c>
      <c r="B448" s="336">
        <v>2000</v>
      </c>
      <c r="C448" s="59" t="s">
        <v>90</v>
      </c>
      <c r="D448" s="59">
        <v>204</v>
      </c>
      <c r="E448" s="493" t="s">
        <v>110</v>
      </c>
      <c r="F448" s="29">
        <v>1</v>
      </c>
      <c r="G448" s="9">
        <v>1</v>
      </c>
      <c r="H448" s="9">
        <v>1</v>
      </c>
      <c r="I448" s="9">
        <v>2</v>
      </c>
      <c r="J448" s="43">
        <v>2</v>
      </c>
      <c r="K448" s="260">
        <f t="shared" si="7"/>
        <v>0.35859414261160716</v>
      </c>
      <c r="L448" s="163" t="s">
        <v>111</v>
      </c>
    </row>
    <row r="449" spans="1:12">
      <c r="A449" s="34" t="s">
        <v>114</v>
      </c>
      <c r="B449" s="336">
        <v>2000</v>
      </c>
      <c r="C449" s="59" t="s">
        <v>91</v>
      </c>
      <c r="D449" s="59">
        <v>115</v>
      </c>
      <c r="E449" s="493" t="s">
        <v>110</v>
      </c>
      <c r="F449" s="29">
        <v>1</v>
      </c>
      <c r="G449" s="9">
        <v>1</v>
      </c>
      <c r="H449" s="9">
        <v>1</v>
      </c>
      <c r="I449" s="9">
        <v>2</v>
      </c>
      <c r="J449" s="43">
        <v>2</v>
      </c>
      <c r="K449" s="260">
        <f t="shared" si="7"/>
        <v>0.35859414261160716</v>
      </c>
      <c r="L449" s="163" t="s">
        <v>111</v>
      </c>
    </row>
    <row r="450" spans="1:12">
      <c r="A450" s="34" t="s">
        <v>114</v>
      </c>
      <c r="B450" s="336">
        <v>2000</v>
      </c>
      <c r="C450" s="59" t="s">
        <v>94</v>
      </c>
      <c r="D450" s="59">
        <v>16</v>
      </c>
      <c r="E450" s="493" t="s">
        <v>110</v>
      </c>
      <c r="F450" s="29">
        <v>1</v>
      </c>
      <c r="G450" s="9">
        <v>1</v>
      </c>
      <c r="H450" s="9">
        <v>1</v>
      </c>
      <c r="I450" s="9">
        <v>2</v>
      </c>
      <c r="J450" s="43">
        <v>2</v>
      </c>
      <c r="K450" s="260">
        <f t="shared" si="7"/>
        <v>0.35859414261160716</v>
      </c>
      <c r="L450" s="163" t="s">
        <v>111</v>
      </c>
    </row>
    <row r="451" spans="1:12">
      <c r="A451" s="34" t="s">
        <v>114</v>
      </c>
      <c r="B451" s="336">
        <v>2000</v>
      </c>
      <c r="C451" s="59" t="s">
        <v>96</v>
      </c>
      <c r="D451" s="59">
        <v>49</v>
      </c>
      <c r="E451" s="493" t="s">
        <v>110</v>
      </c>
      <c r="F451" s="29">
        <v>1</v>
      </c>
      <c r="G451" s="9">
        <v>1</v>
      </c>
      <c r="H451" s="9">
        <v>1</v>
      </c>
      <c r="I451" s="9">
        <v>2</v>
      </c>
      <c r="J451" s="43">
        <v>2</v>
      </c>
      <c r="K451" s="260">
        <f t="shared" si="7"/>
        <v>0.35859414261160716</v>
      </c>
      <c r="L451" s="163" t="s">
        <v>111</v>
      </c>
    </row>
    <row r="452" spans="1:12">
      <c r="A452" s="34" t="s">
        <v>114</v>
      </c>
      <c r="B452" s="336">
        <v>2000</v>
      </c>
      <c r="C452" s="59" t="s">
        <v>97</v>
      </c>
      <c r="D452" s="59">
        <v>116</v>
      </c>
      <c r="E452" s="493" t="s">
        <v>110</v>
      </c>
      <c r="F452" s="29">
        <v>1</v>
      </c>
      <c r="G452" s="9">
        <v>1</v>
      </c>
      <c r="H452" s="9">
        <v>1</v>
      </c>
      <c r="I452" s="9">
        <v>2</v>
      </c>
      <c r="J452" s="43">
        <v>2</v>
      </c>
      <c r="K452" s="260">
        <f t="shared" si="7"/>
        <v>0.35859414261160716</v>
      </c>
      <c r="L452" s="163" t="s">
        <v>111</v>
      </c>
    </row>
    <row r="453" spans="1:12">
      <c r="A453" s="34" t="s">
        <v>114</v>
      </c>
      <c r="B453" s="336">
        <v>2000</v>
      </c>
      <c r="C453" s="59" t="s">
        <v>95</v>
      </c>
      <c r="D453" s="59">
        <v>57</v>
      </c>
      <c r="E453" s="493" t="s">
        <v>110</v>
      </c>
      <c r="F453" s="29">
        <v>1</v>
      </c>
      <c r="G453" s="9">
        <v>1</v>
      </c>
      <c r="H453" s="9">
        <v>1</v>
      </c>
      <c r="I453" s="9">
        <v>2</v>
      </c>
      <c r="J453" s="43">
        <v>2</v>
      </c>
      <c r="K453" s="260">
        <f t="shared" si="7"/>
        <v>0.35859414261160716</v>
      </c>
      <c r="L453" s="163" t="s">
        <v>111</v>
      </c>
    </row>
    <row r="454" spans="1:12">
      <c r="A454" s="34" t="s">
        <v>114</v>
      </c>
      <c r="B454" s="336">
        <v>2000</v>
      </c>
      <c r="C454" s="59" t="s">
        <v>93</v>
      </c>
      <c r="D454" s="59">
        <v>26</v>
      </c>
      <c r="E454" s="493" t="s">
        <v>110</v>
      </c>
      <c r="F454" s="29">
        <v>1</v>
      </c>
      <c r="G454" s="9">
        <v>1</v>
      </c>
      <c r="H454" s="9">
        <v>1</v>
      </c>
      <c r="I454" s="9">
        <v>2</v>
      </c>
      <c r="J454" s="43">
        <v>2</v>
      </c>
      <c r="K454" s="260">
        <f t="shared" si="7"/>
        <v>0.35859414261160716</v>
      </c>
      <c r="L454" s="163" t="s">
        <v>111</v>
      </c>
    </row>
    <row r="455" spans="1:12">
      <c r="A455" s="34" t="s">
        <v>114</v>
      </c>
      <c r="B455" s="336">
        <v>2000</v>
      </c>
      <c r="C455" s="59" t="s">
        <v>98</v>
      </c>
      <c r="D455" s="59">
        <v>546</v>
      </c>
      <c r="E455" s="493" t="s">
        <v>110</v>
      </c>
      <c r="F455" s="29">
        <v>1</v>
      </c>
      <c r="G455" s="9">
        <v>1</v>
      </c>
      <c r="H455" s="9">
        <v>1</v>
      </c>
      <c r="I455" s="9">
        <v>2</v>
      </c>
      <c r="J455" s="43">
        <v>2</v>
      </c>
      <c r="K455" s="260">
        <f t="shared" si="7"/>
        <v>0.35859414261160716</v>
      </c>
      <c r="L455" s="163" t="s">
        <v>111</v>
      </c>
    </row>
    <row r="456" spans="1:12">
      <c r="A456" s="34" t="s">
        <v>114</v>
      </c>
      <c r="B456" s="336">
        <v>2001</v>
      </c>
      <c r="C456" s="59" t="s">
        <v>85</v>
      </c>
      <c r="D456" s="59">
        <v>404</v>
      </c>
      <c r="E456" s="493" t="s">
        <v>110</v>
      </c>
      <c r="F456" s="29">
        <v>1</v>
      </c>
      <c r="G456" s="9">
        <v>1</v>
      </c>
      <c r="H456" s="9">
        <v>1</v>
      </c>
      <c r="I456" s="9">
        <v>2</v>
      </c>
      <c r="J456" s="43">
        <v>2</v>
      </c>
      <c r="K456" s="260">
        <f t="shared" si="7"/>
        <v>0.35859414261160716</v>
      </c>
      <c r="L456" s="163" t="s">
        <v>111</v>
      </c>
    </row>
    <row r="457" spans="1:12">
      <c r="A457" s="34" t="s">
        <v>114</v>
      </c>
      <c r="B457" s="336">
        <v>2001</v>
      </c>
      <c r="C457" s="59" t="s">
        <v>86</v>
      </c>
      <c r="D457" s="59">
        <v>135</v>
      </c>
      <c r="E457" s="493" t="s">
        <v>110</v>
      </c>
      <c r="F457" s="29">
        <v>1</v>
      </c>
      <c r="G457" s="9">
        <v>1</v>
      </c>
      <c r="H457" s="9">
        <v>1</v>
      </c>
      <c r="I457" s="9">
        <v>2</v>
      </c>
      <c r="J457" s="43">
        <v>2</v>
      </c>
      <c r="K457" s="260">
        <f t="shared" si="7"/>
        <v>0.35859414261160716</v>
      </c>
      <c r="L457" s="163" t="s">
        <v>111</v>
      </c>
    </row>
    <row r="458" spans="1:12">
      <c r="A458" s="34" t="s">
        <v>114</v>
      </c>
      <c r="B458" s="336">
        <v>2001</v>
      </c>
      <c r="C458" s="59" t="s">
        <v>87</v>
      </c>
      <c r="D458" s="59">
        <v>169</v>
      </c>
      <c r="E458" s="493" t="s">
        <v>110</v>
      </c>
      <c r="F458" s="29">
        <v>1</v>
      </c>
      <c r="G458" s="9">
        <v>1</v>
      </c>
      <c r="H458" s="9">
        <v>1</v>
      </c>
      <c r="I458" s="9">
        <v>2</v>
      </c>
      <c r="J458" s="43">
        <v>2</v>
      </c>
      <c r="K458" s="260">
        <f t="shared" si="7"/>
        <v>0.35859414261160716</v>
      </c>
      <c r="L458" s="163" t="s">
        <v>111</v>
      </c>
    </row>
    <row r="459" spans="1:12">
      <c r="A459" s="34" t="s">
        <v>114</v>
      </c>
      <c r="B459" s="336">
        <v>2001</v>
      </c>
      <c r="C459" s="59" t="s">
        <v>88</v>
      </c>
      <c r="D459" s="59">
        <v>75</v>
      </c>
      <c r="E459" s="493" t="s">
        <v>110</v>
      </c>
      <c r="F459" s="29">
        <v>1</v>
      </c>
      <c r="G459" s="9">
        <v>1</v>
      </c>
      <c r="H459" s="9">
        <v>1</v>
      </c>
      <c r="I459" s="9">
        <v>2</v>
      </c>
      <c r="J459" s="43">
        <v>2</v>
      </c>
      <c r="K459" s="260">
        <f t="shared" si="7"/>
        <v>0.35859414261160716</v>
      </c>
      <c r="L459" s="163" t="s">
        <v>111</v>
      </c>
    </row>
    <row r="460" spans="1:12">
      <c r="A460" s="34" t="s">
        <v>114</v>
      </c>
      <c r="B460" s="336">
        <v>2001</v>
      </c>
      <c r="C460" s="59" t="s">
        <v>89</v>
      </c>
      <c r="D460" s="59">
        <v>27</v>
      </c>
      <c r="E460" s="493" t="s">
        <v>110</v>
      </c>
      <c r="F460" s="29">
        <v>1</v>
      </c>
      <c r="G460" s="9">
        <v>1</v>
      </c>
      <c r="H460" s="9">
        <v>1</v>
      </c>
      <c r="I460" s="9">
        <v>2</v>
      </c>
      <c r="J460" s="43">
        <v>2</v>
      </c>
      <c r="K460" s="260">
        <f t="shared" si="7"/>
        <v>0.35859414261160716</v>
      </c>
      <c r="L460" s="163" t="s">
        <v>111</v>
      </c>
    </row>
    <row r="461" spans="1:12">
      <c r="A461" s="34" t="s">
        <v>114</v>
      </c>
      <c r="B461" s="336">
        <v>2001</v>
      </c>
      <c r="C461" s="59" t="s">
        <v>90</v>
      </c>
      <c r="D461" s="59">
        <v>198</v>
      </c>
      <c r="E461" s="493" t="s">
        <v>110</v>
      </c>
      <c r="F461" s="29">
        <v>1</v>
      </c>
      <c r="G461" s="9">
        <v>1</v>
      </c>
      <c r="H461" s="9">
        <v>1</v>
      </c>
      <c r="I461" s="9">
        <v>2</v>
      </c>
      <c r="J461" s="43">
        <v>2</v>
      </c>
      <c r="K461" s="260">
        <f t="shared" si="7"/>
        <v>0.35859414261160716</v>
      </c>
      <c r="L461" s="163" t="s">
        <v>111</v>
      </c>
    </row>
    <row r="462" spans="1:12">
      <c r="A462" s="34" t="s">
        <v>114</v>
      </c>
      <c r="B462" s="336">
        <v>2001</v>
      </c>
      <c r="C462" s="59" t="s">
        <v>91</v>
      </c>
      <c r="D462" s="59">
        <v>126</v>
      </c>
      <c r="E462" s="493" t="s">
        <v>110</v>
      </c>
      <c r="F462" s="29">
        <v>1</v>
      </c>
      <c r="G462" s="9">
        <v>1</v>
      </c>
      <c r="H462" s="9">
        <v>1</v>
      </c>
      <c r="I462" s="9">
        <v>2</v>
      </c>
      <c r="J462" s="43">
        <v>2</v>
      </c>
      <c r="K462" s="260">
        <f t="shared" si="7"/>
        <v>0.35859414261160716</v>
      </c>
      <c r="L462" s="163" t="s">
        <v>111</v>
      </c>
    </row>
    <row r="463" spans="1:12">
      <c r="A463" s="34" t="s">
        <v>114</v>
      </c>
      <c r="B463" s="336">
        <v>2001</v>
      </c>
      <c r="C463" s="59" t="s">
        <v>94</v>
      </c>
      <c r="D463" s="59">
        <v>19</v>
      </c>
      <c r="E463" s="493" t="s">
        <v>110</v>
      </c>
      <c r="F463" s="29">
        <v>1</v>
      </c>
      <c r="G463" s="9">
        <v>1</v>
      </c>
      <c r="H463" s="9">
        <v>1</v>
      </c>
      <c r="I463" s="9">
        <v>2</v>
      </c>
      <c r="J463" s="43">
        <v>2</v>
      </c>
      <c r="K463" s="260">
        <f t="shared" si="7"/>
        <v>0.35859414261160716</v>
      </c>
      <c r="L463" s="163" t="s">
        <v>111</v>
      </c>
    </row>
    <row r="464" spans="1:12">
      <c r="A464" s="34" t="s">
        <v>114</v>
      </c>
      <c r="B464" s="336">
        <v>2001</v>
      </c>
      <c r="C464" s="59" t="s">
        <v>96</v>
      </c>
      <c r="D464" s="59">
        <v>54</v>
      </c>
      <c r="E464" s="493" t="s">
        <v>110</v>
      </c>
      <c r="F464" s="29">
        <v>1</v>
      </c>
      <c r="G464" s="9">
        <v>1</v>
      </c>
      <c r="H464" s="9">
        <v>1</v>
      </c>
      <c r="I464" s="9">
        <v>2</v>
      </c>
      <c r="J464" s="43">
        <v>2</v>
      </c>
      <c r="K464" s="260">
        <f t="shared" si="7"/>
        <v>0.35859414261160716</v>
      </c>
      <c r="L464" s="163" t="s">
        <v>111</v>
      </c>
    </row>
    <row r="465" spans="1:12">
      <c r="A465" s="34" t="s">
        <v>114</v>
      </c>
      <c r="B465" s="336">
        <v>2001</v>
      </c>
      <c r="C465" s="59" t="s">
        <v>97</v>
      </c>
      <c r="D465" s="59">
        <v>102</v>
      </c>
      <c r="E465" s="493" t="s">
        <v>110</v>
      </c>
      <c r="F465" s="29">
        <v>1</v>
      </c>
      <c r="G465" s="9">
        <v>1</v>
      </c>
      <c r="H465" s="9">
        <v>1</v>
      </c>
      <c r="I465" s="9">
        <v>2</v>
      </c>
      <c r="J465" s="43">
        <v>2</v>
      </c>
      <c r="K465" s="260">
        <f t="shared" si="7"/>
        <v>0.35859414261160716</v>
      </c>
      <c r="L465" s="163" t="s">
        <v>111</v>
      </c>
    </row>
    <row r="466" spans="1:12">
      <c r="A466" s="34" t="s">
        <v>114</v>
      </c>
      <c r="B466" s="336">
        <v>2001</v>
      </c>
      <c r="C466" s="59" t="s">
        <v>95</v>
      </c>
      <c r="D466" s="59">
        <v>43</v>
      </c>
      <c r="E466" s="493" t="s">
        <v>110</v>
      </c>
      <c r="F466" s="29">
        <v>1</v>
      </c>
      <c r="G466" s="9">
        <v>1</v>
      </c>
      <c r="H466" s="9">
        <v>1</v>
      </c>
      <c r="I466" s="9">
        <v>2</v>
      </c>
      <c r="J466" s="43">
        <v>2</v>
      </c>
      <c r="K466" s="260">
        <f t="shared" si="7"/>
        <v>0.35859414261160716</v>
      </c>
      <c r="L466" s="163" t="s">
        <v>111</v>
      </c>
    </row>
    <row r="467" spans="1:12">
      <c r="A467" s="34" t="s">
        <v>114</v>
      </c>
      <c r="B467" s="336">
        <v>2001</v>
      </c>
      <c r="C467" s="59" t="s">
        <v>93</v>
      </c>
      <c r="D467" s="59">
        <v>23</v>
      </c>
      <c r="E467" s="493" t="s">
        <v>110</v>
      </c>
      <c r="F467" s="29">
        <v>1</v>
      </c>
      <c r="G467" s="9">
        <v>1</v>
      </c>
      <c r="H467" s="9">
        <v>1</v>
      </c>
      <c r="I467" s="9">
        <v>2</v>
      </c>
      <c r="J467" s="43">
        <v>2</v>
      </c>
      <c r="K467" s="260">
        <f t="shared" si="7"/>
        <v>0.35859414261160716</v>
      </c>
      <c r="L467" s="163" t="s">
        <v>111</v>
      </c>
    </row>
    <row r="468" spans="1:12">
      <c r="A468" s="34" t="s">
        <v>114</v>
      </c>
      <c r="B468" s="336">
        <v>2001</v>
      </c>
      <c r="C468" s="59" t="s">
        <v>98</v>
      </c>
      <c r="D468" s="59">
        <v>600</v>
      </c>
      <c r="E468" s="493" t="s">
        <v>110</v>
      </c>
      <c r="F468" s="29">
        <v>1</v>
      </c>
      <c r="G468" s="9">
        <v>1</v>
      </c>
      <c r="H468" s="9">
        <v>1</v>
      </c>
      <c r="I468" s="9">
        <v>2</v>
      </c>
      <c r="J468" s="43">
        <v>2</v>
      </c>
      <c r="K468" s="260">
        <f t="shared" si="7"/>
        <v>0.35859414261160716</v>
      </c>
      <c r="L468" s="163" t="s">
        <v>111</v>
      </c>
    </row>
    <row r="469" spans="1:12">
      <c r="A469" s="34" t="s">
        <v>114</v>
      </c>
      <c r="B469" s="336">
        <v>2002</v>
      </c>
      <c r="C469" s="59" t="s">
        <v>85</v>
      </c>
      <c r="D469" s="59">
        <v>494</v>
      </c>
      <c r="E469" s="493" t="s">
        <v>110</v>
      </c>
      <c r="F469" s="29">
        <v>1</v>
      </c>
      <c r="G469" s="9">
        <v>1</v>
      </c>
      <c r="H469" s="9">
        <v>1</v>
      </c>
      <c r="I469" s="9">
        <v>2</v>
      </c>
      <c r="J469" s="43">
        <v>2</v>
      </c>
      <c r="K469" s="260">
        <f t="shared" si="7"/>
        <v>0.35859414261160716</v>
      </c>
      <c r="L469" s="163" t="s">
        <v>111</v>
      </c>
    </row>
    <row r="470" spans="1:12">
      <c r="A470" s="34" t="s">
        <v>114</v>
      </c>
      <c r="B470" s="336">
        <v>2002</v>
      </c>
      <c r="C470" s="59" t="s">
        <v>86</v>
      </c>
      <c r="D470" s="59">
        <v>146</v>
      </c>
      <c r="E470" s="493" t="s">
        <v>110</v>
      </c>
      <c r="F470" s="29">
        <v>1</v>
      </c>
      <c r="G470" s="9">
        <v>1</v>
      </c>
      <c r="H470" s="9">
        <v>1</v>
      </c>
      <c r="I470" s="9">
        <v>2</v>
      </c>
      <c r="J470" s="43">
        <v>2</v>
      </c>
      <c r="K470" s="260">
        <f t="shared" si="7"/>
        <v>0.35859414261160716</v>
      </c>
      <c r="L470" s="163" t="s">
        <v>111</v>
      </c>
    </row>
    <row r="471" spans="1:12">
      <c r="A471" s="34" t="s">
        <v>114</v>
      </c>
      <c r="B471" s="336">
        <v>2002</v>
      </c>
      <c r="C471" s="59" t="s">
        <v>87</v>
      </c>
      <c r="D471" s="59">
        <v>243</v>
      </c>
      <c r="E471" s="493" t="s">
        <v>110</v>
      </c>
      <c r="F471" s="29">
        <v>1</v>
      </c>
      <c r="G471" s="9">
        <v>1</v>
      </c>
      <c r="H471" s="9">
        <v>1</v>
      </c>
      <c r="I471" s="9">
        <v>2</v>
      </c>
      <c r="J471" s="43">
        <v>2</v>
      </c>
      <c r="K471" s="260">
        <f t="shared" si="7"/>
        <v>0.35859414261160716</v>
      </c>
      <c r="L471" s="163" t="s">
        <v>111</v>
      </c>
    </row>
    <row r="472" spans="1:12">
      <c r="A472" s="34" t="s">
        <v>114</v>
      </c>
      <c r="B472" s="336">
        <v>2002</v>
      </c>
      <c r="C472" s="59" t="s">
        <v>88</v>
      </c>
      <c r="D472" s="59">
        <v>73</v>
      </c>
      <c r="E472" s="493" t="s">
        <v>110</v>
      </c>
      <c r="F472" s="29">
        <v>1</v>
      </c>
      <c r="G472" s="9">
        <v>1</v>
      </c>
      <c r="H472" s="9">
        <v>1</v>
      </c>
      <c r="I472" s="9">
        <v>2</v>
      </c>
      <c r="J472" s="43">
        <v>2</v>
      </c>
      <c r="K472" s="260">
        <f t="shared" si="7"/>
        <v>0.35859414261160716</v>
      </c>
      <c r="L472" s="163" t="s">
        <v>111</v>
      </c>
    </row>
    <row r="473" spans="1:12">
      <c r="A473" s="34" t="s">
        <v>114</v>
      </c>
      <c r="B473" s="336">
        <v>2002</v>
      </c>
      <c r="C473" s="59" t="s">
        <v>89</v>
      </c>
      <c r="D473" s="59">
        <v>30</v>
      </c>
      <c r="E473" s="493" t="s">
        <v>110</v>
      </c>
      <c r="F473" s="29">
        <v>1</v>
      </c>
      <c r="G473" s="9">
        <v>1</v>
      </c>
      <c r="H473" s="9">
        <v>1</v>
      </c>
      <c r="I473" s="9">
        <v>2</v>
      </c>
      <c r="J473" s="43">
        <v>2</v>
      </c>
      <c r="K473" s="260">
        <f t="shared" si="7"/>
        <v>0.35859414261160716</v>
      </c>
      <c r="L473" s="163" t="s">
        <v>111</v>
      </c>
    </row>
    <row r="474" spans="1:12">
      <c r="A474" s="34" t="s">
        <v>114</v>
      </c>
      <c r="B474" s="336">
        <v>2002</v>
      </c>
      <c r="C474" s="59" t="s">
        <v>90</v>
      </c>
      <c r="D474" s="59">
        <v>197</v>
      </c>
      <c r="E474" s="493" t="s">
        <v>110</v>
      </c>
      <c r="F474" s="29">
        <v>1</v>
      </c>
      <c r="G474" s="9">
        <v>1</v>
      </c>
      <c r="H474" s="9">
        <v>1</v>
      </c>
      <c r="I474" s="9">
        <v>2</v>
      </c>
      <c r="J474" s="43">
        <v>2</v>
      </c>
      <c r="K474" s="260">
        <f t="shared" si="7"/>
        <v>0.35859414261160716</v>
      </c>
      <c r="L474" s="163" t="s">
        <v>111</v>
      </c>
    </row>
    <row r="475" spans="1:12">
      <c r="A475" s="34" t="s">
        <v>114</v>
      </c>
      <c r="B475" s="336">
        <v>2002</v>
      </c>
      <c r="C475" s="59" t="s">
        <v>91</v>
      </c>
      <c r="D475" s="59">
        <v>118</v>
      </c>
      <c r="E475" s="493" t="s">
        <v>110</v>
      </c>
      <c r="F475" s="29">
        <v>1</v>
      </c>
      <c r="G475" s="9">
        <v>1</v>
      </c>
      <c r="H475" s="9">
        <v>1</v>
      </c>
      <c r="I475" s="9">
        <v>2</v>
      </c>
      <c r="J475" s="43">
        <v>2</v>
      </c>
      <c r="K475" s="260">
        <f t="shared" si="7"/>
        <v>0.35859414261160716</v>
      </c>
      <c r="L475" s="163" t="s">
        <v>111</v>
      </c>
    </row>
    <row r="476" spans="1:12">
      <c r="A476" s="34" t="s">
        <v>114</v>
      </c>
      <c r="B476" s="336">
        <v>2002</v>
      </c>
      <c r="C476" s="59" t="s">
        <v>94</v>
      </c>
      <c r="D476" s="59">
        <v>30</v>
      </c>
      <c r="E476" s="493" t="s">
        <v>110</v>
      </c>
      <c r="F476" s="29">
        <v>1</v>
      </c>
      <c r="G476" s="9">
        <v>1</v>
      </c>
      <c r="H476" s="9">
        <v>1</v>
      </c>
      <c r="I476" s="9">
        <v>2</v>
      </c>
      <c r="J476" s="43">
        <v>2</v>
      </c>
      <c r="K476" s="260">
        <f t="shared" si="7"/>
        <v>0.35859414261160716</v>
      </c>
      <c r="L476" s="163" t="s">
        <v>111</v>
      </c>
    </row>
    <row r="477" spans="1:12">
      <c r="A477" s="34" t="s">
        <v>114</v>
      </c>
      <c r="B477" s="336">
        <v>2002</v>
      </c>
      <c r="C477" s="59" t="s">
        <v>96</v>
      </c>
      <c r="D477" s="59">
        <v>62</v>
      </c>
      <c r="E477" s="493" t="s">
        <v>110</v>
      </c>
      <c r="F477" s="29">
        <v>1</v>
      </c>
      <c r="G477" s="9">
        <v>1</v>
      </c>
      <c r="H477" s="9">
        <v>1</v>
      </c>
      <c r="I477" s="9">
        <v>2</v>
      </c>
      <c r="J477" s="43">
        <v>2</v>
      </c>
      <c r="K477" s="260">
        <f t="shared" si="7"/>
        <v>0.35859414261160716</v>
      </c>
      <c r="L477" s="163" t="s">
        <v>111</v>
      </c>
    </row>
    <row r="478" spans="1:12">
      <c r="A478" s="34" t="s">
        <v>114</v>
      </c>
      <c r="B478" s="336">
        <v>2002</v>
      </c>
      <c r="C478" s="59" t="s">
        <v>97</v>
      </c>
      <c r="D478" s="59">
        <v>179</v>
      </c>
      <c r="E478" s="493" t="s">
        <v>110</v>
      </c>
      <c r="F478" s="29">
        <v>1</v>
      </c>
      <c r="G478" s="9">
        <v>1</v>
      </c>
      <c r="H478" s="9">
        <v>1</v>
      </c>
      <c r="I478" s="9">
        <v>2</v>
      </c>
      <c r="J478" s="43">
        <v>2</v>
      </c>
      <c r="K478" s="260">
        <f t="shared" si="7"/>
        <v>0.35859414261160716</v>
      </c>
      <c r="L478" s="163" t="s">
        <v>111</v>
      </c>
    </row>
    <row r="479" spans="1:12">
      <c r="A479" s="34" t="s">
        <v>114</v>
      </c>
      <c r="B479" s="336">
        <v>2002</v>
      </c>
      <c r="C479" s="59" t="s">
        <v>95</v>
      </c>
      <c r="D479" s="59">
        <v>44</v>
      </c>
      <c r="E479" s="493" t="s">
        <v>110</v>
      </c>
      <c r="F479" s="29">
        <v>1</v>
      </c>
      <c r="G479" s="9">
        <v>1</v>
      </c>
      <c r="H479" s="9">
        <v>1</v>
      </c>
      <c r="I479" s="9">
        <v>2</v>
      </c>
      <c r="J479" s="43">
        <v>2</v>
      </c>
      <c r="K479" s="260">
        <f t="shared" si="7"/>
        <v>0.35859414261160716</v>
      </c>
      <c r="L479" s="163" t="s">
        <v>111</v>
      </c>
    </row>
    <row r="480" spans="1:12">
      <c r="A480" s="34" t="s">
        <v>114</v>
      </c>
      <c r="B480" s="336">
        <v>2002</v>
      </c>
      <c r="C480" s="59" t="s">
        <v>93</v>
      </c>
      <c r="D480" s="59">
        <v>20</v>
      </c>
      <c r="E480" s="493" t="s">
        <v>110</v>
      </c>
      <c r="F480" s="29">
        <v>1</v>
      </c>
      <c r="G480" s="9">
        <v>1</v>
      </c>
      <c r="H480" s="9">
        <v>1</v>
      </c>
      <c r="I480" s="9">
        <v>2</v>
      </c>
      <c r="J480" s="43">
        <v>2</v>
      </c>
      <c r="K480" s="260">
        <f t="shared" si="7"/>
        <v>0.35859414261160716</v>
      </c>
      <c r="L480" s="163" t="s">
        <v>111</v>
      </c>
    </row>
    <row r="481" spans="1:12">
      <c r="A481" s="34" t="s">
        <v>114</v>
      </c>
      <c r="B481" s="336">
        <v>2002</v>
      </c>
      <c r="C481" s="59" t="s">
        <v>98</v>
      </c>
      <c r="D481" s="59">
        <v>723</v>
      </c>
      <c r="E481" s="493" t="s">
        <v>110</v>
      </c>
      <c r="F481" s="29">
        <v>1</v>
      </c>
      <c r="G481" s="9">
        <v>1</v>
      </c>
      <c r="H481" s="9">
        <v>1</v>
      </c>
      <c r="I481" s="9">
        <v>2</v>
      </c>
      <c r="J481" s="43">
        <v>2</v>
      </c>
      <c r="K481" s="260">
        <f t="shared" si="7"/>
        <v>0.35859414261160716</v>
      </c>
      <c r="L481" s="163" t="s">
        <v>111</v>
      </c>
    </row>
    <row r="482" spans="1:12">
      <c r="A482" s="34" t="s">
        <v>114</v>
      </c>
      <c r="B482" s="336">
        <v>2003</v>
      </c>
      <c r="C482" s="59" t="s">
        <v>85</v>
      </c>
      <c r="D482" s="59">
        <v>534</v>
      </c>
      <c r="E482" s="493" t="s">
        <v>110</v>
      </c>
      <c r="F482" s="29">
        <v>1</v>
      </c>
      <c r="G482" s="9">
        <v>1</v>
      </c>
      <c r="H482" s="9">
        <v>1</v>
      </c>
      <c r="I482" s="9">
        <v>2</v>
      </c>
      <c r="J482" s="43">
        <v>2</v>
      </c>
      <c r="K482" s="260">
        <f t="shared" si="7"/>
        <v>0.35859414261160716</v>
      </c>
      <c r="L482" s="163" t="s">
        <v>111</v>
      </c>
    </row>
    <row r="483" spans="1:12">
      <c r="A483" s="34" t="s">
        <v>114</v>
      </c>
      <c r="B483" s="336">
        <v>2003</v>
      </c>
      <c r="C483" s="59" t="s">
        <v>86</v>
      </c>
      <c r="D483" s="59">
        <v>157</v>
      </c>
      <c r="E483" s="493" t="s">
        <v>110</v>
      </c>
      <c r="F483" s="29">
        <v>1</v>
      </c>
      <c r="G483" s="9">
        <v>1</v>
      </c>
      <c r="H483" s="9">
        <v>1</v>
      </c>
      <c r="I483" s="9">
        <v>2</v>
      </c>
      <c r="J483" s="43">
        <v>2</v>
      </c>
      <c r="K483" s="260">
        <f t="shared" si="7"/>
        <v>0.35859414261160716</v>
      </c>
      <c r="L483" s="163" t="s">
        <v>111</v>
      </c>
    </row>
    <row r="484" spans="1:12">
      <c r="A484" s="34" t="s">
        <v>114</v>
      </c>
      <c r="B484" s="336">
        <v>2003</v>
      </c>
      <c r="C484" s="59" t="s">
        <v>87</v>
      </c>
      <c r="D484" s="59">
        <v>190</v>
      </c>
      <c r="E484" s="493" t="s">
        <v>110</v>
      </c>
      <c r="F484" s="29">
        <v>1</v>
      </c>
      <c r="G484" s="9">
        <v>1</v>
      </c>
      <c r="H484" s="9">
        <v>1</v>
      </c>
      <c r="I484" s="9">
        <v>2</v>
      </c>
      <c r="J484" s="43">
        <v>2</v>
      </c>
      <c r="K484" s="260">
        <f t="shared" si="7"/>
        <v>0.35859414261160716</v>
      </c>
      <c r="L484" s="163" t="s">
        <v>111</v>
      </c>
    </row>
    <row r="485" spans="1:12">
      <c r="A485" s="34" t="s">
        <v>114</v>
      </c>
      <c r="B485" s="336">
        <v>2003</v>
      </c>
      <c r="C485" s="59" t="s">
        <v>88</v>
      </c>
      <c r="D485" s="59">
        <v>68</v>
      </c>
      <c r="E485" s="493" t="s">
        <v>110</v>
      </c>
      <c r="F485" s="29">
        <v>1</v>
      </c>
      <c r="G485" s="9">
        <v>1</v>
      </c>
      <c r="H485" s="9">
        <v>1</v>
      </c>
      <c r="I485" s="9">
        <v>2</v>
      </c>
      <c r="J485" s="43">
        <v>2</v>
      </c>
      <c r="K485" s="260">
        <f t="shared" si="7"/>
        <v>0.35859414261160716</v>
      </c>
      <c r="L485" s="163" t="s">
        <v>111</v>
      </c>
    </row>
    <row r="486" spans="1:12">
      <c r="A486" s="34" t="s">
        <v>114</v>
      </c>
      <c r="B486" s="336">
        <v>2003</v>
      </c>
      <c r="C486" s="59" t="s">
        <v>89</v>
      </c>
      <c r="D486" s="59">
        <v>34</v>
      </c>
      <c r="E486" s="493" t="s">
        <v>110</v>
      </c>
      <c r="F486" s="29">
        <v>1</v>
      </c>
      <c r="G486" s="9">
        <v>1</v>
      </c>
      <c r="H486" s="9">
        <v>1</v>
      </c>
      <c r="I486" s="9">
        <v>2</v>
      </c>
      <c r="J486" s="43">
        <v>2</v>
      </c>
      <c r="K486" s="260">
        <f t="shared" si="7"/>
        <v>0.35859414261160716</v>
      </c>
      <c r="L486" s="163" t="s">
        <v>111</v>
      </c>
    </row>
    <row r="487" spans="1:12">
      <c r="A487" s="34" t="s">
        <v>114</v>
      </c>
      <c r="B487" s="336">
        <v>2003</v>
      </c>
      <c r="C487" s="59" t="s">
        <v>90</v>
      </c>
      <c r="D487" s="59">
        <v>151</v>
      </c>
      <c r="E487" s="493" t="s">
        <v>110</v>
      </c>
      <c r="F487" s="29">
        <v>1</v>
      </c>
      <c r="G487" s="9">
        <v>1</v>
      </c>
      <c r="H487" s="9">
        <v>1</v>
      </c>
      <c r="I487" s="9">
        <v>2</v>
      </c>
      <c r="J487" s="43">
        <v>2</v>
      </c>
      <c r="K487" s="260">
        <f t="shared" si="7"/>
        <v>0.35859414261160716</v>
      </c>
      <c r="L487" s="163" t="s">
        <v>111</v>
      </c>
    </row>
    <row r="488" spans="1:12">
      <c r="A488" s="34" t="s">
        <v>114</v>
      </c>
      <c r="B488" s="336">
        <v>2003</v>
      </c>
      <c r="C488" s="59" t="s">
        <v>91</v>
      </c>
      <c r="D488" s="59">
        <v>119</v>
      </c>
      <c r="E488" s="493" t="s">
        <v>110</v>
      </c>
      <c r="F488" s="29">
        <v>1</v>
      </c>
      <c r="G488" s="9">
        <v>1</v>
      </c>
      <c r="H488" s="9">
        <v>1</v>
      </c>
      <c r="I488" s="9">
        <v>2</v>
      </c>
      <c r="J488" s="43">
        <v>2</v>
      </c>
      <c r="K488" s="260">
        <f t="shared" si="7"/>
        <v>0.35859414261160716</v>
      </c>
      <c r="L488" s="163" t="s">
        <v>111</v>
      </c>
    </row>
    <row r="489" spans="1:12">
      <c r="A489" s="34" t="s">
        <v>114</v>
      </c>
      <c r="B489" s="336">
        <v>2003</v>
      </c>
      <c r="C489" s="59" t="s">
        <v>94</v>
      </c>
      <c r="D489" s="59">
        <v>31</v>
      </c>
      <c r="E489" s="493" t="s">
        <v>110</v>
      </c>
      <c r="F489" s="29">
        <v>1</v>
      </c>
      <c r="G489" s="9">
        <v>1</v>
      </c>
      <c r="H489" s="9">
        <v>1</v>
      </c>
      <c r="I489" s="9">
        <v>2</v>
      </c>
      <c r="J489" s="43">
        <v>2</v>
      </c>
      <c r="K489" s="260">
        <f t="shared" si="7"/>
        <v>0.35859414261160716</v>
      </c>
      <c r="L489" s="163" t="s">
        <v>111</v>
      </c>
    </row>
    <row r="490" spans="1:12">
      <c r="A490" s="34" t="s">
        <v>114</v>
      </c>
      <c r="B490" s="336">
        <v>2003</v>
      </c>
      <c r="C490" s="59" t="s">
        <v>96</v>
      </c>
      <c r="D490" s="59">
        <v>78</v>
      </c>
      <c r="E490" s="493" t="s">
        <v>110</v>
      </c>
      <c r="F490" s="29">
        <v>1</v>
      </c>
      <c r="G490" s="9">
        <v>1</v>
      </c>
      <c r="H490" s="9">
        <v>1</v>
      </c>
      <c r="I490" s="9">
        <v>2</v>
      </c>
      <c r="J490" s="43">
        <v>2</v>
      </c>
      <c r="K490" s="260">
        <f t="shared" si="7"/>
        <v>0.35859414261160716</v>
      </c>
      <c r="L490" s="163" t="s">
        <v>111</v>
      </c>
    </row>
    <row r="491" spans="1:12">
      <c r="A491" s="34" t="s">
        <v>114</v>
      </c>
      <c r="B491" s="336">
        <v>2003</v>
      </c>
      <c r="C491" s="59" t="s">
        <v>97</v>
      </c>
      <c r="D491" s="59">
        <v>117</v>
      </c>
      <c r="E491" s="493" t="s">
        <v>110</v>
      </c>
      <c r="F491" s="29">
        <v>1</v>
      </c>
      <c r="G491" s="9">
        <v>1</v>
      </c>
      <c r="H491" s="9">
        <v>1</v>
      </c>
      <c r="I491" s="9">
        <v>2</v>
      </c>
      <c r="J491" s="43">
        <v>2</v>
      </c>
      <c r="K491" s="260">
        <f t="shared" si="7"/>
        <v>0.35859414261160716</v>
      </c>
      <c r="L491" s="163" t="s">
        <v>111</v>
      </c>
    </row>
    <row r="492" spans="1:12">
      <c r="A492" s="34" t="s">
        <v>114</v>
      </c>
      <c r="B492" s="336">
        <v>2003</v>
      </c>
      <c r="C492" s="59" t="s">
        <v>95</v>
      </c>
      <c r="D492" s="59">
        <v>57</v>
      </c>
      <c r="E492" s="493" t="s">
        <v>110</v>
      </c>
      <c r="F492" s="29">
        <v>1</v>
      </c>
      <c r="G492" s="9">
        <v>1</v>
      </c>
      <c r="H492" s="9">
        <v>1</v>
      </c>
      <c r="I492" s="9">
        <v>2</v>
      </c>
      <c r="J492" s="43">
        <v>2</v>
      </c>
      <c r="K492" s="260">
        <f t="shared" si="7"/>
        <v>0.35859414261160716</v>
      </c>
      <c r="L492" s="163" t="s">
        <v>111</v>
      </c>
    </row>
    <row r="493" spans="1:12">
      <c r="A493" s="34" t="s">
        <v>114</v>
      </c>
      <c r="B493" s="336">
        <v>2003</v>
      </c>
      <c r="C493" s="59" t="s">
        <v>93</v>
      </c>
      <c r="D493" s="59">
        <v>19</v>
      </c>
      <c r="E493" s="493" t="s">
        <v>110</v>
      </c>
      <c r="F493" s="29">
        <v>1</v>
      </c>
      <c r="G493" s="9">
        <v>1</v>
      </c>
      <c r="H493" s="9">
        <v>1</v>
      </c>
      <c r="I493" s="9">
        <v>2</v>
      </c>
      <c r="J493" s="43">
        <v>2</v>
      </c>
      <c r="K493" s="260">
        <f t="shared" si="7"/>
        <v>0.35859414261160716</v>
      </c>
      <c r="L493" s="163" t="s">
        <v>111</v>
      </c>
    </row>
    <row r="494" spans="1:12">
      <c r="A494" s="34" t="s">
        <v>114</v>
      </c>
      <c r="B494" s="336">
        <v>2003</v>
      </c>
      <c r="C494" s="59" t="s">
        <v>98</v>
      </c>
      <c r="D494" s="59">
        <v>698</v>
      </c>
      <c r="E494" s="493" t="s">
        <v>110</v>
      </c>
      <c r="F494" s="29">
        <v>1</v>
      </c>
      <c r="G494" s="9">
        <v>1</v>
      </c>
      <c r="H494" s="9">
        <v>1</v>
      </c>
      <c r="I494" s="9">
        <v>2</v>
      </c>
      <c r="J494" s="43">
        <v>2</v>
      </c>
      <c r="K494" s="260">
        <f t="shared" si="7"/>
        <v>0.35859414261160716</v>
      </c>
      <c r="L494" s="163" t="s">
        <v>111</v>
      </c>
    </row>
    <row r="495" spans="1:12">
      <c r="A495" s="34" t="s">
        <v>114</v>
      </c>
      <c r="B495" s="336">
        <v>2004</v>
      </c>
      <c r="C495" s="59" t="s">
        <v>85</v>
      </c>
      <c r="D495" s="59">
        <v>602</v>
      </c>
      <c r="E495" s="493" t="s">
        <v>110</v>
      </c>
      <c r="F495" s="29">
        <v>1</v>
      </c>
      <c r="G495" s="9">
        <v>1</v>
      </c>
      <c r="H495" s="9">
        <v>1</v>
      </c>
      <c r="I495" s="9">
        <v>2</v>
      </c>
      <c r="J495" s="43">
        <v>2</v>
      </c>
      <c r="K495" s="260">
        <f t="shared" si="7"/>
        <v>0.35859414261160716</v>
      </c>
      <c r="L495" s="163" t="s">
        <v>111</v>
      </c>
    </row>
    <row r="496" spans="1:12">
      <c r="A496" s="34" t="s">
        <v>114</v>
      </c>
      <c r="B496" s="336">
        <v>2004</v>
      </c>
      <c r="C496" s="59" t="s">
        <v>86</v>
      </c>
      <c r="D496" s="59">
        <v>162</v>
      </c>
      <c r="E496" s="493" t="s">
        <v>110</v>
      </c>
      <c r="F496" s="29">
        <v>1</v>
      </c>
      <c r="G496" s="9">
        <v>1</v>
      </c>
      <c r="H496" s="9">
        <v>1</v>
      </c>
      <c r="I496" s="9">
        <v>2</v>
      </c>
      <c r="J496" s="43">
        <v>2</v>
      </c>
      <c r="K496" s="260">
        <f t="shared" si="7"/>
        <v>0.35859414261160716</v>
      </c>
      <c r="L496" s="163" t="s">
        <v>111</v>
      </c>
    </row>
    <row r="497" spans="1:12">
      <c r="A497" s="34" t="s">
        <v>114</v>
      </c>
      <c r="B497" s="336">
        <v>2004</v>
      </c>
      <c r="C497" s="59" t="s">
        <v>87</v>
      </c>
      <c r="D497" s="59">
        <v>190</v>
      </c>
      <c r="E497" s="493" t="s">
        <v>110</v>
      </c>
      <c r="F497" s="29">
        <v>1</v>
      </c>
      <c r="G497" s="9">
        <v>1</v>
      </c>
      <c r="H497" s="9">
        <v>1</v>
      </c>
      <c r="I497" s="9">
        <v>2</v>
      </c>
      <c r="J497" s="43">
        <v>2</v>
      </c>
      <c r="K497" s="260">
        <f t="shared" si="7"/>
        <v>0.35859414261160716</v>
      </c>
      <c r="L497" s="163" t="s">
        <v>111</v>
      </c>
    </row>
    <row r="498" spans="1:12">
      <c r="A498" s="34" t="s">
        <v>114</v>
      </c>
      <c r="B498" s="336">
        <v>2004</v>
      </c>
      <c r="C498" s="59" t="s">
        <v>88</v>
      </c>
      <c r="D498" s="59">
        <v>69</v>
      </c>
      <c r="E498" s="493" t="s">
        <v>110</v>
      </c>
      <c r="F498" s="29">
        <v>1</v>
      </c>
      <c r="G498" s="9">
        <v>1</v>
      </c>
      <c r="H498" s="9">
        <v>1</v>
      </c>
      <c r="I498" s="9">
        <v>2</v>
      </c>
      <c r="J498" s="43">
        <v>2</v>
      </c>
      <c r="K498" s="260">
        <f t="shared" si="7"/>
        <v>0.35859414261160716</v>
      </c>
      <c r="L498" s="163" t="s">
        <v>111</v>
      </c>
    </row>
    <row r="499" spans="1:12">
      <c r="A499" s="34" t="s">
        <v>114</v>
      </c>
      <c r="B499" s="336">
        <v>2004</v>
      </c>
      <c r="C499" s="59" t="s">
        <v>89</v>
      </c>
      <c r="D499" s="59">
        <v>40</v>
      </c>
      <c r="E499" s="493" t="s">
        <v>110</v>
      </c>
      <c r="F499" s="29">
        <v>1</v>
      </c>
      <c r="G499" s="9">
        <v>1</v>
      </c>
      <c r="H499" s="9">
        <v>1</v>
      </c>
      <c r="I499" s="9">
        <v>2</v>
      </c>
      <c r="J499" s="43">
        <v>2</v>
      </c>
      <c r="K499" s="260">
        <f t="shared" si="7"/>
        <v>0.35859414261160716</v>
      </c>
      <c r="L499" s="163" t="s">
        <v>111</v>
      </c>
    </row>
    <row r="500" spans="1:12">
      <c r="A500" s="34" t="s">
        <v>114</v>
      </c>
      <c r="B500" s="336">
        <v>2004</v>
      </c>
      <c r="C500" s="59" t="s">
        <v>90</v>
      </c>
      <c r="D500" s="59">
        <v>162</v>
      </c>
      <c r="E500" s="493" t="s">
        <v>110</v>
      </c>
      <c r="F500" s="29">
        <v>1</v>
      </c>
      <c r="G500" s="9">
        <v>1</v>
      </c>
      <c r="H500" s="9">
        <v>1</v>
      </c>
      <c r="I500" s="9">
        <v>2</v>
      </c>
      <c r="J500" s="43">
        <v>2</v>
      </c>
      <c r="K500" s="260">
        <f t="shared" si="7"/>
        <v>0.35859414261160716</v>
      </c>
      <c r="L500" s="163" t="s">
        <v>111</v>
      </c>
    </row>
    <row r="501" spans="1:12">
      <c r="A501" s="34" t="s">
        <v>114</v>
      </c>
      <c r="B501" s="336">
        <v>2004</v>
      </c>
      <c r="C501" s="59" t="s">
        <v>91</v>
      </c>
      <c r="D501" s="59">
        <v>107</v>
      </c>
      <c r="E501" s="493" t="s">
        <v>110</v>
      </c>
      <c r="F501" s="29">
        <v>1</v>
      </c>
      <c r="G501" s="9">
        <v>1</v>
      </c>
      <c r="H501" s="9">
        <v>1</v>
      </c>
      <c r="I501" s="9">
        <v>2</v>
      </c>
      <c r="J501" s="43">
        <v>2</v>
      </c>
      <c r="K501" s="260">
        <f t="shared" si="7"/>
        <v>0.35859414261160716</v>
      </c>
      <c r="L501" s="163" t="s">
        <v>111</v>
      </c>
    </row>
    <row r="502" spans="1:12">
      <c r="A502" s="34" t="s">
        <v>114</v>
      </c>
      <c r="B502" s="336">
        <v>2004</v>
      </c>
      <c r="C502" s="59" t="s">
        <v>94</v>
      </c>
      <c r="D502" s="59">
        <v>16</v>
      </c>
      <c r="E502" s="493" t="s">
        <v>110</v>
      </c>
      <c r="F502" s="29">
        <v>1</v>
      </c>
      <c r="G502" s="9">
        <v>1</v>
      </c>
      <c r="H502" s="9">
        <v>1</v>
      </c>
      <c r="I502" s="9">
        <v>2</v>
      </c>
      <c r="J502" s="43">
        <v>2</v>
      </c>
      <c r="K502" s="260">
        <f t="shared" si="7"/>
        <v>0.35859414261160716</v>
      </c>
      <c r="L502" s="163" t="s">
        <v>111</v>
      </c>
    </row>
    <row r="503" spans="1:12">
      <c r="A503" s="34" t="s">
        <v>114</v>
      </c>
      <c r="B503" s="336">
        <v>2004</v>
      </c>
      <c r="C503" s="59" t="s">
        <v>96</v>
      </c>
      <c r="D503" s="59">
        <v>82</v>
      </c>
      <c r="E503" s="493" t="s">
        <v>110</v>
      </c>
      <c r="F503" s="29">
        <v>1</v>
      </c>
      <c r="G503" s="9">
        <v>1</v>
      </c>
      <c r="H503" s="9">
        <v>1</v>
      </c>
      <c r="I503" s="9">
        <v>2</v>
      </c>
      <c r="J503" s="43">
        <v>2</v>
      </c>
      <c r="K503" s="260">
        <f t="shared" si="7"/>
        <v>0.35859414261160716</v>
      </c>
      <c r="L503" s="163" t="s">
        <v>111</v>
      </c>
    </row>
    <row r="504" spans="1:12">
      <c r="A504" s="34" t="s">
        <v>114</v>
      </c>
      <c r="B504" s="336">
        <v>2004</v>
      </c>
      <c r="C504" s="59" t="s">
        <v>97</v>
      </c>
      <c r="D504" s="59">
        <v>192</v>
      </c>
      <c r="E504" s="493" t="s">
        <v>110</v>
      </c>
      <c r="F504" s="29">
        <v>1</v>
      </c>
      <c r="G504" s="9">
        <v>1</v>
      </c>
      <c r="H504" s="9">
        <v>1</v>
      </c>
      <c r="I504" s="9">
        <v>2</v>
      </c>
      <c r="J504" s="43">
        <v>2</v>
      </c>
      <c r="K504" s="260">
        <f t="shared" si="7"/>
        <v>0.35859414261160716</v>
      </c>
      <c r="L504" s="163" t="s">
        <v>111</v>
      </c>
    </row>
    <row r="505" spans="1:12">
      <c r="A505" s="34" t="s">
        <v>114</v>
      </c>
      <c r="B505" s="336">
        <v>2004</v>
      </c>
      <c r="C505" s="59" t="s">
        <v>95</v>
      </c>
      <c r="D505" s="59">
        <v>75</v>
      </c>
      <c r="E505" s="493" t="s">
        <v>110</v>
      </c>
      <c r="F505" s="29">
        <v>1</v>
      </c>
      <c r="G505" s="9">
        <v>1</v>
      </c>
      <c r="H505" s="9">
        <v>1</v>
      </c>
      <c r="I505" s="9">
        <v>2</v>
      </c>
      <c r="J505" s="43">
        <v>2</v>
      </c>
      <c r="K505" s="260">
        <f t="shared" si="7"/>
        <v>0.35859414261160716</v>
      </c>
      <c r="L505" s="163" t="s">
        <v>111</v>
      </c>
    </row>
    <row r="506" spans="1:12">
      <c r="A506" s="34" t="s">
        <v>114</v>
      </c>
      <c r="B506" s="336">
        <v>2004</v>
      </c>
      <c r="C506" s="59" t="s">
        <v>93</v>
      </c>
      <c r="D506" s="59">
        <v>21</v>
      </c>
      <c r="E506" s="493" t="s">
        <v>110</v>
      </c>
      <c r="F506" s="29">
        <v>1</v>
      </c>
      <c r="G506" s="9">
        <v>1</v>
      </c>
      <c r="H506" s="9">
        <v>1</v>
      </c>
      <c r="I506" s="9">
        <v>2</v>
      </c>
      <c r="J506" s="43">
        <v>2</v>
      </c>
      <c r="K506" s="260">
        <f t="shared" si="7"/>
        <v>0.35859414261160716</v>
      </c>
      <c r="L506" s="163" t="s">
        <v>111</v>
      </c>
    </row>
    <row r="507" spans="1:12">
      <c r="A507" s="34" t="s">
        <v>114</v>
      </c>
      <c r="B507" s="336">
        <v>2004</v>
      </c>
      <c r="C507" s="59" t="s">
        <v>98</v>
      </c>
      <c r="D507" s="59">
        <v>802</v>
      </c>
      <c r="E507" s="493" t="s">
        <v>110</v>
      </c>
      <c r="F507" s="29">
        <v>1</v>
      </c>
      <c r="G507" s="9">
        <v>1</v>
      </c>
      <c r="H507" s="9">
        <v>1</v>
      </c>
      <c r="I507" s="9">
        <v>2</v>
      </c>
      <c r="J507" s="43">
        <v>2</v>
      </c>
      <c r="K507" s="260">
        <f t="shared" si="7"/>
        <v>0.35859414261160716</v>
      </c>
      <c r="L507" s="163" t="s">
        <v>111</v>
      </c>
    </row>
    <row r="508" spans="1:12">
      <c r="A508" s="34" t="s">
        <v>114</v>
      </c>
      <c r="B508" s="336">
        <v>2005</v>
      </c>
      <c r="C508" s="59" t="s">
        <v>85</v>
      </c>
      <c r="D508" s="59">
        <v>700</v>
      </c>
      <c r="E508" s="493" t="s">
        <v>110</v>
      </c>
      <c r="F508" s="29">
        <v>1</v>
      </c>
      <c r="G508" s="9">
        <v>1</v>
      </c>
      <c r="H508" s="9">
        <v>1</v>
      </c>
      <c r="I508" s="9">
        <v>2</v>
      </c>
      <c r="J508" s="43">
        <v>2</v>
      </c>
      <c r="K508" s="260">
        <f t="shared" si="7"/>
        <v>0.35859414261160716</v>
      </c>
      <c r="L508" s="163" t="s">
        <v>111</v>
      </c>
    </row>
    <row r="509" spans="1:12">
      <c r="A509" s="34" t="s">
        <v>114</v>
      </c>
      <c r="B509" s="336">
        <v>2005</v>
      </c>
      <c r="C509" s="59" t="s">
        <v>86</v>
      </c>
      <c r="D509" s="59">
        <v>172</v>
      </c>
      <c r="E509" s="493" t="s">
        <v>110</v>
      </c>
      <c r="F509" s="29">
        <v>1</v>
      </c>
      <c r="G509" s="9">
        <v>1</v>
      </c>
      <c r="H509" s="9">
        <v>1</v>
      </c>
      <c r="I509" s="9">
        <v>2</v>
      </c>
      <c r="J509" s="43">
        <v>2</v>
      </c>
      <c r="K509" s="260">
        <f t="shared" ref="K509:K572" si="8">IF( OR( ISBLANK(F509),ISBLANK(G509), ISBLANK(H509), ISBLANK(I509), ISBLANK(J509) ), "", 1.5*SQRT(   EXP(2.21*(F509-1)) + EXP(2.21*(G509-1)) + EXP(2.21*(H509-1)) + EXP(2.21*(I509-1)) + EXP(2.21*J509)   )/100*2.45 )</f>
        <v>0.35859414261160716</v>
      </c>
      <c r="L509" s="163" t="s">
        <v>111</v>
      </c>
    </row>
    <row r="510" spans="1:12">
      <c r="A510" s="34" t="s">
        <v>114</v>
      </c>
      <c r="B510" s="336">
        <v>2005</v>
      </c>
      <c r="C510" s="59" t="s">
        <v>87</v>
      </c>
      <c r="D510" s="59">
        <v>214</v>
      </c>
      <c r="E510" s="493" t="s">
        <v>110</v>
      </c>
      <c r="F510" s="29">
        <v>1</v>
      </c>
      <c r="G510" s="9">
        <v>1</v>
      </c>
      <c r="H510" s="9">
        <v>1</v>
      </c>
      <c r="I510" s="9">
        <v>2</v>
      </c>
      <c r="J510" s="43">
        <v>2</v>
      </c>
      <c r="K510" s="260">
        <f t="shared" si="8"/>
        <v>0.35859414261160716</v>
      </c>
      <c r="L510" s="163" t="s">
        <v>111</v>
      </c>
    </row>
    <row r="511" spans="1:12">
      <c r="A511" s="34" t="s">
        <v>114</v>
      </c>
      <c r="B511" s="336">
        <v>2005</v>
      </c>
      <c r="C511" s="59" t="s">
        <v>88</v>
      </c>
      <c r="D511" s="59">
        <v>96</v>
      </c>
      <c r="E511" s="493" t="s">
        <v>110</v>
      </c>
      <c r="F511" s="29">
        <v>1</v>
      </c>
      <c r="G511" s="9">
        <v>1</v>
      </c>
      <c r="H511" s="9">
        <v>1</v>
      </c>
      <c r="I511" s="9">
        <v>2</v>
      </c>
      <c r="J511" s="43">
        <v>2</v>
      </c>
      <c r="K511" s="260">
        <f t="shared" si="8"/>
        <v>0.35859414261160716</v>
      </c>
      <c r="L511" s="163" t="s">
        <v>111</v>
      </c>
    </row>
    <row r="512" spans="1:12">
      <c r="A512" s="34" t="s">
        <v>114</v>
      </c>
      <c r="B512" s="336">
        <v>2005</v>
      </c>
      <c r="C512" s="59" t="s">
        <v>89</v>
      </c>
      <c r="D512" s="59">
        <v>32</v>
      </c>
      <c r="E512" s="493" t="s">
        <v>110</v>
      </c>
      <c r="F512" s="29">
        <v>1</v>
      </c>
      <c r="G512" s="9">
        <v>1</v>
      </c>
      <c r="H512" s="9">
        <v>1</v>
      </c>
      <c r="I512" s="9">
        <v>2</v>
      </c>
      <c r="J512" s="43">
        <v>2</v>
      </c>
      <c r="K512" s="260">
        <f t="shared" si="8"/>
        <v>0.35859414261160716</v>
      </c>
      <c r="L512" s="163" t="s">
        <v>111</v>
      </c>
    </row>
    <row r="513" spans="1:12">
      <c r="A513" s="34" t="s">
        <v>114</v>
      </c>
      <c r="B513" s="336">
        <v>2005</v>
      </c>
      <c r="C513" s="59" t="s">
        <v>90</v>
      </c>
      <c r="D513" s="59">
        <v>134</v>
      </c>
      <c r="E513" s="493" t="s">
        <v>110</v>
      </c>
      <c r="F513" s="29">
        <v>1</v>
      </c>
      <c r="G513" s="9">
        <v>1</v>
      </c>
      <c r="H513" s="9">
        <v>1</v>
      </c>
      <c r="I513" s="9">
        <v>2</v>
      </c>
      <c r="J513" s="43">
        <v>2</v>
      </c>
      <c r="K513" s="260">
        <f t="shared" si="8"/>
        <v>0.35859414261160716</v>
      </c>
      <c r="L513" s="163" t="s">
        <v>111</v>
      </c>
    </row>
    <row r="514" spans="1:12">
      <c r="A514" s="34" t="s">
        <v>114</v>
      </c>
      <c r="B514" s="336">
        <v>2005</v>
      </c>
      <c r="C514" s="59" t="s">
        <v>91</v>
      </c>
      <c r="D514" s="59">
        <v>161</v>
      </c>
      <c r="E514" s="493" t="s">
        <v>110</v>
      </c>
      <c r="F514" s="29">
        <v>1</v>
      </c>
      <c r="G514" s="9">
        <v>1</v>
      </c>
      <c r="H514" s="9">
        <v>1</v>
      </c>
      <c r="I514" s="9">
        <v>2</v>
      </c>
      <c r="J514" s="43">
        <v>2</v>
      </c>
      <c r="K514" s="260">
        <f t="shared" si="8"/>
        <v>0.35859414261160716</v>
      </c>
      <c r="L514" s="163" t="s">
        <v>111</v>
      </c>
    </row>
    <row r="515" spans="1:12">
      <c r="A515" s="34" t="s">
        <v>114</v>
      </c>
      <c r="B515" s="336">
        <v>2005</v>
      </c>
      <c r="C515" s="59" t="s">
        <v>94</v>
      </c>
      <c r="D515" s="59">
        <v>16</v>
      </c>
      <c r="E515" s="493" t="s">
        <v>110</v>
      </c>
      <c r="F515" s="29">
        <v>1</v>
      </c>
      <c r="G515" s="9">
        <v>1</v>
      </c>
      <c r="H515" s="9">
        <v>1</v>
      </c>
      <c r="I515" s="9">
        <v>2</v>
      </c>
      <c r="J515" s="43">
        <v>2</v>
      </c>
      <c r="K515" s="260">
        <f t="shared" si="8"/>
        <v>0.35859414261160716</v>
      </c>
      <c r="L515" s="163" t="s">
        <v>111</v>
      </c>
    </row>
    <row r="516" spans="1:12">
      <c r="A516" s="34" t="s">
        <v>114</v>
      </c>
      <c r="B516" s="336">
        <v>2005</v>
      </c>
      <c r="C516" s="59" t="s">
        <v>96</v>
      </c>
      <c r="D516" s="59">
        <v>84</v>
      </c>
      <c r="E516" s="493" t="s">
        <v>110</v>
      </c>
      <c r="F516" s="29">
        <v>1</v>
      </c>
      <c r="G516" s="9">
        <v>1</v>
      </c>
      <c r="H516" s="9">
        <v>1</v>
      </c>
      <c r="I516" s="9">
        <v>2</v>
      </c>
      <c r="J516" s="43">
        <v>2</v>
      </c>
      <c r="K516" s="260">
        <f t="shared" si="8"/>
        <v>0.35859414261160716</v>
      </c>
      <c r="L516" s="163" t="s">
        <v>111</v>
      </c>
    </row>
    <row r="517" spans="1:12">
      <c r="A517" s="34" t="s">
        <v>114</v>
      </c>
      <c r="B517" s="336">
        <v>2005</v>
      </c>
      <c r="C517" s="59" t="s">
        <v>97</v>
      </c>
      <c r="D517" s="59">
        <v>187</v>
      </c>
      <c r="E517" s="493" t="s">
        <v>110</v>
      </c>
      <c r="F517" s="29">
        <v>1</v>
      </c>
      <c r="G517" s="9">
        <v>1</v>
      </c>
      <c r="H517" s="9">
        <v>1</v>
      </c>
      <c r="I517" s="9">
        <v>2</v>
      </c>
      <c r="J517" s="43">
        <v>2</v>
      </c>
      <c r="K517" s="260">
        <f t="shared" si="8"/>
        <v>0.35859414261160716</v>
      </c>
      <c r="L517" s="163" t="s">
        <v>111</v>
      </c>
    </row>
    <row r="518" spans="1:12">
      <c r="A518" s="34" t="s">
        <v>114</v>
      </c>
      <c r="B518" s="336">
        <v>2005</v>
      </c>
      <c r="C518" s="59" t="s">
        <v>95</v>
      </c>
      <c r="D518" s="59">
        <v>111</v>
      </c>
      <c r="E518" s="493" t="s">
        <v>110</v>
      </c>
      <c r="F518" s="29">
        <v>1</v>
      </c>
      <c r="G518" s="9">
        <v>1</v>
      </c>
      <c r="H518" s="9">
        <v>1</v>
      </c>
      <c r="I518" s="9">
        <v>2</v>
      </c>
      <c r="J518" s="43">
        <v>2</v>
      </c>
      <c r="K518" s="260">
        <f t="shared" si="8"/>
        <v>0.35859414261160716</v>
      </c>
      <c r="L518" s="163" t="s">
        <v>111</v>
      </c>
    </row>
    <row r="519" spans="1:12">
      <c r="A519" s="34" t="s">
        <v>114</v>
      </c>
      <c r="B519" s="336">
        <v>2005</v>
      </c>
      <c r="C519" s="59" t="s">
        <v>93</v>
      </c>
      <c r="D519" s="59">
        <v>65</v>
      </c>
      <c r="E519" s="493" t="s">
        <v>110</v>
      </c>
      <c r="F519" s="29">
        <v>1</v>
      </c>
      <c r="G519" s="9">
        <v>1</v>
      </c>
      <c r="H519" s="9">
        <v>1</v>
      </c>
      <c r="I519" s="9">
        <v>2</v>
      </c>
      <c r="J519" s="43">
        <v>2</v>
      </c>
      <c r="K519" s="260">
        <f t="shared" si="8"/>
        <v>0.35859414261160716</v>
      </c>
      <c r="L519" s="163" t="s">
        <v>111</v>
      </c>
    </row>
    <row r="520" spans="1:12">
      <c r="A520" s="34" t="s">
        <v>114</v>
      </c>
      <c r="B520" s="336">
        <v>2005</v>
      </c>
      <c r="C520" s="59" t="s">
        <v>98</v>
      </c>
      <c r="D520" s="59">
        <v>783</v>
      </c>
      <c r="E520" s="493" t="s">
        <v>110</v>
      </c>
      <c r="F520" s="29">
        <v>1</v>
      </c>
      <c r="G520" s="9">
        <v>1</v>
      </c>
      <c r="H520" s="9">
        <v>1</v>
      </c>
      <c r="I520" s="9">
        <v>2</v>
      </c>
      <c r="J520" s="43">
        <v>2</v>
      </c>
      <c r="K520" s="260">
        <f t="shared" si="8"/>
        <v>0.35859414261160716</v>
      </c>
      <c r="L520" s="163" t="s">
        <v>111</v>
      </c>
    </row>
    <row r="521" spans="1:12">
      <c r="A521" s="34" t="s">
        <v>114</v>
      </c>
      <c r="B521" s="336">
        <v>2006</v>
      </c>
      <c r="C521" s="59" t="s">
        <v>85</v>
      </c>
      <c r="D521" s="59">
        <v>601</v>
      </c>
      <c r="E521" s="493" t="s">
        <v>110</v>
      </c>
      <c r="F521" s="29">
        <v>1</v>
      </c>
      <c r="G521" s="9">
        <v>1</v>
      </c>
      <c r="H521" s="9">
        <v>1</v>
      </c>
      <c r="I521" s="9">
        <v>2</v>
      </c>
      <c r="J521" s="43">
        <v>2</v>
      </c>
      <c r="K521" s="260">
        <f t="shared" si="8"/>
        <v>0.35859414261160716</v>
      </c>
      <c r="L521" s="163" t="s">
        <v>111</v>
      </c>
    </row>
    <row r="522" spans="1:12">
      <c r="A522" s="34" t="s">
        <v>114</v>
      </c>
      <c r="B522" s="336">
        <v>2006</v>
      </c>
      <c r="C522" s="59" t="s">
        <v>86</v>
      </c>
      <c r="D522" s="59">
        <v>161</v>
      </c>
      <c r="E522" s="493" t="s">
        <v>110</v>
      </c>
      <c r="F522" s="29">
        <v>1</v>
      </c>
      <c r="G522" s="9">
        <v>1</v>
      </c>
      <c r="H522" s="9">
        <v>1</v>
      </c>
      <c r="I522" s="9">
        <v>2</v>
      </c>
      <c r="J522" s="43">
        <v>2</v>
      </c>
      <c r="K522" s="260">
        <f t="shared" si="8"/>
        <v>0.35859414261160716</v>
      </c>
      <c r="L522" s="163" t="s">
        <v>111</v>
      </c>
    </row>
    <row r="523" spans="1:12">
      <c r="A523" s="34" t="s">
        <v>114</v>
      </c>
      <c r="B523" s="336">
        <v>2006</v>
      </c>
      <c r="C523" s="59" t="s">
        <v>87</v>
      </c>
      <c r="D523" s="59">
        <v>251</v>
      </c>
      <c r="E523" s="493" t="s">
        <v>110</v>
      </c>
      <c r="F523" s="29">
        <v>1</v>
      </c>
      <c r="G523" s="9">
        <v>1</v>
      </c>
      <c r="H523" s="9">
        <v>1</v>
      </c>
      <c r="I523" s="9">
        <v>2</v>
      </c>
      <c r="J523" s="43">
        <v>2</v>
      </c>
      <c r="K523" s="260">
        <f t="shared" si="8"/>
        <v>0.35859414261160716</v>
      </c>
      <c r="L523" s="163" t="s">
        <v>111</v>
      </c>
    </row>
    <row r="524" spans="1:12">
      <c r="A524" s="34" t="s">
        <v>114</v>
      </c>
      <c r="B524" s="336">
        <v>2006</v>
      </c>
      <c r="C524" s="59" t="s">
        <v>88</v>
      </c>
      <c r="D524" s="59">
        <v>52</v>
      </c>
      <c r="E524" s="493" t="s">
        <v>110</v>
      </c>
      <c r="F524" s="29">
        <v>1</v>
      </c>
      <c r="G524" s="9">
        <v>1</v>
      </c>
      <c r="H524" s="9">
        <v>1</v>
      </c>
      <c r="I524" s="9">
        <v>2</v>
      </c>
      <c r="J524" s="43">
        <v>2</v>
      </c>
      <c r="K524" s="260">
        <f t="shared" si="8"/>
        <v>0.35859414261160716</v>
      </c>
      <c r="L524" s="163" t="s">
        <v>111</v>
      </c>
    </row>
    <row r="525" spans="1:12">
      <c r="A525" s="34" t="s">
        <v>114</v>
      </c>
      <c r="B525" s="336">
        <v>2006</v>
      </c>
      <c r="C525" s="59" t="s">
        <v>89</v>
      </c>
      <c r="D525" s="59">
        <v>41</v>
      </c>
      <c r="E525" s="493" t="s">
        <v>110</v>
      </c>
      <c r="F525" s="29">
        <v>1</v>
      </c>
      <c r="G525" s="9">
        <v>1</v>
      </c>
      <c r="H525" s="9">
        <v>1</v>
      </c>
      <c r="I525" s="9">
        <v>2</v>
      </c>
      <c r="J525" s="43">
        <v>2</v>
      </c>
      <c r="K525" s="260">
        <f t="shared" si="8"/>
        <v>0.35859414261160716</v>
      </c>
      <c r="L525" s="163" t="s">
        <v>111</v>
      </c>
    </row>
    <row r="526" spans="1:12">
      <c r="A526" s="34" t="s">
        <v>114</v>
      </c>
      <c r="B526" s="336">
        <v>2006</v>
      </c>
      <c r="C526" s="59" t="s">
        <v>90</v>
      </c>
      <c r="D526" s="59">
        <v>130</v>
      </c>
      <c r="E526" s="493" t="s">
        <v>110</v>
      </c>
      <c r="F526" s="29">
        <v>1</v>
      </c>
      <c r="G526" s="9">
        <v>1</v>
      </c>
      <c r="H526" s="9">
        <v>1</v>
      </c>
      <c r="I526" s="9">
        <v>2</v>
      </c>
      <c r="J526" s="43">
        <v>2</v>
      </c>
      <c r="K526" s="260">
        <f t="shared" si="8"/>
        <v>0.35859414261160716</v>
      </c>
      <c r="L526" s="163" t="s">
        <v>111</v>
      </c>
    </row>
    <row r="527" spans="1:12">
      <c r="A527" s="34" t="s">
        <v>114</v>
      </c>
      <c r="B527" s="336">
        <v>2006</v>
      </c>
      <c r="C527" s="59" t="s">
        <v>91</v>
      </c>
      <c r="D527" s="59">
        <v>157</v>
      </c>
      <c r="E527" s="493" t="s">
        <v>110</v>
      </c>
      <c r="F527" s="29">
        <v>1</v>
      </c>
      <c r="G527" s="9">
        <v>1</v>
      </c>
      <c r="H527" s="9">
        <v>1</v>
      </c>
      <c r="I527" s="9">
        <v>2</v>
      </c>
      <c r="J527" s="43">
        <v>2</v>
      </c>
      <c r="K527" s="260">
        <f t="shared" si="8"/>
        <v>0.35859414261160716</v>
      </c>
      <c r="L527" s="163" t="s">
        <v>111</v>
      </c>
    </row>
    <row r="528" spans="1:12">
      <c r="A528" s="34" t="s">
        <v>114</v>
      </c>
      <c r="B528" s="336">
        <v>2006</v>
      </c>
      <c r="C528" s="59" t="s">
        <v>94</v>
      </c>
      <c r="D528" s="59">
        <v>15</v>
      </c>
      <c r="E528" s="493" t="s">
        <v>110</v>
      </c>
      <c r="F528" s="29">
        <v>1</v>
      </c>
      <c r="G528" s="9">
        <v>1</v>
      </c>
      <c r="H528" s="9">
        <v>1</v>
      </c>
      <c r="I528" s="9">
        <v>2</v>
      </c>
      <c r="J528" s="43">
        <v>2</v>
      </c>
      <c r="K528" s="260">
        <f t="shared" si="8"/>
        <v>0.35859414261160716</v>
      </c>
      <c r="L528" s="163" t="s">
        <v>111</v>
      </c>
    </row>
    <row r="529" spans="1:12">
      <c r="A529" s="34" t="s">
        <v>114</v>
      </c>
      <c r="B529" s="336">
        <v>2006</v>
      </c>
      <c r="C529" s="59" t="s">
        <v>96</v>
      </c>
      <c r="D529" s="59">
        <v>75</v>
      </c>
      <c r="E529" s="493" t="s">
        <v>110</v>
      </c>
      <c r="F529" s="29">
        <v>1</v>
      </c>
      <c r="G529" s="9">
        <v>1</v>
      </c>
      <c r="H529" s="9">
        <v>1</v>
      </c>
      <c r="I529" s="9">
        <v>2</v>
      </c>
      <c r="J529" s="43">
        <v>2</v>
      </c>
      <c r="K529" s="260">
        <f t="shared" si="8"/>
        <v>0.35859414261160716</v>
      </c>
      <c r="L529" s="163" t="s">
        <v>111</v>
      </c>
    </row>
    <row r="530" spans="1:12">
      <c r="A530" s="34" t="s">
        <v>114</v>
      </c>
      <c r="B530" s="336">
        <v>2006</v>
      </c>
      <c r="C530" s="59" t="s">
        <v>97</v>
      </c>
      <c r="D530" s="59">
        <v>202</v>
      </c>
      <c r="E530" s="493" t="s">
        <v>110</v>
      </c>
      <c r="F530" s="29">
        <v>1</v>
      </c>
      <c r="G530" s="9">
        <v>1</v>
      </c>
      <c r="H530" s="9">
        <v>1</v>
      </c>
      <c r="I530" s="9">
        <v>2</v>
      </c>
      <c r="J530" s="43">
        <v>2</v>
      </c>
      <c r="K530" s="260">
        <f t="shared" si="8"/>
        <v>0.35859414261160716</v>
      </c>
      <c r="L530" s="163" t="s">
        <v>111</v>
      </c>
    </row>
    <row r="531" spans="1:12">
      <c r="A531" s="34" t="s">
        <v>114</v>
      </c>
      <c r="B531" s="336">
        <v>2006</v>
      </c>
      <c r="C531" s="59" t="s">
        <v>95</v>
      </c>
      <c r="D531" s="59">
        <v>81</v>
      </c>
      <c r="E531" s="493" t="s">
        <v>110</v>
      </c>
      <c r="F531" s="29">
        <v>1</v>
      </c>
      <c r="G531" s="9">
        <v>1</v>
      </c>
      <c r="H531" s="9">
        <v>1</v>
      </c>
      <c r="I531" s="9">
        <v>2</v>
      </c>
      <c r="J531" s="43">
        <v>2</v>
      </c>
      <c r="K531" s="260">
        <f t="shared" si="8"/>
        <v>0.35859414261160716</v>
      </c>
      <c r="L531" s="163" t="s">
        <v>111</v>
      </c>
    </row>
    <row r="532" spans="1:12">
      <c r="A532" s="34" t="s">
        <v>114</v>
      </c>
      <c r="B532" s="336">
        <v>2006</v>
      </c>
      <c r="C532" s="59" t="s">
        <v>93</v>
      </c>
      <c r="D532" s="59">
        <v>60</v>
      </c>
      <c r="E532" s="493" t="s">
        <v>110</v>
      </c>
      <c r="F532" s="29">
        <v>1</v>
      </c>
      <c r="G532" s="9">
        <v>1</v>
      </c>
      <c r="H532" s="9">
        <v>1</v>
      </c>
      <c r="I532" s="9">
        <v>2</v>
      </c>
      <c r="J532" s="43">
        <v>2</v>
      </c>
      <c r="K532" s="260">
        <f t="shared" si="8"/>
        <v>0.35859414261160716</v>
      </c>
      <c r="L532" s="163" t="s">
        <v>111</v>
      </c>
    </row>
    <row r="533" spans="1:12">
      <c r="A533" s="34" t="s">
        <v>114</v>
      </c>
      <c r="B533" s="336">
        <v>2006</v>
      </c>
      <c r="C533" s="59" t="s">
        <v>98</v>
      </c>
      <c r="D533" s="59">
        <v>841</v>
      </c>
      <c r="E533" s="493" t="s">
        <v>110</v>
      </c>
      <c r="F533" s="29">
        <v>1</v>
      </c>
      <c r="G533" s="9">
        <v>1</v>
      </c>
      <c r="H533" s="9">
        <v>1</v>
      </c>
      <c r="I533" s="9">
        <v>2</v>
      </c>
      <c r="J533" s="43">
        <v>2</v>
      </c>
      <c r="K533" s="260">
        <f t="shared" si="8"/>
        <v>0.35859414261160716</v>
      </c>
      <c r="L533" s="163" t="s">
        <v>111</v>
      </c>
    </row>
    <row r="534" spans="1:12">
      <c r="A534" s="34" t="s">
        <v>114</v>
      </c>
      <c r="B534" s="336">
        <v>2007</v>
      </c>
      <c r="C534" s="59" t="s">
        <v>85</v>
      </c>
      <c r="D534" s="59">
        <v>651</v>
      </c>
      <c r="E534" s="493" t="s">
        <v>110</v>
      </c>
      <c r="F534" s="29">
        <v>1</v>
      </c>
      <c r="G534" s="9">
        <v>1</v>
      </c>
      <c r="H534" s="9">
        <v>1</v>
      </c>
      <c r="I534" s="9">
        <v>2</v>
      </c>
      <c r="J534" s="43">
        <v>2</v>
      </c>
      <c r="K534" s="260">
        <f t="shared" si="8"/>
        <v>0.35859414261160716</v>
      </c>
      <c r="L534" s="163" t="s">
        <v>111</v>
      </c>
    </row>
    <row r="535" spans="1:12">
      <c r="A535" s="34" t="s">
        <v>114</v>
      </c>
      <c r="B535" s="336">
        <v>2007</v>
      </c>
      <c r="C535" s="59" t="s">
        <v>86</v>
      </c>
      <c r="D535" s="59">
        <v>160</v>
      </c>
      <c r="E535" s="493" t="s">
        <v>110</v>
      </c>
      <c r="F535" s="29">
        <v>1</v>
      </c>
      <c r="G535" s="9">
        <v>1</v>
      </c>
      <c r="H535" s="9">
        <v>1</v>
      </c>
      <c r="I535" s="9">
        <v>2</v>
      </c>
      <c r="J535" s="43">
        <v>2</v>
      </c>
      <c r="K535" s="260">
        <f t="shared" si="8"/>
        <v>0.35859414261160716</v>
      </c>
      <c r="L535" s="163" t="s">
        <v>111</v>
      </c>
    </row>
    <row r="536" spans="1:12">
      <c r="A536" s="34" t="s">
        <v>114</v>
      </c>
      <c r="B536" s="336">
        <v>2007</v>
      </c>
      <c r="C536" s="59" t="s">
        <v>87</v>
      </c>
      <c r="D536" s="59">
        <v>239</v>
      </c>
      <c r="E536" s="493" t="s">
        <v>110</v>
      </c>
      <c r="F536" s="29">
        <v>1</v>
      </c>
      <c r="G536" s="9">
        <v>1</v>
      </c>
      <c r="H536" s="9">
        <v>1</v>
      </c>
      <c r="I536" s="9">
        <v>2</v>
      </c>
      <c r="J536" s="43">
        <v>2</v>
      </c>
      <c r="K536" s="260">
        <f t="shared" si="8"/>
        <v>0.35859414261160716</v>
      </c>
      <c r="L536" s="163" t="s">
        <v>111</v>
      </c>
    </row>
    <row r="537" spans="1:12">
      <c r="A537" s="34" t="s">
        <v>114</v>
      </c>
      <c r="B537" s="336">
        <v>2007</v>
      </c>
      <c r="C537" s="59" t="s">
        <v>88</v>
      </c>
      <c r="D537" s="59">
        <v>58</v>
      </c>
      <c r="E537" s="493" t="s">
        <v>110</v>
      </c>
      <c r="F537" s="29">
        <v>1</v>
      </c>
      <c r="G537" s="9">
        <v>1</v>
      </c>
      <c r="H537" s="9">
        <v>1</v>
      </c>
      <c r="I537" s="9">
        <v>2</v>
      </c>
      <c r="J537" s="43">
        <v>2</v>
      </c>
      <c r="K537" s="260">
        <f t="shared" si="8"/>
        <v>0.35859414261160716</v>
      </c>
      <c r="L537" s="163" t="s">
        <v>111</v>
      </c>
    </row>
    <row r="538" spans="1:12">
      <c r="A538" s="34" t="s">
        <v>114</v>
      </c>
      <c r="B538" s="336">
        <v>2007</v>
      </c>
      <c r="C538" s="59" t="s">
        <v>89</v>
      </c>
      <c r="D538" s="59">
        <v>41</v>
      </c>
      <c r="E538" s="493" t="s">
        <v>110</v>
      </c>
      <c r="F538" s="29">
        <v>1</v>
      </c>
      <c r="G538" s="9">
        <v>1</v>
      </c>
      <c r="H538" s="9">
        <v>1</v>
      </c>
      <c r="I538" s="9">
        <v>2</v>
      </c>
      <c r="J538" s="43">
        <v>2</v>
      </c>
      <c r="K538" s="260">
        <f t="shared" si="8"/>
        <v>0.35859414261160716</v>
      </c>
      <c r="L538" s="163" t="s">
        <v>111</v>
      </c>
    </row>
    <row r="539" spans="1:12">
      <c r="A539" s="34" t="s">
        <v>114</v>
      </c>
      <c r="B539" s="336">
        <v>2007</v>
      </c>
      <c r="C539" s="59" t="s">
        <v>90</v>
      </c>
      <c r="D539" s="59">
        <v>148</v>
      </c>
      <c r="E539" s="493" t="s">
        <v>110</v>
      </c>
      <c r="F539" s="29">
        <v>1</v>
      </c>
      <c r="G539" s="9">
        <v>1</v>
      </c>
      <c r="H539" s="9">
        <v>1</v>
      </c>
      <c r="I539" s="9">
        <v>2</v>
      </c>
      <c r="J539" s="43">
        <v>2</v>
      </c>
      <c r="K539" s="260">
        <f t="shared" si="8"/>
        <v>0.35859414261160716</v>
      </c>
      <c r="L539" s="163" t="s">
        <v>111</v>
      </c>
    </row>
    <row r="540" spans="1:12">
      <c r="A540" s="34" t="s">
        <v>114</v>
      </c>
      <c r="B540" s="336">
        <v>2007</v>
      </c>
      <c r="C540" s="59" t="s">
        <v>91</v>
      </c>
      <c r="D540" s="59">
        <v>116</v>
      </c>
      <c r="E540" s="493" t="s">
        <v>110</v>
      </c>
      <c r="F540" s="29">
        <v>1</v>
      </c>
      <c r="G540" s="9">
        <v>1</v>
      </c>
      <c r="H540" s="9">
        <v>1</v>
      </c>
      <c r="I540" s="9">
        <v>2</v>
      </c>
      <c r="J540" s="43">
        <v>2</v>
      </c>
      <c r="K540" s="260">
        <f t="shared" si="8"/>
        <v>0.35859414261160716</v>
      </c>
      <c r="L540" s="163" t="s">
        <v>111</v>
      </c>
    </row>
    <row r="541" spans="1:12">
      <c r="A541" s="34" t="s">
        <v>114</v>
      </c>
      <c r="B541" s="336">
        <v>2007</v>
      </c>
      <c r="C541" s="59" t="s">
        <v>94</v>
      </c>
      <c r="D541" s="59">
        <v>18</v>
      </c>
      <c r="E541" s="493" t="s">
        <v>110</v>
      </c>
      <c r="F541" s="29">
        <v>1</v>
      </c>
      <c r="G541" s="9">
        <v>1</v>
      </c>
      <c r="H541" s="9">
        <v>1</v>
      </c>
      <c r="I541" s="9">
        <v>2</v>
      </c>
      <c r="J541" s="43">
        <v>2</v>
      </c>
      <c r="K541" s="260">
        <f t="shared" si="8"/>
        <v>0.35859414261160716</v>
      </c>
      <c r="L541" s="163" t="s">
        <v>111</v>
      </c>
    </row>
    <row r="542" spans="1:12">
      <c r="A542" s="34" t="s">
        <v>114</v>
      </c>
      <c r="B542" s="336">
        <v>2007</v>
      </c>
      <c r="C542" s="59" t="s">
        <v>96</v>
      </c>
      <c r="D542" s="59">
        <v>80</v>
      </c>
      <c r="E542" s="493" t="s">
        <v>110</v>
      </c>
      <c r="F542" s="29">
        <v>1</v>
      </c>
      <c r="G542" s="9">
        <v>1</v>
      </c>
      <c r="H542" s="9">
        <v>1</v>
      </c>
      <c r="I542" s="9">
        <v>2</v>
      </c>
      <c r="J542" s="43">
        <v>2</v>
      </c>
      <c r="K542" s="260">
        <f t="shared" si="8"/>
        <v>0.35859414261160716</v>
      </c>
      <c r="L542" s="163" t="s">
        <v>111</v>
      </c>
    </row>
    <row r="543" spans="1:12">
      <c r="A543" s="34" t="s">
        <v>114</v>
      </c>
      <c r="B543" s="336">
        <v>2007</v>
      </c>
      <c r="C543" s="59" t="s">
        <v>97</v>
      </c>
      <c r="D543" s="59">
        <v>204</v>
      </c>
      <c r="E543" s="493" t="s">
        <v>110</v>
      </c>
      <c r="F543" s="29">
        <v>1</v>
      </c>
      <c r="G543" s="9">
        <v>1</v>
      </c>
      <c r="H543" s="9">
        <v>1</v>
      </c>
      <c r="I543" s="9">
        <v>2</v>
      </c>
      <c r="J543" s="43">
        <v>2</v>
      </c>
      <c r="K543" s="260">
        <f t="shared" si="8"/>
        <v>0.35859414261160716</v>
      </c>
      <c r="L543" s="163" t="s">
        <v>111</v>
      </c>
    </row>
    <row r="544" spans="1:12">
      <c r="A544" s="34" t="s">
        <v>114</v>
      </c>
      <c r="B544" s="336">
        <v>2007</v>
      </c>
      <c r="C544" s="59" t="s">
        <v>95</v>
      </c>
      <c r="D544" s="59">
        <v>121</v>
      </c>
      <c r="E544" s="493" t="s">
        <v>110</v>
      </c>
      <c r="F544" s="29">
        <v>1</v>
      </c>
      <c r="G544" s="9">
        <v>1</v>
      </c>
      <c r="H544" s="9">
        <v>1</v>
      </c>
      <c r="I544" s="9">
        <v>2</v>
      </c>
      <c r="J544" s="43">
        <v>2</v>
      </c>
      <c r="K544" s="260">
        <f t="shared" si="8"/>
        <v>0.35859414261160716</v>
      </c>
      <c r="L544" s="163" t="s">
        <v>111</v>
      </c>
    </row>
    <row r="545" spans="1:12">
      <c r="A545" s="34" t="s">
        <v>114</v>
      </c>
      <c r="B545" s="336">
        <v>2007</v>
      </c>
      <c r="C545" s="59" t="s">
        <v>93</v>
      </c>
      <c r="D545" s="59">
        <v>30</v>
      </c>
      <c r="E545" s="493" t="s">
        <v>110</v>
      </c>
      <c r="F545" s="29">
        <v>1</v>
      </c>
      <c r="G545" s="9">
        <v>1</v>
      </c>
      <c r="H545" s="9">
        <v>1</v>
      </c>
      <c r="I545" s="9">
        <v>2</v>
      </c>
      <c r="J545" s="43">
        <v>2</v>
      </c>
      <c r="K545" s="260">
        <f t="shared" si="8"/>
        <v>0.35859414261160716</v>
      </c>
      <c r="L545" s="163" t="s">
        <v>111</v>
      </c>
    </row>
    <row r="546" spans="1:12">
      <c r="A546" s="34" t="s">
        <v>114</v>
      </c>
      <c r="B546" s="336">
        <v>2007</v>
      </c>
      <c r="C546" s="59" t="s">
        <v>98</v>
      </c>
      <c r="D546" s="59">
        <v>953</v>
      </c>
      <c r="E546" s="493" t="s">
        <v>110</v>
      </c>
      <c r="F546" s="29">
        <v>1</v>
      </c>
      <c r="G546" s="9">
        <v>1</v>
      </c>
      <c r="H546" s="9">
        <v>1</v>
      </c>
      <c r="I546" s="9">
        <v>2</v>
      </c>
      <c r="J546" s="43">
        <v>2</v>
      </c>
      <c r="K546" s="260">
        <f t="shared" si="8"/>
        <v>0.35859414261160716</v>
      </c>
      <c r="L546" s="163" t="s">
        <v>111</v>
      </c>
    </row>
    <row r="547" spans="1:12">
      <c r="A547" s="34" t="s">
        <v>114</v>
      </c>
      <c r="B547" s="336">
        <v>2008</v>
      </c>
      <c r="C547" s="59" t="s">
        <v>85</v>
      </c>
      <c r="D547" s="59">
        <v>662</v>
      </c>
      <c r="E547" s="493" t="s">
        <v>110</v>
      </c>
      <c r="F547" s="29">
        <v>1</v>
      </c>
      <c r="G547" s="9">
        <v>1</v>
      </c>
      <c r="H547" s="9">
        <v>1</v>
      </c>
      <c r="I547" s="9">
        <v>2</v>
      </c>
      <c r="J547" s="43">
        <v>2</v>
      </c>
      <c r="K547" s="260">
        <f t="shared" si="8"/>
        <v>0.35859414261160716</v>
      </c>
      <c r="L547" s="163" t="s">
        <v>111</v>
      </c>
    </row>
    <row r="548" spans="1:12">
      <c r="A548" s="34" t="s">
        <v>114</v>
      </c>
      <c r="B548" s="336">
        <v>2008</v>
      </c>
      <c r="C548" s="59" t="s">
        <v>86</v>
      </c>
      <c r="D548" s="59">
        <v>151</v>
      </c>
      <c r="E548" s="493" t="s">
        <v>110</v>
      </c>
      <c r="F548" s="29">
        <v>1</v>
      </c>
      <c r="G548" s="9">
        <v>1</v>
      </c>
      <c r="H548" s="9">
        <v>1</v>
      </c>
      <c r="I548" s="9">
        <v>2</v>
      </c>
      <c r="J548" s="43">
        <v>2</v>
      </c>
      <c r="K548" s="260">
        <f t="shared" si="8"/>
        <v>0.35859414261160716</v>
      </c>
      <c r="L548" s="163" t="s">
        <v>111</v>
      </c>
    </row>
    <row r="549" spans="1:12">
      <c r="A549" s="34" t="s">
        <v>114</v>
      </c>
      <c r="B549" s="336">
        <v>2008</v>
      </c>
      <c r="C549" s="59" t="s">
        <v>87</v>
      </c>
      <c r="D549" s="59">
        <v>235</v>
      </c>
      <c r="E549" s="493" t="s">
        <v>110</v>
      </c>
      <c r="F549" s="29">
        <v>1</v>
      </c>
      <c r="G549" s="9">
        <v>1</v>
      </c>
      <c r="H549" s="9">
        <v>1</v>
      </c>
      <c r="I549" s="9">
        <v>2</v>
      </c>
      <c r="J549" s="43">
        <v>2</v>
      </c>
      <c r="K549" s="260">
        <f t="shared" si="8"/>
        <v>0.35859414261160716</v>
      </c>
      <c r="L549" s="163" t="s">
        <v>111</v>
      </c>
    </row>
    <row r="550" spans="1:12">
      <c r="A550" s="34" t="s">
        <v>114</v>
      </c>
      <c r="B550" s="336">
        <v>2008</v>
      </c>
      <c r="C550" s="59" t="s">
        <v>88</v>
      </c>
      <c r="D550" s="59">
        <v>43</v>
      </c>
      <c r="E550" s="493" t="s">
        <v>110</v>
      </c>
      <c r="F550" s="29">
        <v>1</v>
      </c>
      <c r="G550" s="9">
        <v>1</v>
      </c>
      <c r="H550" s="9">
        <v>1</v>
      </c>
      <c r="I550" s="9">
        <v>2</v>
      </c>
      <c r="J550" s="43">
        <v>2</v>
      </c>
      <c r="K550" s="260">
        <f t="shared" si="8"/>
        <v>0.35859414261160716</v>
      </c>
      <c r="L550" s="163" t="s">
        <v>111</v>
      </c>
    </row>
    <row r="551" spans="1:12">
      <c r="A551" s="34" t="s">
        <v>114</v>
      </c>
      <c r="B551" s="336">
        <v>2008</v>
      </c>
      <c r="C551" s="59" t="s">
        <v>89</v>
      </c>
      <c r="D551" s="59">
        <v>31</v>
      </c>
      <c r="E551" s="493" t="s">
        <v>110</v>
      </c>
      <c r="F551" s="29">
        <v>1</v>
      </c>
      <c r="G551" s="9">
        <v>1</v>
      </c>
      <c r="H551" s="9">
        <v>1</v>
      </c>
      <c r="I551" s="9">
        <v>2</v>
      </c>
      <c r="J551" s="43">
        <v>2</v>
      </c>
      <c r="K551" s="260">
        <f t="shared" si="8"/>
        <v>0.35859414261160716</v>
      </c>
      <c r="L551" s="163" t="s">
        <v>111</v>
      </c>
    </row>
    <row r="552" spans="1:12">
      <c r="A552" s="34" t="s">
        <v>114</v>
      </c>
      <c r="B552" s="336">
        <v>2008</v>
      </c>
      <c r="C552" s="59" t="s">
        <v>90</v>
      </c>
      <c r="D552" s="59">
        <v>124</v>
      </c>
      <c r="E552" s="493" t="s">
        <v>110</v>
      </c>
      <c r="F552" s="29">
        <v>1</v>
      </c>
      <c r="G552" s="9">
        <v>1</v>
      </c>
      <c r="H552" s="9">
        <v>1</v>
      </c>
      <c r="I552" s="9">
        <v>2</v>
      </c>
      <c r="J552" s="43">
        <v>2</v>
      </c>
      <c r="K552" s="260">
        <f t="shared" si="8"/>
        <v>0.35859414261160716</v>
      </c>
      <c r="L552" s="163" t="s">
        <v>111</v>
      </c>
    </row>
    <row r="553" spans="1:12">
      <c r="A553" s="34" t="s">
        <v>114</v>
      </c>
      <c r="B553" s="336">
        <v>2008</v>
      </c>
      <c r="C553" s="59" t="s">
        <v>91</v>
      </c>
      <c r="D553" s="59">
        <v>94</v>
      </c>
      <c r="E553" s="493" t="s">
        <v>110</v>
      </c>
      <c r="F553" s="29">
        <v>1</v>
      </c>
      <c r="G553" s="9">
        <v>1</v>
      </c>
      <c r="H553" s="9">
        <v>1</v>
      </c>
      <c r="I553" s="9">
        <v>2</v>
      </c>
      <c r="J553" s="43">
        <v>2</v>
      </c>
      <c r="K553" s="260">
        <f t="shared" si="8"/>
        <v>0.35859414261160716</v>
      </c>
      <c r="L553" s="163" t="s">
        <v>111</v>
      </c>
    </row>
    <row r="554" spans="1:12">
      <c r="A554" s="34" t="s">
        <v>114</v>
      </c>
      <c r="B554" s="336">
        <v>2008</v>
      </c>
      <c r="C554" s="59" t="s">
        <v>94</v>
      </c>
      <c r="D554" s="59">
        <v>23</v>
      </c>
      <c r="E554" s="493" t="s">
        <v>110</v>
      </c>
      <c r="F554" s="29">
        <v>1</v>
      </c>
      <c r="G554" s="9">
        <v>1</v>
      </c>
      <c r="H554" s="9">
        <v>1</v>
      </c>
      <c r="I554" s="9">
        <v>2</v>
      </c>
      <c r="J554" s="43">
        <v>2</v>
      </c>
      <c r="K554" s="260">
        <f t="shared" si="8"/>
        <v>0.35859414261160716</v>
      </c>
      <c r="L554" s="163" t="s">
        <v>111</v>
      </c>
    </row>
    <row r="555" spans="1:12">
      <c r="A555" s="34" t="s">
        <v>114</v>
      </c>
      <c r="B555" s="336">
        <v>2008</v>
      </c>
      <c r="C555" s="59" t="s">
        <v>96</v>
      </c>
      <c r="D555" s="59">
        <v>117</v>
      </c>
      <c r="E555" s="493" t="s">
        <v>110</v>
      </c>
      <c r="F555" s="29">
        <v>1</v>
      </c>
      <c r="G555" s="9">
        <v>1</v>
      </c>
      <c r="H555" s="9">
        <v>1</v>
      </c>
      <c r="I555" s="9">
        <v>2</v>
      </c>
      <c r="J555" s="43">
        <v>2</v>
      </c>
      <c r="K555" s="260">
        <f t="shared" si="8"/>
        <v>0.35859414261160716</v>
      </c>
      <c r="L555" s="163" t="s">
        <v>111</v>
      </c>
    </row>
    <row r="556" spans="1:12">
      <c r="A556" s="34" t="s">
        <v>114</v>
      </c>
      <c r="B556" s="336">
        <v>2008</v>
      </c>
      <c r="C556" s="59" t="s">
        <v>97</v>
      </c>
      <c r="D556" s="59">
        <v>197</v>
      </c>
      <c r="E556" s="493" t="s">
        <v>110</v>
      </c>
      <c r="F556" s="29">
        <v>1</v>
      </c>
      <c r="G556" s="9">
        <v>1</v>
      </c>
      <c r="H556" s="9">
        <v>1</v>
      </c>
      <c r="I556" s="9">
        <v>2</v>
      </c>
      <c r="J556" s="43">
        <v>2</v>
      </c>
      <c r="K556" s="260">
        <f t="shared" si="8"/>
        <v>0.35859414261160716</v>
      </c>
      <c r="L556" s="163" t="s">
        <v>111</v>
      </c>
    </row>
    <row r="557" spans="1:12">
      <c r="A557" s="34" t="s">
        <v>114</v>
      </c>
      <c r="B557" s="336">
        <v>2008</v>
      </c>
      <c r="C557" s="59" t="s">
        <v>95</v>
      </c>
      <c r="D557" s="59">
        <v>101</v>
      </c>
      <c r="E557" s="493" t="s">
        <v>110</v>
      </c>
      <c r="F557" s="29">
        <v>1</v>
      </c>
      <c r="G557" s="9">
        <v>1</v>
      </c>
      <c r="H557" s="9">
        <v>1</v>
      </c>
      <c r="I557" s="9">
        <v>2</v>
      </c>
      <c r="J557" s="43">
        <v>2</v>
      </c>
      <c r="K557" s="260">
        <f t="shared" si="8"/>
        <v>0.35859414261160716</v>
      </c>
      <c r="L557" s="163" t="s">
        <v>111</v>
      </c>
    </row>
    <row r="558" spans="1:12">
      <c r="A558" s="34" t="s">
        <v>114</v>
      </c>
      <c r="B558" s="336">
        <v>2008</v>
      </c>
      <c r="C558" s="59" t="s">
        <v>93</v>
      </c>
      <c r="D558" s="59">
        <v>28</v>
      </c>
      <c r="E558" s="493" t="s">
        <v>110</v>
      </c>
      <c r="F558" s="29">
        <v>1</v>
      </c>
      <c r="G558" s="9">
        <v>1</v>
      </c>
      <c r="H558" s="9">
        <v>1</v>
      </c>
      <c r="I558" s="9">
        <v>2</v>
      </c>
      <c r="J558" s="43">
        <v>2</v>
      </c>
      <c r="K558" s="260">
        <f t="shared" si="8"/>
        <v>0.35859414261160716</v>
      </c>
      <c r="L558" s="163" t="s">
        <v>111</v>
      </c>
    </row>
    <row r="559" spans="1:12">
      <c r="A559" s="34" t="s">
        <v>114</v>
      </c>
      <c r="B559" s="336">
        <v>2008</v>
      </c>
      <c r="C559" s="59" t="s">
        <v>98</v>
      </c>
      <c r="D559" s="59">
        <v>868</v>
      </c>
      <c r="E559" s="493" t="s">
        <v>110</v>
      </c>
      <c r="F559" s="29">
        <v>1</v>
      </c>
      <c r="G559" s="9">
        <v>1</v>
      </c>
      <c r="H559" s="9">
        <v>1</v>
      </c>
      <c r="I559" s="9">
        <v>2</v>
      </c>
      <c r="J559" s="43">
        <v>2</v>
      </c>
      <c r="K559" s="260">
        <f t="shared" si="8"/>
        <v>0.35859414261160716</v>
      </c>
      <c r="L559" s="163" t="s">
        <v>111</v>
      </c>
    </row>
    <row r="560" spans="1:12">
      <c r="A560" s="34" t="s">
        <v>114</v>
      </c>
      <c r="B560" s="336">
        <v>2009</v>
      </c>
      <c r="C560" s="59" t="s">
        <v>85</v>
      </c>
      <c r="D560" s="59">
        <v>593</v>
      </c>
      <c r="E560" s="493" t="s">
        <v>110</v>
      </c>
      <c r="F560" s="29">
        <v>1</v>
      </c>
      <c r="G560" s="9">
        <v>1</v>
      </c>
      <c r="H560" s="9">
        <v>1</v>
      </c>
      <c r="I560" s="9">
        <v>2</v>
      </c>
      <c r="J560" s="43">
        <v>2</v>
      </c>
      <c r="K560" s="260">
        <f t="shared" si="8"/>
        <v>0.35859414261160716</v>
      </c>
      <c r="L560" s="163" t="s">
        <v>111</v>
      </c>
    </row>
    <row r="561" spans="1:12">
      <c r="A561" s="34" t="s">
        <v>114</v>
      </c>
      <c r="B561" s="336">
        <v>2009</v>
      </c>
      <c r="C561" s="59" t="s">
        <v>86</v>
      </c>
      <c r="D561" s="59">
        <v>162</v>
      </c>
      <c r="E561" s="493" t="s">
        <v>110</v>
      </c>
      <c r="F561" s="29">
        <v>1</v>
      </c>
      <c r="G561" s="9">
        <v>1</v>
      </c>
      <c r="H561" s="9">
        <v>1</v>
      </c>
      <c r="I561" s="9">
        <v>2</v>
      </c>
      <c r="J561" s="43">
        <v>2</v>
      </c>
      <c r="K561" s="260">
        <f t="shared" si="8"/>
        <v>0.35859414261160716</v>
      </c>
      <c r="L561" s="163" t="s">
        <v>111</v>
      </c>
    </row>
    <row r="562" spans="1:12">
      <c r="A562" s="34" t="s">
        <v>114</v>
      </c>
      <c r="B562" s="336">
        <v>2009</v>
      </c>
      <c r="C562" s="59" t="s">
        <v>87</v>
      </c>
      <c r="D562" s="59">
        <v>246</v>
      </c>
      <c r="E562" s="493" t="s">
        <v>110</v>
      </c>
      <c r="F562" s="29">
        <v>1</v>
      </c>
      <c r="G562" s="9">
        <v>1</v>
      </c>
      <c r="H562" s="9">
        <v>1</v>
      </c>
      <c r="I562" s="9">
        <v>2</v>
      </c>
      <c r="J562" s="43">
        <v>2</v>
      </c>
      <c r="K562" s="260">
        <f t="shared" si="8"/>
        <v>0.35859414261160716</v>
      </c>
      <c r="L562" s="163" t="s">
        <v>111</v>
      </c>
    </row>
    <row r="563" spans="1:12">
      <c r="A563" s="34" t="s">
        <v>114</v>
      </c>
      <c r="B563" s="336">
        <v>2009</v>
      </c>
      <c r="C563" s="59" t="s">
        <v>88</v>
      </c>
      <c r="D563" s="59">
        <v>41</v>
      </c>
      <c r="E563" s="493" t="s">
        <v>110</v>
      </c>
      <c r="F563" s="29">
        <v>1</v>
      </c>
      <c r="G563" s="9">
        <v>1</v>
      </c>
      <c r="H563" s="9">
        <v>1</v>
      </c>
      <c r="I563" s="9">
        <v>2</v>
      </c>
      <c r="J563" s="43">
        <v>2</v>
      </c>
      <c r="K563" s="260">
        <f t="shared" si="8"/>
        <v>0.35859414261160716</v>
      </c>
      <c r="L563" s="163" t="s">
        <v>111</v>
      </c>
    </row>
    <row r="564" spans="1:12">
      <c r="A564" s="34" t="s">
        <v>114</v>
      </c>
      <c r="B564" s="336">
        <v>2009</v>
      </c>
      <c r="C564" s="59" t="s">
        <v>89</v>
      </c>
      <c r="D564" s="59">
        <v>28</v>
      </c>
      <c r="E564" s="493" t="s">
        <v>110</v>
      </c>
      <c r="F564" s="29">
        <v>1</v>
      </c>
      <c r="G564" s="9">
        <v>1</v>
      </c>
      <c r="H564" s="9">
        <v>1</v>
      </c>
      <c r="I564" s="9">
        <v>2</v>
      </c>
      <c r="J564" s="43">
        <v>2</v>
      </c>
      <c r="K564" s="260">
        <f t="shared" si="8"/>
        <v>0.35859414261160716</v>
      </c>
      <c r="L564" s="163" t="s">
        <v>111</v>
      </c>
    </row>
    <row r="565" spans="1:12">
      <c r="A565" s="34" t="s">
        <v>114</v>
      </c>
      <c r="B565" s="336">
        <v>2009</v>
      </c>
      <c r="C565" s="59" t="s">
        <v>90</v>
      </c>
      <c r="D565" s="59">
        <v>159</v>
      </c>
      <c r="E565" s="493" t="s">
        <v>110</v>
      </c>
      <c r="F565" s="29">
        <v>1</v>
      </c>
      <c r="G565" s="9">
        <v>1</v>
      </c>
      <c r="H565" s="9">
        <v>1</v>
      </c>
      <c r="I565" s="9">
        <v>2</v>
      </c>
      <c r="J565" s="43">
        <v>2</v>
      </c>
      <c r="K565" s="260">
        <f t="shared" si="8"/>
        <v>0.35859414261160716</v>
      </c>
      <c r="L565" s="163" t="s">
        <v>111</v>
      </c>
    </row>
    <row r="566" spans="1:12">
      <c r="A566" s="34" t="s">
        <v>114</v>
      </c>
      <c r="B566" s="336">
        <v>2009</v>
      </c>
      <c r="C566" s="59" t="s">
        <v>91</v>
      </c>
      <c r="D566" s="59">
        <v>92</v>
      </c>
      <c r="E566" s="493" t="s">
        <v>110</v>
      </c>
      <c r="F566" s="29">
        <v>1</v>
      </c>
      <c r="G566" s="9">
        <v>1</v>
      </c>
      <c r="H566" s="9">
        <v>1</v>
      </c>
      <c r="I566" s="9">
        <v>2</v>
      </c>
      <c r="J566" s="43">
        <v>2</v>
      </c>
      <c r="K566" s="260">
        <f t="shared" si="8"/>
        <v>0.35859414261160716</v>
      </c>
      <c r="L566" s="163" t="s">
        <v>111</v>
      </c>
    </row>
    <row r="567" spans="1:12">
      <c r="A567" s="34" t="s">
        <v>114</v>
      </c>
      <c r="B567" s="336">
        <v>2009</v>
      </c>
      <c r="C567" s="59" t="s">
        <v>94</v>
      </c>
      <c r="D567" s="59">
        <v>23</v>
      </c>
      <c r="E567" s="493" t="s">
        <v>110</v>
      </c>
      <c r="F567" s="29">
        <v>1</v>
      </c>
      <c r="G567" s="9">
        <v>1</v>
      </c>
      <c r="H567" s="9">
        <v>1</v>
      </c>
      <c r="I567" s="9">
        <v>2</v>
      </c>
      <c r="J567" s="43">
        <v>2</v>
      </c>
      <c r="K567" s="260">
        <f t="shared" si="8"/>
        <v>0.35859414261160716</v>
      </c>
      <c r="L567" s="163" t="s">
        <v>111</v>
      </c>
    </row>
    <row r="568" spans="1:12">
      <c r="A568" s="34" t="s">
        <v>114</v>
      </c>
      <c r="B568" s="336">
        <v>2009</v>
      </c>
      <c r="C568" s="59" t="s">
        <v>96</v>
      </c>
      <c r="D568" s="59">
        <v>50</v>
      </c>
      <c r="E568" s="493" t="s">
        <v>110</v>
      </c>
      <c r="F568" s="29">
        <v>1</v>
      </c>
      <c r="G568" s="9">
        <v>1</v>
      </c>
      <c r="H568" s="9">
        <v>1</v>
      </c>
      <c r="I568" s="9">
        <v>2</v>
      </c>
      <c r="J568" s="43">
        <v>2</v>
      </c>
      <c r="K568" s="260">
        <f t="shared" si="8"/>
        <v>0.35859414261160716</v>
      </c>
      <c r="L568" s="163" t="s">
        <v>111</v>
      </c>
    </row>
    <row r="569" spans="1:12">
      <c r="A569" s="34" t="s">
        <v>114</v>
      </c>
      <c r="B569" s="336">
        <v>2009</v>
      </c>
      <c r="C569" s="59" t="s">
        <v>97</v>
      </c>
      <c r="D569" s="59">
        <v>173</v>
      </c>
      <c r="E569" s="493" t="s">
        <v>110</v>
      </c>
      <c r="F569" s="29">
        <v>1</v>
      </c>
      <c r="G569" s="9">
        <v>1</v>
      </c>
      <c r="H569" s="9">
        <v>1</v>
      </c>
      <c r="I569" s="9">
        <v>2</v>
      </c>
      <c r="J569" s="43">
        <v>2</v>
      </c>
      <c r="K569" s="260">
        <f t="shared" si="8"/>
        <v>0.35859414261160716</v>
      </c>
      <c r="L569" s="163" t="s">
        <v>111</v>
      </c>
    </row>
    <row r="570" spans="1:12">
      <c r="A570" s="34" t="s">
        <v>114</v>
      </c>
      <c r="B570" s="336">
        <v>2009</v>
      </c>
      <c r="C570" s="59" t="s">
        <v>95</v>
      </c>
      <c r="D570" s="59">
        <v>41</v>
      </c>
      <c r="E570" s="493" t="s">
        <v>110</v>
      </c>
      <c r="F570" s="29">
        <v>1</v>
      </c>
      <c r="G570" s="9">
        <v>1</v>
      </c>
      <c r="H570" s="9">
        <v>1</v>
      </c>
      <c r="I570" s="9">
        <v>2</v>
      </c>
      <c r="J570" s="43">
        <v>2</v>
      </c>
      <c r="K570" s="260">
        <f t="shared" si="8"/>
        <v>0.35859414261160716</v>
      </c>
      <c r="L570" s="163" t="s">
        <v>111</v>
      </c>
    </row>
    <row r="571" spans="1:12">
      <c r="A571" s="34" t="s">
        <v>114</v>
      </c>
      <c r="B571" s="336">
        <v>2009</v>
      </c>
      <c r="C571" s="59" t="s">
        <v>93</v>
      </c>
      <c r="D571" s="59">
        <v>35</v>
      </c>
      <c r="E571" s="493" t="s">
        <v>110</v>
      </c>
      <c r="F571" s="29">
        <v>1</v>
      </c>
      <c r="G571" s="9">
        <v>1</v>
      </c>
      <c r="H571" s="9">
        <v>1</v>
      </c>
      <c r="I571" s="9">
        <v>2</v>
      </c>
      <c r="J571" s="43">
        <v>2</v>
      </c>
      <c r="K571" s="260">
        <f t="shared" si="8"/>
        <v>0.35859414261160716</v>
      </c>
      <c r="L571" s="163" t="s">
        <v>111</v>
      </c>
    </row>
    <row r="572" spans="1:12">
      <c r="A572" s="34" t="s">
        <v>114</v>
      </c>
      <c r="B572" s="336">
        <v>2009</v>
      </c>
      <c r="C572" s="59" t="s">
        <v>98</v>
      </c>
      <c r="D572" s="59">
        <v>701</v>
      </c>
      <c r="E572" s="493" t="s">
        <v>110</v>
      </c>
      <c r="F572" s="29">
        <v>1</v>
      </c>
      <c r="G572" s="9">
        <v>1</v>
      </c>
      <c r="H572" s="9">
        <v>1</v>
      </c>
      <c r="I572" s="9">
        <v>2</v>
      </c>
      <c r="J572" s="43">
        <v>2</v>
      </c>
      <c r="K572" s="260">
        <f t="shared" si="8"/>
        <v>0.35859414261160716</v>
      </c>
      <c r="L572" s="163" t="s">
        <v>111</v>
      </c>
    </row>
    <row r="573" spans="1:12">
      <c r="A573" s="34" t="s">
        <v>114</v>
      </c>
      <c r="B573" s="336">
        <v>2010</v>
      </c>
      <c r="C573" s="59" t="s">
        <v>85</v>
      </c>
      <c r="D573" s="59">
        <v>706</v>
      </c>
      <c r="E573" s="493" t="s">
        <v>110</v>
      </c>
      <c r="F573" s="29">
        <v>1</v>
      </c>
      <c r="G573" s="9">
        <v>1</v>
      </c>
      <c r="H573" s="9">
        <v>1</v>
      </c>
      <c r="I573" s="9">
        <v>2</v>
      </c>
      <c r="J573" s="43">
        <v>2</v>
      </c>
      <c r="K573" s="260">
        <f t="shared" ref="K573:K636" si="9">IF( OR( ISBLANK(F573),ISBLANK(G573), ISBLANK(H573), ISBLANK(I573), ISBLANK(J573) ), "", 1.5*SQRT(   EXP(2.21*(F573-1)) + EXP(2.21*(G573-1)) + EXP(2.21*(H573-1)) + EXP(2.21*(I573-1)) + EXP(2.21*J573)   )/100*2.45 )</f>
        <v>0.35859414261160716</v>
      </c>
      <c r="L573" s="163" t="s">
        <v>111</v>
      </c>
    </row>
    <row r="574" spans="1:12">
      <c r="A574" s="34" t="s">
        <v>114</v>
      </c>
      <c r="B574" s="336">
        <v>2010</v>
      </c>
      <c r="C574" s="59" t="s">
        <v>86</v>
      </c>
      <c r="D574" s="59">
        <v>182</v>
      </c>
      <c r="E574" s="493" t="s">
        <v>110</v>
      </c>
      <c r="F574" s="29">
        <v>1</v>
      </c>
      <c r="G574" s="9">
        <v>1</v>
      </c>
      <c r="H574" s="9">
        <v>1</v>
      </c>
      <c r="I574" s="9">
        <v>2</v>
      </c>
      <c r="J574" s="43">
        <v>2</v>
      </c>
      <c r="K574" s="260">
        <f t="shared" si="9"/>
        <v>0.35859414261160716</v>
      </c>
      <c r="L574" s="163" t="s">
        <v>111</v>
      </c>
    </row>
    <row r="575" spans="1:12">
      <c r="A575" s="34" t="s">
        <v>114</v>
      </c>
      <c r="B575" s="336">
        <v>2010</v>
      </c>
      <c r="C575" s="59" t="s">
        <v>87</v>
      </c>
      <c r="D575" s="59">
        <v>225</v>
      </c>
      <c r="E575" s="493" t="s">
        <v>110</v>
      </c>
      <c r="F575" s="29">
        <v>1</v>
      </c>
      <c r="G575" s="9">
        <v>1</v>
      </c>
      <c r="H575" s="9">
        <v>1</v>
      </c>
      <c r="I575" s="9">
        <v>2</v>
      </c>
      <c r="J575" s="43">
        <v>2</v>
      </c>
      <c r="K575" s="260">
        <f t="shared" si="9"/>
        <v>0.35859414261160716</v>
      </c>
      <c r="L575" s="163" t="s">
        <v>111</v>
      </c>
    </row>
    <row r="576" spans="1:12">
      <c r="A576" s="34" t="s">
        <v>114</v>
      </c>
      <c r="B576" s="336">
        <v>2010</v>
      </c>
      <c r="C576" s="59" t="s">
        <v>88</v>
      </c>
      <c r="D576" s="59">
        <v>41</v>
      </c>
      <c r="E576" s="493" t="s">
        <v>110</v>
      </c>
      <c r="F576" s="29">
        <v>1</v>
      </c>
      <c r="G576" s="9">
        <v>1</v>
      </c>
      <c r="H576" s="9">
        <v>1</v>
      </c>
      <c r="I576" s="9">
        <v>2</v>
      </c>
      <c r="J576" s="43">
        <v>2</v>
      </c>
      <c r="K576" s="260">
        <f t="shared" si="9"/>
        <v>0.35859414261160716</v>
      </c>
      <c r="L576" s="163" t="s">
        <v>111</v>
      </c>
    </row>
    <row r="577" spans="1:12">
      <c r="A577" s="34" t="s">
        <v>114</v>
      </c>
      <c r="B577" s="336">
        <v>2010</v>
      </c>
      <c r="C577" s="59" t="s">
        <v>89</v>
      </c>
      <c r="D577" s="59">
        <v>28</v>
      </c>
      <c r="E577" s="493" t="s">
        <v>110</v>
      </c>
      <c r="F577" s="29">
        <v>1</v>
      </c>
      <c r="G577" s="9">
        <v>1</v>
      </c>
      <c r="H577" s="9">
        <v>1</v>
      </c>
      <c r="I577" s="9">
        <v>2</v>
      </c>
      <c r="J577" s="43">
        <v>2</v>
      </c>
      <c r="K577" s="260">
        <f t="shared" si="9"/>
        <v>0.35859414261160716</v>
      </c>
      <c r="L577" s="163" t="s">
        <v>111</v>
      </c>
    </row>
    <row r="578" spans="1:12">
      <c r="A578" s="34" t="s">
        <v>114</v>
      </c>
      <c r="B578" s="336">
        <v>2010</v>
      </c>
      <c r="C578" s="59" t="s">
        <v>90</v>
      </c>
      <c r="D578" s="59">
        <v>121</v>
      </c>
      <c r="E578" s="493" t="s">
        <v>110</v>
      </c>
      <c r="F578" s="29">
        <v>1</v>
      </c>
      <c r="G578" s="9">
        <v>1</v>
      </c>
      <c r="H578" s="9">
        <v>1</v>
      </c>
      <c r="I578" s="9">
        <v>2</v>
      </c>
      <c r="J578" s="43">
        <v>2</v>
      </c>
      <c r="K578" s="260">
        <f t="shared" si="9"/>
        <v>0.35859414261160716</v>
      </c>
      <c r="L578" s="163" t="s">
        <v>111</v>
      </c>
    </row>
    <row r="579" spans="1:12">
      <c r="A579" s="34" t="s">
        <v>114</v>
      </c>
      <c r="B579" s="336">
        <v>2010</v>
      </c>
      <c r="C579" s="59" t="s">
        <v>91</v>
      </c>
      <c r="D579" s="59">
        <v>55</v>
      </c>
      <c r="E579" s="493" t="s">
        <v>110</v>
      </c>
      <c r="F579" s="29">
        <v>1</v>
      </c>
      <c r="G579" s="9">
        <v>1</v>
      </c>
      <c r="H579" s="9">
        <v>1</v>
      </c>
      <c r="I579" s="9">
        <v>2</v>
      </c>
      <c r="J579" s="43">
        <v>2</v>
      </c>
      <c r="K579" s="260">
        <f t="shared" si="9"/>
        <v>0.35859414261160716</v>
      </c>
      <c r="L579" s="163" t="s">
        <v>111</v>
      </c>
    </row>
    <row r="580" spans="1:12">
      <c r="A580" s="34" t="s">
        <v>114</v>
      </c>
      <c r="B580" s="336">
        <v>2010</v>
      </c>
      <c r="C580" s="59" t="s">
        <v>94</v>
      </c>
      <c r="D580" s="59">
        <v>20</v>
      </c>
      <c r="E580" s="493" t="s">
        <v>110</v>
      </c>
      <c r="F580" s="29">
        <v>1</v>
      </c>
      <c r="G580" s="9">
        <v>1</v>
      </c>
      <c r="H580" s="9">
        <v>1</v>
      </c>
      <c r="I580" s="9">
        <v>2</v>
      </c>
      <c r="J580" s="43">
        <v>2</v>
      </c>
      <c r="K580" s="260">
        <f t="shared" si="9"/>
        <v>0.35859414261160716</v>
      </c>
      <c r="L580" s="163" t="s">
        <v>111</v>
      </c>
    </row>
    <row r="581" spans="1:12">
      <c r="A581" s="34" t="s">
        <v>114</v>
      </c>
      <c r="B581" s="336">
        <v>2010</v>
      </c>
      <c r="C581" s="59" t="s">
        <v>96</v>
      </c>
      <c r="D581" s="59">
        <v>34</v>
      </c>
      <c r="E581" s="493" t="s">
        <v>110</v>
      </c>
      <c r="F581" s="29">
        <v>1</v>
      </c>
      <c r="G581" s="9">
        <v>1</v>
      </c>
      <c r="H581" s="9">
        <v>1</v>
      </c>
      <c r="I581" s="9">
        <v>2</v>
      </c>
      <c r="J581" s="43">
        <v>2</v>
      </c>
      <c r="K581" s="260">
        <f t="shared" si="9"/>
        <v>0.35859414261160716</v>
      </c>
      <c r="L581" s="163" t="s">
        <v>111</v>
      </c>
    </row>
    <row r="582" spans="1:12">
      <c r="A582" s="34" t="s">
        <v>114</v>
      </c>
      <c r="B582" s="336">
        <v>2010</v>
      </c>
      <c r="C582" s="59" t="s">
        <v>97</v>
      </c>
      <c r="D582" s="59">
        <v>204</v>
      </c>
      <c r="E582" s="493" t="s">
        <v>110</v>
      </c>
      <c r="F582" s="29">
        <v>1</v>
      </c>
      <c r="G582" s="9">
        <v>1</v>
      </c>
      <c r="H582" s="9">
        <v>1</v>
      </c>
      <c r="I582" s="9">
        <v>2</v>
      </c>
      <c r="J582" s="43">
        <v>2</v>
      </c>
      <c r="K582" s="260">
        <f t="shared" si="9"/>
        <v>0.35859414261160716</v>
      </c>
      <c r="L582" s="163" t="s">
        <v>111</v>
      </c>
    </row>
    <row r="583" spans="1:12">
      <c r="A583" s="34" t="s">
        <v>114</v>
      </c>
      <c r="B583" s="336">
        <v>2010</v>
      </c>
      <c r="C583" s="59" t="s">
        <v>95</v>
      </c>
      <c r="D583" s="59">
        <v>52</v>
      </c>
      <c r="E583" s="493" t="s">
        <v>110</v>
      </c>
      <c r="F583" s="29">
        <v>1</v>
      </c>
      <c r="G583" s="9">
        <v>1</v>
      </c>
      <c r="H583" s="9">
        <v>1</v>
      </c>
      <c r="I583" s="9">
        <v>2</v>
      </c>
      <c r="J583" s="43">
        <v>2</v>
      </c>
      <c r="K583" s="260">
        <f t="shared" si="9"/>
        <v>0.35859414261160716</v>
      </c>
      <c r="L583" s="163" t="s">
        <v>111</v>
      </c>
    </row>
    <row r="584" spans="1:12">
      <c r="A584" s="34" t="s">
        <v>114</v>
      </c>
      <c r="B584" s="336">
        <v>2010</v>
      </c>
      <c r="C584" s="59" t="s">
        <v>93</v>
      </c>
      <c r="D584" s="59">
        <v>25</v>
      </c>
      <c r="E584" s="493" t="s">
        <v>110</v>
      </c>
      <c r="F584" s="29">
        <v>1</v>
      </c>
      <c r="G584" s="9">
        <v>1</v>
      </c>
      <c r="H584" s="9">
        <v>1</v>
      </c>
      <c r="I584" s="9">
        <v>2</v>
      </c>
      <c r="J584" s="43">
        <v>2</v>
      </c>
      <c r="K584" s="260">
        <f t="shared" si="9"/>
        <v>0.35859414261160716</v>
      </c>
      <c r="L584" s="163" t="s">
        <v>111</v>
      </c>
    </row>
    <row r="585" spans="1:12">
      <c r="A585" s="34" t="s">
        <v>114</v>
      </c>
      <c r="B585" s="336">
        <v>2010</v>
      </c>
      <c r="C585" s="59" t="s">
        <v>98</v>
      </c>
      <c r="D585" s="59">
        <v>784</v>
      </c>
      <c r="E585" s="493" t="s">
        <v>110</v>
      </c>
      <c r="F585" s="29">
        <v>1</v>
      </c>
      <c r="G585" s="9">
        <v>1</v>
      </c>
      <c r="H585" s="9">
        <v>1</v>
      </c>
      <c r="I585" s="9">
        <v>2</v>
      </c>
      <c r="J585" s="43">
        <v>2</v>
      </c>
      <c r="K585" s="260">
        <f t="shared" si="9"/>
        <v>0.35859414261160716</v>
      </c>
      <c r="L585" s="163" t="s">
        <v>111</v>
      </c>
    </row>
    <row r="586" spans="1:12">
      <c r="A586" s="34" t="s">
        <v>114</v>
      </c>
      <c r="B586" s="336">
        <v>2011</v>
      </c>
      <c r="C586" s="59" t="s">
        <v>85</v>
      </c>
      <c r="D586" s="59">
        <v>756</v>
      </c>
      <c r="E586" s="493" t="s">
        <v>110</v>
      </c>
      <c r="F586" s="29">
        <v>1</v>
      </c>
      <c r="G586" s="9">
        <v>1</v>
      </c>
      <c r="H586" s="9">
        <v>1</v>
      </c>
      <c r="I586" s="9">
        <v>2</v>
      </c>
      <c r="J586" s="43">
        <v>2</v>
      </c>
      <c r="K586" s="260">
        <f t="shared" si="9"/>
        <v>0.35859414261160716</v>
      </c>
      <c r="L586" s="163" t="s">
        <v>111</v>
      </c>
    </row>
    <row r="587" spans="1:12">
      <c r="A587" s="34" t="s">
        <v>114</v>
      </c>
      <c r="B587" s="336">
        <v>2011</v>
      </c>
      <c r="C587" s="59" t="s">
        <v>86</v>
      </c>
      <c r="D587" s="59">
        <v>165</v>
      </c>
      <c r="E587" s="493" t="s">
        <v>110</v>
      </c>
      <c r="F587" s="29">
        <v>1</v>
      </c>
      <c r="G587" s="9">
        <v>1</v>
      </c>
      <c r="H587" s="9">
        <v>1</v>
      </c>
      <c r="I587" s="9">
        <v>2</v>
      </c>
      <c r="J587" s="43">
        <v>2</v>
      </c>
      <c r="K587" s="260">
        <f t="shared" si="9"/>
        <v>0.35859414261160716</v>
      </c>
      <c r="L587" s="163" t="s">
        <v>111</v>
      </c>
    </row>
    <row r="588" spans="1:12">
      <c r="A588" s="34" t="s">
        <v>114</v>
      </c>
      <c r="B588" s="336">
        <v>2011</v>
      </c>
      <c r="C588" s="59" t="s">
        <v>87</v>
      </c>
      <c r="D588" s="59">
        <v>300</v>
      </c>
      <c r="E588" s="493" t="s">
        <v>110</v>
      </c>
      <c r="F588" s="29">
        <v>1</v>
      </c>
      <c r="G588" s="9">
        <v>1</v>
      </c>
      <c r="H588" s="9">
        <v>1</v>
      </c>
      <c r="I588" s="9">
        <v>2</v>
      </c>
      <c r="J588" s="43">
        <v>2</v>
      </c>
      <c r="K588" s="260">
        <f t="shared" si="9"/>
        <v>0.35859414261160716</v>
      </c>
      <c r="L588" s="163" t="s">
        <v>111</v>
      </c>
    </row>
    <row r="589" spans="1:12">
      <c r="A589" s="34" t="s">
        <v>114</v>
      </c>
      <c r="B589" s="336">
        <v>2011</v>
      </c>
      <c r="C589" s="59" t="s">
        <v>88</v>
      </c>
      <c r="D589" s="59">
        <v>48</v>
      </c>
      <c r="E589" s="493" t="s">
        <v>110</v>
      </c>
      <c r="F589" s="29">
        <v>1</v>
      </c>
      <c r="G589" s="9">
        <v>1</v>
      </c>
      <c r="H589" s="9">
        <v>1</v>
      </c>
      <c r="I589" s="9">
        <v>2</v>
      </c>
      <c r="J589" s="43">
        <v>2</v>
      </c>
      <c r="K589" s="260">
        <f t="shared" si="9"/>
        <v>0.35859414261160716</v>
      </c>
      <c r="L589" s="163" t="s">
        <v>111</v>
      </c>
    </row>
    <row r="590" spans="1:12">
      <c r="A590" s="34" t="s">
        <v>114</v>
      </c>
      <c r="B590" s="336">
        <v>2011</v>
      </c>
      <c r="C590" s="59" t="s">
        <v>89</v>
      </c>
      <c r="D590" s="59">
        <v>36</v>
      </c>
      <c r="E590" s="493" t="s">
        <v>110</v>
      </c>
      <c r="F590" s="29">
        <v>1</v>
      </c>
      <c r="G590" s="9">
        <v>1</v>
      </c>
      <c r="H590" s="9">
        <v>1</v>
      </c>
      <c r="I590" s="9">
        <v>2</v>
      </c>
      <c r="J590" s="43">
        <v>2</v>
      </c>
      <c r="K590" s="260">
        <f t="shared" si="9"/>
        <v>0.35859414261160716</v>
      </c>
      <c r="L590" s="163" t="s">
        <v>111</v>
      </c>
    </row>
    <row r="591" spans="1:12">
      <c r="A591" s="34" t="s">
        <v>114</v>
      </c>
      <c r="B591" s="336">
        <v>2011</v>
      </c>
      <c r="C591" s="59" t="s">
        <v>90</v>
      </c>
      <c r="D591" s="59">
        <v>122</v>
      </c>
      <c r="E591" s="493" t="s">
        <v>110</v>
      </c>
      <c r="F591" s="29">
        <v>1</v>
      </c>
      <c r="G591" s="9">
        <v>1</v>
      </c>
      <c r="H591" s="9">
        <v>1</v>
      </c>
      <c r="I591" s="9">
        <v>2</v>
      </c>
      <c r="J591" s="43">
        <v>2</v>
      </c>
      <c r="K591" s="260">
        <f t="shared" si="9"/>
        <v>0.35859414261160716</v>
      </c>
      <c r="L591" s="163" t="s">
        <v>111</v>
      </c>
    </row>
    <row r="592" spans="1:12">
      <c r="A592" s="34" t="s">
        <v>114</v>
      </c>
      <c r="B592" s="336">
        <v>2011</v>
      </c>
      <c r="C592" s="59" t="s">
        <v>91</v>
      </c>
      <c r="D592" s="59">
        <v>60</v>
      </c>
      <c r="E592" s="493" t="s">
        <v>110</v>
      </c>
      <c r="F592" s="29">
        <v>1</v>
      </c>
      <c r="G592" s="9">
        <v>1</v>
      </c>
      <c r="H592" s="9">
        <v>1</v>
      </c>
      <c r="I592" s="9">
        <v>2</v>
      </c>
      <c r="J592" s="43">
        <v>2</v>
      </c>
      <c r="K592" s="260">
        <f t="shared" si="9"/>
        <v>0.35859414261160716</v>
      </c>
      <c r="L592" s="163" t="s">
        <v>111</v>
      </c>
    </row>
    <row r="593" spans="1:12">
      <c r="A593" s="34" t="s">
        <v>114</v>
      </c>
      <c r="B593" s="336">
        <v>2011</v>
      </c>
      <c r="C593" s="59" t="s">
        <v>94</v>
      </c>
      <c r="D593" s="59">
        <v>18</v>
      </c>
      <c r="E593" s="493" t="s">
        <v>110</v>
      </c>
      <c r="F593" s="29">
        <v>1</v>
      </c>
      <c r="G593" s="9">
        <v>1</v>
      </c>
      <c r="H593" s="9">
        <v>1</v>
      </c>
      <c r="I593" s="9">
        <v>2</v>
      </c>
      <c r="J593" s="43">
        <v>2</v>
      </c>
      <c r="K593" s="260">
        <f t="shared" si="9"/>
        <v>0.35859414261160716</v>
      </c>
      <c r="L593" s="163" t="s">
        <v>111</v>
      </c>
    </row>
    <row r="594" spans="1:12">
      <c r="A594" s="34" t="s">
        <v>114</v>
      </c>
      <c r="B594" s="336">
        <v>2011</v>
      </c>
      <c r="C594" s="59" t="s">
        <v>96</v>
      </c>
      <c r="D594" s="59">
        <v>48</v>
      </c>
      <c r="E594" s="493" t="s">
        <v>110</v>
      </c>
      <c r="F594" s="29">
        <v>1</v>
      </c>
      <c r="G594" s="9">
        <v>1</v>
      </c>
      <c r="H594" s="9">
        <v>1</v>
      </c>
      <c r="I594" s="9">
        <v>2</v>
      </c>
      <c r="J594" s="43">
        <v>2</v>
      </c>
      <c r="K594" s="260">
        <f t="shared" si="9"/>
        <v>0.35859414261160716</v>
      </c>
      <c r="L594" s="163" t="s">
        <v>111</v>
      </c>
    </row>
    <row r="595" spans="1:12">
      <c r="A595" s="34" t="s">
        <v>114</v>
      </c>
      <c r="B595" s="336">
        <v>2011</v>
      </c>
      <c r="C595" s="59" t="s">
        <v>97</v>
      </c>
      <c r="D595" s="59">
        <v>196</v>
      </c>
      <c r="E595" s="493" t="s">
        <v>110</v>
      </c>
      <c r="F595" s="29">
        <v>1</v>
      </c>
      <c r="G595" s="9">
        <v>1</v>
      </c>
      <c r="H595" s="9">
        <v>1</v>
      </c>
      <c r="I595" s="9">
        <v>2</v>
      </c>
      <c r="J595" s="43">
        <v>2</v>
      </c>
      <c r="K595" s="260">
        <f t="shared" si="9"/>
        <v>0.35859414261160716</v>
      </c>
      <c r="L595" s="163" t="s">
        <v>111</v>
      </c>
    </row>
    <row r="596" spans="1:12">
      <c r="A596" s="34" t="s">
        <v>114</v>
      </c>
      <c r="B596" s="336">
        <v>2011</v>
      </c>
      <c r="C596" s="59" t="s">
        <v>95</v>
      </c>
      <c r="D596" s="59">
        <v>53</v>
      </c>
      <c r="E596" s="493" t="s">
        <v>110</v>
      </c>
      <c r="F596" s="29">
        <v>1</v>
      </c>
      <c r="G596" s="9">
        <v>1</v>
      </c>
      <c r="H596" s="9">
        <v>1</v>
      </c>
      <c r="I596" s="9">
        <v>2</v>
      </c>
      <c r="J596" s="43">
        <v>2</v>
      </c>
      <c r="K596" s="260">
        <f t="shared" si="9"/>
        <v>0.35859414261160716</v>
      </c>
      <c r="L596" s="163" t="s">
        <v>111</v>
      </c>
    </row>
    <row r="597" spans="1:12">
      <c r="A597" s="34" t="s">
        <v>114</v>
      </c>
      <c r="B597" s="336">
        <v>2011</v>
      </c>
      <c r="C597" s="59" t="s">
        <v>93</v>
      </c>
      <c r="D597" s="59">
        <v>30</v>
      </c>
      <c r="E597" s="493" t="s">
        <v>110</v>
      </c>
      <c r="F597" s="29">
        <v>1</v>
      </c>
      <c r="G597" s="9">
        <v>1</v>
      </c>
      <c r="H597" s="9">
        <v>1</v>
      </c>
      <c r="I597" s="9">
        <v>2</v>
      </c>
      <c r="J597" s="43">
        <v>2</v>
      </c>
      <c r="K597" s="260">
        <f t="shared" si="9"/>
        <v>0.35859414261160716</v>
      </c>
      <c r="L597" s="163" t="s">
        <v>111</v>
      </c>
    </row>
    <row r="598" spans="1:12">
      <c r="A598" s="34" t="s">
        <v>114</v>
      </c>
      <c r="B598" s="336">
        <v>2011</v>
      </c>
      <c r="C598" s="59" t="s">
        <v>98</v>
      </c>
      <c r="D598" s="59">
        <v>907</v>
      </c>
      <c r="E598" s="493" t="s">
        <v>110</v>
      </c>
      <c r="F598" s="29">
        <v>1</v>
      </c>
      <c r="G598" s="9">
        <v>1</v>
      </c>
      <c r="H598" s="9">
        <v>1</v>
      </c>
      <c r="I598" s="9">
        <v>2</v>
      </c>
      <c r="J598" s="43">
        <v>2</v>
      </c>
      <c r="K598" s="260">
        <f t="shared" si="9"/>
        <v>0.35859414261160716</v>
      </c>
      <c r="L598" s="163" t="s">
        <v>111</v>
      </c>
    </row>
    <row r="599" spans="1:12">
      <c r="A599" s="34" t="s">
        <v>114</v>
      </c>
      <c r="B599" s="336">
        <v>2012</v>
      </c>
      <c r="C599" s="59" t="s">
        <v>85</v>
      </c>
      <c r="D599" s="59">
        <v>853</v>
      </c>
      <c r="E599" s="493" t="s">
        <v>110</v>
      </c>
      <c r="F599" s="29">
        <v>1</v>
      </c>
      <c r="G599" s="9">
        <v>1</v>
      </c>
      <c r="H599" s="9">
        <v>1</v>
      </c>
      <c r="I599" s="9">
        <v>2</v>
      </c>
      <c r="J599" s="43">
        <v>2</v>
      </c>
      <c r="K599" s="260">
        <f t="shared" si="9"/>
        <v>0.35859414261160716</v>
      </c>
      <c r="L599" s="163" t="s">
        <v>111</v>
      </c>
    </row>
    <row r="600" spans="1:12">
      <c r="A600" s="34" t="s">
        <v>114</v>
      </c>
      <c r="B600" s="336">
        <v>2012</v>
      </c>
      <c r="C600" s="59" t="s">
        <v>86</v>
      </c>
      <c r="D600" s="59">
        <v>190</v>
      </c>
      <c r="E600" s="493" t="s">
        <v>110</v>
      </c>
      <c r="F600" s="29">
        <v>1</v>
      </c>
      <c r="G600" s="9">
        <v>1</v>
      </c>
      <c r="H600" s="9">
        <v>1</v>
      </c>
      <c r="I600" s="9">
        <v>2</v>
      </c>
      <c r="J600" s="43">
        <v>2</v>
      </c>
      <c r="K600" s="260">
        <f t="shared" si="9"/>
        <v>0.35859414261160716</v>
      </c>
      <c r="L600" s="163" t="s">
        <v>111</v>
      </c>
    </row>
    <row r="601" spans="1:12">
      <c r="A601" s="34" t="s">
        <v>114</v>
      </c>
      <c r="B601" s="336">
        <v>2012</v>
      </c>
      <c r="C601" s="59" t="s">
        <v>87</v>
      </c>
      <c r="D601" s="59">
        <v>258</v>
      </c>
      <c r="E601" s="493" t="s">
        <v>110</v>
      </c>
      <c r="F601" s="29">
        <v>1</v>
      </c>
      <c r="G601" s="9">
        <v>1</v>
      </c>
      <c r="H601" s="9">
        <v>1</v>
      </c>
      <c r="I601" s="9">
        <v>2</v>
      </c>
      <c r="J601" s="43">
        <v>2</v>
      </c>
      <c r="K601" s="260">
        <f t="shared" si="9"/>
        <v>0.35859414261160716</v>
      </c>
      <c r="L601" s="163" t="s">
        <v>111</v>
      </c>
    </row>
    <row r="602" spans="1:12">
      <c r="A602" s="34" t="s">
        <v>114</v>
      </c>
      <c r="B602" s="336">
        <v>2012</v>
      </c>
      <c r="C602" s="59" t="s">
        <v>88</v>
      </c>
      <c r="D602" s="59">
        <v>44</v>
      </c>
      <c r="E602" s="493" t="s">
        <v>110</v>
      </c>
      <c r="F602" s="29">
        <v>1</v>
      </c>
      <c r="G602" s="9">
        <v>1</v>
      </c>
      <c r="H602" s="9">
        <v>1</v>
      </c>
      <c r="I602" s="9">
        <v>2</v>
      </c>
      <c r="J602" s="43">
        <v>2</v>
      </c>
      <c r="K602" s="260">
        <f t="shared" si="9"/>
        <v>0.35859414261160716</v>
      </c>
      <c r="L602" s="163" t="s">
        <v>111</v>
      </c>
    </row>
    <row r="603" spans="1:12">
      <c r="A603" s="34" t="s">
        <v>114</v>
      </c>
      <c r="B603" s="336">
        <v>2012</v>
      </c>
      <c r="C603" s="59" t="s">
        <v>89</v>
      </c>
      <c r="D603" s="59">
        <v>38</v>
      </c>
      <c r="E603" s="493" t="s">
        <v>110</v>
      </c>
      <c r="F603" s="29">
        <v>1</v>
      </c>
      <c r="G603" s="9">
        <v>1</v>
      </c>
      <c r="H603" s="9">
        <v>1</v>
      </c>
      <c r="I603" s="9">
        <v>2</v>
      </c>
      <c r="J603" s="43">
        <v>2</v>
      </c>
      <c r="K603" s="260">
        <f t="shared" si="9"/>
        <v>0.35859414261160716</v>
      </c>
      <c r="L603" s="163" t="s">
        <v>111</v>
      </c>
    </row>
    <row r="604" spans="1:12">
      <c r="A604" s="34" t="s">
        <v>114</v>
      </c>
      <c r="B604" s="336">
        <v>2012</v>
      </c>
      <c r="C604" s="59" t="s">
        <v>90</v>
      </c>
      <c r="D604" s="59">
        <v>181</v>
      </c>
      <c r="E604" s="493" t="s">
        <v>110</v>
      </c>
      <c r="F604" s="29">
        <v>1</v>
      </c>
      <c r="G604" s="9">
        <v>1</v>
      </c>
      <c r="H604" s="9">
        <v>1</v>
      </c>
      <c r="I604" s="9">
        <v>2</v>
      </c>
      <c r="J604" s="43">
        <v>2</v>
      </c>
      <c r="K604" s="260">
        <f t="shared" si="9"/>
        <v>0.35859414261160716</v>
      </c>
      <c r="L604" s="163" t="s">
        <v>111</v>
      </c>
    </row>
    <row r="605" spans="1:12">
      <c r="A605" s="34" t="s">
        <v>114</v>
      </c>
      <c r="B605" s="336">
        <v>2012</v>
      </c>
      <c r="C605" s="59" t="s">
        <v>91</v>
      </c>
      <c r="D605" s="59">
        <v>77</v>
      </c>
      <c r="E605" s="493" t="s">
        <v>110</v>
      </c>
      <c r="F605" s="29">
        <v>1</v>
      </c>
      <c r="G605" s="9">
        <v>1</v>
      </c>
      <c r="H605" s="9">
        <v>1</v>
      </c>
      <c r="I605" s="9">
        <v>2</v>
      </c>
      <c r="J605" s="43">
        <v>2</v>
      </c>
      <c r="K605" s="260">
        <f t="shared" si="9"/>
        <v>0.35859414261160716</v>
      </c>
      <c r="L605" s="163" t="s">
        <v>111</v>
      </c>
    </row>
    <row r="606" spans="1:12">
      <c r="A606" s="34" t="s">
        <v>114</v>
      </c>
      <c r="B606" s="336">
        <v>2012</v>
      </c>
      <c r="C606" s="59" t="s">
        <v>94</v>
      </c>
      <c r="D606" s="59">
        <v>20</v>
      </c>
      <c r="E606" s="493" t="s">
        <v>110</v>
      </c>
      <c r="F606" s="29">
        <v>1</v>
      </c>
      <c r="G606" s="9">
        <v>1</v>
      </c>
      <c r="H606" s="9">
        <v>1</v>
      </c>
      <c r="I606" s="9">
        <v>2</v>
      </c>
      <c r="J606" s="43">
        <v>2</v>
      </c>
      <c r="K606" s="260">
        <f t="shared" si="9"/>
        <v>0.35859414261160716</v>
      </c>
      <c r="L606" s="163" t="s">
        <v>111</v>
      </c>
    </row>
    <row r="607" spans="1:12">
      <c r="A607" s="34" t="s">
        <v>114</v>
      </c>
      <c r="B607" s="336">
        <v>2012</v>
      </c>
      <c r="C607" s="59" t="s">
        <v>96</v>
      </c>
      <c r="D607" s="59">
        <v>46</v>
      </c>
      <c r="E607" s="493" t="s">
        <v>110</v>
      </c>
      <c r="F607" s="29">
        <v>1</v>
      </c>
      <c r="G607" s="9">
        <v>1</v>
      </c>
      <c r="H607" s="9">
        <v>1</v>
      </c>
      <c r="I607" s="9">
        <v>2</v>
      </c>
      <c r="J607" s="43">
        <v>2</v>
      </c>
      <c r="K607" s="260">
        <f t="shared" si="9"/>
        <v>0.35859414261160716</v>
      </c>
      <c r="L607" s="163" t="s">
        <v>111</v>
      </c>
    </row>
    <row r="608" spans="1:12">
      <c r="A608" s="34" t="s">
        <v>114</v>
      </c>
      <c r="B608" s="336">
        <v>2012</v>
      </c>
      <c r="C608" s="59" t="s">
        <v>97</v>
      </c>
      <c r="D608" s="59">
        <v>187</v>
      </c>
      <c r="E608" s="493" t="s">
        <v>110</v>
      </c>
      <c r="F608" s="29">
        <v>1</v>
      </c>
      <c r="G608" s="9">
        <v>1</v>
      </c>
      <c r="H608" s="9">
        <v>1</v>
      </c>
      <c r="I608" s="9">
        <v>2</v>
      </c>
      <c r="J608" s="43">
        <v>2</v>
      </c>
      <c r="K608" s="260">
        <f t="shared" si="9"/>
        <v>0.35859414261160716</v>
      </c>
      <c r="L608" s="163" t="s">
        <v>111</v>
      </c>
    </row>
    <row r="609" spans="1:12">
      <c r="A609" s="34" t="s">
        <v>114</v>
      </c>
      <c r="B609" s="336">
        <v>2012</v>
      </c>
      <c r="C609" s="59" t="s">
        <v>95</v>
      </c>
      <c r="D609" s="59">
        <v>55</v>
      </c>
      <c r="E609" s="493" t="s">
        <v>110</v>
      </c>
      <c r="F609" s="29">
        <v>1</v>
      </c>
      <c r="G609" s="9">
        <v>1</v>
      </c>
      <c r="H609" s="9">
        <v>1</v>
      </c>
      <c r="I609" s="9">
        <v>2</v>
      </c>
      <c r="J609" s="43">
        <v>2</v>
      </c>
      <c r="K609" s="260">
        <f t="shared" si="9"/>
        <v>0.35859414261160716</v>
      </c>
      <c r="L609" s="163" t="s">
        <v>111</v>
      </c>
    </row>
    <row r="610" spans="1:12">
      <c r="A610" s="34" t="s">
        <v>114</v>
      </c>
      <c r="B610" s="336">
        <v>2012</v>
      </c>
      <c r="C610" s="59" t="s">
        <v>93</v>
      </c>
      <c r="D610" s="59">
        <v>28</v>
      </c>
      <c r="E610" s="493" t="s">
        <v>110</v>
      </c>
      <c r="F610" s="29">
        <v>1</v>
      </c>
      <c r="G610" s="9">
        <v>1</v>
      </c>
      <c r="H610" s="9">
        <v>1</v>
      </c>
      <c r="I610" s="9">
        <v>2</v>
      </c>
      <c r="J610" s="43">
        <v>2</v>
      </c>
      <c r="K610" s="260">
        <f t="shared" si="9"/>
        <v>0.35859414261160716</v>
      </c>
      <c r="L610" s="163" t="s">
        <v>111</v>
      </c>
    </row>
    <row r="611" spans="1:12">
      <c r="A611" s="34" t="s">
        <v>114</v>
      </c>
      <c r="B611" s="336">
        <v>2012</v>
      </c>
      <c r="C611" s="59" t="s">
        <v>98</v>
      </c>
      <c r="D611" s="59">
        <v>922</v>
      </c>
      <c r="E611" s="493" t="s">
        <v>110</v>
      </c>
      <c r="F611" s="29">
        <v>1</v>
      </c>
      <c r="G611" s="9">
        <v>1</v>
      </c>
      <c r="H611" s="9">
        <v>1</v>
      </c>
      <c r="I611" s="9">
        <v>2</v>
      </c>
      <c r="J611" s="43">
        <v>2</v>
      </c>
      <c r="K611" s="260">
        <f t="shared" si="9"/>
        <v>0.35859414261160716</v>
      </c>
      <c r="L611" s="163" t="s">
        <v>111</v>
      </c>
    </row>
    <row r="612" spans="1:12">
      <c r="A612" s="34" t="s">
        <v>114</v>
      </c>
      <c r="B612" s="336">
        <v>2013</v>
      </c>
      <c r="C612" s="59" t="s">
        <v>85</v>
      </c>
      <c r="D612" s="59">
        <v>984</v>
      </c>
      <c r="E612" s="493" t="s">
        <v>110</v>
      </c>
      <c r="F612" s="29">
        <v>1</v>
      </c>
      <c r="G612" s="9">
        <v>1</v>
      </c>
      <c r="H612" s="9">
        <v>1</v>
      </c>
      <c r="I612" s="9">
        <v>2</v>
      </c>
      <c r="J612" s="43">
        <v>2</v>
      </c>
      <c r="K612" s="260">
        <f t="shared" si="9"/>
        <v>0.35859414261160716</v>
      </c>
      <c r="L612" s="163" t="s">
        <v>111</v>
      </c>
    </row>
    <row r="613" spans="1:12">
      <c r="A613" s="34" t="s">
        <v>114</v>
      </c>
      <c r="B613" s="336">
        <v>2013</v>
      </c>
      <c r="C613" s="59" t="s">
        <v>86</v>
      </c>
      <c r="D613" s="59">
        <v>222</v>
      </c>
      <c r="E613" s="493" t="s">
        <v>110</v>
      </c>
      <c r="F613" s="29">
        <v>1</v>
      </c>
      <c r="G613" s="9">
        <v>1</v>
      </c>
      <c r="H613" s="9">
        <v>1</v>
      </c>
      <c r="I613" s="9">
        <v>2</v>
      </c>
      <c r="J613" s="43">
        <v>2</v>
      </c>
      <c r="K613" s="260">
        <f t="shared" si="9"/>
        <v>0.35859414261160716</v>
      </c>
      <c r="L613" s="163" t="s">
        <v>111</v>
      </c>
    </row>
    <row r="614" spans="1:12">
      <c r="A614" s="34" t="s">
        <v>114</v>
      </c>
      <c r="B614" s="336">
        <v>2013</v>
      </c>
      <c r="C614" s="59" t="s">
        <v>87</v>
      </c>
      <c r="D614" s="59">
        <v>232</v>
      </c>
      <c r="E614" s="493" t="s">
        <v>110</v>
      </c>
      <c r="F614" s="29">
        <v>1</v>
      </c>
      <c r="G614" s="9">
        <v>1</v>
      </c>
      <c r="H614" s="9">
        <v>1</v>
      </c>
      <c r="I614" s="9">
        <v>2</v>
      </c>
      <c r="J614" s="43">
        <v>2</v>
      </c>
      <c r="K614" s="260">
        <f t="shared" si="9"/>
        <v>0.35859414261160716</v>
      </c>
      <c r="L614" s="163" t="s">
        <v>111</v>
      </c>
    </row>
    <row r="615" spans="1:12">
      <c r="A615" s="34" t="s">
        <v>114</v>
      </c>
      <c r="B615" s="336">
        <v>2013</v>
      </c>
      <c r="C615" s="59" t="s">
        <v>88</v>
      </c>
      <c r="D615" s="59">
        <v>47</v>
      </c>
      <c r="E615" s="493" t="s">
        <v>110</v>
      </c>
      <c r="F615" s="29">
        <v>1</v>
      </c>
      <c r="G615" s="9">
        <v>1</v>
      </c>
      <c r="H615" s="9">
        <v>1</v>
      </c>
      <c r="I615" s="9">
        <v>2</v>
      </c>
      <c r="J615" s="43">
        <v>2</v>
      </c>
      <c r="K615" s="260">
        <f t="shared" si="9"/>
        <v>0.35859414261160716</v>
      </c>
      <c r="L615" s="163" t="s">
        <v>111</v>
      </c>
    </row>
    <row r="616" spans="1:12">
      <c r="A616" s="34" t="s">
        <v>114</v>
      </c>
      <c r="B616" s="336">
        <v>2013</v>
      </c>
      <c r="C616" s="59" t="s">
        <v>89</v>
      </c>
      <c r="D616" s="59">
        <v>37</v>
      </c>
      <c r="E616" s="493" t="s">
        <v>110</v>
      </c>
      <c r="F616" s="29">
        <v>1</v>
      </c>
      <c r="G616" s="9">
        <v>1</v>
      </c>
      <c r="H616" s="9">
        <v>1</v>
      </c>
      <c r="I616" s="9">
        <v>2</v>
      </c>
      <c r="J616" s="43">
        <v>2</v>
      </c>
      <c r="K616" s="260">
        <f t="shared" si="9"/>
        <v>0.35859414261160716</v>
      </c>
      <c r="L616" s="163" t="s">
        <v>111</v>
      </c>
    </row>
    <row r="617" spans="1:12">
      <c r="A617" s="34" t="s">
        <v>114</v>
      </c>
      <c r="B617" s="336">
        <v>2013</v>
      </c>
      <c r="C617" s="59" t="s">
        <v>90</v>
      </c>
      <c r="D617" s="59">
        <v>164</v>
      </c>
      <c r="E617" s="493" t="s">
        <v>110</v>
      </c>
      <c r="F617" s="29">
        <v>1</v>
      </c>
      <c r="G617" s="9">
        <v>1</v>
      </c>
      <c r="H617" s="9">
        <v>1</v>
      </c>
      <c r="I617" s="9">
        <v>2</v>
      </c>
      <c r="J617" s="43">
        <v>2</v>
      </c>
      <c r="K617" s="260">
        <f t="shared" si="9"/>
        <v>0.35859414261160716</v>
      </c>
      <c r="L617" s="163" t="s">
        <v>111</v>
      </c>
    </row>
    <row r="618" spans="1:12">
      <c r="A618" s="34" t="s">
        <v>114</v>
      </c>
      <c r="B618" s="336">
        <v>2013</v>
      </c>
      <c r="C618" s="59" t="s">
        <v>91</v>
      </c>
      <c r="D618" s="59">
        <v>40</v>
      </c>
      <c r="E618" s="493" t="s">
        <v>110</v>
      </c>
      <c r="F618" s="29">
        <v>1</v>
      </c>
      <c r="G618" s="9">
        <v>1</v>
      </c>
      <c r="H618" s="9">
        <v>1</v>
      </c>
      <c r="I618" s="9">
        <v>2</v>
      </c>
      <c r="J618" s="43">
        <v>2</v>
      </c>
      <c r="K618" s="260">
        <f t="shared" si="9"/>
        <v>0.35859414261160716</v>
      </c>
      <c r="L618" s="163" t="s">
        <v>111</v>
      </c>
    </row>
    <row r="619" spans="1:12">
      <c r="A619" s="34" t="s">
        <v>114</v>
      </c>
      <c r="B619" s="336">
        <v>2013</v>
      </c>
      <c r="C619" s="59" t="s">
        <v>94</v>
      </c>
      <c r="D619" s="59">
        <v>15</v>
      </c>
      <c r="E619" s="493" t="s">
        <v>110</v>
      </c>
      <c r="F619" s="29">
        <v>1</v>
      </c>
      <c r="G619" s="9">
        <v>1</v>
      </c>
      <c r="H619" s="9">
        <v>1</v>
      </c>
      <c r="I619" s="9">
        <v>2</v>
      </c>
      <c r="J619" s="43">
        <v>2</v>
      </c>
      <c r="K619" s="260">
        <f t="shared" si="9"/>
        <v>0.35859414261160716</v>
      </c>
      <c r="L619" s="163" t="s">
        <v>111</v>
      </c>
    </row>
    <row r="620" spans="1:12">
      <c r="A620" s="34" t="s">
        <v>114</v>
      </c>
      <c r="B620" s="336">
        <v>2013</v>
      </c>
      <c r="C620" s="59" t="s">
        <v>96</v>
      </c>
      <c r="D620" s="59">
        <v>42</v>
      </c>
      <c r="E620" s="493" t="s">
        <v>110</v>
      </c>
      <c r="F620" s="29">
        <v>1</v>
      </c>
      <c r="G620" s="9">
        <v>1</v>
      </c>
      <c r="H620" s="9">
        <v>1</v>
      </c>
      <c r="I620" s="9">
        <v>2</v>
      </c>
      <c r="J620" s="43">
        <v>2</v>
      </c>
      <c r="K620" s="260">
        <f t="shared" si="9"/>
        <v>0.35859414261160716</v>
      </c>
      <c r="L620" s="163" t="s">
        <v>111</v>
      </c>
    </row>
    <row r="621" spans="1:12">
      <c r="A621" s="34" t="s">
        <v>114</v>
      </c>
      <c r="B621" s="336">
        <v>2013</v>
      </c>
      <c r="C621" s="59" t="s">
        <v>97</v>
      </c>
      <c r="D621" s="59">
        <v>176</v>
      </c>
      <c r="E621" s="493" t="s">
        <v>110</v>
      </c>
      <c r="F621" s="29">
        <v>1</v>
      </c>
      <c r="G621" s="9">
        <v>1</v>
      </c>
      <c r="H621" s="9">
        <v>1</v>
      </c>
      <c r="I621" s="9">
        <v>2</v>
      </c>
      <c r="J621" s="43">
        <v>2</v>
      </c>
      <c r="K621" s="260">
        <f t="shared" si="9"/>
        <v>0.35859414261160716</v>
      </c>
      <c r="L621" s="163" t="s">
        <v>111</v>
      </c>
    </row>
    <row r="622" spans="1:12">
      <c r="A622" s="34" t="s">
        <v>114</v>
      </c>
      <c r="B622" s="336">
        <v>2013</v>
      </c>
      <c r="C622" s="59" t="s">
        <v>95</v>
      </c>
      <c r="D622" s="59">
        <v>54</v>
      </c>
      <c r="E622" s="493" t="s">
        <v>110</v>
      </c>
      <c r="F622" s="29">
        <v>1</v>
      </c>
      <c r="G622" s="9">
        <v>1</v>
      </c>
      <c r="H622" s="9">
        <v>1</v>
      </c>
      <c r="I622" s="9">
        <v>2</v>
      </c>
      <c r="J622" s="43">
        <v>2</v>
      </c>
      <c r="K622" s="260">
        <f t="shared" si="9"/>
        <v>0.35859414261160716</v>
      </c>
      <c r="L622" s="163" t="s">
        <v>111</v>
      </c>
    </row>
    <row r="623" spans="1:12">
      <c r="A623" s="34" t="s">
        <v>114</v>
      </c>
      <c r="B623" s="336">
        <v>2013</v>
      </c>
      <c r="C623" s="59" t="s">
        <v>93</v>
      </c>
      <c r="D623" s="59">
        <v>26</v>
      </c>
      <c r="E623" s="493" t="s">
        <v>110</v>
      </c>
      <c r="F623" s="29">
        <v>1</v>
      </c>
      <c r="G623" s="9">
        <v>1</v>
      </c>
      <c r="H623" s="9">
        <v>1</v>
      </c>
      <c r="I623" s="9">
        <v>2</v>
      </c>
      <c r="J623" s="43">
        <v>2</v>
      </c>
      <c r="K623" s="260">
        <f t="shared" si="9"/>
        <v>0.35859414261160716</v>
      </c>
      <c r="L623" s="163" t="s">
        <v>111</v>
      </c>
    </row>
    <row r="624" spans="1:12">
      <c r="A624" s="34" t="s">
        <v>114</v>
      </c>
      <c r="B624" s="336">
        <v>2013</v>
      </c>
      <c r="C624" s="59" t="s">
        <v>98</v>
      </c>
      <c r="D624" s="59">
        <v>1210</v>
      </c>
      <c r="E624" s="493" t="s">
        <v>110</v>
      </c>
      <c r="F624" s="29">
        <v>1</v>
      </c>
      <c r="G624" s="9">
        <v>1</v>
      </c>
      <c r="H624" s="9">
        <v>1</v>
      </c>
      <c r="I624" s="9">
        <v>2</v>
      </c>
      <c r="J624" s="43">
        <v>2</v>
      </c>
      <c r="K624" s="260">
        <f t="shared" si="9"/>
        <v>0.35859414261160716</v>
      </c>
      <c r="L624" s="163" t="s">
        <v>111</v>
      </c>
    </row>
    <row r="625" spans="1:12">
      <c r="A625" s="34" t="s">
        <v>114</v>
      </c>
      <c r="B625" s="336">
        <v>2014</v>
      </c>
      <c r="C625" s="59" t="s">
        <v>85</v>
      </c>
      <c r="D625" s="59">
        <v>1013</v>
      </c>
      <c r="E625" s="493" t="s">
        <v>110</v>
      </c>
      <c r="F625" s="29">
        <v>1</v>
      </c>
      <c r="G625" s="9">
        <v>1</v>
      </c>
      <c r="H625" s="9">
        <v>1</v>
      </c>
      <c r="I625" s="9">
        <v>2</v>
      </c>
      <c r="J625" s="43">
        <v>2</v>
      </c>
      <c r="K625" s="260">
        <f t="shared" si="9"/>
        <v>0.35859414261160716</v>
      </c>
      <c r="L625" s="163" t="s">
        <v>111</v>
      </c>
    </row>
    <row r="626" spans="1:12">
      <c r="A626" s="34" t="s">
        <v>114</v>
      </c>
      <c r="B626" s="336">
        <v>2014</v>
      </c>
      <c r="C626" s="59" t="s">
        <v>86</v>
      </c>
      <c r="D626" s="59">
        <v>192</v>
      </c>
      <c r="E626" s="493" t="s">
        <v>110</v>
      </c>
      <c r="F626" s="29">
        <v>1</v>
      </c>
      <c r="G626" s="9">
        <v>1</v>
      </c>
      <c r="H626" s="9">
        <v>1</v>
      </c>
      <c r="I626" s="9">
        <v>2</v>
      </c>
      <c r="J626" s="43">
        <v>2</v>
      </c>
      <c r="K626" s="260">
        <f t="shared" si="9"/>
        <v>0.35859414261160716</v>
      </c>
      <c r="L626" s="163" t="s">
        <v>111</v>
      </c>
    </row>
    <row r="627" spans="1:12">
      <c r="A627" s="34" t="s">
        <v>114</v>
      </c>
      <c r="B627" s="336">
        <v>2014</v>
      </c>
      <c r="C627" s="59" t="s">
        <v>87</v>
      </c>
      <c r="D627" s="59">
        <v>207</v>
      </c>
      <c r="E627" s="493" t="s">
        <v>110</v>
      </c>
      <c r="F627" s="29">
        <v>1</v>
      </c>
      <c r="G627" s="9">
        <v>1</v>
      </c>
      <c r="H627" s="9">
        <v>1</v>
      </c>
      <c r="I627" s="9">
        <v>2</v>
      </c>
      <c r="J627" s="43">
        <v>2</v>
      </c>
      <c r="K627" s="260">
        <f t="shared" si="9"/>
        <v>0.35859414261160716</v>
      </c>
      <c r="L627" s="163" t="s">
        <v>111</v>
      </c>
    </row>
    <row r="628" spans="1:12">
      <c r="A628" s="34" t="s">
        <v>114</v>
      </c>
      <c r="B628" s="336">
        <v>2014</v>
      </c>
      <c r="C628" s="59" t="s">
        <v>88</v>
      </c>
      <c r="D628" s="59">
        <v>47</v>
      </c>
      <c r="E628" s="493" t="s">
        <v>110</v>
      </c>
      <c r="F628" s="29">
        <v>1</v>
      </c>
      <c r="G628" s="9">
        <v>1</v>
      </c>
      <c r="H628" s="9">
        <v>1</v>
      </c>
      <c r="I628" s="9">
        <v>2</v>
      </c>
      <c r="J628" s="43">
        <v>2</v>
      </c>
      <c r="K628" s="260">
        <f t="shared" si="9"/>
        <v>0.35859414261160716</v>
      </c>
      <c r="L628" s="163" t="s">
        <v>111</v>
      </c>
    </row>
    <row r="629" spans="1:12">
      <c r="A629" s="34" t="s">
        <v>114</v>
      </c>
      <c r="B629" s="336">
        <v>2014</v>
      </c>
      <c r="C629" s="59" t="s">
        <v>89</v>
      </c>
      <c r="D629" s="59">
        <v>43</v>
      </c>
      <c r="E629" s="493" t="s">
        <v>110</v>
      </c>
      <c r="F629" s="29">
        <v>1</v>
      </c>
      <c r="G629" s="9">
        <v>1</v>
      </c>
      <c r="H629" s="9">
        <v>1</v>
      </c>
      <c r="I629" s="9">
        <v>2</v>
      </c>
      <c r="J629" s="43">
        <v>2</v>
      </c>
      <c r="K629" s="260">
        <f t="shared" si="9"/>
        <v>0.35859414261160716</v>
      </c>
      <c r="L629" s="163" t="s">
        <v>111</v>
      </c>
    </row>
    <row r="630" spans="1:12">
      <c r="A630" s="34" t="s">
        <v>114</v>
      </c>
      <c r="B630" s="336">
        <v>2014</v>
      </c>
      <c r="C630" s="59" t="s">
        <v>90</v>
      </c>
      <c r="D630" s="59">
        <v>142</v>
      </c>
      <c r="E630" s="493" t="s">
        <v>110</v>
      </c>
      <c r="F630" s="29">
        <v>1</v>
      </c>
      <c r="G630" s="9">
        <v>1</v>
      </c>
      <c r="H630" s="9">
        <v>1</v>
      </c>
      <c r="I630" s="9">
        <v>2</v>
      </c>
      <c r="J630" s="43">
        <v>2</v>
      </c>
      <c r="K630" s="260">
        <f t="shared" si="9"/>
        <v>0.35859414261160716</v>
      </c>
      <c r="L630" s="163" t="s">
        <v>111</v>
      </c>
    </row>
    <row r="631" spans="1:12">
      <c r="A631" s="34" t="s">
        <v>114</v>
      </c>
      <c r="B631" s="336">
        <v>2014</v>
      </c>
      <c r="C631" s="59" t="s">
        <v>91</v>
      </c>
      <c r="D631" s="59">
        <v>64</v>
      </c>
      <c r="E631" s="493" t="s">
        <v>110</v>
      </c>
      <c r="F631" s="29">
        <v>1</v>
      </c>
      <c r="G631" s="9">
        <v>1</v>
      </c>
      <c r="H631" s="9">
        <v>1</v>
      </c>
      <c r="I631" s="9">
        <v>2</v>
      </c>
      <c r="J631" s="43">
        <v>2</v>
      </c>
      <c r="K631" s="260">
        <f t="shared" si="9"/>
        <v>0.35859414261160716</v>
      </c>
      <c r="L631" s="163" t="s">
        <v>111</v>
      </c>
    </row>
    <row r="632" spans="1:12">
      <c r="A632" s="34" t="s">
        <v>114</v>
      </c>
      <c r="B632" s="336">
        <v>2014</v>
      </c>
      <c r="C632" s="59" t="s">
        <v>94</v>
      </c>
      <c r="D632" s="59">
        <v>18</v>
      </c>
      <c r="E632" s="493" t="s">
        <v>110</v>
      </c>
      <c r="F632" s="29">
        <v>1</v>
      </c>
      <c r="G632" s="9">
        <v>1</v>
      </c>
      <c r="H632" s="9">
        <v>1</v>
      </c>
      <c r="I632" s="9">
        <v>2</v>
      </c>
      <c r="J632" s="43">
        <v>2</v>
      </c>
      <c r="K632" s="260">
        <f t="shared" si="9"/>
        <v>0.35859414261160716</v>
      </c>
      <c r="L632" s="163" t="s">
        <v>111</v>
      </c>
    </row>
    <row r="633" spans="1:12">
      <c r="A633" s="34" t="s">
        <v>114</v>
      </c>
      <c r="B633" s="336">
        <v>2014</v>
      </c>
      <c r="C633" s="59" t="s">
        <v>96</v>
      </c>
      <c r="D633" s="59">
        <v>39</v>
      </c>
      <c r="E633" s="493" t="s">
        <v>110</v>
      </c>
      <c r="F633" s="29">
        <v>1</v>
      </c>
      <c r="G633" s="9">
        <v>1</v>
      </c>
      <c r="H633" s="9">
        <v>1</v>
      </c>
      <c r="I633" s="9">
        <v>2</v>
      </c>
      <c r="J633" s="43">
        <v>2</v>
      </c>
      <c r="K633" s="260">
        <f t="shared" si="9"/>
        <v>0.35859414261160716</v>
      </c>
      <c r="L633" s="163" t="s">
        <v>111</v>
      </c>
    </row>
    <row r="634" spans="1:12">
      <c r="A634" s="34" t="s">
        <v>114</v>
      </c>
      <c r="B634" s="336">
        <v>2014</v>
      </c>
      <c r="C634" s="59" t="s">
        <v>97</v>
      </c>
      <c r="D634" s="59">
        <v>204</v>
      </c>
      <c r="E634" s="493" t="s">
        <v>110</v>
      </c>
      <c r="F634" s="29">
        <v>1</v>
      </c>
      <c r="G634" s="9">
        <v>1</v>
      </c>
      <c r="H634" s="9">
        <v>1</v>
      </c>
      <c r="I634" s="9">
        <v>2</v>
      </c>
      <c r="J634" s="43">
        <v>2</v>
      </c>
      <c r="K634" s="260">
        <f t="shared" si="9"/>
        <v>0.35859414261160716</v>
      </c>
      <c r="L634" s="163" t="s">
        <v>111</v>
      </c>
    </row>
    <row r="635" spans="1:12">
      <c r="A635" s="34" t="s">
        <v>114</v>
      </c>
      <c r="B635" s="336">
        <v>2014</v>
      </c>
      <c r="C635" s="59" t="s">
        <v>95</v>
      </c>
      <c r="D635" s="59">
        <v>56</v>
      </c>
      <c r="E635" s="493" t="s">
        <v>110</v>
      </c>
      <c r="F635" s="29">
        <v>1</v>
      </c>
      <c r="G635" s="9">
        <v>1</v>
      </c>
      <c r="H635" s="9">
        <v>1</v>
      </c>
      <c r="I635" s="9">
        <v>2</v>
      </c>
      <c r="J635" s="43">
        <v>2</v>
      </c>
      <c r="K635" s="260">
        <f t="shared" si="9"/>
        <v>0.35859414261160716</v>
      </c>
      <c r="L635" s="163" t="s">
        <v>111</v>
      </c>
    </row>
    <row r="636" spans="1:12">
      <c r="A636" s="34" t="s">
        <v>114</v>
      </c>
      <c r="B636" s="336">
        <v>2014</v>
      </c>
      <c r="C636" s="59" t="s">
        <v>93</v>
      </c>
      <c r="D636" s="59">
        <v>29</v>
      </c>
      <c r="E636" s="493" t="s">
        <v>110</v>
      </c>
      <c r="F636" s="29">
        <v>1</v>
      </c>
      <c r="G636" s="9">
        <v>1</v>
      </c>
      <c r="H636" s="9">
        <v>1</v>
      </c>
      <c r="I636" s="9">
        <v>2</v>
      </c>
      <c r="J636" s="43">
        <v>2</v>
      </c>
      <c r="K636" s="260">
        <f t="shared" si="9"/>
        <v>0.35859414261160716</v>
      </c>
      <c r="L636" s="163" t="s">
        <v>111</v>
      </c>
    </row>
    <row r="637" spans="1:12">
      <c r="A637" s="34" t="s">
        <v>114</v>
      </c>
      <c r="B637" s="336">
        <v>2014</v>
      </c>
      <c r="C637" s="59" t="s">
        <v>98</v>
      </c>
      <c r="D637" s="59">
        <v>912</v>
      </c>
      <c r="E637" s="493" t="s">
        <v>110</v>
      </c>
      <c r="F637" s="29">
        <v>1</v>
      </c>
      <c r="G637" s="9">
        <v>1</v>
      </c>
      <c r="H637" s="9">
        <v>1</v>
      </c>
      <c r="I637" s="9">
        <v>2</v>
      </c>
      <c r="J637" s="43">
        <v>2</v>
      </c>
      <c r="K637" s="260">
        <f t="shared" ref="K637:K700" si="10">IF( OR( ISBLANK(F637),ISBLANK(G637), ISBLANK(H637), ISBLANK(I637), ISBLANK(J637) ), "", 1.5*SQRT(   EXP(2.21*(F637-1)) + EXP(2.21*(G637-1)) + EXP(2.21*(H637-1)) + EXP(2.21*(I637-1)) + EXP(2.21*J637)   )/100*2.45 )</f>
        <v>0.35859414261160716</v>
      </c>
      <c r="L637" s="163" t="s">
        <v>111</v>
      </c>
    </row>
    <row r="638" spans="1:12">
      <c r="A638" s="34" t="s">
        <v>114</v>
      </c>
      <c r="B638" s="336">
        <v>2015</v>
      </c>
      <c r="C638" s="59" t="s">
        <v>85</v>
      </c>
      <c r="D638" s="59">
        <v>1105</v>
      </c>
      <c r="E638" s="493" t="s">
        <v>110</v>
      </c>
      <c r="F638" s="29">
        <v>1</v>
      </c>
      <c r="G638" s="9">
        <v>1</v>
      </c>
      <c r="H638" s="9">
        <v>1</v>
      </c>
      <c r="I638" s="9">
        <v>2</v>
      </c>
      <c r="J638" s="43">
        <v>2</v>
      </c>
      <c r="K638" s="260">
        <f t="shared" si="10"/>
        <v>0.35859414261160716</v>
      </c>
      <c r="L638" s="163" t="s">
        <v>111</v>
      </c>
    </row>
    <row r="639" spans="1:12">
      <c r="A639" s="34" t="s">
        <v>114</v>
      </c>
      <c r="B639" s="336">
        <v>2015</v>
      </c>
      <c r="C639" s="59" t="s">
        <v>86</v>
      </c>
      <c r="D639" s="59">
        <v>217</v>
      </c>
      <c r="E639" s="493" t="s">
        <v>110</v>
      </c>
      <c r="F639" s="29">
        <v>1</v>
      </c>
      <c r="G639" s="9">
        <v>1</v>
      </c>
      <c r="H639" s="9">
        <v>1</v>
      </c>
      <c r="I639" s="9">
        <v>2</v>
      </c>
      <c r="J639" s="43">
        <v>2</v>
      </c>
      <c r="K639" s="260">
        <f t="shared" si="10"/>
        <v>0.35859414261160716</v>
      </c>
      <c r="L639" s="163" t="s">
        <v>111</v>
      </c>
    </row>
    <row r="640" spans="1:12">
      <c r="A640" s="34" t="s">
        <v>114</v>
      </c>
      <c r="B640" s="336">
        <v>2015</v>
      </c>
      <c r="C640" s="59" t="s">
        <v>87</v>
      </c>
      <c r="D640" s="59">
        <v>247</v>
      </c>
      <c r="E640" s="493" t="s">
        <v>110</v>
      </c>
      <c r="F640" s="29">
        <v>1</v>
      </c>
      <c r="G640" s="9">
        <v>1</v>
      </c>
      <c r="H640" s="9">
        <v>1</v>
      </c>
      <c r="I640" s="9">
        <v>2</v>
      </c>
      <c r="J640" s="43">
        <v>2</v>
      </c>
      <c r="K640" s="260">
        <f t="shared" si="10"/>
        <v>0.35859414261160716</v>
      </c>
      <c r="L640" s="163" t="s">
        <v>111</v>
      </c>
    </row>
    <row r="641" spans="1:12">
      <c r="A641" s="34" t="s">
        <v>114</v>
      </c>
      <c r="B641" s="336">
        <v>2015</v>
      </c>
      <c r="C641" s="59" t="s">
        <v>88</v>
      </c>
      <c r="D641" s="59">
        <v>50</v>
      </c>
      <c r="E641" s="493" t="s">
        <v>110</v>
      </c>
      <c r="F641" s="29">
        <v>1</v>
      </c>
      <c r="G641" s="9">
        <v>1</v>
      </c>
      <c r="H641" s="9">
        <v>1</v>
      </c>
      <c r="I641" s="9">
        <v>2</v>
      </c>
      <c r="J641" s="43">
        <v>2</v>
      </c>
      <c r="K641" s="260">
        <f t="shared" si="10"/>
        <v>0.35859414261160716</v>
      </c>
      <c r="L641" s="163" t="s">
        <v>111</v>
      </c>
    </row>
    <row r="642" spans="1:12">
      <c r="A642" s="34" t="s">
        <v>114</v>
      </c>
      <c r="B642" s="336">
        <v>2015</v>
      </c>
      <c r="C642" s="59" t="s">
        <v>89</v>
      </c>
      <c r="D642" s="59">
        <v>46</v>
      </c>
      <c r="E642" s="493" t="s">
        <v>110</v>
      </c>
      <c r="F642" s="29">
        <v>1</v>
      </c>
      <c r="G642" s="9">
        <v>1</v>
      </c>
      <c r="H642" s="9">
        <v>1</v>
      </c>
      <c r="I642" s="9">
        <v>2</v>
      </c>
      <c r="J642" s="43">
        <v>2</v>
      </c>
      <c r="K642" s="260">
        <f t="shared" si="10"/>
        <v>0.35859414261160716</v>
      </c>
      <c r="L642" s="163" t="s">
        <v>111</v>
      </c>
    </row>
    <row r="643" spans="1:12">
      <c r="A643" s="34" t="s">
        <v>114</v>
      </c>
      <c r="B643" s="336">
        <v>2015</v>
      </c>
      <c r="C643" s="59" t="s">
        <v>90</v>
      </c>
      <c r="D643" s="59">
        <v>163</v>
      </c>
      <c r="E643" s="493" t="s">
        <v>110</v>
      </c>
      <c r="F643" s="29">
        <v>1</v>
      </c>
      <c r="G643" s="9">
        <v>1</v>
      </c>
      <c r="H643" s="9">
        <v>1</v>
      </c>
      <c r="I643" s="9">
        <v>2</v>
      </c>
      <c r="J643" s="43">
        <v>2</v>
      </c>
      <c r="K643" s="260">
        <f t="shared" si="10"/>
        <v>0.35859414261160716</v>
      </c>
      <c r="L643" s="163" t="s">
        <v>111</v>
      </c>
    </row>
    <row r="644" spans="1:12">
      <c r="A644" s="34" t="s">
        <v>114</v>
      </c>
      <c r="B644" s="336">
        <v>2015</v>
      </c>
      <c r="C644" s="59" t="s">
        <v>91</v>
      </c>
      <c r="D644" s="59">
        <v>76</v>
      </c>
      <c r="E644" s="493" t="s">
        <v>110</v>
      </c>
      <c r="F644" s="29">
        <v>1</v>
      </c>
      <c r="G644" s="9">
        <v>1</v>
      </c>
      <c r="H644" s="9">
        <v>1</v>
      </c>
      <c r="I644" s="9">
        <v>2</v>
      </c>
      <c r="J644" s="43">
        <v>2</v>
      </c>
      <c r="K644" s="260">
        <f t="shared" si="10"/>
        <v>0.35859414261160716</v>
      </c>
      <c r="L644" s="163" t="s">
        <v>111</v>
      </c>
    </row>
    <row r="645" spans="1:12">
      <c r="A645" s="34" t="s">
        <v>114</v>
      </c>
      <c r="B645" s="336">
        <v>2015</v>
      </c>
      <c r="C645" s="59" t="s">
        <v>94</v>
      </c>
      <c r="D645" s="59">
        <v>17</v>
      </c>
      <c r="E645" s="493" t="s">
        <v>110</v>
      </c>
      <c r="F645" s="29">
        <v>1</v>
      </c>
      <c r="G645" s="9">
        <v>1</v>
      </c>
      <c r="H645" s="9">
        <v>1</v>
      </c>
      <c r="I645" s="9">
        <v>2</v>
      </c>
      <c r="J645" s="43">
        <v>2</v>
      </c>
      <c r="K645" s="260">
        <f t="shared" si="10"/>
        <v>0.35859414261160716</v>
      </c>
      <c r="L645" s="163" t="s">
        <v>111</v>
      </c>
    </row>
    <row r="646" spans="1:12">
      <c r="A646" s="34" t="s">
        <v>114</v>
      </c>
      <c r="B646" s="336">
        <v>2015</v>
      </c>
      <c r="C646" s="59" t="s">
        <v>96</v>
      </c>
      <c r="D646" s="59">
        <v>42</v>
      </c>
      <c r="E646" s="493" t="s">
        <v>110</v>
      </c>
      <c r="F646" s="29">
        <v>1</v>
      </c>
      <c r="G646" s="9">
        <v>1</v>
      </c>
      <c r="H646" s="9">
        <v>1</v>
      </c>
      <c r="I646" s="9">
        <v>2</v>
      </c>
      <c r="J646" s="43">
        <v>2</v>
      </c>
      <c r="K646" s="260">
        <f t="shared" si="10"/>
        <v>0.35859414261160716</v>
      </c>
      <c r="L646" s="163" t="s">
        <v>111</v>
      </c>
    </row>
    <row r="647" spans="1:12">
      <c r="A647" s="34" t="s">
        <v>114</v>
      </c>
      <c r="B647" s="336">
        <v>2015</v>
      </c>
      <c r="C647" s="59" t="s">
        <v>97</v>
      </c>
      <c r="D647" s="59">
        <v>204</v>
      </c>
      <c r="E647" s="493" t="s">
        <v>110</v>
      </c>
      <c r="F647" s="29">
        <v>1</v>
      </c>
      <c r="G647" s="9">
        <v>1</v>
      </c>
      <c r="H647" s="9">
        <v>1</v>
      </c>
      <c r="I647" s="9">
        <v>2</v>
      </c>
      <c r="J647" s="43">
        <v>2</v>
      </c>
      <c r="K647" s="260">
        <f t="shared" si="10"/>
        <v>0.35859414261160716</v>
      </c>
      <c r="L647" s="163" t="s">
        <v>111</v>
      </c>
    </row>
    <row r="648" spans="1:12">
      <c r="A648" s="34" t="s">
        <v>114</v>
      </c>
      <c r="B648" s="336">
        <v>2015</v>
      </c>
      <c r="C648" s="59" t="s">
        <v>95</v>
      </c>
      <c r="D648" s="59">
        <v>54</v>
      </c>
      <c r="E648" s="493" t="s">
        <v>110</v>
      </c>
      <c r="F648" s="29">
        <v>1</v>
      </c>
      <c r="G648" s="9">
        <v>1</v>
      </c>
      <c r="H648" s="9">
        <v>1</v>
      </c>
      <c r="I648" s="9">
        <v>2</v>
      </c>
      <c r="J648" s="43">
        <v>2</v>
      </c>
      <c r="K648" s="260">
        <f t="shared" si="10"/>
        <v>0.35859414261160716</v>
      </c>
      <c r="L648" s="163" t="s">
        <v>111</v>
      </c>
    </row>
    <row r="649" spans="1:12">
      <c r="A649" s="34" t="s">
        <v>114</v>
      </c>
      <c r="B649" s="336">
        <v>2015</v>
      </c>
      <c r="C649" s="59" t="s">
        <v>93</v>
      </c>
      <c r="D649" s="59">
        <v>32</v>
      </c>
      <c r="E649" s="493" t="s">
        <v>110</v>
      </c>
      <c r="F649" s="29">
        <v>1</v>
      </c>
      <c r="G649" s="9">
        <v>1</v>
      </c>
      <c r="H649" s="9">
        <v>1</v>
      </c>
      <c r="I649" s="9">
        <v>2</v>
      </c>
      <c r="J649" s="43">
        <v>2</v>
      </c>
      <c r="K649" s="260">
        <f t="shared" si="10"/>
        <v>0.35859414261160716</v>
      </c>
      <c r="L649" s="163" t="s">
        <v>111</v>
      </c>
    </row>
    <row r="650" spans="1:12">
      <c r="A650" s="34" t="s">
        <v>114</v>
      </c>
      <c r="B650" s="336">
        <v>2015</v>
      </c>
      <c r="C650" s="59" t="s">
        <v>98</v>
      </c>
      <c r="D650" s="59">
        <v>983</v>
      </c>
      <c r="E650" s="493" t="s">
        <v>110</v>
      </c>
      <c r="F650" s="29">
        <v>1</v>
      </c>
      <c r="G650" s="9">
        <v>1</v>
      </c>
      <c r="H650" s="9">
        <v>1</v>
      </c>
      <c r="I650" s="9">
        <v>2</v>
      </c>
      <c r="J650" s="43">
        <v>2</v>
      </c>
      <c r="K650" s="260">
        <f t="shared" si="10"/>
        <v>0.35859414261160716</v>
      </c>
      <c r="L650" s="163" t="s">
        <v>111</v>
      </c>
    </row>
    <row r="651" spans="1:12">
      <c r="A651" s="34" t="s">
        <v>114</v>
      </c>
      <c r="B651" s="336">
        <v>2016</v>
      </c>
      <c r="C651" s="59" t="s">
        <v>85</v>
      </c>
      <c r="D651" s="59">
        <v>1245</v>
      </c>
      <c r="E651" s="493" t="s">
        <v>110</v>
      </c>
      <c r="F651" s="29">
        <v>1</v>
      </c>
      <c r="G651" s="9">
        <v>1</v>
      </c>
      <c r="H651" s="9">
        <v>1</v>
      </c>
      <c r="I651" s="9">
        <v>2</v>
      </c>
      <c r="J651" s="43">
        <v>2</v>
      </c>
      <c r="K651" s="260">
        <f t="shared" si="10"/>
        <v>0.35859414261160716</v>
      </c>
      <c r="L651" s="163" t="s">
        <v>111</v>
      </c>
    </row>
    <row r="652" spans="1:12">
      <c r="A652" s="34" t="s">
        <v>114</v>
      </c>
      <c r="B652" s="336">
        <v>2016</v>
      </c>
      <c r="C652" s="59" t="s">
        <v>86</v>
      </c>
      <c r="D652" s="59">
        <v>223</v>
      </c>
      <c r="E652" s="493" t="s">
        <v>110</v>
      </c>
      <c r="F652" s="29">
        <v>1</v>
      </c>
      <c r="G652" s="9">
        <v>1</v>
      </c>
      <c r="H652" s="9">
        <v>1</v>
      </c>
      <c r="I652" s="9">
        <v>2</v>
      </c>
      <c r="J652" s="43">
        <v>2</v>
      </c>
      <c r="K652" s="260">
        <f t="shared" si="10"/>
        <v>0.35859414261160716</v>
      </c>
      <c r="L652" s="163" t="s">
        <v>111</v>
      </c>
    </row>
    <row r="653" spans="1:12">
      <c r="A653" s="34" t="s">
        <v>114</v>
      </c>
      <c r="B653" s="336">
        <v>2016</v>
      </c>
      <c r="C653" s="59" t="s">
        <v>87</v>
      </c>
      <c r="D653" s="59">
        <v>279</v>
      </c>
      <c r="E653" s="493" t="s">
        <v>110</v>
      </c>
      <c r="F653" s="29">
        <v>1</v>
      </c>
      <c r="G653" s="9">
        <v>1</v>
      </c>
      <c r="H653" s="9">
        <v>1</v>
      </c>
      <c r="I653" s="9">
        <v>2</v>
      </c>
      <c r="J653" s="43">
        <v>2</v>
      </c>
      <c r="K653" s="260">
        <f t="shared" si="10"/>
        <v>0.35859414261160716</v>
      </c>
      <c r="L653" s="163" t="s">
        <v>111</v>
      </c>
    </row>
    <row r="654" spans="1:12">
      <c r="A654" s="34" t="s">
        <v>114</v>
      </c>
      <c r="B654" s="336">
        <v>2016</v>
      </c>
      <c r="C654" s="59" t="s">
        <v>88</v>
      </c>
      <c r="D654" s="59">
        <v>46</v>
      </c>
      <c r="E654" s="493" t="s">
        <v>110</v>
      </c>
      <c r="F654" s="29">
        <v>1</v>
      </c>
      <c r="G654" s="9">
        <v>1</v>
      </c>
      <c r="H654" s="9">
        <v>1</v>
      </c>
      <c r="I654" s="9">
        <v>2</v>
      </c>
      <c r="J654" s="43">
        <v>2</v>
      </c>
      <c r="K654" s="260">
        <f t="shared" si="10"/>
        <v>0.35859414261160716</v>
      </c>
      <c r="L654" s="163" t="s">
        <v>111</v>
      </c>
    </row>
    <row r="655" spans="1:12">
      <c r="A655" s="34" t="s">
        <v>114</v>
      </c>
      <c r="B655" s="336">
        <v>2016</v>
      </c>
      <c r="C655" s="59" t="s">
        <v>89</v>
      </c>
      <c r="D655" s="59">
        <v>51</v>
      </c>
      <c r="E655" s="493" t="s">
        <v>110</v>
      </c>
      <c r="F655" s="29">
        <v>1</v>
      </c>
      <c r="G655" s="9">
        <v>1</v>
      </c>
      <c r="H655" s="9">
        <v>1</v>
      </c>
      <c r="I655" s="9">
        <v>2</v>
      </c>
      <c r="J655" s="43">
        <v>2</v>
      </c>
      <c r="K655" s="260">
        <f t="shared" si="10"/>
        <v>0.35859414261160716</v>
      </c>
      <c r="L655" s="163" t="s">
        <v>111</v>
      </c>
    </row>
    <row r="656" spans="1:12">
      <c r="A656" s="34" t="s">
        <v>114</v>
      </c>
      <c r="B656" s="336">
        <v>2016</v>
      </c>
      <c r="C656" s="59" t="s">
        <v>90</v>
      </c>
      <c r="D656" s="59">
        <v>185</v>
      </c>
      <c r="E656" s="493" t="s">
        <v>110</v>
      </c>
      <c r="F656" s="29">
        <v>1</v>
      </c>
      <c r="G656" s="9">
        <v>1</v>
      </c>
      <c r="H656" s="9">
        <v>1</v>
      </c>
      <c r="I656" s="9">
        <v>2</v>
      </c>
      <c r="J656" s="43">
        <v>2</v>
      </c>
      <c r="K656" s="260">
        <f t="shared" si="10"/>
        <v>0.35859414261160716</v>
      </c>
      <c r="L656" s="163" t="s">
        <v>111</v>
      </c>
    </row>
    <row r="657" spans="1:12">
      <c r="A657" s="34" t="s">
        <v>114</v>
      </c>
      <c r="B657" s="336">
        <v>2016</v>
      </c>
      <c r="C657" s="59" t="s">
        <v>91</v>
      </c>
      <c r="D657" s="59">
        <v>95</v>
      </c>
      <c r="E657" s="493" t="s">
        <v>110</v>
      </c>
      <c r="F657" s="29">
        <v>1</v>
      </c>
      <c r="G657" s="9">
        <v>1</v>
      </c>
      <c r="H657" s="9">
        <v>1</v>
      </c>
      <c r="I657" s="9">
        <v>2</v>
      </c>
      <c r="J657" s="43">
        <v>2</v>
      </c>
      <c r="K657" s="260">
        <f t="shared" si="10"/>
        <v>0.35859414261160716</v>
      </c>
      <c r="L657" s="163" t="s">
        <v>111</v>
      </c>
    </row>
    <row r="658" spans="1:12">
      <c r="A658" s="34" t="s">
        <v>114</v>
      </c>
      <c r="B658" s="336">
        <v>2016</v>
      </c>
      <c r="C658" s="59" t="s">
        <v>94</v>
      </c>
      <c r="D658" s="59">
        <v>22</v>
      </c>
      <c r="E658" s="493" t="s">
        <v>110</v>
      </c>
      <c r="F658" s="29">
        <v>1</v>
      </c>
      <c r="G658" s="9">
        <v>1</v>
      </c>
      <c r="H658" s="9">
        <v>1</v>
      </c>
      <c r="I658" s="9">
        <v>2</v>
      </c>
      <c r="J658" s="43">
        <v>2</v>
      </c>
      <c r="K658" s="260">
        <f t="shared" si="10"/>
        <v>0.35859414261160716</v>
      </c>
      <c r="L658" s="163" t="s">
        <v>111</v>
      </c>
    </row>
    <row r="659" spans="1:12">
      <c r="A659" s="34" t="s">
        <v>114</v>
      </c>
      <c r="B659" s="336">
        <v>2016</v>
      </c>
      <c r="C659" s="59" t="s">
        <v>96</v>
      </c>
      <c r="D659" s="59">
        <v>48</v>
      </c>
      <c r="E659" s="493" t="s">
        <v>110</v>
      </c>
      <c r="F659" s="29">
        <v>1</v>
      </c>
      <c r="G659" s="9">
        <v>1</v>
      </c>
      <c r="H659" s="9">
        <v>1</v>
      </c>
      <c r="I659" s="9">
        <v>2</v>
      </c>
      <c r="J659" s="43">
        <v>2</v>
      </c>
      <c r="K659" s="260">
        <f t="shared" si="10"/>
        <v>0.35859414261160716</v>
      </c>
      <c r="L659" s="163" t="s">
        <v>111</v>
      </c>
    </row>
    <row r="660" spans="1:12">
      <c r="A660" s="34" t="s">
        <v>114</v>
      </c>
      <c r="B660" s="336">
        <v>2016</v>
      </c>
      <c r="C660" s="59" t="s">
        <v>97</v>
      </c>
      <c r="D660" s="59">
        <v>236</v>
      </c>
      <c r="E660" s="493" t="s">
        <v>110</v>
      </c>
      <c r="F660" s="29">
        <v>1</v>
      </c>
      <c r="G660" s="9">
        <v>1</v>
      </c>
      <c r="H660" s="9">
        <v>1</v>
      </c>
      <c r="I660" s="9">
        <v>2</v>
      </c>
      <c r="J660" s="43">
        <v>2</v>
      </c>
      <c r="K660" s="260">
        <f t="shared" si="10"/>
        <v>0.35859414261160716</v>
      </c>
      <c r="L660" s="163" t="s">
        <v>111</v>
      </c>
    </row>
    <row r="661" spans="1:12">
      <c r="A661" s="34" t="s">
        <v>114</v>
      </c>
      <c r="B661" s="336">
        <v>2016</v>
      </c>
      <c r="C661" s="59" t="s">
        <v>95</v>
      </c>
      <c r="D661" s="59">
        <v>70</v>
      </c>
      <c r="E661" s="493" t="s">
        <v>110</v>
      </c>
      <c r="F661" s="29">
        <v>1</v>
      </c>
      <c r="G661" s="9">
        <v>1</v>
      </c>
      <c r="H661" s="9">
        <v>1</v>
      </c>
      <c r="I661" s="9">
        <v>2</v>
      </c>
      <c r="J661" s="43">
        <v>2</v>
      </c>
      <c r="K661" s="260">
        <f t="shared" si="10"/>
        <v>0.35859414261160716</v>
      </c>
      <c r="L661" s="163" t="s">
        <v>111</v>
      </c>
    </row>
    <row r="662" spans="1:12">
      <c r="A662" s="34" t="s">
        <v>114</v>
      </c>
      <c r="B662" s="336">
        <v>2016</v>
      </c>
      <c r="C662" s="59" t="s">
        <v>93</v>
      </c>
      <c r="D662" s="59">
        <v>39</v>
      </c>
      <c r="E662" s="493" t="s">
        <v>110</v>
      </c>
      <c r="F662" s="29">
        <v>1</v>
      </c>
      <c r="G662" s="9">
        <v>1</v>
      </c>
      <c r="H662" s="9">
        <v>1</v>
      </c>
      <c r="I662" s="9">
        <v>2</v>
      </c>
      <c r="J662" s="43">
        <v>2</v>
      </c>
      <c r="K662" s="260">
        <f t="shared" si="10"/>
        <v>0.35859414261160716</v>
      </c>
      <c r="L662" s="163" t="s">
        <v>111</v>
      </c>
    </row>
    <row r="663" spans="1:12">
      <c r="A663" s="34" t="s">
        <v>114</v>
      </c>
      <c r="B663" s="336">
        <v>2016</v>
      </c>
      <c r="C663" s="59" t="s">
        <v>98</v>
      </c>
      <c r="D663" s="59">
        <v>1123</v>
      </c>
      <c r="E663" s="493" t="s">
        <v>110</v>
      </c>
      <c r="F663" s="29">
        <v>1</v>
      </c>
      <c r="G663" s="9">
        <v>1</v>
      </c>
      <c r="H663" s="9">
        <v>1</v>
      </c>
      <c r="I663" s="9">
        <v>2</v>
      </c>
      <c r="J663" s="43">
        <v>2</v>
      </c>
      <c r="K663" s="260">
        <f t="shared" si="10"/>
        <v>0.35859414261160716</v>
      </c>
      <c r="L663" s="163" t="s">
        <v>111</v>
      </c>
    </row>
    <row r="664" spans="1:12">
      <c r="A664" s="34" t="s">
        <v>114</v>
      </c>
      <c r="B664" s="336">
        <v>2017</v>
      </c>
      <c r="C664" s="59" t="s">
        <v>85</v>
      </c>
      <c r="D664" s="59">
        <v>1197</v>
      </c>
      <c r="E664" s="493" t="s">
        <v>110</v>
      </c>
      <c r="F664" s="29">
        <v>1</v>
      </c>
      <c r="G664" s="9">
        <v>1</v>
      </c>
      <c r="H664" s="9">
        <v>1</v>
      </c>
      <c r="I664" s="9">
        <v>2</v>
      </c>
      <c r="J664" s="43">
        <v>2</v>
      </c>
      <c r="K664" s="260">
        <f t="shared" si="10"/>
        <v>0.35859414261160716</v>
      </c>
      <c r="L664" s="163" t="s">
        <v>111</v>
      </c>
    </row>
    <row r="665" spans="1:12">
      <c r="A665" s="34" t="s">
        <v>114</v>
      </c>
      <c r="B665" s="336">
        <v>2017</v>
      </c>
      <c r="C665" s="59" t="s">
        <v>86</v>
      </c>
      <c r="D665" s="59">
        <v>231</v>
      </c>
      <c r="E665" s="493" t="s">
        <v>110</v>
      </c>
      <c r="F665" s="29">
        <v>1</v>
      </c>
      <c r="G665" s="9">
        <v>1</v>
      </c>
      <c r="H665" s="9">
        <v>1</v>
      </c>
      <c r="I665" s="9">
        <v>2</v>
      </c>
      <c r="J665" s="43">
        <v>2</v>
      </c>
      <c r="K665" s="260">
        <f t="shared" si="10"/>
        <v>0.35859414261160716</v>
      </c>
      <c r="L665" s="163" t="s">
        <v>111</v>
      </c>
    </row>
    <row r="666" spans="1:12">
      <c r="A666" s="34" t="s">
        <v>114</v>
      </c>
      <c r="B666" s="336">
        <v>2017</v>
      </c>
      <c r="C666" s="59" t="s">
        <v>87</v>
      </c>
      <c r="D666" s="59">
        <v>316</v>
      </c>
      <c r="E666" s="493" t="s">
        <v>110</v>
      </c>
      <c r="F666" s="29">
        <v>1</v>
      </c>
      <c r="G666" s="9">
        <v>1</v>
      </c>
      <c r="H666" s="9">
        <v>1</v>
      </c>
      <c r="I666" s="9">
        <v>2</v>
      </c>
      <c r="J666" s="43">
        <v>2</v>
      </c>
      <c r="K666" s="260">
        <f t="shared" si="10"/>
        <v>0.35859414261160716</v>
      </c>
      <c r="L666" s="163" t="s">
        <v>111</v>
      </c>
    </row>
    <row r="667" spans="1:12">
      <c r="A667" s="34" t="s">
        <v>114</v>
      </c>
      <c r="B667" s="336">
        <v>2017</v>
      </c>
      <c r="C667" s="59" t="s">
        <v>88</v>
      </c>
      <c r="D667" s="59">
        <v>43</v>
      </c>
      <c r="E667" s="493" t="s">
        <v>110</v>
      </c>
      <c r="F667" s="29">
        <v>1</v>
      </c>
      <c r="G667" s="9">
        <v>1</v>
      </c>
      <c r="H667" s="9">
        <v>1</v>
      </c>
      <c r="I667" s="9">
        <v>2</v>
      </c>
      <c r="J667" s="43">
        <v>2</v>
      </c>
      <c r="K667" s="260">
        <f t="shared" si="10"/>
        <v>0.35859414261160716</v>
      </c>
      <c r="L667" s="163" t="s">
        <v>111</v>
      </c>
    </row>
    <row r="668" spans="1:12">
      <c r="A668" s="34" t="s">
        <v>114</v>
      </c>
      <c r="B668" s="336">
        <v>2017</v>
      </c>
      <c r="C668" s="59" t="s">
        <v>89</v>
      </c>
      <c r="D668" s="59">
        <v>53</v>
      </c>
      <c r="E668" s="493" t="s">
        <v>110</v>
      </c>
      <c r="F668" s="29">
        <v>1</v>
      </c>
      <c r="G668" s="9">
        <v>1</v>
      </c>
      <c r="H668" s="9">
        <v>1</v>
      </c>
      <c r="I668" s="9">
        <v>2</v>
      </c>
      <c r="J668" s="43">
        <v>2</v>
      </c>
      <c r="K668" s="260">
        <f t="shared" si="10"/>
        <v>0.35859414261160716</v>
      </c>
      <c r="L668" s="163" t="s">
        <v>111</v>
      </c>
    </row>
    <row r="669" spans="1:12">
      <c r="A669" s="34" t="s">
        <v>114</v>
      </c>
      <c r="B669" s="336">
        <v>2017</v>
      </c>
      <c r="C669" s="59" t="s">
        <v>90</v>
      </c>
      <c r="D669" s="59">
        <v>212</v>
      </c>
      <c r="E669" s="493" t="s">
        <v>110</v>
      </c>
      <c r="F669" s="29">
        <v>1</v>
      </c>
      <c r="G669" s="9">
        <v>1</v>
      </c>
      <c r="H669" s="9">
        <v>1</v>
      </c>
      <c r="I669" s="9">
        <v>2</v>
      </c>
      <c r="J669" s="43">
        <v>2</v>
      </c>
      <c r="K669" s="260">
        <f t="shared" si="10"/>
        <v>0.35859414261160716</v>
      </c>
      <c r="L669" s="163" t="s">
        <v>111</v>
      </c>
    </row>
    <row r="670" spans="1:12">
      <c r="A670" s="34" t="s">
        <v>114</v>
      </c>
      <c r="B670" s="336">
        <v>2017</v>
      </c>
      <c r="C670" s="59" t="s">
        <v>91</v>
      </c>
      <c r="D670" s="59">
        <v>112</v>
      </c>
      <c r="E670" s="493" t="s">
        <v>110</v>
      </c>
      <c r="F670" s="29">
        <v>1</v>
      </c>
      <c r="G670" s="9">
        <v>1</v>
      </c>
      <c r="H670" s="9">
        <v>1</v>
      </c>
      <c r="I670" s="9">
        <v>2</v>
      </c>
      <c r="J670" s="43">
        <v>2</v>
      </c>
      <c r="K670" s="260">
        <f t="shared" si="10"/>
        <v>0.35859414261160716</v>
      </c>
      <c r="L670" s="163" t="s">
        <v>111</v>
      </c>
    </row>
    <row r="671" spans="1:12">
      <c r="A671" s="34" t="s">
        <v>114</v>
      </c>
      <c r="B671" s="336">
        <v>2017</v>
      </c>
      <c r="C671" s="59" t="s">
        <v>94</v>
      </c>
      <c r="D671" s="59">
        <v>29</v>
      </c>
      <c r="E671" s="493" t="s">
        <v>110</v>
      </c>
      <c r="F671" s="29">
        <v>1</v>
      </c>
      <c r="G671" s="9">
        <v>1</v>
      </c>
      <c r="H671" s="9">
        <v>1</v>
      </c>
      <c r="I671" s="9">
        <v>2</v>
      </c>
      <c r="J671" s="43">
        <v>2</v>
      </c>
      <c r="K671" s="260">
        <f t="shared" si="10"/>
        <v>0.35859414261160716</v>
      </c>
      <c r="L671" s="163" t="s">
        <v>111</v>
      </c>
    </row>
    <row r="672" spans="1:12">
      <c r="A672" s="34" t="s">
        <v>114</v>
      </c>
      <c r="B672" s="336">
        <v>2017</v>
      </c>
      <c r="C672" s="59" t="s">
        <v>96</v>
      </c>
      <c r="D672" s="59">
        <v>53</v>
      </c>
      <c r="E672" s="493" t="s">
        <v>110</v>
      </c>
      <c r="F672" s="29">
        <v>1</v>
      </c>
      <c r="G672" s="9">
        <v>1</v>
      </c>
      <c r="H672" s="9">
        <v>1</v>
      </c>
      <c r="I672" s="9">
        <v>2</v>
      </c>
      <c r="J672" s="43">
        <v>2</v>
      </c>
      <c r="K672" s="260">
        <f t="shared" si="10"/>
        <v>0.35859414261160716</v>
      </c>
      <c r="L672" s="163" t="s">
        <v>111</v>
      </c>
    </row>
    <row r="673" spans="1:12">
      <c r="A673" s="34" t="s">
        <v>114</v>
      </c>
      <c r="B673" s="336">
        <v>2017</v>
      </c>
      <c r="C673" s="59" t="s">
        <v>97</v>
      </c>
      <c r="D673" s="59">
        <v>232</v>
      </c>
      <c r="E673" s="493" t="s">
        <v>110</v>
      </c>
      <c r="F673" s="29">
        <v>1</v>
      </c>
      <c r="G673" s="9">
        <v>1</v>
      </c>
      <c r="H673" s="9">
        <v>1</v>
      </c>
      <c r="I673" s="9">
        <v>2</v>
      </c>
      <c r="J673" s="43">
        <v>2</v>
      </c>
      <c r="K673" s="260">
        <f t="shared" si="10"/>
        <v>0.35859414261160716</v>
      </c>
      <c r="L673" s="163" t="s">
        <v>111</v>
      </c>
    </row>
    <row r="674" spans="1:12">
      <c r="A674" s="34" t="s">
        <v>114</v>
      </c>
      <c r="B674" s="336">
        <v>2017</v>
      </c>
      <c r="C674" s="59" t="s">
        <v>95</v>
      </c>
      <c r="D674" s="59">
        <v>72</v>
      </c>
      <c r="E674" s="493" t="s">
        <v>110</v>
      </c>
      <c r="F674" s="29">
        <v>1</v>
      </c>
      <c r="G674" s="9">
        <v>1</v>
      </c>
      <c r="H674" s="9">
        <v>1</v>
      </c>
      <c r="I674" s="9">
        <v>2</v>
      </c>
      <c r="J674" s="43">
        <v>2</v>
      </c>
      <c r="K674" s="260">
        <f t="shared" si="10"/>
        <v>0.35859414261160716</v>
      </c>
      <c r="L674" s="163" t="s">
        <v>111</v>
      </c>
    </row>
    <row r="675" spans="1:12">
      <c r="A675" s="34" t="s">
        <v>114</v>
      </c>
      <c r="B675" s="336">
        <v>2017</v>
      </c>
      <c r="C675" s="59" t="s">
        <v>93</v>
      </c>
      <c r="D675" s="59">
        <v>41</v>
      </c>
      <c r="E675" s="493" t="s">
        <v>110</v>
      </c>
      <c r="F675" s="29">
        <v>1</v>
      </c>
      <c r="G675" s="9">
        <v>1</v>
      </c>
      <c r="H675" s="9">
        <v>1</v>
      </c>
      <c r="I675" s="9">
        <v>2</v>
      </c>
      <c r="J675" s="43">
        <v>2</v>
      </c>
      <c r="K675" s="260">
        <f t="shared" si="10"/>
        <v>0.35859414261160716</v>
      </c>
      <c r="L675" s="163" t="s">
        <v>111</v>
      </c>
    </row>
    <row r="676" spans="1:12">
      <c r="A676" s="34" t="s">
        <v>114</v>
      </c>
      <c r="B676" s="336">
        <v>2017</v>
      </c>
      <c r="C676" s="59" t="s">
        <v>98</v>
      </c>
      <c r="D676" s="59">
        <v>1172</v>
      </c>
      <c r="E676" s="493" t="s">
        <v>110</v>
      </c>
      <c r="F676" s="29">
        <v>1</v>
      </c>
      <c r="G676" s="9">
        <v>1</v>
      </c>
      <c r="H676" s="9">
        <v>1</v>
      </c>
      <c r="I676" s="9">
        <v>2</v>
      </c>
      <c r="J676" s="43">
        <v>2</v>
      </c>
      <c r="K676" s="260">
        <f t="shared" si="10"/>
        <v>0.35859414261160716</v>
      </c>
      <c r="L676" s="163" t="s">
        <v>111</v>
      </c>
    </row>
    <row r="677" spans="1:12">
      <c r="A677" s="34" t="s">
        <v>114</v>
      </c>
      <c r="B677" s="336">
        <v>2018</v>
      </c>
      <c r="C677" s="59" t="s">
        <v>85</v>
      </c>
      <c r="D677" s="59">
        <v>1084</v>
      </c>
      <c r="E677" s="493" t="s">
        <v>110</v>
      </c>
      <c r="F677" s="29">
        <v>1</v>
      </c>
      <c r="G677" s="9">
        <v>1</v>
      </c>
      <c r="H677" s="9">
        <v>1</v>
      </c>
      <c r="I677" s="9">
        <v>2</v>
      </c>
      <c r="J677" s="43">
        <v>2</v>
      </c>
      <c r="K677" s="260">
        <f t="shared" si="10"/>
        <v>0.35859414261160716</v>
      </c>
      <c r="L677" s="163" t="s">
        <v>111</v>
      </c>
    </row>
    <row r="678" spans="1:12">
      <c r="A678" s="34" t="s">
        <v>114</v>
      </c>
      <c r="B678" s="336">
        <v>2018</v>
      </c>
      <c r="C678" s="59" t="s">
        <v>86</v>
      </c>
      <c r="D678" s="59">
        <v>243</v>
      </c>
      <c r="E678" s="493" t="s">
        <v>110</v>
      </c>
      <c r="F678" s="29">
        <v>1</v>
      </c>
      <c r="G678" s="9">
        <v>1</v>
      </c>
      <c r="H678" s="9">
        <v>1</v>
      </c>
      <c r="I678" s="9">
        <v>2</v>
      </c>
      <c r="J678" s="43">
        <v>2</v>
      </c>
      <c r="K678" s="260">
        <f t="shared" si="10"/>
        <v>0.35859414261160716</v>
      </c>
      <c r="L678" s="163" t="s">
        <v>111</v>
      </c>
    </row>
    <row r="679" spans="1:12">
      <c r="A679" s="34" t="s">
        <v>114</v>
      </c>
      <c r="B679" s="336">
        <v>2018</v>
      </c>
      <c r="C679" s="59" t="s">
        <v>87</v>
      </c>
      <c r="D679" s="59">
        <v>323</v>
      </c>
      <c r="E679" s="493" t="s">
        <v>110</v>
      </c>
      <c r="F679" s="29">
        <v>1</v>
      </c>
      <c r="G679" s="9">
        <v>1</v>
      </c>
      <c r="H679" s="9">
        <v>1</v>
      </c>
      <c r="I679" s="9">
        <v>2</v>
      </c>
      <c r="J679" s="43">
        <v>2</v>
      </c>
      <c r="K679" s="260">
        <f t="shared" si="10"/>
        <v>0.35859414261160716</v>
      </c>
      <c r="L679" s="163" t="s">
        <v>111</v>
      </c>
    </row>
    <row r="680" spans="1:12">
      <c r="A680" s="34" t="s">
        <v>114</v>
      </c>
      <c r="B680" s="336">
        <v>2018</v>
      </c>
      <c r="C680" s="59" t="s">
        <v>88</v>
      </c>
      <c r="D680" s="59">
        <v>41</v>
      </c>
      <c r="E680" s="493" t="s">
        <v>110</v>
      </c>
      <c r="F680" s="29">
        <v>1</v>
      </c>
      <c r="G680" s="9">
        <v>1</v>
      </c>
      <c r="H680" s="9">
        <v>1</v>
      </c>
      <c r="I680" s="9">
        <v>2</v>
      </c>
      <c r="J680" s="43">
        <v>2</v>
      </c>
      <c r="K680" s="260">
        <f t="shared" si="10"/>
        <v>0.35859414261160716</v>
      </c>
      <c r="L680" s="163" t="s">
        <v>111</v>
      </c>
    </row>
    <row r="681" spans="1:12">
      <c r="A681" s="34" t="s">
        <v>114</v>
      </c>
      <c r="B681" s="336">
        <v>2018</v>
      </c>
      <c r="C681" s="59" t="s">
        <v>89</v>
      </c>
      <c r="D681" s="59">
        <v>56</v>
      </c>
      <c r="E681" s="493" t="s">
        <v>110</v>
      </c>
      <c r="F681" s="29">
        <v>1</v>
      </c>
      <c r="G681" s="9">
        <v>1</v>
      </c>
      <c r="H681" s="9">
        <v>1</v>
      </c>
      <c r="I681" s="9">
        <v>2</v>
      </c>
      <c r="J681" s="43">
        <v>2</v>
      </c>
      <c r="K681" s="260">
        <f t="shared" si="10"/>
        <v>0.35859414261160716</v>
      </c>
      <c r="L681" s="163" t="s">
        <v>111</v>
      </c>
    </row>
    <row r="682" spans="1:12">
      <c r="A682" s="34" t="s">
        <v>114</v>
      </c>
      <c r="B682" s="336">
        <v>2018</v>
      </c>
      <c r="C682" s="59" t="s">
        <v>90</v>
      </c>
      <c r="D682" s="59">
        <v>221</v>
      </c>
      <c r="E682" s="493" t="s">
        <v>110</v>
      </c>
      <c r="F682" s="29">
        <v>1</v>
      </c>
      <c r="G682" s="9">
        <v>1</v>
      </c>
      <c r="H682" s="9">
        <v>1</v>
      </c>
      <c r="I682" s="9">
        <v>2</v>
      </c>
      <c r="J682" s="43">
        <v>2</v>
      </c>
      <c r="K682" s="260">
        <f t="shared" si="10"/>
        <v>0.35859414261160716</v>
      </c>
      <c r="L682" s="163" t="s">
        <v>111</v>
      </c>
    </row>
    <row r="683" spans="1:12">
      <c r="A683" s="34" t="s">
        <v>114</v>
      </c>
      <c r="B683" s="336">
        <v>2018</v>
      </c>
      <c r="C683" s="59" t="s">
        <v>91</v>
      </c>
      <c r="D683" s="59">
        <v>103</v>
      </c>
      <c r="E683" s="493" t="s">
        <v>110</v>
      </c>
      <c r="F683" s="29">
        <v>1</v>
      </c>
      <c r="G683" s="9">
        <v>1</v>
      </c>
      <c r="H683" s="9">
        <v>1</v>
      </c>
      <c r="I683" s="9">
        <v>2</v>
      </c>
      <c r="J683" s="43">
        <v>2</v>
      </c>
      <c r="K683" s="260">
        <f t="shared" si="10"/>
        <v>0.35859414261160716</v>
      </c>
      <c r="L683" s="163" t="s">
        <v>111</v>
      </c>
    </row>
    <row r="684" spans="1:12">
      <c r="A684" s="34" t="s">
        <v>114</v>
      </c>
      <c r="B684" s="336">
        <v>2018</v>
      </c>
      <c r="C684" s="59" t="s">
        <v>94</v>
      </c>
      <c r="D684" s="59">
        <v>35</v>
      </c>
      <c r="E684" s="493" t="s">
        <v>110</v>
      </c>
      <c r="F684" s="29">
        <v>1</v>
      </c>
      <c r="G684" s="9">
        <v>1</v>
      </c>
      <c r="H684" s="9">
        <v>1</v>
      </c>
      <c r="I684" s="9">
        <v>2</v>
      </c>
      <c r="J684" s="43">
        <v>2</v>
      </c>
      <c r="K684" s="260">
        <f t="shared" si="10"/>
        <v>0.35859414261160716</v>
      </c>
      <c r="L684" s="163" t="s">
        <v>111</v>
      </c>
    </row>
    <row r="685" spans="1:12">
      <c r="A685" s="34" t="s">
        <v>114</v>
      </c>
      <c r="B685" s="336">
        <v>2018</v>
      </c>
      <c r="C685" s="59" t="s">
        <v>96</v>
      </c>
      <c r="D685" s="59">
        <v>55</v>
      </c>
      <c r="E685" s="493" t="s">
        <v>110</v>
      </c>
      <c r="F685" s="29">
        <v>1</v>
      </c>
      <c r="G685" s="9">
        <v>1</v>
      </c>
      <c r="H685" s="9">
        <v>1</v>
      </c>
      <c r="I685" s="9">
        <v>2</v>
      </c>
      <c r="J685" s="43">
        <v>2</v>
      </c>
      <c r="K685" s="260">
        <f t="shared" si="10"/>
        <v>0.35859414261160716</v>
      </c>
      <c r="L685" s="163" t="s">
        <v>111</v>
      </c>
    </row>
    <row r="686" spans="1:12">
      <c r="A686" s="34" t="s">
        <v>114</v>
      </c>
      <c r="B686" s="336">
        <v>2018</v>
      </c>
      <c r="C686" s="59" t="s">
        <v>97</v>
      </c>
      <c r="D686" s="59">
        <v>229</v>
      </c>
      <c r="E686" s="493" t="s">
        <v>110</v>
      </c>
      <c r="F686" s="29">
        <v>1</v>
      </c>
      <c r="G686" s="9">
        <v>1</v>
      </c>
      <c r="H686" s="9">
        <v>1</v>
      </c>
      <c r="I686" s="9">
        <v>2</v>
      </c>
      <c r="J686" s="43">
        <v>2</v>
      </c>
      <c r="K686" s="260">
        <f t="shared" si="10"/>
        <v>0.35859414261160716</v>
      </c>
      <c r="L686" s="163" t="s">
        <v>111</v>
      </c>
    </row>
    <row r="687" spans="1:12">
      <c r="A687" s="34" t="s">
        <v>114</v>
      </c>
      <c r="B687" s="336">
        <v>2018</v>
      </c>
      <c r="C687" s="59" t="s">
        <v>95</v>
      </c>
      <c r="D687" s="59">
        <v>80</v>
      </c>
      <c r="E687" s="493" t="s">
        <v>110</v>
      </c>
      <c r="F687" s="29">
        <v>1</v>
      </c>
      <c r="G687" s="9">
        <v>1</v>
      </c>
      <c r="H687" s="9">
        <v>1</v>
      </c>
      <c r="I687" s="9">
        <v>2</v>
      </c>
      <c r="J687" s="43">
        <v>2</v>
      </c>
      <c r="K687" s="260">
        <f t="shared" si="10"/>
        <v>0.35859414261160716</v>
      </c>
      <c r="L687" s="163" t="s">
        <v>111</v>
      </c>
    </row>
    <row r="688" spans="1:12">
      <c r="A688" s="34" t="s">
        <v>114</v>
      </c>
      <c r="B688" s="336">
        <v>2018</v>
      </c>
      <c r="C688" s="59" t="s">
        <v>93</v>
      </c>
      <c r="D688" s="59">
        <v>42</v>
      </c>
      <c r="E688" s="493" t="s">
        <v>110</v>
      </c>
      <c r="F688" s="29">
        <v>1</v>
      </c>
      <c r="G688" s="9">
        <v>1</v>
      </c>
      <c r="H688" s="9">
        <v>1</v>
      </c>
      <c r="I688" s="9">
        <v>2</v>
      </c>
      <c r="J688" s="43">
        <v>2</v>
      </c>
      <c r="K688" s="260">
        <f t="shared" si="10"/>
        <v>0.35859414261160716</v>
      </c>
      <c r="L688" s="163" t="s">
        <v>111</v>
      </c>
    </row>
    <row r="689" spans="1:12">
      <c r="A689" s="34" t="s">
        <v>114</v>
      </c>
      <c r="B689" s="336">
        <v>2018</v>
      </c>
      <c r="C689" s="59" t="s">
        <v>98</v>
      </c>
      <c r="D689" s="59">
        <v>1272</v>
      </c>
      <c r="E689" s="493" t="s">
        <v>110</v>
      </c>
      <c r="F689" s="29">
        <v>1</v>
      </c>
      <c r="G689" s="9">
        <v>1</v>
      </c>
      <c r="H689" s="9">
        <v>1</v>
      </c>
      <c r="I689" s="9">
        <v>2</v>
      </c>
      <c r="J689" s="43">
        <v>2</v>
      </c>
      <c r="K689" s="260">
        <f t="shared" si="10"/>
        <v>0.35859414261160716</v>
      </c>
      <c r="L689" s="163" t="s">
        <v>111</v>
      </c>
    </row>
    <row r="690" spans="1:12">
      <c r="A690" s="34" t="s">
        <v>114</v>
      </c>
      <c r="B690" s="336">
        <v>2019</v>
      </c>
      <c r="C690" s="59" t="s">
        <v>85</v>
      </c>
      <c r="D690" s="59">
        <v>942</v>
      </c>
      <c r="E690" s="493" t="s">
        <v>110</v>
      </c>
      <c r="F690" s="29">
        <v>1</v>
      </c>
      <c r="G690" s="9">
        <v>1</v>
      </c>
      <c r="H690" s="9">
        <v>1</v>
      </c>
      <c r="I690" s="9">
        <v>2</v>
      </c>
      <c r="J690" s="43">
        <v>2</v>
      </c>
      <c r="K690" s="260">
        <f t="shared" si="10"/>
        <v>0.35859414261160716</v>
      </c>
      <c r="L690" s="163" t="s">
        <v>111</v>
      </c>
    </row>
    <row r="691" spans="1:12">
      <c r="A691" s="34" t="s">
        <v>114</v>
      </c>
      <c r="B691" s="336">
        <v>2019</v>
      </c>
      <c r="C691" s="59" t="s">
        <v>86</v>
      </c>
      <c r="D691" s="59">
        <v>270</v>
      </c>
      <c r="E691" s="493" t="s">
        <v>110</v>
      </c>
      <c r="F691" s="29">
        <v>1</v>
      </c>
      <c r="G691" s="9">
        <v>1</v>
      </c>
      <c r="H691" s="9">
        <v>1</v>
      </c>
      <c r="I691" s="9">
        <v>2</v>
      </c>
      <c r="J691" s="43">
        <v>2</v>
      </c>
      <c r="K691" s="260">
        <f t="shared" si="10"/>
        <v>0.35859414261160716</v>
      </c>
      <c r="L691" s="163" t="s">
        <v>111</v>
      </c>
    </row>
    <row r="692" spans="1:12">
      <c r="A692" s="34" t="s">
        <v>114</v>
      </c>
      <c r="B692" s="336">
        <v>2019</v>
      </c>
      <c r="C692" s="59" t="s">
        <v>87</v>
      </c>
      <c r="D692" s="59">
        <v>302</v>
      </c>
      <c r="E692" s="493" t="s">
        <v>110</v>
      </c>
      <c r="F692" s="29">
        <v>1</v>
      </c>
      <c r="G692" s="9">
        <v>1</v>
      </c>
      <c r="H692" s="9">
        <v>1</v>
      </c>
      <c r="I692" s="9">
        <v>2</v>
      </c>
      <c r="J692" s="43">
        <v>2</v>
      </c>
      <c r="K692" s="260">
        <f t="shared" si="10"/>
        <v>0.35859414261160716</v>
      </c>
      <c r="L692" s="163" t="s">
        <v>111</v>
      </c>
    </row>
    <row r="693" spans="1:12">
      <c r="A693" s="34" t="s">
        <v>114</v>
      </c>
      <c r="B693" s="336">
        <v>2019</v>
      </c>
      <c r="C693" s="59" t="s">
        <v>88</v>
      </c>
      <c r="D693" s="59">
        <v>111</v>
      </c>
      <c r="E693" s="493" t="s">
        <v>110</v>
      </c>
      <c r="F693" s="29">
        <v>1</v>
      </c>
      <c r="G693" s="9">
        <v>1</v>
      </c>
      <c r="H693" s="9">
        <v>1</v>
      </c>
      <c r="I693" s="9">
        <v>2</v>
      </c>
      <c r="J693" s="43">
        <v>2</v>
      </c>
      <c r="K693" s="260">
        <f t="shared" si="10"/>
        <v>0.35859414261160716</v>
      </c>
      <c r="L693" s="163" t="s">
        <v>111</v>
      </c>
    </row>
    <row r="694" spans="1:12">
      <c r="A694" s="34" t="s">
        <v>114</v>
      </c>
      <c r="B694" s="336">
        <v>2019</v>
      </c>
      <c r="C694" s="59" t="s">
        <v>89</v>
      </c>
      <c r="D694" s="59">
        <v>56</v>
      </c>
      <c r="E694" s="493" t="s">
        <v>110</v>
      </c>
      <c r="F694" s="29">
        <v>1</v>
      </c>
      <c r="G694" s="9">
        <v>1</v>
      </c>
      <c r="H694" s="9">
        <v>1</v>
      </c>
      <c r="I694" s="9">
        <v>2</v>
      </c>
      <c r="J694" s="43">
        <v>2</v>
      </c>
      <c r="K694" s="260">
        <f t="shared" si="10"/>
        <v>0.35859414261160716</v>
      </c>
      <c r="L694" s="163" t="s">
        <v>111</v>
      </c>
    </row>
    <row r="695" spans="1:12">
      <c r="A695" s="34" t="s">
        <v>114</v>
      </c>
      <c r="B695" s="336">
        <v>2019</v>
      </c>
      <c r="C695" s="59" t="s">
        <v>90</v>
      </c>
      <c r="D695" s="59">
        <v>217</v>
      </c>
      <c r="E695" s="493" t="s">
        <v>110</v>
      </c>
      <c r="F695" s="29">
        <v>1</v>
      </c>
      <c r="G695" s="9">
        <v>1</v>
      </c>
      <c r="H695" s="9">
        <v>1</v>
      </c>
      <c r="I695" s="9">
        <v>2</v>
      </c>
      <c r="J695" s="43">
        <v>2</v>
      </c>
      <c r="K695" s="260">
        <f t="shared" si="10"/>
        <v>0.35859414261160716</v>
      </c>
      <c r="L695" s="163" t="s">
        <v>111</v>
      </c>
    </row>
    <row r="696" spans="1:12">
      <c r="A696" s="34" t="s">
        <v>114</v>
      </c>
      <c r="B696" s="336">
        <v>2019</v>
      </c>
      <c r="C696" s="59" t="s">
        <v>91</v>
      </c>
      <c r="D696" s="59">
        <v>134</v>
      </c>
      <c r="E696" s="493" t="s">
        <v>110</v>
      </c>
      <c r="F696" s="29">
        <v>1</v>
      </c>
      <c r="G696" s="9">
        <v>1</v>
      </c>
      <c r="H696" s="9">
        <v>1</v>
      </c>
      <c r="I696" s="9">
        <v>2</v>
      </c>
      <c r="J696" s="43">
        <v>2</v>
      </c>
      <c r="K696" s="260">
        <f t="shared" si="10"/>
        <v>0.35859414261160716</v>
      </c>
      <c r="L696" s="163" t="s">
        <v>111</v>
      </c>
    </row>
    <row r="697" spans="1:12">
      <c r="A697" s="34" t="s">
        <v>114</v>
      </c>
      <c r="B697" s="336">
        <v>2019</v>
      </c>
      <c r="C697" s="59" t="s">
        <v>94</v>
      </c>
      <c r="D697" s="59">
        <v>17</v>
      </c>
      <c r="E697" s="493" t="s">
        <v>110</v>
      </c>
      <c r="F697" s="29">
        <v>1</v>
      </c>
      <c r="G697" s="9">
        <v>1</v>
      </c>
      <c r="H697" s="9">
        <v>1</v>
      </c>
      <c r="I697" s="9">
        <v>2</v>
      </c>
      <c r="J697" s="43">
        <v>2</v>
      </c>
      <c r="K697" s="260">
        <f t="shared" si="10"/>
        <v>0.35859414261160716</v>
      </c>
      <c r="L697" s="163" t="s">
        <v>111</v>
      </c>
    </row>
    <row r="698" spans="1:12">
      <c r="A698" s="34" t="s">
        <v>114</v>
      </c>
      <c r="B698" s="336">
        <v>2019</v>
      </c>
      <c r="C698" s="59" t="s">
        <v>96</v>
      </c>
      <c r="D698" s="59">
        <v>70</v>
      </c>
      <c r="E698" s="493" t="s">
        <v>110</v>
      </c>
      <c r="F698" s="29">
        <v>1</v>
      </c>
      <c r="G698" s="9">
        <v>1</v>
      </c>
      <c r="H698" s="9">
        <v>1</v>
      </c>
      <c r="I698" s="9">
        <v>2</v>
      </c>
      <c r="J698" s="43">
        <v>2</v>
      </c>
      <c r="K698" s="260">
        <f t="shared" si="10"/>
        <v>0.35859414261160716</v>
      </c>
      <c r="L698" s="163" t="s">
        <v>111</v>
      </c>
    </row>
    <row r="699" spans="1:12">
      <c r="A699" s="34" t="s">
        <v>114</v>
      </c>
      <c r="B699" s="336">
        <v>2019</v>
      </c>
      <c r="C699" s="59" t="s">
        <v>97</v>
      </c>
      <c r="D699" s="59">
        <v>243</v>
      </c>
      <c r="E699" s="493" t="s">
        <v>110</v>
      </c>
      <c r="F699" s="29">
        <v>1</v>
      </c>
      <c r="G699" s="9">
        <v>1</v>
      </c>
      <c r="H699" s="9">
        <v>1</v>
      </c>
      <c r="I699" s="9">
        <v>2</v>
      </c>
      <c r="J699" s="43">
        <v>2</v>
      </c>
      <c r="K699" s="260">
        <f t="shared" si="10"/>
        <v>0.35859414261160716</v>
      </c>
      <c r="L699" s="163" t="s">
        <v>111</v>
      </c>
    </row>
    <row r="700" spans="1:12">
      <c r="A700" s="34" t="s">
        <v>114</v>
      </c>
      <c r="B700" s="336">
        <v>2019</v>
      </c>
      <c r="C700" s="59" t="s">
        <v>95</v>
      </c>
      <c r="D700" s="59">
        <v>79</v>
      </c>
      <c r="E700" s="493" t="s">
        <v>110</v>
      </c>
      <c r="F700" s="29">
        <v>1</v>
      </c>
      <c r="G700" s="9">
        <v>1</v>
      </c>
      <c r="H700" s="9">
        <v>1</v>
      </c>
      <c r="I700" s="9">
        <v>2</v>
      </c>
      <c r="J700" s="43">
        <v>2</v>
      </c>
      <c r="K700" s="260">
        <f t="shared" si="10"/>
        <v>0.35859414261160716</v>
      </c>
      <c r="L700" s="163" t="s">
        <v>111</v>
      </c>
    </row>
    <row r="701" spans="1:12">
      <c r="A701" s="34" t="s">
        <v>114</v>
      </c>
      <c r="B701" s="336">
        <v>2019</v>
      </c>
      <c r="C701" s="59" t="s">
        <v>93</v>
      </c>
      <c r="D701" s="59">
        <v>40</v>
      </c>
      <c r="E701" s="493" t="s">
        <v>110</v>
      </c>
      <c r="F701" s="29">
        <v>1</v>
      </c>
      <c r="G701" s="9">
        <v>1</v>
      </c>
      <c r="H701" s="9">
        <v>1</v>
      </c>
      <c r="I701" s="9">
        <v>2</v>
      </c>
      <c r="J701" s="43">
        <v>2</v>
      </c>
      <c r="K701" s="260">
        <f t="shared" ref="K701:K764" si="11">IF( OR( ISBLANK(F701),ISBLANK(G701), ISBLANK(H701), ISBLANK(I701), ISBLANK(J701) ), "", 1.5*SQRT(   EXP(2.21*(F701-1)) + EXP(2.21*(G701-1)) + EXP(2.21*(H701-1)) + EXP(2.21*(I701-1)) + EXP(2.21*J701)   )/100*2.45 )</f>
        <v>0.35859414261160716</v>
      </c>
      <c r="L701" s="163" t="s">
        <v>111</v>
      </c>
    </row>
    <row r="702" spans="1:12">
      <c r="A702" s="34" t="s">
        <v>114</v>
      </c>
      <c r="B702" s="336">
        <v>2019</v>
      </c>
      <c r="C702" s="59" t="s">
        <v>98</v>
      </c>
      <c r="D702" s="59">
        <v>1386</v>
      </c>
      <c r="E702" s="493" t="s">
        <v>110</v>
      </c>
      <c r="F702" s="29">
        <v>1</v>
      </c>
      <c r="G702" s="9">
        <v>1</v>
      </c>
      <c r="H702" s="9">
        <v>1</v>
      </c>
      <c r="I702" s="9">
        <v>2</v>
      </c>
      <c r="J702" s="43">
        <v>2</v>
      </c>
      <c r="K702" s="260">
        <f t="shared" si="11"/>
        <v>0.35859414261160716</v>
      </c>
      <c r="L702" s="163" t="s">
        <v>111</v>
      </c>
    </row>
    <row r="703" spans="1:12">
      <c r="A703" s="34" t="s">
        <v>114</v>
      </c>
      <c r="B703" s="336">
        <v>2020</v>
      </c>
      <c r="C703" s="59" t="s">
        <v>85</v>
      </c>
      <c r="D703" s="59">
        <v>713</v>
      </c>
      <c r="E703" s="493" t="s">
        <v>110</v>
      </c>
      <c r="F703" s="29">
        <v>1</v>
      </c>
      <c r="G703" s="9">
        <v>1</v>
      </c>
      <c r="H703" s="9">
        <v>1</v>
      </c>
      <c r="I703" s="9">
        <v>2</v>
      </c>
      <c r="J703" s="43">
        <v>2</v>
      </c>
      <c r="K703" s="260">
        <f t="shared" si="11"/>
        <v>0.35859414261160716</v>
      </c>
      <c r="L703" s="163" t="s">
        <v>111</v>
      </c>
    </row>
    <row r="704" spans="1:12">
      <c r="A704" s="34" t="s">
        <v>114</v>
      </c>
      <c r="B704" s="336">
        <v>2020</v>
      </c>
      <c r="C704" s="59" t="s">
        <v>86</v>
      </c>
      <c r="D704" s="59">
        <v>239</v>
      </c>
      <c r="E704" s="493" t="s">
        <v>110</v>
      </c>
      <c r="F704" s="29">
        <v>1</v>
      </c>
      <c r="G704" s="9">
        <v>1</v>
      </c>
      <c r="H704" s="9">
        <v>1</v>
      </c>
      <c r="I704" s="9">
        <v>2</v>
      </c>
      <c r="J704" s="43">
        <v>2</v>
      </c>
      <c r="K704" s="260">
        <f t="shared" si="11"/>
        <v>0.35859414261160716</v>
      </c>
      <c r="L704" s="163" t="s">
        <v>111</v>
      </c>
    </row>
    <row r="705" spans="1:12">
      <c r="A705" s="34" t="s">
        <v>114</v>
      </c>
      <c r="B705" s="336">
        <v>2020</v>
      </c>
      <c r="C705" s="59" t="s">
        <v>87</v>
      </c>
      <c r="D705" s="59">
        <v>303</v>
      </c>
      <c r="E705" s="493" t="s">
        <v>110</v>
      </c>
      <c r="F705" s="29">
        <v>1</v>
      </c>
      <c r="G705" s="9">
        <v>1</v>
      </c>
      <c r="H705" s="9">
        <v>1</v>
      </c>
      <c r="I705" s="9">
        <v>2</v>
      </c>
      <c r="J705" s="43">
        <v>2</v>
      </c>
      <c r="K705" s="260">
        <f t="shared" si="11"/>
        <v>0.35859414261160716</v>
      </c>
      <c r="L705" s="163" t="s">
        <v>111</v>
      </c>
    </row>
    <row r="706" spans="1:12">
      <c r="A706" s="34" t="s">
        <v>114</v>
      </c>
      <c r="B706" s="336">
        <v>2020</v>
      </c>
      <c r="C706" s="59" t="s">
        <v>88</v>
      </c>
      <c r="D706" s="59">
        <v>34</v>
      </c>
      <c r="E706" s="493" t="s">
        <v>110</v>
      </c>
      <c r="F706" s="29">
        <v>1</v>
      </c>
      <c r="G706" s="9">
        <v>1</v>
      </c>
      <c r="H706" s="9">
        <v>1</v>
      </c>
      <c r="I706" s="9">
        <v>2</v>
      </c>
      <c r="J706" s="43">
        <v>2</v>
      </c>
      <c r="K706" s="260">
        <f t="shared" si="11"/>
        <v>0.35859414261160716</v>
      </c>
      <c r="L706" s="163" t="s">
        <v>111</v>
      </c>
    </row>
    <row r="707" spans="1:12">
      <c r="A707" s="34" t="s">
        <v>114</v>
      </c>
      <c r="B707" s="336">
        <v>2020</v>
      </c>
      <c r="C707" s="59" t="s">
        <v>89</v>
      </c>
      <c r="D707" s="59">
        <v>48</v>
      </c>
      <c r="E707" s="493" t="s">
        <v>110</v>
      </c>
      <c r="F707" s="29">
        <v>1</v>
      </c>
      <c r="G707" s="9">
        <v>1</v>
      </c>
      <c r="H707" s="9">
        <v>1</v>
      </c>
      <c r="I707" s="9">
        <v>2</v>
      </c>
      <c r="J707" s="43">
        <v>2</v>
      </c>
      <c r="K707" s="260">
        <f t="shared" si="11"/>
        <v>0.35859414261160716</v>
      </c>
      <c r="L707" s="163" t="s">
        <v>111</v>
      </c>
    </row>
    <row r="708" spans="1:12">
      <c r="A708" s="34" t="s">
        <v>114</v>
      </c>
      <c r="B708" s="336">
        <v>2020</v>
      </c>
      <c r="C708" s="59" t="s">
        <v>90</v>
      </c>
      <c r="D708" s="59">
        <v>186</v>
      </c>
      <c r="E708" s="493" t="s">
        <v>110</v>
      </c>
      <c r="F708" s="29">
        <v>1</v>
      </c>
      <c r="G708" s="9">
        <v>1</v>
      </c>
      <c r="H708" s="9">
        <v>1</v>
      </c>
      <c r="I708" s="9">
        <v>2</v>
      </c>
      <c r="J708" s="43">
        <v>2</v>
      </c>
      <c r="K708" s="260">
        <f t="shared" si="11"/>
        <v>0.35859414261160716</v>
      </c>
      <c r="L708" s="163" t="s">
        <v>111</v>
      </c>
    </row>
    <row r="709" spans="1:12">
      <c r="A709" s="34" t="s">
        <v>114</v>
      </c>
      <c r="B709" s="336">
        <v>2020</v>
      </c>
      <c r="C709" s="59" t="s">
        <v>91</v>
      </c>
      <c r="D709" s="59">
        <v>130</v>
      </c>
      <c r="E709" s="493" t="s">
        <v>110</v>
      </c>
      <c r="F709" s="29">
        <v>1</v>
      </c>
      <c r="G709" s="9">
        <v>1</v>
      </c>
      <c r="H709" s="9">
        <v>1</v>
      </c>
      <c r="I709" s="9">
        <v>2</v>
      </c>
      <c r="J709" s="43">
        <v>2</v>
      </c>
      <c r="K709" s="260">
        <f t="shared" si="11"/>
        <v>0.35859414261160716</v>
      </c>
      <c r="L709" s="163" t="s">
        <v>111</v>
      </c>
    </row>
    <row r="710" spans="1:12">
      <c r="A710" s="34" t="s">
        <v>114</v>
      </c>
      <c r="B710" s="336">
        <v>2020</v>
      </c>
      <c r="C710" s="59" t="s">
        <v>94</v>
      </c>
      <c r="D710" s="59">
        <v>16</v>
      </c>
      <c r="E710" s="493" t="s">
        <v>110</v>
      </c>
      <c r="F710" s="29">
        <v>1</v>
      </c>
      <c r="G710" s="9">
        <v>1</v>
      </c>
      <c r="H710" s="9">
        <v>1</v>
      </c>
      <c r="I710" s="9">
        <v>2</v>
      </c>
      <c r="J710" s="43">
        <v>2</v>
      </c>
      <c r="K710" s="260">
        <f t="shared" si="11"/>
        <v>0.35859414261160716</v>
      </c>
      <c r="L710" s="163" t="s">
        <v>111</v>
      </c>
    </row>
    <row r="711" spans="1:12">
      <c r="A711" s="34" t="s">
        <v>114</v>
      </c>
      <c r="B711" s="336">
        <v>2020</v>
      </c>
      <c r="C711" s="59" t="s">
        <v>96</v>
      </c>
      <c r="D711" s="59">
        <v>65</v>
      </c>
      <c r="E711" s="493" t="s">
        <v>110</v>
      </c>
      <c r="F711" s="29">
        <v>1</v>
      </c>
      <c r="G711" s="9">
        <v>1</v>
      </c>
      <c r="H711" s="9">
        <v>1</v>
      </c>
      <c r="I711" s="9">
        <v>2</v>
      </c>
      <c r="J711" s="43">
        <v>2</v>
      </c>
      <c r="K711" s="260">
        <f t="shared" si="11"/>
        <v>0.35859414261160716</v>
      </c>
      <c r="L711" s="163" t="s">
        <v>111</v>
      </c>
    </row>
    <row r="712" spans="1:12">
      <c r="A712" s="34" t="s">
        <v>114</v>
      </c>
      <c r="B712" s="336">
        <v>2020</v>
      </c>
      <c r="C712" s="59" t="s">
        <v>97</v>
      </c>
      <c r="D712" s="59">
        <v>242</v>
      </c>
      <c r="E712" s="493" t="s">
        <v>110</v>
      </c>
      <c r="F712" s="29">
        <v>1</v>
      </c>
      <c r="G712" s="9">
        <v>1</v>
      </c>
      <c r="H712" s="9">
        <v>1</v>
      </c>
      <c r="I712" s="9">
        <v>2</v>
      </c>
      <c r="J712" s="43">
        <v>2</v>
      </c>
      <c r="K712" s="260">
        <f t="shared" si="11"/>
        <v>0.35859414261160716</v>
      </c>
      <c r="L712" s="163" t="s">
        <v>111</v>
      </c>
    </row>
    <row r="713" spans="1:12">
      <c r="A713" s="34" t="s">
        <v>114</v>
      </c>
      <c r="B713" s="336">
        <v>2020</v>
      </c>
      <c r="C713" s="59" t="s">
        <v>95</v>
      </c>
      <c r="D713" s="59">
        <v>71</v>
      </c>
      <c r="E713" s="493" t="s">
        <v>110</v>
      </c>
      <c r="F713" s="29">
        <v>1</v>
      </c>
      <c r="G713" s="9">
        <v>1</v>
      </c>
      <c r="H713" s="9">
        <v>1</v>
      </c>
      <c r="I713" s="9">
        <v>2</v>
      </c>
      <c r="J713" s="43">
        <v>2</v>
      </c>
      <c r="K713" s="260">
        <f t="shared" si="11"/>
        <v>0.35859414261160716</v>
      </c>
      <c r="L713" s="163" t="s">
        <v>111</v>
      </c>
    </row>
    <row r="714" spans="1:12">
      <c r="A714" s="34" t="s">
        <v>114</v>
      </c>
      <c r="B714" s="336">
        <v>2020</v>
      </c>
      <c r="C714" s="59" t="s">
        <v>93</v>
      </c>
      <c r="D714" s="59">
        <v>43</v>
      </c>
      <c r="E714" s="493" t="s">
        <v>110</v>
      </c>
      <c r="F714" s="29">
        <v>1</v>
      </c>
      <c r="G714" s="9">
        <v>1</v>
      </c>
      <c r="H714" s="9">
        <v>1</v>
      </c>
      <c r="I714" s="9">
        <v>2</v>
      </c>
      <c r="J714" s="43">
        <v>2</v>
      </c>
      <c r="K714" s="260">
        <f t="shared" si="11"/>
        <v>0.35859414261160716</v>
      </c>
      <c r="L714" s="163" t="s">
        <v>111</v>
      </c>
    </row>
    <row r="715" spans="1:12">
      <c r="A715" s="34" t="s">
        <v>114</v>
      </c>
      <c r="B715" s="336">
        <v>2020</v>
      </c>
      <c r="C715" s="59" t="s">
        <v>98</v>
      </c>
      <c r="D715" s="59">
        <v>1355</v>
      </c>
      <c r="E715" s="493" t="s">
        <v>110</v>
      </c>
      <c r="F715" s="29">
        <v>1</v>
      </c>
      <c r="G715" s="9">
        <v>1</v>
      </c>
      <c r="H715" s="9">
        <v>1</v>
      </c>
      <c r="I715" s="9">
        <v>2</v>
      </c>
      <c r="J715" s="43">
        <v>2</v>
      </c>
      <c r="K715" s="260">
        <f t="shared" si="11"/>
        <v>0.35859414261160716</v>
      </c>
      <c r="L715" s="163" t="s">
        <v>111</v>
      </c>
    </row>
    <row r="716" spans="1:12">
      <c r="A716" s="34" t="s">
        <v>114</v>
      </c>
      <c r="B716" s="336">
        <v>2021</v>
      </c>
      <c r="C716" s="59" t="s">
        <v>85</v>
      </c>
      <c r="D716" s="59">
        <v>1052</v>
      </c>
      <c r="E716" s="493" t="s">
        <v>110</v>
      </c>
      <c r="F716" s="29">
        <v>1</v>
      </c>
      <c r="G716" s="9">
        <v>1</v>
      </c>
      <c r="H716" s="9">
        <v>1</v>
      </c>
      <c r="I716" s="9">
        <v>2</v>
      </c>
      <c r="J716" s="43">
        <v>2</v>
      </c>
      <c r="K716" s="260">
        <f t="shared" si="11"/>
        <v>0.35859414261160716</v>
      </c>
      <c r="L716" s="163" t="s">
        <v>111</v>
      </c>
    </row>
    <row r="717" spans="1:12">
      <c r="A717" s="34" t="s">
        <v>114</v>
      </c>
      <c r="B717" s="336">
        <v>2021</v>
      </c>
      <c r="C717" s="59" t="s">
        <v>86</v>
      </c>
      <c r="D717" s="59">
        <v>261</v>
      </c>
      <c r="E717" s="493" t="s">
        <v>110</v>
      </c>
      <c r="F717" s="29">
        <v>1</v>
      </c>
      <c r="G717" s="9">
        <v>1</v>
      </c>
      <c r="H717" s="9">
        <v>1</v>
      </c>
      <c r="I717" s="9">
        <v>2</v>
      </c>
      <c r="J717" s="43">
        <v>2</v>
      </c>
      <c r="K717" s="260">
        <f t="shared" si="11"/>
        <v>0.35859414261160716</v>
      </c>
      <c r="L717" s="163" t="s">
        <v>111</v>
      </c>
    </row>
    <row r="718" spans="1:12">
      <c r="A718" s="34" t="s">
        <v>114</v>
      </c>
      <c r="B718" s="336">
        <v>2021</v>
      </c>
      <c r="C718" s="59" t="s">
        <v>87</v>
      </c>
      <c r="D718" s="59">
        <v>371</v>
      </c>
      <c r="E718" s="493" t="s">
        <v>110</v>
      </c>
      <c r="F718" s="29">
        <v>1</v>
      </c>
      <c r="G718" s="9">
        <v>1</v>
      </c>
      <c r="H718" s="9">
        <v>1</v>
      </c>
      <c r="I718" s="9">
        <v>2</v>
      </c>
      <c r="J718" s="43">
        <v>2</v>
      </c>
      <c r="K718" s="260">
        <f t="shared" si="11"/>
        <v>0.35859414261160716</v>
      </c>
      <c r="L718" s="163" t="s">
        <v>111</v>
      </c>
    </row>
    <row r="719" spans="1:12">
      <c r="A719" s="34" t="s">
        <v>114</v>
      </c>
      <c r="B719" s="336">
        <v>2021</v>
      </c>
      <c r="C719" s="59" t="s">
        <v>88</v>
      </c>
      <c r="D719" s="59">
        <v>35</v>
      </c>
      <c r="E719" s="493" t="s">
        <v>110</v>
      </c>
      <c r="F719" s="29">
        <v>1</v>
      </c>
      <c r="G719" s="9">
        <v>1</v>
      </c>
      <c r="H719" s="9">
        <v>1</v>
      </c>
      <c r="I719" s="9">
        <v>2</v>
      </c>
      <c r="J719" s="43">
        <v>2</v>
      </c>
      <c r="K719" s="260">
        <f t="shared" si="11"/>
        <v>0.35859414261160716</v>
      </c>
      <c r="L719" s="163" t="s">
        <v>111</v>
      </c>
    </row>
    <row r="720" spans="1:12">
      <c r="A720" s="34" t="s">
        <v>114</v>
      </c>
      <c r="B720" s="336">
        <v>2021</v>
      </c>
      <c r="C720" s="59" t="s">
        <v>89</v>
      </c>
      <c r="D720" s="59">
        <v>55</v>
      </c>
      <c r="E720" s="493" t="s">
        <v>110</v>
      </c>
      <c r="F720" s="29">
        <v>1</v>
      </c>
      <c r="G720" s="9">
        <v>1</v>
      </c>
      <c r="H720" s="9">
        <v>1</v>
      </c>
      <c r="I720" s="9">
        <v>2</v>
      </c>
      <c r="J720" s="43">
        <v>2</v>
      </c>
      <c r="K720" s="260">
        <f t="shared" si="11"/>
        <v>0.35859414261160716</v>
      </c>
      <c r="L720" s="163" t="s">
        <v>111</v>
      </c>
    </row>
    <row r="721" spans="1:12">
      <c r="A721" s="34" t="s">
        <v>114</v>
      </c>
      <c r="B721" s="336">
        <v>2021</v>
      </c>
      <c r="C721" s="59" t="s">
        <v>90</v>
      </c>
      <c r="D721" s="59">
        <v>198</v>
      </c>
      <c r="E721" s="493" t="s">
        <v>110</v>
      </c>
      <c r="F721" s="29">
        <v>1</v>
      </c>
      <c r="G721" s="9">
        <v>1</v>
      </c>
      <c r="H721" s="9">
        <v>1</v>
      </c>
      <c r="I721" s="9">
        <v>2</v>
      </c>
      <c r="J721" s="43">
        <v>2</v>
      </c>
      <c r="K721" s="260">
        <f t="shared" si="11"/>
        <v>0.35859414261160716</v>
      </c>
      <c r="L721" s="163" t="s">
        <v>111</v>
      </c>
    </row>
    <row r="722" spans="1:12">
      <c r="A722" s="34" t="s">
        <v>114</v>
      </c>
      <c r="B722" s="336">
        <v>2021</v>
      </c>
      <c r="C722" s="59" t="s">
        <v>91</v>
      </c>
      <c r="D722" s="59">
        <v>124</v>
      </c>
      <c r="E722" s="493" t="s">
        <v>110</v>
      </c>
      <c r="F722" s="29">
        <v>1</v>
      </c>
      <c r="G722" s="9">
        <v>1</v>
      </c>
      <c r="H722" s="9">
        <v>1</v>
      </c>
      <c r="I722" s="9">
        <v>2</v>
      </c>
      <c r="J722" s="43">
        <v>2</v>
      </c>
      <c r="K722" s="260">
        <f t="shared" si="11"/>
        <v>0.35859414261160716</v>
      </c>
      <c r="L722" s="163" t="s">
        <v>111</v>
      </c>
    </row>
    <row r="723" spans="1:12">
      <c r="A723" s="34" t="s">
        <v>114</v>
      </c>
      <c r="B723" s="336">
        <v>2021</v>
      </c>
      <c r="C723" s="59" t="s">
        <v>94</v>
      </c>
      <c r="D723" s="59">
        <v>18</v>
      </c>
      <c r="E723" s="493" t="s">
        <v>110</v>
      </c>
      <c r="F723" s="29">
        <v>1</v>
      </c>
      <c r="G723" s="9">
        <v>1</v>
      </c>
      <c r="H723" s="9">
        <v>1</v>
      </c>
      <c r="I723" s="9">
        <v>2</v>
      </c>
      <c r="J723" s="43">
        <v>2</v>
      </c>
      <c r="K723" s="260">
        <f t="shared" si="11"/>
        <v>0.35859414261160716</v>
      </c>
      <c r="L723" s="163" t="s">
        <v>111</v>
      </c>
    </row>
    <row r="724" spans="1:12">
      <c r="A724" s="34" t="s">
        <v>114</v>
      </c>
      <c r="B724" s="336">
        <v>2021</v>
      </c>
      <c r="C724" s="59" t="s">
        <v>96</v>
      </c>
      <c r="D724" s="59">
        <v>79</v>
      </c>
      <c r="E724" s="493" t="s">
        <v>110</v>
      </c>
      <c r="F724" s="29">
        <v>1</v>
      </c>
      <c r="G724" s="9">
        <v>1</v>
      </c>
      <c r="H724" s="9">
        <v>1</v>
      </c>
      <c r="I724" s="9">
        <v>2</v>
      </c>
      <c r="J724" s="43">
        <v>2</v>
      </c>
      <c r="K724" s="260">
        <f t="shared" si="11"/>
        <v>0.35859414261160716</v>
      </c>
      <c r="L724" s="163" t="s">
        <v>111</v>
      </c>
    </row>
    <row r="725" spans="1:12">
      <c r="A725" s="34" t="s">
        <v>114</v>
      </c>
      <c r="B725" s="336">
        <v>2021</v>
      </c>
      <c r="C725" s="59" t="s">
        <v>97</v>
      </c>
      <c r="D725" s="59">
        <v>243</v>
      </c>
      <c r="E725" s="493" t="s">
        <v>110</v>
      </c>
      <c r="F725" s="29">
        <v>1</v>
      </c>
      <c r="G725" s="9">
        <v>1</v>
      </c>
      <c r="H725" s="9">
        <v>1</v>
      </c>
      <c r="I725" s="9">
        <v>2</v>
      </c>
      <c r="J725" s="43">
        <v>2</v>
      </c>
      <c r="K725" s="260">
        <f t="shared" si="11"/>
        <v>0.35859414261160716</v>
      </c>
      <c r="L725" s="163" t="s">
        <v>111</v>
      </c>
    </row>
    <row r="726" spans="1:12">
      <c r="A726" s="34" t="s">
        <v>114</v>
      </c>
      <c r="B726" s="336">
        <v>2021</v>
      </c>
      <c r="C726" s="59" t="s">
        <v>95</v>
      </c>
      <c r="D726" s="59">
        <v>92</v>
      </c>
      <c r="E726" s="493" t="s">
        <v>110</v>
      </c>
      <c r="F726" s="29">
        <v>1</v>
      </c>
      <c r="G726" s="9">
        <v>1</v>
      </c>
      <c r="H726" s="9">
        <v>1</v>
      </c>
      <c r="I726" s="9">
        <v>2</v>
      </c>
      <c r="J726" s="43">
        <v>2</v>
      </c>
      <c r="K726" s="260">
        <f t="shared" si="11"/>
        <v>0.35859414261160716</v>
      </c>
      <c r="L726" s="163" t="s">
        <v>111</v>
      </c>
    </row>
    <row r="727" spans="1:12">
      <c r="A727" s="34" t="s">
        <v>114</v>
      </c>
      <c r="B727" s="336">
        <v>2021</v>
      </c>
      <c r="C727" s="59" t="s">
        <v>93</v>
      </c>
      <c r="D727" s="59">
        <v>50</v>
      </c>
      <c r="E727" s="493" t="s">
        <v>110</v>
      </c>
      <c r="F727" s="29">
        <v>1</v>
      </c>
      <c r="G727" s="9">
        <v>1</v>
      </c>
      <c r="H727" s="9">
        <v>1</v>
      </c>
      <c r="I727" s="9">
        <v>2</v>
      </c>
      <c r="J727" s="43">
        <v>2</v>
      </c>
      <c r="K727" s="260">
        <f t="shared" si="11"/>
        <v>0.35859414261160716</v>
      </c>
      <c r="L727" s="163" t="s">
        <v>111</v>
      </c>
    </row>
    <row r="728" spans="1:12" ht="15" thickBot="1">
      <c r="A728" s="149" t="s">
        <v>114</v>
      </c>
      <c r="B728" s="639">
        <v>2021</v>
      </c>
      <c r="C728" s="798" t="s">
        <v>98</v>
      </c>
      <c r="D728" s="798">
        <v>1446</v>
      </c>
      <c r="E728" s="779" t="s">
        <v>110</v>
      </c>
      <c r="F728" s="154">
        <v>1</v>
      </c>
      <c r="G728" s="119">
        <v>1</v>
      </c>
      <c r="H728" s="119">
        <v>1</v>
      </c>
      <c r="I728" s="119">
        <v>2</v>
      </c>
      <c r="J728" s="155">
        <v>2</v>
      </c>
      <c r="K728" s="287">
        <f t="shared" si="11"/>
        <v>0.35859414261160716</v>
      </c>
      <c r="L728" s="795" t="s">
        <v>111</v>
      </c>
    </row>
    <row r="729" spans="1:12">
      <c r="A729" s="33" t="s">
        <v>37</v>
      </c>
      <c r="B729" s="39">
        <v>2016</v>
      </c>
      <c r="C729" s="799" t="s">
        <v>92</v>
      </c>
      <c r="D729" s="33">
        <v>18</v>
      </c>
      <c r="E729" s="150" t="s">
        <v>115</v>
      </c>
      <c r="F729" s="28">
        <v>1</v>
      </c>
      <c r="G729" s="11">
        <v>1</v>
      </c>
      <c r="H729" s="11">
        <v>1</v>
      </c>
      <c r="I729" s="11">
        <v>1</v>
      </c>
      <c r="J729" s="42">
        <v>1</v>
      </c>
      <c r="K729" s="259">
        <f t="shared" si="11"/>
        <v>0.13309242924026707</v>
      </c>
      <c r="L729" s="162"/>
    </row>
    <row r="730" spans="1:12">
      <c r="A730" s="34" t="s">
        <v>37</v>
      </c>
      <c r="B730" s="40">
        <v>2020</v>
      </c>
      <c r="C730" s="59" t="s">
        <v>92</v>
      </c>
      <c r="D730" s="790">
        <f>Intentionally_produced_MPs!K106</f>
        <v>12.105</v>
      </c>
      <c r="E730" s="151" t="s">
        <v>115</v>
      </c>
      <c r="F730" s="29">
        <v>1</v>
      </c>
      <c r="G730" s="9">
        <v>1</v>
      </c>
      <c r="H730" s="9">
        <v>1</v>
      </c>
      <c r="I730" s="9">
        <v>1</v>
      </c>
      <c r="J730" s="43">
        <v>1</v>
      </c>
      <c r="K730" s="260">
        <f t="shared" si="11"/>
        <v>0.13309242924026707</v>
      </c>
      <c r="L730" s="163"/>
    </row>
    <row r="731" spans="1:12">
      <c r="A731" s="34" t="s">
        <v>37</v>
      </c>
      <c r="B731" s="40">
        <v>2019</v>
      </c>
      <c r="C731" s="59" t="s">
        <v>92</v>
      </c>
      <c r="D731" s="34">
        <v>11.4</v>
      </c>
      <c r="E731" s="151" t="s">
        <v>115</v>
      </c>
      <c r="F731" s="29">
        <v>1</v>
      </c>
      <c r="G731" s="9">
        <v>1</v>
      </c>
      <c r="H731" s="9">
        <v>1</v>
      </c>
      <c r="I731" s="9">
        <v>1</v>
      </c>
      <c r="J731" s="43">
        <v>1</v>
      </c>
      <c r="K731" s="260">
        <f t="shared" si="11"/>
        <v>0.13309242924026707</v>
      </c>
      <c r="L731" s="163"/>
    </row>
    <row r="732" spans="1:12">
      <c r="A732" s="34" t="s">
        <v>37</v>
      </c>
      <c r="B732" s="40">
        <v>2021</v>
      </c>
      <c r="C732" s="59" t="s">
        <v>92</v>
      </c>
      <c r="D732" s="34">
        <v>10.331</v>
      </c>
      <c r="E732" s="151" t="s">
        <v>115</v>
      </c>
      <c r="F732" s="29">
        <v>1</v>
      </c>
      <c r="G732" s="9">
        <v>1</v>
      </c>
      <c r="H732" s="9">
        <v>1</v>
      </c>
      <c r="I732" s="9">
        <v>1</v>
      </c>
      <c r="J732" s="43">
        <v>1</v>
      </c>
      <c r="K732" s="260">
        <f t="shared" si="11"/>
        <v>0.13309242924026707</v>
      </c>
      <c r="L732" s="163"/>
    </row>
    <row r="733" spans="1:12">
      <c r="A733" s="34" t="s">
        <v>37</v>
      </c>
      <c r="B733" s="40">
        <v>2020</v>
      </c>
      <c r="C733" s="34" t="s">
        <v>93</v>
      </c>
      <c r="D733" s="790">
        <f>Intentionally_produced_MPs!L106</f>
        <v>0.88557259919129572</v>
      </c>
      <c r="E733" s="151" t="s">
        <v>116</v>
      </c>
      <c r="F733" s="29">
        <v>2</v>
      </c>
      <c r="G733" s="9">
        <v>1</v>
      </c>
      <c r="H733" s="9">
        <v>3</v>
      </c>
      <c r="I733" s="9">
        <v>1</v>
      </c>
      <c r="J733" s="43">
        <v>2</v>
      </c>
      <c r="K733" s="260">
        <f t="shared" si="11"/>
        <v>0.48935255543384243</v>
      </c>
      <c r="L733" s="163"/>
    </row>
    <row r="734" spans="1:12">
      <c r="A734" s="34" t="s">
        <v>37</v>
      </c>
      <c r="B734" s="40">
        <v>2020</v>
      </c>
      <c r="C734" s="59" t="s">
        <v>98</v>
      </c>
      <c r="D734" s="790">
        <f>Intentionally_produced_MPs!Q106</f>
        <v>0.61395725887587771</v>
      </c>
      <c r="E734" s="151" t="s">
        <v>116</v>
      </c>
      <c r="F734" s="29">
        <v>2</v>
      </c>
      <c r="G734" s="9">
        <v>1</v>
      </c>
      <c r="H734" s="9">
        <v>3</v>
      </c>
      <c r="I734" s="9">
        <v>1</v>
      </c>
      <c r="J734" s="43">
        <v>2</v>
      </c>
      <c r="K734" s="260">
        <f t="shared" si="11"/>
        <v>0.48935255543384243</v>
      </c>
      <c r="L734" s="163"/>
    </row>
    <row r="735" spans="1:12">
      <c r="A735" s="34" t="s">
        <v>37</v>
      </c>
      <c r="B735" s="40">
        <v>2020</v>
      </c>
      <c r="C735" s="34" t="s">
        <v>86</v>
      </c>
      <c r="D735" s="790">
        <f>Intentionally_produced_MPs!E106</f>
        <v>0.47206704477479411</v>
      </c>
      <c r="E735" s="151" t="s">
        <v>116</v>
      </c>
      <c r="F735" s="29">
        <v>2</v>
      </c>
      <c r="G735" s="9">
        <v>1</v>
      </c>
      <c r="H735" s="9">
        <v>3</v>
      </c>
      <c r="I735" s="9">
        <v>1</v>
      </c>
      <c r="J735" s="43">
        <v>2</v>
      </c>
      <c r="K735" s="260">
        <f t="shared" si="11"/>
        <v>0.48935255543384243</v>
      </c>
      <c r="L735" s="163"/>
    </row>
    <row r="736" spans="1:12">
      <c r="A736" s="34" t="s">
        <v>37</v>
      </c>
      <c r="B736" s="40">
        <v>2020</v>
      </c>
      <c r="C736" s="34" t="s">
        <v>95</v>
      </c>
      <c r="D736" s="790">
        <f>Intentionally_produced_MPs!N106</f>
        <v>9.4626657606709394E-2</v>
      </c>
      <c r="E736" s="151" t="s">
        <v>116</v>
      </c>
      <c r="F736" s="29">
        <v>2</v>
      </c>
      <c r="G736" s="9">
        <v>1</v>
      </c>
      <c r="H736" s="9">
        <v>3</v>
      </c>
      <c r="I736" s="9">
        <v>1</v>
      </c>
      <c r="J736" s="43">
        <v>2</v>
      </c>
      <c r="K736" s="260">
        <f t="shared" si="11"/>
        <v>0.48935255543384243</v>
      </c>
      <c r="L736" s="163"/>
    </row>
    <row r="737" spans="1:12">
      <c r="A737" s="34" t="s">
        <v>37</v>
      </c>
      <c r="B737" s="40">
        <v>2020</v>
      </c>
      <c r="C737" s="34" t="s">
        <v>97</v>
      </c>
      <c r="D737" s="790">
        <f>Intentionally_produced_MPs!P106</f>
        <v>9.4091020248298574E-2</v>
      </c>
      <c r="E737" s="151" t="s">
        <v>116</v>
      </c>
      <c r="F737" s="29">
        <v>2</v>
      </c>
      <c r="G737" s="9">
        <v>1</v>
      </c>
      <c r="H737" s="9">
        <v>3</v>
      </c>
      <c r="I737" s="9">
        <v>1</v>
      </c>
      <c r="J737" s="43">
        <v>2</v>
      </c>
      <c r="K737" s="260">
        <f t="shared" si="11"/>
        <v>0.48935255543384243</v>
      </c>
      <c r="L737" s="163"/>
    </row>
    <row r="738" spans="1:12">
      <c r="A738" s="34" t="s">
        <v>37</v>
      </c>
      <c r="B738" s="40">
        <v>2020</v>
      </c>
      <c r="C738" s="34" t="s">
        <v>85</v>
      </c>
      <c r="D738" s="790">
        <f>Intentionally_produced_MPs!D106</f>
        <v>7.5513119408761431E-2</v>
      </c>
      <c r="E738" s="151" t="s">
        <v>116</v>
      </c>
      <c r="F738" s="29">
        <v>2</v>
      </c>
      <c r="G738" s="9">
        <v>1</v>
      </c>
      <c r="H738" s="9">
        <v>3</v>
      </c>
      <c r="I738" s="9">
        <v>1</v>
      </c>
      <c r="J738" s="43">
        <v>2</v>
      </c>
      <c r="K738" s="260">
        <f t="shared" si="11"/>
        <v>0.48935255543384243</v>
      </c>
      <c r="L738" s="163"/>
    </row>
    <row r="739" spans="1:12">
      <c r="A739" s="34" t="s">
        <v>37</v>
      </c>
      <c r="B739" s="40">
        <v>2020</v>
      </c>
      <c r="C739" s="34" t="s">
        <v>90</v>
      </c>
      <c r="D739" s="790">
        <f>Intentionally_produced_MPs!I106</f>
        <v>7.5513119408761431E-2</v>
      </c>
      <c r="E739" s="151" t="s">
        <v>116</v>
      </c>
      <c r="F739" s="29">
        <v>2</v>
      </c>
      <c r="G739" s="9">
        <v>1</v>
      </c>
      <c r="H739" s="9">
        <v>3</v>
      </c>
      <c r="I739" s="9">
        <v>1</v>
      </c>
      <c r="J739" s="43">
        <v>2</v>
      </c>
      <c r="K739" s="260">
        <f t="shared" si="11"/>
        <v>0.48935255543384243</v>
      </c>
      <c r="L739" s="163"/>
    </row>
    <row r="740" spans="1:12">
      <c r="A740" s="34" t="s">
        <v>37</v>
      </c>
      <c r="B740" s="40">
        <v>2020</v>
      </c>
      <c r="C740" s="34" t="s">
        <v>87</v>
      </c>
      <c r="D740" s="790">
        <f>Intentionally_produced_MPs!F106</f>
        <v>6.7122772807787945E-2</v>
      </c>
      <c r="E740" s="151" t="s">
        <v>116</v>
      </c>
      <c r="F740" s="29">
        <v>2</v>
      </c>
      <c r="G740" s="9">
        <v>1</v>
      </c>
      <c r="H740" s="9">
        <v>3</v>
      </c>
      <c r="I740" s="9">
        <v>1</v>
      </c>
      <c r="J740" s="43">
        <v>2</v>
      </c>
      <c r="K740" s="260">
        <f t="shared" si="11"/>
        <v>0.48935255543384243</v>
      </c>
      <c r="L740" s="163"/>
    </row>
    <row r="741" spans="1:12" ht="15" thickBot="1">
      <c r="A741" s="35" t="s">
        <v>37</v>
      </c>
      <c r="B741" s="41">
        <v>2020</v>
      </c>
      <c r="C741" s="35" t="s">
        <v>91</v>
      </c>
      <c r="D741" s="793">
        <f>Intentionally_produced_MPs!J106</f>
        <v>2.6968247440510646E-2</v>
      </c>
      <c r="E741" s="152" t="s">
        <v>116</v>
      </c>
      <c r="F741" s="30">
        <v>2</v>
      </c>
      <c r="G741" s="12">
        <v>1</v>
      </c>
      <c r="H741" s="12">
        <v>3</v>
      </c>
      <c r="I741" s="12">
        <v>1</v>
      </c>
      <c r="J741" s="44">
        <v>2</v>
      </c>
      <c r="K741" s="261">
        <f t="shared" si="11"/>
        <v>0.48935255543384243</v>
      </c>
      <c r="L741" s="164"/>
    </row>
    <row r="742" spans="1:12">
      <c r="A742" s="60" t="s">
        <v>39</v>
      </c>
      <c r="B742" s="161">
        <v>2020</v>
      </c>
      <c r="C742" s="60" t="s">
        <v>85</v>
      </c>
      <c r="D742" s="792">
        <f>Packaging!E19</f>
        <v>179.20538768005665</v>
      </c>
      <c r="E742" s="230" t="s">
        <v>117</v>
      </c>
      <c r="F742" s="656">
        <v>1</v>
      </c>
      <c r="G742" s="118">
        <v>1</v>
      </c>
      <c r="H742" s="118">
        <v>2</v>
      </c>
      <c r="I742" s="118">
        <v>1</v>
      </c>
      <c r="J742" s="657">
        <v>2</v>
      </c>
      <c r="K742" s="570">
        <f t="shared" si="11"/>
        <v>0.35859414261160716</v>
      </c>
      <c r="L742" s="649"/>
    </row>
    <row r="743" spans="1:12">
      <c r="A743" s="34" t="str">
        <f>Packaging!U23</f>
        <v>Packaging</v>
      </c>
      <c r="B743" s="40">
        <f>Packaging!V23</f>
        <v>2021</v>
      </c>
      <c r="C743" s="34" t="str">
        <f>Packaging!X23</f>
        <v>LDPE</v>
      </c>
      <c r="D743" s="790">
        <f>Packaging!Y23</f>
        <v>176.5619464740613</v>
      </c>
      <c r="E743" s="151" t="s">
        <v>117</v>
      </c>
      <c r="F743" s="29">
        <v>1</v>
      </c>
      <c r="G743" s="9">
        <v>1</v>
      </c>
      <c r="H743" s="9">
        <v>2</v>
      </c>
      <c r="I743" s="9">
        <v>1</v>
      </c>
      <c r="J743" s="43">
        <v>2</v>
      </c>
      <c r="K743" s="260">
        <f t="shared" si="11"/>
        <v>0.35859414261160716</v>
      </c>
      <c r="L743" s="163"/>
    </row>
    <row r="744" spans="1:12">
      <c r="A744" s="34" t="str">
        <f>Packaging!U39</f>
        <v>Packaging</v>
      </c>
      <c r="B744" s="40">
        <f>Packaging!V39</f>
        <v>2019</v>
      </c>
      <c r="C744" s="34" t="str">
        <f>Packaging!X39</f>
        <v>LDPE</v>
      </c>
      <c r="D744" s="790">
        <f>Packaging!Y39</f>
        <v>169.17764938027008</v>
      </c>
      <c r="E744" s="151" t="s">
        <v>117</v>
      </c>
      <c r="F744" s="29">
        <v>1</v>
      </c>
      <c r="G744" s="9">
        <v>1</v>
      </c>
      <c r="H744" s="9">
        <v>2</v>
      </c>
      <c r="I744" s="9">
        <v>1</v>
      </c>
      <c r="J744" s="43">
        <v>2</v>
      </c>
      <c r="K744" s="260">
        <f t="shared" si="11"/>
        <v>0.35859414261160716</v>
      </c>
      <c r="L744" s="163"/>
    </row>
    <row r="745" spans="1:12">
      <c r="A745" s="34" t="str">
        <f>Packaging!U47</f>
        <v>Packaging</v>
      </c>
      <c r="B745" s="40">
        <f>Packaging!V47</f>
        <v>2018</v>
      </c>
      <c r="C745" s="34" t="str">
        <f>Packaging!X47</f>
        <v>LDPE</v>
      </c>
      <c r="D745" s="790">
        <f>Packaging!Y47</f>
        <v>169.17764938027008</v>
      </c>
      <c r="E745" s="151" t="s">
        <v>117</v>
      </c>
      <c r="F745" s="29">
        <v>1</v>
      </c>
      <c r="G745" s="9">
        <v>1</v>
      </c>
      <c r="H745" s="9">
        <v>2</v>
      </c>
      <c r="I745" s="9">
        <v>1</v>
      </c>
      <c r="J745" s="43">
        <v>2</v>
      </c>
      <c r="K745" s="260">
        <f t="shared" si="11"/>
        <v>0.35859414261160716</v>
      </c>
      <c r="L745" s="163"/>
    </row>
    <row r="746" spans="1:12">
      <c r="A746" s="34" t="str">
        <f>Packaging!U55</f>
        <v>Packaging</v>
      </c>
      <c r="B746" s="40">
        <f>Packaging!V55</f>
        <v>2017</v>
      </c>
      <c r="C746" s="34" t="str">
        <f>Packaging!X55</f>
        <v>LDPE</v>
      </c>
      <c r="D746" s="790">
        <f>Packaging!Y55</f>
        <v>165.61941966099099</v>
      </c>
      <c r="E746" s="151" t="s">
        <v>117</v>
      </c>
      <c r="F746" s="29">
        <v>1</v>
      </c>
      <c r="G746" s="9">
        <v>1</v>
      </c>
      <c r="H746" s="9">
        <v>2</v>
      </c>
      <c r="I746" s="9">
        <v>1</v>
      </c>
      <c r="J746" s="43">
        <v>2</v>
      </c>
      <c r="K746" s="260">
        <f t="shared" si="11"/>
        <v>0.35859414261160716</v>
      </c>
      <c r="L746" s="163"/>
    </row>
    <row r="747" spans="1:12">
      <c r="A747" s="34" t="s">
        <v>39</v>
      </c>
      <c r="B747" s="40">
        <v>2020</v>
      </c>
      <c r="C747" s="34" t="s">
        <v>87</v>
      </c>
      <c r="D747" s="790">
        <f>Packaging!E21</f>
        <v>116.77935273343896</v>
      </c>
      <c r="E747" s="151" t="s">
        <v>117</v>
      </c>
      <c r="F747" s="29">
        <v>1</v>
      </c>
      <c r="G747" s="9">
        <v>1</v>
      </c>
      <c r="H747" s="9">
        <v>2</v>
      </c>
      <c r="I747" s="9">
        <v>1</v>
      </c>
      <c r="J747" s="43">
        <v>2</v>
      </c>
      <c r="K747" s="260">
        <f t="shared" si="11"/>
        <v>0.35859414261160716</v>
      </c>
      <c r="L747" s="163"/>
    </row>
    <row r="748" spans="1:12">
      <c r="A748" s="34" t="str">
        <f>Packaging!U25</f>
        <v>Packaging</v>
      </c>
      <c r="B748" s="40">
        <f>Packaging!V25</f>
        <v>2021</v>
      </c>
      <c r="C748" s="34" t="str">
        <f>Packaging!X25</f>
        <v>PP</v>
      </c>
      <c r="D748" s="790">
        <f>Packaging!Y25</f>
        <v>115.05675188409299</v>
      </c>
      <c r="E748" s="151" t="s">
        <v>117</v>
      </c>
      <c r="F748" s="29">
        <v>1</v>
      </c>
      <c r="G748" s="9">
        <v>1</v>
      </c>
      <c r="H748" s="9">
        <v>2</v>
      </c>
      <c r="I748" s="9">
        <v>1</v>
      </c>
      <c r="J748" s="43">
        <v>2</v>
      </c>
      <c r="K748" s="260">
        <f t="shared" si="11"/>
        <v>0.35859414261160716</v>
      </c>
      <c r="L748" s="163"/>
    </row>
    <row r="749" spans="1:12">
      <c r="A749" s="34" t="str">
        <f>Packaging!U41</f>
        <v>Packaging</v>
      </c>
      <c r="B749" s="40">
        <f>Packaging!V41</f>
        <v>2019</v>
      </c>
      <c r="C749" s="34" t="str">
        <f>Packaging!X41</f>
        <v>PP</v>
      </c>
      <c r="D749" s="790">
        <f>Packaging!Y41</f>
        <v>110.24476801369778</v>
      </c>
      <c r="E749" s="151" t="s">
        <v>117</v>
      </c>
      <c r="F749" s="29">
        <v>1</v>
      </c>
      <c r="G749" s="9">
        <v>1</v>
      </c>
      <c r="H749" s="9">
        <v>2</v>
      </c>
      <c r="I749" s="9">
        <v>1</v>
      </c>
      <c r="J749" s="43">
        <v>2</v>
      </c>
      <c r="K749" s="260">
        <f t="shared" si="11"/>
        <v>0.35859414261160716</v>
      </c>
      <c r="L749" s="163"/>
    </row>
    <row r="750" spans="1:12">
      <c r="A750" s="34" t="str">
        <f>Packaging!U49</f>
        <v>Packaging</v>
      </c>
      <c r="B750" s="40">
        <f>Packaging!V49</f>
        <v>2018</v>
      </c>
      <c r="C750" s="34" t="str">
        <f>Packaging!X49</f>
        <v>PP</v>
      </c>
      <c r="D750" s="790">
        <f>Packaging!Y49</f>
        <v>110.24476801369778</v>
      </c>
      <c r="E750" s="151" t="s">
        <v>117</v>
      </c>
      <c r="F750" s="29">
        <v>1</v>
      </c>
      <c r="G750" s="9">
        <v>1</v>
      </c>
      <c r="H750" s="9">
        <v>2</v>
      </c>
      <c r="I750" s="9">
        <v>1</v>
      </c>
      <c r="J750" s="43">
        <v>2</v>
      </c>
      <c r="K750" s="260">
        <f t="shared" si="11"/>
        <v>0.35859414261160716</v>
      </c>
      <c r="L750" s="163"/>
    </row>
    <row r="751" spans="1:12">
      <c r="A751" s="34" t="str">
        <f>Packaging!U57</f>
        <v>Packaging</v>
      </c>
      <c r="B751" s="40">
        <f>Packaging!V57</f>
        <v>2017</v>
      </c>
      <c r="C751" s="34" t="str">
        <f>Packaging!X57</f>
        <v>PP</v>
      </c>
      <c r="D751" s="790">
        <f>Packaging!Y57</f>
        <v>107.92604440346705</v>
      </c>
      <c r="E751" s="151" t="s">
        <v>117</v>
      </c>
      <c r="F751" s="29">
        <v>1</v>
      </c>
      <c r="G751" s="9">
        <v>1</v>
      </c>
      <c r="H751" s="9">
        <v>2</v>
      </c>
      <c r="I751" s="9">
        <v>1</v>
      </c>
      <c r="J751" s="43">
        <v>2</v>
      </c>
      <c r="K751" s="260">
        <f t="shared" si="11"/>
        <v>0.35859414261160716</v>
      </c>
      <c r="L751" s="163"/>
    </row>
    <row r="752" spans="1:12">
      <c r="A752" s="34" t="s">
        <v>39</v>
      </c>
      <c r="B752" s="40">
        <v>2020</v>
      </c>
      <c r="C752" s="34" t="s">
        <v>86</v>
      </c>
      <c r="D752" s="790">
        <f>Packaging!E20</f>
        <v>102.02794810331973</v>
      </c>
      <c r="E752" s="151" t="s">
        <v>117</v>
      </c>
      <c r="F752" s="29">
        <v>1</v>
      </c>
      <c r="G752" s="9">
        <v>1</v>
      </c>
      <c r="H752" s="9">
        <v>2</v>
      </c>
      <c r="I752" s="9">
        <v>1</v>
      </c>
      <c r="J752" s="43">
        <v>2</v>
      </c>
      <c r="K752" s="260">
        <f t="shared" si="11"/>
        <v>0.35859414261160716</v>
      </c>
      <c r="L752" s="163"/>
    </row>
    <row r="753" spans="1:12">
      <c r="A753" s="34" t="s">
        <v>39</v>
      </c>
      <c r="B753" s="40">
        <v>2020</v>
      </c>
      <c r="C753" s="34" t="s">
        <v>91</v>
      </c>
      <c r="D753" s="790">
        <f>Packaging!E25</f>
        <v>101.66359214435965</v>
      </c>
      <c r="E753" s="151" t="s">
        <v>117</v>
      </c>
      <c r="F753" s="29">
        <v>1</v>
      </c>
      <c r="G753" s="9">
        <v>1</v>
      </c>
      <c r="H753" s="9">
        <v>2</v>
      </c>
      <c r="I753" s="9">
        <v>1</v>
      </c>
      <c r="J753" s="43">
        <v>2</v>
      </c>
      <c r="K753" s="260">
        <f t="shared" si="11"/>
        <v>0.35859414261160716</v>
      </c>
      <c r="L753" s="163"/>
    </row>
    <row r="754" spans="1:12">
      <c r="A754" s="34" t="str">
        <f>Packaging!U24</f>
        <v>Packaging</v>
      </c>
      <c r="B754" s="40">
        <f>Packaging!V24</f>
        <v>2021</v>
      </c>
      <c r="C754" s="34" t="str">
        <f>Packaging!X24</f>
        <v>HDPE</v>
      </c>
      <c r="D754" s="790">
        <f>Packaging!Y24</f>
        <v>100.52294378581011</v>
      </c>
      <c r="E754" s="151" t="s">
        <v>117</v>
      </c>
      <c r="F754" s="29">
        <v>1</v>
      </c>
      <c r="G754" s="9">
        <v>1</v>
      </c>
      <c r="H754" s="9">
        <v>2</v>
      </c>
      <c r="I754" s="9">
        <v>1</v>
      </c>
      <c r="J754" s="43">
        <v>2</v>
      </c>
      <c r="K754" s="260">
        <f t="shared" si="11"/>
        <v>0.35859414261160716</v>
      </c>
      <c r="L754" s="163"/>
    </row>
    <row r="755" spans="1:12">
      <c r="A755" s="34" t="str">
        <f>Packaging!U29</f>
        <v>Packaging</v>
      </c>
      <c r="B755" s="40">
        <f>Packaging!V29</f>
        <v>2021</v>
      </c>
      <c r="C755" s="34" t="str">
        <f>Packaging!X29</f>
        <v>PET</v>
      </c>
      <c r="D755" s="790">
        <f>Packaging!Y29</f>
        <v>100.1639624060858</v>
      </c>
      <c r="E755" s="151" t="s">
        <v>117</v>
      </c>
      <c r="F755" s="29">
        <v>1</v>
      </c>
      <c r="G755" s="9">
        <v>1</v>
      </c>
      <c r="H755" s="9">
        <v>2</v>
      </c>
      <c r="I755" s="9">
        <v>1</v>
      </c>
      <c r="J755" s="43">
        <v>2</v>
      </c>
      <c r="K755" s="260">
        <f t="shared" si="11"/>
        <v>0.35859414261160716</v>
      </c>
      <c r="L755" s="163"/>
    </row>
    <row r="756" spans="1:12">
      <c r="A756" s="34" t="str">
        <f>Packaging!U40</f>
        <v>Packaging</v>
      </c>
      <c r="B756" s="40">
        <f>Packaging!V40</f>
        <v>2019</v>
      </c>
      <c r="C756" s="34" t="str">
        <f>Packaging!X40</f>
        <v>HDPE</v>
      </c>
      <c r="D756" s="790">
        <f>Packaging!Y40</f>
        <v>96.318802992845164</v>
      </c>
      <c r="E756" s="151" t="s">
        <v>117</v>
      </c>
      <c r="F756" s="29">
        <v>1</v>
      </c>
      <c r="G756" s="9">
        <v>1</v>
      </c>
      <c r="H756" s="9">
        <v>2</v>
      </c>
      <c r="I756" s="9">
        <v>1</v>
      </c>
      <c r="J756" s="43">
        <v>2</v>
      </c>
      <c r="K756" s="260">
        <f t="shared" si="11"/>
        <v>0.35859414261160716</v>
      </c>
      <c r="L756" s="163"/>
    </row>
    <row r="757" spans="1:12">
      <c r="A757" s="34" t="str">
        <f>Packaging!U48</f>
        <v>Packaging</v>
      </c>
      <c r="B757" s="40">
        <f>Packaging!V48</f>
        <v>2018</v>
      </c>
      <c r="C757" s="34" t="str">
        <f>Packaging!X48</f>
        <v>HDPE</v>
      </c>
      <c r="D757" s="790">
        <f>Packaging!Y48</f>
        <v>96.318802992845164</v>
      </c>
      <c r="E757" s="151" t="s">
        <v>117</v>
      </c>
      <c r="F757" s="29">
        <v>1</v>
      </c>
      <c r="G757" s="9">
        <v>1</v>
      </c>
      <c r="H757" s="9">
        <v>2</v>
      </c>
      <c r="I757" s="9">
        <v>1</v>
      </c>
      <c r="J757" s="43">
        <v>2</v>
      </c>
      <c r="K757" s="260">
        <f t="shared" si="11"/>
        <v>0.35859414261160716</v>
      </c>
      <c r="L757" s="163"/>
    </row>
    <row r="758" spans="1:12">
      <c r="A758" s="34" t="str">
        <f>Packaging!U45</f>
        <v>Packaging</v>
      </c>
      <c r="B758" s="40">
        <f>Packaging!V45</f>
        <v>2019</v>
      </c>
      <c r="C758" s="34" t="str">
        <f>Packaging!X45</f>
        <v>PET</v>
      </c>
      <c r="D758" s="790">
        <f>Packaging!Y45</f>
        <v>95.974835183213173</v>
      </c>
      <c r="E758" s="151" t="s">
        <v>117</v>
      </c>
      <c r="F758" s="29">
        <v>1</v>
      </c>
      <c r="G758" s="9">
        <v>1</v>
      </c>
      <c r="H758" s="9">
        <v>2</v>
      </c>
      <c r="I758" s="9">
        <v>1</v>
      </c>
      <c r="J758" s="43">
        <v>2</v>
      </c>
      <c r="K758" s="260">
        <f t="shared" si="11"/>
        <v>0.35859414261160716</v>
      </c>
      <c r="L758" s="163"/>
    </row>
    <row r="759" spans="1:12">
      <c r="A759" s="34" t="str">
        <f>Packaging!U53</f>
        <v>Packaging</v>
      </c>
      <c r="B759" s="40">
        <f>Packaging!V53</f>
        <v>2018</v>
      </c>
      <c r="C759" s="34" t="str">
        <f>Packaging!X53</f>
        <v>PET</v>
      </c>
      <c r="D759" s="790">
        <f>Packaging!Y53</f>
        <v>95.974835183213173</v>
      </c>
      <c r="E759" s="151" t="s">
        <v>117</v>
      </c>
      <c r="F759" s="29">
        <v>1</v>
      </c>
      <c r="G759" s="9">
        <v>1</v>
      </c>
      <c r="H759" s="9">
        <v>2</v>
      </c>
      <c r="I759" s="9">
        <v>1</v>
      </c>
      <c r="J759" s="43">
        <v>2</v>
      </c>
      <c r="K759" s="260">
        <f t="shared" si="11"/>
        <v>0.35859414261160716</v>
      </c>
      <c r="L759" s="163"/>
    </row>
    <row r="760" spans="1:12">
      <c r="A760" s="34" t="str">
        <f>Packaging!U56</f>
        <v>Packaging</v>
      </c>
      <c r="B760" s="40">
        <f>Packaging!V56</f>
        <v>2017</v>
      </c>
      <c r="C760" s="34" t="str">
        <f>Packaging!X56</f>
        <v>HDPE</v>
      </c>
      <c r="D760" s="790">
        <f>Packaging!Y56</f>
        <v>94.292977308483216</v>
      </c>
      <c r="E760" s="151" t="s">
        <v>117</v>
      </c>
      <c r="F760" s="29">
        <v>1</v>
      </c>
      <c r="G760" s="9">
        <v>1</v>
      </c>
      <c r="H760" s="9">
        <v>2</v>
      </c>
      <c r="I760" s="9">
        <v>1</v>
      </c>
      <c r="J760" s="43">
        <v>2</v>
      </c>
      <c r="K760" s="260">
        <f t="shared" si="11"/>
        <v>0.35859414261160716</v>
      </c>
      <c r="L760" s="163"/>
    </row>
    <row r="761" spans="1:12">
      <c r="A761" s="34" t="str">
        <f>Packaging!U61</f>
        <v>Packaging</v>
      </c>
      <c r="B761" s="40">
        <f>Packaging!V61</f>
        <v>2017</v>
      </c>
      <c r="C761" s="34" t="str">
        <f>Packaging!X61</f>
        <v>PET</v>
      </c>
      <c r="D761" s="790">
        <f>Packaging!Y61</f>
        <v>93.956244003451516</v>
      </c>
      <c r="E761" s="151" t="s">
        <v>117</v>
      </c>
      <c r="F761" s="29">
        <v>1</v>
      </c>
      <c r="G761" s="9">
        <v>1</v>
      </c>
      <c r="H761" s="9">
        <v>2</v>
      </c>
      <c r="I761" s="9">
        <v>1</v>
      </c>
      <c r="J761" s="43">
        <v>2</v>
      </c>
      <c r="K761" s="260">
        <f t="shared" si="11"/>
        <v>0.35859414261160716</v>
      </c>
      <c r="L761" s="163"/>
    </row>
    <row r="762" spans="1:12">
      <c r="A762" s="34" t="s">
        <v>39</v>
      </c>
      <c r="B762" s="40">
        <v>2020</v>
      </c>
      <c r="C762" s="34" t="s">
        <v>88</v>
      </c>
      <c r="D762" s="790">
        <f>Packaging!E22</f>
        <v>20.887643454491393</v>
      </c>
      <c r="E762" s="151" t="s">
        <v>117</v>
      </c>
      <c r="F762" s="29">
        <v>1</v>
      </c>
      <c r="G762" s="9">
        <v>1</v>
      </c>
      <c r="H762" s="9">
        <v>2</v>
      </c>
      <c r="I762" s="9">
        <v>1</v>
      </c>
      <c r="J762" s="43">
        <v>2</v>
      </c>
      <c r="K762" s="260">
        <f t="shared" si="11"/>
        <v>0.35859414261160716</v>
      </c>
      <c r="L762" s="163"/>
    </row>
    <row r="763" spans="1:12">
      <c r="A763" s="34" t="str">
        <f>Packaging!U26</f>
        <v>Packaging</v>
      </c>
      <c r="B763" s="40">
        <f>Packaging!V26</f>
        <v>2021</v>
      </c>
      <c r="C763" s="34" t="str">
        <f>Packaging!X26</f>
        <v>PS</v>
      </c>
      <c r="D763" s="790">
        <f>Packaging!Y26</f>
        <v>20.579531861873875</v>
      </c>
      <c r="E763" s="151" t="s">
        <v>117</v>
      </c>
      <c r="F763" s="29">
        <v>1</v>
      </c>
      <c r="G763" s="9">
        <v>1</v>
      </c>
      <c r="H763" s="9">
        <v>2</v>
      </c>
      <c r="I763" s="9">
        <v>1</v>
      </c>
      <c r="J763" s="43">
        <v>2</v>
      </c>
      <c r="K763" s="260">
        <f t="shared" si="11"/>
        <v>0.35859414261160716</v>
      </c>
      <c r="L763" s="163"/>
    </row>
    <row r="764" spans="1:12">
      <c r="A764" s="34" t="str">
        <f>Packaging!U42</f>
        <v>Packaging</v>
      </c>
      <c r="B764" s="40">
        <f>Packaging!V42</f>
        <v>2019</v>
      </c>
      <c r="C764" s="34" t="str">
        <f>Packaging!X42</f>
        <v>PS</v>
      </c>
      <c r="D764" s="790">
        <f>Packaging!Y42</f>
        <v>19.71884030090072</v>
      </c>
      <c r="E764" s="151" t="s">
        <v>117</v>
      </c>
      <c r="F764" s="29">
        <v>1</v>
      </c>
      <c r="G764" s="9">
        <v>1</v>
      </c>
      <c r="H764" s="9">
        <v>2</v>
      </c>
      <c r="I764" s="9">
        <v>1</v>
      </c>
      <c r="J764" s="43">
        <v>2</v>
      </c>
      <c r="K764" s="260">
        <f t="shared" si="11"/>
        <v>0.35859414261160716</v>
      </c>
      <c r="L764" s="163"/>
    </row>
    <row r="765" spans="1:12">
      <c r="A765" s="34" t="str">
        <f>Packaging!U50</f>
        <v>Packaging</v>
      </c>
      <c r="B765" s="40">
        <f>Packaging!V50</f>
        <v>2018</v>
      </c>
      <c r="C765" s="34" t="str">
        <f>Packaging!X50</f>
        <v>PS</v>
      </c>
      <c r="D765" s="790">
        <f>Packaging!Y50</f>
        <v>19.71884030090072</v>
      </c>
      <c r="E765" s="151" t="s">
        <v>117</v>
      </c>
      <c r="F765" s="29">
        <v>1</v>
      </c>
      <c r="G765" s="9">
        <v>1</v>
      </c>
      <c r="H765" s="9">
        <v>2</v>
      </c>
      <c r="I765" s="9">
        <v>1</v>
      </c>
      <c r="J765" s="43">
        <v>2</v>
      </c>
      <c r="K765" s="260">
        <f t="shared" ref="K765:K828" si="12">IF( OR( ISBLANK(F765),ISBLANK(G765), ISBLANK(H765), ISBLANK(I765), ISBLANK(J765) ), "", 1.5*SQRT(   EXP(2.21*(F765-1)) + EXP(2.21*(G765-1)) + EXP(2.21*(H765-1)) + EXP(2.21*(I765-1)) + EXP(2.21*J765)   )/100*2.45 )</f>
        <v>0.35859414261160716</v>
      </c>
      <c r="L765" s="163"/>
    </row>
    <row r="766" spans="1:12">
      <c r="A766" s="34" t="str">
        <f>Packaging!U58</f>
        <v>Packaging</v>
      </c>
      <c r="B766" s="40">
        <f>Packaging!V58</f>
        <v>2017</v>
      </c>
      <c r="C766" s="34" t="str">
        <f>Packaging!X58</f>
        <v>PS</v>
      </c>
      <c r="D766" s="790">
        <f>Packaging!Y58</f>
        <v>19.304103698013705</v>
      </c>
      <c r="E766" s="151" t="s">
        <v>117</v>
      </c>
      <c r="F766" s="29">
        <v>1</v>
      </c>
      <c r="G766" s="9">
        <v>1</v>
      </c>
      <c r="H766" s="9">
        <v>2</v>
      </c>
      <c r="I766" s="9">
        <v>1</v>
      </c>
      <c r="J766" s="43">
        <v>2</v>
      </c>
      <c r="K766" s="260">
        <f t="shared" si="12"/>
        <v>0.35859414261160716</v>
      </c>
      <c r="L766" s="163"/>
    </row>
    <row r="767" spans="1:12">
      <c r="A767" s="34" t="s">
        <v>39</v>
      </c>
      <c r="B767" s="40">
        <v>2020</v>
      </c>
      <c r="C767" s="34" t="s">
        <v>98</v>
      </c>
      <c r="D767" s="790">
        <f>Packaging!E26</f>
        <v>14.06772703280042</v>
      </c>
      <c r="E767" s="151" t="s">
        <v>117</v>
      </c>
      <c r="F767" s="29">
        <v>1</v>
      </c>
      <c r="G767" s="9">
        <v>1</v>
      </c>
      <c r="H767" s="9">
        <v>2</v>
      </c>
      <c r="I767" s="9">
        <v>1</v>
      </c>
      <c r="J767" s="43">
        <v>2</v>
      </c>
      <c r="K767" s="260">
        <f t="shared" si="12"/>
        <v>0.35859414261160716</v>
      </c>
      <c r="L767" s="163"/>
    </row>
    <row r="768" spans="1:12">
      <c r="A768" s="34" t="str">
        <f>Packaging!U30</f>
        <v>Packaging</v>
      </c>
      <c r="B768" s="40">
        <f>Packaging!V30</f>
        <v>2021</v>
      </c>
      <c r="C768" s="34" t="str">
        <f>Packaging!X30</f>
        <v>OTHER</v>
      </c>
      <c r="D768" s="790">
        <f>Packaging!Y30</f>
        <v>13.860215362562069</v>
      </c>
      <c r="E768" s="151" t="s">
        <v>117</v>
      </c>
      <c r="F768" s="29">
        <v>1</v>
      </c>
      <c r="G768" s="9">
        <v>1</v>
      </c>
      <c r="H768" s="9">
        <v>2</v>
      </c>
      <c r="I768" s="9">
        <v>1</v>
      </c>
      <c r="J768" s="43">
        <v>2</v>
      </c>
      <c r="K768" s="260">
        <f t="shared" si="12"/>
        <v>0.35859414261160716</v>
      </c>
      <c r="L768" s="163"/>
    </row>
    <row r="769" spans="1:12">
      <c r="A769" s="34" t="str">
        <f>Packaging!U46</f>
        <v>Packaging</v>
      </c>
      <c r="B769" s="40">
        <f>Packaging!V46</f>
        <v>2019</v>
      </c>
      <c r="C769" s="34" t="str">
        <f>Packaging!X46</f>
        <v>OTHER</v>
      </c>
      <c r="D769" s="790">
        <f>Packaging!Y46</f>
        <v>13.280543751181623</v>
      </c>
      <c r="E769" s="151" t="s">
        <v>117</v>
      </c>
      <c r="F769" s="29">
        <v>1</v>
      </c>
      <c r="G769" s="9">
        <v>1</v>
      </c>
      <c r="H769" s="9">
        <v>2</v>
      </c>
      <c r="I769" s="9">
        <v>1</v>
      </c>
      <c r="J769" s="43">
        <v>2</v>
      </c>
      <c r="K769" s="260">
        <f t="shared" si="12"/>
        <v>0.35859414261160716</v>
      </c>
      <c r="L769" s="163"/>
    </row>
    <row r="770" spans="1:12">
      <c r="A770" s="34" t="str">
        <f>Packaging!U54</f>
        <v>Packaging</v>
      </c>
      <c r="B770" s="40">
        <f>Packaging!V54</f>
        <v>2018</v>
      </c>
      <c r="C770" s="34" t="str">
        <f>Packaging!X54</f>
        <v>OTHER</v>
      </c>
      <c r="D770" s="790">
        <f>Packaging!Y54</f>
        <v>13.280543751181623</v>
      </c>
      <c r="E770" s="151" t="s">
        <v>117</v>
      </c>
      <c r="F770" s="29">
        <v>1</v>
      </c>
      <c r="G770" s="9">
        <v>1</v>
      </c>
      <c r="H770" s="9">
        <v>2</v>
      </c>
      <c r="I770" s="9">
        <v>1</v>
      </c>
      <c r="J770" s="43">
        <v>2</v>
      </c>
      <c r="K770" s="260">
        <f t="shared" si="12"/>
        <v>0.35859414261160716</v>
      </c>
      <c r="L770" s="163"/>
    </row>
    <row r="771" spans="1:12">
      <c r="A771" s="34" t="str">
        <f>Packaging!U62</f>
        <v>Packaging</v>
      </c>
      <c r="B771" s="40">
        <f>Packaging!V62</f>
        <v>2017</v>
      </c>
      <c r="C771" s="34" t="str">
        <f>Packaging!X62</f>
        <v>OTHER</v>
      </c>
      <c r="D771" s="790">
        <f>Packaging!Y62</f>
        <v>13.001220651252373</v>
      </c>
      <c r="E771" s="151" t="s">
        <v>117</v>
      </c>
      <c r="F771" s="29">
        <v>1</v>
      </c>
      <c r="G771" s="9">
        <v>1</v>
      </c>
      <c r="H771" s="9">
        <v>2</v>
      </c>
      <c r="I771" s="9">
        <v>1</v>
      </c>
      <c r="J771" s="43">
        <v>2</v>
      </c>
      <c r="K771" s="260">
        <f t="shared" si="12"/>
        <v>0.35859414261160716</v>
      </c>
      <c r="L771" s="163"/>
    </row>
    <row r="772" spans="1:12">
      <c r="A772" s="34" t="s">
        <v>39</v>
      </c>
      <c r="B772" s="40">
        <v>2020</v>
      </c>
      <c r="C772" s="34" t="s">
        <v>90</v>
      </c>
      <c r="D772" s="790">
        <f>Packaging!E24</f>
        <v>11.900009692415585</v>
      </c>
      <c r="E772" s="151" t="s">
        <v>117</v>
      </c>
      <c r="F772" s="29">
        <v>1</v>
      </c>
      <c r="G772" s="9">
        <v>1</v>
      </c>
      <c r="H772" s="9">
        <v>2</v>
      </c>
      <c r="I772" s="9">
        <v>1</v>
      </c>
      <c r="J772" s="43">
        <v>2</v>
      </c>
      <c r="K772" s="260">
        <f t="shared" si="12"/>
        <v>0.35859414261160716</v>
      </c>
      <c r="L772" s="163"/>
    </row>
    <row r="773" spans="1:12">
      <c r="A773" s="34" t="str">
        <f>Packaging!U28</f>
        <v>Packaging</v>
      </c>
      <c r="B773" s="40">
        <f>Packaging!V28</f>
        <v>2021</v>
      </c>
      <c r="C773" s="34" t="str">
        <f>Packaging!X28</f>
        <v>PVC</v>
      </c>
      <c r="D773" s="790">
        <f>Packaging!Y28</f>
        <v>11.724473809371505</v>
      </c>
      <c r="E773" s="151" t="s">
        <v>117</v>
      </c>
      <c r="F773" s="29">
        <v>1</v>
      </c>
      <c r="G773" s="9">
        <v>1</v>
      </c>
      <c r="H773" s="9">
        <v>2</v>
      </c>
      <c r="I773" s="9">
        <v>1</v>
      </c>
      <c r="J773" s="43">
        <v>2</v>
      </c>
      <c r="K773" s="260">
        <f t="shared" si="12"/>
        <v>0.35859414261160716</v>
      </c>
      <c r="L773" s="163"/>
    </row>
    <row r="774" spans="1:12">
      <c r="A774" s="34" t="str">
        <f>Packaging!U44</f>
        <v>Packaging</v>
      </c>
      <c r="B774" s="40">
        <f>Packaging!V44</f>
        <v>2019</v>
      </c>
      <c r="C774" s="34" t="str">
        <f>Packaging!X44</f>
        <v>PVC</v>
      </c>
      <c r="D774" s="790">
        <f>Packaging!Y44</f>
        <v>11.234124673525903</v>
      </c>
      <c r="E774" s="151" t="s">
        <v>117</v>
      </c>
      <c r="F774" s="29">
        <v>1</v>
      </c>
      <c r="G774" s="9">
        <v>1</v>
      </c>
      <c r="H774" s="9">
        <v>2</v>
      </c>
      <c r="I774" s="9">
        <v>1</v>
      </c>
      <c r="J774" s="43">
        <v>2</v>
      </c>
      <c r="K774" s="260">
        <f t="shared" si="12"/>
        <v>0.35859414261160716</v>
      </c>
      <c r="L774" s="163"/>
    </row>
    <row r="775" spans="1:12">
      <c r="A775" s="34" t="str">
        <f>Packaging!U52</f>
        <v>Packaging</v>
      </c>
      <c r="B775" s="40">
        <f>Packaging!V52</f>
        <v>2018</v>
      </c>
      <c r="C775" s="34" t="str">
        <f>Packaging!X52</f>
        <v>PVC</v>
      </c>
      <c r="D775" s="790">
        <f>Packaging!Y52</f>
        <v>11.234124673525903</v>
      </c>
      <c r="E775" s="151" t="s">
        <v>117</v>
      </c>
      <c r="F775" s="29">
        <v>1</v>
      </c>
      <c r="G775" s="9">
        <v>1</v>
      </c>
      <c r="H775" s="9">
        <v>2</v>
      </c>
      <c r="I775" s="9">
        <v>1</v>
      </c>
      <c r="J775" s="43">
        <v>2</v>
      </c>
      <c r="K775" s="260">
        <f t="shared" si="12"/>
        <v>0.35859414261160716</v>
      </c>
      <c r="L775" s="163"/>
    </row>
    <row r="776" spans="1:12">
      <c r="A776" s="34" t="str">
        <f>Packaging!U60</f>
        <v>Packaging</v>
      </c>
      <c r="B776" s="40">
        <f>Packaging!V60</f>
        <v>2017</v>
      </c>
      <c r="C776" s="34" t="str">
        <f>Packaging!X60</f>
        <v>PVC</v>
      </c>
      <c r="D776" s="790">
        <f>Packaging!Y60</f>
        <v>10.997842892629565</v>
      </c>
      <c r="E776" s="151" t="s">
        <v>117</v>
      </c>
      <c r="F776" s="29">
        <v>1</v>
      </c>
      <c r="G776" s="9">
        <v>1</v>
      </c>
      <c r="H776" s="9">
        <v>2</v>
      </c>
      <c r="I776" s="9">
        <v>1</v>
      </c>
      <c r="J776" s="43">
        <v>2</v>
      </c>
      <c r="K776" s="260">
        <f t="shared" si="12"/>
        <v>0.35859414261160716</v>
      </c>
      <c r="L776" s="163"/>
    </row>
    <row r="777" spans="1:12">
      <c r="A777" s="34" t="s">
        <v>39</v>
      </c>
      <c r="B777" s="40">
        <v>2020</v>
      </c>
      <c r="C777" s="34" t="s">
        <v>89</v>
      </c>
      <c r="D777" s="790">
        <f>Packaging!E23</f>
        <v>7.4683391591176429</v>
      </c>
      <c r="E777" s="151" t="s">
        <v>117</v>
      </c>
      <c r="F777" s="29">
        <v>1</v>
      </c>
      <c r="G777" s="9">
        <v>1</v>
      </c>
      <c r="H777" s="9">
        <v>2</v>
      </c>
      <c r="I777" s="9">
        <v>1</v>
      </c>
      <c r="J777" s="43">
        <v>2</v>
      </c>
      <c r="K777" s="260">
        <f t="shared" si="12"/>
        <v>0.35859414261160716</v>
      </c>
      <c r="L777" s="163"/>
    </row>
    <row r="778" spans="1:12">
      <c r="A778" s="34" t="str">
        <f>Packaging!U27</f>
        <v>Packaging</v>
      </c>
      <c r="B778" s="40">
        <f>Packaging!V27</f>
        <v>2021</v>
      </c>
      <c r="C778" s="34" t="str">
        <f>Packaging!X27</f>
        <v>EPS</v>
      </c>
      <c r="D778" s="790">
        <f>Packaging!Y27</f>
        <v>7.3581744161423543</v>
      </c>
      <c r="E778" s="151" t="s">
        <v>117</v>
      </c>
      <c r="F778" s="29">
        <v>1</v>
      </c>
      <c r="G778" s="9">
        <v>1</v>
      </c>
      <c r="H778" s="9">
        <v>2</v>
      </c>
      <c r="I778" s="9">
        <v>1</v>
      </c>
      <c r="J778" s="43">
        <v>2</v>
      </c>
      <c r="K778" s="260">
        <f t="shared" si="12"/>
        <v>0.35859414261160716</v>
      </c>
      <c r="L778" s="163"/>
    </row>
    <row r="779" spans="1:12">
      <c r="A779" s="34" t="str">
        <f>Packaging!U43</f>
        <v>Packaging</v>
      </c>
      <c r="B779" s="40">
        <f>Packaging!V43</f>
        <v>2019</v>
      </c>
      <c r="C779" s="34" t="str">
        <f>Packaging!X43</f>
        <v>EPS</v>
      </c>
      <c r="D779" s="790">
        <f>Packaging!Y43</f>
        <v>7.0504357043655723</v>
      </c>
      <c r="E779" s="151" t="s">
        <v>117</v>
      </c>
      <c r="F779" s="29">
        <v>1</v>
      </c>
      <c r="G779" s="9">
        <v>1</v>
      </c>
      <c r="H779" s="9">
        <v>2</v>
      </c>
      <c r="I779" s="9">
        <v>1</v>
      </c>
      <c r="J779" s="43">
        <v>2</v>
      </c>
      <c r="K779" s="260">
        <f t="shared" si="12"/>
        <v>0.35859414261160716</v>
      </c>
      <c r="L779" s="163"/>
    </row>
    <row r="780" spans="1:12">
      <c r="A780" s="34" t="str">
        <f>Packaging!U51</f>
        <v>Packaging</v>
      </c>
      <c r="B780" s="40">
        <f>Packaging!V51</f>
        <v>2018</v>
      </c>
      <c r="C780" s="34" t="str">
        <f>Packaging!X51</f>
        <v>EPS</v>
      </c>
      <c r="D780" s="790">
        <f>Packaging!Y51</f>
        <v>7.0504357043655723</v>
      </c>
      <c r="E780" s="151" t="s">
        <v>117</v>
      </c>
      <c r="F780" s="29">
        <v>1</v>
      </c>
      <c r="G780" s="9">
        <v>1</v>
      </c>
      <c r="H780" s="9">
        <v>2</v>
      </c>
      <c r="I780" s="9">
        <v>1</v>
      </c>
      <c r="J780" s="43">
        <v>2</v>
      </c>
      <c r="K780" s="260">
        <f t="shared" si="12"/>
        <v>0.35859414261160716</v>
      </c>
      <c r="L780" s="163"/>
    </row>
    <row r="781" spans="1:12" ht="15" thickBot="1">
      <c r="A781" s="149" t="str">
        <f>Packaging!U59</f>
        <v>Packaging</v>
      </c>
      <c r="B781" s="153">
        <f>Packaging!V59</f>
        <v>2017</v>
      </c>
      <c r="C781" s="149" t="str">
        <f>Packaging!X59</f>
        <v>EPS</v>
      </c>
      <c r="D781" s="794">
        <f>Packaging!Y59</f>
        <v>6.9021473817116119</v>
      </c>
      <c r="E781" s="227" t="s">
        <v>117</v>
      </c>
      <c r="F781" s="154">
        <v>1</v>
      </c>
      <c r="G781" s="119">
        <v>1</v>
      </c>
      <c r="H781" s="119">
        <v>2</v>
      </c>
      <c r="I781" s="119">
        <v>1</v>
      </c>
      <c r="J781" s="155">
        <v>2</v>
      </c>
      <c r="K781" s="287">
        <f t="shared" si="12"/>
        <v>0.35859414261160716</v>
      </c>
      <c r="L781" s="795"/>
    </row>
    <row r="782" spans="1:12">
      <c r="A782" s="430" t="s">
        <v>118</v>
      </c>
      <c r="B782" s="39">
        <v>2015</v>
      </c>
      <c r="C782" s="33" t="s">
        <v>99</v>
      </c>
      <c r="D782" s="789">
        <v>66.732831428571416</v>
      </c>
      <c r="E782" s="150" t="s">
        <v>119</v>
      </c>
      <c r="F782" s="28">
        <v>1</v>
      </c>
      <c r="G782" s="11">
        <v>1</v>
      </c>
      <c r="H782" s="11">
        <v>3</v>
      </c>
      <c r="I782" s="11">
        <v>1</v>
      </c>
      <c r="J782" s="42">
        <v>2</v>
      </c>
      <c r="K782" s="259">
        <f t="shared" ref="K782:K789" si="13">IF( OR( ISBLANK(F782),ISBLANK(G782), ISBLANK(H782), ISBLANK(I782), ISBLANK(J782) ), "", 1.5*SQRT(   EXP(2.21*(F782-1)) + EXP(2.21*(G782-1)) + EXP(2.21*(H782-1)) + EXP(2.21*(I782-1)) + EXP(2.21*J782)   )/100*2.45 )</f>
        <v>0.47802211380704585</v>
      </c>
      <c r="L782" s="796" t="s">
        <v>120</v>
      </c>
    </row>
    <row r="783" spans="1:12">
      <c r="A783" s="361" t="s">
        <v>118</v>
      </c>
      <c r="B783" s="40">
        <v>2020</v>
      </c>
      <c r="C783" s="34" t="s">
        <v>99</v>
      </c>
      <c r="D783" s="790">
        <v>54.081600000000002</v>
      </c>
      <c r="E783" s="151" t="s">
        <v>119</v>
      </c>
      <c r="F783" s="29">
        <v>1</v>
      </c>
      <c r="G783" s="9">
        <v>1</v>
      </c>
      <c r="H783" s="9">
        <v>3</v>
      </c>
      <c r="I783" s="9">
        <v>1</v>
      </c>
      <c r="J783" s="43">
        <v>2</v>
      </c>
      <c r="K783" s="260">
        <f t="shared" si="13"/>
        <v>0.47802211380704585</v>
      </c>
      <c r="L783" s="311" t="s">
        <v>120</v>
      </c>
    </row>
    <row r="784" spans="1:12">
      <c r="A784" s="361" t="s">
        <v>118</v>
      </c>
      <c r="B784" s="40">
        <v>2016</v>
      </c>
      <c r="C784" s="34" t="s">
        <v>99</v>
      </c>
      <c r="D784" s="790">
        <v>53.115857142857152</v>
      </c>
      <c r="E784" s="151" t="s">
        <v>119</v>
      </c>
      <c r="F784" s="29">
        <v>1</v>
      </c>
      <c r="G784" s="9">
        <v>1</v>
      </c>
      <c r="H784" s="9">
        <v>3</v>
      </c>
      <c r="I784" s="9">
        <v>1</v>
      </c>
      <c r="J784" s="43">
        <v>2</v>
      </c>
      <c r="K784" s="260">
        <f t="shared" si="13"/>
        <v>0.47802211380704585</v>
      </c>
      <c r="L784" s="311" t="s">
        <v>120</v>
      </c>
    </row>
    <row r="785" spans="1:12">
      <c r="A785" s="361" t="s">
        <v>118</v>
      </c>
      <c r="B785" s="40">
        <v>2021</v>
      </c>
      <c r="C785" s="34" t="s">
        <v>99</v>
      </c>
      <c r="D785" s="790">
        <v>52.874421428571424</v>
      </c>
      <c r="E785" s="151" t="s">
        <v>119</v>
      </c>
      <c r="F785" s="29">
        <v>1</v>
      </c>
      <c r="G785" s="9">
        <v>1</v>
      </c>
      <c r="H785" s="9">
        <v>3</v>
      </c>
      <c r="I785" s="9">
        <v>1</v>
      </c>
      <c r="J785" s="43">
        <v>2</v>
      </c>
      <c r="K785" s="260">
        <f t="shared" si="13"/>
        <v>0.47802211380704585</v>
      </c>
      <c r="L785" s="311" t="s">
        <v>120</v>
      </c>
    </row>
    <row r="786" spans="1:12">
      <c r="A786" s="361" t="s">
        <v>118</v>
      </c>
      <c r="B786" s="40">
        <v>2017</v>
      </c>
      <c r="C786" s="34" t="s">
        <v>99</v>
      </c>
      <c r="D786" s="790">
        <v>52.681272857142851</v>
      </c>
      <c r="E786" s="151" t="s">
        <v>119</v>
      </c>
      <c r="F786" s="29">
        <v>1</v>
      </c>
      <c r="G786" s="9">
        <v>1</v>
      </c>
      <c r="H786" s="9">
        <v>3</v>
      </c>
      <c r="I786" s="9">
        <v>1</v>
      </c>
      <c r="J786" s="43">
        <v>2</v>
      </c>
      <c r="K786" s="260">
        <f t="shared" si="13"/>
        <v>0.47802211380704585</v>
      </c>
      <c r="L786" s="311" t="s">
        <v>120</v>
      </c>
    </row>
    <row r="787" spans="1:12">
      <c r="A787" s="361" t="s">
        <v>118</v>
      </c>
      <c r="B787" s="40">
        <v>2018</v>
      </c>
      <c r="C787" s="34" t="s">
        <v>99</v>
      </c>
      <c r="D787" s="790">
        <v>52.246688571428557</v>
      </c>
      <c r="E787" s="151" t="s">
        <v>119</v>
      </c>
      <c r="F787" s="29">
        <v>1</v>
      </c>
      <c r="G787" s="9">
        <v>1</v>
      </c>
      <c r="H787" s="9">
        <v>3</v>
      </c>
      <c r="I787" s="9">
        <v>1</v>
      </c>
      <c r="J787" s="43">
        <v>2</v>
      </c>
      <c r="K787" s="260">
        <f t="shared" si="13"/>
        <v>0.47802211380704585</v>
      </c>
      <c r="L787" s="311" t="s">
        <v>120</v>
      </c>
    </row>
    <row r="788" spans="1:12">
      <c r="A788" s="361" t="s">
        <v>118</v>
      </c>
      <c r="B788" s="40">
        <v>2019</v>
      </c>
      <c r="C788" s="34" t="s">
        <v>99</v>
      </c>
      <c r="D788" s="790">
        <v>51.232658571428573</v>
      </c>
      <c r="E788" s="151" t="s">
        <v>119</v>
      </c>
      <c r="F788" s="29">
        <v>1</v>
      </c>
      <c r="G788" s="9">
        <v>1</v>
      </c>
      <c r="H788" s="9">
        <v>3</v>
      </c>
      <c r="I788" s="9">
        <v>1</v>
      </c>
      <c r="J788" s="43">
        <v>2</v>
      </c>
      <c r="K788" s="260">
        <f t="shared" si="13"/>
        <v>0.47802211380704585</v>
      </c>
      <c r="L788" s="311" t="s">
        <v>120</v>
      </c>
    </row>
    <row r="789" spans="1:12" ht="15" thickBot="1">
      <c r="A789" s="431" t="s">
        <v>118</v>
      </c>
      <c r="B789" s="41">
        <v>2022</v>
      </c>
      <c r="C789" s="35" t="s">
        <v>99</v>
      </c>
      <c r="D789" s="793">
        <v>47.417974285714294</v>
      </c>
      <c r="E789" s="152" t="s">
        <v>119</v>
      </c>
      <c r="F789" s="30">
        <v>1</v>
      </c>
      <c r="G789" s="12">
        <v>1</v>
      </c>
      <c r="H789" s="12">
        <v>3</v>
      </c>
      <c r="I789" s="12">
        <v>1</v>
      </c>
      <c r="J789" s="44">
        <v>2</v>
      </c>
      <c r="K789" s="261">
        <f t="shared" si="13"/>
        <v>0.47802211380704585</v>
      </c>
      <c r="L789" s="797" t="s">
        <v>120</v>
      </c>
    </row>
    <row r="790" spans="1:12">
      <c r="A790" s="60" t="s">
        <v>121</v>
      </c>
      <c r="B790" s="161">
        <v>2017</v>
      </c>
      <c r="C790" s="60" t="s">
        <v>95</v>
      </c>
      <c r="D790" s="792">
        <v>115.88066666666667</v>
      </c>
      <c r="E790" s="230" t="s">
        <v>122</v>
      </c>
      <c r="F790" s="656">
        <v>1</v>
      </c>
      <c r="G790" s="118">
        <v>1</v>
      </c>
      <c r="H790" s="118">
        <v>2</v>
      </c>
      <c r="I790" s="118">
        <v>3</v>
      </c>
      <c r="J790" s="657">
        <v>2</v>
      </c>
      <c r="K790" s="570">
        <f t="shared" si="12"/>
        <v>0.48935255543384243</v>
      </c>
      <c r="L790" s="649"/>
    </row>
    <row r="791" spans="1:12">
      <c r="A791" s="34" t="s">
        <v>121</v>
      </c>
      <c r="B791" s="40">
        <v>2017</v>
      </c>
      <c r="C791" s="34" t="s">
        <v>87</v>
      </c>
      <c r="D791" s="790">
        <v>93.731666666666669</v>
      </c>
      <c r="E791" s="151" t="s">
        <v>122</v>
      </c>
      <c r="F791" s="29">
        <v>1</v>
      </c>
      <c r="G791" s="9">
        <v>1</v>
      </c>
      <c r="H791" s="9">
        <v>2</v>
      </c>
      <c r="I791" s="9">
        <v>3</v>
      </c>
      <c r="J791" s="43">
        <v>2</v>
      </c>
      <c r="K791" s="260">
        <f t="shared" si="12"/>
        <v>0.48935255543384243</v>
      </c>
      <c r="L791" s="163"/>
    </row>
    <row r="792" spans="1:12">
      <c r="A792" s="34" t="s">
        <v>121</v>
      </c>
      <c r="B792" s="40">
        <v>2017</v>
      </c>
      <c r="C792" s="34" t="s">
        <v>91</v>
      </c>
      <c r="D792" s="790">
        <v>89.234166666666653</v>
      </c>
      <c r="E792" s="151" t="s">
        <v>122</v>
      </c>
      <c r="F792" s="29">
        <v>1</v>
      </c>
      <c r="G792" s="9">
        <v>1</v>
      </c>
      <c r="H792" s="9">
        <v>2</v>
      </c>
      <c r="I792" s="9">
        <v>3</v>
      </c>
      <c r="J792" s="43">
        <v>2</v>
      </c>
      <c r="K792" s="260">
        <f t="shared" si="12"/>
        <v>0.48935255543384243</v>
      </c>
      <c r="L792" s="163"/>
    </row>
    <row r="793" spans="1:12">
      <c r="A793" s="34" t="s">
        <v>121</v>
      </c>
      <c r="B793" s="40">
        <v>2017</v>
      </c>
      <c r="C793" s="34" t="s">
        <v>99</v>
      </c>
      <c r="D793" s="790">
        <v>19.665500000000002</v>
      </c>
      <c r="E793" s="151" t="s">
        <v>122</v>
      </c>
      <c r="F793" s="29">
        <v>1</v>
      </c>
      <c r="G793" s="9">
        <v>1</v>
      </c>
      <c r="H793" s="9">
        <v>2</v>
      </c>
      <c r="I793" s="9">
        <v>3</v>
      </c>
      <c r="J793" s="43">
        <v>2</v>
      </c>
      <c r="K793" s="260">
        <f t="shared" si="12"/>
        <v>0.48935255543384243</v>
      </c>
      <c r="L793" s="163"/>
    </row>
    <row r="794" spans="1:12">
      <c r="A794" s="34" t="s">
        <v>121</v>
      </c>
      <c r="B794" s="40">
        <v>2017</v>
      </c>
      <c r="C794" s="34" t="s">
        <v>90</v>
      </c>
      <c r="D794" s="790">
        <v>10.18</v>
      </c>
      <c r="E794" s="151" t="s">
        <v>122</v>
      </c>
      <c r="F794" s="29">
        <v>1</v>
      </c>
      <c r="G794" s="9">
        <v>1</v>
      </c>
      <c r="H794" s="9">
        <v>2</v>
      </c>
      <c r="I794" s="9">
        <v>3</v>
      </c>
      <c r="J794" s="43">
        <v>2</v>
      </c>
      <c r="K794" s="260">
        <f t="shared" si="12"/>
        <v>0.48935255543384243</v>
      </c>
      <c r="L794" s="163"/>
    </row>
    <row r="795" spans="1:12" ht="15" thickBot="1">
      <c r="A795" s="149" t="s">
        <v>121</v>
      </c>
      <c r="B795" s="153">
        <v>2017</v>
      </c>
      <c r="C795" s="149" t="s">
        <v>86</v>
      </c>
      <c r="D795" s="794">
        <v>0.22800000000000001</v>
      </c>
      <c r="E795" s="227" t="s">
        <v>122</v>
      </c>
      <c r="F795" s="154">
        <v>1</v>
      </c>
      <c r="G795" s="119">
        <v>1</v>
      </c>
      <c r="H795" s="119">
        <v>2</v>
      </c>
      <c r="I795" s="119">
        <v>3</v>
      </c>
      <c r="J795" s="155">
        <v>2</v>
      </c>
      <c r="K795" s="287">
        <f t="shared" si="12"/>
        <v>0.48935255543384243</v>
      </c>
      <c r="L795" s="795"/>
    </row>
    <row r="796" spans="1:12">
      <c r="A796" s="33" t="str">
        <f>'Tyre wear'!B15</f>
        <v>Tyre wear</v>
      </c>
      <c r="B796" s="39">
        <f>'Tyre wear'!C15</f>
        <v>1990</v>
      </c>
      <c r="C796" s="33" t="str">
        <f>'Tyre wear'!D15</f>
        <v>RUBBER</v>
      </c>
      <c r="D796" s="789">
        <f>'Tyre wear'!E15</f>
        <v>9.7959110544217687</v>
      </c>
      <c r="E796" s="150" t="str">
        <f>'Tyre wear'!F15</f>
        <v>LOW - Own calculation based on RWS, 2022. Bandenslijtage wegverkeer (No. Versie juli 2022), Emissieschattingen Diffuse bronnen Emissieregistratie.</v>
      </c>
      <c r="F796" s="28">
        <f>'Tyre wear'!G15</f>
        <v>1</v>
      </c>
      <c r="G796" s="11">
        <f>'Tyre wear'!H15</f>
        <v>1</v>
      </c>
      <c r="H796" s="11">
        <f>'Tyre wear'!I15</f>
        <v>1</v>
      </c>
      <c r="I796" s="11">
        <f>'Tyre wear'!J15</f>
        <v>1</v>
      </c>
      <c r="J796" s="42">
        <f>'Tyre wear'!K15</f>
        <v>1</v>
      </c>
      <c r="K796" s="287">
        <f t="shared" si="12"/>
        <v>0.13309242924026707</v>
      </c>
      <c r="L796" s="162"/>
    </row>
    <row r="797" spans="1:12">
      <c r="A797" s="34" t="str">
        <f>'Tyre wear'!B16</f>
        <v>Tyre wear</v>
      </c>
      <c r="B797" s="40">
        <f>'Tyre wear'!C16</f>
        <v>1995</v>
      </c>
      <c r="C797" s="34" t="str">
        <f>'Tyre wear'!D16</f>
        <v>RUBBER</v>
      </c>
      <c r="D797" s="790">
        <f>'Tyre wear'!E16</f>
        <v>10.531216071428499</v>
      </c>
      <c r="E797" s="151" t="str">
        <f>'Tyre wear'!F16</f>
        <v>LOW - Own calculation based on RWS, 2022. Bandenslijtage wegverkeer (No. Versie juli 2022), Emissieschattingen Diffuse bronnen Emissieregistratie.</v>
      </c>
      <c r="F797" s="29">
        <f>'Tyre wear'!G16</f>
        <v>1</v>
      </c>
      <c r="G797" s="9">
        <f>'Tyre wear'!H16</f>
        <v>1</v>
      </c>
      <c r="H797" s="9">
        <f>'Tyre wear'!I16</f>
        <v>1</v>
      </c>
      <c r="I797" s="9">
        <f>'Tyre wear'!J16</f>
        <v>1</v>
      </c>
      <c r="J797" s="43">
        <f>'Tyre wear'!K16</f>
        <v>1</v>
      </c>
      <c r="K797" s="287">
        <f t="shared" si="12"/>
        <v>0.13309242924026707</v>
      </c>
      <c r="L797" s="163"/>
    </row>
    <row r="798" spans="1:12">
      <c r="A798" s="34" t="str">
        <f>'Tyre wear'!B17</f>
        <v>Tyre wear</v>
      </c>
      <c r="B798" s="40">
        <f>'Tyre wear'!C17</f>
        <v>2000</v>
      </c>
      <c r="C798" s="34" t="str">
        <f>'Tyre wear'!D17</f>
        <v>RUBBER</v>
      </c>
      <c r="D798" s="790">
        <f>'Tyre wear'!E17</f>
        <v>11.700245306122401</v>
      </c>
      <c r="E798" s="151" t="str">
        <f>'Tyre wear'!F17</f>
        <v>LOW - Own calculation based on RWS, 2022. Bandenslijtage wegverkeer (No. Versie juli 2022), Emissieschattingen Diffuse bronnen Emissieregistratie.</v>
      </c>
      <c r="F798" s="29">
        <f>'Tyre wear'!G17</f>
        <v>1</v>
      </c>
      <c r="G798" s="9">
        <f>'Tyre wear'!H17</f>
        <v>1</v>
      </c>
      <c r="H798" s="9">
        <f>'Tyre wear'!I17</f>
        <v>1</v>
      </c>
      <c r="I798" s="9">
        <f>'Tyre wear'!J17</f>
        <v>1</v>
      </c>
      <c r="J798" s="43">
        <f>'Tyre wear'!K17</f>
        <v>1</v>
      </c>
      <c r="K798" s="287">
        <f t="shared" si="12"/>
        <v>0.13309242924026707</v>
      </c>
      <c r="L798" s="163"/>
    </row>
    <row r="799" spans="1:12">
      <c r="A799" s="34" t="str">
        <f>'Tyre wear'!B18</f>
        <v>Tyre wear</v>
      </c>
      <c r="B799" s="40">
        <f>'Tyre wear'!C18</f>
        <v>2005</v>
      </c>
      <c r="C799" s="34" t="str">
        <f>'Tyre wear'!D18</f>
        <v>RUBBER</v>
      </c>
      <c r="D799" s="790">
        <f>'Tyre wear'!E18</f>
        <v>12.3959197789115</v>
      </c>
      <c r="E799" s="151" t="str">
        <f>'Tyre wear'!F18</f>
        <v>LOW - Own calculation based on RWS, 2022. Bandenslijtage wegverkeer (No. Versie juli 2022), Emissieschattingen Diffuse bronnen Emissieregistratie.</v>
      </c>
      <c r="F799" s="29">
        <f>'Tyre wear'!G18</f>
        <v>1</v>
      </c>
      <c r="G799" s="9">
        <f>'Tyre wear'!H18</f>
        <v>1</v>
      </c>
      <c r="H799" s="9">
        <f>'Tyre wear'!I18</f>
        <v>1</v>
      </c>
      <c r="I799" s="9">
        <f>'Tyre wear'!J18</f>
        <v>1</v>
      </c>
      <c r="J799" s="43">
        <f>'Tyre wear'!K18</f>
        <v>1</v>
      </c>
      <c r="K799" s="287">
        <f t="shared" si="12"/>
        <v>0.13309242924026707</v>
      </c>
      <c r="L799" s="163"/>
    </row>
    <row r="800" spans="1:12">
      <c r="A800" s="34" t="str">
        <f>'Tyre wear'!B19</f>
        <v>Tyre wear</v>
      </c>
      <c r="B800" s="40">
        <f>'Tyre wear'!C19</f>
        <v>2010</v>
      </c>
      <c r="C800" s="34" t="str">
        <f>'Tyre wear'!D19</f>
        <v>RUBBER</v>
      </c>
      <c r="D800" s="790">
        <f>'Tyre wear'!E19</f>
        <v>12.5812969557823</v>
      </c>
      <c r="E800" s="151" t="str">
        <f>'Tyre wear'!F19</f>
        <v>LOW - Own calculation based on RWS, 2022. Bandenslijtage wegverkeer (No. Versie juli 2022), Emissieschattingen Diffuse bronnen Emissieregistratie.</v>
      </c>
      <c r="F800" s="29">
        <f>'Tyre wear'!G19</f>
        <v>1</v>
      </c>
      <c r="G800" s="9">
        <f>'Tyre wear'!H19</f>
        <v>1</v>
      </c>
      <c r="H800" s="9">
        <f>'Tyre wear'!I19</f>
        <v>1</v>
      </c>
      <c r="I800" s="9">
        <f>'Tyre wear'!J19</f>
        <v>1</v>
      </c>
      <c r="J800" s="43">
        <f>'Tyre wear'!K19</f>
        <v>1</v>
      </c>
      <c r="K800" s="287">
        <f t="shared" si="12"/>
        <v>0.13309242924026707</v>
      </c>
      <c r="L800" s="163"/>
    </row>
    <row r="801" spans="1:12">
      <c r="A801" s="34" t="str">
        <f>'Tyre wear'!B20</f>
        <v>Tyre wear</v>
      </c>
      <c r="B801" s="40">
        <f>'Tyre wear'!C20</f>
        <v>2015</v>
      </c>
      <c r="C801" s="34" t="str">
        <f>'Tyre wear'!D20</f>
        <v>RUBBER</v>
      </c>
      <c r="D801" s="790">
        <f>'Tyre wear'!E20</f>
        <v>12.711999795918301</v>
      </c>
      <c r="E801" s="151" t="str">
        <f>'Tyre wear'!F20</f>
        <v>LOW - Own calculation based on RWS, 2022. Bandenslijtage wegverkeer (No. Versie juli 2022), Emissieschattingen Diffuse bronnen Emissieregistratie.</v>
      </c>
      <c r="F801" s="29">
        <f>'Tyre wear'!G20</f>
        <v>1</v>
      </c>
      <c r="G801" s="9">
        <f>'Tyre wear'!H20</f>
        <v>1</v>
      </c>
      <c r="H801" s="9">
        <f>'Tyre wear'!I20</f>
        <v>1</v>
      </c>
      <c r="I801" s="9">
        <f>'Tyre wear'!J20</f>
        <v>1</v>
      </c>
      <c r="J801" s="43">
        <f>'Tyre wear'!K20</f>
        <v>1</v>
      </c>
      <c r="K801" s="287">
        <f t="shared" si="12"/>
        <v>0.13309242924026707</v>
      </c>
      <c r="L801" s="163"/>
    </row>
    <row r="802" spans="1:12">
      <c r="A802" s="34" t="str">
        <f>'Tyre wear'!B21</f>
        <v>Tyre wear</v>
      </c>
      <c r="B802" s="40">
        <f>'Tyre wear'!C21</f>
        <v>2019</v>
      </c>
      <c r="C802" s="34" t="str">
        <f>'Tyre wear'!D21</f>
        <v>RUBBER</v>
      </c>
      <c r="D802" s="790">
        <f>'Tyre wear'!E21</f>
        <v>13.4844244557823</v>
      </c>
      <c r="E802" s="151" t="str">
        <f>'Tyre wear'!F21</f>
        <v>LOW - Own calculation based on RWS, 2022. Bandenslijtage wegverkeer (No. Versie juli 2022), Emissieschattingen Diffuse bronnen Emissieregistratie.</v>
      </c>
      <c r="F802" s="29">
        <f>'Tyre wear'!G21</f>
        <v>1</v>
      </c>
      <c r="G802" s="9">
        <f>'Tyre wear'!H21</f>
        <v>1</v>
      </c>
      <c r="H802" s="9">
        <f>'Tyre wear'!I21</f>
        <v>1</v>
      </c>
      <c r="I802" s="9">
        <f>'Tyre wear'!J21</f>
        <v>1</v>
      </c>
      <c r="J802" s="43">
        <f>'Tyre wear'!K21</f>
        <v>1</v>
      </c>
      <c r="K802" s="287">
        <f t="shared" si="12"/>
        <v>0.13309242924026707</v>
      </c>
      <c r="L802" s="163"/>
    </row>
    <row r="803" spans="1:12">
      <c r="A803" s="34" t="str">
        <f>'Tyre wear'!B22</f>
        <v>Tyre wear</v>
      </c>
      <c r="B803" s="40">
        <f>'Tyre wear'!C22</f>
        <v>2020</v>
      </c>
      <c r="C803" s="34" t="str">
        <f>'Tyre wear'!D22</f>
        <v>RUBBER</v>
      </c>
      <c r="D803" s="790">
        <f>'Tyre wear'!E22</f>
        <v>11.683736828009399</v>
      </c>
      <c r="E803" s="151" t="str">
        <f>'Tyre wear'!F22</f>
        <v>LOW - Own calculation based on RWS, 2022. Bandenslijtage wegverkeer (No. Versie juli 2022), Emissieschattingen Diffuse bronnen Emissieregistratie.</v>
      </c>
      <c r="F803" s="29">
        <f>'Tyre wear'!G22</f>
        <v>1</v>
      </c>
      <c r="G803" s="9">
        <f>'Tyre wear'!H22</f>
        <v>1</v>
      </c>
      <c r="H803" s="9">
        <f>'Tyre wear'!I22</f>
        <v>1</v>
      </c>
      <c r="I803" s="9">
        <f>'Tyre wear'!J22</f>
        <v>1</v>
      </c>
      <c r="J803" s="43">
        <f>'Tyre wear'!K22</f>
        <v>1</v>
      </c>
      <c r="K803" s="287">
        <f t="shared" si="12"/>
        <v>0.13309242924026707</v>
      </c>
      <c r="L803" s="163"/>
    </row>
    <row r="804" spans="1:12">
      <c r="A804" s="34" t="str">
        <f>'Tyre wear'!B24</f>
        <v>Tyre wear</v>
      </c>
      <c r="B804" s="40">
        <f>'Tyre wear'!C24</f>
        <v>1990</v>
      </c>
      <c r="C804" s="34" t="str">
        <f>'Tyre wear'!D24</f>
        <v>RUBBER</v>
      </c>
      <c r="D804" s="790">
        <f>'Tyre wear'!E24</f>
        <v>18.038811819727801</v>
      </c>
      <c r="E804" s="151" t="str">
        <f>'Tyre wear'!F24</f>
        <v>HIGH - Own calculation based on RWS, 2022. Bandenslijtage wegverkeer (No. Versie juli 2022), Emissieschattingen Diffuse bronnen Emissieregistratie.</v>
      </c>
      <c r="F804" s="29">
        <f>'Tyre wear'!G24</f>
        <v>1</v>
      </c>
      <c r="G804" s="9">
        <f>'Tyre wear'!H24</f>
        <v>1</v>
      </c>
      <c r="H804" s="9">
        <f>'Tyre wear'!I24</f>
        <v>1</v>
      </c>
      <c r="I804" s="9">
        <f>'Tyre wear'!J24</f>
        <v>1</v>
      </c>
      <c r="J804" s="43">
        <f>'Tyre wear'!K24</f>
        <v>1</v>
      </c>
      <c r="K804" s="287">
        <f t="shared" si="12"/>
        <v>0.13309242924026707</v>
      </c>
      <c r="L804" s="163"/>
    </row>
    <row r="805" spans="1:12">
      <c r="A805" s="34" t="str">
        <f>'Tyre wear'!B25</f>
        <v>Tyre wear</v>
      </c>
      <c r="B805" s="40">
        <f>'Tyre wear'!C25</f>
        <v>1995</v>
      </c>
      <c r="C805" s="34" t="str">
        <f>'Tyre wear'!D25</f>
        <v>RUBBER</v>
      </c>
      <c r="D805" s="790">
        <f>'Tyre wear'!E25</f>
        <v>19.392849107142801</v>
      </c>
      <c r="E805" s="151" t="str">
        <f>'Tyre wear'!F25</f>
        <v>HIGH - Own calculation based on RWS, 2022. Bandenslijtage wegverkeer (No. Versie juli 2022), Emissieschattingen Diffuse bronnen Emissieregistratie.</v>
      </c>
      <c r="F805" s="29">
        <f>'Tyre wear'!G25</f>
        <v>1</v>
      </c>
      <c r="G805" s="9">
        <f>'Tyre wear'!H25</f>
        <v>1</v>
      </c>
      <c r="H805" s="9">
        <f>'Tyre wear'!I25</f>
        <v>1</v>
      </c>
      <c r="I805" s="9">
        <f>'Tyre wear'!J25</f>
        <v>1</v>
      </c>
      <c r="J805" s="43">
        <f>'Tyre wear'!K25</f>
        <v>1</v>
      </c>
      <c r="K805" s="287">
        <f t="shared" si="12"/>
        <v>0.13309242924026707</v>
      </c>
      <c r="L805" s="163"/>
    </row>
    <row r="806" spans="1:12">
      <c r="A806" s="34" t="str">
        <f>'Tyre wear'!B26</f>
        <v>Tyre wear</v>
      </c>
      <c r="B806" s="40">
        <f>'Tyre wear'!C26</f>
        <v>2000</v>
      </c>
      <c r="C806" s="34" t="str">
        <f>'Tyre wear'!D26</f>
        <v>RUBBER</v>
      </c>
      <c r="D806" s="790">
        <f>'Tyre wear'!E26</f>
        <v>21.545573673469299</v>
      </c>
      <c r="E806" s="151" t="str">
        <f>'Tyre wear'!F26</f>
        <v>HIGH - Own calculation based on RWS, 2022. Bandenslijtage wegverkeer (No. Versie juli 2022), Emissieschattingen Diffuse bronnen Emissieregistratie.</v>
      </c>
      <c r="F806" s="29">
        <f>'Tyre wear'!G26</f>
        <v>1</v>
      </c>
      <c r="G806" s="9">
        <f>'Tyre wear'!H26</f>
        <v>1</v>
      </c>
      <c r="H806" s="9">
        <f>'Tyre wear'!I26</f>
        <v>1</v>
      </c>
      <c r="I806" s="9">
        <f>'Tyre wear'!J26</f>
        <v>1</v>
      </c>
      <c r="J806" s="43">
        <f>'Tyre wear'!K26</f>
        <v>1</v>
      </c>
      <c r="K806" s="287">
        <f t="shared" si="12"/>
        <v>0.13309242924026707</v>
      </c>
      <c r="L806" s="163"/>
    </row>
    <row r="807" spans="1:12">
      <c r="A807" s="34" t="str">
        <f>'Tyre wear'!B27</f>
        <v>Tyre wear</v>
      </c>
      <c r="B807" s="40">
        <f>'Tyre wear'!C27</f>
        <v>2005</v>
      </c>
      <c r="C807" s="34" t="str">
        <f>'Tyre wear'!D27</f>
        <v>RUBBER</v>
      </c>
      <c r="D807" s="790">
        <f>'Tyre wear'!E27</f>
        <v>22.826632763605399</v>
      </c>
      <c r="E807" s="151" t="str">
        <f>'Tyre wear'!F27</f>
        <v>HIGH - Own calculation based on RWS, 2022. Bandenslijtage wegverkeer (No. Versie juli 2022), Emissieschattingen Diffuse bronnen Emissieregistratie.</v>
      </c>
      <c r="F807" s="29">
        <f>'Tyre wear'!G27</f>
        <v>1</v>
      </c>
      <c r="G807" s="9">
        <f>'Tyre wear'!H27</f>
        <v>1</v>
      </c>
      <c r="H807" s="9">
        <f>'Tyre wear'!I27</f>
        <v>1</v>
      </c>
      <c r="I807" s="9">
        <f>'Tyre wear'!J27</f>
        <v>1</v>
      </c>
      <c r="J807" s="43">
        <f>'Tyre wear'!K27</f>
        <v>1</v>
      </c>
      <c r="K807" s="287">
        <f t="shared" si="12"/>
        <v>0.13309242924026707</v>
      </c>
      <c r="L807" s="163"/>
    </row>
    <row r="808" spans="1:12">
      <c r="A808" s="34" t="str">
        <f>'Tyre wear'!B28</f>
        <v>Tyre wear</v>
      </c>
      <c r="B808" s="40">
        <f>'Tyre wear'!C28</f>
        <v>2010</v>
      </c>
      <c r="C808" s="34" t="str">
        <f>'Tyre wear'!D28</f>
        <v>RUBBER</v>
      </c>
      <c r="D808" s="790">
        <f>'Tyre wear'!E28</f>
        <v>23.167998052721</v>
      </c>
      <c r="E808" s="151" t="str">
        <f>'Tyre wear'!F28</f>
        <v>HIGH - Own calculation based on RWS, 2022. Bandenslijtage wegverkeer (No. Versie juli 2022), Emissieschattingen Diffuse bronnen Emissieregistratie.</v>
      </c>
      <c r="F808" s="29">
        <f>'Tyre wear'!G28</f>
        <v>1</v>
      </c>
      <c r="G808" s="9">
        <f>'Tyre wear'!H28</f>
        <v>1</v>
      </c>
      <c r="H808" s="9">
        <f>'Tyre wear'!I28</f>
        <v>1</v>
      </c>
      <c r="I808" s="9">
        <f>'Tyre wear'!J28</f>
        <v>1</v>
      </c>
      <c r="J808" s="43">
        <f>'Tyre wear'!K28</f>
        <v>1</v>
      </c>
      <c r="K808" s="287">
        <f t="shared" si="12"/>
        <v>0.13309242924026707</v>
      </c>
      <c r="L808" s="163"/>
    </row>
    <row r="809" spans="1:12">
      <c r="A809" s="34" t="str">
        <f>'Tyre wear'!B29</f>
        <v>Tyre wear</v>
      </c>
      <c r="B809" s="40">
        <f>'Tyre wear'!C29</f>
        <v>2015</v>
      </c>
      <c r="C809" s="34" t="str">
        <f>'Tyre wear'!D29</f>
        <v>RUBBER</v>
      </c>
      <c r="D809" s="790">
        <f>'Tyre wear'!E29</f>
        <v>23.408682551020402</v>
      </c>
      <c r="E809" s="151" t="str">
        <f>'Tyre wear'!F29</f>
        <v>HIGH - Own calculation based on RWS, 2022. Bandenslijtage wegverkeer (No. Versie juli 2022), Emissieschattingen Diffuse bronnen Emissieregistratie.</v>
      </c>
      <c r="F809" s="29">
        <f>'Tyre wear'!G29</f>
        <v>1</v>
      </c>
      <c r="G809" s="9">
        <f>'Tyre wear'!H29</f>
        <v>1</v>
      </c>
      <c r="H809" s="9">
        <f>'Tyre wear'!I29</f>
        <v>1</v>
      </c>
      <c r="I809" s="9">
        <f>'Tyre wear'!J29</f>
        <v>1</v>
      </c>
      <c r="J809" s="43">
        <f>'Tyre wear'!K29</f>
        <v>1</v>
      </c>
      <c r="K809" s="287">
        <f t="shared" si="12"/>
        <v>0.13309242924026707</v>
      </c>
      <c r="L809" s="163"/>
    </row>
    <row r="810" spans="1:12">
      <c r="A810" s="34" t="str">
        <f>'Tyre wear'!B30</f>
        <v>Tyre wear</v>
      </c>
      <c r="B810" s="40">
        <f>'Tyre wear'!C30</f>
        <v>2019</v>
      </c>
      <c r="C810" s="34" t="str">
        <f>'Tyre wear'!D30</f>
        <v>RUBBER</v>
      </c>
      <c r="D810" s="790">
        <f>'Tyre wear'!E30</f>
        <v>24.831074302720999</v>
      </c>
      <c r="E810" s="151" t="str">
        <f>'Tyre wear'!F30</f>
        <v>HIGH - Own calculation based on RWS, 2022. Bandenslijtage wegverkeer (No. Versie juli 2022), Emissieschattingen Diffuse bronnen Emissieregistratie.</v>
      </c>
      <c r="F810" s="29">
        <f>'Tyre wear'!G30</f>
        <v>1</v>
      </c>
      <c r="G810" s="9">
        <f>'Tyre wear'!H30</f>
        <v>1</v>
      </c>
      <c r="H810" s="9">
        <f>'Tyre wear'!I30</f>
        <v>1</v>
      </c>
      <c r="I810" s="9">
        <f>'Tyre wear'!J30</f>
        <v>1</v>
      </c>
      <c r="J810" s="43">
        <f>'Tyre wear'!K30</f>
        <v>1</v>
      </c>
      <c r="K810" s="287">
        <f t="shared" si="12"/>
        <v>0.13309242924026707</v>
      </c>
      <c r="L810" s="163"/>
    </row>
    <row r="811" spans="1:12" ht="15" thickBot="1">
      <c r="A811" s="149" t="str">
        <f>'Tyre wear'!B31</f>
        <v>Tyre wear</v>
      </c>
      <c r="B811" s="153">
        <f>'Tyre wear'!C31</f>
        <v>2020</v>
      </c>
      <c r="C811" s="149" t="str">
        <f>'Tyre wear'!D31</f>
        <v>RUBBER</v>
      </c>
      <c r="D811" s="794">
        <f>'Tyre wear'!E31</f>
        <v>21.5151739149929</v>
      </c>
      <c r="E811" s="227" t="str">
        <f>'Tyre wear'!F31</f>
        <v>HIGH - Own calculation based on RWS, 2022. Bandenslijtage wegverkeer (No. Versie juli 2022), Emissieschattingen Diffuse bronnen Emissieregistratie.</v>
      </c>
      <c r="F811" s="154">
        <f>'Tyre wear'!G31</f>
        <v>1</v>
      </c>
      <c r="G811" s="119">
        <f>'Tyre wear'!H31</f>
        <v>1</v>
      </c>
      <c r="H811" s="119">
        <f>'Tyre wear'!I31</f>
        <v>1</v>
      </c>
      <c r="I811" s="119">
        <f>'Tyre wear'!J31</f>
        <v>1</v>
      </c>
      <c r="J811" s="155">
        <f>'Tyre wear'!K31</f>
        <v>1</v>
      </c>
      <c r="K811" s="287">
        <f t="shared" si="12"/>
        <v>0.13309242924026707</v>
      </c>
      <c r="L811" s="795"/>
    </row>
    <row r="812" spans="1:12">
      <c r="A812" s="96" t="s">
        <v>2018</v>
      </c>
      <c r="B812" s="95">
        <f>Clothing!B20</f>
        <v>2011</v>
      </c>
      <c r="C812" s="316" t="str">
        <f>Clothing!C20</f>
        <v>Acryl</v>
      </c>
      <c r="D812" s="95">
        <f>Clothing!K20</f>
        <v>1.6237025191721981</v>
      </c>
      <c r="E812" s="316" t="s">
        <v>2019</v>
      </c>
      <c r="F812" s="935">
        <f>Clothing!O20</f>
        <v>1</v>
      </c>
      <c r="G812" s="936">
        <f>Clothing!P20</f>
        <v>1</v>
      </c>
      <c r="H812" s="936">
        <f>Clothing!Q20</f>
        <v>2</v>
      </c>
      <c r="I812" s="936">
        <f>Clothing!R20</f>
        <v>2</v>
      </c>
      <c r="J812" s="936">
        <f>Clothing!S20</f>
        <v>2</v>
      </c>
      <c r="K812" s="1210">
        <f t="shared" si="12"/>
        <v>0.37356464144298934</v>
      </c>
      <c r="L812" s="1207"/>
    </row>
    <row r="813" spans="1:12">
      <c r="A813" s="97" t="s">
        <v>2018</v>
      </c>
      <c r="B813" s="68">
        <f>Clothing!B21</f>
        <v>2011</v>
      </c>
      <c r="C813" s="304" t="str">
        <f>Clothing!C21</f>
        <v>OTHER</v>
      </c>
      <c r="D813" s="68">
        <f>Clothing!K21</f>
        <v>2.4006891002869168</v>
      </c>
      <c r="E813" s="304" t="s">
        <v>2019</v>
      </c>
      <c r="F813" s="972">
        <f>Clothing!O21</f>
        <v>1</v>
      </c>
      <c r="G813" s="224">
        <f>Clothing!P21</f>
        <v>1</v>
      </c>
      <c r="H813" s="224">
        <f>Clothing!Q21</f>
        <v>2</v>
      </c>
      <c r="I813" s="224">
        <f>Clothing!R21</f>
        <v>2</v>
      </c>
      <c r="J813" s="224">
        <f>Clothing!S21</f>
        <v>2</v>
      </c>
      <c r="K813" s="499">
        <f t="shared" si="12"/>
        <v>0.37356464144298934</v>
      </c>
      <c r="L813" s="1208"/>
    </row>
    <row r="814" spans="1:12">
      <c r="A814" s="97" t="s">
        <v>2018</v>
      </c>
      <c r="B814" s="68">
        <f>Clothing!B22</f>
        <v>2011</v>
      </c>
      <c r="C814" s="304" t="str">
        <f>Clothing!C22</f>
        <v>PA</v>
      </c>
      <c r="D814" s="68">
        <f>Clothing!K22</f>
        <v>5.5209911208314351</v>
      </c>
      <c r="E814" s="304" t="s">
        <v>2019</v>
      </c>
      <c r="F814" s="972">
        <f>Clothing!O22</f>
        <v>1</v>
      </c>
      <c r="G814" s="224">
        <f>Clothing!P22</f>
        <v>1</v>
      </c>
      <c r="H814" s="224">
        <f>Clothing!Q22</f>
        <v>2</v>
      </c>
      <c r="I814" s="224">
        <f>Clothing!R22</f>
        <v>2</v>
      </c>
      <c r="J814" s="224">
        <f>Clothing!S22</f>
        <v>2</v>
      </c>
      <c r="K814" s="499">
        <f t="shared" si="12"/>
        <v>0.37356464144298934</v>
      </c>
      <c r="L814" s="1208"/>
    </row>
    <row r="815" spans="1:12">
      <c r="A815" s="97" t="s">
        <v>2018</v>
      </c>
      <c r="B815" s="68">
        <f>Clothing!B23</f>
        <v>2011</v>
      </c>
      <c r="C815" s="304" t="str">
        <f>Clothing!C23</f>
        <v>PET</v>
      </c>
      <c r="D815" s="68">
        <f>Clothing!K23</f>
        <v>15.193629664364018</v>
      </c>
      <c r="E815" s="304" t="s">
        <v>2019</v>
      </c>
      <c r="F815" s="972">
        <f>Clothing!O23</f>
        <v>1</v>
      </c>
      <c r="G815" s="224">
        <f>Clothing!P23</f>
        <v>1</v>
      </c>
      <c r="H815" s="224">
        <f>Clothing!Q23</f>
        <v>2</v>
      </c>
      <c r="I815" s="224">
        <f>Clothing!R23</f>
        <v>2</v>
      </c>
      <c r="J815" s="224">
        <f>Clothing!S23</f>
        <v>2</v>
      </c>
      <c r="K815" s="499">
        <f t="shared" si="12"/>
        <v>0.37356464144298934</v>
      </c>
      <c r="L815" s="1208"/>
    </row>
    <row r="816" spans="1:12">
      <c r="A816" s="97" t="s">
        <v>2018</v>
      </c>
      <c r="B816" s="68">
        <f>Clothing!B24</f>
        <v>2011</v>
      </c>
      <c r="C816" s="304" t="str">
        <f>Clothing!C24</f>
        <v>PUR</v>
      </c>
      <c r="D816" s="68">
        <f>Clothing!K24</f>
        <v>2.5409901520829901</v>
      </c>
      <c r="E816" s="304" t="s">
        <v>2019</v>
      </c>
      <c r="F816" s="972">
        <f>Clothing!O24</f>
        <v>1</v>
      </c>
      <c r="G816" s="224">
        <f>Clothing!P24</f>
        <v>1</v>
      </c>
      <c r="H816" s="224">
        <f>Clothing!Q24</f>
        <v>2</v>
      </c>
      <c r="I816" s="224">
        <f>Clothing!R24</f>
        <v>2</v>
      </c>
      <c r="J816" s="224">
        <f>Clothing!S24</f>
        <v>2</v>
      </c>
      <c r="K816" s="499">
        <f t="shared" si="12"/>
        <v>0.37356464144298934</v>
      </c>
      <c r="L816" s="1208"/>
    </row>
    <row r="817" spans="1:12">
      <c r="A817" s="97" t="s">
        <v>2018</v>
      </c>
      <c r="B817" s="68">
        <f>Clothing!B25</f>
        <v>2011</v>
      </c>
      <c r="C817" s="304" t="str">
        <f>Clothing!C25</f>
        <v>PVC</v>
      </c>
      <c r="D817" s="68">
        <f>Clothing!K25</f>
        <v>1.5402493938764372</v>
      </c>
      <c r="E817" s="304" t="s">
        <v>2019</v>
      </c>
      <c r="F817" s="972">
        <f>Clothing!O25</f>
        <v>1</v>
      </c>
      <c r="G817" s="224">
        <f>Clothing!P25</f>
        <v>1</v>
      </c>
      <c r="H817" s="224">
        <f>Clothing!Q25</f>
        <v>2</v>
      </c>
      <c r="I817" s="224">
        <f>Clothing!R25</f>
        <v>2</v>
      </c>
      <c r="J817" s="224">
        <f>Clothing!S25</f>
        <v>2</v>
      </c>
      <c r="K817" s="499">
        <f t="shared" si="12"/>
        <v>0.37356464144298934</v>
      </c>
      <c r="L817" s="1208"/>
    </row>
    <row r="818" spans="1:12">
      <c r="A818" s="97" t="s">
        <v>2018</v>
      </c>
      <c r="B818" s="68">
        <f>Clothing!B26</f>
        <v>2011</v>
      </c>
      <c r="C818" s="304" t="str">
        <f>Clothing!C26</f>
        <v>RUBBER</v>
      </c>
      <c r="D818" s="68">
        <f>Clothing!K26</f>
        <v>1.9686961598824033</v>
      </c>
      <c r="E818" s="304" t="s">
        <v>2019</v>
      </c>
      <c r="F818" s="972">
        <f>Clothing!O26</f>
        <v>1</v>
      </c>
      <c r="G818" s="224">
        <f>Clothing!P26</f>
        <v>1</v>
      </c>
      <c r="H818" s="224">
        <f>Clothing!Q26</f>
        <v>2</v>
      </c>
      <c r="I818" s="224">
        <f>Clothing!R26</f>
        <v>2</v>
      </c>
      <c r="J818" s="224">
        <f>Clothing!S26</f>
        <v>2</v>
      </c>
      <c r="K818" s="499">
        <f t="shared" si="12"/>
        <v>0.37356464144298934</v>
      </c>
      <c r="L818" s="1208"/>
    </row>
    <row r="819" spans="1:12">
      <c r="A819" s="97" t="s">
        <v>2018</v>
      </c>
      <c r="B819" s="68">
        <f>Clothing!B27</f>
        <v>2012</v>
      </c>
      <c r="C819" s="304" t="str">
        <f>Clothing!C27</f>
        <v>Acryl</v>
      </c>
      <c r="D819" s="68">
        <f>Clothing!K27</f>
        <v>1.6522743597849296</v>
      </c>
      <c r="E819" s="304" t="s">
        <v>2019</v>
      </c>
      <c r="F819" s="972">
        <f>Clothing!O27</f>
        <v>1</v>
      </c>
      <c r="G819" s="224">
        <f>Clothing!P27</f>
        <v>1</v>
      </c>
      <c r="H819" s="224">
        <f>Clothing!Q27</f>
        <v>2</v>
      </c>
      <c r="I819" s="224">
        <f>Clothing!R27</f>
        <v>2</v>
      </c>
      <c r="J819" s="224">
        <f>Clothing!S27</f>
        <v>2</v>
      </c>
      <c r="K819" s="499">
        <f t="shared" si="12"/>
        <v>0.37356464144298934</v>
      </c>
      <c r="L819" s="1208"/>
    </row>
    <row r="820" spans="1:12">
      <c r="A820" s="97" t="s">
        <v>2018</v>
      </c>
      <c r="B820" s="68">
        <f>Clothing!B28</f>
        <v>2012</v>
      </c>
      <c r="C820" s="304" t="str">
        <f>Clothing!C28</f>
        <v>OTHER</v>
      </c>
      <c r="D820" s="68">
        <f>Clothing!K28</f>
        <v>1.9701336316227405</v>
      </c>
      <c r="E820" s="304" t="s">
        <v>2019</v>
      </c>
      <c r="F820" s="972">
        <f>Clothing!O28</f>
        <v>1</v>
      </c>
      <c r="G820" s="224">
        <f>Clothing!P28</f>
        <v>1</v>
      </c>
      <c r="H820" s="224">
        <f>Clothing!Q28</f>
        <v>2</v>
      </c>
      <c r="I820" s="224">
        <f>Clothing!R28</f>
        <v>2</v>
      </c>
      <c r="J820" s="224">
        <f>Clothing!S28</f>
        <v>2</v>
      </c>
      <c r="K820" s="499">
        <f t="shared" si="12"/>
        <v>0.37356464144298934</v>
      </c>
      <c r="L820" s="1208"/>
    </row>
    <row r="821" spans="1:12">
      <c r="A821" s="97" t="s">
        <v>2018</v>
      </c>
      <c r="B821" s="68">
        <f>Clothing!B29</f>
        <v>2012</v>
      </c>
      <c r="C821" s="304" t="str">
        <f>Clothing!C29</f>
        <v>PA</v>
      </c>
      <c r="D821" s="68">
        <f>Clothing!K29</f>
        <v>4.8447503962147964</v>
      </c>
      <c r="E821" s="304" t="s">
        <v>2019</v>
      </c>
      <c r="F821" s="972">
        <f>Clothing!O29</f>
        <v>1</v>
      </c>
      <c r="G821" s="224">
        <f>Clothing!P29</f>
        <v>1</v>
      </c>
      <c r="H821" s="224">
        <f>Clothing!Q29</f>
        <v>2</v>
      </c>
      <c r="I821" s="224">
        <f>Clothing!R29</f>
        <v>2</v>
      </c>
      <c r="J821" s="224">
        <f>Clothing!S29</f>
        <v>2</v>
      </c>
      <c r="K821" s="499">
        <f t="shared" si="12"/>
        <v>0.37356464144298934</v>
      </c>
      <c r="L821" s="1208"/>
    </row>
    <row r="822" spans="1:12">
      <c r="A822" s="97" t="s">
        <v>2018</v>
      </c>
      <c r="B822" s="68">
        <f>Clothing!B30</f>
        <v>2012</v>
      </c>
      <c r="C822" s="304" t="str">
        <f>Clothing!C30</f>
        <v>PET</v>
      </c>
      <c r="D822" s="68">
        <f>Clothing!K30</f>
        <v>15.824267568921501</v>
      </c>
      <c r="E822" s="304" t="s">
        <v>2019</v>
      </c>
      <c r="F822" s="972">
        <f>Clothing!O30</f>
        <v>1</v>
      </c>
      <c r="G822" s="224">
        <f>Clothing!P30</f>
        <v>1</v>
      </c>
      <c r="H822" s="224">
        <f>Clothing!Q30</f>
        <v>2</v>
      </c>
      <c r="I822" s="224">
        <f>Clothing!R30</f>
        <v>2</v>
      </c>
      <c r="J822" s="224">
        <f>Clothing!S30</f>
        <v>2</v>
      </c>
      <c r="K822" s="499">
        <f t="shared" si="12"/>
        <v>0.37356464144298934</v>
      </c>
      <c r="L822" s="1208"/>
    </row>
    <row r="823" spans="1:12">
      <c r="A823" s="97" t="s">
        <v>2018</v>
      </c>
      <c r="B823" s="68">
        <f>Clothing!B31</f>
        <v>2012</v>
      </c>
      <c r="C823" s="304" t="str">
        <f>Clothing!C31</f>
        <v>PUR</v>
      </c>
      <c r="D823" s="68">
        <f>Clothing!K31</f>
        <v>2.3548114078725195</v>
      </c>
      <c r="E823" s="304" t="s">
        <v>2019</v>
      </c>
      <c r="F823" s="972">
        <f>Clothing!O31</f>
        <v>1</v>
      </c>
      <c r="G823" s="224">
        <f>Clothing!P31</f>
        <v>1</v>
      </c>
      <c r="H823" s="224">
        <f>Clothing!Q31</f>
        <v>2</v>
      </c>
      <c r="I823" s="224">
        <f>Clothing!R31</f>
        <v>2</v>
      </c>
      <c r="J823" s="224">
        <f>Clothing!S31</f>
        <v>2</v>
      </c>
      <c r="K823" s="499">
        <f t="shared" si="12"/>
        <v>0.37356464144298934</v>
      </c>
      <c r="L823" s="1208"/>
    </row>
    <row r="824" spans="1:12">
      <c r="A824" s="97" t="s">
        <v>2018</v>
      </c>
      <c r="B824" s="68">
        <f>Clothing!B32</f>
        <v>2012</v>
      </c>
      <c r="C824" s="304" t="str">
        <f>Clothing!C32</f>
        <v>PVC</v>
      </c>
      <c r="D824" s="68">
        <f>Clothing!K32</f>
        <v>1.4157171662677168</v>
      </c>
      <c r="E824" s="304" t="s">
        <v>2019</v>
      </c>
      <c r="F824" s="972">
        <f>Clothing!O32</f>
        <v>1</v>
      </c>
      <c r="G824" s="224">
        <f>Clothing!P32</f>
        <v>1</v>
      </c>
      <c r="H824" s="224">
        <f>Clothing!Q32</f>
        <v>2</v>
      </c>
      <c r="I824" s="224">
        <f>Clothing!R32</f>
        <v>2</v>
      </c>
      <c r="J824" s="224">
        <f>Clothing!S32</f>
        <v>2</v>
      </c>
      <c r="K824" s="499">
        <f t="shared" si="12"/>
        <v>0.37356464144298934</v>
      </c>
      <c r="L824" s="1208"/>
    </row>
    <row r="825" spans="1:12">
      <c r="A825" s="97" t="s">
        <v>2018</v>
      </c>
      <c r="B825" s="68">
        <f>Clothing!B33</f>
        <v>2012</v>
      </c>
      <c r="C825" s="304" t="str">
        <f>Clothing!C33</f>
        <v>RUBBER</v>
      </c>
      <c r="D825" s="68">
        <f>Clothing!K33</f>
        <v>1.7076731557870968</v>
      </c>
      <c r="E825" s="304" t="s">
        <v>2019</v>
      </c>
      <c r="F825" s="972">
        <f>Clothing!O33</f>
        <v>1</v>
      </c>
      <c r="G825" s="224">
        <f>Clothing!P33</f>
        <v>1</v>
      </c>
      <c r="H825" s="224">
        <f>Clothing!Q33</f>
        <v>2</v>
      </c>
      <c r="I825" s="224">
        <f>Clothing!R33</f>
        <v>2</v>
      </c>
      <c r="J825" s="224">
        <f>Clothing!S33</f>
        <v>2</v>
      </c>
      <c r="K825" s="499">
        <f t="shared" si="12"/>
        <v>0.37356464144298934</v>
      </c>
      <c r="L825" s="1208"/>
    </row>
    <row r="826" spans="1:12">
      <c r="A826" s="97" t="s">
        <v>2018</v>
      </c>
      <c r="B826" s="68">
        <f>Clothing!B34</f>
        <v>2013</v>
      </c>
      <c r="C826" s="304" t="str">
        <f>Clothing!C34</f>
        <v>Acryl</v>
      </c>
      <c r="D826" s="68">
        <f>Clothing!K34</f>
        <v>1.5954357551010401</v>
      </c>
      <c r="E826" s="304" t="s">
        <v>2019</v>
      </c>
      <c r="F826" s="972">
        <f>Clothing!O34</f>
        <v>1</v>
      </c>
      <c r="G826" s="224">
        <f>Clothing!P34</f>
        <v>1</v>
      </c>
      <c r="H826" s="224">
        <f>Clothing!Q34</f>
        <v>2</v>
      </c>
      <c r="I826" s="224">
        <f>Clothing!R34</f>
        <v>2</v>
      </c>
      <c r="J826" s="224">
        <f>Clothing!S34</f>
        <v>2</v>
      </c>
      <c r="K826" s="499">
        <f t="shared" si="12"/>
        <v>0.37356464144298934</v>
      </c>
      <c r="L826" s="1208"/>
    </row>
    <row r="827" spans="1:12">
      <c r="A827" s="97" t="s">
        <v>2018</v>
      </c>
      <c r="B827" s="68">
        <f>Clothing!B35</f>
        <v>2013</v>
      </c>
      <c r="C827" s="304" t="str">
        <f>Clothing!C35</f>
        <v>OTHER</v>
      </c>
      <c r="D827" s="68">
        <f>Clothing!K35</f>
        <v>2.2081898364145029</v>
      </c>
      <c r="E827" s="304" t="s">
        <v>2019</v>
      </c>
      <c r="F827" s="972">
        <f>Clothing!O35</f>
        <v>1</v>
      </c>
      <c r="G827" s="224">
        <f>Clothing!P35</f>
        <v>1</v>
      </c>
      <c r="H827" s="224">
        <f>Clothing!Q35</f>
        <v>2</v>
      </c>
      <c r="I827" s="224">
        <f>Clothing!R35</f>
        <v>2</v>
      </c>
      <c r="J827" s="224">
        <f>Clothing!S35</f>
        <v>2</v>
      </c>
      <c r="K827" s="499">
        <f t="shared" si="12"/>
        <v>0.37356464144298934</v>
      </c>
      <c r="L827" s="1208"/>
    </row>
    <row r="828" spans="1:12">
      <c r="A828" s="97" t="s">
        <v>2018</v>
      </c>
      <c r="B828" s="68">
        <f>Clothing!B36</f>
        <v>2013</v>
      </c>
      <c r="C828" s="304" t="str">
        <f>Clothing!C36</f>
        <v>PA</v>
      </c>
      <c r="D828" s="68">
        <f>Clothing!K36</f>
        <v>4.9208912999779946</v>
      </c>
      <c r="E828" s="304" t="s">
        <v>2019</v>
      </c>
      <c r="F828" s="972">
        <f>Clothing!O36</f>
        <v>1</v>
      </c>
      <c r="G828" s="224">
        <f>Clothing!P36</f>
        <v>1</v>
      </c>
      <c r="H828" s="224">
        <f>Clothing!Q36</f>
        <v>2</v>
      </c>
      <c r="I828" s="224">
        <f>Clothing!R36</f>
        <v>2</v>
      </c>
      <c r="J828" s="224">
        <f>Clothing!S36</f>
        <v>2</v>
      </c>
      <c r="K828" s="499">
        <f t="shared" si="12"/>
        <v>0.37356464144298934</v>
      </c>
      <c r="L828" s="1208"/>
    </row>
    <row r="829" spans="1:12">
      <c r="A829" s="97" t="s">
        <v>2018</v>
      </c>
      <c r="B829" s="68">
        <f>Clothing!B37</f>
        <v>2013</v>
      </c>
      <c r="C829" s="304" t="str">
        <f>Clothing!C37</f>
        <v>PET</v>
      </c>
      <c r="D829" s="68">
        <f>Clothing!K37</f>
        <v>16.849379899160049</v>
      </c>
      <c r="E829" s="304" t="s">
        <v>2019</v>
      </c>
      <c r="F829" s="972">
        <f>Clothing!O37</f>
        <v>1</v>
      </c>
      <c r="G829" s="224">
        <f>Clothing!P37</f>
        <v>1</v>
      </c>
      <c r="H829" s="224">
        <f>Clothing!Q37</f>
        <v>2</v>
      </c>
      <c r="I829" s="224">
        <f>Clothing!R37</f>
        <v>2</v>
      </c>
      <c r="J829" s="224">
        <f>Clothing!S37</f>
        <v>2</v>
      </c>
      <c r="K829" s="499">
        <f t="shared" ref="K829:K892" si="14">IF( OR( ISBLANK(F829),ISBLANK(G829), ISBLANK(H829), ISBLANK(I829), ISBLANK(J829) ), "", 1.5*SQRT(   EXP(2.21*(F829-1)) + EXP(2.21*(G829-1)) + EXP(2.21*(H829-1)) + EXP(2.21*(I829-1)) + EXP(2.21*J829)   )/100*2.45 )</f>
        <v>0.37356464144298934</v>
      </c>
      <c r="L829" s="1208"/>
    </row>
    <row r="830" spans="1:12">
      <c r="A830" s="97" t="s">
        <v>2018</v>
      </c>
      <c r="B830" s="68">
        <f>Clothing!B38</f>
        <v>2013</v>
      </c>
      <c r="C830" s="304" t="str">
        <f>Clothing!C38</f>
        <v>PUR</v>
      </c>
      <c r="D830" s="68">
        <f>Clothing!K38</f>
        <v>2.4115147652126252</v>
      </c>
      <c r="E830" s="304" t="s">
        <v>2019</v>
      </c>
      <c r="F830" s="972">
        <f>Clothing!O38</f>
        <v>1</v>
      </c>
      <c r="G830" s="224">
        <f>Clothing!P38</f>
        <v>1</v>
      </c>
      <c r="H830" s="224">
        <f>Clothing!Q38</f>
        <v>2</v>
      </c>
      <c r="I830" s="224">
        <f>Clothing!R38</f>
        <v>2</v>
      </c>
      <c r="J830" s="224">
        <f>Clothing!S38</f>
        <v>2</v>
      </c>
      <c r="K830" s="499">
        <f t="shared" si="14"/>
        <v>0.37356464144298934</v>
      </c>
      <c r="L830" s="1208"/>
    </row>
    <row r="831" spans="1:12">
      <c r="A831" s="97" t="s">
        <v>2018</v>
      </c>
      <c r="B831" s="68">
        <f>Clothing!B39</f>
        <v>2013</v>
      </c>
      <c r="C831" s="304" t="str">
        <f>Clothing!C39</f>
        <v>PVC</v>
      </c>
      <c r="D831" s="68">
        <f>Clothing!K39</f>
        <v>1.4710856155231335</v>
      </c>
      <c r="E831" s="304" t="s">
        <v>2019</v>
      </c>
      <c r="F831" s="972">
        <f>Clothing!O39</f>
        <v>1</v>
      </c>
      <c r="G831" s="224">
        <f>Clothing!P39</f>
        <v>1</v>
      </c>
      <c r="H831" s="224">
        <f>Clothing!Q39</f>
        <v>2</v>
      </c>
      <c r="I831" s="224">
        <f>Clothing!R39</f>
        <v>2</v>
      </c>
      <c r="J831" s="224">
        <f>Clothing!S39</f>
        <v>2</v>
      </c>
      <c r="K831" s="499">
        <f t="shared" si="14"/>
        <v>0.37356464144298934</v>
      </c>
      <c r="L831" s="1208"/>
    </row>
    <row r="832" spans="1:12">
      <c r="A832" s="97" t="s">
        <v>2018</v>
      </c>
      <c r="B832" s="68">
        <f>Clothing!B40</f>
        <v>2013</v>
      </c>
      <c r="C832" s="304" t="str">
        <f>Clothing!C40</f>
        <v>RUBBER</v>
      </c>
      <c r="D832" s="68">
        <f>Clothing!K40</f>
        <v>1.9350169425510204</v>
      </c>
      <c r="E832" s="304" t="s">
        <v>2019</v>
      </c>
      <c r="F832" s="972">
        <f>Clothing!O40</f>
        <v>1</v>
      </c>
      <c r="G832" s="224">
        <f>Clothing!P40</f>
        <v>1</v>
      </c>
      <c r="H832" s="224">
        <f>Clothing!Q40</f>
        <v>2</v>
      </c>
      <c r="I832" s="224">
        <f>Clothing!R40</f>
        <v>2</v>
      </c>
      <c r="J832" s="224">
        <f>Clothing!S40</f>
        <v>2</v>
      </c>
      <c r="K832" s="499">
        <f t="shared" si="14"/>
        <v>0.37356464144298934</v>
      </c>
      <c r="L832" s="1208"/>
    </row>
    <row r="833" spans="1:12">
      <c r="A833" s="97" t="s">
        <v>2018</v>
      </c>
      <c r="B833" s="68">
        <f>Clothing!B41</f>
        <v>2014</v>
      </c>
      <c r="C833" s="304" t="str">
        <f>Clothing!C41</f>
        <v>Acryl</v>
      </c>
      <c r="D833" s="68">
        <f>Clothing!K41</f>
        <v>1.5404063704184963</v>
      </c>
      <c r="E833" s="304" t="s">
        <v>2019</v>
      </c>
      <c r="F833" s="972">
        <f>Clothing!O41</f>
        <v>1</v>
      </c>
      <c r="G833" s="224">
        <f>Clothing!P41</f>
        <v>1</v>
      </c>
      <c r="H833" s="224">
        <f>Clothing!Q41</f>
        <v>2</v>
      </c>
      <c r="I833" s="224">
        <f>Clothing!R41</f>
        <v>2</v>
      </c>
      <c r="J833" s="224">
        <f>Clothing!S41</f>
        <v>2</v>
      </c>
      <c r="K833" s="499">
        <f t="shared" si="14"/>
        <v>0.37356464144298934</v>
      </c>
      <c r="L833" s="1208"/>
    </row>
    <row r="834" spans="1:12">
      <c r="A834" s="97" t="s">
        <v>2018</v>
      </c>
      <c r="B834" s="68">
        <f>Clothing!B42</f>
        <v>2014</v>
      </c>
      <c r="C834" s="304" t="str">
        <f>Clothing!C42</f>
        <v>OTHER</v>
      </c>
      <c r="D834" s="68">
        <f>Clothing!K42</f>
        <v>2.5737536248991146</v>
      </c>
      <c r="E834" s="304" t="s">
        <v>2019</v>
      </c>
      <c r="F834" s="972">
        <f>Clothing!O42</f>
        <v>1</v>
      </c>
      <c r="G834" s="224">
        <f>Clothing!P42</f>
        <v>1</v>
      </c>
      <c r="H834" s="224">
        <f>Clothing!Q42</f>
        <v>2</v>
      </c>
      <c r="I834" s="224">
        <f>Clothing!R42</f>
        <v>2</v>
      </c>
      <c r="J834" s="224">
        <f>Clothing!S42</f>
        <v>2</v>
      </c>
      <c r="K834" s="499">
        <f t="shared" si="14"/>
        <v>0.37356464144298934</v>
      </c>
      <c r="L834" s="1208"/>
    </row>
    <row r="835" spans="1:12">
      <c r="A835" s="97" t="s">
        <v>2018</v>
      </c>
      <c r="B835" s="68">
        <f>Clothing!B43</f>
        <v>2014</v>
      </c>
      <c r="C835" s="304" t="str">
        <f>Clothing!C43</f>
        <v>PA</v>
      </c>
      <c r="D835" s="68">
        <f>Clothing!K43</f>
        <v>5.2255327979562249</v>
      </c>
      <c r="E835" s="304" t="s">
        <v>2019</v>
      </c>
      <c r="F835" s="972">
        <f>Clothing!O43</f>
        <v>1</v>
      </c>
      <c r="G835" s="224">
        <f>Clothing!P43</f>
        <v>1</v>
      </c>
      <c r="H835" s="224">
        <f>Clothing!Q43</f>
        <v>2</v>
      </c>
      <c r="I835" s="224">
        <f>Clothing!R43</f>
        <v>2</v>
      </c>
      <c r="J835" s="224">
        <f>Clothing!S43</f>
        <v>2</v>
      </c>
      <c r="K835" s="499">
        <f t="shared" si="14"/>
        <v>0.37356464144298934</v>
      </c>
      <c r="L835" s="1208"/>
    </row>
    <row r="836" spans="1:12">
      <c r="A836" s="97" t="s">
        <v>2018</v>
      </c>
      <c r="B836" s="68">
        <f>Clothing!B44</f>
        <v>2014</v>
      </c>
      <c r="C836" s="304" t="str">
        <f>Clothing!C44</f>
        <v>PET</v>
      </c>
      <c r="D836" s="68">
        <f>Clothing!K44</f>
        <v>17.801359571219631</v>
      </c>
      <c r="E836" s="304" t="s">
        <v>2019</v>
      </c>
      <c r="F836" s="972">
        <f>Clothing!O44</f>
        <v>1</v>
      </c>
      <c r="G836" s="224">
        <f>Clothing!P44</f>
        <v>1</v>
      </c>
      <c r="H836" s="224">
        <f>Clothing!Q44</f>
        <v>2</v>
      </c>
      <c r="I836" s="224">
        <f>Clothing!R44</f>
        <v>2</v>
      </c>
      <c r="J836" s="224">
        <f>Clothing!S44</f>
        <v>2</v>
      </c>
      <c r="K836" s="499">
        <f t="shared" si="14"/>
        <v>0.37356464144298934</v>
      </c>
      <c r="L836" s="1208"/>
    </row>
    <row r="837" spans="1:12">
      <c r="A837" s="97" t="s">
        <v>2018</v>
      </c>
      <c r="B837" s="68">
        <f>Clothing!B45</f>
        <v>2014</v>
      </c>
      <c r="C837" s="304" t="str">
        <f>Clothing!C45</f>
        <v>PUR</v>
      </c>
      <c r="D837" s="68">
        <f>Clothing!K45</f>
        <v>2.874671437870802</v>
      </c>
      <c r="E837" s="304" t="s">
        <v>2019</v>
      </c>
      <c r="F837" s="972">
        <f>Clothing!O45</f>
        <v>1</v>
      </c>
      <c r="G837" s="224">
        <f>Clothing!P45</f>
        <v>1</v>
      </c>
      <c r="H837" s="224">
        <f>Clothing!Q45</f>
        <v>2</v>
      </c>
      <c r="I837" s="224">
        <f>Clothing!R45</f>
        <v>2</v>
      </c>
      <c r="J837" s="224">
        <f>Clothing!S45</f>
        <v>2</v>
      </c>
      <c r="K837" s="499">
        <f t="shared" si="14"/>
        <v>0.37356464144298934</v>
      </c>
      <c r="L837" s="1208"/>
    </row>
    <row r="838" spans="1:12">
      <c r="A838" s="97" t="s">
        <v>2018</v>
      </c>
      <c r="B838" s="68">
        <f>Clothing!B46</f>
        <v>2014</v>
      </c>
      <c r="C838" s="304" t="str">
        <f>Clothing!C46</f>
        <v>PVC</v>
      </c>
      <c r="D838" s="68">
        <f>Clothing!K46</f>
        <v>1.751324202478677</v>
      </c>
      <c r="E838" s="304" t="s">
        <v>2019</v>
      </c>
      <c r="F838" s="972">
        <f>Clothing!O46</f>
        <v>1</v>
      </c>
      <c r="G838" s="224">
        <f>Clothing!P46</f>
        <v>1</v>
      </c>
      <c r="H838" s="224">
        <f>Clothing!Q46</f>
        <v>2</v>
      </c>
      <c r="I838" s="224">
        <f>Clothing!R46</f>
        <v>2</v>
      </c>
      <c r="J838" s="224">
        <f>Clothing!S46</f>
        <v>2</v>
      </c>
      <c r="K838" s="499">
        <f t="shared" si="14"/>
        <v>0.37356464144298934</v>
      </c>
      <c r="L838" s="1208"/>
    </row>
    <row r="839" spans="1:12">
      <c r="A839" s="97" t="s">
        <v>2018</v>
      </c>
      <c r="B839" s="68">
        <f>Clothing!B47</f>
        <v>2014</v>
      </c>
      <c r="C839" s="304" t="str">
        <f>Clothing!C47</f>
        <v>RUBBER</v>
      </c>
      <c r="D839" s="68">
        <f>Clothing!K47</f>
        <v>2.259098804879685</v>
      </c>
      <c r="E839" s="304" t="s">
        <v>2019</v>
      </c>
      <c r="F839" s="972">
        <f>Clothing!O47</f>
        <v>1</v>
      </c>
      <c r="G839" s="224">
        <f>Clothing!P47</f>
        <v>1</v>
      </c>
      <c r="H839" s="224">
        <f>Clothing!Q47</f>
        <v>2</v>
      </c>
      <c r="I839" s="224">
        <f>Clothing!R47</f>
        <v>2</v>
      </c>
      <c r="J839" s="224">
        <f>Clothing!S47</f>
        <v>2</v>
      </c>
      <c r="K839" s="499">
        <f t="shared" si="14"/>
        <v>0.37356464144298934</v>
      </c>
      <c r="L839" s="1208"/>
    </row>
    <row r="840" spans="1:12">
      <c r="A840" s="97" t="s">
        <v>2018</v>
      </c>
      <c r="B840" s="68">
        <f>Clothing!B48</f>
        <v>2015</v>
      </c>
      <c r="C840" s="304" t="str">
        <f>Clothing!C48</f>
        <v>Acryl</v>
      </c>
      <c r="D840" s="68">
        <f>Clothing!K48</f>
        <v>1.5060450065381654</v>
      </c>
      <c r="E840" s="304" t="s">
        <v>2019</v>
      </c>
      <c r="F840" s="972">
        <f>Clothing!O48</f>
        <v>1</v>
      </c>
      <c r="G840" s="224">
        <f>Clothing!P48</f>
        <v>1</v>
      </c>
      <c r="H840" s="224">
        <f>Clothing!Q48</f>
        <v>2</v>
      </c>
      <c r="I840" s="224">
        <f>Clothing!R48</f>
        <v>2</v>
      </c>
      <c r="J840" s="224">
        <f>Clothing!S48</f>
        <v>2</v>
      </c>
      <c r="K840" s="499">
        <f t="shared" si="14"/>
        <v>0.37356464144298934</v>
      </c>
      <c r="L840" s="1208"/>
    </row>
    <row r="841" spans="1:12">
      <c r="A841" s="97" t="s">
        <v>2018</v>
      </c>
      <c r="B841" s="68">
        <f>Clothing!B49</f>
        <v>2015</v>
      </c>
      <c r="C841" s="304" t="str">
        <f>Clothing!C49</f>
        <v>OTHER</v>
      </c>
      <c r="D841" s="68">
        <f>Clothing!K49</f>
        <v>2.479497331444235</v>
      </c>
      <c r="E841" s="304" t="s">
        <v>2019</v>
      </c>
      <c r="F841" s="972">
        <f>Clothing!O49</f>
        <v>1</v>
      </c>
      <c r="G841" s="224">
        <f>Clothing!P49</f>
        <v>1</v>
      </c>
      <c r="H841" s="224">
        <f>Clothing!Q49</f>
        <v>2</v>
      </c>
      <c r="I841" s="224">
        <f>Clothing!R49</f>
        <v>2</v>
      </c>
      <c r="J841" s="224">
        <f>Clothing!S49</f>
        <v>2</v>
      </c>
      <c r="K841" s="499">
        <f t="shared" si="14"/>
        <v>0.37356464144298934</v>
      </c>
      <c r="L841" s="1208"/>
    </row>
    <row r="842" spans="1:12">
      <c r="A842" s="97" t="s">
        <v>2018</v>
      </c>
      <c r="B842" s="68">
        <f>Clothing!B50</f>
        <v>2015</v>
      </c>
      <c r="C842" s="304" t="str">
        <f>Clothing!C50</f>
        <v>PA</v>
      </c>
      <c r="D842" s="68">
        <f>Clothing!K50</f>
        <v>4.8648354497808342</v>
      </c>
      <c r="E842" s="304" t="s">
        <v>2019</v>
      </c>
      <c r="F842" s="972">
        <f>Clothing!O50</f>
        <v>1</v>
      </c>
      <c r="G842" s="224">
        <f>Clothing!P50</f>
        <v>1</v>
      </c>
      <c r="H842" s="224">
        <f>Clothing!Q50</f>
        <v>2</v>
      </c>
      <c r="I842" s="224">
        <f>Clothing!R50</f>
        <v>2</v>
      </c>
      <c r="J842" s="224">
        <f>Clothing!S50</f>
        <v>2</v>
      </c>
      <c r="K842" s="499">
        <f t="shared" si="14"/>
        <v>0.37356464144298934</v>
      </c>
      <c r="L842" s="1208"/>
    </row>
    <row r="843" spans="1:12">
      <c r="A843" s="97" t="s">
        <v>2018</v>
      </c>
      <c r="B843" s="68">
        <f>Clothing!B51</f>
        <v>2015</v>
      </c>
      <c r="C843" s="304" t="str">
        <f>Clothing!C51</f>
        <v>PET</v>
      </c>
      <c r="D843" s="68">
        <f>Clothing!K51</f>
        <v>16.52617399214466</v>
      </c>
      <c r="E843" s="304" t="s">
        <v>2019</v>
      </c>
      <c r="F843" s="972">
        <f>Clothing!O51</f>
        <v>1</v>
      </c>
      <c r="G843" s="224">
        <f>Clothing!P51</f>
        <v>1</v>
      </c>
      <c r="H843" s="224">
        <f>Clothing!Q51</f>
        <v>2</v>
      </c>
      <c r="I843" s="224">
        <f>Clothing!R51</f>
        <v>2</v>
      </c>
      <c r="J843" s="224">
        <f>Clothing!S51</f>
        <v>2</v>
      </c>
      <c r="K843" s="499">
        <f t="shared" si="14"/>
        <v>0.37356464144298934</v>
      </c>
      <c r="L843" s="1208"/>
    </row>
    <row r="844" spans="1:12">
      <c r="A844" s="97" t="s">
        <v>2018</v>
      </c>
      <c r="B844" s="68">
        <f>Clothing!B52</f>
        <v>2015</v>
      </c>
      <c r="C844" s="304" t="str">
        <f>Clothing!C52</f>
        <v>PUR</v>
      </c>
      <c r="D844" s="68">
        <f>Clothing!K52</f>
        <v>3.1354022685596021</v>
      </c>
      <c r="E844" s="304" t="s">
        <v>2019</v>
      </c>
      <c r="F844" s="972">
        <f>Clothing!O52</f>
        <v>1</v>
      </c>
      <c r="G844" s="224">
        <f>Clothing!P52</f>
        <v>1</v>
      </c>
      <c r="H844" s="224">
        <f>Clothing!Q52</f>
        <v>2</v>
      </c>
      <c r="I844" s="224">
        <f>Clothing!R52</f>
        <v>2</v>
      </c>
      <c r="J844" s="224">
        <f>Clothing!S52</f>
        <v>2</v>
      </c>
      <c r="K844" s="499">
        <f t="shared" si="14"/>
        <v>0.37356464144298934</v>
      </c>
      <c r="L844" s="1208"/>
    </row>
    <row r="845" spans="1:12">
      <c r="A845" s="97" t="s">
        <v>2018</v>
      </c>
      <c r="B845" s="68">
        <f>Clothing!B53</f>
        <v>2015</v>
      </c>
      <c r="C845" s="304" t="str">
        <f>Clothing!C53</f>
        <v>PVC</v>
      </c>
      <c r="D845" s="68">
        <f>Clothing!K53</f>
        <v>1.9160210369679642</v>
      </c>
      <c r="E845" s="304" t="s">
        <v>2019</v>
      </c>
      <c r="F845" s="972">
        <f>Clothing!O53</f>
        <v>1</v>
      </c>
      <c r="G845" s="224">
        <f>Clothing!P53</f>
        <v>1</v>
      </c>
      <c r="H845" s="224">
        <f>Clothing!Q53</f>
        <v>2</v>
      </c>
      <c r="I845" s="224">
        <f>Clothing!R53</f>
        <v>2</v>
      </c>
      <c r="J845" s="224">
        <f>Clothing!S53</f>
        <v>2</v>
      </c>
      <c r="K845" s="499">
        <f t="shared" si="14"/>
        <v>0.37356464144298934</v>
      </c>
      <c r="L845" s="1208"/>
    </row>
    <row r="846" spans="1:12">
      <c r="A846" s="97" t="s">
        <v>2018</v>
      </c>
      <c r="B846" s="68">
        <f>Clothing!B54</f>
        <v>2015</v>
      </c>
      <c r="C846" s="304" t="str">
        <f>Clothing!C54</f>
        <v>RUBBER</v>
      </c>
      <c r="D846" s="68">
        <f>Clothing!K54</f>
        <v>2.5472507870562899</v>
      </c>
      <c r="E846" s="304" t="s">
        <v>2019</v>
      </c>
      <c r="F846" s="972">
        <f>Clothing!O54</f>
        <v>1</v>
      </c>
      <c r="G846" s="224">
        <f>Clothing!P54</f>
        <v>1</v>
      </c>
      <c r="H846" s="224">
        <f>Clothing!Q54</f>
        <v>2</v>
      </c>
      <c r="I846" s="224">
        <f>Clothing!R54</f>
        <v>2</v>
      </c>
      <c r="J846" s="224">
        <f>Clothing!S54</f>
        <v>2</v>
      </c>
      <c r="K846" s="499">
        <f t="shared" si="14"/>
        <v>0.37356464144298934</v>
      </c>
      <c r="L846" s="1208"/>
    </row>
    <row r="847" spans="1:12">
      <c r="A847" s="97" t="s">
        <v>2018</v>
      </c>
      <c r="B847" s="68">
        <f>Clothing!B55</f>
        <v>2016</v>
      </c>
      <c r="C847" s="304" t="str">
        <f>Clothing!C55</f>
        <v>Acryl</v>
      </c>
      <c r="D847" s="68">
        <f>Clothing!K55</f>
        <v>1.6982389783491778</v>
      </c>
      <c r="E847" s="304" t="s">
        <v>2019</v>
      </c>
      <c r="F847" s="972">
        <f>Clothing!O55</f>
        <v>1</v>
      </c>
      <c r="G847" s="224">
        <f>Clothing!P55</f>
        <v>1</v>
      </c>
      <c r="H847" s="224">
        <f>Clothing!Q55</f>
        <v>2</v>
      </c>
      <c r="I847" s="224">
        <f>Clothing!R55</f>
        <v>2</v>
      </c>
      <c r="J847" s="224">
        <f>Clothing!S55</f>
        <v>2</v>
      </c>
      <c r="K847" s="499">
        <f t="shared" si="14"/>
        <v>0.37356464144298934</v>
      </c>
      <c r="L847" s="1208"/>
    </row>
    <row r="848" spans="1:12">
      <c r="A848" s="97" t="s">
        <v>2018</v>
      </c>
      <c r="B848" s="68">
        <f>Clothing!B56</f>
        <v>2016</v>
      </c>
      <c r="C848" s="304" t="str">
        <f>Clothing!C56</f>
        <v>OTHER</v>
      </c>
      <c r="D848" s="68">
        <f>Clothing!K56</f>
        <v>2.5434254101607494</v>
      </c>
      <c r="E848" s="304" t="s">
        <v>2019</v>
      </c>
      <c r="F848" s="972">
        <f>Clothing!O56</f>
        <v>1</v>
      </c>
      <c r="G848" s="224">
        <f>Clothing!P56</f>
        <v>1</v>
      </c>
      <c r="H848" s="224">
        <f>Clothing!Q56</f>
        <v>2</v>
      </c>
      <c r="I848" s="224">
        <f>Clothing!R56</f>
        <v>2</v>
      </c>
      <c r="J848" s="224">
        <f>Clothing!S56</f>
        <v>2</v>
      </c>
      <c r="K848" s="499">
        <f t="shared" si="14"/>
        <v>0.37356464144298934</v>
      </c>
      <c r="L848" s="1208"/>
    </row>
    <row r="849" spans="1:12">
      <c r="A849" s="97" t="s">
        <v>2018</v>
      </c>
      <c r="B849" s="68">
        <f>Clothing!B57</f>
        <v>2016</v>
      </c>
      <c r="C849" s="304" t="str">
        <f>Clothing!C57</f>
        <v>PA</v>
      </c>
      <c r="D849" s="68">
        <f>Clothing!K57</f>
        <v>5.0900620553904794</v>
      </c>
      <c r="E849" s="304" t="s">
        <v>2019</v>
      </c>
      <c r="F849" s="972">
        <f>Clothing!O57</f>
        <v>1</v>
      </c>
      <c r="G849" s="224">
        <f>Clothing!P57</f>
        <v>1</v>
      </c>
      <c r="H849" s="224">
        <f>Clothing!Q57</f>
        <v>2</v>
      </c>
      <c r="I849" s="224">
        <f>Clothing!R57</f>
        <v>2</v>
      </c>
      <c r="J849" s="224">
        <f>Clothing!S57</f>
        <v>2</v>
      </c>
      <c r="K849" s="499">
        <f t="shared" si="14"/>
        <v>0.37356464144298934</v>
      </c>
      <c r="L849" s="1208"/>
    </row>
    <row r="850" spans="1:12">
      <c r="A850" s="97" t="s">
        <v>2018</v>
      </c>
      <c r="B850" s="68">
        <f>Clothing!B58</f>
        <v>2016</v>
      </c>
      <c r="C850" s="304" t="str">
        <f>Clothing!C58</f>
        <v>PET</v>
      </c>
      <c r="D850" s="68">
        <f>Clothing!K58</f>
        <v>17.876941703227477</v>
      </c>
      <c r="E850" s="304" t="s">
        <v>2019</v>
      </c>
      <c r="F850" s="972">
        <f>Clothing!O58</f>
        <v>1</v>
      </c>
      <c r="G850" s="224">
        <f>Clothing!P58</f>
        <v>1</v>
      </c>
      <c r="H850" s="224">
        <f>Clothing!Q58</f>
        <v>2</v>
      </c>
      <c r="I850" s="224">
        <f>Clothing!R58</f>
        <v>2</v>
      </c>
      <c r="J850" s="224">
        <f>Clothing!S58</f>
        <v>2</v>
      </c>
      <c r="K850" s="499">
        <f t="shared" si="14"/>
        <v>0.37356464144298934</v>
      </c>
      <c r="L850" s="1208"/>
    </row>
    <row r="851" spans="1:12">
      <c r="A851" s="97" t="s">
        <v>2018</v>
      </c>
      <c r="B851" s="68">
        <f>Clothing!B59</f>
        <v>2016</v>
      </c>
      <c r="C851" s="304" t="str">
        <f>Clothing!C59</f>
        <v>PUR</v>
      </c>
      <c r="D851" s="68">
        <f>Clothing!K59</f>
        <v>3.2091331766122209</v>
      </c>
      <c r="E851" s="304" t="s">
        <v>2019</v>
      </c>
      <c r="F851" s="972">
        <f>Clothing!O59</f>
        <v>1</v>
      </c>
      <c r="G851" s="224">
        <f>Clothing!P59</f>
        <v>1</v>
      </c>
      <c r="H851" s="224">
        <f>Clothing!Q59</f>
        <v>2</v>
      </c>
      <c r="I851" s="224">
        <f>Clothing!R59</f>
        <v>2</v>
      </c>
      <c r="J851" s="224">
        <f>Clothing!S59</f>
        <v>2</v>
      </c>
      <c r="K851" s="499">
        <f t="shared" si="14"/>
        <v>0.37356464144298934</v>
      </c>
      <c r="L851" s="1208"/>
    </row>
    <row r="852" spans="1:12">
      <c r="A852" s="97" t="s">
        <v>2018</v>
      </c>
      <c r="B852" s="68">
        <f>Clothing!B60</f>
        <v>2016</v>
      </c>
      <c r="C852" s="304" t="str">
        <f>Clothing!C60</f>
        <v>PVC</v>
      </c>
      <c r="D852" s="68">
        <f>Clothing!K60</f>
        <v>1.9418985690748349</v>
      </c>
      <c r="E852" s="304" t="s">
        <v>2019</v>
      </c>
      <c r="F852" s="972">
        <f>Clothing!O60</f>
        <v>1</v>
      </c>
      <c r="G852" s="224">
        <f>Clothing!P60</f>
        <v>1</v>
      </c>
      <c r="H852" s="224">
        <f>Clothing!Q60</f>
        <v>2</v>
      </c>
      <c r="I852" s="224">
        <f>Clothing!R60</f>
        <v>2</v>
      </c>
      <c r="J852" s="224">
        <f>Clothing!S60</f>
        <v>2</v>
      </c>
      <c r="K852" s="499">
        <f t="shared" si="14"/>
        <v>0.37356464144298934</v>
      </c>
      <c r="L852" s="1208"/>
    </row>
    <row r="853" spans="1:12">
      <c r="A853" s="97" t="s">
        <v>2018</v>
      </c>
      <c r="B853" s="68">
        <f>Clothing!B61</f>
        <v>2016</v>
      </c>
      <c r="C853" s="304" t="str">
        <f>Clothing!C61</f>
        <v>RUBBER</v>
      </c>
      <c r="D853" s="68">
        <f>Clothing!K61</f>
        <v>2.3864713261493793</v>
      </c>
      <c r="E853" s="304" t="s">
        <v>2019</v>
      </c>
      <c r="F853" s="972">
        <f>Clothing!O61</f>
        <v>1</v>
      </c>
      <c r="G853" s="224">
        <f>Clothing!P61</f>
        <v>1</v>
      </c>
      <c r="H853" s="224">
        <f>Clothing!Q61</f>
        <v>2</v>
      </c>
      <c r="I853" s="224">
        <f>Clothing!R61</f>
        <v>2</v>
      </c>
      <c r="J853" s="224">
        <f>Clothing!S61</f>
        <v>2</v>
      </c>
      <c r="K853" s="499">
        <f t="shared" si="14"/>
        <v>0.37356464144298934</v>
      </c>
      <c r="L853" s="1208"/>
    </row>
    <row r="854" spans="1:12">
      <c r="A854" s="97" t="s">
        <v>2018</v>
      </c>
      <c r="B854" s="68">
        <f>Clothing!B62</f>
        <v>2017</v>
      </c>
      <c r="C854" s="304" t="str">
        <f>Clothing!C62</f>
        <v>Acryl</v>
      </c>
      <c r="D854" s="68">
        <f>Clothing!K62</f>
        <v>1.3476085475795865</v>
      </c>
      <c r="E854" s="304" t="s">
        <v>2019</v>
      </c>
      <c r="F854" s="972">
        <f>Clothing!O62</f>
        <v>1</v>
      </c>
      <c r="G854" s="224">
        <f>Clothing!P62</f>
        <v>1</v>
      </c>
      <c r="H854" s="224">
        <f>Clothing!Q62</f>
        <v>2</v>
      </c>
      <c r="I854" s="224">
        <f>Clothing!R62</f>
        <v>2</v>
      </c>
      <c r="J854" s="224">
        <f>Clothing!S62</f>
        <v>2</v>
      </c>
      <c r="K854" s="499">
        <f t="shared" si="14"/>
        <v>0.37356464144298934</v>
      </c>
      <c r="L854" s="1208"/>
    </row>
    <row r="855" spans="1:12">
      <c r="A855" s="97" t="s">
        <v>2018</v>
      </c>
      <c r="B855" s="68">
        <f>Clothing!B63</f>
        <v>2017</v>
      </c>
      <c r="C855" s="304" t="str">
        <f>Clothing!C63</f>
        <v>OTHER</v>
      </c>
      <c r="D855" s="68">
        <f>Clothing!K63</f>
        <v>2.1250679919048392</v>
      </c>
      <c r="E855" s="304" t="s">
        <v>2019</v>
      </c>
      <c r="F855" s="972">
        <f>Clothing!O63</f>
        <v>1</v>
      </c>
      <c r="G855" s="224">
        <f>Clothing!P63</f>
        <v>1</v>
      </c>
      <c r="H855" s="224">
        <f>Clothing!Q63</f>
        <v>2</v>
      </c>
      <c r="I855" s="224">
        <f>Clothing!R63</f>
        <v>2</v>
      </c>
      <c r="J855" s="224">
        <f>Clothing!S63</f>
        <v>2</v>
      </c>
      <c r="K855" s="499">
        <f t="shared" si="14"/>
        <v>0.37356464144298934</v>
      </c>
      <c r="L855" s="1208"/>
    </row>
    <row r="856" spans="1:12">
      <c r="A856" s="97" t="s">
        <v>2018</v>
      </c>
      <c r="B856" s="68">
        <f>Clothing!B64</f>
        <v>2017</v>
      </c>
      <c r="C856" s="304" t="str">
        <f>Clothing!C64</f>
        <v>PA</v>
      </c>
      <c r="D856" s="68">
        <f>Clothing!K64</f>
        <v>4.1809981199590309</v>
      </c>
      <c r="E856" s="304" t="s">
        <v>2019</v>
      </c>
      <c r="F856" s="972">
        <f>Clothing!O64</f>
        <v>1</v>
      </c>
      <c r="G856" s="224">
        <f>Clothing!P64</f>
        <v>1</v>
      </c>
      <c r="H856" s="224">
        <f>Clothing!Q64</f>
        <v>2</v>
      </c>
      <c r="I856" s="224">
        <f>Clothing!R64</f>
        <v>2</v>
      </c>
      <c r="J856" s="224">
        <f>Clothing!S64</f>
        <v>2</v>
      </c>
      <c r="K856" s="499">
        <f t="shared" si="14"/>
        <v>0.37356464144298934</v>
      </c>
      <c r="L856" s="1208"/>
    </row>
    <row r="857" spans="1:12">
      <c r="A857" s="97" t="s">
        <v>2018</v>
      </c>
      <c r="B857" s="68">
        <f>Clothing!B65</f>
        <v>2017</v>
      </c>
      <c r="C857" s="304" t="str">
        <f>Clothing!C65</f>
        <v>PET</v>
      </c>
      <c r="D857" s="68">
        <f>Clothing!K65</f>
        <v>14.346766087931323</v>
      </c>
      <c r="E857" s="304" t="s">
        <v>2019</v>
      </c>
      <c r="F857" s="972">
        <f>Clothing!O65</f>
        <v>1</v>
      </c>
      <c r="G857" s="224">
        <f>Clothing!P65</f>
        <v>1</v>
      </c>
      <c r="H857" s="224">
        <f>Clothing!Q65</f>
        <v>2</v>
      </c>
      <c r="I857" s="224">
        <f>Clothing!R65</f>
        <v>2</v>
      </c>
      <c r="J857" s="224">
        <f>Clothing!S65</f>
        <v>2</v>
      </c>
      <c r="K857" s="499">
        <f t="shared" si="14"/>
        <v>0.37356464144298934</v>
      </c>
      <c r="L857" s="1208"/>
    </row>
    <row r="858" spans="1:12">
      <c r="A858" s="97" t="s">
        <v>2018</v>
      </c>
      <c r="B858" s="68">
        <f>Clothing!B66</f>
        <v>2017</v>
      </c>
      <c r="C858" s="304" t="str">
        <f>Clothing!C66</f>
        <v>PUR</v>
      </c>
      <c r="D858" s="68">
        <f>Clothing!K66</f>
        <v>2.6934109600628076</v>
      </c>
      <c r="E858" s="304" t="s">
        <v>2019</v>
      </c>
      <c r="F858" s="972">
        <f>Clothing!O66</f>
        <v>1</v>
      </c>
      <c r="G858" s="224">
        <f>Clothing!P66</f>
        <v>1</v>
      </c>
      <c r="H858" s="224">
        <f>Clothing!Q66</f>
        <v>2</v>
      </c>
      <c r="I858" s="224">
        <f>Clothing!R66</f>
        <v>2</v>
      </c>
      <c r="J858" s="224">
        <f>Clothing!S66</f>
        <v>2</v>
      </c>
      <c r="K858" s="499">
        <f t="shared" si="14"/>
        <v>0.37356464144298934</v>
      </c>
      <c r="L858" s="1208"/>
    </row>
    <row r="859" spans="1:12">
      <c r="A859" s="97" t="s">
        <v>2018</v>
      </c>
      <c r="B859" s="68">
        <f>Clothing!B67</f>
        <v>2017</v>
      </c>
      <c r="C859" s="304" t="str">
        <f>Clothing!C67</f>
        <v>PVC</v>
      </c>
      <c r="D859" s="68">
        <f>Clothing!K67</f>
        <v>1.6372265489074882</v>
      </c>
      <c r="E859" s="304" t="s">
        <v>2019</v>
      </c>
      <c r="F859" s="972">
        <f>Clothing!O67</f>
        <v>1</v>
      </c>
      <c r="G859" s="224">
        <f>Clothing!P67</f>
        <v>1</v>
      </c>
      <c r="H859" s="224">
        <f>Clothing!Q67</f>
        <v>2</v>
      </c>
      <c r="I859" s="224">
        <f>Clothing!R67</f>
        <v>2</v>
      </c>
      <c r="J859" s="224">
        <f>Clothing!S67</f>
        <v>2</v>
      </c>
      <c r="K859" s="499">
        <f t="shared" si="14"/>
        <v>0.37356464144298934</v>
      </c>
      <c r="L859" s="1208"/>
    </row>
    <row r="860" spans="1:12">
      <c r="A860" s="97" t="s">
        <v>2018</v>
      </c>
      <c r="B860" s="68">
        <f>Clothing!B68</f>
        <v>2017</v>
      </c>
      <c r="C860" s="304" t="str">
        <f>Clothing!C68</f>
        <v>RUBBER</v>
      </c>
      <c r="D860" s="68">
        <f>Clothing!K68</f>
        <v>2.0738727761167604</v>
      </c>
      <c r="E860" s="304" t="s">
        <v>2019</v>
      </c>
      <c r="F860" s="972">
        <f>Clothing!O68</f>
        <v>1</v>
      </c>
      <c r="G860" s="224">
        <f>Clothing!P68</f>
        <v>1</v>
      </c>
      <c r="H860" s="224">
        <f>Clothing!Q68</f>
        <v>2</v>
      </c>
      <c r="I860" s="224">
        <f>Clothing!R68</f>
        <v>2</v>
      </c>
      <c r="J860" s="224">
        <f>Clothing!S68</f>
        <v>2</v>
      </c>
      <c r="K860" s="499">
        <f t="shared" si="14"/>
        <v>0.37356464144298934</v>
      </c>
      <c r="L860" s="1208"/>
    </row>
    <row r="861" spans="1:12">
      <c r="A861" s="97" t="s">
        <v>2018</v>
      </c>
      <c r="B861" s="68">
        <f>Clothing!B69</f>
        <v>2018</v>
      </c>
      <c r="C861" s="304" t="str">
        <f>Clothing!C69</f>
        <v>Acryl</v>
      </c>
      <c r="D861" s="68">
        <f>Clothing!K69</f>
        <v>1.5107243312004104</v>
      </c>
      <c r="E861" s="304" t="s">
        <v>2019</v>
      </c>
      <c r="F861" s="972">
        <f>Clothing!O69</f>
        <v>1</v>
      </c>
      <c r="G861" s="224">
        <f>Clothing!P69</f>
        <v>1</v>
      </c>
      <c r="H861" s="224">
        <f>Clothing!Q69</f>
        <v>2</v>
      </c>
      <c r="I861" s="224">
        <f>Clothing!R69</f>
        <v>2</v>
      </c>
      <c r="J861" s="224">
        <f>Clothing!S69</f>
        <v>2</v>
      </c>
      <c r="K861" s="499">
        <f t="shared" si="14"/>
        <v>0.37356464144298934</v>
      </c>
      <c r="L861" s="1208"/>
    </row>
    <row r="862" spans="1:12">
      <c r="A862" s="97" t="s">
        <v>2018</v>
      </c>
      <c r="B862" s="68">
        <f>Clothing!B70</f>
        <v>2018</v>
      </c>
      <c r="C862" s="304" t="str">
        <f>Clothing!C70</f>
        <v>OTHER</v>
      </c>
      <c r="D862" s="68">
        <f>Clothing!K70</f>
        <v>2.8087018300220592</v>
      </c>
      <c r="E862" s="304" t="s">
        <v>2019</v>
      </c>
      <c r="F862" s="972">
        <f>Clothing!O70</f>
        <v>1</v>
      </c>
      <c r="G862" s="224">
        <f>Clothing!P70</f>
        <v>1</v>
      </c>
      <c r="H862" s="224">
        <f>Clothing!Q70</f>
        <v>2</v>
      </c>
      <c r="I862" s="224">
        <f>Clothing!R70</f>
        <v>2</v>
      </c>
      <c r="J862" s="224">
        <f>Clothing!S70</f>
        <v>2</v>
      </c>
      <c r="K862" s="499">
        <f t="shared" si="14"/>
        <v>0.37356464144298934</v>
      </c>
      <c r="L862" s="1208"/>
    </row>
    <row r="863" spans="1:12">
      <c r="A863" s="97" t="s">
        <v>2018</v>
      </c>
      <c r="B863" s="68">
        <f>Clothing!B71</f>
        <v>2018</v>
      </c>
      <c r="C863" s="304" t="str">
        <f>Clothing!C71</f>
        <v>PA</v>
      </c>
      <c r="D863" s="68">
        <f>Clothing!K71</f>
        <v>4.842780655582084</v>
      </c>
      <c r="E863" s="304" t="s">
        <v>2019</v>
      </c>
      <c r="F863" s="972">
        <f>Clothing!O71</f>
        <v>1</v>
      </c>
      <c r="G863" s="224">
        <f>Clothing!P71</f>
        <v>1</v>
      </c>
      <c r="H863" s="224">
        <f>Clothing!Q71</f>
        <v>2</v>
      </c>
      <c r="I863" s="224">
        <f>Clothing!R71</f>
        <v>2</v>
      </c>
      <c r="J863" s="224">
        <f>Clothing!S71</f>
        <v>2</v>
      </c>
      <c r="K863" s="499">
        <f t="shared" si="14"/>
        <v>0.37356464144298934</v>
      </c>
      <c r="L863" s="1208"/>
    </row>
    <row r="864" spans="1:12">
      <c r="A864" s="97" t="s">
        <v>2018</v>
      </c>
      <c r="B864" s="68">
        <f>Clothing!B72</f>
        <v>2018</v>
      </c>
      <c r="C864" s="304" t="str">
        <f>Clothing!C72</f>
        <v>PET</v>
      </c>
      <c r="D864" s="68">
        <f>Clothing!K72</f>
        <v>17.777807853284898</v>
      </c>
      <c r="E864" s="304" t="s">
        <v>2019</v>
      </c>
      <c r="F864" s="972">
        <f>Clothing!O72</f>
        <v>1</v>
      </c>
      <c r="G864" s="224">
        <f>Clothing!P72</f>
        <v>1</v>
      </c>
      <c r="H864" s="224">
        <f>Clothing!Q72</f>
        <v>2</v>
      </c>
      <c r="I864" s="224">
        <f>Clothing!R72</f>
        <v>2</v>
      </c>
      <c r="J864" s="224">
        <f>Clothing!S72</f>
        <v>2</v>
      </c>
      <c r="K864" s="499">
        <f t="shared" si="14"/>
        <v>0.37356464144298934</v>
      </c>
      <c r="L864" s="1208"/>
    </row>
    <row r="865" spans="1:12">
      <c r="A865" s="97" t="s">
        <v>2018</v>
      </c>
      <c r="B865" s="68">
        <f>Clothing!B73</f>
        <v>2018</v>
      </c>
      <c r="C865" s="304" t="str">
        <f>Clothing!C73</f>
        <v>PUR</v>
      </c>
      <c r="D865" s="68">
        <f>Clothing!K73</f>
        <v>2.8042744016877612</v>
      </c>
      <c r="E865" s="304" t="s">
        <v>2019</v>
      </c>
      <c r="F865" s="972">
        <f>Clothing!O73</f>
        <v>1</v>
      </c>
      <c r="G865" s="224">
        <f>Clothing!P73</f>
        <v>1</v>
      </c>
      <c r="H865" s="224">
        <f>Clothing!Q73</f>
        <v>2</v>
      </c>
      <c r="I865" s="224">
        <f>Clothing!R73</f>
        <v>2</v>
      </c>
      <c r="J865" s="224">
        <f>Clothing!S73</f>
        <v>2</v>
      </c>
      <c r="K865" s="499">
        <f t="shared" si="14"/>
        <v>0.37356464144298934</v>
      </c>
      <c r="L865" s="1208"/>
    </row>
    <row r="866" spans="1:12">
      <c r="A866" s="97" t="s">
        <v>2018</v>
      </c>
      <c r="B866" s="68">
        <f>Clothing!B74</f>
        <v>2018</v>
      </c>
      <c r="C866" s="304" t="str">
        <f>Clothing!C74</f>
        <v>PVC</v>
      </c>
      <c r="D866" s="68">
        <f>Clothing!K74</f>
        <v>1.7252653716248978</v>
      </c>
      <c r="E866" s="304" t="s">
        <v>2019</v>
      </c>
      <c r="F866" s="972">
        <f>Clothing!O74</f>
        <v>1</v>
      </c>
      <c r="G866" s="224">
        <f>Clothing!P74</f>
        <v>1</v>
      </c>
      <c r="H866" s="224">
        <f>Clothing!Q74</f>
        <v>2</v>
      </c>
      <c r="I866" s="224">
        <f>Clothing!R74</f>
        <v>2</v>
      </c>
      <c r="J866" s="224">
        <f>Clothing!S74</f>
        <v>2</v>
      </c>
      <c r="K866" s="499">
        <f t="shared" si="14"/>
        <v>0.37356464144298934</v>
      </c>
      <c r="L866" s="1208"/>
    </row>
    <row r="867" spans="1:12">
      <c r="A867" s="97" t="s">
        <v>2018</v>
      </c>
      <c r="B867" s="68">
        <f>Clothing!B75</f>
        <v>2018</v>
      </c>
      <c r="C867" s="304" t="str">
        <f>Clothing!C75</f>
        <v>RUBBER</v>
      </c>
      <c r="D867" s="68">
        <f>Clothing!K75</f>
        <v>2.5371011305378288</v>
      </c>
      <c r="E867" s="304" t="s">
        <v>2019</v>
      </c>
      <c r="F867" s="972">
        <f>Clothing!O75</f>
        <v>1</v>
      </c>
      <c r="G867" s="224">
        <f>Clothing!P75</f>
        <v>1</v>
      </c>
      <c r="H867" s="224">
        <f>Clothing!Q75</f>
        <v>2</v>
      </c>
      <c r="I867" s="224">
        <f>Clothing!R75</f>
        <v>2</v>
      </c>
      <c r="J867" s="224">
        <f>Clothing!S75</f>
        <v>2</v>
      </c>
      <c r="K867" s="499">
        <f t="shared" si="14"/>
        <v>0.37356464144298934</v>
      </c>
      <c r="L867" s="1208"/>
    </row>
    <row r="868" spans="1:12">
      <c r="A868" s="97" t="s">
        <v>2018</v>
      </c>
      <c r="B868" s="68">
        <f>Clothing!B76</f>
        <v>2019</v>
      </c>
      <c r="C868" s="304" t="str">
        <f>Clothing!C76</f>
        <v>Acryl</v>
      </c>
      <c r="D868" s="68">
        <f>Clothing!K76</f>
        <v>1.3447711415589885</v>
      </c>
      <c r="E868" s="304" t="s">
        <v>2019</v>
      </c>
      <c r="F868" s="972">
        <f>Clothing!O76</f>
        <v>1</v>
      </c>
      <c r="G868" s="224">
        <f>Clothing!P76</f>
        <v>1</v>
      </c>
      <c r="H868" s="224">
        <f>Clothing!Q76</f>
        <v>2</v>
      </c>
      <c r="I868" s="224">
        <f>Clothing!R76</f>
        <v>2</v>
      </c>
      <c r="J868" s="224">
        <f>Clothing!S76</f>
        <v>2</v>
      </c>
      <c r="K868" s="499">
        <f t="shared" si="14"/>
        <v>0.37356464144298934</v>
      </c>
      <c r="L868" s="1208"/>
    </row>
    <row r="869" spans="1:12">
      <c r="A869" s="97" t="s">
        <v>2018</v>
      </c>
      <c r="B869" s="68">
        <f>Clothing!B77</f>
        <v>2019</v>
      </c>
      <c r="C869" s="304" t="str">
        <f>Clothing!C77</f>
        <v>OTHER</v>
      </c>
      <c r="D869" s="68">
        <f>Clothing!K77</f>
        <v>2.315580122117304</v>
      </c>
      <c r="E869" s="304" t="s">
        <v>2019</v>
      </c>
      <c r="F869" s="972">
        <f>Clothing!O77</f>
        <v>1</v>
      </c>
      <c r="G869" s="224">
        <f>Clothing!P77</f>
        <v>1</v>
      </c>
      <c r="H869" s="224">
        <f>Clothing!Q77</f>
        <v>2</v>
      </c>
      <c r="I869" s="224">
        <f>Clothing!R77</f>
        <v>2</v>
      </c>
      <c r="J869" s="224">
        <f>Clothing!S77</f>
        <v>2</v>
      </c>
      <c r="K869" s="499">
        <f t="shared" si="14"/>
        <v>0.37356464144298934</v>
      </c>
      <c r="L869" s="1208"/>
    </row>
    <row r="870" spans="1:12">
      <c r="A870" s="97" t="s">
        <v>2018</v>
      </c>
      <c r="B870" s="68">
        <f>Clothing!B78</f>
        <v>2019</v>
      </c>
      <c r="C870" s="304" t="str">
        <f>Clothing!C78</f>
        <v>PA</v>
      </c>
      <c r="D870" s="68">
        <f>Clothing!K78</f>
        <v>4.017638981562472</v>
      </c>
      <c r="E870" s="304" t="s">
        <v>2019</v>
      </c>
      <c r="F870" s="972">
        <f>Clothing!O78</f>
        <v>1</v>
      </c>
      <c r="G870" s="224">
        <f>Clothing!P78</f>
        <v>1</v>
      </c>
      <c r="H870" s="224">
        <f>Clothing!Q78</f>
        <v>2</v>
      </c>
      <c r="I870" s="224">
        <f>Clothing!R78</f>
        <v>2</v>
      </c>
      <c r="J870" s="224">
        <f>Clothing!S78</f>
        <v>2</v>
      </c>
      <c r="K870" s="499">
        <f t="shared" si="14"/>
        <v>0.37356464144298934</v>
      </c>
      <c r="L870" s="1208"/>
    </row>
    <row r="871" spans="1:12">
      <c r="A871" s="97" t="s">
        <v>2018</v>
      </c>
      <c r="B871" s="68">
        <f>Clothing!B79</f>
        <v>2019</v>
      </c>
      <c r="C871" s="304" t="str">
        <f>Clothing!C79</f>
        <v>PET</v>
      </c>
      <c r="D871" s="68">
        <f>Clothing!K79</f>
        <v>14.305345755883033</v>
      </c>
      <c r="E871" s="304" t="s">
        <v>2019</v>
      </c>
      <c r="F871" s="972">
        <f>Clothing!O79</f>
        <v>1</v>
      </c>
      <c r="G871" s="224">
        <f>Clothing!P79</f>
        <v>1</v>
      </c>
      <c r="H871" s="224">
        <f>Clothing!Q79</f>
        <v>2</v>
      </c>
      <c r="I871" s="224">
        <f>Clothing!R79</f>
        <v>2</v>
      </c>
      <c r="J871" s="224">
        <f>Clothing!S79</f>
        <v>2</v>
      </c>
      <c r="K871" s="499">
        <f t="shared" si="14"/>
        <v>0.37356464144298934</v>
      </c>
      <c r="L871" s="1208"/>
    </row>
    <row r="872" spans="1:12">
      <c r="A872" s="97" t="s">
        <v>2018</v>
      </c>
      <c r="B872" s="68">
        <f>Clothing!B80</f>
        <v>2019</v>
      </c>
      <c r="C872" s="304" t="str">
        <f>Clothing!C80</f>
        <v>PUR</v>
      </c>
      <c r="D872" s="68">
        <f>Clothing!K80</f>
        <v>2.5069411174429326</v>
      </c>
      <c r="E872" s="304" t="s">
        <v>2019</v>
      </c>
      <c r="F872" s="972">
        <f>Clothing!O80</f>
        <v>1</v>
      </c>
      <c r="G872" s="224">
        <f>Clothing!P80</f>
        <v>1</v>
      </c>
      <c r="H872" s="224">
        <f>Clothing!Q80</f>
        <v>2</v>
      </c>
      <c r="I872" s="224">
        <f>Clothing!R80</f>
        <v>2</v>
      </c>
      <c r="J872" s="224">
        <f>Clothing!S80</f>
        <v>2</v>
      </c>
      <c r="K872" s="499">
        <f t="shared" si="14"/>
        <v>0.37356464144298934</v>
      </c>
      <c r="L872" s="1208"/>
    </row>
    <row r="873" spans="1:12">
      <c r="A873" s="97" t="s">
        <v>2018</v>
      </c>
      <c r="B873" s="68">
        <f>Clothing!B81</f>
        <v>2019</v>
      </c>
      <c r="C873" s="304" t="str">
        <f>Clothing!C81</f>
        <v>PVC</v>
      </c>
      <c r="D873" s="68">
        <f>Clothing!K81</f>
        <v>1.5229676648828026</v>
      </c>
      <c r="E873" s="304" t="s">
        <v>2019</v>
      </c>
      <c r="F873" s="972">
        <f>Clothing!O81</f>
        <v>1</v>
      </c>
      <c r="G873" s="224">
        <f>Clothing!P81</f>
        <v>1</v>
      </c>
      <c r="H873" s="224">
        <f>Clothing!Q81</f>
        <v>2</v>
      </c>
      <c r="I873" s="224">
        <f>Clothing!R81</f>
        <v>2</v>
      </c>
      <c r="J873" s="224">
        <f>Clothing!S81</f>
        <v>2</v>
      </c>
      <c r="K873" s="499">
        <f t="shared" si="14"/>
        <v>0.37356464144298934</v>
      </c>
      <c r="L873" s="1208"/>
    </row>
    <row r="874" spans="1:12">
      <c r="A874" s="97" t="s">
        <v>2018</v>
      </c>
      <c r="B874" s="68">
        <f>Clothing!B82</f>
        <v>2019</v>
      </c>
      <c r="C874" s="304" t="str">
        <f>Clothing!C82</f>
        <v>RUBBER</v>
      </c>
      <c r="D874" s="68">
        <f>Clothing!K82</f>
        <v>1.9873782234100279</v>
      </c>
      <c r="E874" s="304" t="s">
        <v>2019</v>
      </c>
      <c r="F874" s="972">
        <f>Clothing!O82</f>
        <v>1</v>
      </c>
      <c r="G874" s="224">
        <f>Clothing!P82</f>
        <v>1</v>
      </c>
      <c r="H874" s="224">
        <f>Clothing!Q82</f>
        <v>2</v>
      </c>
      <c r="I874" s="224">
        <f>Clothing!R82</f>
        <v>2</v>
      </c>
      <c r="J874" s="224">
        <f>Clothing!S82</f>
        <v>2</v>
      </c>
      <c r="K874" s="499">
        <f t="shared" si="14"/>
        <v>0.37356464144298934</v>
      </c>
      <c r="L874" s="1208"/>
    </row>
    <row r="875" spans="1:12">
      <c r="A875" s="97" t="s">
        <v>2018</v>
      </c>
      <c r="B875" s="68">
        <f>Clothing!B83</f>
        <v>2020</v>
      </c>
      <c r="C875" s="304" t="str">
        <f>Clothing!C83</f>
        <v>Acryl</v>
      </c>
      <c r="D875" s="68">
        <f>Clothing!K83</f>
        <v>0.57858596025803455</v>
      </c>
      <c r="E875" s="304" t="s">
        <v>2019</v>
      </c>
      <c r="F875" s="972">
        <f>Clothing!O83</f>
        <v>1</v>
      </c>
      <c r="G875" s="224">
        <f>Clothing!P83</f>
        <v>1</v>
      </c>
      <c r="H875" s="224">
        <f>Clothing!Q83</f>
        <v>2</v>
      </c>
      <c r="I875" s="224">
        <f>Clothing!R83</f>
        <v>2</v>
      </c>
      <c r="J875" s="224">
        <f>Clothing!S83</f>
        <v>2</v>
      </c>
      <c r="K875" s="499">
        <f t="shared" si="14"/>
        <v>0.37356464144298934</v>
      </c>
      <c r="L875" s="1208"/>
    </row>
    <row r="876" spans="1:12">
      <c r="A876" s="97" t="s">
        <v>2018</v>
      </c>
      <c r="B876" s="68">
        <f>Clothing!B84</f>
        <v>2020</v>
      </c>
      <c r="C876" s="304" t="str">
        <f>Clothing!C84</f>
        <v>OTHER</v>
      </c>
      <c r="D876" s="68">
        <f>Clothing!K84</f>
        <v>0.90056656978790939</v>
      </c>
      <c r="E876" s="304" t="s">
        <v>2019</v>
      </c>
      <c r="F876" s="972">
        <f>Clothing!O84</f>
        <v>1</v>
      </c>
      <c r="G876" s="224">
        <f>Clothing!P84</f>
        <v>1</v>
      </c>
      <c r="H876" s="224">
        <f>Clothing!Q84</f>
        <v>2</v>
      </c>
      <c r="I876" s="224">
        <f>Clothing!R84</f>
        <v>2</v>
      </c>
      <c r="J876" s="224">
        <f>Clothing!S84</f>
        <v>2</v>
      </c>
      <c r="K876" s="499">
        <f t="shared" si="14"/>
        <v>0.37356464144298934</v>
      </c>
      <c r="L876" s="1208"/>
    </row>
    <row r="877" spans="1:12">
      <c r="A877" s="97" t="s">
        <v>2018</v>
      </c>
      <c r="B877" s="68">
        <f>Clothing!B85</f>
        <v>2020</v>
      </c>
      <c r="C877" s="304" t="str">
        <f>Clothing!C85</f>
        <v>PA</v>
      </c>
      <c r="D877" s="68">
        <f>Clothing!K85</f>
        <v>1.6084299939221018</v>
      </c>
      <c r="E877" s="304" t="s">
        <v>2019</v>
      </c>
      <c r="F877" s="972">
        <f>Clothing!O85</f>
        <v>1</v>
      </c>
      <c r="G877" s="224">
        <f>Clothing!P85</f>
        <v>1</v>
      </c>
      <c r="H877" s="224">
        <f>Clothing!Q85</f>
        <v>2</v>
      </c>
      <c r="I877" s="224">
        <f>Clothing!R85</f>
        <v>2</v>
      </c>
      <c r="J877" s="224">
        <f>Clothing!S85</f>
        <v>2</v>
      </c>
      <c r="K877" s="499">
        <f t="shared" si="14"/>
        <v>0.37356464144298934</v>
      </c>
      <c r="L877" s="1208"/>
    </row>
    <row r="878" spans="1:12">
      <c r="A878" s="97" t="s">
        <v>2018</v>
      </c>
      <c r="B878" s="68">
        <f>Clothing!B86</f>
        <v>2020</v>
      </c>
      <c r="C878" s="304" t="str">
        <f>Clothing!C86</f>
        <v>PET</v>
      </c>
      <c r="D878" s="68">
        <f>Clothing!K86</f>
        <v>5.2448376028356725</v>
      </c>
      <c r="E878" s="304" t="s">
        <v>2019</v>
      </c>
      <c r="F878" s="972">
        <f>Clothing!O86</f>
        <v>1</v>
      </c>
      <c r="G878" s="224">
        <f>Clothing!P86</f>
        <v>1</v>
      </c>
      <c r="H878" s="224">
        <f>Clothing!Q86</f>
        <v>2</v>
      </c>
      <c r="I878" s="224">
        <f>Clothing!R86</f>
        <v>2</v>
      </c>
      <c r="J878" s="224">
        <f>Clothing!S86</f>
        <v>2</v>
      </c>
      <c r="K878" s="499">
        <f t="shared" si="14"/>
        <v>0.37356464144298934</v>
      </c>
      <c r="L878" s="1208"/>
    </row>
    <row r="879" spans="1:12">
      <c r="A879" s="97" t="s">
        <v>2018</v>
      </c>
      <c r="B879" s="68">
        <f>Clothing!B87</f>
        <v>2020</v>
      </c>
      <c r="C879" s="304" t="str">
        <f>Clothing!C87</f>
        <v>PUR</v>
      </c>
      <c r="D879" s="68">
        <f>Clothing!K87</f>
        <v>1.7182711118673464</v>
      </c>
      <c r="E879" s="304" t="s">
        <v>2019</v>
      </c>
      <c r="F879" s="972">
        <f>Clothing!O87</f>
        <v>1</v>
      </c>
      <c r="G879" s="224">
        <f>Clothing!P87</f>
        <v>1</v>
      </c>
      <c r="H879" s="224">
        <f>Clothing!Q87</f>
        <v>2</v>
      </c>
      <c r="I879" s="224">
        <f>Clothing!R87</f>
        <v>2</v>
      </c>
      <c r="J879" s="224">
        <f>Clothing!S87</f>
        <v>2</v>
      </c>
      <c r="K879" s="499">
        <f t="shared" si="14"/>
        <v>0.37356464144298934</v>
      </c>
      <c r="L879" s="1208"/>
    </row>
    <row r="880" spans="1:12">
      <c r="A880" s="97" t="s">
        <v>2018</v>
      </c>
      <c r="B880" s="68">
        <f>Clothing!B88</f>
        <v>2020</v>
      </c>
      <c r="C880" s="304" t="str">
        <f>Clothing!C88</f>
        <v>PVC</v>
      </c>
      <c r="D880" s="68">
        <f>Clothing!K88</f>
        <v>1.0208136866232704</v>
      </c>
      <c r="E880" s="304" t="s">
        <v>2019</v>
      </c>
      <c r="F880" s="972">
        <f>Clothing!O88</f>
        <v>1</v>
      </c>
      <c r="G880" s="224">
        <f>Clothing!P88</f>
        <v>1</v>
      </c>
      <c r="H880" s="224">
        <f>Clothing!Q88</f>
        <v>2</v>
      </c>
      <c r="I880" s="224">
        <f>Clothing!R88</f>
        <v>2</v>
      </c>
      <c r="J880" s="224">
        <f>Clothing!S88</f>
        <v>2</v>
      </c>
      <c r="K880" s="499">
        <f t="shared" si="14"/>
        <v>0.37356464144298934</v>
      </c>
      <c r="L880" s="1208"/>
    </row>
    <row r="881" spans="1:12">
      <c r="A881" s="97" t="s">
        <v>2018</v>
      </c>
      <c r="B881" s="68">
        <f>Clothing!B89</f>
        <v>2020</v>
      </c>
      <c r="C881" s="304" t="str">
        <f>Clothing!C89</f>
        <v>RUBBER</v>
      </c>
      <c r="D881" s="68">
        <f>Clothing!K89</f>
        <v>1.140013260436092</v>
      </c>
      <c r="E881" s="304" t="s">
        <v>2019</v>
      </c>
      <c r="F881" s="972">
        <f>Clothing!O89</f>
        <v>1</v>
      </c>
      <c r="G881" s="224">
        <f>Clothing!P89</f>
        <v>1</v>
      </c>
      <c r="H881" s="224">
        <f>Clothing!Q89</f>
        <v>2</v>
      </c>
      <c r="I881" s="224">
        <f>Clothing!R89</f>
        <v>2</v>
      </c>
      <c r="J881" s="224">
        <f>Clothing!S89</f>
        <v>2</v>
      </c>
      <c r="K881" s="499">
        <f t="shared" si="14"/>
        <v>0.37356464144298934</v>
      </c>
      <c r="L881" s="1208"/>
    </row>
    <row r="882" spans="1:12">
      <c r="A882" s="97" t="s">
        <v>2018</v>
      </c>
      <c r="B882" s="68">
        <f>Clothing!B90</f>
        <v>2021</v>
      </c>
      <c r="C882" s="304" t="str">
        <f>Clothing!C90</f>
        <v>Acryl</v>
      </c>
      <c r="D882" s="68">
        <f>Clothing!K90</f>
        <v>0.65518473797014631</v>
      </c>
      <c r="E882" s="304" t="s">
        <v>2019</v>
      </c>
      <c r="F882" s="972">
        <f>Clothing!O90</f>
        <v>1</v>
      </c>
      <c r="G882" s="224">
        <f>Clothing!P90</f>
        <v>1</v>
      </c>
      <c r="H882" s="224">
        <f>Clothing!Q90</f>
        <v>2</v>
      </c>
      <c r="I882" s="224">
        <f>Clothing!R90</f>
        <v>2</v>
      </c>
      <c r="J882" s="224">
        <f>Clothing!S90</f>
        <v>2</v>
      </c>
      <c r="K882" s="499">
        <f t="shared" si="14"/>
        <v>0.37356464144298934</v>
      </c>
      <c r="L882" s="1208"/>
    </row>
    <row r="883" spans="1:12">
      <c r="A883" s="97" t="s">
        <v>2018</v>
      </c>
      <c r="B883" s="68">
        <f>Clothing!B91</f>
        <v>2021</v>
      </c>
      <c r="C883" s="304" t="str">
        <f>Clothing!C91</f>
        <v>OTHER</v>
      </c>
      <c r="D883" s="68">
        <f>Clothing!K91</f>
        <v>0.92640782050995396</v>
      </c>
      <c r="E883" s="304" t="s">
        <v>2019</v>
      </c>
      <c r="F883" s="972">
        <f>Clothing!O91</f>
        <v>1</v>
      </c>
      <c r="G883" s="224">
        <f>Clothing!P91</f>
        <v>1</v>
      </c>
      <c r="H883" s="224">
        <f>Clothing!Q91</f>
        <v>2</v>
      </c>
      <c r="I883" s="224">
        <f>Clothing!R91</f>
        <v>2</v>
      </c>
      <c r="J883" s="224">
        <f>Clothing!S91</f>
        <v>2</v>
      </c>
      <c r="K883" s="499">
        <f t="shared" si="14"/>
        <v>0.37356464144298934</v>
      </c>
      <c r="L883" s="1208"/>
    </row>
    <row r="884" spans="1:12">
      <c r="A884" s="97" t="s">
        <v>2018</v>
      </c>
      <c r="B884" s="68">
        <f>Clothing!B92</f>
        <v>2021</v>
      </c>
      <c r="C884" s="304" t="str">
        <f>Clothing!C92</f>
        <v>PA</v>
      </c>
      <c r="D884" s="68">
        <f>Clothing!K92</f>
        <v>1.4966883397184942</v>
      </c>
      <c r="E884" s="304" t="s">
        <v>2019</v>
      </c>
      <c r="F884" s="972">
        <f>Clothing!O92</f>
        <v>1</v>
      </c>
      <c r="G884" s="224">
        <f>Clothing!P92</f>
        <v>1</v>
      </c>
      <c r="H884" s="224">
        <f>Clothing!Q92</f>
        <v>2</v>
      </c>
      <c r="I884" s="224">
        <f>Clothing!R92</f>
        <v>2</v>
      </c>
      <c r="J884" s="224">
        <f>Clothing!S92</f>
        <v>2</v>
      </c>
      <c r="K884" s="499">
        <f t="shared" si="14"/>
        <v>0.37356464144298934</v>
      </c>
      <c r="L884" s="1208"/>
    </row>
    <row r="885" spans="1:12">
      <c r="A885" s="97" t="s">
        <v>2018</v>
      </c>
      <c r="B885" s="68">
        <f>Clothing!B93</f>
        <v>2021</v>
      </c>
      <c r="C885" s="304" t="str">
        <f>Clothing!C93</f>
        <v>PET</v>
      </c>
      <c r="D885" s="68">
        <f>Clothing!K93</f>
        <v>5.7671872469139069</v>
      </c>
      <c r="E885" s="304" t="s">
        <v>2019</v>
      </c>
      <c r="F885" s="972">
        <f>Clothing!O93</f>
        <v>1</v>
      </c>
      <c r="G885" s="224">
        <f>Clothing!P93</f>
        <v>1</v>
      </c>
      <c r="H885" s="224">
        <f>Clothing!Q93</f>
        <v>2</v>
      </c>
      <c r="I885" s="224">
        <f>Clothing!R93</f>
        <v>2</v>
      </c>
      <c r="J885" s="224">
        <f>Clothing!S93</f>
        <v>2</v>
      </c>
      <c r="K885" s="499">
        <f t="shared" si="14"/>
        <v>0.37356464144298934</v>
      </c>
      <c r="L885" s="1208"/>
    </row>
    <row r="886" spans="1:12">
      <c r="A886" s="97" t="s">
        <v>2018</v>
      </c>
      <c r="B886" s="68">
        <f>Clothing!B94</f>
        <v>2021</v>
      </c>
      <c r="C886" s="304" t="str">
        <f>Clothing!C94</f>
        <v>PUR</v>
      </c>
      <c r="D886" s="68">
        <f>Clothing!K94</f>
        <v>2.1694329694489514</v>
      </c>
      <c r="E886" s="304" t="s">
        <v>2019</v>
      </c>
      <c r="F886" s="972">
        <f>Clothing!O94</f>
        <v>1</v>
      </c>
      <c r="G886" s="224">
        <f>Clothing!P94</f>
        <v>1</v>
      </c>
      <c r="H886" s="224">
        <f>Clothing!Q94</f>
        <v>2</v>
      </c>
      <c r="I886" s="224">
        <f>Clothing!R94</f>
        <v>2</v>
      </c>
      <c r="J886" s="224">
        <f>Clothing!S94</f>
        <v>2</v>
      </c>
      <c r="K886" s="499">
        <f t="shared" si="14"/>
        <v>0.37356464144298934</v>
      </c>
      <c r="L886" s="1208"/>
    </row>
    <row r="887" spans="1:12">
      <c r="A887" s="97" t="s">
        <v>2018</v>
      </c>
      <c r="B887" s="68">
        <f>Clothing!B95</f>
        <v>2021</v>
      </c>
      <c r="C887" s="304" t="str">
        <f>Clothing!C95</f>
        <v>PVC</v>
      </c>
      <c r="D887" s="68">
        <f>Clothing!K95</f>
        <v>1.2924775324985374</v>
      </c>
      <c r="E887" s="304" t="s">
        <v>2019</v>
      </c>
      <c r="F887" s="972">
        <f>Clothing!O95</f>
        <v>1</v>
      </c>
      <c r="G887" s="224">
        <f>Clothing!P95</f>
        <v>1</v>
      </c>
      <c r="H887" s="224">
        <f>Clothing!Q95</f>
        <v>2</v>
      </c>
      <c r="I887" s="224">
        <f>Clothing!R95</f>
        <v>2</v>
      </c>
      <c r="J887" s="224">
        <f>Clothing!S95</f>
        <v>2</v>
      </c>
      <c r="K887" s="499">
        <f t="shared" si="14"/>
        <v>0.37356464144298934</v>
      </c>
      <c r="L887" s="1208"/>
    </row>
    <row r="888" spans="1:12">
      <c r="A888" s="97" t="s">
        <v>2018</v>
      </c>
      <c r="B888" s="68">
        <f>Clothing!B96</f>
        <v>2021</v>
      </c>
      <c r="C888" s="304" t="str">
        <f>Clothing!C96</f>
        <v>RUBBER</v>
      </c>
      <c r="D888" s="68">
        <f>Clothing!K96</f>
        <v>1.4681029243738821</v>
      </c>
      <c r="E888" s="304" t="s">
        <v>2019</v>
      </c>
      <c r="F888" s="972">
        <f>Clothing!O96</f>
        <v>1</v>
      </c>
      <c r="G888" s="224">
        <f>Clothing!P96</f>
        <v>1</v>
      </c>
      <c r="H888" s="224">
        <f>Clothing!Q96</f>
        <v>2</v>
      </c>
      <c r="I888" s="224">
        <f>Clothing!R96</f>
        <v>2</v>
      </c>
      <c r="J888" s="224">
        <f>Clothing!S96</f>
        <v>2</v>
      </c>
      <c r="K888" s="499">
        <f t="shared" si="14"/>
        <v>0.37356464144298934</v>
      </c>
      <c r="L888" s="1208"/>
    </row>
    <row r="889" spans="1:12">
      <c r="A889" s="97" t="s">
        <v>2018</v>
      </c>
      <c r="B889" s="68">
        <f>Clothing!B97</f>
        <v>2022</v>
      </c>
      <c r="C889" s="304" t="str">
        <f>Clothing!C97</f>
        <v>Acryl</v>
      </c>
      <c r="D889" s="68">
        <f>Clothing!K97</f>
        <v>0.99075859516320341</v>
      </c>
      <c r="E889" s="304" t="s">
        <v>2019</v>
      </c>
      <c r="F889" s="972">
        <f>Clothing!O97</f>
        <v>1</v>
      </c>
      <c r="G889" s="224">
        <f>Clothing!P97</f>
        <v>1</v>
      </c>
      <c r="H889" s="224">
        <f>Clothing!Q97</f>
        <v>2</v>
      </c>
      <c r="I889" s="224">
        <f>Clothing!R97</f>
        <v>2</v>
      </c>
      <c r="J889" s="224">
        <f>Clothing!S97</f>
        <v>2</v>
      </c>
      <c r="K889" s="499">
        <f t="shared" si="14"/>
        <v>0.37356464144298934</v>
      </c>
      <c r="L889" s="1208"/>
    </row>
    <row r="890" spans="1:12">
      <c r="A890" s="97" t="s">
        <v>2018</v>
      </c>
      <c r="B890" s="68">
        <f>Clothing!B98</f>
        <v>2022</v>
      </c>
      <c r="C890" s="304" t="str">
        <f>Clothing!C98</f>
        <v>OTHER</v>
      </c>
      <c r="D890" s="68">
        <f>Clothing!K98</f>
        <v>1.8170584348373229</v>
      </c>
      <c r="E890" s="304" t="s">
        <v>2019</v>
      </c>
      <c r="F890" s="972">
        <f>Clothing!O98</f>
        <v>1</v>
      </c>
      <c r="G890" s="224">
        <f>Clothing!P98</f>
        <v>1</v>
      </c>
      <c r="H890" s="224">
        <f>Clothing!Q98</f>
        <v>2</v>
      </c>
      <c r="I890" s="224">
        <f>Clothing!R98</f>
        <v>2</v>
      </c>
      <c r="J890" s="224">
        <f>Clothing!S98</f>
        <v>2</v>
      </c>
      <c r="K890" s="499">
        <f t="shared" si="14"/>
        <v>0.37356464144298934</v>
      </c>
      <c r="L890" s="1208"/>
    </row>
    <row r="891" spans="1:12">
      <c r="A891" s="97" t="s">
        <v>2018</v>
      </c>
      <c r="B891" s="68">
        <f>Clothing!B99</f>
        <v>2022</v>
      </c>
      <c r="C891" s="304" t="str">
        <f>Clothing!C99</f>
        <v>PA</v>
      </c>
      <c r="D891" s="68">
        <f>Clothing!K99</f>
        <v>2.5935270037679587</v>
      </c>
      <c r="E891" s="304" t="s">
        <v>2019</v>
      </c>
      <c r="F891" s="972">
        <f>Clothing!O99</f>
        <v>1</v>
      </c>
      <c r="G891" s="224">
        <f>Clothing!P99</f>
        <v>1</v>
      </c>
      <c r="H891" s="224">
        <f>Clothing!Q99</f>
        <v>2</v>
      </c>
      <c r="I891" s="224">
        <f>Clothing!R99</f>
        <v>2</v>
      </c>
      <c r="J891" s="224">
        <f>Clothing!S99</f>
        <v>2</v>
      </c>
      <c r="K891" s="499">
        <f t="shared" si="14"/>
        <v>0.37356464144298934</v>
      </c>
      <c r="L891" s="1208"/>
    </row>
    <row r="892" spans="1:12">
      <c r="A892" s="97" t="s">
        <v>2018</v>
      </c>
      <c r="B892" s="68">
        <f>Clothing!B100</f>
        <v>2022</v>
      </c>
      <c r="C892" s="304" t="str">
        <f>Clothing!C100</f>
        <v>PET</v>
      </c>
      <c r="D892" s="68">
        <f>Clothing!K100</f>
        <v>9.3538782409238195</v>
      </c>
      <c r="E892" s="304" t="s">
        <v>2019</v>
      </c>
      <c r="F892" s="972">
        <f>Clothing!O100</f>
        <v>1</v>
      </c>
      <c r="G892" s="224">
        <f>Clothing!P100</f>
        <v>1</v>
      </c>
      <c r="H892" s="224">
        <f>Clothing!Q100</f>
        <v>2</v>
      </c>
      <c r="I892" s="224">
        <f>Clothing!R100</f>
        <v>2</v>
      </c>
      <c r="J892" s="224">
        <f>Clothing!S100</f>
        <v>2</v>
      </c>
      <c r="K892" s="499">
        <f t="shared" si="14"/>
        <v>0.37356464144298934</v>
      </c>
      <c r="L892" s="1208"/>
    </row>
    <row r="893" spans="1:12">
      <c r="A893" s="97" t="s">
        <v>2018</v>
      </c>
      <c r="B893" s="68">
        <f>Clothing!B101</f>
        <v>2022</v>
      </c>
      <c r="C893" s="304" t="str">
        <f>Clothing!C101</f>
        <v>PUR</v>
      </c>
      <c r="D893" s="68">
        <f>Clothing!K101</f>
        <v>2.2275685223288133</v>
      </c>
      <c r="E893" s="304" t="s">
        <v>2019</v>
      </c>
      <c r="F893" s="972">
        <f>Clothing!O101</f>
        <v>1</v>
      </c>
      <c r="G893" s="224">
        <f>Clothing!P101</f>
        <v>1</v>
      </c>
      <c r="H893" s="224">
        <f>Clothing!Q101</f>
        <v>2</v>
      </c>
      <c r="I893" s="224">
        <f>Clothing!R101</f>
        <v>2</v>
      </c>
      <c r="J893" s="224">
        <f>Clothing!S101</f>
        <v>2</v>
      </c>
      <c r="K893" s="499">
        <f t="shared" ref="K893:K956" si="15">IF( OR( ISBLANK(F893),ISBLANK(G893), ISBLANK(H893), ISBLANK(I893), ISBLANK(J893) ), "", 1.5*SQRT(   EXP(2.21*(F893-1)) + EXP(2.21*(G893-1)) + EXP(2.21*(H893-1)) + EXP(2.21*(I893-1)) + EXP(2.21*J893)   )/100*2.45 )</f>
        <v>0.37356464144298934</v>
      </c>
      <c r="L893" s="1208"/>
    </row>
    <row r="894" spans="1:12">
      <c r="A894" s="97" t="s">
        <v>2018</v>
      </c>
      <c r="B894" s="68">
        <f>Clothing!B102</f>
        <v>2022</v>
      </c>
      <c r="C894" s="304" t="str">
        <f>Clothing!C102</f>
        <v>PVC</v>
      </c>
      <c r="D894" s="68">
        <f>Clothing!K102</f>
        <v>1.3615167256033429</v>
      </c>
      <c r="E894" s="304" t="s">
        <v>2019</v>
      </c>
      <c r="F894" s="972">
        <f>Clothing!O102</f>
        <v>1</v>
      </c>
      <c r="G894" s="224">
        <f>Clothing!P102</f>
        <v>1</v>
      </c>
      <c r="H894" s="224">
        <f>Clothing!Q102</f>
        <v>2</v>
      </c>
      <c r="I894" s="224">
        <f>Clothing!R102</f>
        <v>2</v>
      </c>
      <c r="J894" s="224">
        <f>Clothing!S102</f>
        <v>2</v>
      </c>
      <c r="K894" s="499">
        <f t="shared" si="15"/>
        <v>0.37356464144298934</v>
      </c>
      <c r="L894" s="1208"/>
    </row>
    <row r="895" spans="1:12">
      <c r="A895" s="97" t="s">
        <v>2018</v>
      </c>
      <c r="B895" s="68">
        <f>Clothing!B103</f>
        <v>2022</v>
      </c>
      <c r="C895" s="304" t="str">
        <f>Clothing!C103</f>
        <v>RUBBER</v>
      </c>
      <c r="D895" s="68">
        <f>Clothing!K103</f>
        <v>1.838841935898575</v>
      </c>
      <c r="E895" s="304" t="s">
        <v>2019</v>
      </c>
      <c r="F895" s="972">
        <f>Clothing!O103</f>
        <v>1</v>
      </c>
      <c r="G895" s="224">
        <f>Clothing!P103</f>
        <v>1</v>
      </c>
      <c r="H895" s="224">
        <f>Clothing!Q103</f>
        <v>2</v>
      </c>
      <c r="I895" s="224">
        <f>Clothing!R103</f>
        <v>2</v>
      </c>
      <c r="J895" s="224">
        <f>Clothing!S103</f>
        <v>2</v>
      </c>
      <c r="K895" s="499">
        <f t="shared" si="15"/>
        <v>0.37356464144298934</v>
      </c>
      <c r="L895" s="1208"/>
    </row>
    <row r="896" spans="1:12">
      <c r="A896" s="97" t="s">
        <v>2018</v>
      </c>
      <c r="B896" s="68">
        <f>Clothing!B20</f>
        <v>2011</v>
      </c>
      <c r="C896" s="304" t="str">
        <f>Clothing!C20</f>
        <v>Acryl</v>
      </c>
      <c r="D896" s="68">
        <f>Clothing!L20</f>
        <v>1.9845253012104647</v>
      </c>
      <c r="E896" s="304" t="s">
        <v>2020</v>
      </c>
      <c r="F896" s="972">
        <f>Clothing!O20</f>
        <v>1</v>
      </c>
      <c r="G896" s="224">
        <f>Clothing!P20</f>
        <v>1</v>
      </c>
      <c r="H896" s="224">
        <f>Clothing!Q20</f>
        <v>2</v>
      </c>
      <c r="I896" s="224">
        <f>Clothing!R20</f>
        <v>2</v>
      </c>
      <c r="J896" s="224">
        <f>Clothing!S20</f>
        <v>2</v>
      </c>
      <c r="K896" s="499">
        <f t="shared" si="15"/>
        <v>0.37356464144298934</v>
      </c>
      <c r="L896" s="1208"/>
    </row>
    <row r="897" spans="1:12">
      <c r="A897" s="97" t="s">
        <v>2018</v>
      </c>
      <c r="B897" s="68">
        <f>Clothing!B21</f>
        <v>2011</v>
      </c>
      <c r="C897" s="304" t="str">
        <f>Clothing!C21</f>
        <v>OTHER</v>
      </c>
      <c r="D897" s="68">
        <f>Clothing!L21</f>
        <v>2.9341755670173431</v>
      </c>
      <c r="E897" s="304" t="s">
        <v>2020</v>
      </c>
      <c r="F897" s="972">
        <f>Clothing!O21</f>
        <v>1</v>
      </c>
      <c r="G897" s="224">
        <f>Clothing!P21</f>
        <v>1</v>
      </c>
      <c r="H897" s="224">
        <f>Clothing!Q21</f>
        <v>2</v>
      </c>
      <c r="I897" s="224">
        <f>Clothing!R21</f>
        <v>2</v>
      </c>
      <c r="J897" s="224">
        <f>Clothing!S21</f>
        <v>2</v>
      </c>
      <c r="K897" s="499">
        <f t="shared" si="15"/>
        <v>0.37356464144298934</v>
      </c>
      <c r="L897" s="1208"/>
    </row>
    <row r="898" spans="1:12">
      <c r="A898" s="97" t="s">
        <v>2018</v>
      </c>
      <c r="B898" s="68">
        <f>Clothing!B22</f>
        <v>2011</v>
      </c>
      <c r="C898" s="304" t="str">
        <f>Clothing!C22</f>
        <v>PA</v>
      </c>
      <c r="D898" s="68">
        <f>Clothing!L22</f>
        <v>6.7478780365717546</v>
      </c>
      <c r="E898" s="304" t="s">
        <v>2020</v>
      </c>
      <c r="F898" s="972">
        <f>Clothing!O22</f>
        <v>1</v>
      </c>
      <c r="G898" s="224">
        <f>Clothing!P22</f>
        <v>1</v>
      </c>
      <c r="H898" s="224">
        <f>Clothing!Q22</f>
        <v>2</v>
      </c>
      <c r="I898" s="224">
        <f>Clothing!R22</f>
        <v>2</v>
      </c>
      <c r="J898" s="224">
        <f>Clothing!S22</f>
        <v>2</v>
      </c>
      <c r="K898" s="499">
        <f t="shared" si="15"/>
        <v>0.37356464144298934</v>
      </c>
      <c r="L898" s="1208"/>
    </row>
    <row r="899" spans="1:12">
      <c r="A899" s="97" t="s">
        <v>2018</v>
      </c>
      <c r="B899" s="68">
        <f>Clothing!B23</f>
        <v>2011</v>
      </c>
      <c r="C899" s="304" t="str">
        <f>Clothing!C23</f>
        <v>PET</v>
      </c>
      <c r="D899" s="68">
        <f>Clothing!L23</f>
        <v>18.569991812000467</v>
      </c>
      <c r="E899" s="304" t="s">
        <v>2020</v>
      </c>
      <c r="F899" s="972">
        <f>Clothing!O23</f>
        <v>1</v>
      </c>
      <c r="G899" s="224">
        <f>Clothing!P23</f>
        <v>1</v>
      </c>
      <c r="H899" s="224">
        <f>Clothing!Q23</f>
        <v>2</v>
      </c>
      <c r="I899" s="224">
        <f>Clothing!R23</f>
        <v>2</v>
      </c>
      <c r="J899" s="224">
        <f>Clothing!S23</f>
        <v>2</v>
      </c>
      <c r="K899" s="499">
        <f t="shared" si="15"/>
        <v>0.37356464144298934</v>
      </c>
      <c r="L899" s="1208"/>
    </row>
    <row r="900" spans="1:12">
      <c r="A900" s="97" t="s">
        <v>2018</v>
      </c>
      <c r="B900" s="68">
        <f>Clothing!B24</f>
        <v>2011</v>
      </c>
      <c r="C900" s="304" t="str">
        <f>Clothing!C24</f>
        <v>PUR</v>
      </c>
      <c r="D900" s="68">
        <f>Clothing!L24</f>
        <v>3.105654630323655</v>
      </c>
      <c r="E900" s="304" t="s">
        <v>2020</v>
      </c>
      <c r="F900" s="972">
        <f>Clothing!O24</f>
        <v>1</v>
      </c>
      <c r="G900" s="224">
        <f>Clothing!P24</f>
        <v>1</v>
      </c>
      <c r="H900" s="224">
        <f>Clothing!Q24</f>
        <v>2</v>
      </c>
      <c r="I900" s="224">
        <f>Clothing!R24</f>
        <v>2</v>
      </c>
      <c r="J900" s="224">
        <f>Clothing!S24</f>
        <v>2</v>
      </c>
      <c r="K900" s="499">
        <f t="shared" si="15"/>
        <v>0.37356464144298934</v>
      </c>
      <c r="L900" s="1208"/>
    </row>
    <row r="901" spans="1:12">
      <c r="A901" s="97" t="s">
        <v>2018</v>
      </c>
      <c r="B901" s="68">
        <f>Clothing!B25</f>
        <v>2011</v>
      </c>
      <c r="C901" s="304" t="str">
        <f>Clothing!C25</f>
        <v>PVC</v>
      </c>
      <c r="D901" s="68">
        <f>Clothing!L25</f>
        <v>1.8825270369600902</v>
      </c>
      <c r="E901" s="304" t="s">
        <v>2020</v>
      </c>
      <c r="F901" s="972">
        <f>Clothing!O25</f>
        <v>1</v>
      </c>
      <c r="G901" s="224">
        <f>Clothing!P25</f>
        <v>1</v>
      </c>
      <c r="H901" s="224">
        <f>Clothing!Q25</f>
        <v>2</v>
      </c>
      <c r="I901" s="224">
        <f>Clothing!R25</f>
        <v>2</v>
      </c>
      <c r="J901" s="224">
        <f>Clothing!S25</f>
        <v>2</v>
      </c>
      <c r="K901" s="499">
        <f t="shared" si="15"/>
        <v>0.37356464144298934</v>
      </c>
      <c r="L901" s="1208"/>
    </row>
    <row r="902" spans="1:12">
      <c r="A902" s="97" t="s">
        <v>2018</v>
      </c>
      <c r="B902" s="68">
        <f>Clothing!B26</f>
        <v>2011</v>
      </c>
      <c r="C902" s="304" t="str">
        <f>Clothing!C26</f>
        <v>RUBBER</v>
      </c>
      <c r="D902" s="68">
        <f>Clothing!L26</f>
        <v>2.4061841954118264</v>
      </c>
      <c r="E902" s="304" t="s">
        <v>2020</v>
      </c>
      <c r="F902" s="972">
        <f>Clothing!O26</f>
        <v>1</v>
      </c>
      <c r="G902" s="224">
        <f>Clothing!P26</f>
        <v>1</v>
      </c>
      <c r="H902" s="224">
        <f>Clothing!Q26</f>
        <v>2</v>
      </c>
      <c r="I902" s="224">
        <f>Clothing!R26</f>
        <v>2</v>
      </c>
      <c r="J902" s="224">
        <f>Clothing!S26</f>
        <v>2</v>
      </c>
      <c r="K902" s="499">
        <f t="shared" si="15"/>
        <v>0.37356464144298934</v>
      </c>
      <c r="L902" s="1208"/>
    </row>
    <row r="903" spans="1:12">
      <c r="A903" s="97" t="s">
        <v>2018</v>
      </c>
      <c r="B903" s="68">
        <f>Clothing!B27</f>
        <v>2012</v>
      </c>
      <c r="C903" s="304" t="str">
        <f>Clothing!C27</f>
        <v>Acryl</v>
      </c>
      <c r="D903" s="68">
        <f>Clothing!L27</f>
        <v>2.0194464397371363</v>
      </c>
      <c r="E903" s="304" t="s">
        <v>2020</v>
      </c>
      <c r="F903" s="972">
        <f>Clothing!O27</f>
        <v>1</v>
      </c>
      <c r="G903" s="224">
        <f>Clothing!P27</f>
        <v>1</v>
      </c>
      <c r="H903" s="224">
        <f>Clothing!Q27</f>
        <v>2</v>
      </c>
      <c r="I903" s="224">
        <f>Clothing!R27</f>
        <v>2</v>
      </c>
      <c r="J903" s="224">
        <f>Clothing!S27</f>
        <v>2</v>
      </c>
      <c r="K903" s="499">
        <f t="shared" si="15"/>
        <v>0.37356464144298934</v>
      </c>
      <c r="L903" s="1208"/>
    </row>
    <row r="904" spans="1:12">
      <c r="A904" s="97" t="s">
        <v>2018</v>
      </c>
      <c r="B904" s="68">
        <f>Clothing!B28</f>
        <v>2012</v>
      </c>
      <c r="C904" s="304" t="str">
        <f>Clothing!C28</f>
        <v>OTHER</v>
      </c>
      <c r="D904" s="68">
        <f>Clothing!L28</f>
        <v>2.407941105316683</v>
      </c>
      <c r="E904" s="304" t="s">
        <v>2020</v>
      </c>
      <c r="F904" s="972">
        <f>Clothing!O28</f>
        <v>1</v>
      </c>
      <c r="G904" s="224">
        <f>Clothing!P28</f>
        <v>1</v>
      </c>
      <c r="H904" s="224">
        <f>Clothing!Q28</f>
        <v>2</v>
      </c>
      <c r="I904" s="224">
        <f>Clothing!R28</f>
        <v>2</v>
      </c>
      <c r="J904" s="224">
        <f>Clothing!S28</f>
        <v>2</v>
      </c>
      <c r="K904" s="499">
        <f t="shared" si="15"/>
        <v>0.37356464144298934</v>
      </c>
      <c r="L904" s="1208"/>
    </row>
    <row r="905" spans="1:12">
      <c r="A905" s="97" t="s">
        <v>2018</v>
      </c>
      <c r="B905" s="68">
        <f>Clothing!B29</f>
        <v>2012</v>
      </c>
      <c r="C905" s="304" t="str">
        <f>Clothing!C29</f>
        <v>PA</v>
      </c>
      <c r="D905" s="68">
        <f>Clothing!L29</f>
        <v>5.9213615953736403</v>
      </c>
      <c r="E905" s="304" t="s">
        <v>2020</v>
      </c>
      <c r="F905" s="972">
        <f>Clothing!O29</f>
        <v>1</v>
      </c>
      <c r="G905" s="224">
        <f>Clothing!P29</f>
        <v>1</v>
      </c>
      <c r="H905" s="224">
        <f>Clothing!Q29</f>
        <v>2</v>
      </c>
      <c r="I905" s="224">
        <f>Clothing!R29</f>
        <v>2</v>
      </c>
      <c r="J905" s="224">
        <f>Clothing!S29</f>
        <v>2</v>
      </c>
      <c r="K905" s="499">
        <f t="shared" si="15"/>
        <v>0.37356464144298934</v>
      </c>
      <c r="L905" s="1208"/>
    </row>
    <row r="906" spans="1:12">
      <c r="A906" s="97" t="s">
        <v>2018</v>
      </c>
      <c r="B906" s="68">
        <f>Clothing!B30</f>
        <v>2012</v>
      </c>
      <c r="C906" s="304" t="str">
        <f>Clothing!C30</f>
        <v>PET</v>
      </c>
      <c r="D906" s="68">
        <f>Clothing!L30</f>
        <v>19.340771473126281</v>
      </c>
      <c r="E906" s="304" t="s">
        <v>2020</v>
      </c>
      <c r="F906" s="972">
        <f>Clothing!O30</f>
        <v>1</v>
      </c>
      <c r="G906" s="224">
        <f>Clothing!P30</f>
        <v>1</v>
      </c>
      <c r="H906" s="224">
        <f>Clothing!Q30</f>
        <v>2</v>
      </c>
      <c r="I906" s="224">
        <f>Clothing!R30</f>
        <v>2</v>
      </c>
      <c r="J906" s="224">
        <f>Clothing!S30</f>
        <v>2</v>
      </c>
      <c r="K906" s="499">
        <f t="shared" si="15"/>
        <v>0.37356464144298934</v>
      </c>
      <c r="L906" s="1208"/>
    </row>
    <row r="907" spans="1:12">
      <c r="A907" s="97" t="s">
        <v>2018</v>
      </c>
      <c r="B907" s="68">
        <f>Clothing!B31</f>
        <v>2012</v>
      </c>
      <c r="C907" s="304" t="str">
        <f>Clothing!C31</f>
        <v>PUR</v>
      </c>
      <c r="D907" s="68">
        <f>Clothing!L31</f>
        <v>2.8781028318441906</v>
      </c>
      <c r="E907" s="304" t="s">
        <v>2020</v>
      </c>
      <c r="F907" s="972">
        <f>Clothing!O31</f>
        <v>1</v>
      </c>
      <c r="G907" s="224">
        <f>Clothing!P31</f>
        <v>1</v>
      </c>
      <c r="H907" s="224">
        <f>Clothing!Q31</f>
        <v>2</v>
      </c>
      <c r="I907" s="224">
        <f>Clothing!R31</f>
        <v>2</v>
      </c>
      <c r="J907" s="224">
        <f>Clothing!S31</f>
        <v>2</v>
      </c>
      <c r="K907" s="499">
        <f t="shared" si="15"/>
        <v>0.37356464144298934</v>
      </c>
      <c r="L907" s="1208"/>
    </row>
    <row r="908" spans="1:12">
      <c r="A908" s="97" t="s">
        <v>2018</v>
      </c>
      <c r="B908" s="68">
        <f>Clothing!B32</f>
        <v>2012</v>
      </c>
      <c r="C908" s="304" t="str">
        <f>Clothing!C32</f>
        <v>PVC</v>
      </c>
      <c r="D908" s="68">
        <f>Clothing!L32</f>
        <v>1.7303209809938762</v>
      </c>
      <c r="E908" s="304" t="s">
        <v>2020</v>
      </c>
      <c r="F908" s="972">
        <f>Clothing!O32</f>
        <v>1</v>
      </c>
      <c r="G908" s="224">
        <f>Clothing!P32</f>
        <v>1</v>
      </c>
      <c r="H908" s="224">
        <f>Clothing!Q32</f>
        <v>2</v>
      </c>
      <c r="I908" s="224">
        <f>Clothing!R32</f>
        <v>2</v>
      </c>
      <c r="J908" s="224">
        <f>Clothing!S32</f>
        <v>2</v>
      </c>
      <c r="K908" s="499">
        <f t="shared" si="15"/>
        <v>0.37356464144298934</v>
      </c>
      <c r="L908" s="1208"/>
    </row>
    <row r="909" spans="1:12">
      <c r="A909" s="97" t="s">
        <v>2018</v>
      </c>
      <c r="B909" s="68">
        <f>Clothing!B33</f>
        <v>2012</v>
      </c>
      <c r="C909" s="304" t="str">
        <f>Clothing!C33</f>
        <v>RUBBER</v>
      </c>
      <c r="D909" s="68">
        <f>Clothing!L33</f>
        <v>2.0871560792953407</v>
      </c>
      <c r="E909" s="304" t="s">
        <v>2020</v>
      </c>
      <c r="F909" s="972">
        <f>Clothing!O33</f>
        <v>1</v>
      </c>
      <c r="G909" s="224">
        <f>Clothing!P33</f>
        <v>1</v>
      </c>
      <c r="H909" s="224">
        <f>Clothing!Q33</f>
        <v>2</v>
      </c>
      <c r="I909" s="224">
        <f>Clothing!R33</f>
        <v>2</v>
      </c>
      <c r="J909" s="224">
        <f>Clothing!S33</f>
        <v>2</v>
      </c>
      <c r="K909" s="499">
        <f t="shared" si="15"/>
        <v>0.37356464144298934</v>
      </c>
      <c r="L909" s="1208"/>
    </row>
    <row r="910" spans="1:12">
      <c r="A910" s="97" t="s">
        <v>2018</v>
      </c>
      <c r="B910" s="68">
        <f>Clothing!B34</f>
        <v>2013</v>
      </c>
      <c r="C910" s="304" t="str">
        <f>Clothing!C34</f>
        <v>Acryl</v>
      </c>
      <c r="D910" s="68">
        <f>Clothing!L34</f>
        <v>1.9499770340123825</v>
      </c>
      <c r="E910" s="304" t="s">
        <v>2020</v>
      </c>
      <c r="F910" s="972">
        <f>Clothing!O34</f>
        <v>1</v>
      </c>
      <c r="G910" s="224">
        <f>Clothing!P34</f>
        <v>1</v>
      </c>
      <c r="H910" s="224">
        <f>Clothing!Q34</f>
        <v>2</v>
      </c>
      <c r="I910" s="224">
        <f>Clothing!R34</f>
        <v>2</v>
      </c>
      <c r="J910" s="224">
        <f>Clothing!S34</f>
        <v>2</v>
      </c>
      <c r="K910" s="499">
        <f t="shared" si="15"/>
        <v>0.37356464144298934</v>
      </c>
      <c r="L910" s="1208"/>
    </row>
    <row r="911" spans="1:12">
      <c r="A911" s="97" t="s">
        <v>2018</v>
      </c>
      <c r="B911" s="68">
        <f>Clothing!B35</f>
        <v>2013</v>
      </c>
      <c r="C911" s="304" t="str">
        <f>Clothing!C35</f>
        <v>OTHER</v>
      </c>
      <c r="D911" s="68">
        <f>Clothing!L35</f>
        <v>2.6988986889510591</v>
      </c>
      <c r="E911" s="304" t="s">
        <v>2020</v>
      </c>
      <c r="F911" s="972">
        <f>Clothing!O35</f>
        <v>1</v>
      </c>
      <c r="G911" s="224">
        <f>Clothing!P35</f>
        <v>1</v>
      </c>
      <c r="H911" s="224">
        <f>Clothing!Q35</f>
        <v>2</v>
      </c>
      <c r="I911" s="224">
        <f>Clothing!R35</f>
        <v>2</v>
      </c>
      <c r="J911" s="224">
        <f>Clothing!S35</f>
        <v>2</v>
      </c>
      <c r="K911" s="499">
        <f t="shared" si="15"/>
        <v>0.37356464144298934</v>
      </c>
      <c r="L911" s="1208"/>
    </row>
    <row r="912" spans="1:12">
      <c r="A912" s="97" t="s">
        <v>2018</v>
      </c>
      <c r="B912" s="68">
        <f>Clothing!B36</f>
        <v>2013</v>
      </c>
      <c r="C912" s="304" t="str">
        <f>Clothing!C36</f>
        <v>PA</v>
      </c>
      <c r="D912" s="68">
        <f>Clothing!L36</f>
        <v>6.014422699973105</v>
      </c>
      <c r="E912" s="304" t="s">
        <v>2020</v>
      </c>
      <c r="F912" s="972">
        <f>Clothing!O36</f>
        <v>1</v>
      </c>
      <c r="G912" s="224">
        <f>Clothing!P36</f>
        <v>1</v>
      </c>
      <c r="H912" s="224">
        <f>Clothing!Q36</f>
        <v>2</v>
      </c>
      <c r="I912" s="224">
        <f>Clothing!R36</f>
        <v>2</v>
      </c>
      <c r="J912" s="224">
        <f>Clothing!S36</f>
        <v>2</v>
      </c>
      <c r="K912" s="499">
        <f t="shared" si="15"/>
        <v>0.37356464144298934</v>
      </c>
      <c r="L912" s="1208"/>
    </row>
    <row r="913" spans="1:12">
      <c r="A913" s="97" t="s">
        <v>2018</v>
      </c>
      <c r="B913" s="68">
        <f>Clothing!B37</f>
        <v>2013</v>
      </c>
      <c r="C913" s="304" t="str">
        <f>Clothing!C37</f>
        <v>PET</v>
      </c>
      <c r="D913" s="68">
        <f>Clothing!L37</f>
        <v>20.593686543417839</v>
      </c>
      <c r="E913" s="304" t="s">
        <v>2020</v>
      </c>
      <c r="F913" s="972">
        <f>Clothing!O37</f>
        <v>1</v>
      </c>
      <c r="G913" s="224">
        <f>Clothing!P37</f>
        <v>1</v>
      </c>
      <c r="H913" s="224">
        <f>Clothing!Q37</f>
        <v>2</v>
      </c>
      <c r="I913" s="224">
        <f>Clothing!R37</f>
        <v>2</v>
      </c>
      <c r="J913" s="224">
        <f>Clothing!S37</f>
        <v>2</v>
      </c>
      <c r="K913" s="499">
        <f t="shared" si="15"/>
        <v>0.37356464144298934</v>
      </c>
      <c r="L913" s="1208"/>
    </row>
    <row r="914" spans="1:12">
      <c r="A914" s="97" t="s">
        <v>2018</v>
      </c>
      <c r="B914" s="68">
        <f>Clothing!B38</f>
        <v>2013</v>
      </c>
      <c r="C914" s="304" t="str">
        <f>Clothing!C38</f>
        <v>PUR</v>
      </c>
      <c r="D914" s="68">
        <f>Clothing!L38</f>
        <v>2.9474069352598753</v>
      </c>
      <c r="E914" s="304" t="s">
        <v>2020</v>
      </c>
      <c r="F914" s="972">
        <f>Clothing!O38</f>
        <v>1</v>
      </c>
      <c r="G914" s="224">
        <f>Clothing!P38</f>
        <v>1</v>
      </c>
      <c r="H914" s="224">
        <f>Clothing!Q38</f>
        <v>2</v>
      </c>
      <c r="I914" s="224">
        <f>Clothing!R38</f>
        <v>2</v>
      </c>
      <c r="J914" s="224">
        <f>Clothing!S38</f>
        <v>2</v>
      </c>
      <c r="K914" s="499">
        <f t="shared" si="15"/>
        <v>0.37356464144298934</v>
      </c>
      <c r="L914" s="1208"/>
    </row>
    <row r="915" spans="1:12">
      <c r="A915" s="97" t="s">
        <v>2018</v>
      </c>
      <c r="B915" s="68">
        <f>Clothing!B39</f>
        <v>2013</v>
      </c>
      <c r="C915" s="304" t="str">
        <f>Clothing!C39</f>
        <v>PVC</v>
      </c>
      <c r="D915" s="68">
        <f>Clothing!L39</f>
        <v>1.7979935300838301</v>
      </c>
      <c r="E915" s="304" t="s">
        <v>2020</v>
      </c>
      <c r="F915" s="972">
        <f>Clothing!O39</f>
        <v>1</v>
      </c>
      <c r="G915" s="224">
        <f>Clothing!P39</f>
        <v>1</v>
      </c>
      <c r="H915" s="224">
        <f>Clothing!Q39</f>
        <v>2</v>
      </c>
      <c r="I915" s="224">
        <f>Clothing!R39</f>
        <v>2</v>
      </c>
      <c r="J915" s="224">
        <f>Clothing!S39</f>
        <v>2</v>
      </c>
      <c r="K915" s="499">
        <f t="shared" si="15"/>
        <v>0.37356464144298934</v>
      </c>
      <c r="L915" s="1208"/>
    </row>
    <row r="916" spans="1:12">
      <c r="A916" s="97" t="s">
        <v>2018</v>
      </c>
      <c r="B916" s="68">
        <f>Clothing!B40</f>
        <v>2013</v>
      </c>
      <c r="C916" s="304" t="str">
        <f>Clothing!C40</f>
        <v>RUBBER</v>
      </c>
      <c r="D916" s="68">
        <f>Clothing!L40</f>
        <v>2.3650207075623584</v>
      </c>
      <c r="E916" s="304" t="s">
        <v>2020</v>
      </c>
      <c r="F916" s="972">
        <f>Clothing!O40</f>
        <v>1</v>
      </c>
      <c r="G916" s="224">
        <f>Clothing!P40</f>
        <v>1</v>
      </c>
      <c r="H916" s="224">
        <f>Clothing!Q40</f>
        <v>2</v>
      </c>
      <c r="I916" s="224">
        <f>Clothing!R40</f>
        <v>2</v>
      </c>
      <c r="J916" s="224">
        <f>Clothing!S40</f>
        <v>2</v>
      </c>
      <c r="K916" s="499">
        <f t="shared" si="15"/>
        <v>0.37356464144298934</v>
      </c>
      <c r="L916" s="1208"/>
    </row>
    <row r="917" spans="1:12">
      <c r="A917" s="97" t="s">
        <v>2018</v>
      </c>
      <c r="B917" s="68">
        <f>Clothing!B41</f>
        <v>2014</v>
      </c>
      <c r="C917" s="304" t="str">
        <f>Clothing!C41</f>
        <v>Acryl</v>
      </c>
      <c r="D917" s="68">
        <f>Clothing!L41</f>
        <v>1.8827188971781623</v>
      </c>
      <c r="E917" s="304" t="s">
        <v>2020</v>
      </c>
      <c r="F917" s="972">
        <f>Clothing!O41</f>
        <v>1</v>
      </c>
      <c r="G917" s="224">
        <f>Clothing!P41</f>
        <v>1</v>
      </c>
      <c r="H917" s="224">
        <f>Clothing!Q41</f>
        <v>2</v>
      </c>
      <c r="I917" s="224">
        <f>Clothing!R41</f>
        <v>2</v>
      </c>
      <c r="J917" s="224">
        <f>Clothing!S41</f>
        <v>2</v>
      </c>
      <c r="K917" s="499">
        <f t="shared" si="15"/>
        <v>0.37356464144298934</v>
      </c>
      <c r="L917" s="1208"/>
    </row>
    <row r="918" spans="1:12">
      <c r="A918" s="97" t="s">
        <v>2018</v>
      </c>
      <c r="B918" s="68">
        <f>Clothing!B42</f>
        <v>2014</v>
      </c>
      <c r="C918" s="304" t="str">
        <f>Clothing!C42</f>
        <v>OTHER</v>
      </c>
      <c r="D918" s="68">
        <f>Clothing!L42</f>
        <v>3.1456988748766959</v>
      </c>
      <c r="E918" s="304" t="s">
        <v>2020</v>
      </c>
      <c r="F918" s="972">
        <f>Clothing!O42</f>
        <v>1</v>
      </c>
      <c r="G918" s="224">
        <f>Clothing!P42</f>
        <v>1</v>
      </c>
      <c r="H918" s="224">
        <f>Clothing!Q42</f>
        <v>2</v>
      </c>
      <c r="I918" s="224">
        <f>Clothing!R42</f>
        <v>2</v>
      </c>
      <c r="J918" s="224">
        <f>Clothing!S42</f>
        <v>2</v>
      </c>
      <c r="K918" s="499">
        <f t="shared" si="15"/>
        <v>0.37356464144298934</v>
      </c>
      <c r="L918" s="1208"/>
    </row>
    <row r="919" spans="1:12">
      <c r="A919" s="97" t="s">
        <v>2018</v>
      </c>
      <c r="B919" s="68">
        <f>Clothing!B43</f>
        <v>2014</v>
      </c>
      <c r="C919" s="304" t="str">
        <f>Clothing!C43</f>
        <v>PA</v>
      </c>
      <c r="D919" s="68">
        <f>Clothing!L43</f>
        <v>6.3867623086131644</v>
      </c>
      <c r="E919" s="304" t="s">
        <v>2020</v>
      </c>
      <c r="F919" s="972">
        <f>Clothing!O43</f>
        <v>1</v>
      </c>
      <c r="G919" s="224">
        <f>Clothing!P43</f>
        <v>1</v>
      </c>
      <c r="H919" s="224">
        <f>Clothing!Q43</f>
        <v>2</v>
      </c>
      <c r="I919" s="224">
        <f>Clothing!R43</f>
        <v>2</v>
      </c>
      <c r="J919" s="224">
        <f>Clothing!S43</f>
        <v>2</v>
      </c>
      <c r="K919" s="499">
        <f t="shared" si="15"/>
        <v>0.37356464144298934</v>
      </c>
      <c r="L919" s="1208"/>
    </row>
    <row r="920" spans="1:12">
      <c r="A920" s="97" t="s">
        <v>2018</v>
      </c>
      <c r="B920" s="68">
        <f>Clothing!B44</f>
        <v>2014</v>
      </c>
      <c r="C920" s="304" t="str">
        <f>Clothing!C44</f>
        <v>PET</v>
      </c>
      <c r="D920" s="68">
        <f>Clothing!L44</f>
        <v>21.757217253712884</v>
      </c>
      <c r="E920" s="304" t="s">
        <v>2020</v>
      </c>
      <c r="F920" s="972">
        <f>Clothing!O44</f>
        <v>1</v>
      </c>
      <c r="G920" s="224">
        <f>Clothing!P44</f>
        <v>1</v>
      </c>
      <c r="H920" s="224">
        <f>Clothing!Q44</f>
        <v>2</v>
      </c>
      <c r="I920" s="224">
        <f>Clothing!R44</f>
        <v>2</v>
      </c>
      <c r="J920" s="224">
        <f>Clothing!S44</f>
        <v>2</v>
      </c>
      <c r="K920" s="499">
        <f t="shared" si="15"/>
        <v>0.37356464144298934</v>
      </c>
      <c r="L920" s="1208"/>
    </row>
    <row r="921" spans="1:12">
      <c r="A921" s="97" t="s">
        <v>2018</v>
      </c>
      <c r="B921" s="68">
        <f>Clothing!B45</f>
        <v>2014</v>
      </c>
      <c r="C921" s="304" t="str">
        <f>Clothing!C45</f>
        <v>PUR</v>
      </c>
      <c r="D921" s="68">
        <f>Clothing!L45</f>
        <v>3.5134873129532029</v>
      </c>
      <c r="E921" s="304" t="s">
        <v>2020</v>
      </c>
      <c r="F921" s="972">
        <f>Clothing!O45</f>
        <v>1</v>
      </c>
      <c r="G921" s="224">
        <f>Clothing!P45</f>
        <v>1</v>
      </c>
      <c r="H921" s="224">
        <f>Clothing!Q45</f>
        <v>2</v>
      </c>
      <c r="I921" s="224">
        <f>Clothing!R45</f>
        <v>2</v>
      </c>
      <c r="J921" s="224">
        <f>Clothing!S45</f>
        <v>2</v>
      </c>
      <c r="K921" s="499">
        <f t="shared" si="15"/>
        <v>0.37356464144298934</v>
      </c>
      <c r="L921" s="1208"/>
    </row>
    <row r="922" spans="1:12">
      <c r="A922" s="97" t="s">
        <v>2018</v>
      </c>
      <c r="B922" s="68">
        <f>Clothing!B46</f>
        <v>2014</v>
      </c>
      <c r="C922" s="304" t="str">
        <f>Clothing!C46</f>
        <v>PVC</v>
      </c>
      <c r="D922" s="68">
        <f>Clothing!L46</f>
        <v>2.14050735858505</v>
      </c>
      <c r="E922" s="304" t="s">
        <v>2020</v>
      </c>
      <c r="F922" s="972">
        <f>Clothing!O46</f>
        <v>1</v>
      </c>
      <c r="G922" s="224">
        <f>Clothing!P46</f>
        <v>1</v>
      </c>
      <c r="H922" s="224">
        <f>Clothing!Q46</f>
        <v>2</v>
      </c>
      <c r="I922" s="224">
        <f>Clothing!R46</f>
        <v>2</v>
      </c>
      <c r="J922" s="224">
        <f>Clothing!S46</f>
        <v>2</v>
      </c>
      <c r="K922" s="499">
        <f t="shared" si="15"/>
        <v>0.37356464144298934</v>
      </c>
      <c r="L922" s="1208"/>
    </row>
    <row r="923" spans="1:12">
      <c r="A923" s="97" t="s">
        <v>2018</v>
      </c>
      <c r="B923" s="68">
        <f>Clothing!B47</f>
        <v>2014</v>
      </c>
      <c r="C923" s="304" t="str">
        <f>Clothing!C47</f>
        <v>RUBBER</v>
      </c>
      <c r="D923" s="68">
        <f>Clothing!L47</f>
        <v>2.7611207615196154</v>
      </c>
      <c r="E923" s="304" t="s">
        <v>2020</v>
      </c>
      <c r="F923" s="972">
        <f>Clothing!O47</f>
        <v>1</v>
      </c>
      <c r="G923" s="224">
        <f>Clothing!P47</f>
        <v>1</v>
      </c>
      <c r="H923" s="224">
        <f>Clothing!Q47</f>
        <v>2</v>
      </c>
      <c r="I923" s="224">
        <f>Clothing!R47</f>
        <v>2</v>
      </c>
      <c r="J923" s="224">
        <f>Clothing!S47</f>
        <v>2</v>
      </c>
      <c r="K923" s="499">
        <f t="shared" si="15"/>
        <v>0.37356464144298934</v>
      </c>
      <c r="L923" s="1208"/>
    </row>
    <row r="924" spans="1:12">
      <c r="A924" s="97" t="s">
        <v>2018</v>
      </c>
      <c r="B924" s="68">
        <f>Clothing!B48</f>
        <v>2015</v>
      </c>
      <c r="C924" s="304" t="str">
        <f>Clothing!C48</f>
        <v>Acryl</v>
      </c>
      <c r="D924" s="68">
        <f>Clothing!L48</f>
        <v>1.8407216746577577</v>
      </c>
      <c r="E924" s="304" t="s">
        <v>2020</v>
      </c>
      <c r="F924" s="972">
        <f>Clothing!O48</f>
        <v>1</v>
      </c>
      <c r="G924" s="224">
        <f>Clothing!P48</f>
        <v>1</v>
      </c>
      <c r="H924" s="224">
        <f>Clothing!Q48</f>
        <v>2</v>
      </c>
      <c r="I924" s="224">
        <f>Clothing!R48</f>
        <v>2</v>
      </c>
      <c r="J924" s="224">
        <f>Clothing!S48</f>
        <v>2</v>
      </c>
      <c r="K924" s="499">
        <f t="shared" si="15"/>
        <v>0.37356464144298934</v>
      </c>
      <c r="L924" s="1208"/>
    </row>
    <row r="925" spans="1:12">
      <c r="A925" s="97" t="s">
        <v>2018</v>
      </c>
      <c r="B925" s="68">
        <f>Clothing!B49</f>
        <v>2015</v>
      </c>
      <c r="C925" s="304" t="str">
        <f>Clothing!C49</f>
        <v>OTHER</v>
      </c>
      <c r="D925" s="68">
        <f>Clothing!L49</f>
        <v>3.0304967384318426</v>
      </c>
      <c r="E925" s="304" t="s">
        <v>2020</v>
      </c>
      <c r="F925" s="972">
        <f>Clothing!O49</f>
        <v>1</v>
      </c>
      <c r="G925" s="224">
        <f>Clothing!P49</f>
        <v>1</v>
      </c>
      <c r="H925" s="224">
        <f>Clothing!Q49</f>
        <v>2</v>
      </c>
      <c r="I925" s="224">
        <f>Clothing!R49</f>
        <v>2</v>
      </c>
      <c r="J925" s="224">
        <f>Clothing!S49</f>
        <v>2</v>
      </c>
      <c r="K925" s="499">
        <f t="shared" si="15"/>
        <v>0.37356464144298934</v>
      </c>
      <c r="L925" s="1208"/>
    </row>
    <row r="926" spans="1:12">
      <c r="A926" s="97" t="s">
        <v>2018</v>
      </c>
      <c r="B926" s="68">
        <f>Clothing!B50</f>
        <v>2015</v>
      </c>
      <c r="C926" s="304" t="str">
        <f>Clothing!C50</f>
        <v>PA</v>
      </c>
      <c r="D926" s="68">
        <f>Clothing!L50</f>
        <v>5.9459099941765752</v>
      </c>
      <c r="E926" s="304" t="s">
        <v>2020</v>
      </c>
      <c r="F926" s="972">
        <f>Clothing!O50</f>
        <v>1</v>
      </c>
      <c r="G926" s="224">
        <f>Clothing!P50</f>
        <v>1</v>
      </c>
      <c r="H926" s="224">
        <f>Clothing!Q50</f>
        <v>2</v>
      </c>
      <c r="I926" s="224">
        <f>Clothing!R50</f>
        <v>2</v>
      </c>
      <c r="J926" s="224">
        <f>Clothing!S50</f>
        <v>2</v>
      </c>
      <c r="K926" s="499">
        <f t="shared" si="15"/>
        <v>0.37356464144298934</v>
      </c>
      <c r="L926" s="1208"/>
    </row>
    <row r="927" spans="1:12">
      <c r="A927" s="97" t="s">
        <v>2018</v>
      </c>
      <c r="B927" s="68">
        <f>Clothing!B51</f>
        <v>2015</v>
      </c>
      <c r="C927" s="304" t="str">
        <f>Clothing!C51</f>
        <v>PET</v>
      </c>
      <c r="D927" s="68">
        <f>Clothing!L51</f>
        <v>20.19865710151014</v>
      </c>
      <c r="E927" s="304" t="s">
        <v>2020</v>
      </c>
      <c r="F927" s="972">
        <f>Clothing!O51</f>
        <v>1</v>
      </c>
      <c r="G927" s="224">
        <f>Clothing!P51</f>
        <v>1</v>
      </c>
      <c r="H927" s="224">
        <f>Clothing!Q51</f>
        <v>2</v>
      </c>
      <c r="I927" s="224">
        <f>Clothing!R51</f>
        <v>2</v>
      </c>
      <c r="J927" s="224">
        <f>Clothing!S51</f>
        <v>2</v>
      </c>
      <c r="K927" s="499">
        <f t="shared" si="15"/>
        <v>0.37356464144298934</v>
      </c>
      <c r="L927" s="1208"/>
    </row>
    <row r="928" spans="1:12">
      <c r="A928" s="97" t="s">
        <v>2018</v>
      </c>
      <c r="B928" s="68">
        <f>Clothing!B52</f>
        <v>2015</v>
      </c>
      <c r="C928" s="304" t="str">
        <f>Clothing!C52</f>
        <v>PUR</v>
      </c>
      <c r="D928" s="68">
        <f>Clothing!L52</f>
        <v>3.832158328239514</v>
      </c>
      <c r="E928" s="304" t="s">
        <v>2020</v>
      </c>
      <c r="F928" s="972">
        <f>Clothing!O52</f>
        <v>1</v>
      </c>
      <c r="G928" s="224">
        <f>Clothing!P52</f>
        <v>1</v>
      </c>
      <c r="H928" s="224">
        <f>Clothing!Q52</f>
        <v>2</v>
      </c>
      <c r="I928" s="224">
        <f>Clothing!R52</f>
        <v>2</v>
      </c>
      <c r="J928" s="224">
        <f>Clothing!S52</f>
        <v>2</v>
      </c>
      <c r="K928" s="499">
        <f t="shared" si="15"/>
        <v>0.37356464144298934</v>
      </c>
      <c r="L928" s="1208"/>
    </row>
    <row r="929" spans="1:12">
      <c r="A929" s="97" t="s">
        <v>2018</v>
      </c>
      <c r="B929" s="68">
        <f>Clothing!B53</f>
        <v>2015</v>
      </c>
      <c r="C929" s="304" t="str">
        <f>Clothing!C53</f>
        <v>PVC</v>
      </c>
      <c r="D929" s="68">
        <f>Clothing!L53</f>
        <v>2.3418034896275119</v>
      </c>
      <c r="E929" s="304" t="s">
        <v>2020</v>
      </c>
      <c r="F929" s="972">
        <f>Clothing!O53</f>
        <v>1</v>
      </c>
      <c r="G929" s="224">
        <f>Clothing!P53</f>
        <v>1</v>
      </c>
      <c r="H929" s="224">
        <f>Clothing!Q53</f>
        <v>2</v>
      </c>
      <c r="I929" s="224">
        <f>Clothing!R53</f>
        <v>2</v>
      </c>
      <c r="J929" s="224">
        <f>Clothing!S53</f>
        <v>2</v>
      </c>
      <c r="K929" s="499">
        <f t="shared" si="15"/>
        <v>0.37356464144298934</v>
      </c>
      <c r="L929" s="1208"/>
    </row>
    <row r="930" spans="1:12">
      <c r="A930" s="97" t="s">
        <v>2018</v>
      </c>
      <c r="B930" s="68">
        <f>Clothing!B54</f>
        <v>2015</v>
      </c>
      <c r="C930" s="304" t="str">
        <f>Clothing!C54</f>
        <v>RUBBER</v>
      </c>
      <c r="D930" s="68">
        <f>Clothing!L54</f>
        <v>3.1133065175132435</v>
      </c>
      <c r="E930" s="304" t="s">
        <v>2020</v>
      </c>
      <c r="F930" s="972">
        <f>Clothing!O54</f>
        <v>1</v>
      </c>
      <c r="G930" s="224">
        <f>Clothing!P54</f>
        <v>1</v>
      </c>
      <c r="H930" s="224">
        <f>Clothing!Q54</f>
        <v>2</v>
      </c>
      <c r="I930" s="224">
        <f>Clothing!R54</f>
        <v>2</v>
      </c>
      <c r="J930" s="224">
        <f>Clothing!S54</f>
        <v>2</v>
      </c>
      <c r="K930" s="499">
        <f t="shared" si="15"/>
        <v>0.37356464144298934</v>
      </c>
      <c r="L930" s="1208"/>
    </row>
    <row r="931" spans="1:12">
      <c r="A931" s="97" t="s">
        <v>2018</v>
      </c>
      <c r="B931" s="68">
        <f>Clothing!B55</f>
        <v>2016</v>
      </c>
      <c r="C931" s="304" t="str">
        <f>Clothing!C55</f>
        <v>Acryl</v>
      </c>
      <c r="D931" s="68">
        <f>Clothing!L55</f>
        <v>2.0756254179823288</v>
      </c>
      <c r="E931" s="304" t="s">
        <v>2020</v>
      </c>
      <c r="F931" s="972">
        <f>Clothing!O55</f>
        <v>1</v>
      </c>
      <c r="G931" s="224">
        <f>Clothing!P55</f>
        <v>1</v>
      </c>
      <c r="H931" s="224">
        <f>Clothing!Q55</f>
        <v>2</v>
      </c>
      <c r="I931" s="224">
        <f>Clothing!R55</f>
        <v>2</v>
      </c>
      <c r="J931" s="224">
        <f>Clothing!S55</f>
        <v>2</v>
      </c>
      <c r="K931" s="499">
        <f t="shared" si="15"/>
        <v>0.37356464144298934</v>
      </c>
      <c r="L931" s="1208"/>
    </row>
    <row r="932" spans="1:12">
      <c r="A932" s="97" t="s">
        <v>2018</v>
      </c>
      <c r="B932" s="68">
        <f>Clothing!B56</f>
        <v>2016</v>
      </c>
      <c r="C932" s="304" t="str">
        <f>Clothing!C56</f>
        <v>OTHER</v>
      </c>
      <c r="D932" s="68">
        <f>Clothing!L56</f>
        <v>3.1086310568631381</v>
      </c>
      <c r="E932" s="304" t="s">
        <v>2020</v>
      </c>
      <c r="F932" s="972">
        <f>Clothing!O56</f>
        <v>1</v>
      </c>
      <c r="G932" s="224">
        <f>Clothing!P56</f>
        <v>1</v>
      </c>
      <c r="H932" s="224">
        <f>Clothing!Q56</f>
        <v>2</v>
      </c>
      <c r="I932" s="224">
        <f>Clothing!R56</f>
        <v>2</v>
      </c>
      <c r="J932" s="224">
        <f>Clothing!S56</f>
        <v>2</v>
      </c>
      <c r="K932" s="499">
        <f t="shared" si="15"/>
        <v>0.37356464144298934</v>
      </c>
      <c r="L932" s="1208"/>
    </row>
    <row r="933" spans="1:12">
      <c r="A933" s="97" t="s">
        <v>2018</v>
      </c>
      <c r="B933" s="68">
        <f>Clothing!B57</f>
        <v>2016</v>
      </c>
      <c r="C933" s="304" t="str">
        <f>Clothing!C57</f>
        <v>PA</v>
      </c>
      <c r="D933" s="68">
        <f>Clothing!L57</f>
        <v>6.2211869565883644</v>
      </c>
      <c r="E933" s="304" t="s">
        <v>2020</v>
      </c>
      <c r="F933" s="972">
        <f>Clothing!O57</f>
        <v>1</v>
      </c>
      <c r="G933" s="224">
        <f>Clothing!P57</f>
        <v>1</v>
      </c>
      <c r="H933" s="224">
        <f>Clothing!Q57</f>
        <v>2</v>
      </c>
      <c r="I933" s="224">
        <f>Clothing!R57</f>
        <v>2</v>
      </c>
      <c r="J933" s="224">
        <f>Clothing!S57</f>
        <v>2</v>
      </c>
      <c r="K933" s="499">
        <f t="shared" si="15"/>
        <v>0.37356464144298934</v>
      </c>
      <c r="L933" s="1208"/>
    </row>
    <row r="934" spans="1:12">
      <c r="A934" s="97" t="s">
        <v>2018</v>
      </c>
      <c r="B934" s="68">
        <f>Clothing!B58</f>
        <v>2016</v>
      </c>
      <c r="C934" s="304" t="str">
        <f>Clothing!C58</f>
        <v>PET</v>
      </c>
      <c r="D934" s="68">
        <f>Clothing!L58</f>
        <v>21.849595415055806</v>
      </c>
      <c r="E934" s="304" t="s">
        <v>2020</v>
      </c>
      <c r="F934" s="972">
        <f>Clothing!O58</f>
        <v>1</v>
      </c>
      <c r="G934" s="224">
        <f>Clothing!P58</f>
        <v>1</v>
      </c>
      <c r="H934" s="224">
        <f>Clothing!Q58</f>
        <v>2</v>
      </c>
      <c r="I934" s="224">
        <f>Clothing!R58</f>
        <v>2</v>
      </c>
      <c r="J934" s="224">
        <f>Clothing!S58</f>
        <v>2</v>
      </c>
      <c r="K934" s="499">
        <f t="shared" si="15"/>
        <v>0.37356464144298934</v>
      </c>
      <c r="L934" s="1208"/>
    </row>
    <row r="935" spans="1:12">
      <c r="A935" s="97" t="s">
        <v>2018</v>
      </c>
      <c r="B935" s="68">
        <f>Clothing!B59</f>
        <v>2016</v>
      </c>
      <c r="C935" s="304" t="str">
        <f>Clothing!C59</f>
        <v>PUR</v>
      </c>
      <c r="D935" s="68">
        <f>Clothing!L59</f>
        <v>3.9222738825260484</v>
      </c>
      <c r="E935" s="304" t="s">
        <v>2020</v>
      </c>
      <c r="F935" s="972">
        <f>Clothing!O59</f>
        <v>1</v>
      </c>
      <c r="G935" s="224">
        <f>Clothing!P59</f>
        <v>1</v>
      </c>
      <c r="H935" s="224">
        <f>Clothing!Q59</f>
        <v>2</v>
      </c>
      <c r="I935" s="224">
        <f>Clothing!R59</f>
        <v>2</v>
      </c>
      <c r="J935" s="224">
        <f>Clothing!S59</f>
        <v>2</v>
      </c>
      <c r="K935" s="499">
        <f t="shared" si="15"/>
        <v>0.37356464144298934</v>
      </c>
      <c r="L935" s="1208"/>
    </row>
    <row r="936" spans="1:12">
      <c r="A936" s="97" t="s">
        <v>2018</v>
      </c>
      <c r="B936" s="68">
        <f>Clothing!B60</f>
        <v>2016</v>
      </c>
      <c r="C936" s="304" t="str">
        <f>Clothing!C60</f>
        <v>PVC</v>
      </c>
      <c r="D936" s="68">
        <f>Clothing!L60</f>
        <v>2.3734315844247984</v>
      </c>
      <c r="E936" s="304" t="s">
        <v>2020</v>
      </c>
      <c r="F936" s="972">
        <f>Clothing!O60</f>
        <v>1</v>
      </c>
      <c r="G936" s="224">
        <f>Clothing!P60</f>
        <v>1</v>
      </c>
      <c r="H936" s="224">
        <f>Clothing!Q60</f>
        <v>2</v>
      </c>
      <c r="I936" s="224">
        <f>Clothing!R60</f>
        <v>2</v>
      </c>
      <c r="J936" s="224">
        <f>Clothing!S60</f>
        <v>2</v>
      </c>
      <c r="K936" s="499">
        <f t="shared" si="15"/>
        <v>0.37356464144298934</v>
      </c>
      <c r="L936" s="1208"/>
    </row>
    <row r="937" spans="1:12">
      <c r="A937" s="97" t="s">
        <v>2018</v>
      </c>
      <c r="B937" s="68">
        <f>Clothing!B61</f>
        <v>2016</v>
      </c>
      <c r="C937" s="304" t="str">
        <f>Clothing!C61</f>
        <v>RUBBER</v>
      </c>
      <c r="D937" s="68">
        <f>Clothing!L61</f>
        <v>2.916798287515908</v>
      </c>
      <c r="E937" s="304" t="s">
        <v>2020</v>
      </c>
      <c r="F937" s="972">
        <f>Clothing!O61</f>
        <v>1</v>
      </c>
      <c r="G937" s="224">
        <f>Clothing!P61</f>
        <v>1</v>
      </c>
      <c r="H937" s="224">
        <f>Clothing!Q61</f>
        <v>2</v>
      </c>
      <c r="I937" s="224">
        <f>Clothing!R61</f>
        <v>2</v>
      </c>
      <c r="J937" s="224">
        <f>Clothing!S61</f>
        <v>2</v>
      </c>
      <c r="K937" s="499">
        <f t="shared" si="15"/>
        <v>0.37356464144298934</v>
      </c>
      <c r="L937" s="1208"/>
    </row>
    <row r="938" spans="1:12">
      <c r="A938" s="97" t="s">
        <v>2018</v>
      </c>
      <c r="B938" s="68">
        <f>Clothing!B62</f>
        <v>2017</v>
      </c>
      <c r="C938" s="304" t="str">
        <f>Clothing!C62</f>
        <v>Acryl</v>
      </c>
      <c r="D938" s="68">
        <f>Clothing!L62</f>
        <v>1.6470771137083835</v>
      </c>
      <c r="E938" s="304" t="s">
        <v>2020</v>
      </c>
      <c r="F938" s="972">
        <f>Clothing!O62</f>
        <v>1</v>
      </c>
      <c r="G938" s="224">
        <f>Clothing!P62</f>
        <v>1</v>
      </c>
      <c r="H938" s="224">
        <f>Clothing!Q62</f>
        <v>2</v>
      </c>
      <c r="I938" s="224">
        <f>Clothing!R62</f>
        <v>2</v>
      </c>
      <c r="J938" s="224">
        <f>Clothing!S62</f>
        <v>2</v>
      </c>
      <c r="K938" s="499">
        <f t="shared" si="15"/>
        <v>0.37356464144298934</v>
      </c>
      <c r="L938" s="1208"/>
    </row>
    <row r="939" spans="1:12">
      <c r="A939" s="97" t="s">
        <v>2018</v>
      </c>
      <c r="B939" s="68">
        <f>Clothing!B63</f>
        <v>2017</v>
      </c>
      <c r="C939" s="304" t="str">
        <f>Clothing!C63</f>
        <v>OTHER</v>
      </c>
      <c r="D939" s="68">
        <f>Clothing!L63</f>
        <v>2.5973053234392482</v>
      </c>
      <c r="E939" s="304" t="s">
        <v>2020</v>
      </c>
      <c r="F939" s="972">
        <f>Clothing!O63</f>
        <v>1</v>
      </c>
      <c r="G939" s="224">
        <f>Clothing!P63</f>
        <v>1</v>
      </c>
      <c r="H939" s="224">
        <f>Clothing!Q63</f>
        <v>2</v>
      </c>
      <c r="I939" s="224">
        <f>Clothing!R63</f>
        <v>2</v>
      </c>
      <c r="J939" s="224">
        <f>Clothing!S63</f>
        <v>2</v>
      </c>
      <c r="K939" s="499">
        <f t="shared" si="15"/>
        <v>0.37356464144298934</v>
      </c>
      <c r="L939" s="1208"/>
    </row>
    <row r="940" spans="1:12">
      <c r="A940" s="97" t="s">
        <v>2018</v>
      </c>
      <c r="B940" s="68">
        <f>Clothing!B64</f>
        <v>2017</v>
      </c>
      <c r="C940" s="304" t="str">
        <f>Clothing!C64</f>
        <v>PA</v>
      </c>
      <c r="D940" s="68">
        <f>Clothing!L64</f>
        <v>5.1101088132832597</v>
      </c>
      <c r="E940" s="304" t="s">
        <v>2020</v>
      </c>
      <c r="F940" s="972">
        <f>Clothing!O64</f>
        <v>1</v>
      </c>
      <c r="G940" s="224">
        <f>Clothing!P64</f>
        <v>1</v>
      </c>
      <c r="H940" s="224">
        <f>Clothing!Q64</f>
        <v>2</v>
      </c>
      <c r="I940" s="224">
        <f>Clothing!R64</f>
        <v>2</v>
      </c>
      <c r="J940" s="224">
        <f>Clothing!S64</f>
        <v>2</v>
      </c>
      <c r="K940" s="499">
        <f t="shared" si="15"/>
        <v>0.37356464144298934</v>
      </c>
      <c r="L940" s="1208"/>
    </row>
    <row r="941" spans="1:12">
      <c r="A941" s="97" t="s">
        <v>2018</v>
      </c>
      <c r="B941" s="68">
        <f>Clothing!B65</f>
        <v>2017</v>
      </c>
      <c r="C941" s="304" t="str">
        <f>Clothing!C65</f>
        <v>PET</v>
      </c>
      <c r="D941" s="68">
        <f>Clothing!L65</f>
        <v>17.534936329693842</v>
      </c>
      <c r="E941" s="304" t="s">
        <v>2020</v>
      </c>
      <c r="F941" s="972">
        <f>Clothing!O65</f>
        <v>1</v>
      </c>
      <c r="G941" s="224">
        <f>Clothing!P65</f>
        <v>1</v>
      </c>
      <c r="H941" s="224">
        <f>Clothing!Q65</f>
        <v>2</v>
      </c>
      <c r="I941" s="224">
        <f>Clothing!R65</f>
        <v>2</v>
      </c>
      <c r="J941" s="224">
        <f>Clothing!S65</f>
        <v>2</v>
      </c>
      <c r="K941" s="499">
        <f t="shared" si="15"/>
        <v>0.37356464144298934</v>
      </c>
      <c r="L941" s="1208"/>
    </row>
    <row r="942" spans="1:12">
      <c r="A942" s="97" t="s">
        <v>2018</v>
      </c>
      <c r="B942" s="68">
        <f>Clothing!B66</f>
        <v>2017</v>
      </c>
      <c r="C942" s="304" t="str">
        <f>Clothing!C66</f>
        <v>PUR</v>
      </c>
      <c r="D942" s="68">
        <f>Clothing!L66</f>
        <v>3.2919467289656539</v>
      </c>
      <c r="E942" s="304" t="s">
        <v>2020</v>
      </c>
      <c r="F942" s="972">
        <f>Clothing!O66</f>
        <v>1</v>
      </c>
      <c r="G942" s="224">
        <f>Clothing!P66</f>
        <v>1</v>
      </c>
      <c r="H942" s="224">
        <f>Clothing!Q66</f>
        <v>2</v>
      </c>
      <c r="I942" s="224">
        <f>Clothing!R66</f>
        <v>2</v>
      </c>
      <c r="J942" s="224">
        <f>Clothing!S66</f>
        <v>2</v>
      </c>
      <c r="K942" s="499">
        <f t="shared" si="15"/>
        <v>0.37356464144298934</v>
      </c>
      <c r="L942" s="1208"/>
    </row>
    <row r="943" spans="1:12">
      <c r="A943" s="97" t="s">
        <v>2018</v>
      </c>
      <c r="B943" s="68">
        <f>Clothing!B67</f>
        <v>2017</v>
      </c>
      <c r="C943" s="304" t="str">
        <f>Clothing!C67</f>
        <v>PVC</v>
      </c>
      <c r="D943" s="68">
        <f>Clothing!L67</f>
        <v>2.0010546708869303</v>
      </c>
      <c r="E943" s="304" t="s">
        <v>2020</v>
      </c>
      <c r="F943" s="972">
        <f>Clothing!O67</f>
        <v>1</v>
      </c>
      <c r="G943" s="224">
        <f>Clothing!P67</f>
        <v>1</v>
      </c>
      <c r="H943" s="224">
        <f>Clothing!Q67</f>
        <v>2</v>
      </c>
      <c r="I943" s="224">
        <f>Clothing!R67</f>
        <v>2</v>
      </c>
      <c r="J943" s="224">
        <f>Clothing!S67</f>
        <v>2</v>
      </c>
      <c r="K943" s="499">
        <f t="shared" si="15"/>
        <v>0.37356464144298934</v>
      </c>
      <c r="L943" s="1208"/>
    </row>
    <row r="944" spans="1:12">
      <c r="A944" s="97" t="s">
        <v>2018</v>
      </c>
      <c r="B944" s="68">
        <f>Clothing!B68</f>
        <v>2017</v>
      </c>
      <c r="C944" s="304" t="str">
        <f>Clothing!C68</f>
        <v>RUBBER</v>
      </c>
      <c r="D944" s="68">
        <f>Clothing!L68</f>
        <v>2.5347333930315963</v>
      </c>
      <c r="E944" s="304" t="s">
        <v>2020</v>
      </c>
      <c r="F944" s="972">
        <f>Clothing!O68</f>
        <v>1</v>
      </c>
      <c r="G944" s="224">
        <f>Clothing!P68</f>
        <v>1</v>
      </c>
      <c r="H944" s="224">
        <f>Clothing!Q68</f>
        <v>2</v>
      </c>
      <c r="I944" s="224">
        <f>Clothing!R68</f>
        <v>2</v>
      </c>
      <c r="J944" s="224">
        <f>Clothing!S68</f>
        <v>2</v>
      </c>
      <c r="K944" s="499">
        <f t="shared" si="15"/>
        <v>0.37356464144298934</v>
      </c>
      <c r="L944" s="1208"/>
    </row>
    <row r="945" spans="1:12">
      <c r="A945" s="97" t="s">
        <v>2018</v>
      </c>
      <c r="B945" s="68">
        <f>Clothing!B69</f>
        <v>2018</v>
      </c>
      <c r="C945" s="304" t="str">
        <f>Clothing!C69</f>
        <v>Acryl</v>
      </c>
      <c r="D945" s="68">
        <f>Clothing!L69</f>
        <v>1.846440849244946</v>
      </c>
      <c r="E945" s="304" t="s">
        <v>2020</v>
      </c>
      <c r="F945" s="972">
        <f>Clothing!O69</f>
        <v>1</v>
      </c>
      <c r="G945" s="224">
        <f>Clothing!P69</f>
        <v>1</v>
      </c>
      <c r="H945" s="224">
        <f>Clothing!Q69</f>
        <v>2</v>
      </c>
      <c r="I945" s="224">
        <f>Clothing!R69</f>
        <v>2</v>
      </c>
      <c r="J945" s="224">
        <f>Clothing!S69</f>
        <v>2</v>
      </c>
      <c r="K945" s="499">
        <f t="shared" si="15"/>
        <v>0.37356464144298934</v>
      </c>
      <c r="L945" s="1208"/>
    </row>
    <row r="946" spans="1:12">
      <c r="A946" s="97" t="s">
        <v>2018</v>
      </c>
      <c r="B946" s="68">
        <f>Clothing!B70</f>
        <v>2018</v>
      </c>
      <c r="C946" s="304" t="str">
        <f>Clothing!C70</f>
        <v>OTHER</v>
      </c>
      <c r="D946" s="68">
        <f>Clothing!L70</f>
        <v>3.4328577922491834</v>
      </c>
      <c r="E946" s="304" t="s">
        <v>2020</v>
      </c>
      <c r="F946" s="972">
        <f>Clothing!O70</f>
        <v>1</v>
      </c>
      <c r="G946" s="224">
        <f>Clothing!P70</f>
        <v>1</v>
      </c>
      <c r="H946" s="224">
        <f>Clothing!Q70</f>
        <v>2</v>
      </c>
      <c r="I946" s="224">
        <f>Clothing!R70</f>
        <v>2</v>
      </c>
      <c r="J946" s="224">
        <f>Clothing!S70</f>
        <v>2</v>
      </c>
      <c r="K946" s="499">
        <f t="shared" si="15"/>
        <v>0.37356464144298934</v>
      </c>
      <c r="L946" s="1208"/>
    </row>
    <row r="947" spans="1:12">
      <c r="A947" s="97" t="s">
        <v>2018</v>
      </c>
      <c r="B947" s="68">
        <f>Clothing!B71</f>
        <v>2018</v>
      </c>
      <c r="C947" s="304" t="str">
        <f>Clothing!C71</f>
        <v>PA</v>
      </c>
      <c r="D947" s="68">
        <f>Clothing!L71</f>
        <v>5.9189541346003258</v>
      </c>
      <c r="E947" s="304" t="s">
        <v>2020</v>
      </c>
      <c r="F947" s="972">
        <f>Clothing!O71</f>
        <v>1</v>
      </c>
      <c r="G947" s="224">
        <f>Clothing!P71</f>
        <v>1</v>
      </c>
      <c r="H947" s="224">
        <f>Clothing!Q71</f>
        <v>2</v>
      </c>
      <c r="I947" s="224">
        <f>Clothing!R71</f>
        <v>2</v>
      </c>
      <c r="J947" s="224">
        <f>Clothing!S71</f>
        <v>2</v>
      </c>
      <c r="K947" s="499">
        <f t="shared" si="15"/>
        <v>0.37356464144298934</v>
      </c>
      <c r="L947" s="1208"/>
    </row>
    <row r="948" spans="1:12">
      <c r="A948" s="97" t="s">
        <v>2018</v>
      </c>
      <c r="B948" s="68">
        <f>Clothing!B72</f>
        <v>2018</v>
      </c>
      <c r="C948" s="304" t="str">
        <f>Clothing!C72</f>
        <v>PET</v>
      </c>
      <c r="D948" s="68">
        <f>Clothing!L72</f>
        <v>21.728431820681543</v>
      </c>
      <c r="E948" s="304" t="s">
        <v>2020</v>
      </c>
      <c r="F948" s="972">
        <f>Clothing!O72</f>
        <v>1</v>
      </c>
      <c r="G948" s="224">
        <f>Clothing!P72</f>
        <v>1</v>
      </c>
      <c r="H948" s="224">
        <f>Clothing!Q72</f>
        <v>2</v>
      </c>
      <c r="I948" s="224">
        <f>Clothing!R72</f>
        <v>2</v>
      </c>
      <c r="J948" s="224">
        <f>Clothing!S72</f>
        <v>2</v>
      </c>
      <c r="K948" s="499">
        <f t="shared" si="15"/>
        <v>0.37356464144298934</v>
      </c>
      <c r="L948" s="1208"/>
    </row>
    <row r="949" spans="1:12">
      <c r="A949" s="97" t="s">
        <v>2018</v>
      </c>
      <c r="B949" s="68">
        <f>Clothing!B73</f>
        <v>2018</v>
      </c>
      <c r="C949" s="304" t="str">
        <f>Clothing!C73</f>
        <v>PUR</v>
      </c>
      <c r="D949" s="68">
        <f>Clothing!L73</f>
        <v>3.4274464909517084</v>
      </c>
      <c r="E949" s="304" t="s">
        <v>2020</v>
      </c>
      <c r="F949" s="972">
        <f>Clothing!O73</f>
        <v>1</v>
      </c>
      <c r="G949" s="224">
        <f>Clothing!P73</f>
        <v>1</v>
      </c>
      <c r="H949" s="224">
        <f>Clothing!Q73</f>
        <v>2</v>
      </c>
      <c r="I949" s="224">
        <f>Clothing!R73</f>
        <v>2</v>
      </c>
      <c r="J949" s="224">
        <f>Clothing!S73</f>
        <v>2</v>
      </c>
      <c r="K949" s="499">
        <f t="shared" si="15"/>
        <v>0.37356464144298934</v>
      </c>
      <c r="L949" s="1208"/>
    </row>
    <row r="950" spans="1:12">
      <c r="A950" s="97" t="s">
        <v>2018</v>
      </c>
      <c r="B950" s="68">
        <f>Clothing!B74</f>
        <v>2018</v>
      </c>
      <c r="C950" s="304" t="str">
        <f>Clothing!C74</f>
        <v>PVC</v>
      </c>
      <c r="D950" s="68">
        <f>Clothing!L74</f>
        <v>2.1086576764304308</v>
      </c>
      <c r="E950" s="304" t="s">
        <v>2020</v>
      </c>
      <c r="F950" s="972">
        <f>Clothing!O74</f>
        <v>1</v>
      </c>
      <c r="G950" s="224">
        <f>Clothing!P74</f>
        <v>1</v>
      </c>
      <c r="H950" s="224">
        <f>Clothing!Q74</f>
        <v>2</v>
      </c>
      <c r="I950" s="224">
        <f>Clothing!R74</f>
        <v>2</v>
      </c>
      <c r="J950" s="224">
        <f>Clothing!S74</f>
        <v>2</v>
      </c>
      <c r="K950" s="499">
        <f t="shared" si="15"/>
        <v>0.37356464144298934</v>
      </c>
      <c r="L950" s="1208"/>
    </row>
    <row r="951" spans="1:12">
      <c r="A951" s="97" t="s">
        <v>2018</v>
      </c>
      <c r="B951" s="68">
        <f>Clothing!B75</f>
        <v>2018</v>
      </c>
      <c r="C951" s="304" t="str">
        <f>Clothing!C75</f>
        <v>RUBBER</v>
      </c>
      <c r="D951" s="68">
        <f>Clothing!L75</f>
        <v>3.1009013817684576</v>
      </c>
      <c r="E951" s="304" t="s">
        <v>2020</v>
      </c>
      <c r="F951" s="972">
        <f>Clothing!O75</f>
        <v>1</v>
      </c>
      <c r="G951" s="224">
        <f>Clothing!P75</f>
        <v>1</v>
      </c>
      <c r="H951" s="224">
        <f>Clothing!Q75</f>
        <v>2</v>
      </c>
      <c r="I951" s="224">
        <f>Clothing!R75</f>
        <v>2</v>
      </c>
      <c r="J951" s="224">
        <f>Clothing!S75</f>
        <v>2</v>
      </c>
      <c r="K951" s="499">
        <f t="shared" si="15"/>
        <v>0.37356464144298934</v>
      </c>
      <c r="L951" s="1208"/>
    </row>
    <row r="952" spans="1:12">
      <c r="A952" s="97" t="s">
        <v>2018</v>
      </c>
      <c r="B952" s="68">
        <f>Clothing!B76</f>
        <v>2019</v>
      </c>
      <c r="C952" s="304" t="str">
        <f>Clothing!C76</f>
        <v>Acryl</v>
      </c>
      <c r="D952" s="68">
        <f>Clothing!L76</f>
        <v>1.6436091730165416</v>
      </c>
      <c r="E952" s="304" t="s">
        <v>2020</v>
      </c>
      <c r="F952" s="972">
        <f>Clothing!O76</f>
        <v>1</v>
      </c>
      <c r="G952" s="224">
        <f>Clothing!P76</f>
        <v>1</v>
      </c>
      <c r="H952" s="224">
        <f>Clothing!Q76</f>
        <v>2</v>
      </c>
      <c r="I952" s="224">
        <f>Clothing!R76</f>
        <v>2</v>
      </c>
      <c r="J952" s="224">
        <f>Clothing!S76</f>
        <v>2</v>
      </c>
      <c r="K952" s="499">
        <f t="shared" si="15"/>
        <v>0.37356464144298934</v>
      </c>
      <c r="L952" s="1208"/>
    </row>
    <row r="953" spans="1:12">
      <c r="A953" s="97" t="s">
        <v>2018</v>
      </c>
      <c r="B953" s="68">
        <f>Clothing!B77</f>
        <v>2019</v>
      </c>
      <c r="C953" s="304" t="str">
        <f>Clothing!C77</f>
        <v>OTHER</v>
      </c>
      <c r="D953" s="68">
        <f>Clothing!L77</f>
        <v>2.8301534825878161</v>
      </c>
      <c r="E953" s="304" t="s">
        <v>2020</v>
      </c>
      <c r="F953" s="972">
        <f>Clothing!O77</f>
        <v>1</v>
      </c>
      <c r="G953" s="224">
        <f>Clothing!P77</f>
        <v>1</v>
      </c>
      <c r="H953" s="224">
        <f>Clothing!Q77</f>
        <v>2</v>
      </c>
      <c r="I953" s="224">
        <f>Clothing!R77</f>
        <v>2</v>
      </c>
      <c r="J953" s="224">
        <f>Clothing!S77</f>
        <v>2</v>
      </c>
      <c r="K953" s="499">
        <f t="shared" si="15"/>
        <v>0.37356464144298934</v>
      </c>
      <c r="L953" s="1208"/>
    </row>
    <row r="954" spans="1:12">
      <c r="A954" s="97" t="s">
        <v>2018</v>
      </c>
      <c r="B954" s="68">
        <f>Clothing!B78</f>
        <v>2019</v>
      </c>
      <c r="C954" s="304" t="str">
        <f>Clothing!C78</f>
        <v>PA</v>
      </c>
      <c r="D954" s="68">
        <f>Clothing!L78</f>
        <v>4.9104476441319109</v>
      </c>
      <c r="E954" s="304" t="s">
        <v>2020</v>
      </c>
      <c r="F954" s="972">
        <f>Clothing!O78</f>
        <v>1</v>
      </c>
      <c r="G954" s="224">
        <f>Clothing!P78</f>
        <v>1</v>
      </c>
      <c r="H954" s="224">
        <f>Clothing!Q78</f>
        <v>2</v>
      </c>
      <c r="I954" s="224">
        <f>Clothing!R78</f>
        <v>2</v>
      </c>
      <c r="J954" s="224">
        <f>Clothing!S78</f>
        <v>2</v>
      </c>
      <c r="K954" s="499">
        <f t="shared" si="15"/>
        <v>0.37356464144298934</v>
      </c>
      <c r="L954" s="1208"/>
    </row>
    <row r="955" spans="1:12">
      <c r="A955" s="97" t="s">
        <v>2018</v>
      </c>
      <c r="B955" s="68">
        <f>Clothing!B79</f>
        <v>2019</v>
      </c>
      <c r="C955" s="304" t="str">
        <f>Clothing!C79</f>
        <v>PET</v>
      </c>
      <c r="D955" s="68">
        <f>Clothing!L79</f>
        <v>17.484311479412597</v>
      </c>
      <c r="E955" s="304" t="s">
        <v>2020</v>
      </c>
      <c r="F955" s="972">
        <f>Clothing!O79</f>
        <v>1</v>
      </c>
      <c r="G955" s="224">
        <f>Clothing!P79</f>
        <v>1</v>
      </c>
      <c r="H955" s="224">
        <f>Clothing!Q79</f>
        <v>2</v>
      </c>
      <c r="I955" s="224">
        <f>Clothing!R79</f>
        <v>2</v>
      </c>
      <c r="J955" s="224">
        <f>Clothing!S79</f>
        <v>2</v>
      </c>
      <c r="K955" s="499">
        <f t="shared" si="15"/>
        <v>0.37356464144298934</v>
      </c>
      <c r="L955" s="1208"/>
    </row>
    <row r="956" spans="1:12">
      <c r="A956" s="97" t="s">
        <v>2018</v>
      </c>
      <c r="B956" s="68">
        <f>Clothing!B80</f>
        <v>2019</v>
      </c>
      <c r="C956" s="304" t="str">
        <f>Clothing!C80</f>
        <v>PUR</v>
      </c>
      <c r="D956" s="68">
        <f>Clothing!L80</f>
        <v>3.0640391435413621</v>
      </c>
      <c r="E956" s="304" t="s">
        <v>2020</v>
      </c>
      <c r="F956" s="972">
        <f>Clothing!O80</f>
        <v>1</v>
      </c>
      <c r="G956" s="224">
        <f>Clothing!P80</f>
        <v>1</v>
      </c>
      <c r="H956" s="224">
        <f>Clothing!Q80</f>
        <v>2</v>
      </c>
      <c r="I956" s="224">
        <f>Clothing!R80</f>
        <v>2</v>
      </c>
      <c r="J956" s="224">
        <f>Clothing!S80</f>
        <v>2</v>
      </c>
      <c r="K956" s="499">
        <f t="shared" si="15"/>
        <v>0.37356464144298934</v>
      </c>
      <c r="L956" s="1208"/>
    </row>
    <row r="957" spans="1:12">
      <c r="A957" s="97" t="s">
        <v>2018</v>
      </c>
      <c r="B957" s="68">
        <f>Clothing!B81</f>
        <v>2019</v>
      </c>
      <c r="C957" s="304" t="str">
        <f>Clothing!C81</f>
        <v>PVC</v>
      </c>
      <c r="D957" s="68">
        <f>Clothing!L81</f>
        <v>1.8614049237456476</v>
      </c>
      <c r="E957" s="304" t="s">
        <v>2020</v>
      </c>
      <c r="F957" s="972">
        <f>Clothing!O81</f>
        <v>1</v>
      </c>
      <c r="G957" s="224">
        <f>Clothing!P81</f>
        <v>1</v>
      </c>
      <c r="H957" s="224">
        <f>Clothing!Q81</f>
        <v>2</v>
      </c>
      <c r="I957" s="224">
        <f>Clothing!R81</f>
        <v>2</v>
      </c>
      <c r="J957" s="224">
        <f>Clothing!S81</f>
        <v>2</v>
      </c>
      <c r="K957" s="499">
        <f t="shared" ref="K957:K1020" si="16">IF( OR( ISBLANK(F957),ISBLANK(G957), ISBLANK(H957), ISBLANK(I957), ISBLANK(J957) ), "", 1.5*SQRT(   EXP(2.21*(F957-1)) + EXP(2.21*(G957-1)) + EXP(2.21*(H957-1)) + EXP(2.21*(I957-1)) + EXP(2.21*J957)   )/100*2.45 )</f>
        <v>0.37356464144298934</v>
      </c>
      <c r="L957" s="1208"/>
    </row>
    <row r="958" spans="1:12">
      <c r="A958" s="97" t="s">
        <v>2018</v>
      </c>
      <c r="B958" s="68">
        <f>Clothing!B82</f>
        <v>2019</v>
      </c>
      <c r="C958" s="304" t="str">
        <f>Clothing!C82</f>
        <v>RUBBER</v>
      </c>
      <c r="D958" s="68">
        <f>Clothing!L82</f>
        <v>2.4290178286122566</v>
      </c>
      <c r="E958" s="304" t="s">
        <v>2020</v>
      </c>
      <c r="F958" s="972">
        <f>Clothing!O82</f>
        <v>1</v>
      </c>
      <c r="G958" s="224">
        <f>Clothing!P82</f>
        <v>1</v>
      </c>
      <c r="H958" s="224">
        <f>Clothing!Q82</f>
        <v>2</v>
      </c>
      <c r="I958" s="224">
        <f>Clothing!R82</f>
        <v>2</v>
      </c>
      <c r="J958" s="224">
        <f>Clothing!S82</f>
        <v>2</v>
      </c>
      <c r="K958" s="499">
        <f t="shared" si="16"/>
        <v>0.37356464144298934</v>
      </c>
      <c r="L958" s="1208"/>
    </row>
    <row r="959" spans="1:12">
      <c r="A959" s="97" t="s">
        <v>2018</v>
      </c>
      <c r="B959" s="68">
        <f>Clothing!B83</f>
        <v>2020</v>
      </c>
      <c r="C959" s="304" t="str">
        <f>Clothing!C83</f>
        <v>Acryl</v>
      </c>
      <c r="D959" s="68">
        <f>Clothing!L83</f>
        <v>0.70716061809315345</v>
      </c>
      <c r="E959" s="304" t="s">
        <v>2020</v>
      </c>
      <c r="F959" s="972">
        <f>Clothing!O83</f>
        <v>1</v>
      </c>
      <c r="G959" s="224">
        <f>Clothing!P83</f>
        <v>1</v>
      </c>
      <c r="H959" s="224">
        <f>Clothing!Q83</f>
        <v>2</v>
      </c>
      <c r="I959" s="224">
        <f>Clothing!R83</f>
        <v>2</v>
      </c>
      <c r="J959" s="224">
        <f>Clothing!S83</f>
        <v>2</v>
      </c>
      <c r="K959" s="499">
        <f t="shared" si="16"/>
        <v>0.37356464144298934</v>
      </c>
      <c r="L959" s="1208"/>
    </row>
    <row r="960" spans="1:12">
      <c r="A960" s="97" t="s">
        <v>2018</v>
      </c>
      <c r="B960" s="68">
        <f>Clothing!B84</f>
        <v>2020</v>
      </c>
      <c r="C960" s="304" t="str">
        <f>Clothing!C84</f>
        <v>OTHER</v>
      </c>
      <c r="D960" s="68">
        <f>Clothing!L84</f>
        <v>1.1006924741852226</v>
      </c>
      <c r="E960" s="304" t="s">
        <v>2020</v>
      </c>
      <c r="F960" s="972">
        <f>Clothing!O84</f>
        <v>1</v>
      </c>
      <c r="G960" s="224">
        <f>Clothing!P84</f>
        <v>1</v>
      </c>
      <c r="H960" s="224">
        <f>Clothing!Q84</f>
        <v>2</v>
      </c>
      <c r="I960" s="224">
        <f>Clothing!R84</f>
        <v>2</v>
      </c>
      <c r="J960" s="224">
        <f>Clothing!S84</f>
        <v>2</v>
      </c>
      <c r="K960" s="499">
        <f t="shared" si="16"/>
        <v>0.37356464144298934</v>
      </c>
      <c r="L960" s="1208"/>
    </row>
    <row r="961" spans="1:12">
      <c r="A961" s="97" t="s">
        <v>2018</v>
      </c>
      <c r="B961" s="68">
        <f>Clothing!B85</f>
        <v>2020</v>
      </c>
      <c r="C961" s="304" t="str">
        <f>Clothing!C85</f>
        <v>PA</v>
      </c>
      <c r="D961" s="68">
        <f>Clothing!L85</f>
        <v>1.9658588814603468</v>
      </c>
      <c r="E961" s="304" t="s">
        <v>2020</v>
      </c>
      <c r="F961" s="972">
        <f>Clothing!O85</f>
        <v>1</v>
      </c>
      <c r="G961" s="224">
        <f>Clothing!P85</f>
        <v>1</v>
      </c>
      <c r="H961" s="224">
        <f>Clothing!Q85</f>
        <v>2</v>
      </c>
      <c r="I961" s="224">
        <f>Clothing!R85</f>
        <v>2</v>
      </c>
      <c r="J961" s="224">
        <f>Clothing!S85</f>
        <v>2</v>
      </c>
      <c r="K961" s="499">
        <f t="shared" si="16"/>
        <v>0.37356464144298934</v>
      </c>
      <c r="L961" s="1208"/>
    </row>
    <row r="962" spans="1:12">
      <c r="A962" s="97" t="s">
        <v>2018</v>
      </c>
      <c r="B962" s="68">
        <f>Clothing!B86</f>
        <v>2020</v>
      </c>
      <c r="C962" s="304" t="str">
        <f>Clothing!C86</f>
        <v>PET</v>
      </c>
      <c r="D962" s="68">
        <f>Clothing!L86</f>
        <v>6.4103570701324895</v>
      </c>
      <c r="E962" s="304" t="s">
        <v>2020</v>
      </c>
      <c r="F962" s="972">
        <f>Clothing!O86</f>
        <v>1</v>
      </c>
      <c r="G962" s="224">
        <f>Clothing!P86</f>
        <v>1</v>
      </c>
      <c r="H962" s="224">
        <f>Clothing!Q86</f>
        <v>2</v>
      </c>
      <c r="I962" s="224">
        <f>Clothing!R86</f>
        <v>2</v>
      </c>
      <c r="J962" s="224">
        <f>Clothing!S86</f>
        <v>2</v>
      </c>
      <c r="K962" s="499">
        <f t="shared" si="16"/>
        <v>0.37356464144298934</v>
      </c>
      <c r="L962" s="1208"/>
    </row>
    <row r="963" spans="1:12">
      <c r="A963" s="97" t="s">
        <v>2018</v>
      </c>
      <c r="B963" s="68">
        <f>Clothing!B87</f>
        <v>2020</v>
      </c>
      <c r="C963" s="304" t="str">
        <f>Clothing!C87</f>
        <v>PUR</v>
      </c>
      <c r="D963" s="68">
        <f>Clothing!L87</f>
        <v>2.1001091367267568</v>
      </c>
      <c r="E963" s="304" t="s">
        <v>2020</v>
      </c>
      <c r="F963" s="972">
        <f>Clothing!O87</f>
        <v>1</v>
      </c>
      <c r="G963" s="224">
        <f>Clothing!P87</f>
        <v>1</v>
      </c>
      <c r="H963" s="224">
        <f>Clothing!Q87</f>
        <v>2</v>
      </c>
      <c r="I963" s="224">
        <f>Clothing!R87</f>
        <v>2</v>
      </c>
      <c r="J963" s="224">
        <f>Clothing!S87</f>
        <v>2</v>
      </c>
      <c r="K963" s="499">
        <f t="shared" si="16"/>
        <v>0.37356464144298934</v>
      </c>
      <c r="L963" s="1208"/>
    </row>
    <row r="964" spans="1:12">
      <c r="A964" s="97" t="s">
        <v>2018</v>
      </c>
      <c r="B964" s="68">
        <f>Clothing!B88</f>
        <v>2020</v>
      </c>
      <c r="C964" s="304" t="str">
        <f>Clothing!C88</f>
        <v>PVC</v>
      </c>
      <c r="D964" s="68">
        <f>Clothing!L88</f>
        <v>1.2476611725395528</v>
      </c>
      <c r="E964" s="304" t="s">
        <v>2020</v>
      </c>
      <c r="F964" s="972">
        <f>Clothing!O88</f>
        <v>1</v>
      </c>
      <c r="G964" s="224">
        <f>Clothing!P88</f>
        <v>1</v>
      </c>
      <c r="H964" s="224">
        <f>Clothing!Q88</f>
        <v>2</v>
      </c>
      <c r="I964" s="224">
        <f>Clothing!R88</f>
        <v>2</v>
      </c>
      <c r="J964" s="224">
        <f>Clothing!S88</f>
        <v>2</v>
      </c>
      <c r="K964" s="499">
        <f t="shared" si="16"/>
        <v>0.37356464144298934</v>
      </c>
      <c r="L964" s="1208"/>
    </row>
    <row r="965" spans="1:12">
      <c r="A965" s="97" t="s">
        <v>2018</v>
      </c>
      <c r="B965" s="68">
        <f>Clothing!B89</f>
        <v>2020</v>
      </c>
      <c r="C965" s="304" t="str">
        <f>Clothing!C89</f>
        <v>RUBBER</v>
      </c>
      <c r="D965" s="68">
        <f>Clothing!L89</f>
        <v>1.3933495405330014</v>
      </c>
      <c r="E965" s="304" t="s">
        <v>2020</v>
      </c>
      <c r="F965" s="972">
        <f>Clothing!O89</f>
        <v>1</v>
      </c>
      <c r="G965" s="224">
        <f>Clothing!P89</f>
        <v>1</v>
      </c>
      <c r="H965" s="224">
        <f>Clothing!Q89</f>
        <v>2</v>
      </c>
      <c r="I965" s="224">
        <f>Clothing!R89</f>
        <v>2</v>
      </c>
      <c r="J965" s="224">
        <f>Clothing!S89</f>
        <v>2</v>
      </c>
      <c r="K965" s="499">
        <f t="shared" si="16"/>
        <v>0.37356464144298934</v>
      </c>
      <c r="L965" s="1208"/>
    </row>
    <row r="966" spans="1:12">
      <c r="A966" s="97" t="s">
        <v>2018</v>
      </c>
      <c r="B966" s="68">
        <f>Clothing!B90</f>
        <v>2021</v>
      </c>
      <c r="C966" s="304" t="str">
        <f>Clothing!C90</f>
        <v>Acryl</v>
      </c>
      <c r="D966" s="68">
        <f>Clothing!L90</f>
        <v>0.80078134640795662</v>
      </c>
      <c r="E966" s="304" t="s">
        <v>2020</v>
      </c>
      <c r="F966" s="972">
        <f>Clothing!O90</f>
        <v>1</v>
      </c>
      <c r="G966" s="224">
        <f>Clothing!P90</f>
        <v>1</v>
      </c>
      <c r="H966" s="224">
        <f>Clothing!Q90</f>
        <v>2</v>
      </c>
      <c r="I966" s="224">
        <f>Clothing!R90</f>
        <v>2</v>
      </c>
      <c r="J966" s="224">
        <f>Clothing!S90</f>
        <v>2</v>
      </c>
      <c r="K966" s="499">
        <f t="shared" si="16"/>
        <v>0.37356464144298934</v>
      </c>
      <c r="L966" s="1208"/>
    </row>
    <row r="967" spans="1:12">
      <c r="A967" s="97" t="s">
        <v>2018</v>
      </c>
      <c r="B967" s="68">
        <f>Clothing!B91</f>
        <v>2021</v>
      </c>
      <c r="C967" s="304" t="str">
        <f>Clothing!C91</f>
        <v>OTHER</v>
      </c>
      <c r="D967" s="68">
        <f>Clothing!L91</f>
        <v>1.1322762250677216</v>
      </c>
      <c r="E967" s="304" t="s">
        <v>2020</v>
      </c>
      <c r="F967" s="972">
        <f>Clothing!O91</f>
        <v>1</v>
      </c>
      <c r="G967" s="224">
        <f>Clothing!P91</f>
        <v>1</v>
      </c>
      <c r="H967" s="224">
        <f>Clothing!Q91</f>
        <v>2</v>
      </c>
      <c r="I967" s="224">
        <f>Clothing!R91</f>
        <v>2</v>
      </c>
      <c r="J967" s="224">
        <f>Clothing!S91</f>
        <v>2</v>
      </c>
      <c r="K967" s="499">
        <f t="shared" si="16"/>
        <v>0.37356464144298934</v>
      </c>
      <c r="L967" s="1208"/>
    </row>
    <row r="968" spans="1:12">
      <c r="A968" s="97" t="s">
        <v>2018</v>
      </c>
      <c r="B968" s="68">
        <f>Clothing!B92</f>
        <v>2021</v>
      </c>
      <c r="C968" s="304" t="str">
        <f>Clothing!C92</f>
        <v>PA</v>
      </c>
      <c r="D968" s="68">
        <f>Clothing!L92</f>
        <v>1.8292857485448264</v>
      </c>
      <c r="E968" s="304" t="s">
        <v>2020</v>
      </c>
      <c r="F968" s="972">
        <f>Clothing!O92</f>
        <v>1</v>
      </c>
      <c r="G968" s="224">
        <f>Clothing!P92</f>
        <v>1</v>
      </c>
      <c r="H968" s="224">
        <f>Clothing!Q92</f>
        <v>2</v>
      </c>
      <c r="I968" s="224">
        <f>Clothing!R92</f>
        <v>2</v>
      </c>
      <c r="J968" s="224">
        <f>Clothing!S92</f>
        <v>2</v>
      </c>
      <c r="K968" s="499">
        <f t="shared" si="16"/>
        <v>0.37356464144298934</v>
      </c>
      <c r="L968" s="1208"/>
    </row>
    <row r="969" spans="1:12">
      <c r="A969" s="97" t="s">
        <v>2018</v>
      </c>
      <c r="B969" s="68">
        <f>Clothing!B93</f>
        <v>2021</v>
      </c>
      <c r="C969" s="304" t="str">
        <f>Clothing!C93</f>
        <v>PET</v>
      </c>
      <c r="D969" s="68">
        <f>Clothing!L93</f>
        <v>7.0487844128947756</v>
      </c>
      <c r="E969" s="304" t="s">
        <v>2020</v>
      </c>
      <c r="F969" s="972">
        <f>Clothing!O93</f>
        <v>1</v>
      </c>
      <c r="G969" s="224">
        <f>Clothing!P93</f>
        <v>1</v>
      </c>
      <c r="H969" s="224">
        <f>Clothing!Q93</f>
        <v>2</v>
      </c>
      <c r="I969" s="224">
        <f>Clothing!R93</f>
        <v>2</v>
      </c>
      <c r="J969" s="224">
        <f>Clothing!S93</f>
        <v>2</v>
      </c>
      <c r="K969" s="499">
        <f t="shared" si="16"/>
        <v>0.37356464144298934</v>
      </c>
      <c r="L969" s="1208"/>
    </row>
    <row r="970" spans="1:12">
      <c r="A970" s="97" t="s">
        <v>2018</v>
      </c>
      <c r="B970" s="68">
        <f>Clothing!B94</f>
        <v>2021</v>
      </c>
      <c r="C970" s="304" t="str">
        <f>Clothing!C94</f>
        <v>PUR</v>
      </c>
      <c r="D970" s="68">
        <f>Clothing!L94</f>
        <v>2.6515291848820519</v>
      </c>
      <c r="E970" s="304" t="s">
        <v>2020</v>
      </c>
      <c r="F970" s="972">
        <f>Clothing!O94</f>
        <v>1</v>
      </c>
      <c r="G970" s="224">
        <f>Clothing!P94</f>
        <v>1</v>
      </c>
      <c r="H970" s="224">
        <f>Clothing!Q94</f>
        <v>2</v>
      </c>
      <c r="I970" s="224">
        <f>Clothing!R94</f>
        <v>2</v>
      </c>
      <c r="J970" s="224">
        <f>Clothing!S94</f>
        <v>2</v>
      </c>
      <c r="K970" s="499">
        <f t="shared" si="16"/>
        <v>0.37356464144298934</v>
      </c>
      <c r="L970" s="1208"/>
    </row>
    <row r="971" spans="1:12">
      <c r="A971" s="97" t="s">
        <v>2018</v>
      </c>
      <c r="B971" s="68">
        <f>Clothing!B95</f>
        <v>2021</v>
      </c>
      <c r="C971" s="304" t="str">
        <f>Clothing!C95</f>
        <v>PVC</v>
      </c>
      <c r="D971" s="68">
        <f>Clothing!L95</f>
        <v>1.5796947619426569</v>
      </c>
      <c r="E971" s="304" t="s">
        <v>2020</v>
      </c>
      <c r="F971" s="972">
        <f>Clothing!O95</f>
        <v>1</v>
      </c>
      <c r="G971" s="224">
        <f>Clothing!P95</f>
        <v>1</v>
      </c>
      <c r="H971" s="224">
        <f>Clothing!Q95</f>
        <v>2</v>
      </c>
      <c r="I971" s="224">
        <f>Clothing!R95</f>
        <v>2</v>
      </c>
      <c r="J971" s="224">
        <f>Clothing!S95</f>
        <v>2</v>
      </c>
      <c r="K971" s="499">
        <f t="shared" si="16"/>
        <v>0.37356464144298934</v>
      </c>
      <c r="L971" s="1208"/>
    </row>
    <row r="972" spans="1:12">
      <c r="A972" s="97" t="s">
        <v>2018</v>
      </c>
      <c r="B972" s="68">
        <f>Clothing!B96</f>
        <v>2021</v>
      </c>
      <c r="C972" s="304" t="str">
        <f>Clothing!C96</f>
        <v>RUBBER</v>
      </c>
      <c r="D972" s="68">
        <f>Clothing!L96</f>
        <v>1.7943480186791894</v>
      </c>
      <c r="E972" s="304" t="s">
        <v>2020</v>
      </c>
      <c r="F972" s="972">
        <f>Clothing!O96</f>
        <v>1</v>
      </c>
      <c r="G972" s="224">
        <f>Clothing!P96</f>
        <v>1</v>
      </c>
      <c r="H972" s="224">
        <f>Clothing!Q96</f>
        <v>2</v>
      </c>
      <c r="I972" s="224">
        <f>Clothing!R96</f>
        <v>2</v>
      </c>
      <c r="J972" s="224">
        <f>Clothing!S96</f>
        <v>2</v>
      </c>
      <c r="K972" s="499">
        <f t="shared" si="16"/>
        <v>0.37356464144298934</v>
      </c>
      <c r="L972" s="1208"/>
    </row>
    <row r="973" spans="1:12">
      <c r="A973" s="97" t="s">
        <v>2018</v>
      </c>
      <c r="B973" s="68">
        <f>Clothing!B97</f>
        <v>2022</v>
      </c>
      <c r="C973" s="304" t="str">
        <f>Clothing!C97</f>
        <v>Acryl</v>
      </c>
      <c r="D973" s="68">
        <f>Clothing!L97</f>
        <v>1.2109271718661376</v>
      </c>
      <c r="E973" s="304" t="s">
        <v>2020</v>
      </c>
      <c r="F973" s="972">
        <f>Clothing!O97</f>
        <v>1</v>
      </c>
      <c r="G973" s="224">
        <f>Clothing!P97</f>
        <v>1</v>
      </c>
      <c r="H973" s="224">
        <f>Clothing!Q97</f>
        <v>2</v>
      </c>
      <c r="I973" s="224">
        <f>Clothing!R97</f>
        <v>2</v>
      </c>
      <c r="J973" s="224">
        <f>Clothing!S97</f>
        <v>2</v>
      </c>
      <c r="K973" s="499">
        <f t="shared" si="16"/>
        <v>0.37356464144298934</v>
      </c>
      <c r="L973" s="1208"/>
    </row>
    <row r="974" spans="1:12">
      <c r="A974" s="97" t="s">
        <v>2018</v>
      </c>
      <c r="B974" s="68">
        <f>Clothing!B98</f>
        <v>2022</v>
      </c>
      <c r="C974" s="304" t="str">
        <f>Clothing!C98</f>
        <v>OTHER</v>
      </c>
      <c r="D974" s="68">
        <f>Clothing!L98</f>
        <v>2.220849198134506</v>
      </c>
      <c r="E974" s="304" t="s">
        <v>2020</v>
      </c>
      <c r="F974" s="972">
        <f>Clothing!O98</f>
        <v>1</v>
      </c>
      <c r="G974" s="224">
        <f>Clothing!P98</f>
        <v>1</v>
      </c>
      <c r="H974" s="224">
        <f>Clothing!Q98</f>
        <v>2</v>
      </c>
      <c r="I974" s="224">
        <f>Clothing!R98</f>
        <v>2</v>
      </c>
      <c r="J974" s="224">
        <f>Clothing!S98</f>
        <v>2</v>
      </c>
      <c r="K974" s="499">
        <f t="shared" si="16"/>
        <v>0.37356464144298934</v>
      </c>
      <c r="L974" s="1208"/>
    </row>
    <row r="975" spans="1:12">
      <c r="A975" s="97" t="s">
        <v>2018</v>
      </c>
      <c r="B975" s="68">
        <f>Clothing!B99</f>
        <v>2022</v>
      </c>
      <c r="C975" s="304" t="str">
        <f>Clothing!C99</f>
        <v>PA</v>
      </c>
      <c r="D975" s="68">
        <f>Clothing!L99</f>
        <v>3.1698663379386165</v>
      </c>
      <c r="E975" s="304" t="s">
        <v>2020</v>
      </c>
      <c r="F975" s="972">
        <f>Clothing!O99</f>
        <v>1</v>
      </c>
      <c r="G975" s="224">
        <f>Clothing!P99</f>
        <v>1</v>
      </c>
      <c r="H975" s="224">
        <f>Clothing!Q99</f>
        <v>2</v>
      </c>
      <c r="I975" s="224">
        <f>Clothing!R99</f>
        <v>2</v>
      </c>
      <c r="J975" s="224">
        <f>Clothing!S99</f>
        <v>2</v>
      </c>
      <c r="K975" s="499">
        <f t="shared" si="16"/>
        <v>0.37356464144298934</v>
      </c>
      <c r="L975" s="1208"/>
    </row>
    <row r="976" spans="1:12">
      <c r="A976" s="97" t="s">
        <v>2018</v>
      </c>
      <c r="B976" s="68">
        <f>Clothing!B100</f>
        <v>2022</v>
      </c>
      <c r="C976" s="304" t="str">
        <f>Clothing!C100</f>
        <v>PET</v>
      </c>
      <c r="D976" s="68">
        <f>Clothing!L100</f>
        <v>11.432517850018003</v>
      </c>
      <c r="E976" s="304" t="s">
        <v>2020</v>
      </c>
      <c r="F976" s="972">
        <f>Clothing!O100</f>
        <v>1</v>
      </c>
      <c r="G976" s="224">
        <f>Clothing!P100</f>
        <v>1</v>
      </c>
      <c r="H976" s="224">
        <f>Clothing!Q100</f>
        <v>2</v>
      </c>
      <c r="I976" s="224">
        <f>Clothing!R100</f>
        <v>2</v>
      </c>
      <c r="J976" s="224">
        <f>Clothing!S100</f>
        <v>2</v>
      </c>
      <c r="K976" s="499">
        <f t="shared" si="16"/>
        <v>0.37356464144298934</v>
      </c>
      <c r="L976" s="1208"/>
    </row>
    <row r="977" spans="1:12">
      <c r="A977" s="97" t="s">
        <v>2018</v>
      </c>
      <c r="B977" s="68">
        <f>Clothing!B101</f>
        <v>2022</v>
      </c>
      <c r="C977" s="304" t="str">
        <f>Clothing!C101</f>
        <v>PUR</v>
      </c>
      <c r="D977" s="68">
        <f>Clothing!L101</f>
        <v>2.7225837495129941</v>
      </c>
      <c r="E977" s="304" t="s">
        <v>2020</v>
      </c>
      <c r="F977" s="972">
        <f>Clothing!O101</f>
        <v>1</v>
      </c>
      <c r="G977" s="224">
        <f>Clothing!P101</f>
        <v>1</v>
      </c>
      <c r="H977" s="224">
        <f>Clothing!Q101</f>
        <v>2</v>
      </c>
      <c r="I977" s="224">
        <f>Clothing!R101</f>
        <v>2</v>
      </c>
      <c r="J977" s="224">
        <f>Clothing!S101</f>
        <v>2</v>
      </c>
      <c r="K977" s="499">
        <f t="shared" si="16"/>
        <v>0.37356464144298934</v>
      </c>
      <c r="L977" s="1208"/>
    </row>
    <row r="978" spans="1:12">
      <c r="A978" s="97" t="s">
        <v>2018</v>
      </c>
      <c r="B978" s="68">
        <f>Clothing!B102</f>
        <v>2022</v>
      </c>
      <c r="C978" s="304" t="str">
        <f>Clothing!C102</f>
        <v>PVC</v>
      </c>
      <c r="D978" s="68">
        <f>Clothing!L102</f>
        <v>1.6640759979596416</v>
      </c>
      <c r="E978" s="304" t="s">
        <v>2020</v>
      </c>
      <c r="F978" s="972">
        <f>Clothing!O102</f>
        <v>1</v>
      </c>
      <c r="G978" s="224">
        <f>Clothing!P102</f>
        <v>1</v>
      </c>
      <c r="H978" s="224">
        <f>Clothing!Q102</f>
        <v>2</v>
      </c>
      <c r="I978" s="224">
        <f>Clothing!R102</f>
        <v>2</v>
      </c>
      <c r="J978" s="224">
        <f>Clothing!S102</f>
        <v>2</v>
      </c>
      <c r="K978" s="499">
        <f t="shared" si="16"/>
        <v>0.37356464144298934</v>
      </c>
      <c r="L978" s="1208"/>
    </row>
    <row r="979" spans="1:12" ht="15" thickBot="1">
      <c r="A979" s="98" t="s">
        <v>2018</v>
      </c>
      <c r="B979" s="72">
        <f>Clothing!B103</f>
        <v>2022</v>
      </c>
      <c r="C979" s="317" t="str">
        <f>Clothing!C103</f>
        <v>RUBBER</v>
      </c>
      <c r="D979" s="72">
        <f>Clothing!L103</f>
        <v>2.2474734772093696</v>
      </c>
      <c r="E979" s="317" t="s">
        <v>2020</v>
      </c>
      <c r="F979" s="972">
        <f>Clothing!O103</f>
        <v>1</v>
      </c>
      <c r="G979" s="224">
        <f>Clothing!P103</f>
        <v>1</v>
      </c>
      <c r="H979" s="224">
        <f>Clothing!Q103</f>
        <v>2</v>
      </c>
      <c r="I979" s="224">
        <f>Clothing!R103</f>
        <v>2</v>
      </c>
      <c r="J979" s="224">
        <f>Clothing!S103</f>
        <v>2</v>
      </c>
      <c r="K979" s="500">
        <f t="shared" si="16"/>
        <v>0.37356464144298934</v>
      </c>
      <c r="L979" s="1209"/>
    </row>
    <row r="980" spans="1:12">
      <c r="A980" s="645" t="s">
        <v>2021</v>
      </c>
      <c r="B980" s="77">
        <f>Clothing!B20</f>
        <v>2011</v>
      </c>
      <c r="C980" s="318" t="str">
        <f>Clothing!C20</f>
        <v>Acryl</v>
      </c>
      <c r="D980" s="77">
        <f>Clothing!M20</f>
        <v>8.0971786204278029</v>
      </c>
      <c r="E980" s="318" t="s">
        <v>2019</v>
      </c>
      <c r="F980" s="972">
        <f>Clothing!O20</f>
        <v>1</v>
      </c>
      <c r="G980" s="224">
        <f>Clothing!P20</f>
        <v>1</v>
      </c>
      <c r="H980" s="224">
        <f>Clothing!Q20</f>
        <v>2</v>
      </c>
      <c r="I980" s="224">
        <f>Clothing!R20</f>
        <v>2</v>
      </c>
      <c r="J980" s="224">
        <f>Clothing!S20</f>
        <v>2</v>
      </c>
      <c r="K980" s="647">
        <f t="shared" si="16"/>
        <v>0.37356464144298934</v>
      </c>
      <c r="L980" s="1211"/>
    </row>
    <row r="981" spans="1:12">
      <c r="A981" s="97" t="s">
        <v>2021</v>
      </c>
      <c r="B981" s="68">
        <f>Clothing!B21</f>
        <v>2011</v>
      </c>
      <c r="C981" s="304" t="str">
        <f>Clothing!C21</f>
        <v>OTHER</v>
      </c>
      <c r="D981" s="68">
        <f>Clothing!M21</f>
        <v>12.171379129513083</v>
      </c>
      <c r="E981" s="304" t="s">
        <v>2019</v>
      </c>
      <c r="F981" s="972">
        <f>Clothing!O21</f>
        <v>1</v>
      </c>
      <c r="G981" s="224">
        <f>Clothing!P21</f>
        <v>1</v>
      </c>
      <c r="H981" s="224">
        <f>Clothing!Q21</f>
        <v>2</v>
      </c>
      <c r="I981" s="224">
        <f>Clothing!R21</f>
        <v>2</v>
      </c>
      <c r="J981" s="224">
        <f>Clothing!S21</f>
        <v>2</v>
      </c>
      <c r="K981" s="499">
        <f t="shared" si="16"/>
        <v>0.37356464144298934</v>
      </c>
      <c r="L981" s="1208"/>
    </row>
    <row r="982" spans="1:12">
      <c r="A982" s="97" t="s">
        <v>2021</v>
      </c>
      <c r="B982" s="68">
        <f>Clothing!B22</f>
        <v>2011</v>
      </c>
      <c r="C982" s="304" t="str">
        <f>Clothing!C22</f>
        <v>PA</v>
      </c>
      <c r="D982" s="68">
        <f>Clothing!M22</f>
        <v>19.004506228168562</v>
      </c>
      <c r="E982" s="304" t="s">
        <v>2019</v>
      </c>
      <c r="F982" s="972">
        <f>Clothing!O22</f>
        <v>1</v>
      </c>
      <c r="G982" s="224">
        <f>Clothing!P22</f>
        <v>1</v>
      </c>
      <c r="H982" s="224">
        <f>Clothing!Q22</f>
        <v>2</v>
      </c>
      <c r="I982" s="224">
        <f>Clothing!R22</f>
        <v>2</v>
      </c>
      <c r="J982" s="224">
        <f>Clothing!S22</f>
        <v>2</v>
      </c>
      <c r="K982" s="499">
        <f t="shared" si="16"/>
        <v>0.37356464144298934</v>
      </c>
      <c r="L982" s="1208"/>
    </row>
    <row r="983" spans="1:12">
      <c r="A983" s="97" t="s">
        <v>2021</v>
      </c>
      <c r="B983" s="68">
        <f>Clothing!B23</f>
        <v>2011</v>
      </c>
      <c r="C983" s="304" t="str">
        <f>Clothing!C23</f>
        <v>PET</v>
      </c>
      <c r="D983" s="68">
        <f>Clothing!M23</f>
        <v>88.982479477635991</v>
      </c>
      <c r="E983" s="304" t="s">
        <v>2019</v>
      </c>
      <c r="F983" s="972">
        <f>Clothing!O23</f>
        <v>1</v>
      </c>
      <c r="G983" s="224">
        <f>Clothing!P23</f>
        <v>1</v>
      </c>
      <c r="H983" s="224">
        <f>Clothing!Q23</f>
        <v>2</v>
      </c>
      <c r="I983" s="224">
        <f>Clothing!R23</f>
        <v>2</v>
      </c>
      <c r="J983" s="224">
        <f>Clothing!S23</f>
        <v>2</v>
      </c>
      <c r="K983" s="499">
        <f t="shared" si="16"/>
        <v>0.37356464144298934</v>
      </c>
      <c r="L983" s="1208"/>
    </row>
    <row r="984" spans="1:12">
      <c r="A984" s="97" t="s">
        <v>2021</v>
      </c>
      <c r="B984" s="68">
        <f>Clothing!B24</f>
        <v>2011</v>
      </c>
      <c r="C984" s="304" t="str">
        <f>Clothing!C24</f>
        <v>PUR</v>
      </c>
      <c r="D984" s="68">
        <f>Clothing!M24</f>
        <v>6.5098815109170109</v>
      </c>
      <c r="E984" s="304" t="s">
        <v>2019</v>
      </c>
      <c r="F984" s="972">
        <f>Clothing!O24</f>
        <v>1</v>
      </c>
      <c r="G984" s="224">
        <f>Clothing!P24</f>
        <v>1</v>
      </c>
      <c r="H984" s="224">
        <f>Clothing!Q24</f>
        <v>2</v>
      </c>
      <c r="I984" s="224">
        <f>Clothing!R24</f>
        <v>2</v>
      </c>
      <c r="J984" s="224">
        <f>Clothing!S24</f>
        <v>2</v>
      </c>
      <c r="K984" s="499">
        <f t="shared" si="16"/>
        <v>0.37356464144298934</v>
      </c>
      <c r="L984" s="1208"/>
    </row>
    <row r="985" spans="1:12">
      <c r="A985" s="97" t="s">
        <v>2021</v>
      </c>
      <c r="B985" s="68">
        <f>Clothing!B25</f>
        <v>2011</v>
      </c>
      <c r="C985" s="304" t="str">
        <f>Clothing!C25</f>
        <v>PVC</v>
      </c>
      <c r="D985" s="68">
        <f>Clothing!M25</f>
        <v>4.2273729419235622</v>
      </c>
      <c r="E985" s="304" t="s">
        <v>2019</v>
      </c>
      <c r="F985" s="972">
        <f>Clothing!O25</f>
        <v>1</v>
      </c>
      <c r="G985" s="224">
        <f>Clothing!P25</f>
        <v>1</v>
      </c>
      <c r="H985" s="224">
        <f>Clothing!Q25</f>
        <v>2</v>
      </c>
      <c r="I985" s="224">
        <f>Clothing!R25</f>
        <v>2</v>
      </c>
      <c r="J985" s="224">
        <f>Clothing!S25</f>
        <v>2</v>
      </c>
      <c r="K985" s="499">
        <f t="shared" si="16"/>
        <v>0.37356464144298934</v>
      </c>
      <c r="L985" s="1208"/>
    </row>
    <row r="986" spans="1:12">
      <c r="A986" s="97" t="s">
        <v>2021</v>
      </c>
      <c r="B986" s="68">
        <f>Clothing!B26</f>
        <v>2011</v>
      </c>
      <c r="C986" s="304" t="str">
        <f>Clothing!C26</f>
        <v>RUBBER</v>
      </c>
      <c r="D986" s="68">
        <f>Clothing!M26</f>
        <v>9.4365910650176001</v>
      </c>
      <c r="E986" s="304" t="s">
        <v>2019</v>
      </c>
      <c r="F986" s="972">
        <f>Clothing!O26</f>
        <v>1</v>
      </c>
      <c r="G986" s="224">
        <f>Clothing!P26</f>
        <v>1</v>
      </c>
      <c r="H986" s="224">
        <f>Clothing!Q26</f>
        <v>2</v>
      </c>
      <c r="I986" s="224">
        <f>Clothing!R26</f>
        <v>2</v>
      </c>
      <c r="J986" s="224">
        <f>Clothing!S26</f>
        <v>2</v>
      </c>
      <c r="K986" s="499">
        <f t="shared" si="16"/>
        <v>0.37356464144298934</v>
      </c>
      <c r="L986" s="1208"/>
    </row>
    <row r="987" spans="1:12">
      <c r="A987" s="97" t="s">
        <v>2021</v>
      </c>
      <c r="B987" s="68">
        <f>Clothing!B27</f>
        <v>2012</v>
      </c>
      <c r="C987" s="304" t="str">
        <f>Clothing!C27</f>
        <v>Acryl</v>
      </c>
      <c r="D987" s="68">
        <f>Clothing!M27</f>
        <v>6.6662778773150695</v>
      </c>
      <c r="E987" s="304" t="s">
        <v>2019</v>
      </c>
      <c r="F987" s="972">
        <f>Clothing!O27</f>
        <v>1</v>
      </c>
      <c r="G987" s="224">
        <f>Clothing!P27</f>
        <v>1</v>
      </c>
      <c r="H987" s="224">
        <f>Clothing!Q27</f>
        <v>2</v>
      </c>
      <c r="I987" s="224">
        <f>Clothing!R27</f>
        <v>2</v>
      </c>
      <c r="J987" s="224">
        <f>Clothing!S27</f>
        <v>2</v>
      </c>
      <c r="K987" s="499">
        <f t="shared" si="16"/>
        <v>0.37356464144298934</v>
      </c>
      <c r="L987" s="1208"/>
    </row>
    <row r="988" spans="1:12">
      <c r="A988" s="97" t="s">
        <v>2021</v>
      </c>
      <c r="B988" s="68">
        <f>Clothing!B28</f>
        <v>2012</v>
      </c>
      <c r="C988" s="304" t="str">
        <f>Clothing!C28</f>
        <v>OTHER</v>
      </c>
      <c r="D988" s="68">
        <f>Clothing!M28</f>
        <v>9.3387899209772574</v>
      </c>
      <c r="E988" s="304" t="s">
        <v>2019</v>
      </c>
      <c r="F988" s="972">
        <f>Clothing!O28</f>
        <v>1</v>
      </c>
      <c r="G988" s="224">
        <f>Clothing!P28</f>
        <v>1</v>
      </c>
      <c r="H988" s="224">
        <f>Clothing!Q28</f>
        <v>2</v>
      </c>
      <c r="I988" s="224">
        <f>Clothing!R28</f>
        <v>2</v>
      </c>
      <c r="J988" s="224">
        <f>Clothing!S28</f>
        <v>2</v>
      </c>
      <c r="K988" s="499">
        <f t="shared" si="16"/>
        <v>0.37356464144298934</v>
      </c>
      <c r="L988" s="1208"/>
    </row>
    <row r="989" spans="1:12">
      <c r="A989" s="97" t="s">
        <v>2021</v>
      </c>
      <c r="B989" s="68">
        <f>Clothing!B29</f>
        <v>2012</v>
      </c>
      <c r="C989" s="304" t="str">
        <f>Clothing!C29</f>
        <v>PA</v>
      </c>
      <c r="D989" s="68">
        <f>Clothing!M29</f>
        <v>14.238529679885204</v>
      </c>
      <c r="E989" s="304" t="s">
        <v>2019</v>
      </c>
      <c r="F989" s="972">
        <f>Clothing!O29</f>
        <v>1</v>
      </c>
      <c r="G989" s="224">
        <f>Clothing!P29</f>
        <v>1</v>
      </c>
      <c r="H989" s="224">
        <f>Clothing!Q29</f>
        <v>2</v>
      </c>
      <c r="I989" s="224">
        <f>Clothing!R29</f>
        <v>2</v>
      </c>
      <c r="J989" s="224">
        <f>Clothing!S29</f>
        <v>2</v>
      </c>
      <c r="K989" s="499">
        <f t="shared" si="16"/>
        <v>0.37356464144298934</v>
      </c>
      <c r="L989" s="1208"/>
    </row>
    <row r="990" spans="1:12">
      <c r="A990" s="97" t="s">
        <v>2021</v>
      </c>
      <c r="B990" s="68">
        <f>Clothing!B30</f>
        <v>2012</v>
      </c>
      <c r="C990" s="304" t="str">
        <f>Clothing!C30</f>
        <v>PET</v>
      </c>
      <c r="D990" s="68">
        <f>Clothing!M30</f>
        <v>82.468840544078489</v>
      </c>
      <c r="E990" s="304" t="s">
        <v>2019</v>
      </c>
      <c r="F990" s="972">
        <f>Clothing!O30</f>
        <v>1</v>
      </c>
      <c r="G990" s="224">
        <f>Clothing!P30</f>
        <v>1</v>
      </c>
      <c r="H990" s="224">
        <f>Clothing!Q30</f>
        <v>2</v>
      </c>
      <c r="I990" s="224">
        <f>Clothing!R30</f>
        <v>2</v>
      </c>
      <c r="J990" s="224">
        <f>Clothing!S30</f>
        <v>2</v>
      </c>
      <c r="K990" s="499">
        <f t="shared" si="16"/>
        <v>0.37356464144298934</v>
      </c>
      <c r="L990" s="1208"/>
    </row>
    <row r="991" spans="1:12">
      <c r="A991" s="97" t="s">
        <v>2021</v>
      </c>
      <c r="B991" s="68">
        <f>Clothing!B31</f>
        <v>2012</v>
      </c>
      <c r="C991" s="304" t="str">
        <f>Clothing!C31</f>
        <v>PUR</v>
      </c>
      <c r="D991" s="68">
        <f>Clothing!M31</f>
        <v>5.5714724695274818</v>
      </c>
      <c r="E991" s="304" t="s">
        <v>2019</v>
      </c>
      <c r="F991" s="972">
        <f>Clothing!O31</f>
        <v>1</v>
      </c>
      <c r="G991" s="224">
        <f>Clothing!P31</f>
        <v>1</v>
      </c>
      <c r="H991" s="224">
        <f>Clothing!Q31</f>
        <v>2</v>
      </c>
      <c r="I991" s="224">
        <f>Clothing!R31</f>
        <v>2</v>
      </c>
      <c r="J991" s="224">
        <f>Clothing!S31</f>
        <v>2</v>
      </c>
      <c r="K991" s="499">
        <f t="shared" si="16"/>
        <v>0.37356464144298934</v>
      </c>
      <c r="L991" s="1208"/>
    </row>
    <row r="992" spans="1:12">
      <c r="A992" s="97" t="s">
        <v>2021</v>
      </c>
      <c r="B992" s="68">
        <f>Clothing!B32</f>
        <v>2012</v>
      </c>
      <c r="C992" s="304" t="str">
        <f>Clothing!C32</f>
        <v>PVC</v>
      </c>
      <c r="D992" s="68">
        <f>Clothing!M32</f>
        <v>3.5789730303322815</v>
      </c>
      <c r="E992" s="304" t="s">
        <v>2019</v>
      </c>
      <c r="F992" s="972">
        <f>Clothing!O32</f>
        <v>1</v>
      </c>
      <c r="G992" s="224">
        <f>Clothing!P32</f>
        <v>1</v>
      </c>
      <c r="H992" s="224">
        <f>Clothing!Q32</f>
        <v>2</v>
      </c>
      <c r="I992" s="224">
        <f>Clothing!R32</f>
        <v>2</v>
      </c>
      <c r="J992" s="224">
        <f>Clothing!S32</f>
        <v>2</v>
      </c>
      <c r="K992" s="499">
        <f t="shared" si="16"/>
        <v>0.37356464144298934</v>
      </c>
      <c r="L992" s="1208"/>
    </row>
    <row r="993" spans="1:12">
      <c r="A993" s="97" t="s">
        <v>2021</v>
      </c>
      <c r="B993" s="68">
        <f>Clothing!B33</f>
        <v>2012</v>
      </c>
      <c r="C993" s="304" t="str">
        <f>Clothing!C33</f>
        <v>RUBBER</v>
      </c>
      <c r="D993" s="68">
        <f>Clothing!M33</f>
        <v>7.5338368672129015</v>
      </c>
      <c r="E993" s="304" t="s">
        <v>2019</v>
      </c>
      <c r="F993" s="972">
        <f>Clothing!O33</f>
        <v>1</v>
      </c>
      <c r="G993" s="224">
        <f>Clothing!P33</f>
        <v>1</v>
      </c>
      <c r="H993" s="224">
        <f>Clothing!Q33</f>
        <v>2</v>
      </c>
      <c r="I993" s="224">
        <f>Clothing!R33</f>
        <v>2</v>
      </c>
      <c r="J993" s="224">
        <f>Clothing!S33</f>
        <v>2</v>
      </c>
      <c r="K993" s="499">
        <f t="shared" si="16"/>
        <v>0.37356464144298934</v>
      </c>
      <c r="L993" s="1208"/>
    </row>
    <row r="994" spans="1:12">
      <c r="A994" s="97" t="s">
        <v>2021</v>
      </c>
      <c r="B994" s="68">
        <f>Clothing!B34</f>
        <v>2013</v>
      </c>
      <c r="C994" s="304" t="str">
        <f>Clothing!C34</f>
        <v>Acryl</v>
      </c>
      <c r="D994" s="68">
        <f>Clothing!M34</f>
        <v>7.168183794398959</v>
      </c>
      <c r="E994" s="304" t="s">
        <v>2019</v>
      </c>
      <c r="F994" s="972">
        <f>Clothing!O34</f>
        <v>1</v>
      </c>
      <c r="G994" s="224">
        <f>Clothing!P34</f>
        <v>1</v>
      </c>
      <c r="H994" s="224">
        <f>Clothing!Q34</f>
        <v>2</v>
      </c>
      <c r="I994" s="224">
        <f>Clothing!R34</f>
        <v>2</v>
      </c>
      <c r="J994" s="224">
        <f>Clothing!S34</f>
        <v>2</v>
      </c>
      <c r="K994" s="499">
        <f t="shared" si="16"/>
        <v>0.37356464144298934</v>
      </c>
      <c r="L994" s="1208"/>
    </row>
    <row r="995" spans="1:12">
      <c r="A995" s="97" t="s">
        <v>2021</v>
      </c>
      <c r="B995" s="68">
        <f>Clothing!B35</f>
        <v>2013</v>
      </c>
      <c r="C995" s="304" t="str">
        <f>Clothing!C35</f>
        <v>OTHER</v>
      </c>
      <c r="D995" s="68">
        <f>Clothing!M35</f>
        <v>11.652251294085497</v>
      </c>
      <c r="E995" s="304" t="s">
        <v>2019</v>
      </c>
      <c r="F995" s="972">
        <f>Clothing!O35</f>
        <v>1</v>
      </c>
      <c r="G995" s="224">
        <f>Clothing!P35</f>
        <v>1</v>
      </c>
      <c r="H995" s="224">
        <f>Clothing!Q35</f>
        <v>2</v>
      </c>
      <c r="I995" s="224">
        <f>Clothing!R35</f>
        <v>2</v>
      </c>
      <c r="J995" s="224">
        <f>Clothing!S35</f>
        <v>2</v>
      </c>
      <c r="K995" s="499">
        <f t="shared" si="16"/>
        <v>0.37356464144298934</v>
      </c>
      <c r="L995" s="1208"/>
    </row>
    <row r="996" spans="1:12">
      <c r="A996" s="97" t="s">
        <v>2021</v>
      </c>
      <c r="B996" s="68">
        <f>Clothing!B36</f>
        <v>2013</v>
      </c>
      <c r="C996" s="304" t="str">
        <f>Clothing!C36</f>
        <v>PA</v>
      </c>
      <c r="D996" s="68">
        <f>Clothing!M36</f>
        <v>15.859928213122007</v>
      </c>
      <c r="E996" s="304" t="s">
        <v>2019</v>
      </c>
      <c r="F996" s="972">
        <f>Clothing!O36</f>
        <v>1</v>
      </c>
      <c r="G996" s="224">
        <f>Clothing!P36</f>
        <v>1</v>
      </c>
      <c r="H996" s="224">
        <f>Clothing!Q36</f>
        <v>2</v>
      </c>
      <c r="I996" s="224">
        <f>Clothing!R36</f>
        <v>2</v>
      </c>
      <c r="J996" s="224">
        <f>Clothing!S36</f>
        <v>2</v>
      </c>
      <c r="K996" s="499">
        <f t="shared" si="16"/>
        <v>0.37356464144298934</v>
      </c>
      <c r="L996" s="1208"/>
    </row>
    <row r="997" spans="1:12">
      <c r="A997" s="97" t="s">
        <v>2021</v>
      </c>
      <c r="B997" s="68">
        <f>Clothing!B37</f>
        <v>2013</v>
      </c>
      <c r="C997" s="304" t="str">
        <f>Clothing!C37</f>
        <v>PET</v>
      </c>
      <c r="D997" s="68">
        <f>Clothing!M37</f>
        <v>92.541115969839964</v>
      </c>
      <c r="E997" s="304" t="s">
        <v>2019</v>
      </c>
      <c r="F997" s="972">
        <f>Clothing!O37</f>
        <v>1</v>
      </c>
      <c r="G997" s="224">
        <f>Clothing!P37</f>
        <v>1</v>
      </c>
      <c r="H997" s="224">
        <f>Clothing!Q37</f>
        <v>2</v>
      </c>
      <c r="I997" s="224">
        <f>Clothing!R37</f>
        <v>2</v>
      </c>
      <c r="J997" s="224">
        <f>Clothing!S37</f>
        <v>2</v>
      </c>
      <c r="K997" s="499">
        <f t="shared" si="16"/>
        <v>0.37356464144298934</v>
      </c>
      <c r="L997" s="1208"/>
    </row>
    <row r="998" spans="1:12">
      <c r="A998" s="97" t="s">
        <v>2021</v>
      </c>
      <c r="B998" s="68">
        <f>Clothing!B38</f>
        <v>2013</v>
      </c>
      <c r="C998" s="304" t="str">
        <f>Clothing!C38</f>
        <v>PUR</v>
      </c>
      <c r="D998" s="68">
        <f>Clothing!M38</f>
        <v>5.8005302622873742</v>
      </c>
      <c r="E998" s="304" t="s">
        <v>2019</v>
      </c>
      <c r="F998" s="972">
        <f>Clothing!O38</f>
        <v>1</v>
      </c>
      <c r="G998" s="224">
        <f>Clothing!P38</f>
        <v>1</v>
      </c>
      <c r="H998" s="224">
        <f>Clothing!Q38</f>
        <v>2</v>
      </c>
      <c r="I998" s="224">
        <f>Clothing!R38</f>
        <v>2</v>
      </c>
      <c r="J998" s="224">
        <f>Clothing!S38</f>
        <v>2</v>
      </c>
      <c r="K998" s="499">
        <f t="shared" si="16"/>
        <v>0.37356464144298934</v>
      </c>
      <c r="L998" s="1208"/>
    </row>
    <row r="999" spans="1:12">
      <c r="A999" s="97" t="s">
        <v>2021</v>
      </c>
      <c r="B999" s="68">
        <f>Clothing!B39</f>
        <v>2013</v>
      </c>
      <c r="C999" s="304" t="str">
        <f>Clothing!C39</f>
        <v>PVC</v>
      </c>
      <c r="D999" s="68">
        <f>Clothing!M39</f>
        <v>3.787472578676867</v>
      </c>
      <c r="E999" s="304" t="s">
        <v>2019</v>
      </c>
      <c r="F999" s="972">
        <f>Clothing!O39</f>
        <v>1</v>
      </c>
      <c r="G999" s="224">
        <f>Clothing!P39</f>
        <v>1</v>
      </c>
      <c r="H999" s="224">
        <f>Clothing!Q39</f>
        <v>2</v>
      </c>
      <c r="I999" s="224">
        <f>Clothing!R39</f>
        <v>2</v>
      </c>
      <c r="J999" s="224">
        <f>Clothing!S39</f>
        <v>2</v>
      </c>
      <c r="K999" s="499">
        <f t="shared" si="16"/>
        <v>0.37356464144298934</v>
      </c>
      <c r="L999" s="1208"/>
    </row>
    <row r="1000" spans="1:12">
      <c r="A1000" s="97" t="s">
        <v>2021</v>
      </c>
      <c r="B1000" s="68">
        <f>Clothing!B40</f>
        <v>2013</v>
      </c>
      <c r="C1000" s="304" t="str">
        <f>Clothing!C40</f>
        <v>RUBBER</v>
      </c>
      <c r="D1000" s="68">
        <f>Clothing!M40</f>
        <v>8.7750319877489797</v>
      </c>
      <c r="E1000" s="304" t="s">
        <v>2019</v>
      </c>
      <c r="F1000" s="972">
        <f>Clothing!O40</f>
        <v>1</v>
      </c>
      <c r="G1000" s="224">
        <f>Clothing!P40</f>
        <v>1</v>
      </c>
      <c r="H1000" s="224">
        <f>Clothing!Q40</f>
        <v>2</v>
      </c>
      <c r="I1000" s="224">
        <f>Clothing!R40</f>
        <v>2</v>
      </c>
      <c r="J1000" s="224">
        <f>Clothing!S40</f>
        <v>2</v>
      </c>
      <c r="K1000" s="499">
        <f t="shared" si="16"/>
        <v>0.37356464144298934</v>
      </c>
      <c r="L1000" s="1208"/>
    </row>
    <row r="1001" spans="1:12">
      <c r="A1001" s="97" t="s">
        <v>2021</v>
      </c>
      <c r="B1001" s="68">
        <f>Clothing!B41</f>
        <v>2014</v>
      </c>
      <c r="C1001" s="304" t="str">
        <f>Clothing!C41</f>
        <v>Acryl</v>
      </c>
      <c r="D1001" s="68">
        <f>Clothing!M41</f>
        <v>8.0284961728815034</v>
      </c>
      <c r="E1001" s="304" t="s">
        <v>2019</v>
      </c>
      <c r="F1001" s="972">
        <f>Clothing!O41</f>
        <v>1</v>
      </c>
      <c r="G1001" s="224">
        <f>Clothing!P41</f>
        <v>1</v>
      </c>
      <c r="H1001" s="224">
        <f>Clothing!Q41</f>
        <v>2</v>
      </c>
      <c r="I1001" s="224">
        <f>Clothing!R41</f>
        <v>2</v>
      </c>
      <c r="J1001" s="224">
        <f>Clothing!S41</f>
        <v>2</v>
      </c>
      <c r="K1001" s="499">
        <f t="shared" si="16"/>
        <v>0.37356464144298934</v>
      </c>
      <c r="L1001" s="1208"/>
    </row>
    <row r="1002" spans="1:12">
      <c r="A1002" s="97" t="s">
        <v>2021</v>
      </c>
      <c r="B1002" s="68">
        <f>Clothing!B42</f>
        <v>2014</v>
      </c>
      <c r="C1002" s="304" t="str">
        <f>Clothing!C42</f>
        <v>OTHER</v>
      </c>
      <c r="D1002" s="68">
        <f>Clothing!M42</f>
        <v>14.204918322100886</v>
      </c>
      <c r="E1002" s="304" t="s">
        <v>2019</v>
      </c>
      <c r="F1002" s="972">
        <f>Clothing!O42</f>
        <v>1</v>
      </c>
      <c r="G1002" s="224">
        <f>Clothing!P42</f>
        <v>1</v>
      </c>
      <c r="H1002" s="224">
        <f>Clothing!Q42</f>
        <v>2</v>
      </c>
      <c r="I1002" s="224">
        <f>Clothing!R42</f>
        <v>2</v>
      </c>
      <c r="J1002" s="224">
        <f>Clothing!S42</f>
        <v>2</v>
      </c>
      <c r="K1002" s="499">
        <f t="shared" si="16"/>
        <v>0.37356464144298934</v>
      </c>
      <c r="L1002" s="1208"/>
    </row>
    <row r="1003" spans="1:12">
      <c r="A1003" s="97" t="s">
        <v>2021</v>
      </c>
      <c r="B1003" s="68">
        <f>Clothing!B43</f>
        <v>2014</v>
      </c>
      <c r="C1003" s="304" t="str">
        <f>Clothing!C43</f>
        <v>PA</v>
      </c>
      <c r="D1003" s="68">
        <f>Clothing!M43</f>
        <v>18.667814658043774</v>
      </c>
      <c r="E1003" s="304" t="s">
        <v>2019</v>
      </c>
      <c r="F1003" s="972">
        <f>Clothing!O43</f>
        <v>1</v>
      </c>
      <c r="G1003" s="224">
        <f>Clothing!P43</f>
        <v>1</v>
      </c>
      <c r="H1003" s="224">
        <f>Clothing!Q43</f>
        <v>2</v>
      </c>
      <c r="I1003" s="224">
        <f>Clothing!R43</f>
        <v>2</v>
      </c>
      <c r="J1003" s="224">
        <f>Clothing!S43</f>
        <v>2</v>
      </c>
      <c r="K1003" s="499">
        <f t="shared" si="16"/>
        <v>0.37356464144298934</v>
      </c>
      <c r="L1003" s="1208"/>
    </row>
    <row r="1004" spans="1:12">
      <c r="A1004" s="97" t="s">
        <v>2021</v>
      </c>
      <c r="B1004" s="68">
        <f>Clothing!B44</f>
        <v>2014</v>
      </c>
      <c r="C1004" s="304" t="str">
        <f>Clothing!C44</f>
        <v>PET</v>
      </c>
      <c r="D1004" s="68">
        <f>Clothing!M44</f>
        <v>106.95310634478037</v>
      </c>
      <c r="E1004" s="304" t="s">
        <v>2019</v>
      </c>
      <c r="F1004" s="972">
        <f>Clothing!O44</f>
        <v>1</v>
      </c>
      <c r="G1004" s="224">
        <f>Clothing!P44</f>
        <v>1</v>
      </c>
      <c r="H1004" s="224">
        <f>Clothing!Q44</f>
        <v>2</v>
      </c>
      <c r="I1004" s="224">
        <f>Clothing!R44</f>
        <v>2</v>
      </c>
      <c r="J1004" s="224">
        <f>Clothing!S44</f>
        <v>2</v>
      </c>
      <c r="K1004" s="499">
        <f t="shared" si="16"/>
        <v>0.37356464144298934</v>
      </c>
      <c r="L1004" s="1208"/>
    </row>
    <row r="1005" spans="1:12">
      <c r="A1005" s="97" t="s">
        <v>2021</v>
      </c>
      <c r="B1005" s="68">
        <f>Clothing!B45</f>
        <v>2014</v>
      </c>
      <c r="C1005" s="304" t="str">
        <f>Clothing!C45</f>
        <v>PUR</v>
      </c>
      <c r="D1005" s="68">
        <f>Clothing!M45</f>
        <v>6.8613608138291964</v>
      </c>
      <c r="E1005" s="304" t="s">
        <v>2019</v>
      </c>
      <c r="F1005" s="972">
        <f>Clothing!O45</f>
        <v>1</v>
      </c>
      <c r="G1005" s="224">
        <f>Clothing!P45</f>
        <v>1</v>
      </c>
      <c r="H1005" s="224">
        <f>Clothing!Q45</f>
        <v>2</v>
      </c>
      <c r="I1005" s="224">
        <f>Clothing!R45</f>
        <v>2</v>
      </c>
      <c r="J1005" s="224">
        <f>Clothing!S45</f>
        <v>2</v>
      </c>
      <c r="K1005" s="499">
        <f t="shared" si="16"/>
        <v>0.37356464144298934</v>
      </c>
      <c r="L1005" s="1208"/>
    </row>
    <row r="1006" spans="1:12">
      <c r="A1006" s="97" t="s">
        <v>2021</v>
      </c>
      <c r="B1006" s="68">
        <f>Clothing!B46</f>
        <v>2014</v>
      </c>
      <c r="C1006" s="304" t="str">
        <f>Clothing!C46</f>
        <v>PVC</v>
      </c>
      <c r="D1006" s="68">
        <f>Clothing!M46</f>
        <v>4.4767629778213243</v>
      </c>
      <c r="E1006" s="304" t="s">
        <v>2019</v>
      </c>
      <c r="F1006" s="972">
        <f>Clothing!O46</f>
        <v>1</v>
      </c>
      <c r="G1006" s="224">
        <f>Clothing!P46</f>
        <v>1</v>
      </c>
      <c r="H1006" s="224">
        <f>Clothing!Q46</f>
        <v>2</v>
      </c>
      <c r="I1006" s="224">
        <f>Clothing!R46</f>
        <v>2</v>
      </c>
      <c r="J1006" s="224">
        <f>Clothing!S46</f>
        <v>2</v>
      </c>
      <c r="K1006" s="499">
        <f t="shared" si="16"/>
        <v>0.37356464144298934</v>
      </c>
      <c r="L1006" s="1208"/>
    </row>
    <row r="1007" spans="1:12">
      <c r="A1007" s="97" t="s">
        <v>2021</v>
      </c>
      <c r="B1007" s="68">
        <f>Clothing!B47</f>
        <v>2014</v>
      </c>
      <c r="C1007" s="304" t="str">
        <f>Clothing!C47</f>
        <v>RUBBER</v>
      </c>
      <c r="D1007" s="68">
        <f>Clothing!M47</f>
        <v>10.191405959820315</v>
      </c>
      <c r="E1007" s="304" t="s">
        <v>2019</v>
      </c>
      <c r="F1007" s="972">
        <f>Clothing!O47</f>
        <v>1</v>
      </c>
      <c r="G1007" s="224">
        <f>Clothing!P47</f>
        <v>1</v>
      </c>
      <c r="H1007" s="224">
        <f>Clothing!Q47</f>
        <v>2</v>
      </c>
      <c r="I1007" s="224">
        <f>Clothing!R47</f>
        <v>2</v>
      </c>
      <c r="J1007" s="224">
        <f>Clothing!S47</f>
        <v>2</v>
      </c>
      <c r="K1007" s="499">
        <f t="shared" si="16"/>
        <v>0.37356464144298934</v>
      </c>
      <c r="L1007" s="1208"/>
    </row>
    <row r="1008" spans="1:12">
      <c r="A1008" s="97" t="s">
        <v>2021</v>
      </c>
      <c r="B1008" s="68">
        <f>Clothing!B48</f>
        <v>2015</v>
      </c>
      <c r="C1008" s="304" t="str">
        <f>Clothing!C48</f>
        <v>Acryl</v>
      </c>
      <c r="D1008" s="68">
        <f>Clothing!M48</f>
        <v>8.1486761223618362</v>
      </c>
      <c r="E1008" s="304" t="s">
        <v>2019</v>
      </c>
      <c r="F1008" s="972">
        <f>Clothing!O48</f>
        <v>1</v>
      </c>
      <c r="G1008" s="224">
        <f>Clothing!P48</f>
        <v>1</v>
      </c>
      <c r="H1008" s="224">
        <f>Clothing!Q48</f>
        <v>2</v>
      </c>
      <c r="I1008" s="224">
        <f>Clothing!R48</f>
        <v>2</v>
      </c>
      <c r="J1008" s="224">
        <f>Clothing!S48</f>
        <v>2</v>
      </c>
      <c r="K1008" s="499">
        <f t="shared" si="16"/>
        <v>0.37356464144298934</v>
      </c>
      <c r="L1008" s="1208"/>
    </row>
    <row r="1009" spans="1:12">
      <c r="A1009" s="97" t="s">
        <v>2021</v>
      </c>
      <c r="B1009" s="68">
        <f>Clothing!B49</f>
        <v>2015</v>
      </c>
      <c r="C1009" s="304" t="str">
        <f>Clothing!C49</f>
        <v>OTHER</v>
      </c>
      <c r="D1009" s="68">
        <f>Clothing!M49</f>
        <v>13.754532414655765</v>
      </c>
      <c r="E1009" s="304" t="s">
        <v>2019</v>
      </c>
      <c r="F1009" s="972">
        <f>Clothing!O49</f>
        <v>1</v>
      </c>
      <c r="G1009" s="224">
        <f>Clothing!P49</f>
        <v>1</v>
      </c>
      <c r="H1009" s="224">
        <f>Clothing!Q49</f>
        <v>2</v>
      </c>
      <c r="I1009" s="224">
        <f>Clothing!R49</f>
        <v>2</v>
      </c>
      <c r="J1009" s="224">
        <f>Clothing!S49</f>
        <v>2</v>
      </c>
      <c r="K1009" s="499">
        <f t="shared" si="16"/>
        <v>0.37356464144298934</v>
      </c>
      <c r="L1009" s="1208"/>
    </row>
    <row r="1010" spans="1:12">
      <c r="A1010" s="97" t="s">
        <v>2021</v>
      </c>
      <c r="B1010" s="68">
        <f>Clothing!B50</f>
        <v>2015</v>
      </c>
      <c r="C1010" s="304" t="str">
        <f>Clothing!C50</f>
        <v>PA</v>
      </c>
      <c r="D1010" s="68">
        <f>Clothing!M50</f>
        <v>18.006180001219171</v>
      </c>
      <c r="E1010" s="304" t="s">
        <v>2019</v>
      </c>
      <c r="F1010" s="972">
        <f>Clothing!O50</f>
        <v>1</v>
      </c>
      <c r="G1010" s="224">
        <f>Clothing!P50</f>
        <v>1</v>
      </c>
      <c r="H1010" s="224">
        <f>Clothing!Q50</f>
        <v>2</v>
      </c>
      <c r="I1010" s="224">
        <f>Clothing!R50</f>
        <v>2</v>
      </c>
      <c r="J1010" s="224">
        <f>Clothing!S50</f>
        <v>2</v>
      </c>
      <c r="K1010" s="499">
        <f t="shared" si="16"/>
        <v>0.37356464144298934</v>
      </c>
      <c r="L1010" s="1208"/>
    </row>
    <row r="1011" spans="1:12">
      <c r="A1011" s="97" t="s">
        <v>2021</v>
      </c>
      <c r="B1011" s="68">
        <f>Clothing!B51</f>
        <v>2015</v>
      </c>
      <c r="C1011" s="304" t="str">
        <f>Clothing!C51</f>
        <v>PET</v>
      </c>
      <c r="D1011" s="68">
        <f>Clothing!M51</f>
        <v>104.67114912285534</v>
      </c>
      <c r="E1011" s="304" t="s">
        <v>2019</v>
      </c>
      <c r="F1011" s="972">
        <f>Clothing!O51</f>
        <v>1</v>
      </c>
      <c r="G1011" s="224">
        <f>Clothing!P51</f>
        <v>1</v>
      </c>
      <c r="H1011" s="224">
        <f>Clothing!Q51</f>
        <v>2</v>
      </c>
      <c r="I1011" s="224">
        <f>Clothing!R51</f>
        <v>2</v>
      </c>
      <c r="J1011" s="224">
        <f>Clothing!S51</f>
        <v>2</v>
      </c>
      <c r="K1011" s="499">
        <f t="shared" si="16"/>
        <v>0.37356464144298934</v>
      </c>
      <c r="L1011" s="1208"/>
    </row>
    <row r="1012" spans="1:12">
      <c r="A1012" s="97" t="s">
        <v>2021</v>
      </c>
      <c r="B1012" s="68">
        <f>Clothing!B52</f>
        <v>2015</v>
      </c>
      <c r="C1012" s="304" t="str">
        <f>Clothing!C52</f>
        <v>PUR</v>
      </c>
      <c r="D1012" s="68">
        <f>Clothing!M52</f>
        <v>7.4214999878403987</v>
      </c>
      <c r="E1012" s="304" t="s">
        <v>2019</v>
      </c>
      <c r="F1012" s="972">
        <f>Clothing!O52</f>
        <v>1</v>
      </c>
      <c r="G1012" s="224">
        <f>Clothing!P52</f>
        <v>1</v>
      </c>
      <c r="H1012" s="224">
        <f>Clothing!Q52</f>
        <v>2</v>
      </c>
      <c r="I1012" s="224">
        <f>Clothing!R52</f>
        <v>2</v>
      </c>
      <c r="J1012" s="224">
        <f>Clothing!S52</f>
        <v>2</v>
      </c>
      <c r="K1012" s="499">
        <f t="shared" si="16"/>
        <v>0.37356464144298934</v>
      </c>
      <c r="L1012" s="1208"/>
    </row>
    <row r="1013" spans="1:12">
      <c r="A1013" s="97" t="s">
        <v>2021</v>
      </c>
      <c r="B1013" s="68">
        <f>Clothing!B53</f>
        <v>2015</v>
      </c>
      <c r="C1013" s="304" t="str">
        <f>Clothing!C53</f>
        <v>PVC</v>
      </c>
      <c r="D1013" s="68">
        <f>Clothing!M53</f>
        <v>4.8384839040320351</v>
      </c>
      <c r="E1013" s="304" t="s">
        <v>2019</v>
      </c>
      <c r="F1013" s="972">
        <f>Clothing!O53</f>
        <v>1</v>
      </c>
      <c r="G1013" s="224">
        <f>Clothing!P53</f>
        <v>1</v>
      </c>
      <c r="H1013" s="224">
        <f>Clothing!Q53</f>
        <v>2</v>
      </c>
      <c r="I1013" s="224">
        <f>Clothing!R53</f>
        <v>2</v>
      </c>
      <c r="J1013" s="224">
        <f>Clothing!S53</f>
        <v>2</v>
      </c>
      <c r="K1013" s="499">
        <f t="shared" si="16"/>
        <v>0.37356464144298934</v>
      </c>
      <c r="L1013" s="1208"/>
    </row>
    <row r="1014" spans="1:12">
      <c r="A1014" s="97" t="s">
        <v>2021</v>
      </c>
      <c r="B1014" s="68">
        <f>Clothing!B54</f>
        <v>2015</v>
      </c>
      <c r="C1014" s="304" t="str">
        <f>Clothing!C54</f>
        <v>RUBBER</v>
      </c>
      <c r="D1014" s="68">
        <f>Clothing!M54</f>
        <v>11.134685754643709</v>
      </c>
      <c r="E1014" s="304" t="s">
        <v>2019</v>
      </c>
      <c r="F1014" s="972">
        <f>Clothing!O54</f>
        <v>1</v>
      </c>
      <c r="G1014" s="224">
        <f>Clothing!P54</f>
        <v>1</v>
      </c>
      <c r="H1014" s="224">
        <f>Clothing!Q54</f>
        <v>2</v>
      </c>
      <c r="I1014" s="224">
        <f>Clothing!R54</f>
        <v>2</v>
      </c>
      <c r="J1014" s="224">
        <f>Clothing!S54</f>
        <v>2</v>
      </c>
      <c r="K1014" s="499">
        <f t="shared" si="16"/>
        <v>0.37356464144298934</v>
      </c>
      <c r="L1014" s="1208"/>
    </row>
    <row r="1015" spans="1:12">
      <c r="A1015" s="97" t="s">
        <v>2021</v>
      </c>
      <c r="B1015" s="68">
        <f>Clothing!B55</f>
        <v>2016</v>
      </c>
      <c r="C1015" s="304" t="str">
        <f>Clothing!C55</f>
        <v>Acryl</v>
      </c>
      <c r="D1015" s="68">
        <f>Clothing!M55</f>
        <v>8.4094244638508204</v>
      </c>
      <c r="E1015" s="304" t="s">
        <v>2019</v>
      </c>
      <c r="F1015" s="972">
        <f>Clothing!O55</f>
        <v>1</v>
      </c>
      <c r="G1015" s="224">
        <f>Clothing!P55</f>
        <v>1</v>
      </c>
      <c r="H1015" s="224">
        <f>Clothing!Q55</f>
        <v>2</v>
      </c>
      <c r="I1015" s="224">
        <f>Clothing!R55</f>
        <v>2</v>
      </c>
      <c r="J1015" s="224">
        <f>Clothing!S55</f>
        <v>2</v>
      </c>
      <c r="K1015" s="499">
        <f t="shared" si="16"/>
        <v>0.37356464144298934</v>
      </c>
      <c r="L1015" s="1208"/>
    </row>
    <row r="1016" spans="1:12">
      <c r="A1016" s="97" t="s">
        <v>2021</v>
      </c>
      <c r="B1016" s="68">
        <f>Clothing!B56</f>
        <v>2016</v>
      </c>
      <c r="C1016" s="304" t="str">
        <f>Clothing!C56</f>
        <v>OTHER</v>
      </c>
      <c r="D1016" s="68">
        <f>Clothing!M56</f>
        <v>14.413782999139251</v>
      </c>
      <c r="E1016" s="304" t="s">
        <v>2019</v>
      </c>
      <c r="F1016" s="972">
        <f>Clothing!O56</f>
        <v>1</v>
      </c>
      <c r="G1016" s="224">
        <f>Clothing!P56</f>
        <v>1</v>
      </c>
      <c r="H1016" s="224">
        <f>Clothing!Q56</f>
        <v>2</v>
      </c>
      <c r="I1016" s="224">
        <f>Clothing!R56</f>
        <v>2</v>
      </c>
      <c r="J1016" s="224">
        <f>Clothing!S56</f>
        <v>2</v>
      </c>
      <c r="K1016" s="499">
        <f t="shared" si="16"/>
        <v>0.37356464144298934</v>
      </c>
      <c r="L1016" s="1208"/>
    </row>
    <row r="1017" spans="1:12">
      <c r="A1017" s="97" t="s">
        <v>2021</v>
      </c>
      <c r="B1017" s="68">
        <f>Clothing!B57</f>
        <v>2016</v>
      </c>
      <c r="C1017" s="304" t="str">
        <f>Clothing!C57</f>
        <v>PA</v>
      </c>
      <c r="D1017" s="68">
        <f>Clothing!M57</f>
        <v>19.847770545609521</v>
      </c>
      <c r="E1017" s="304" t="s">
        <v>2019</v>
      </c>
      <c r="F1017" s="972">
        <f>Clothing!O57</f>
        <v>1</v>
      </c>
      <c r="G1017" s="224">
        <f>Clothing!P57</f>
        <v>1</v>
      </c>
      <c r="H1017" s="224">
        <f>Clothing!Q57</f>
        <v>2</v>
      </c>
      <c r="I1017" s="224">
        <f>Clothing!R57</f>
        <v>2</v>
      </c>
      <c r="J1017" s="224">
        <f>Clothing!S57</f>
        <v>2</v>
      </c>
      <c r="K1017" s="499">
        <f t="shared" si="16"/>
        <v>0.37356464144298934</v>
      </c>
      <c r="L1017" s="1208"/>
    </row>
    <row r="1018" spans="1:12">
      <c r="A1018" s="97" t="s">
        <v>2021</v>
      </c>
      <c r="B1018" s="68">
        <f>Clothing!B58</f>
        <v>2016</v>
      </c>
      <c r="C1018" s="304" t="str">
        <f>Clothing!C58</f>
        <v>PET</v>
      </c>
      <c r="D1018" s="68">
        <f>Clothing!M58</f>
        <v>112.07855240177253</v>
      </c>
      <c r="E1018" s="304" t="s">
        <v>2019</v>
      </c>
      <c r="F1018" s="972">
        <f>Clothing!O58</f>
        <v>1</v>
      </c>
      <c r="G1018" s="224">
        <f>Clothing!P58</f>
        <v>1</v>
      </c>
      <c r="H1018" s="224">
        <f>Clothing!Q58</f>
        <v>2</v>
      </c>
      <c r="I1018" s="224">
        <f>Clothing!R58</f>
        <v>2</v>
      </c>
      <c r="J1018" s="224">
        <f>Clothing!S58</f>
        <v>2</v>
      </c>
      <c r="K1018" s="499">
        <f t="shared" si="16"/>
        <v>0.37356464144298934</v>
      </c>
      <c r="L1018" s="1208"/>
    </row>
    <row r="1019" spans="1:12">
      <c r="A1019" s="97" t="s">
        <v>2021</v>
      </c>
      <c r="B1019" s="68">
        <f>Clothing!B59</f>
        <v>2016</v>
      </c>
      <c r="C1019" s="304" t="str">
        <f>Clothing!C59</f>
        <v>PUR</v>
      </c>
      <c r="D1019" s="68">
        <f>Clothing!M59</f>
        <v>7.5337332789877811</v>
      </c>
      <c r="E1019" s="304" t="s">
        <v>2019</v>
      </c>
      <c r="F1019" s="972">
        <f>Clothing!O59</f>
        <v>1</v>
      </c>
      <c r="G1019" s="224">
        <f>Clothing!P59</f>
        <v>1</v>
      </c>
      <c r="H1019" s="224">
        <f>Clothing!Q59</f>
        <v>2</v>
      </c>
      <c r="I1019" s="224">
        <f>Clothing!R59</f>
        <v>2</v>
      </c>
      <c r="J1019" s="224">
        <f>Clothing!S59</f>
        <v>2</v>
      </c>
      <c r="K1019" s="499">
        <f t="shared" si="16"/>
        <v>0.37356464144298934</v>
      </c>
      <c r="L1019" s="1208"/>
    </row>
    <row r="1020" spans="1:12">
      <c r="A1020" s="97" t="s">
        <v>2021</v>
      </c>
      <c r="B1020" s="68">
        <f>Clothing!B60</f>
        <v>2016</v>
      </c>
      <c r="C1020" s="304" t="str">
        <f>Clothing!C60</f>
        <v>PVC</v>
      </c>
      <c r="D1020" s="68">
        <f>Clothing!M60</f>
        <v>4.8659867444251654</v>
      </c>
      <c r="E1020" s="304" t="s">
        <v>2019</v>
      </c>
      <c r="F1020" s="972">
        <f>Clothing!O60</f>
        <v>1</v>
      </c>
      <c r="G1020" s="224">
        <f>Clothing!P60</f>
        <v>1</v>
      </c>
      <c r="H1020" s="224">
        <f>Clothing!Q60</f>
        <v>2</v>
      </c>
      <c r="I1020" s="224">
        <f>Clothing!R60</f>
        <v>2</v>
      </c>
      <c r="J1020" s="224">
        <f>Clothing!S60</f>
        <v>2</v>
      </c>
      <c r="K1020" s="499">
        <f t="shared" si="16"/>
        <v>0.37356464144298934</v>
      </c>
      <c r="L1020" s="1208"/>
    </row>
    <row r="1021" spans="1:12">
      <c r="A1021" s="97" t="s">
        <v>2021</v>
      </c>
      <c r="B1021" s="68">
        <f>Clothing!B61</f>
        <v>2016</v>
      </c>
      <c r="C1021" s="304" t="str">
        <f>Clothing!C61</f>
        <v>RUBBER</v>
      </c>
      <c r="D1021" s="68">
        <f>Clothing!M61</f>
        <v>10.42378590435062</v>
      </c>
      <c r="E1021" s="304" t="s">
        <v>2019</v>
      </c>
      <c r="F1021" s="972">
        <f>Clothing!O61</f>
        <v>1</v>
      </c>
      <c r="G1021" s="224">
        <f>Clothing!P61</f>
        <v>1</v>
      </c>
      <c r="H1021" s="224">
        <f>Clothing!Q61</f>
        <v>2</v>
      </c>
      <c r="I1021" s="224">
        <f>Clothing!R61</f>
        <v>2</v>
      </c>
      <c r="J1021" s="224">
        <f>Clothing!S61</f>
        <v>2</v>
      </c>
      <c r="K1021" s="499">
        <f t="shared" ref="K1021:K1084" si="17">IF( OR( ISBLANK(F1021),ISBLANK(G1021), ISBLANK(H1021), ISBLANK(I1021), ISBLANK(J1021) ), "", 1.5*SQRT(   EXP(2.21*(F1021-1)) + EXP(2.21*(G1021-1)) + EXP(2.21*(H1021-1)) + EXP(2.21*(I1021-1)) + EXP(2.21*J1021)   )/100*2.45 )</f>
        <v>0.37356464144298934</v>
      </c>
      <c r="L1021" s="1208"/>
    </row>
    <row r="1022" spans="1:12">
      <c r="A1022" s="97" t="s">
        <v>2021</v>
      </c>
      <c r="B1022" s="68">
        <f>Clothing!B62</f>
        <v>2017</v>
      </c>
      <c r="C1022" s="304" t="str">
        <f>Clothing!C62</f>
        <v>Acryl</v>
      </c>
      <c r="D1022" s="68">
        <f>Clothing!M62</f>
        <v>8.4464366610204156</v>
      </c>
      <c r="E1022" s="304" t="s">
        <v>2019</v>
      </c>
      <c r="F1022" s="972">
        <f>Clothing!O62</f>
        <v>1</v>
      </c>
      <c r="G1022" s="224">
        <f>Clothing!P62</f>
        <v>1</v>
      </c>
      <c r="H1022" s="224">
        <f>Clothing!Q62</f>
        <v>2</v>
      </c>
      <c r="I1022" s="224">
        <f>Clothing!R62</f>
        <v>2</v>
      </c>
      <c r="J1022" s="224">
        <f>Clothing!S62</f>
        <v>2</v>
      </c>
      <c r="K1022" s="499">
        <f t="shared" si="17"/>
        <v>0.37356464144298934</v>
      </c>
      <c r="L1022" s="1208"/>
    </row>
    <row r="1023" spans="1:12">
      <c r="A1023" s="97" t="s">
        <v>2021</v>
      </c>
      <c r="B1023" s="68">
        <f>Clothing!B63</f>
        <v>2017</v>
      </c>
      <c r="C1023" s="304" t="str">
        <f>Clothing!C63</f>
        <v>OTHER</v>
      </c>
      <c r="D1023" s="68">
        <f>Clothing!M63</f>
        <v>13.057243544095162</v>
      </c>
      <c r="E1023" s="304" t="s">
        <v>2019</v>
      </c>
      <c r="F1023" s="972">
        <f>Clothing!O63</f>
        <v>1</v>
      </c>
      <c r="G1023" s="224">
        <f>Clothing!P63</f>
        <v>1</v>
      </c>
      <c r="H1023" s="224">
        <f>Clothing!Q63</f>
        <v>2</v>
      </c>
      <c r="I1023" s="224">
        <f>Clothing!R63</f>
        <v>2</v>
      </c>
      <c r="J1023" s="224">
        <f>Clothing!S63</f>
        <v>2</v>
      </c>
      <c r="K1023" s="499">
        <f t="shared" si="17"/>
        <v>0.37356464144298934</v>
      </c>
      <c r="L1023" s="1208"/>
    </row>
    <row r="1024" spans="1:12">
      <c r="A1024" s="97" t="s">
        <v>2021</v>
      </c>
      <c r="B1024" s="68">
        <f>Clothing!B64</f>
        <v>2017</v>
      </c>
      <c r="C1024" s="304" t="str">
        <f>Clothing!C64</f>
        <v>PA</v>
      </c>
      <c r="D1024" s="68">
        <f>Clothing!M64</f>
        <v>18.275176444840973</v>
      </c>
      <c r="E1024" s="304" t="s">
        <v>2019</v>
      </c>
      <c r="F1024" s="972">
        <f>Clothing!O64</f>
        <v>1</v>
      </c>
      <c r="G1024" s="224">
        <f>Clothing!P64</f>
        <v>1</v>
      </c>
      <c r="H1024" s="224">
        <f>Clothing!Q64</f>
        <v>2</v>
      </c>
      <c r="I1024" s="224">
        <f>Clothing!R64</f>
        <v>2</v>
      </c>
      <c r="J1024" s="224">
        <f>Clothing!S64</f>
        <v>2</v>
      </c>
      <c r="K1024" s="499">
        <f t="shared" si="17"/>
        <v>0.37356464144298934</v>
      </c>
      <c r="L1024" s="1208"/>
    </row>
    <row r="1025" spans="1:12">
      <c r="A1025" s="97" t="s">
        <v>2021</v>
      </c>
      <c r="B1025" s="68">
        <f>Clothing!B65</f>
        <v>2017</v>
      </c>
      <c r="C1025" s="304" t="str">
        <f>Clothing!C65</f>
        <v>PET</v>
      </c>
      <c r="D1025" s="68">
        <f>Clothing!M65</f>
        <v>97.403663062068674</v>
      </c>
      <c r="E1025" s="304" t="s">
        <v>2019</v>
      </c>
      <c r="F1025" s="972">
        <f>Clothing!O65</f>
        <v>1</v>
      </c>
      <c r="G1025" s="224">
        <f>Clothing!P65</f>
        <v>1</v>
      </c>
      <c r="H1025" s="224">
        <f>Clothing!Q65</f>
        <v>2</v>
      </c>
      <c r="I1025" s="224">
        <f>Clothing!R65</f>
        <v>2</v>
      </c>
      <c r="J1025" s="224">
        <f>Clothing!S65</f>
        <v>2</v>
      </c>
      <c r="K1025" s="499">
        <f t="shared" si="17"/>
        <v>0.37356464144298934</v>
      </c>
      <c r="L1025" s="1208"/>
    </row>
    <row r="1026" spans="1:12">
      <c r="A1026" s="97" t="s">
        <v>2021</v>
      </c>
      <c r="B1026" s="68">
        <f>Clothing!B66</f>
        <v>2017</v>
      </c>
      <c r="C1026" s="304" t="str">
        <f>Clothing!C66</f>
        <v>PUR</v>
      </c>
      <c r="D1026" s="68">
        <f>Clothing!M66</f>
        <v>6.3956952346371967</v>
      </c>
      <c r="E1026" s="304" t="s">
        <v>2019</v>
      </c>
      <c r="F1026" s="972">
        <f>Clothing!O66</f>
        <v>1</v>
      </c>
      <c r="G1026" s="224">
        <f>Clothing!P66</f>
        <v>1</v>
      </c>
      <c r="H1026" s="224">
        <f>Clothing!Q66</f>
        <v>2</v>
      </c>
      <c r="I1026" s="224">
        <f>Clothing!R66</f>
        <v>2</v>
      </c>
      <c r="J1026" s="224">
        <f>Clothing!S66</f>
        <v>2</v>
      </c>
      <c r="K1026" s="499">
        <f t="shared" si="17"/>
        <v>0.37356464144298934</v>
      </c>
      <c r="L1026" s="1208"/>
    </row>
    <row r="1027" spans="1:12">
      <c r="A1027" s="97" t="s">
        <v>2021</v>
      </c>
      <c r="B1027" s="68">
        <f>Clothing!B67</f>
        <v>2017</v>
      </c>
      <c r="C1027" s="304" t="str">
        <f>Clothing!C67</f>
        <v>PVC</v>
      </c>
      <c r="D1027" s="68">
        <f>Clothing!M67</f>
        <v>4.1543291970925127</v>
      </c>
      <c r="E1027" s="304" t="s">
        <v>2019</v>
      </c>
      <c r="F1027" s="972">
        <f>Clothing!O67</f>
        <v>1</v>
      </c>
      <c r="G1027" s="224">
        <f>Clothing!P67</f>
        <v>1</v>
      </c>
      <c r="H1027" s="224">
        <f>Clothing!Q67</f>
        <v>2</v>
      </c>
      <c r="I1027" s="224">
        <f>Clothing!R67</f>
        <v>2</v>
      </c>
      <c r="J1027" s="224">
        <f>Clothing!S67</f>
        <v>2</v>
      </c>
      <c r="K1027" s="499">
        <f t="shared" si="17"/>
        <v>0.37356464144298934</v>
      </c>
      <c r="L1027" s="1208"/>
    </row>
    <row r="1028" spans="1:12">
      <c r="A1028" s="97" t="s">
        <v>2021</v>
      </c>
      <c r="B1028" s="68">
        <f>Clothing!B68</f>
        <v>2017</v>
      </c>
      <c r="C1028" s="304" t="str">
        <f>Clothing!C68</f>
        <v>RUBBER</v>
      </c>
      <c r="D1028" s="68">
        <f>Clothing!M68</f>
        <v>9.1955171874832384</v>
      </c>
      <c r="E1028" s="304" t="s">
        <v>2019</v>
      </c>
      <c r="F1028" s="972">
        <f>Clothing!O68</f>
        <v>1</v>
      </c>
      <c r="G1028" s="224">
        <f>Clothing!P68</f>
        <v>1</v>
      </c>
      <c r="H1028" s="224">
        <f>Clothing!Q68</f>
        <v>2</v>
      </c>
      <c r="I1028" s="224">
        <f>Clothing!R68</f>
        <v>2</v>
      </c>
      <c r="J1028" s="224">
        <f>Clothing!S68</f>
        <v>2</v>
      </c>
      <c r="K1028" s="499">
        <f t="shared" si="17"/>
        <v>0.37356464144298934</v>
      </c>
      <c r="L1028" s="1208"/>
    </row>
    <row r="1029" spans="1:12">
      <c r="A1029" s="97" t="s">
        <v>2021</v>
      </c>
      <c r="B1029" s="68">
        <f>Clothing!B69</f>
        <v>2018</v>
      </c>
      <c r="C1029" s="304" t="str">
        <f>Clothing!C69</f>
        <v>Acryl</v>
      </c>
      <c r="D1029" s="68">
        <f>Clothing!M69</f>
        <v>9.1757064372995902</v>
      </c>
      <c r="E1029" s="304" t="s">
        <v>2019</v>
      </c>
      <c r="F1029" s="972">
        <f>Clothing!O69</f>
        <v>1</v>
      </c>
      <c r="G1029" s="224">
        <f>Clothing!P69</f>
        <v>1</v>
      </c>
      <c r="H1029" s="224">
        <f>Clothing!Q69</f>
        <v>2</v>
      </c>
      <c r="I1029" s="224">
        <f>Clothing!R69</f>
        <v>2</v>
      </c>
      <c r="J1029" s="224">
        <f>Clothing!S69</f>
        <v>2</v>
      </c>
      <c r="K1029" s="499">
        <f t="shared" si="17"/>
        <v>0.37356464144298934</v>
      </c>
      <c r="L1029" s="1208"/>
    </row>
    <row r="1030" spans="1:12">
      <c r="A1030" s="97" t="s">
        <v>2021</v>
      </c>
      <c r="B1030" s="68">
        <f>Clothing!B70</f>
        <v>2018</v>
      </c>
      <c r="C1030" s="304" t="str">
        <f>Clothing!C70</f>
        <v>OTHER</v>
      </c>
      <c r="D1030" s="68">
        <f>Clothing!M70</f>
        <v>14.738003701977945</v>
      </c>
      <c r="E1030" s="304" t="s">
        <v>2019</v>
      </c>
      <c r="F1030" s="972">
        <f>Clothing!O70</f>
        <v>1</v>
      </c>
      <c r="G1030" s="224">
        <f>Clothing!P70</f>
        <v>1</v>
      </c>
      <c r="H1030" s="224">
        <f>Clothing!Q70</f>
        <v>2</v>
      </c>
      <c r="I1030" s="224">
        <f>Clothing!R70</f>
        <v>2</v>
      </c>
      <c r="J1030" s="224">
        <f>Clothing!S70</f>
        <v>2</v>
      </c>
      <c r="K1030" s="499">
        <f t="shared" si="17"/>
        <v>0.37356464144298934</v>
      </c>
      <c r="L1030" s="1208"/>
    </row>
    <row r="1031" spans="1:12">
      <c r="A1031" s="97" t="s">
        <v>2021</v>
      </c>
      <c r="B1031" s="68">
        <f>Clothing!B71</f>
        <v>2018</v>
      </c>
      <c r="C1031" s="304" t="str">
        <f>Clothing!C71</f>
        <v>PA</v>
      </c>
      <c r="D1031" s="68">
        <f>Clothing!M71</f>
        <v>21.210498607417922</v>
      </c>
      <c r="E1031" s="304" t="s">
        <v>2019</v>
      </c>
      <c r="F1031" s="972">
        <f>Clothing!O71</f>
        <v>1</v>
      </c>
      <c r="G1031" s="224">
        <f>Clothing!P71</f>
        <v>1</v>
      </c>
      <c r="H1031" s="224">
        <f>Clothing!Q71</f>
        <v>2</v>
      </c>
      <c r="I1031" s="224">
        <f>Clothing!R71</f>
        <v>2</v>
      </c>
      <c r="J1031" s="224">
        <f>Clothing!S71</f>
        <v>2</v>
      </c>
      <c r="K1031" s="499">
        <f t="shared" si="17"/>
        <v>0.37356464144298934</v>
      </c>
      <c r="L1031" s="1208"/>
    </row>
    <row r="1032" spans="1:12">
      <c r="A1032" s="97" t="s">
        <v>2021</v>
      </c>
      <c r="B1032" s="68">
        <f>Clothing!B72</f>
        <v>2018</v>
      </c>
      <c r="C1032" s="304" t="str">
        <f>Clothing!C72</f>
        <v>PET</v>
      </c>
      <c r="D1032" s="68">
        <f>Clothing!M72</f>
        <v>111.92144528071512</v>
      </c>
      <c r="E1032" s="304" t="s">
        <v>2019</v>
      </c>
      <c r="F1032" s="972">
        <f>Clothing!O72</f>
        <v>1</v>
      </c>
      <c r="G1032" s="224">
        <f>Clothing!P72</f>
        <v>1</v>
      </c>
      <c r="H1032" s="224">
        <f>Clothing!Q72</f>
        <v>2</v>
      </c>
      <c r="I1032" s="224">
        <f>Clothing!R72</f>
        <v>2</v>
      </c>
      <c r="J1032" s="224">
        <f>Clothing!S72</f>
        <v>2</v>
      </c>
      <c r="K1032" s="499">
        <f t="shared" si="17"/>
        <v>0.37356464144298934</v>
      </c>
      <c r="L1032" s="1208"/>
    </row>
    <row r="1033" spans="1:12">
      <c r="A1033" s="97" t="s">
        <v>2021</v>
      </c>
      <c r="B1033" s="68">
        <f>Clothing!B73</f>
        <v>2018</v>
      </c>
      <c r="C1033" s="304" t="str">
        <f>Clothing!C73</f>
        <v>PUR</v>
      </c>
      <c r="D1033" s="68">
        <f>Clothing!M73</f>
        <v>7.1976662178122375</v>
      </c>
      <c r="E1033" s="304" t="s">
        <v>2019</v>
      </c>
      <c r="F1033" s="972">
        <f>Clothing!O73</f>
        <v>1</v>
      </c>
      <c r="G1033" s="224">
        <f>Clothing!P73</f>
        <v>1</v>
      </c>
      <c r="H1033" s="224">
        <f>Clothing!Q73</f>
        <v>2</v>
      </c>
      <c r="I1033" s="224">
        <f>Clothing!R73</f>
        <v>2</v>
      </c>
      <c r="J1033" s="224">
        <f>Clothing!S73</f>
        <v>2</v>
      </c>
      <c r="K1033" s="499">
        <f t="shared" si="17"/>
        <v>0.37356464144298934</v>
      </c>
      <c r="L1033" s="1208"/>
    </row>
    <row r="1034" spans="1:12">
      <c r="A1034" s="97" t="s">
        <v>2021</v>
      </c>
      <c r="B1034" s="68">
        <f>Clothing!B74</f>
        <v>2018</v>
      </c>
      <c r="C1034" s="304" t="str">
        <f>Clothing!C74</f>
        <v>PVC</v>
      </c>
      <c r="D1034" s="68">
        <f>Clothing!M74</f>
        <v>4.6695417533751042</v>
      </c>
      <c r="E1034" s="304" t="s">
        <v>2019</v>
      </c>
      <c r="F1034" s="972">
        <f>Clothing!O74</f>
        <v>1</v>
      </c>
      <c r="G1034" s="224">
        <f>Clothing!P74</f>
        <v>1</v>
      </c>
      <c r="H1034" s="224">
        <f>Clothing!Q74</f>
        <v>2</v>
      </c>
      <c r="I1034" s="224">
        <f>Clothing!R74</f>
        <v>2</v>
      </c>
      <c r="J1034" s="224">
        <f>Clothing!S74</f>
        <v>2</v>
      </c>
      <c r="K1034" s="499">
        <f t="shared" si="17"/>
        <v>0.37356464144298934</v>
      </c>
      <c r="L1034" s="1208"/>
    </row>
    <row r="1035" spans="1:12">
      <c r="A1035" s="97" t="s">
        <v>2021</v>
      </c>
      <c r="B1035" s="68">
        <f>Clothing!B75</f>
        <v>2018</v>
      </c>
      <c r="C1035" s="304" t="str">
        <f>Clothing!C75</f>
        <v>RUBBER</v>
      </c>
      <c r="D1035" s="68">
        <f>Clothing!M75</f>
        <v>10.233896235162172</v>
      </c>
      <c r="E1035" s="304" t="s">
        <v>2019</v>
      </c>
      <c r="F1035" s="972">
        <f>Clothing!O75</f>
        <v>1</v>
      </c>
      <c r="G1035" s="224">
        <f>Clothing!P75</f>
        <v>1</v>
      </c>
      <c r="H1035" s="224">
        <f>Clothing!Q75</f>
        <v>2</v>
      </c>
      <c r="I1035" s="224">
        <f>Clothing!R75</f>
        <v>2</v>
      </c>
      <c r="J1035" s="224">
        <f>Clothing!S75</f>
        <v>2</v>
      </c>
      <c r="K1035" s="499">
        <f t="shared" si="17"/>
        <v>0.37356464144298934</v>
      </c>
      <c r="L1035" s="1208"/>
    </row>
    <row r="1036" spans="1:12">
      <c r="A1036" s="97" t="s">
        <v>2021</v>
      </c>
      <c r="B1036" s="68">
        <f>Clothing!B76</f>
        <v>2019</v>
      </c>
      <c r="C1036" s="304" t="str">
        <f>Clothing!C76</f>
        <v>Acryl</v>
      </c>
      <c r="D1036" s="68">
        <f>Clothing!M76</f>
        <v>8.0538126810410127</v>
      </c>
      <c r="E1036" s="304" t="s">
        <v>2019</v>
      </c>
      <c r="F1036" s="972">
        <f>Clothing!O76</f>
        <v>1</v>
      </c>
      <c r="G1036" s="224">
        <f>Clothing!P76</f>
        <v>1</v>
      </c>
      <c r="H1036" s="224">
        <f>Clothing!Q76</f>
        <v>2</v>
      </c>
      <c r="I1036" s="224">
        <f>Clothing!R76</f>
        <v>2</v>
      </c>
      <c r="J1036" s="224">
        <f>Clothing!S76</f>
        <v>2</v>
      </c>
      <c r="K1036" s="499">
        <f t="shared" si="17"/>
        <v>0.37356464144298934</v>
      </c>
      <c r="L1036" s="1208"/>
    </row>
    <row r="1037" spans="1:12">
      <c r="A1037" s="97" t="s">
        <v>2021</v>
      </c>
      <c r="B1037" s="68">
        <f>Clothing!B77</f>
        <v>2019</v>
      </c>
      <c r="C1037" s="304" t="str">
        <f>Clothing!C77</f>
        <v>OTHER</v>
      </c>
      <c r="D1037" s="68">
        <f>Clothing!M77</f>
        <v>13.438054786182695</v>
      </c>
      <c r="E1037" s="304" t="s">
        <v>2019</v>
      </c>
      <c r="F1037" s="972">
        <f>Clothing!O77</f>
        <v>1</v>
      </c>
      <c r="G1037" s="224">
        <f>Clothing!P77</f>
        <v>1</v>
      </c>
      <c r="H1037" s="224">
        <f>Clothing!Q77</f>
        <v>2</v>
      </c>
      <c r="I1037" s="224">
        <f>Clothing!R77</f>
        <v>2</v>
      </c>
      <c r="J1037" s="224">
        <f>Clothing!S77</f>
        <v>2</v>
      </c>
      <c r="K1037" s="499">
        <f t="shared" si="17"/>
        <v>0.37356464144298934</v>
      </c>
      <c r="L1037" s="1208"/>
    </row>
    <row r="1038" spans="1:12">
      <c r="A1038" s="97" t="s">
        <v>2021</v>
      </c>
      <c r="B1038" s="68">
        <f>Clothing!B78</f>
        <v>2019</v>
      </c>
      <c r="C1038" s="304" t="str">
        <f>Clothing!C78</f>
        <v>PA</v>
      </c>
      <c r="D1038" s="68">
        <f>Clothing!M78</f>
        <v>19.193328596837528</v>
      </c>
      <c r="E1038" s="304" t="s">
        <v>2019</v>
      </c>
      <c r="F1038" s="972">
        <f>Clothing!O78</f>
        <v>1</v>
      </c>
      <c r="G1038" s="224">
        <f>Clothing!P78</f>
        <v>1</v>
      </c>
      <c r="H1038" s="224">
        <f>Clothing!Q78</f>
        <v>2</v>
      </c>
      <c r="I1038" s="224">
        <f>Clothing!R78</f>
        <v>2</v>
      </c>
      <c r="J1038" s="224">
        <f>Clothing!S78</f>
        <v>2</v>
      </c>
      <c r="K1038" s="499">
        <f t="shared" si="17"/>
        <v>0.37356464144298934</v>
      </c>
      <c r="L1038" s="1208"/>
    </row>
    <row r="1039" spans="1:12">
      <c r="A1039" s="97" t="s">
        <v>2021</v>
      </c>
      <c r="B1039" s="68">
        <f>Clothing!B79</f>
        <v>2019</v>
      </c>
      <c r="C1039" s="304" t="str">
        <f>Clothing!C79</f>
        <v>PET</v>
      </c>
      <c r="D1039" s="68">
        <f>Clothing!M79</f>
        <v>102.67315702411695</v>
      </c>
      <c r="E1039" s="304" t="s">
        <v>2019</v>
      </c>
      <c r="F1039" s="972">
        <f>Clothing!O79</f>
        <v>1</v>
      </c>
      <c r="G1039" s="224">
        <f>Clothing!P79</f>
        <v>1</v>
      </c>
      <c r="H1039" s="224">
        <f>Clothing!Q79</f>
        <v>2</v>
      </c>
      <c r="I1039" s="224">
        <f>Clothing!R79</f>
        <v>2</v>
      </c>
      <c r="J1039" s="224">
        <f>Clothing!S79</f>
        <v>2</v>
      </c>
      <c r="K1039" s="499">
        <f t="shared" si="17"/>
        <v>0.37356464144298934</v>
      </c>
      <c r="L1039" s="1208"/>
    </row>
    <row r="1040" spans="1:12">
      <c r="A1040" s="97" t="s">
        <v>2021</v>
      </c>
      <c r="B1040" s="68">
        <f>Clothing!B80</f>
        <v>2019</v>
      </c>
      <c r="C1040" s="304" t="str">
        <f>Clothing!C80</f>
        <v>PUR</v>
      </c>
      <c r="D1040" s="68">
        <f>Clothing!M80</f>
        <v>7.2072958099570652</v>
      </c>
      <c r="E1040" s="304" t="s">
        <v>2019</v>
      </c>
      <c r="F1040" s="972">
        <f>Clothing!O80</f>
        <v>1</v>
      </c>
      <c r="G1040" s="224">
        <f>Clothing!P80</f>
        <v>1</v>
      </c>
      <c r="H1040" s="224">
        <f>Clothing!Q80</f>
        <v>2</v>
      </c>
      <c r="I1040" s="224">
        <f>Clothing!R80</f>
        <v>2</v>
      </c>
      <c r="J1040" s="224">
        <f>Clothing!S80</f>
        <v>2</v>
      </c>
      <c r="K1040" s="499">
        <f t="shared" si="17"/>
        <v>0.37356464144298934</v>
      </c>
      <c r="L1040" s="1208"/>
    </row>
    <row r="1041" spans="1:12">
      <c r="A1041" s="97" t="s">
        <v>2021</v>
      </c>
      <c r="B1041" s="68">
        <f>Clothing!B81</f>
        <v>2019</v>
      </c>
      <c r="C1041" s="304" t="str">
        <f>Clothing!C81</f>
        <v>PVC</v>
      </c>
      <c r="D1041" s="68">
        <f>Clothing!M81</f>
        <v>4.631900101817199</v>
      </c>
      <c r="E1041" s="304" t="s">
        <v>2019</v>
      </c>
      <c r="F1041" s="972">
        <f>Clothing!O81</f>
        <v>1</v>
      </c>
      <c r="G1041" s="224">
        <f>Clothing!P81</f>
        <v>1</v>
      </c>
      <c r="H1041" s="224">
        <f>Clothing!Q81</f>
        <v>2</v>
      </c>
      <c r="I1041" s="224">
        <f>Clothing!R81</f>
        <v>2</v>
      </c>
      <c r="J1041" s="224">
        <f>Clothing!S81</f>
        <v>2</v>
      </c>
      <c r="K1041" s="499">
        <f t="shared" si="17"/>
        <v>0.37356464144298934</v>
      </c>
      <c r="L1041" s="1208"/>
    </row>
    <row r="1042" spans="1:12">
      <c r="A1042" s="97" t="s">
        <v>2021</v>
      </c>
      <c r="B1042" s="68">
        <f>Clothing!B82</f>
        <v>2019</v>
      </c>
      <c r="C1042" s="304" t="str">
        <f>Clothing!C82</f>
        <v>RUBBER</v>
      </c>
      <c r="D1042" s="68">
        <f>Clothing!M82</f>
        <v>9.4920099353899712</v>
      </c>
      <c r="E1042" s="304" t="s">
        <v>2019</v>
      </c>
      <c r="F1042" s="972">
        <f>Clothing!O82</f>
        <v>1</v>
      </c>
      <c r="G1042" s="224">
        <f>Clothing!P82</f>
        <v>1</v>
      </c>
      <c r="H1042" s="224">
        <f>Clothing!Q82</f>
        <v>2</v>
      </c>
      <c r="I1042" s="224">
        <f>Clothing!R82</f>
        <v>2</v>
      </c>
      <c r="J1042" s="224">
        <f>Clothing!S82</f>
        <v>2</v>
      </c>
      <c r="K1042" s="499">
        <f t="shared" si="17"/>
        <v>0.37356464144298934</v>
      </c>
      <c r="L1042" s="1208"/>
    </row>
    <row r="1043" spans="1:12">
      <c r="A1043" s="97" t="s">
        <v>2021</v>
      </c>
      <c r="B1043" s="68">
        <f>Clothing!B83</f>
        <v>2020</v>
      </c>
      <c r="C1043" s="304" t="str">
        <f>Clothing!C83</f>
        <v>Acryl</v>
      </c>
      <c r="D1043" s="68">
        <f>Clothing!M83</f>
        <v>3.7521662011419648</v>
      </c>
      <c r="E1043" s="304" t="s">
        <v>2019</v>
      </c>
      <c r="F1043" s="972">
        <f>Clothing!O83</f>
        <v>1</v>
      </c>
      <c r="G1043" s="224">
        <f>Clothing!P83</f>
        <v>1</v>
      </c>
      <c r="H1043" s="224">
        <f>Clothing!Q83</f>
        <v>2</v>
      </c>
      <c r="I1043" s="224">
        <f>Clothing!R83</f>
        <v>2</v>
      </c>
      <c r="J1043" s="224">
        <f>Clothing!S83</f>
        <v>2</v>
      </c>
      <c r="K1043" s="499">
        <f t="shared" si="17"/>
        <v>0.37356464144298934</v>
      </c>
      <c r="L1043" s="1208"/>
    </row>
    <row r="1044" spans="1:12">
      <c r="A1044" s="97" t="s">
        <v>2021</v>
      </c>
      <c r="B1044" s="68">
        <f>Clothing!B84</f>
        <v>2020</v>
      </c>
      <c r="C1044" s="304" t="str">
        <f>Clothing!C84</f>
        <v>OTHER</v>
      </c>
      <c r="D1044" s="68">
        <f>Clothing!M84</f>
        <v>5.3825003964120928</v>
      </c>
      <c r="E1044" s="304" t="s">
        <v>2019</v>
      </c>
      <c r="F1044" s="972">
        <f>Clothing!O84</f>
        <v>1</v>
      </c>
      <c r="G1044" s="224">
        <f>Clothing!P84</f>
        <v>1</v>
      </c>
      <c r="H1044" s="224">
        <f>Clothing!Q84</f>
        <v>2</v>
      </c>
      <c r="I1044" s="224">
        <f>Clothing!R84</f>
        <v>2</v>
      </c>
      <c r="J1044" s="224">
        <f>Clothing!S84</f>
        <v>2</v>
      </c>
      <c r="K1044" s="499">
        <f t="shared" si="17"/>
        <v>0.37356464144298934</v>
      </c>
      <c r="L1044" s="1208"/>
    </row>
    <row r="1045" spans="1:12">
      <c r="A1045" s="97" t="s">
        <v>2021</v>
      </c>
      <c r="B1045" s="68">
        <f>Clothing!B85</f>
        <v>2020</v>
      </c>
      <c r="C1045" s="304" t="str">
        <f>Clothing!C85</f>
        <v>PA</v>
      </c>
      <c r="D1045" s="68">
        <f>Clothing!M85</f>
        <v>7.4280881459778962</v>
      </c>
      <c r="E1045" s="304" t="s">
        <v>2019</v>
      </c>
      <c r="F1045" s="972">
        <f>Clothing!O85</f>
        <v>1</v>
      </c>
      <c r="G1045" s="224">
        <f>Clothing!P85</f>
        <v>1</v>
      </c>
      <c r="H1045" s="224">
        <f>Clothing!Q85</f>
        <v>2</v>
      </c>
      <c r="I1045" s="224">
        <f>Clothing!R85</f>
        <v>2</v>
      </c>
      <c r="J1045" s="224">
        <f>Clothing!S85</f>
        <v>2</v>
      </c>
      <c r="K1045" s="499">
        <f t="shared" si="17"/>
        <v>0.37356464144298934</v>
      </c>
      <c r="L1045" s="1208"/>
    </row>
    <row r="1046" spans="1:12">
      <c r="A1046" s="97" t="s">
        <v>2021</v>
      </c>
      <c r="B1046" s="68">
        <f>Clothing!B86</f>
        <v>2020</v>
      </c>
      <c r="C1046" s="304" t="str">
        <f>Clothing!C86</f>
        <v>PET</v>
      </c>
      <c r="D1046" s="68">
        <f>Clothing!M86</f>
        <v>39.477887103164328</v>
      </c>
      <c r="E1046" s="304" t="s">
        <v>2019</v>
      </c>
      <c r="F1046" s="972">
        <f>Clothing!O86</f>
        <v>1</v>
      </c>
      <c r="G1046" s="224">
        <f>Clothing!P86</f>
        <v>1</v>
      </c>
      <c r="H1046" s="224">
        <f>Clothing!Q86</f>
        <v>2</v>
      </c>
      <c r="I1046" s="224">
        <f>Clothing!R86</f>
        <v>2</v>
      </c>
      <c r="J1046" s="224">
        <f>Clothing!S86</f>
        <v>2</v>
      </c>
      <c r="K1046" s="499">
        <f t="shared" si="17"/>
        <v>0.37356464144298934</v>
      </c>
      <c r="L1046" s="1208"/>
    </row>
    <row r="1047" spans="1:12">
      <c r="A1047" s="97" t="s">
        <v>2021</v>
      </c>
      <c r="B1047" s="68">
        <f>Clothing!B87</f>
        <v>2020</v>
      </c>
      <c r="C1047" s="304" t="str">
        <f>Clothing!C87</f>
        <v>PUR</v>
      </c>
      <c r="D1047" s="68">
        <f>Clothing!M87</f>
        <v>5.025895697432655</v>
      </c>
      <c r="E1047" s="304" t="s">
        <v>2019</v>
      </c>
      <c r="F1047" s="972">
        <f>Clothing!O87</f>
        <v>1</v>
      </c>
      <c r="G1047" s="224">
        <f>Clothing!P87</f>
        <v>1</v>
      </c>
      <c r="H1047" s="224">
        <f>Clothing!Q87</f>
        <v>2</v>
      </c>
      <c r="I1047" s="224">
        <f>Clothing!R87</f>
        <v>2</v>
      </c>
      <c r="J1047" s="224">
        <f>Clothing!S87</f>
        <v>2</v>
      </c>
      <c r="K1047" s="499">
        <f t="shared" si="17"/>
        <v>0.37356464144298934</v>
      </c>
      <c r="L1047" s="1208"/>
    </row>
    <row r="1048" spans="1:12">
      <c r="A1048" s="97" t="s">
        <v>2021</v>
      </c>
      <c r="B1048" s="68">
        <f>Clothing!B88</f>
        <v>2020</v>
      </c>
      <c r="C1048" s="304" t="str">
        <f>Clothing!C88</f>
        <v>PVC</v>
      </c>
      <c r="D1048" s="68">
        <f>Clothing!M88</f>
        <v>3.1547157663767296</v>
      </c>
      <c r="E1048" s="304" t="s">
        <v>2019</v>
      </c>
      <c r="F1048" s="972">
        <f>Clothing!O88</f>
        <v>1</v>
      </c>
      <c r="G1048" s="224">
        <f>Clothing!P88</f>
        <v>1</v>
      </c>
      <c r="H1048" s="224">
        <f>Clothing!Q88</f>
        <v>2</v>
      </c>
      <c r="I1048" s="224">
        <f>Clothing!R88</f>
        <v>2</v>
      </c>
      <c r="J1048" s="224">
        <f>Clothing!S88</f>
        <v>2</v>
      </c>
      <c r="K1048" s="499">
        <f t="shared" si="17"/>
        <v>0.37356464144298934</v>
      </c>
      <c r="L1048" s="1208"/>
    </row>
    <row r="1049" spans="1:12">
      <c r="A1049" s="97" t="s">
        <v>2021</v>
      </c>
      <c r="B1049" s="68">
        <f>Clothing!B89</f>
        <v>2020</v>
      </c>
      <c r="C1049" s="304" t="str">
        <f>Clothing!C89</f>
        <v>RUBBER</v>
      </c>
      <c r="D1049" s="68">
        <f>Clothing!M89</f>
        <v>5.4691001878639085</v>
      </c>
      <c r="E1049" s="304" t="s">
        <v>2019</v>
      </c>
      <c r="F1049" s="972">
        <f>Clothing!O89</f>
        <v>1</v>
      </c>
      <c r="G1049" s="224">
        <f>Clothing!P89</f>
        <v>1</v>
      </c>
      <c r="H1049" s="224">
        <f>Clothing!Q89</f>
        <v>2</v>
      </c>
      <c r="I1049" s="224">
        <f>Clothing!R89</f>
        <v>2</v>
      </c>
      <c r="J1049" s="224">
        <f>Clothing!S89</f>
        <v>2</v>
      </c>
      <c r="K1049" s="499">
        <f t="shared" si="17"/>
        <v>0.37356464144298934</v>
      </c>
      <c r="L1049" s="1208"/>
    </row>
    <row r="1050" spans="1:12">
      <c r="A1050" s="97" t="s">
        <v>2021</v>
      </c>
      <c r="B1050" s="68">
        <f>Clothing!B90</f>
        <v>2021</v>
      </c>
      <c r="C1050" s="304" t="str">
        <f>Clothing!C90</f>
        <v>Acryl</v>
      </c>
      <c r="D1050" s="68">
        <f>Clothing!M90</f>
        <v>4.594997915829854</v>
      </c>
      <c r="E1050" s="304" t="s">
        <v>2019</v>
      </c>
      <c r="F1050" s="972">
        <f>Clothing!O90</f>
        <v>1</v>
      </c>
      <c r="G1050" s="224">
        <f>Clothing!P90</f>
        <v>1</v>
      </c>
      <c r="H1050" s="224">
        <f>Clothing!Q90</f>
        <v>2</v>
      </c>
      <c r="I1050" s="224">
        <f>Clothing!R90</f>
        <v>2</v>
      </c>
      <c r="J1050" s="224">
        <f>Clothing!S90</f>
        <v>2</v>
      </c>
      <c r="K1050" s="499">
        <f t="shared" si="17"/>
        <v>0.37356464144298934</v>
      </c>
      <c r="L1050" s="1208"/>
    </row>
    <row r="1051" spans="1:12">
      <c r="A1051" s="97" t="s">
        <v>2021</v>
      </c>
      <c r="B1051" s="68">
        <f>Clothing!B91</f>
        <v>2021</v>
      </c>
      <c r="C1051" s="304" t="str">
        <f>Clothing!C91</f>
        <v>OTHER</v>
      </c>
      <c r="D1051" s="68">
        <f>Clothing!M91</f>
        <v>5.384051832790048</v>
      </c>
      <c r="E1051" s="304" t="s">
        <v>2019</v>
      </c>
      <c r="F1051" s="972">
        <f>Clothing!O91</f>
        <v>1</v>
      </c>
      <c r="G1051" s="224">
        <f>Clothing!P91</f>
        <v>1</v>
      </c>
      <c r="H1051" s="224">
        <f>Clothing!Q91</f>
        <v>2</v>
      </c>
      <c r="I1051" s="224">
        <f>Clothing!R91</f>
        <v>2</v>
      </c>
      <c r="J1051" s="224">
        <f>Clothing!S91</f>
        <v>2</v>
      </c>
      <c r="K1051" s="499">
        <f t="shared" si="17"/>
        <v>0.37356464144298934</v>
      </c>
      <c r="L1051" s="1208"/>
    </row>
    <row r="1052" spans="1:12">
      <c r="A1052" s="97" t="s">
        <v>2021</v>
      </c>
      <c r="B1052" s="68">
        <f>Clothing!B92</f>
        <v>2021</v>
      </c>
      <c r="C1052" s="304" t="str">
        <f>Clothing!C92</f>
        <v>PA</v>
      </c>
      <c r="D1052" s="68">
        <f>Clothing!M92</f>
        <v>7.5051773773815027</v>
      </c>
      <c r="E1052" s="304" t="s">
        <v>2019</v>
      </c>
      <c r="F1052" s="972">
        <f>Clothing!O92</f>
        <v>1</v>
      </c>
      <c r="G1052" s="224">
        <f>Clothing!P92</f>
        <v>1</v>
      </c>
      <c r="H1052" s="224">
        <f>Clothing!Q92</f>
        <v>2</v>
      </c>
      <c r="I1052" s="224">
        <f>Clothing!R92</f>
        <v>2</v>
      </c>
      <c r="J1052" s="224">
        <f>Clothing!S92</f>
        <v>2</v>
      </c>
      <c r="K1052" s="499">
        <f t="shared" si="17"/>
        <v>0.37356464144298934</v>
      </c>
      <c r="L1052" s="1208"/>
    </row>
    <row r="1053" spans="1:12">
      <c r="A1053" s="97" t="s">
        <v>2021</v>
      </c>
      <c r="B1053" s="68">
        <f>Clothing!B93</f>
        <v>2021</v>
      </c>
      <c r="C1053" s="304" t="str">
        <f>Clothing!C93</f>
        <v>PET</v>
      </c>
      <c r="D1053" s="68">
        <f>Clothing!M93</f>
        <v>41.62323736808608</v>
      </c>
      <c r="E1053" s="304" t="s">
        <v>2019</v>
      </c>
      <c r="F1053" s="972">
        <f>Clothing!O93</f>
        <v>1</v>
      </c>
      <c r="G1053" s="224">
        <f>Clothing!P93</f>
        <v>1</v>
      </c>
      <c r="H1053" s="224">
        <f>Clothing!Q93</f>
        <v>2</v>
      </c>
      <c r="I1053" s="224">
        <f>Clothing!R93</f>
        <v>2</v>
      </c>
      <c r="J1053" s="224">
        <f>Clothing!S93</f>
        <v>2</v>
      </c>
      <c r="K1053" s="499">
        <f t="shared" si="17"/>
        <v>0.37356464144298934</v>
      </c>
      <c r="L1053" s="1208"/>
    </row>
    <row r="1054" spans="1:12">
      <c r="A1054" s="97" t="s">
        <v>2021</v>
      </c>
      <c r="B1054" s="68">
        <f>Clothing!B94</f>
        <v>2021</v>
      </c>
      <c r="C1054" s="304" t="str">
        <f>Clothing!C94</f>
        <v>PUR</v>
      </c>
      <c r="D1054" s="68">
        <f>Clothing!M94</f>
        <v>4.8643447723510471</v>
      </c>
      <c r="E1054" s="304" t="s">
        <v>2019</v>
      </c>
      <c r="F1054" s="972">
        <f>Clothing!O94</f>
        <v>1</v>
      </c>
      <c r="G1054" s="224">
        <f>Clothing!P94</f>
        <v>1</v>
      </c>
      <c r="H1054" s="224">
        <f>Clothing!Q94</f>
        <v>2</v>
      </c>
      <c r="I1054" s="224">
        <f>Clothing!R94</f>
        <v>2</v>
      </c>
      <c r="J1054" s="224">
        <f>Clothing!S94</f>
        <v>2</v>
      </c>
      <c r="K1054" s="499">
        <f t="shared" si="17"/>
        <v>0.37356464144298934</v>
      </c>
      <c r="L1054" s="1208"/>
    </row>
    <row r="1055" spans="1:12">
      <c r="A1055" s="97" t="s">
        <v>2021</v>
      </c>
      <c r="B1055" s="68">
        <f>Clothing!B95</f>
        <v>2021</v>
      </c>
      <c r="C1055" s="304" t="str">
        <f>Clothing!C95</f>
        <v>PVC</v>
      </c>
      <c r="D1055" s="68">
        <f>Clothing!M95</f>
        <v>3.090029271101463</v>
      </c>
      <c r="E1055" s="304" t="s">
        <v>2019</v>
      </c>
      <c r="F1055" s="972">
        <f>Clothing!O95</f>
        <v>1</v>
      </c>
      <c r="G1055" s="224">
        <f>Clothing!P95</f>
        <v>1</v>
      </c>
      <c r="H1055" s="224">
        <f>Clothing!Q95</f>
        <v>2</v>
      </c>
      <c r="I1055" s="224">
        <f>Clothing!R95</f>
        <v>2</v>
      </c>
      <c r="J1055" s="224">
        <f>Clothing!S95</f>
        <v>2</v>
      </c>
      <c r="K1055" s="499">
        <f t="shared" si="17"/>
        <v>0.37356464144298934</v>
      </c>
      <c r="L1055" s="1208"/>
    </row>
    <row r="1056" spans="1:12">
      <c r="A1056" s="97" t="s">
        <v>2021</v>
      </c>
      <c r="B1056" s="68">
        <f>Clothing!B96</f>
        <v>2021</v>
      </c>
      <c r="C1056" s="304" t="str">
        <f>Clothing!C96</f>
        <v>RUBBER</v>
      </c>
      <c r="D1056" s="68">
        <f>Clothing!M96</f>
        <v>5.9061444286261171</v>
      </c>
      <c r="E1056" s="304" t="s">
        <v>2019</v>
      </c>
      <c r="F1056" s="972">
        <f>Clothing!O96</f>
        <v>1</v>
      </c>
      <c r="G1056" s="224">
        <f>Clothing!P96</f>
        <v>1</v>
      </c>
      <c r="H1056" s="224">
        <f>Clothing!Q96</f>
        <v>2</v>
      </c>
      <c r="I1056" s="224">
        <f>Clothing!R96</f>
        <v>2</v>
      </c>
      <c r="J1056" s="224">
        <f>Clothing!S96</f>
        <v>2</v>
      </c>
      <c r="K1056" s="499">
        <f t="shared" si="17"/>
        <v>0.37356464144298934</v>
      </c>
      <c r="L1056" s="1208"/>
    </row>
    <row r="1057" spans="1:12">
      <c r="A1057" s="97" t="s">
        <v>2021</v>
      </c>
      <c r="B1057" s="68">
        <f>Clothing!B97</f>
        <v>2022</v>
      </c>
      <c r="C1057" s="304" t="str">
        <f>Clothing!C97</f>
        <v>Acryl</v>
      </c>
      <c r="D1057" s="68">
        <f>Clothing!M97</f>
        <v>7.986805037536798</v>
      </c>
      <c r="E1057" s="304" t="s">
        <v>2019</v>
      </c>
      <c r="F1057" s="972">
        <f>Clothing!O97</f>
        <v>1</v>
      </c>
      <c r="G1057" s="224">
        <f>Clothing!P97</f>
        <v>1</v>
      </c>
      <c r="H1057" s="224">
        <f>Clothing!Q97</f>
        <v>2</v>
      </c>
      <c r="I1057" s="224">
        <f>Clothing!R97</f>
        <v>2</v>
      </c>
      <c r="J1057" s="224">
        <f>Clothing!S97</f>
        <v>2</v>
      </c>
      <c r="K1057" s="499">
        <f t="shared" si="17"/>
        <v>0.37356464144298934</v>
      </c>
      <c r="L1057" s="1208"/>
    </row>
    <row r="1058" spans="1:12">
      <c r="A1058" s="97" t="s">
        <v>2021</v>
      </c>
      <c r="B1058" s="68">
        <f>Clothing!B98</f>
        <v>2022</v>
      </c>
      <c r="C1058" s="304" t="str">
        <f>Clothing!C98</f>
        <v>OTHER</v>
      </c>
      <c r="D1058" s="68">
        <f>Clothing!M98</f>
        <v>12.458653929462679</v>
      </c>
      <c r="E1058" s="304" t="s">
        <v>2019</v>
      </c>
      <c r="F1058" s="972">
        <f>Clothing!O98</f>
        <v>1</v>
      </c>
      <c r="G1058" s="224">
        <f>Clothing!P98</f>
        <v>1</v>
      </c>
      <c r="H1058" s="224">
        <f>Clothing!Q98</f>
        <v>2</v>
      </c>
      <c r="I1058" s="224">
        <f>Clothing!R98</f>
        <v>2</v>
      </c>
      <c r="J1058" s="224">
        <f>Clothing!S98</f>
        <v>2</v>
      </c>
      <c r="K1058" s="499">
        <f t="shared" si="17"/>
        <v>0.37356464144298934</v>
      </c>
      <c r="L1058" s="1208"/>
    </row>
    <row r="1059" spans="1:12">
      <c r="A1059" s="97" t="s">
        <v>2021</v>
      </c>
      <c r="B1059" s="68">
        <f>Clothing!B99</f>
        <v>2022</v>
      </c>
      <c r="C1059" s="304" t="str">
        <f>Clothing!C99</f>
        <v>PA</v>
      </c>
      <c r="D1059" s="68">
        <f>Clothing!M99</f>
        <v>16.398798528732044</v>
      </c>
      <c r="E1059" s="304" t="s">
        <v>2019</v>
      </c>
      <c r="F1059" s="972">
        <f>Clothing!O99</f>
        <v>1</v>
      </c>
      <c r="G1059" s="224">
        <f>Clothing!P99</f>
        <v>1</v>
      </c>
      <c r="H1059" s="224">
        <f>Clothing!Q99</f>
        <v>2</v>
      </c>
      <c r="I1059" s="224">
        <f>Clothing!R99</f>
        <v>2</v>
      </c>
      <c r="J1059" s="224">
        <f>Clothing!S99</f>
        <v>2</v>
      </c>
      <c r="K1059" s="499">
        <f t="shared" si="17"/>
        <v>0.37356464144298934</v>
      </c>
      <c r="L1059" s="1208"/>
    </row>
    <row r="1060" spans="1:12">
      <c r="A1060" s="97" t="s">
        <v>2021</v>
      </c>
      <c r="B1060" s="68">
        <f>Clothing!B100</f>
        <v>2022</v>
      </c>
      <c r="C1060" s="304" t="str">
        <f>Clothing!C100</f>
        <v>PET</v>
      </c>
      <c r="D1060" s="68">
        <f>Clothing!M100</f>
        <v>84.676714672076201</v>
      </c>
      <c r="E1060" s="304" t="s">
        <v>2019</v>
      </c>
      <c r="F1060" s="972">
        <f>Clothing!O100</f>
        <v>1</v>
      </c>
      <c r="G1060" s="224">
        <f>Clothing!P100</f>
        <v>1</v>
      </c>
      <c r="H1060" s="224">
        <f>Clothing!Q100</f>
        <v>2</v>
      </c>
      <c r="I1060" s="224">
        <f>Clothing!R100</f>
        <v>2</v>
      </c>
      <c r="J1060" s="224">
        <f>Clothing!S100</f>
        <v>2</v>
      </c>
      <c r="K1060" s="499">
        <f t="shared" si="17"/>
        <v>0.37356464144298934</v>
      </c>
      <c r="L1060" s="1208"/>
    </row>
    <row r="1061" spans="1:12">
      <c r="A1061" s="97" t="s">
        <v>2021</v>
      </c>
      <c r="B1061" s="68">
        <f>Clothing!B101</f>
        <v>2022</v>
      </c>
      <c r="C1061" s="304" t="str">
        <f>Clothing!C101</f>
        <v>PUR</v>
      </c>
      <c r="D1061" s="68">
        <f>Clothing!M101</f>
        <v>7.4218751208711859</v>
      </c>
      <c r="E1061" s="304" t="s">
        <v>2019</v>
      </c>
      <c r="F1061" s="972">
        <f>Clothing!O101</f>
        <v>1</v>
      </c>
      <c r="G1061" s="224">
        <f>Clothing!P101</f>
        <v>1</v>
      </c>
      <c r="H1061" s="224">
        <f>Clothing!Q101</f>
        <v>2</v>
      </c>
      <c r="I1061" s="224">
        <f>Clothing!R101</f>
        <v>2</v>
      </c>
      <c r="J1061" s="224">
        <f>Clothing!S101</f>
        <v>2</v>
      </c>
      <c r="K1061" s="499">
        <f t="shared" si="17"/>
        <v>0.37356464144298934</v>
      </c>
      <c r="L1061" s="1208"/>
    </row>
    <row r="1062" spans="1:12">
      <c r="A1062" s="97" t="s">
        <v>2021</v>
      </c>
      <c r="B1062" s="68">
        <f>Clothing!B102</f>
        <v>2022</v>
      </c>
      <c r="C1062" s="304" t="str">
        <f>Clothing!C102</f>
        <v>PVC</v>
      </c>
      <c r="D1062" s="68">
        <f>Clothing!M102</f>
        <v>4.7925539020966559</v>
      </c>
      <c r="E1062" s="304" t="s">
        <v>2019</v>
      </c>
      <c r="F1062" s="972">
        <f>Clothing!O102</f>
        <v>1</v>
      </c>
      <c r="G1062" s="224">
        <f>Clothing!P102</f>
        <v>1</v>
      </c>
      <c r="H1062" s="224">
        <f>Clothing!Q102</f>
        <v>2</v>
      </c>
      <c r="I1062" s="224">
        <f>Clothing!R102</f>
        <v>2</v>
      </c>
      <c r="J1062" s="224">
        <f>Clothing!S102</f>
        <v>2</v>
      </c>
      <c r="K1062" s="499">
        <f t="shared" si="17"/>
        <v>0.37356464144298934</v>
      </c>
      <c r="L1062" s="1208"/>
    </row>
    <row r="1063" spans="1:12">
      <c r="A1063" s="97" t="s">
        <v>2021</v>
      </c>
      <c r="B1063" s="68">
        <f>Clothing!B103</f>
        <v>2022</v>
      </c>
      <c r="C1063" s="304" t="str">
        <f>Clothing!C103</f>
        <v>RUBBER</v>
      </c>
      <c r="D1063" s="68">
        <f>Clothing!M103</f>
        <v>10.065696963701427</v>
      </c>
      <c r="E1063" s="304" t="s">
        <v>2019</v>
      </c>
      <c r="F1063" s="972">
        <f>Clothing!O103</f>
        <v>1</v>
      </c>
      <c r="G1063" s="224">
        <f>Clothing!P103</f>
        <v>1</v>
      </c>
      <c r="H1063" s="224">
        <f>Clothing!Q103</f>
        <v>2</v>
      </c>
      <c r="I1063" s="224">
        <f>Clothing!R103</f>
        <v>2</v>
      </c>
      <c r="J1063" s="224">
        <f>Clothing!S103</f>
        <v>2</v>
      </c>
      <c r="K1063" s="499">
        <f t="shared" si="17"/>
        <v>0.37356464144298934</v>
      </c>
      <c r="L1063" s="1208"/>
    </row>
    <row r="1064" spans="1:12">
      <c r="A1064" s="97" t="s">
        <v>2021</v>
      </c>
      <c r="B1064" s="68">
        <f>Clothing!B20</f>
        <v>2011</v>
      </c>
      <c r="C1064" s="304" t="str">
        <f>Clothing!C20</f>
        <v>Acryl</v>
      </c>
      <c r="D1064" s="68">
        <f>Clothing!N20</f>
        <v>9.8965516471895363</v>
      </c>
      <c r="E1064" s="304" t="s">
        <v>2020</v>
      </c>
      <c r="F1064" s="972">
        <f>Clothing!O20</f>
        <v>1</v>
      </c>
      <c r="G1064" s="224">
        <f>Clothing!P20</f>
        <v>1</v>
      </c>
      <c r="H1064" s="224">
        <f>Clothing!Q20</f>
        <v>2</v>
      </c>
      <c r="I1064" s="224">
        <f>Clothing!R20</f>
        <v>2</v>
      </c>
      <c r="J1064" s="224">
        <f>Clothing!S20</f>
        <v>2</v>
      </c>
      <c r="K1064" s="499">
        <f t="shared" si="17"/>
        <v>0.37356464144298934</v>
      </c>
      <c r="L1064" s="1208"/>
    </row>
    <row r="1065" spans="1:12">
      <c r="A1065" s="97" t="s">
        <v>2021</v>
      </c>
      <c r="B1065" s="68">
        <f>Clothing!B21</f>
        <v>2011</v>
      </c>
      <c r="C1065" s="304" t="str">
        <f>Clothing!C21</f>
        <v>OTHER</v>
      </c>
      <c r="D1065" s="68">
        <f>Clothing!N21</f>
        <v>14.876130047182658</v>
      </c>
      <c r="E1065" s="304" t="s">
        <v>2020</v>
      </c>
      <c r="F1065" s="972">
        <f>Clothing!O21</f>
        <v>1</v>
      </c>
      <c r="G1065" s="224">
        <f>Clothing!P21</f>
        <v>1</v>
      </c>
      <c r="H1065" s="224">
        <f>Clothing!Q21</f>
        <v>2</v>
      </c>
      <c r="I1065" s="224">
        <f>Clothing!R21</f>
        <v>2</v>
      </c>
      <c r="J1065" s="224">
        <f>Clothing!S21</f>
        <v>2</v>
      </c>
      <c r="K1065" s="499">
        <f t="shared" si="17"/>
        <v>0.37356464144298934</v>
      </c>
      <c r="L1065" s="1208"/>
    </row>
    <row r="1066" spans="1:12">
      <c r="A1066" s="97" t="s">
        <v>2021</v>
      </c>
      <c r="B1066" s="68">
        <f>Clothing!B22</f>
        <v>2011</v>
      </c>
      <c r="C1066" s="304" t="str">
        <f>Clothing!C22</f>
        <v>PA</v>
      </c>
      <c r="D1066" s="68">
        <f>Clothing!N22</f>
        <v>23.227729834428246</v>
      </c>
      <c r="E1066" s="304" t="s">
        <v>2020</v>
      </c>
      <c r="F1066" s="972">
        <f>Clothing!O22</f>
        <v>1</v>
      </c>
      <c r="G1066" s="224">
        <f>Clothing!P22</f>
        <v>1</v>
      </c>
      <c r="H1066" s="224">
        <f>Clothing!Q22</f>
        <v>2</v>
      </c>
      <c r="I1066" s="224">
        <f>Clothing!R22</f>
        <v>2</v>
      </c>
      <c r="J1066" s="224">
        <f>Clothing!S22</f>
        <v>2</v>
      </c>
      <c r="K1066" s="499">
        <f t="shared" si="17"/>
        <v>0.37356464144298934</v>
      </c>
      <c r="L1066" s="1208"/>
    </row>
    <row r="1067" spans="1:12">
      <c r="A1067" s="97" t="s">
        <v>2021</v>
      </c>
      <c r="B1067" s="68">
        <f>Clothing!B23</f>
        <v>2011</v>
      </c>
      <c r="C1067" s="304" t="str">
        <f>Clothing!C23</f>
        <v>PET</v>
      </c>
      <c r="D1067" s="68">
        <f>Clothing!N23</f>
        <v>108.75636380599956</v>
      </c>
      <c r="E1067" s="304" t="s">
        <v>2020</v>
      </c>
      <c r="F1067" s="972">
        <f>Clothing!O23</f>
        <v>1</v>
      </c>
      <c r="G1067" s="224">
        <f>Clothing!P23</f>
        <v>1</v>
      </c>
      <c r="H1067" s="224">
        <f>Clothing!Q23</f>
        <v>2</v>
      </c>
      <c r="I1067" s="224">
        <f>Clothing!R23</f>
        <v>2</v>
      </c>
      <c r="J1067" s="224">
        <f>Clothing!S23</f>
        <v>2</v>
      </c>
      <c r="K1067" s="499">
        <f t="shared" si="17"/>
        <v>0.37356464144298934</v>
      </c>
      <c r="L1067" s="1208"/>
    </row>
    <row r="1068" spans="1:12">
      <c r="A1068" s="97" t="s">
        <v>2021</v>
      </c>
      <c r="B1068" s="68">
        <f>Clothing!B24</f>
        <v>2011</v>
      </c>
      <c r="C1068" s="304" t="str">
        <f>Clothing!C24</f>
        <v>PUR</v>
      </c>
      <c r="D1068" s="68">
        <f>Clothing!N24</f>
        <v>7.9565218466763472</v>
      </c>
      <c r="E1068" s="304" t="s">
        <v>2020</v>
      </c>
      <c r="F1068" s="972">
        <f>Clothing!O24</f>
        <v>1</v>
      </c>
      <c r="G1068" s="224">
        <f>Clothing!P24</f>
        <v>1</v>
      </c>
      <c r="H1068" s="224">
        <f>Clothing!Q24</f>
        <v>2</v>
      </c>
      <c r="I1068" s="224">
        <f>Clothing!R24</f>
        <v>2</v>
      </c>
      <c r="J1068" s="224">
        <f>Clothing!S24</f>
        <v>2</v>
      </c>
      <c r="K1068" s="499">
        <f t="shared" si="17"/>
        <v>0.37356464144298934</v>
      </c>
      <c r="L1068" s="1208"/>
    </row>
    <row r="1069" spans="1:12">
      <c r="A1069" s="97" t="s">
        <v>2021</v>
      </c>
      <c r="B1069" s="68">
        <f>Clothing!B25</f>
        <v>2011</v>
      </c>
      <c r="C1069" s="304" t="str">
        <f>Clothing!C25</f>
        <v>PVC</v>
      </c>
      <c r="D1069" s="68">
        <f>Clothing!N25</f>
        <v>5.16678915123991</v>
      </c>
      <c r="E1069" s="304" t="s">
        <v>2020</v>
      </c>
      <c r="F1069" s="972">
        <f>Clothing!O25</f>
        <v>1</v>
      </c>
      <c r="G1069" s="224">
        <f>Clothing!P25</f>
        <v>1</v>
      </c>
      <c r="H1069" s="224">
        <f>Clothing!Q25</f>
        <v>2</v>
      </c>
      <c r="I1069" s="224">
        <f>Clothing!R25</f>
        <v>2</v>
      </c>
      <c r="J1069" s="224">
        <f>Clothing!S25</f>
        <v>2</v>
      </c>
      <c r="K1069" s="499">
        <f t="shared" si="17"/>
        <v>0.37356464144298934</v>
      </c>
      <c r="L1069" s="1208"/>
    </row>
    <row r="1070" spans="1:12">
      <c r="A1070" s="97" t="s">
        <v>2021</v>
      </c>
      <c r="B1070" s="68">
        <f>Clothing!B26</f>
        <v>2011</v>
      </c>
      <c r="C1070" s="304" t="str">
        <f>Clothing!C26</f>
        <v>RUBBER</v>
      </c>
      <c r="D1070" s="68">
        <f>Clothing!N26</f>
        <v>11.533611301688179</v>
      </c>
      <c r="E1070" s="304" t="s">
        <v>2020</v>
      </c>
      <c r="F1070" s="972">
        <f>Clothing!O26</f>
        <v>1</v>
      </c>
      <c r="G1070" s="224">
        <f>Clothing!P26</f>
        <v>1</v>
      </c>
      <c r="H1070" s="224">
        <f>Clothing!Q26</f>
        <v>2</v>
      </c>
      <c r="I1070" s="224">
        <f>Clothing!R26</f>
        <v>2</v>
      </c>
      <c r="J1070" s="224">
        <f>Clothing!S26</f>
        <v>2</v>
      </c>
      <c r="K1070" s="499">
        <f t="shared" si="17"/>
        <v>0.37356464144298934</v>
      </c>
      <c r="L1070" s="1208"/>
    </row>
    <row r="1071" spans="1:12">
      <c r="A1071" s="97" t="s">
        <v>2021</v>
      </c>
      <c r="B1071" s="68">
        <f>Clothing!B27</f>
        <v>2012</v>
      </c>
      <c r="C1071" s="304" t="str">
        <f>Clothing!C27</f>
        <v>Acryl</v>
      </c>
      <c r="D1071" s="68">
        <f>Clothing!N27</f>
        <v>8.1476729611628631</v>
      </c>
      <c r="E1071" s="304" t="s">
        <v>2020</v>
      </c>
      <c r="F1071" s="972">
        <f>Clothing!O27</f>
        <v>1</v>
      </c>
      <c r="G1071" s="224">
        <f>Clothing!P27</f>
        <v>1</v>
      </c>
      <c r="H1071" s="224">
        <f>Clothing!Q27</f>
        <v>2</v>
      </c>
      <c r="I1071" s="224">
        <f>Clothing!R27</f>
        <v>2</v>
      </c>
      <c r="J1071" s="224">
        <f>Clothing!S27</f>
        <v>2</v>
      </c>
      <c r="K1071" s="499">
        <f t="shared" si="17"/>
        <v>0.37356464144298934</v>
      </c>
      <c r="L1071" s="1208"/>
    </row>
    <row r="1072" spans="1:12">
      <c r="A1072" s="97" t="s">
        <v>2021</v>
      </c>
      <c r="B1072" s="68">
        <f>Clothing!B28</f>
        <v>2012</v>
      </c>
      <c r="C1072" s="304" t="str">
        <f>Clothing!C28</f>
        <v>OTHER</v>
      </c>
      <c r="D1072" s="68">
        <f>Clothing!N28</f>
        <v>11.414076570083315</v>
      </c>
      <c r="E1072" s="304" t="s">
        <v>2020</v>
      </c>
      <c r="F1072" s="972">
        <f>Clothing!O28</f>
        <v>1</v>
      </c>
      <c r="G1072" s="224">
        <f>Clothing!P28</f>
        <v>1</v>
      </c>
      <c r="H1072" s="224">
        <f>Clothing!Q28</f>
        <v>2</v>
      </c>
      <c r="I1072" s="224">
        <f>Clothing!R28</f>
        <v>2</v>
      </c>
      <c r="J1072" s="224">
        <f>Clothing!S28</f>
        <v>2</v>
      </c>
      <c r="K1072" s="499">
        <f t="shared" si="17"/>
        <v>0.37356464144298934</v>
      </c>
      <c r="L1072" s="1208"/>
    </row>
    <row r="1073" spans="1:12">
      <c r="A1073" s="97" t="s">
        <v>2021</v>
      </c>
      <c r="B1073" s="68">
        <f>Clothing!B29</f>
        <v>2012</v>
      </c>
      <c r="C1073" s="304" t="str">
        <f>Clothing!C29</f>
        <v>PA</v>
      </c>
      <c r="D1073" s="68">
        <f>Clothing!N29</f>
        <v>17.402647386526361</v>
      </c>
      <c r="E1073" s="304" t="s">
        <v>2020</v>
      </c>
      <c r="F1073" s="972">
        <f>Clothing!O29</f>
        <v>1</v>
      </c>
      <c r="G1073" s="224">
        <f>Clothing!P29</f>
        <v>1</v>
      </c>
      <c r="H1073" s="224">
        <f>Clothing!Q29</f>
        <v>2</v>
      </c>
      <c r="I1073" s="224">
        <f>Clothing!R29</f>
        <v>2</v>
      </c>
      <c r="J1073" s="224">
        <f>Clothing!S29</f>
        <v>2</v>
      </c>
      <c r="K1073" s="499">
        <f t="shared" si="17"/>
        <v>0.37356464144298934</v>
      </c>
      <c r="L1073" s="1208"/>
    </row>
    <row r="1074" spans="1:12">
      <c r="A1074" s="97" t="s">
        <v>2021</v>
      </c>
      <c r="B1074" s="68">
        <f>Clothing!B30</f>
        <v>2012</v>
      </c>
      <c r="C1074" s="304" t="str">
        <f>Clothing!C30</f>
        <v>PET</v>
      </c>
      <c r="D1074" s="68">
        <f>Clothing!N30</f>
        <v>100.79524955387372</v>
      </c>
      <c r="E1074" s="304" t="s">
        <v>2020</v>
      </c>
      <c r="F1074" s="972">
        <f>Clothing!O30</f>
        <v>1</v>
      </c>
      <c r="G1074" s="224">
        <f>Clothing!P30</f>
        <v>1</v>
      </c>
      <c r="H1074" s="224">
        <f>Clothing!Q30</f>
        <v>2</v>
      </c>
      <c r="I1074" s="224">
        <f>Clothing!R30</f>
        <v>2</v>
      </c>
      <c r="J1074" s="224">
        <f>Clothing!S30</f>
        <v>2</v>
      </c>
      <c r="K1074" s="499">
        <f t="shared" si="17"/>
        <v>0.37356464144298934</v>
      </c>
      <c r="L1074" s="1208"/>
    </row>
    <row r="1075" spans="1:12">
      <c r="A1075" s="97" t="s">
        <v>2021</v>
      </c>
      <c r="B1075" s="68">
        <f>Clothing!B31</f>
        <v>2012</v>
      </c>
      <c r="C1075" s="304" t="str">
        <f>Clothing!C31</f>
        <v>PUR</v>
      </c>
      <c r="D1075" s="68">
        <f>Clothing!N31</f>
        <v>6.8095774627558114</v>
      </c>
      <c r="E1075" s="304" t="s">
        <v>2020</v>
      </c>
      <c r="F1075" s="972">
        <f>Clothing!O31</f>
        <v>1</v>
      </c>
      <c r="G1075" s="224">
        <f>Clothing!P31</f>
        <v>1</v>
      </c>
      <c r="H1075" s="224">
        <f>Clothing!Q31</f>
        <v>2</v>
      </c>
      <c r="I1075" s="224">
        <f>Clothing!R31</f>
        <v>2</v>
      </c>
      <c r="J1075" s="224">
        <f>Clothing!S31</f>
        <v>2</v>
      </c>
      <c r="K1075" s="499">
        <f t="shared" si="17"/>
        <v>0.37356464144298934</v>
      </c>
      <c r="L1075" s="1208"/>
    </row>
    <row r="1076" spans="1:12">
      <c r="A1076" s="97" t="s">
        <v>2021</v>
      </c>
      <c r="B1076" s="68">
        <f>Clothing!B32</f>
        <v>2012</v>
      </c>
      <c r="C1076" s="304" t="str">
        <f>Clothing!C32</f>
        <v>PVC</v>
      </c>
      <c r="D1076" s="68">
        <f>Clothing!N32</f>
        <v>4.3743003704061225</v>
      </c>
      <c r="E1076" s="304" t="s">
        <v>2020</v>
      </c>
      <c r="F1076" s="972">
        <f>Clothing!O32</f>
        <v>1</v>
      </c>
      <c r="G1076" s="224">
        <f>Clothing!P32</f>
        <v>1</v>
      </c>
      <c r="H1076" s="224">
        <f>Clothing!Q32</f>
        <v>2</v>
      </c>
      <c r="I1076" s="224">
        <f>Clothing!R32</f>
        <v>2</v>
      </c>
      <c r="J1076" s="224">
        <f>Clothing!S32</f>
        <v>2</v>
      </c>
      <c r="K1076" s="499">
        <f t="shared" si="17"/>
        <v>0.37356464144298934</v>
      </c>
      <c r="L1076" s="1208"/>
    </row>
    <row r="1077" spans="1:12">
      <c r="A1077" s="97" t="s">
        <v>2021</v>
      </c>
      <c r="B1077" s="68">
        <f>Clothing!B33</f>
        <v>2012</v>
      </c>
      <c r="C1077" s="304" t="str">
        <f>Clothing!C33</f>
        <v>RUBBER</v>
      </c>
      <c r="D1077" s="68">
        <f>Clothing!N33</f>
        <v>9.2080228377046573</v>
      </c>
      <c r="E1077" s="304" t="s">
        <v>2020</v>
      </c>
      <c r="F1077" s="972">
        <f>Clothing!O33</f>
        <v>1</v>
      </c>
      <c r="G1077" s="224">
        <f>Clothing!P33</f>
        <v>1</v>
      </c>
      <c r="H1077" s="224">
        <f>Clothing!Q33</f>
        <v>2</v>
      </c>
      <c r="I1077" s="224">
        <f>Clothing!R33</f>
        <v>2</v>
      </c>
      <c r="J1077" s="224">
        <f>Clothing!S33</f>
        <v>2</v>
      </c>
      <c r="K1077" s="499">
        <f t="shared" si="17"/>
        <v>0.37356464144298934</v>
      </c>
      <c r="L1077" s="1208"/>
    </row>
    <row r="1078" spans="1:12">
      <c r="A1078" s="97" t="s">
        <v>2021</v>
      </c>
      <c r="B1078" s="68">
        <f>Clothing!B34</f>
        <v>2013</v>
      </c>
      <c r="C1078" s="304" t="str">
        <f>Clothing!C34</f>
        <v>Acryl</v>
      </c>
      <c r="D1078" s="68">
        <f>Clothing!N34</f>
        <v>8.7611135264876179</v>
      </c>
      <c r="E1078" s="304" t="s">
        <v>2020</v>
      </c>
      <c r="F1078" s="972">
        <f>Clothing!O34</f>
        <v>1</v>
      </c>
      <c r="G1078" s="224">
        <f>Clothing!P34</f>
        <v>1</v>
      </c>
      <c r="H1078" s="224">
        <f>Clothing!Q34</f>
        <v>2</v>
      </c>
      <c r="I1078" s="224">
        <f>Clothing!R34</f>
        <v>2</v>
      </c>
      <c r="J1078" s="224">
        <f>Clothing!S34</f>
        <v>2</v>
      </c>
      <c r="K1078" s="499">
        <f t="shared" si="17"/>
        <v>0.37356464144298934</v>
      </c>
      <c r="L1078" s="1208"/>
    </row>
    <row r="1079" spans="1:12">
      <c r="A1079" s="97" t="s">
        <v>2021</v>
      </c>
      <c r="B1079" s="68">
        <f>Clothing!B35</f>
        <v>2013</v>
      </c>
      <c r="C1079" s="304" t="str">
        <f>Clothing!C35</f>
        <v>OTHER</v>
      </c>
      <c r="D1079" s="68">
        <f>Clothing!N35</f>
        <v>14.241640470548941</v>
      </c>
      <c r="E1079" s="304" t="s">
        <v>2020</v>
      </c>
      <c r="F1079" s="972">
        <f>Clothing!O35</f>
        <v>1</v>
      </c>
      <c r="G1079" s="224">
        <f>Clothing!P35</f>
        <v>1</v>
      </c>
      <c r="H1079" s="224">
        <f>Clothing!Q35</f>
        <v>2</v>
      </c>
      <c r="I1079" s="224">
        <f>Clothing!R35</f>
        <v>2</v>
      </c>
      <c r="J1079" s="224">
        <f>Clothing!S35</f>
        <v>2</v>
      </c>
      <c r="K1079" s="499">
        <f t="shared" si="17"/>
        <v>0.37356464144298934</v>
      </c>
      <c r="L1079" s="1208"/>
    </row>
    <row r="1080" spans="1:12">
      <c r="A1080" s="97" t="s">
        <v>2021</v>
      </c>
      <c r="B1080" s="68">
        <f>Clothing!B36</f>
        <v>2013</v>
      </c>
      <c r="C1080" s="304" t="str">
        <f>Clothing!C36</f>
        <v>PA</v>
      </c>
      <c r="D1080" s="68">
        <f>Clothing!N36</f>
        <v>19.384356704926898</v>
      </c>
      <c r="E1080" s="304" t="s">
        <v>2020</v>
      </c>
      <c r="F1080" s="972">
        <f>Clothing!O36</f>
        <v>1</v>
      </c>
      <c r="G1080" s="224">
        <f>Clothing!P36</f>
        <v>1</v>
      </c>
      <c r="H1080" s="224">
        <f>Clothing!Q36</f>
        <v>2</v>
      </c>
      <c r="I1080" s="224">
        <f>Clothing!R36</f>
        <v>2</v>
      </c>
      <c r="J1080" s="224">
        <f>Clothing!S36</f>
        <v>2</v>
      </c>
      <c r="K1080" s="499">
        <f t="shared" si="17"/>
        <v>0.37356464144298934</v>
      </c>
      <c r="L1080" s="1208"/>
    </row>
    <row r="1081" spans="1:12">
      <c r="A1081" s="97" t="s">
        <v>2021</v>
      </c>
      <c r="B1081" s="68">
        <f>Clothing!B37</f>
        <v>2013</v>
      </c>
      <c r="C1081" s="304" t="str">
        <f>Clothing!C37</f>
        <v>PET</v>
      </c>
      <c r="D1081" s="68">
        <f>Clothing!N37</f>
        <v>113.10580840758217</v>
      </c>
      <c r="E1081" s="304" t="s">
        <v>2020</v>
      </c>
      <c r="F1081" s="972">
        <f>Clothing!O37</f>
        <v>1</v>
      </c>
      <c r="G1081" s="224">
        <f>Clothing!P37</f>
        <v>1</v>
      </c>
      <c r="H1081" s="224">
        <f>Clothing!Q37</f>
        <v>2</v>
      </c>
      <c r="I1081" s="224">
        <f>Clothing!R37</f>
        <v>2</v>
      </c>
      <c r="J1081" s="224">
        <f>Clothing!S37</f>
        <v>2</v>
      </c>
      <c r="K1081" s="499">
        <f t="shared" si="17"/>
        <v>0.37356464144298934</v>
      </c>
      <c r="L1081" s="1208"/>
    </row>
    <row r="1082" spans="1:12">
      <c r="A1082" s="97" t="s">
        <v>2021</v>
      </c>
      <c r="B1082" s="68">
        <f>Clothing!B38</f>
        <v>2013</v>
      </c>
      <c r="C1082" s="304" t="str">
        <f>Clothing!C38</f>
        <v>PUR</v>
      </c>
      <c r="D1082" s="68">
        <f>Clothing!N38</f>
        <v>7.0895369872401242</v>
      </c>
      <c r="E1082" s="304" t="s">
        <v>2020</v>
      </c>
      <c r="F1082" s="972">
        <f>Clothing!O38</f>
        <v>1</v>
      </c>
      <c r="G1082" s="224">
        <f>Clothing!P38</f>
        <v>1</v>
      </c>
      <c r="H1082" s="224">
        <f>Clothing!Q38</f>
        <v>2</v>
      </c>
      <c r="I1082" s="224">
        <f>Clothing!R38</f>
        <v>2</v>
      </c>
      <c r="J1082" s="224">
        <f>Clothing!S38</f>
        <v>2</v>
      </c>
      <c r="K1082" s="499">
        <f t="shared" si="17"/>
        <v>0.37356464144298934</v>
      </c>
      <c r="L1082" s="1208"/>
    </row>
    <row r="1083" spans="1:12">
      <c r="A1083" s="97" t="s">
        <v>2021</v>
      </c>
      <c r="B1083" s="68">
        <f>Clothing!B39</f>
        <v>2013</v>
      </c>
      <c r="C1083" s="304" t="str">
        <f>Clothing!C39</f>
        <v>PVC</v>
      </c>
      <c r="D1083" s="68">
        <f>Clothing!N39</f>
        <v>4.6291331517161707</v>
      </c>
      <c r="E1083" s="304" t="s">
        <v>2020</v>
      </c>
      <c r="F1083" s="972">
        <f>Clothing!O39</f>
        <v>1</v>
      </c>
      <c r="G1083" s="224">
        <f>Clothing!P39</f>
        <v>1</v>
      </c>
      <c r="H1083" s="224">
        <f>Clothing!Q39</f>
        <v>2</v>
      </c>
      <c r="I1083" s="224">
        <f>Clothing!R39</f>
        <v>2</v>
      </c>
      <c r="J1083" s="224">
        <f>Clothing!S39</f>
        <v>2</v>
      </c>
      <c r="K1083" s="499">
        <f t="shared" si="17"/>
        <v>0.37356464144298934</v>
      </c>
      <c r="L1083" s="1208"/>
    </row>
    <row r="1084" spans="1:12">
      <c r="A1084" s="97" t="s">
        <v>2021</v>
      </c>
      <c r="B1084" s="68">
        <f>Clothing!B40</f>
        <v>2013</v>
      </c>
      <c r="C1084" s="304" t="str">
        <f>Clothing!C40</f>
        <v>RUBBER</v>
      </c>
      <c r="D1084" s="68">
        <f>Clothing!N40</f>
        <v>10.725039096137643</v>
      </c>
      <c r="E1084" s="304" t="s">
        <v>2020</v>
      </c>
      <c r="F1084" s="972">
        <f>Clothing!O40</f>
        <v>1</v>
      </c>
      <c r="G1084" s="224">
        <f>Clothing!P40</f>
        <v>1</v>
      </c>
      <c r="H1084" s="224">
        <f>Clothing!Q40</f>
        <v>2</v>
      </c>
      <c r="I1084" s="224">
        <f>Clothing!R40</f>
        <v>2</v>
      </c>
      <c r="J1084" s="224">
        <f>Clothing!S40</f>
        <v>2</v>
      </c>
      <c r="K1084" s="499">
        <f t="shared" si="17"/>
        <v>0.37356464144298934</v>
      </c>
      <c r="L1084" s="1208"/>
    </row>
    <row r="1085" spans="1:12">
      <c r="A1085" s="97" t="s">
        <v>2021</v>
      </c>
      <c r="B1085" s="68">
        <f>Clothing!B41</f>
        <v>2014</v>
      </c>
      <c r="C1085" s="304" t="str">
        <f>Clothing!C41</f>
        <v>Acryl</v>
      </c>
      <c r="D1085" s="68">
        <f>Clothing!N41</f>
        <v>9.8126064335218377</v>
      </c>
      <c r="E1085" s="304" t="s">
        <v>2020</v>
      </c>
      <c r="F1085" s="972">
        <f>Clothing!O41</f>
        <v>1</v>
      </c>
      <c r="G1085" s="224">
        <f>Clothing!P41</f>
        <v>1</v>
      </c>
      <c r="H1085" s="224">
        <f>Clothing!Q41</f>
        <v>2</v>
      </c>
      <c r="I1085" s="224">
        <f>Clothing!R41</f>
        <v>2</v>
      </c>
      <c r="J1085" s="224">
        <f>Clothing!S41</f>
        <v>2</v>
      </c>
      <c r="K1085" s="499">
        <f t="shared" ref="K1085:K1147" si="18">IF( OR( ISBLANK(F1085),ISBLANK(G1085), ISBLANK(H1085), ISBLANK(I1085), ISBLANK(J1085) ), "", 1.5*SQRT(   EXP(2.21*(F1085-1)) + EXP(2.21*(G1085-1)) + EXP(2.21*(H1085-1)) + EXP(2.21*(I1085-1)) + EXP(2.21*J1085)   )/100*2.45 )</f>
        <v>0.37356464144298934</v>
      </c>
      <c r="L1085" s="1208"/>
    </row>
    <row r="1086" spans="1:12">
      <c r="A1086" s="97" t="s">
        <v>2021</v>
      </c>
      <c r="B1086" s="68">
        <f>Clothing!B42</f>
        <v>2014</v>
      </c>
      <c r="C1086" s="304" t="str">
        <f>Clothing!C42</f>
        <v>OTHER</v>
      </c>
      <c r="D1086" s="68">
        <f>Clothing!N42</f>
        <v>17.361566838123306</v>
      </c>
      <c r="E1086" s="304" t="s">
        <v>2020</v>
      </c>
      <c r="F1086" s="972">
        <f>Clothing!O42</f>
        <v>1</v>
      </c>
      <c r="G1086" s="224">
        <f>Clothing!P42</f>
        <v>1</v>
      </c>
      <c r="H1086" s="224">
        <f>Clothing!Q42</f>
        <v>2</v>
      </c>
      <c r="I1086" s="224">
        <f>Clothing!R42</f>
        <v>2</v>
      </c>
      <c r="J1086" s="224">
        <f>Clothing!S42</f>
        <v>2</v>
      </c>
      <c r="K1086" s="499">
        <f t="shared" si="18"/>
        <v>0.37356464144298934</v>
      </c>
      <c r="L1086" s="1208"/>
    </row>
    <row r="1087" spans="1:12">
      <c r="A1087" s="97" t="s">
        <v>2021</v>
      </c>
      <c r="B1087" s="68">
        <f>Clothing!B43</f>
        <v>2014</v>
      </c>
      <c r="C1087" s="304" t="str">
        <f>Clothing!C43</f>
        <v>PA</v>
      </c>
      <c r="D1087" s="68">
        <f>Clothing!N43</f>
        <v>22.816217915386837</v>
      </c>
      <c r="E1087" s="304" t="s">
        <v>2020</v>
      </c>
      <c r="F1087" s="972">
        <f>Clothing!O43</f>
        <v>1</v>
      </c>
      <c r="G1087" s="224">
        <f>Clothing!P43</f>
        <v>1</v>
      </c>
      <c r="H1087" s="224">
        <f>Clothing!Q43</f>
        <v>2</v>
      </c>
      <c r="I1087" s="224">
        <f>Clothing!R43</f>
        <v>2</v>
      </c>
      <c r="J1087" s="224">
        <f>Clothing!S43</f>
        <v>2</v>
      </c>
      <c r="K1087" s="499">
        <f t="shared" si="18"/>
        <v>0.37356464144298934</v>
      </c>
      <c r="L1087" s="1208"/>
    </row>
    <row r="1088" spans="1:12">
      <c r="A1088" s="97" t="s">
        <v>2021</v>
      </c>
      <c r="B1088" s="68">
        <f>Clothing!B44</f>
        <v>2014</v>
      </c>
      <c r="C1088" s="304" t="str">
        <f>Clothing!C44</f>
        <v>PET</v>
      </c>
      <c r="D1088" s="68">
        <f>Clothing!N44</f>
        <v>130.72046331028713</v>
      </c>
      <c r="E1088" s="304" t="s">
        <v>2020</v>
      </c>
      <c r="F1088" s="972">
        <f>Clothing!O44</f>
        <v>1</v>
      </c>
      <c r="G1088" s="224">
        <f>Clothing!P44</f>
        <v>1</v>
      </c>
      <c r="H1088" s="224">
        <f>Clothing!Q44</f>
        <v>2</v>
      </c>
      <c r="I1088" s="224">
        <f>Clothing!R44</f>
        <v>2</v>
      </c>
      <c r="J1088" s="224">
        <f>Clothing!S44</f>
        <v>2</v>
      </c>
      <c r="K1088" s="499">
        <f t="shared" si="18"/>
        <v>0.37356464144298934</v>
      </c>
      <c r="L1088" s="1208"/>
    </row>
    <row r="1089" spans="1:12">
      <c r="A1089" s="97" t="s">
        <v>2021</v>
      </c>
      <c r="B1089" s="68">
        <f>Clothing!B45</f>
        <v>2014</v>
      </c>
      <c r="C1089" s="304" t="str">
        <f>Clothing!C45</f>
        <v>PUR</v>
      </c>
      <c r="D1089" s="68">
        <f>Clothing!N45</f>
        <v>8.3861076613467969</v>
      </c>
      <c r="E1089" s="304" t="s">
        <v>2020</v>
      </c>
      <c r="F1089" s="972">
        <f>Clothing!O45</f>
        <v>1</v>
      </c>
      <c r="G1089" s="224">
        <f>Clothing!P45</f>
        <v>1</v>
      </c>
      <c r="H1089" s="224">
        <f>Clothing!Q45</f>
        <v>2</v>
      </c>
      <c r="I1089" s="224">
        <f>Clothing!R45</f>
        <v>2</v>
      </c>
      <c r="J1089" s="224">
        <f>Clothing!S45</f>
        <v>2</v>
      </c>
      <c r="K1089" s="499">
        <f t="shared" si="18"/>
        <v>0.37356464144298934</v>
      </c>
      <c r="L1089" s="1208"/>
    </row>
    <row r="1090" spans="1:12">
      <c r="A1090" s="97" t="s">
        <v>2021</v>
      </c>
      <c r="B1090" s="68">
        <f>Clothing!B46</f>
        <v>2014</v>
      </c>
      <c r="C1090" s="304" t="str">
        <f>Clothing!C46</f>
        <v>PVC</v>
      </c>
      <c r="D1090" s="68">
        <f>Clothing!N46</f>
        <v>5.4715991951149521</v>
      </c>
      <c r="E1090" s="304" t="s">
        <v>2020</v>
      </c>
      <c r="F1090" s="972">
        <f>Clothing!O46</f>
        <v>1</v>
      </c>
      <c r="G1090" s="224">
        <f>Clothing!P46</f>
        <v>1</v>
      </c>
      <c r="H1090" s="224">
        <f>Clothing!Q46</f>
        <v>2</v>
      </c>
      <c r="I1090" s="224">
        <f>Clothing!R46</f>
        <v>2</v>
      </c>
      <c r="J1090" s="224">
        <f>Clothing!S46</f>
        <v>2</v>
      </c>
      <c r="K1090" s="499">
        <f t="shared" si="18"/>
        <v>0.37356464144298934</v>
      </c>
      <c r="L1090" s="1208"/>
    </row>
    <row r="1091" spans="1:12">
      <c r="A1091" s="97" t="s">
        <v>2021</v>
      </c>
      <c r="B1091" s="68">
        <f>Clothing!B47</f>
        <v>2014</v>
      </c>
      <c r="C1091" s="304" t="str">
        <f>Clothing!C47</f>
        <v>RUBBER</v>
      </c>
      <c r="D1091" s="68">
        <f>Clothing!N47</f>
        <v>12.456162839780385</v>
      </c>
      <c r="E1091" s="304" t="s">
        <v>2020</v>
      </c>
      <c r="F1091" s="972">
        <f>Clothing!O47</f>
        <v>1</v>
      </c>
      <c r="G1091" s="224">
        <f>Clothing!P47</f>
        <v>1</v>
      </c>
      <c r="H1091" s="224">
        <f>Clothing!Q47</f>
        <v>2</v>
      </c>
      <c r="I1091" s="224">
        <f>Clothing!R47</f>
        <v>2</v>
      </c>
      <c r="J1091" s="224">
        <f>Clothing!S47</f>
        <v>2</v>
      </c>
      <c r="K1091" s="499">
        <f t="shared" si="18"/>
        <v>0.37356464144298934</v>
      </c>
      <c r="L1091" s="1208"/>
    </row>
    <row r="1092" spans="1:12">
      <c r="A1092" s="97" t="s">
        <v>2021</v>
      </c>
      <c r="B1092" s="68">
        <f>Clothing!B48</f>
        <v>2015</v>
      </c>
      <c r="C1092" s="304" t="str">
        <f>Clothing!C48</f>
        <v>Acryl</v>
      </c>
      <c r="D1092" s="68">
        <f>Clothing!N48</f>
        <v>9.9594930384422451</v>
      </c>
      <c r="E1092" s="304" t="s">
        <v>2020</v>
      </c>
      <c r="F1092" s="972">
        <f>Clothing!O48</f>
        <v>1</v>
      </c>
      <c r="G1092" s="224">
        <f>Clothing!P48</f>
        <v>1</v>
      </c>
      <c r="H1092" s="224">
        <f>Clothing!Q48</f>
        <v>2</v>
      </c>
      <c r="I1092" s="224">
        <f>Clothing!R48</f>
        <v>2</v>
      </c>
      <c r="J1092" s="224">
        <f>Clothing!S48</f>
        <v>2</v>
      </c>
      <c r="K1092" s="499">
        <f t="shared" si="18"/>
        <v>0.37356464144298934</v>
      </c>
      <c r="L1092" s="1208"/>
    </row>
    <row r="1093" spans="1:12">
      <c r="A1093" s="97" t="s">
        <v>2021</v>
      </c>
      <c r="B1093" s="68">
        <f>Clothing!B49</f>
        <v>2015</v>
      </c>
      <c r="C1093" s="304" t="str">
        <f>Clothing!C49</f>
        <v>OTHER</v>
      </c>
      <c r="D1093" s="68">
        <f>Clothing!N49</f>
        <v>16.811095173468157</v>
      </c>
      <c r="E1093" s="304" t="s">
        <v>2020</v>
      </c>
      <c r="F1093" s="972">
        <f>Clothing!O49</f>
        <v>1</v>
      </c>
      <c r="G1093" s="224">
        <f>Clothing!P49</f>
        <v>1</v>
      </c>
      <c r="H1093" s="224">
        <f>Clothing!Q49</f>
        <v>2</v>
      </c>
      <c r="I1093" s="224">
        <f>Clothing!R49</f>
        <v>2</v>
      </c>
      <c r="J1093" s="224">
        <f>Clothing!S49</f>
        <v>2</v>
      </c>
      <c r="K1093" s="499">
        <f t="shared" si="18"/>
        <v>0.37356464144298934</v>
      </c>
      <c r="L1093" s="1208"/>
    </row>
    <row r="1094" spans="1:12">
      <c r="A1094" s="97" t="s">
        <v>2021</v>
      </c>
      <c r="B1094" s="68">
        <f>Clothing!B50</f>
        <v>2015</v>
      </c>
      <c r="C1094" s="304" t="str">
        <f>Clothing!C50</f>
        <v>PA</v>
      </c>
      <c r="D1094" s="68">
        <f>Clothing!N50</f>
        <v>22.007553334823431</v>
      </c>
      <c r="E1094" s="304" t="s">
        <v>2020</v>
      </c>
      <c r="F1094" s="972">
        <f>Clothing!O50</f>
        <v>1</v>
      </c>
      <c r="G1094" s="224">
        <f>Clothing!P50</f>
        <v>1</v>
      </c>
      <c r="H1094" s="224">
        <f>Clothing!Q50</f>
        <v>2</v>
      </c>
      <c r="I1094" s="224">
        <f>Clothing!R50</f>
        <v>2</v>
      </c>
      <c r="J1094" s="224">
        <f>Clothing!S50</f>
        <v>2</v>
      </c>
      <c r="K1094" s="499">
        <f t="shared" si="18"/>
        <v>0.37356464144298934</v>
      </c>
      <c r="L1094" s="1208"/>
    </row>
    <row r="1095" spans="1:12">
      <c r="A1095" s="97" t="s">
        <v>2021</v>
      </c>
      <c r="B1095" s="68">
        <f>Clothing!B51</f>
        <v>2015</v>
      </c>
      <c r="C1095" s="304" t="str">
        <f>Clothing!C51</f>
        <v>PET</v>
      </c>
      <c r="D1095" s="68">
        <f>Clothing!N51</f>
        <v>127.93140448348987</v>
      </c>
      <c r="E1095" s="304" t="s">
        <v>2020</v>
      </c>
      <c r="F1095" s="972">
        <f>Clothing!O51</f>
        <v>1</v>
      </c>
      <c r="G1095" s="224">
        <f>Clothing!P51</f>
        <v>1</v>
      </c>
      <c r="H1095" s="224">
        <f>Clothing!Q51</f>
        <v>2</v>
      </c>
      <c r="I1095" s="224">
        <f>Clothing!R51</f>
        <v>2</v>
      </c>
      <c r="J1095" s="224">
        <f>Clothing!S51</f>
        <v>2</v>
      </c>
      <c r="K1095" s="499">
        <f t="shared" si="18"/>
        <v>0.37356464144298934</v>
      </c>
      <c r="L1095" s="1208"/>
    </row>
    <row r="1096" spans="1:12">
      <c r="A1096" s="97" t="s">
        <v>2021</v>
      </c>
      <c r="B1096" s="68">
        <f>Clothing!B52</f>
        <v>2015</v>
      </c>
      <c r="C1096" s="304" t="str">
        <f>Clothing!C52</f>
        <v>PUR</v>
      </c>
      <c r="D1096" s="68">
        <f>Clothing!N52</f>
        <v>9.0707222073604878</v>
      </c>
      <c r="E1096" s="304" t="s">
        <v>2020</v>
      </c>
      <c r="F1096" s="972">
        <f>Clothing!O52</f>
        <v>1</v>
      </c>
      <c r="G1096" s="224">
        <f>Clothing!P52</f>
        <v>1</v>
      </c>
      <c r="H1096" s="224">
        <f>Clothing!Q52</f>
        <v>2</v>
      </c>
      <c r="I1096" s="224">
        <f>Clothing!R52</f>
        <v>2</v>
      </c>
      <c r="J1096" s="224">
        <f>Clothing!S52</f>
        <v>2</v>
      </c>
      <c r="K1096" s="499">
        <f t="shared" si="18"/>
        <v>0.37356464144298934</v>
      </c>
      <c r="L1096" s="1208"/>
    </row>
    <row r="1097" spans="1:12">
      <c r="A1097" s="97" t="s">
        <v>2021</v>
      </c>
      <c r="B1097" s="68">
        <f>Clothing!B53</f>
        <v>2015</v>
      </c>
      <c r="C1097" s="304" t="str">
        <f>Clothing!C53</f>
        <v>PVC</v>
      </c>
      <c r="D1097" s="68">
        <f>Clothing!N53</f>
        <v>5.9137025493724877</v>
      </c>
      <c r="E1097" s="304" t="s">
        <v>2020</v>
      </c>
      <c r="F1097" s="972">
        <f>Clothing!O53</f>
        <v>1</v>
      </c>
      <c r="G1097" s="224">
        <f>Clothing!P53</f>
        <v>1</v>
      </c>
      <c r="H1097" s="224">
        <f>Clothing!Q53</f>
        <v>2</v>
      </c>
      <c r="I1097" s="224">
        <f>Clothing!R53</f>
        <v>2</v>
      </c>
      <c r="J1097" s="224">
        <f>Clothing!S53</f>
        <v>2</v>
      </c>
      <c r="K1097" s="499">
        <f t="shared" si="18"/>
        <v>0.37356464144298934</v>
      </c>
      <c r="L1097" s="1208"/>
    </row>
    <row r="1098" spans="1:12">
      <c r="A1098" s="97" t="s">
        <v>2021</v>
      </c>
      <c r="B1098" s="68">
        <f>Clothing!B54</f>
        <v>2015</v>
      </c>
      <c r="C1098" s="304" t="str">
        <f>Clothing!C54</f>
        <v>RUBBER</v>
      </c>
      <c r="D1098" s="68">
        <f>Clothing!N54</f>
        <v>13.609060366786755</v>
      </c>
      <c r="E1098" s="304" t="s">
        <v>2020</v>
      </c>
      <c r="F1098" s="972">
        <f>Clothing!O54</f>
        <v>1</v>
      </c>
      <c r="G1098" s="224">
        <f>Clothing!P54</f>
        <v>1</v>
      </c>
      <c r="H1098" s="224">
        <f>Clothing!Q54</f>
        <v>2</v>
      </c>
      <c r="I1098" s="224">
        <f>Clothing!R54</f>
        <v>2</v>
      </c>
      <c r="J1098" s="224">
        <f>Clothing!S54</f>
        <v>2</v>
      </c>
      <c r="K1098" s="499">
        <f t="shared" si="18"/>
        <v>0.37356464144298934</v>
      </c>
      <c r="L1098" s="1208"/>
    </row>
    <row r="1099" spans="1:12">
      <c r="A1099" s="97" t="s">
        <v>2021</v>
      </c>
      <c r="B1099" s="68">
        <f>Clothing!B55</f>
        <v>2016</v>
      </c>
      <c r="C1099" s="304" t="str">
        <f>Clothing!C55</f>
        <v>Acryl</v>
      </c>
      <c r="D1099" s="68">
        <f>Clothing!N55</f>
        <v>10.27818545581767</v>
      </c>
      <c r="E1099" s="304" t="s">
        <v>2020</v>
      </c>
      <c r="F1099" s="972">
        <f>Clothing!O55</f>
        <v>1</v>
      </c>
      <c r="G1099" s="224">
        <f>Clothing!P55</f>
        <v>1</v>
      </c>
      <c r="H1099" s="224">
        <f>Clothing!Q55</f>
        <v>2</v>
      </c>
      <c r="I1099" s="224">
        <f>Clothing!R55</f>
        <v>2</v>
      </c>
      <c r="J1099" s="224">
        <f>Clothing!S55</f>
        <v>2</v>
      </c>
      <c r="K1099" s="499">
        <f t="shared" si="18"/>
        <v>0.37356464144298934</v>
      </c>
      <c r="L1099" s="1208"/>
    </row>
    <row r="1100" spans="1:12">
      <c r="A1100" s="97" t="s">
        <v>2021</v>
      </c>
      <c r="B1100" s="68">
        <f>Clothing!B56</f>
        <v>2016</v>
      </c>
      <c r="C1100" s="304" t="str">
        <f>Clothing!C56</f>
        <v>OTHER</v>
      </c>
      <c r="D1100" s="68">
        <f>Clothing!N56</f>
        <v>17.616845887836863</v>
      </c>
      <c r="E1100" s="304" t="s">
        <v>2020</v>
      </c>
      <c r="F1100" s="972">
        <f>Clothing!O56</f>
        <v>1</v>
      </c>
      <c r="G1100" s="224">
        <f>Clothing!P56</f>
        <v>1</v>
      </c>
      <c r="H1100" s="224">
        <f>Clothing!Q56</f>
        <v>2</v>
      </c>
      <c r="I1100" s="224">
        <f>Clothing!R56</f>
        <v>2</v>
      </c>
      <c r="J1100" s="224">
        <f>Clothing!S56</f>
        <v>2</v>
      </c>
      <c r="K1100" s="499">
        <f t="shared" si="18"/>
        <v>0.37356464144298934</v>
      </c>
      <c r="L1100" s="1208"/>
    </row>
    <row r="1101" spans="1:12">
      <c r="A1101" s="97" t="s">
        <v>2021</v>
      </c>
      <c r="B1101" s="68">
        <f>Clothing!B57</f>
        <v>2016</v>
      </c>
      <c r="C1101" s="304" t="str">
        <f>Clothing!C57</f>
        <v>PA</v>
      </c>
      <c r="D1101" s="68">
        <f>Clothing!N57</f>
        <v>24.258386222411637</v>
      </c>
      <c r="E1101" s="304" t="s">
        <v>2020</v>
      </c>
      <c r="F1101" s="972">
        <f>Clothing!O57</f>
        <v>1</v>
      </c>
      <c r="G1101" s="224">
        <f>Clothing!P57</f>
        <v>1</v>
      </c>
      <c r="H1101" s="224">
        <f>Clothing!Q57</f>
        <v>2</v>
      </c>
      <c r="I1101" s="224">
        <f>Clothing!R57</f>
        <v>2</v>
      </c>
      <c r="J1101" s="224">
        <f>Clothing!S57</f>
        <v>2</v>
      </c>
      <c r="K1101" s="499">
        <f t="shared" si="18"/>
        <v>0.37356464144298934</v>
      </c>
      <c r="L1101" s="1208"/>
    </row>
    <row r="1102" spans="1:12">
      <c r="A1102" s="97" t="s">
        <v>2021</v>
      </c>
      <c r="B1102" s="68">
        <f>Clothing!B58</f>
        <v>2016</v>
      </c>
      <c r="C1102" s="304" t="str">
        <f>Clothing!C58</f>
        <v>PET</v>
      </c>
      <c r="D1102" s="68">
        <f>Clothing!N58</f>
        <v>136.98489737994421</v>
      </c>
      <c r="E1102" s="304" t="s">
        <v>2020</v>
      </c>
      <c r="F1102" s="972">
        <f>Clothing!O58</f>
        <v>1</v>
      </c>
      <c r="G1102" s="224">
        <f>Clothing!P58</f>
        <v>1</v>
      </c>
      <c r="H1102" s="224">
        <f>Clothing!Q58</f>
        <v>2</v>
      </c>
      <c r="I1102" s="224">
        <f>Clothing!R58</f>
        <v>2</v>
      </c>
      <c r="J1102" s="224">
        <f>Clothing!S58</f>
        <v>2</v>
      </c>
      <c r="K1102" s="499">
        <f t="shared" si="18"/>
        <v>0.37356464144298934</v>
      </c>
      <c r="L1102" s="1208"/>
    </row>
    <row r="1103" spans="1:12">
      <c r="A1103" s="97" t="s">
        <v>2021</v>
      </c>
      <c r="B1103" s="68">
        <f>Clothing!B59</f>
        <v>2016</v>
      </c>
      <c r="C1103" s="304" t="str">
        <f>Clothing!C59</f>
        <v>PUR</v>
      </c>
      <c r="D1103" s="68">
        <f>Clothing!N59</f>
        <v>9.2078962298739544</v>
      </c>
      <c r="E1103" s="304" t="s">
        <v>2020</v>
      </c>
      <c r="F1103" s="972">
        <f>Clothing!O59</f>
        <v>1</v>
      </c>
      <c r="G1103" s="224">
        <f>Clothing!P59</f>
        <v>1</v>
      </c>
      <c r="H1103" s="224">
        <f>Clothing!Q59</f>
        <v>2</v>
      </c>
      <c r="I1103" s="224">
        <f>Clothing!R59</f>
        <v>2</v>
      </c>
      <c r="J1103" s="224">
        <f>Clothing!S59</f>
        <v>2</v>
      </c>
      <c r="K1103" s="499">
        <f t="shared" si="18"/>
        <v>0.37356464144298934</v>
      </c>
      <c r="L1103" s="1208"/>
    </row>
    <row r="1104" spans="1:12">
      <c r="A1104" s="97" t="s">
        <v>2021</v>
      </c>
      <c r="B1104" s="68">
        <f>Clothing!B60</f>
        <v>2016</v>
      </c>
      <c r="C1104" s="304" t="str">
        <f>Clothing!C60</f>
        <v>PVC</v>
      </c>
      <c r="D1104" s="68">
        <f>Clothing!N60</f>
        <v>5.9473171320752023</v>
      </c>
      <c r="E1104" s="304" t="s">
        <v>2020</v>
      </c>
      <c r="F1104" s="972">
        <f>Clothing!O60</f>
        <v>1</v>
      </c>
      <c r="G1104" s="224">
        <f>Clothing!P60</f>
        <v>1</v>
      </c>
      <c r="H1104" s="224">
        <f>Clothing!Q60</f>
        <v>2</v>
      </c>
      <c r="I1104" s="224">
        <f>Clothing!R60</f>
        <v>2</v>
      </c>
      <c r="J1104" s="224">
        <f>Clothing!S60</f>
        <v>2</v>
      </c>
      <c r="K1104" s="499">
        <f t="shared" si="18"/>
        <v>0.37356464144298934</v>
      </c>
      <c r="L1104" s="1208"/>
    </row>
    <row r="1105" spans="1:12">
      <c r="A1105" s="97" t="s">
        <v>2021</v>
      </c>
      <c r="B1105" s="68">
        <f>Clothing!B61</f>
        <v>2016</v>
      </c>
      <c r="C1105" s="304" t="str">
        <f>Clothing!C61</f>
        <v>RUBBER</v>
      </c>
      <c r="D1105" s="68">
        <f>Clothing!N61</f>
        <v>12.740182771984092</v>
      </c>
      <c r="E1105" s="304" t="s">
        <v>2020</v>
      </c>
      <c r="F1105" s="972">
        <f>Clothing!O61</f>
        <v>1</v>
      </c>
      <c r="G1105" s="224">
        <f>Clothing!P61</f>
        <v>1</v>
      </c>
      <c r="H1105" s="224">
        <f>Clothing!Q61</f>
        <v>2</v>
      </c>
      <c r="I1105" s="224">
        <f>Clothing!R61</f>
        <v>2</v>
      </c>
      <c r="J1105" s="224">
        <f>Clothing!S61</f>
        <v>2</v>
      </c>
      <c r="K1105" s="499">
        <f t="shared" si="18"/>
        <v>0.37356464144298934</v>
      </c>
      <c r="L1105" s="1208"/>
    </row>
    <row r="1106" spans="1:12">
      <c r="A1106" s="97" t="s">
        <v>2021</v>
      </c>
      <c r="B1106" s="68">
        <f>Clothing!B62</f>
        <v>2017</v>
      </c>
      <c r="C1106" s="304" t="str">
        <f>Clothing!C62</f>
        <v>Acryl</v>
      </c>
      <c r="D1106" s="68">
        <f>Clothing!N62</f>
        <v>10.32342258569162</v>
      </c>
      <c r="E1106" s="304" t="s">
        <v>2020</v>
      </c>
      <c r="F1106" s="972">
        <f>Clothing!O62</f>
        <v>1</v>
      </c>
      <c r="G1106" s="224">
        <f>Clothing!P62</f>
        <v>1</v>
      </c>
      <c r="H1106" s="224">
        <f>Clothing!Q62</f>
        <v>2</v>
      </c>
      <c r="I1106" s="224">
        <f>Clothing!R62</f>
        <v>2</v>
      </c>
      <c r="J1106" s="224">
        <f>Clothing!S62</f>
        <v>2</v>
      </c>
      <c r="K1106" s="499">
        <f t="shared" si="18"/>
        <v>0.37356464144298934</v>
      </c>
      <c r="L1106" s="1208"/>
    </row>
    <row r="1107" spans="1:12">
      <c r="A1107" s="97" t="s">
        <v>2021</v>
      </c>
      <c r="B1107" s="68">
        <f>Clothing!B63</f>
        <v>2017</v>
      </c>
      <c r="C1107" s="304" t="str">
        <f>Clothing!C63</f>
        <v>OTHER</v>
      </c>
      <c r="D1107" s="68">
        <f>Clothing!N63</f>
        <v>15.958853220560753</v>
      </c>
      <c r="E1107" s="304" t="s">
        <v>2020</v>
      </c>
      <c r="F1107" s="972">
        <f>Clothing!O63</f>
        <v>1</v>
      </c>
      <c r="G1107" s="224">
        <f>Clothing!P63</f>
        <v>1</v>
      </c>
      <c r="H1107" s="224">
        <f>Clothing!Q63</f>
        <v>2</v>
      </c>
      <c r="I1107" s="224">
        <f>Clothing!R63</f>
        <v>2</v>
      </c>
      <c r="J1107" s="224">
        <f>Clothing!S63</f>
        <v>2</v>
      </c>
      <c r="K1107" s="499">
        <f t="shared" si="18"/>
        <v>0.37356464144298934</v>
      </c>
      <c r="L1107" s="1208"/>
    </row>
    <row r="1108" spans="1:12">
      <c r="A1108" s="97" t="s">
        <v>2021</v>
      </c>
      <c r="B1108" s="68">
        <f>Clothing!B64</f>
        <v>2017</v>
      </c>
      <c r="C1108" s="304" t="str">
        <f>Clothing!C64</f>
        <v>PA</v>
      </c>
      <c r="D1108" s="68">
        <f>Clothing!N64</f>
        <v>22.336326765916748</v>
      </c>
      <c r="E1108" s="304" t="s">
        <v>2020</v>
      </c>
      <c r="F1108" s="972">
        <f>Clothing!O64</f>
        <v>1</v>
      </c>
      <c r="G1108" s="224">
        <f>Clothing!P64</f>
        <v>1</v>
      </c>
      <c r="H1108" s="224">
        <f>Clothing!Q64</f>
        <v>2</v>
      </c>
      <c r="I1108" s="224">
        <f>Clothing!R64</f>
        <v>2</v>
      </c>
      <c r="J1108" s="224">
        <f>Clothing!S64</f>
        <v>2</v>
      </c>
      <c r="K1108" s="499">
        <f t="shared" si="18"/>
        <v>0.37356464144298934</v>
      </c>
      <c r="L1108" s="1208"/>
    </row>
    <row r="1109" spans="1:12">
      <c r="A1109" s="97" t="s">
        <v>2021</v>
      </c>
      <c r="B1109" s="68">
        <f>Clothing!B65</f>
        <v>2017</v>
      </c>
      <c r="C1109" s="304" t="str">
        <f>Clothing!C65</f>
        <v>PET</v>
      </c>
      <c r="D1109" s="68">
        <f>Clothing!N65</f>
        <v>119.04892152030617</v>
      </c>
      <c r="E1109" s="304" t="s">
        <v>2020</v>
      </c>
      <c r="F1109" s="972">
        <f>Clothing!O65</f>
        <v>1</v>
      </c>
      <c r="G1109" s="224">
        <f>Clothing!P65</f>
        <v>1</v>
      </c>
      <c r="H1109" s="224">
        <f>Clothing!Q65</f>
        <v>2</v>
      </c>
      <c r="I1109" s="224">
        <f>Clothing!R65</f>
        <v>2</v>
      </c>
      <c r="J1109" s="224">
        <f>Clothing!S65</f>
        <v>2</v>
      </c>
      <c r="K1109" s="499">
        <f t="shared" si="18"/>
        <v>0.37356464144298934</v>
      </c>
      <c r="L1109" s="1208"/>
    </row>
    <row r="1110" spans="1:12">
      <c r="A1110" s="97" t="s">
        <v>2021</v>
      </c>
      <c r="B1110" s="68">
        <f>Clothing!B66</f>
        <v>2017</v>
      </c>
      <c r="C1110" s="304" t="str">
        <f>Clothing!C66</f>
        <v>PUR</v>
      </c>
      <c r="D1110" s="68">
        <f>Clothing!N66</f>
        <v>7.8169608423343524</v>
      </c>
      <c r="E1110" s="304" t="s">
        <v>2020</v>
      </c>
      <c r="F1110" s="972">
        <f>Clothing!O66</f>
        <v>1</v>
      </c>
      <c r="G1110" s="224">
        <f>Clothing!P66</f>
        <v>1</v>
      </c>
      <c r="H1110" s="224">
        <f>Clothing!Q66</f>
        <v>2</v>
      </c>
      <c r="I1110" s="224">
        <f>Clothing!R66</f>
        <v>2</v>
      </c>
      <c r="J1110" s="224">
        <f>Clothing!S66</f>
        <v>2</v>
      </c>
      <c r="K1110" s="499">
        <f t="shared" si="18"/>
        <v>0.37356464144298934</v>
      </c>
      <c r="L1110" s="1208"/>
    </row>
    <row r="1111" spans="1:12">
      <c r="A1111" s="97" t="s">
        <v>2021</v>
      </c>
      <c r="B1111" s="68">
        <f>Clothing!B67</f>
        <v>2017</v>
      </c>
      <c r="C1111" s="304" t="str">
        <f>Clothing!C67</f>
        <v>PVC</v>
      </c>
      <c r="D1111" s="68">
        <f>Clothing!N67</f>
        <v>5.0775134631130712</v>
      </c>
      <c r="E1111" s="304" t="s">
        <v>2020</v>
      </c>
      <c r="F1111" s="972">
        <f>Clothing!O67</f>
        <v>1</v>
      </c>
      <c r="G1111" s="224">
        <f>Clothing!P67</f>
        <v>1</v>
      </c>
      <c r="H1111" s="224">
        <f>Clothing!Q67</f>
        <v>2</v>
      </c>
      <c r="I1111" s="224">
        <f>Clothing!R67</f>
        <v>2</v>
      </c>
      <c r="J1111" s="224">
        <f>Clothing!S67</f>
        <v>2</v>
      </c>
      <c r="K1111" s="499">
        <f t="shared" si="18"/>
        <v>0.37356464144298934</v>
      </c>
      <c r="L1111" s="1208"/>
    </row>
    <row r="1112" spans="1:12">
      <c r="A1112" s="97" t="s">
        <v>2021</v>
      </c>
      <c r="B1112" s="68">
        <f>Clothing!B68</f>
        <v>2017</v>
      </c>
      <c r="C1112" s="304" t="str">
        <f>Clothing!C68</f>
        <v>RUBBER</v>
      </c>
      <c r="D1112" s="68">
        <f>Clothing!N68</f>
        <v>11.238965451368404</v>
      </c>
      <c r="E1112" s="304" t="s">
        <v>2020</v>
      </c>
      <c r="F1112" s="972">
        <f>Clothing!O68</f>
        <v>1</v>
      </c>
      <c r="G1112" s="224">
        <f>Clothing!P68</f>
        <v>1</v>
      </c>
      <c r="H1112" s="224">
        <f>Clothing!Q68</f>
        <v>2</v>
      </c>
      <c r="I1112" s="224">
        <f>Clothing!R68</f>
        <v>2</v>
      </c>
      <c r="J1112" s="224">
        <f>Clothing!S68</f>
        <v>2</v>
      </c>
      <c r="K1112" s="499">
        <f t="shared" si="18"/>
        <v>0.37356464144298934</v>
      </c>
      <c r="L1112" s="1208"/>
    </row>
    <row r="1113" spans="1:12">
      <c r="A1113" s="97" t="s">
        <v>2021</v>
      </c>
      <c r="B1113" s="68">
        <f>Clothing!B69</f>
        <v>2018</v>
      </c>
      <c r="C1113" s="304" t="str">
        <f>Clothing!C69</f>
        <v>Acryl</v>
      </c>
      <c r="D1113" s="68">
        <f>Clothing!N69</f>
        <v>11.214752312255055</v>
      </c>
      <c r="E1113" s="304" t="s">
        <v>2020</v>
      </c>
      <c r="F1113" s="972">
        <f>Clothing!O69</f>
        <v>1</v>
      </c>
      <c r="G1113" s="224">
        <f>Clothing!P69</f>
        <v>1</v>
      </c>
      <c r="H1113" s="224">
        <f>Clothing!Q69</f>
        <v>2</v>
      </c>
      <c r="I1113" s="224">
        <f>Clothing!R69</f>
        <v>2</v>
      </c>
      <c r="J1113" s="224">
        <f>Clothing!S69</f>
        <v>2</v>
      </c>
      <c r="K1113" s="499">
        <f t="shared" si="18"/>
        <v>0.37356464144298934</v>
      </c>
      <c r="L1113" s="1208"/>
    </row>
    <row r="1114" spans="1:12">
      <c r="A1114" s="97" t="s">
        <v>2021</v>
      </c>
      <c r="B1114" s="68">
        <f>Clothing!B70</f>
        <v>2018</v>
      </c>
      <c r="C1114" s="304" t="str">
        <f>Clothing!C70</f>
        <v>OTHER</v>
      </c>
      <c r="D1114" s="68">
        <f>Clothing!N70</f>
        <v>18.013115635750822</v>
      </c>
      <c r="E1114" s="304" t="s">
        <v>2020</v>
      </c>
      <c r="F1114" s="972">
        <f>Clothing!O70</f>
        <v>1</v>
      </c>
      <c r="G1114" s="224">
        <f>Clothing!P70</f>
        <v>1</v>
      </c>
      <c r="H1114" s="224">
        <f>Clothing!Q70</f>
        <v>2</v>
      </c>
      <c r="I1114" s="224">
        <f>Clothing!R70</f>
        <v>2</v>
      </c>
      <c r="J1114" s="224">
        <f>Clothing!S70</f>
        <v>2</v>
      </c>
      <c r="K1114" s="499">
        <f t="shared" si="18"/>
        <v>0.37356464144298934</v>
      </c>
      <c r="L1114" s="1208"/>
    </row>
    <row r="1115" spans="1:12">
      <c r="A1115" s="97" t="s">
        <v>2021</v>
      </c>
      <c r="B1115" s="68">
        <f>Clothing!B71</f>
        <v>2018</v>
      </c>
      <c r="C1115" s="304" t="str">
        <f>Clothing!C71</f>
        <v>PA</v>
      </c>
      <c r="D1115" s="68">
        <f>Clothing!N71</f>
        <v>25.923942742399682</v>
      </c>
      <c r="E1115" s="304" t="s">
        <v>2020</v>
      </c>
      <c r="F1115" s="972">
        <f>Clothing!O71</f>
        <v>1</v>
      </c>
      <c r="G1115" s="224">
        <f>Clothing!P71</f>
        <v>1</v>
      </c>
      <c r="H1115" s="224">
        <f>Clothing!Q71</f>
        <v>2</v>
      </c>
      <c r="I1115" s="224">
        <f>Clothing!R71</f>
        <v>2</v>
      </c>
      <c r="J1115" s="224">
        <f>Clothing!S71</f>
        <v>2</v>
      </c>
      <c r="K1115" s="499">
        <f t="shared" si="18"/>
        <v>0.37356464144298934</v>
      </c>
      <c r="L1115" s="1208"/>
    </row>
    <row r="1116" spans="1:12">
      <c r="A1116" s="97" t="s">
        <v>2021</v>
      </c>
      <c r="B1116" s="68">
        <f>Clothing!B72</f>
        <v>2018</v>
      </c>
      <c r="C1116" s="304" t="str">
        <f>Clothing!C72</f>
        <v>PET</v>
      </c>
      <c r="D1116" s="68">
        <f>Clothing!N72</f>
        <v>136.79287756531849</v>
      </c>
      <c r="E1116" s="304" t="s">
        <v>2020</v>
      </c>
      <c r="F1116" s="972">
        <f>Clothing!O72</f>
        <v>1</v>
      </c>
      <c r="G1116" s="224">
        <f>Clothing!P72</f>
        <v>1</v>
      </c>
      <c r="H1116" s="224">
        <f>Clothing!Q72</f>
        <v>2</v>
      </c>
      <c r="I1116" s="224">
        <f>Clothing!R72</f>
        <v>2</v>
      </c>
      <c r="J1116" s="224">
        <f>Clothing!S72</f>
        <v>2</v>
      </c>
      <c r="K1116" s="499">
        <f t="shared" si="18"/>
        <v>0.37356464144298934</v>
      </c>
      <c r="L1116" s="1208"/>
    </row>
    <row r="1117" spans="1:12">
      <c r="A1117" s="97" t="s">
        <v>2021</v>
      </c>
      <c r="B1117" s="68">
        <f>Clothing!B73</f>
        <v>2018</v>
      </c>
      <c r="C1117" s="304" t="str">
        <f>Clothing!C73</f>
        <v>PUR</v>
      </c>
      <c r="D1117" s="68">
        <f>Clothing!N73</f>
        <v>8.7971475995482908</v>
      </c>
      <c r="E1117" s="304" t="s">
        <v>2020</v>
      </c>
      <c r="F1117" s="972">
        <f>Clothing!O73</f>
        <v>1</v>
      </c>
      <c r="G1117" s="224">
        <f>Clothing!P73</f>
        <v>1</v>
      </c>
      <c r="H1117" s="224">
        <f>Clothing!Q73</f>
        <v>2</v>
      </c>
      <c r="I1117" s="224">
        <f>Clothing!R73</f>
        <v>2</v>
      </c>
      <c r="J1117" s="224">
        <f>Clothing!S73</f>
        <v>2</v>
      </c>
      <c r="K1117" s="499">
        <f t="shared" si="18"/>
        <v>0.37356464144298934</v>
      </c>
      <c r="L1117" s="1208"/>
    </row>
    <row r="1118" spans="1:12">
      <c r="A1118" s="97" t="s">
        <v>2021</v>
      </c>
      <c r="B1118" s="68">
        <f>Clothing!B74</f>
        <v>2018</v>
      </c>
      <c r="C1118" s="304" t="str">
        <f>Clothing!C74</f>
        <v>PVC</v>
      </c>
      <c r="D1118" s="68">
        <f>Clothing!N74</f>
        <v>5.707217698569572</v>
      </c>
      <c r="E1118" s="304" t="s">
        <v>2020</v>
      </c>
      <c r="F1118" s="972">
        <f>Clothing!O74</f>
        <v>1</v>
      </c>
      <c r="G1118" s="224">
        <f>Clothing!P74</f>
        <v>1</v>
      </c>
      <c r="H1118" s="224">
        <f>Clothing!Q74</f>
        <v>2</v>
      </c>
      <c r="I1118" s="224">
        <f>Clothing!R74</f>
        <v>2</v>
      </c>
      <c r="J1118" s="224">
        <f>Clothing!S74</f>
        <v>2</v>
      </c>
      <c r="K1118" s="499">
        <f t="shared" si="18"/>
        <v>0.37356464144298934</v>
      </c>
      <c r="L1118" s="1208"/>
    </row>
    <row r="1119" spans="1:12">
      <c r="A1119" s="97" t="s">
        <v>2021</v>
      </c>
      <c r="B1119" s="68">
        <f>Clothing!B75</f>
        <v>2018</v>
      </c>
      <c r="C1119" s="304" t="str">
        <f>Clothing!C75</f>
        <v>RUBBER</v>
      </c>
      <c r="D1119" s="68">
        <f>Clothing!N75</f>
        <v>12.508095398531545</v>
      </c>
      <c r="E1119" s="304" t="s">
        <v>2020</v>
      </c>
      <c r="F1119" s="972">
        <f>Clothing!O75</f>
        <v>1</v>
      </c>
      <c r="G1119" s="224">
        <f>Clothing!P75</f>
        <v>1</v>
      </c>
      <c r="H1119" s="224">
        <f>Clothing!Q75</f>
        <v>2</v>
      </c>
      <c r="I1119" s="224">
        <f>Clothing!R75</f>
        <v>2</v>
      </c>
      <c r="J1119" s="224">
        <f>Clothing!S75</f>
        <v>2</v>
      </c>
      <c r="K1119" s="499">
        <f t="shared" si="18"/>
        <v>0.37356464144298934</v>
      </c>
      <c r="L1119" s="1208"/>
    </row>
    <row r="1120" spans="1:12">
      <c r="A1120" s="97" t="s">
        <v>2021</v>
      </c>
      <c r="B1120" s="68">
        <f>Clothing!B76</f>
        <v>2019</v>
      </c>
      <c r="C1120" s="304" t="str">
        <f>Clothing!C76</f>
        <v>Acryl</v>
      </c>
      <c r="D1120" s="68">
        <f>Clothing!N76</f>
        <v>9.8435488323834601</v>
      </c>
      <c r="E1120" s="304" t="s">
        <v>2020</v>
      </c>
      <c r="F1120" s="972">
        <f>Clothing!O76</f>
        <v>1</v>
      </c>
      <c r="G1120" s="224">
        <f>Clothing!P76</f>
        <v>1</v>
      </c>
      <c r="H1120" s="224">
        <f>Clothing!Q76</f>
        <v>2</v>
      </c>
      <c r="I1120" s="224">
        <f>Clothing!R76</f>
        <v>2</v>
      </c>
      <c r="J1120" s="224">
        <f>Clothing!S76</f>
        <v>2</v>
      </c>
      <c r="K1120" s="499">
        <f t="shared" si="18"/>
        <v>0.37356464144298934</v>
      </c>
      <c r="L1120" s="1208"/>
    </row>
    <row r="1121" spans="1:12">
      <c r="A1121" s="97" t="s">
        <v>2021</v>
      </c>
      <c r="B1121" s="68">
        <f>Clothing!B77</f>
        <v>2019</v>
      </c>
      <c r="C1121" s="304" t="str">
        <f>Clothing!C77</f>
        <v>OTHER</v>
      </c>
      <c r="D1121" s="68">
        <f>Clothing!N77</f>
        <v>16.424289183112183</v>
      </c>
      <c r="E1121" s="304" t="s">
        <v>2020</v>
      </c>
      <c r="F1121" s="972">
        <f>Clothing!O77</f>
        <v>1</v>
      </c>
      <c r="G1121" s="224">
        <f>Clothing!P77</f>
        <v>1</v>
      </c>
      <c r="H1121" s="224">
        <f>Clothing!Q77</f>
        <v>2</v>
      </c>
      <c r="I1121" s="224">
        <f>Clothing!R77</f>
        <v>2</v>
      </c>
      <c r="J1121" s="224">
        <f>Clothing!S77</f>
        <v>2</v>
      </c>
      <c r="K1121" s="499">
        <f t="shared" si="18"/>
        <v>0.37356464144298934</v>
      </c>
      <c r="L1121" s="1208"/>
    </row>
    <row r="1122" spans="1:12">
      <c r="A1122" s="97" t="s">
        <v>2021</v>
      </c>
      <c r="B1122" s="68">
        <f>Clothing!B78</f>
        <v>2019</v>
      </c>
      <c r="C1122" s="304" t="str">
        <f>Clothing!C78</f>
        <v>PA</v>
      </c>
      <c r="D1122" s="68">
        <f>Clothing!N78</f>
        <v>23.45851272946809</v>
      </c>
      <c r="E1122" s="304" t="s">
        <v>2020</v>
      </c>
      <c r="F1122" s="972">
        <f>Clothing!O78</f>
        <v>1</v>
      </c>
      <c r="G1122" s="224">
        <f>Clothing!P78</f>
        <v>1</v>
      </c>
      <c r="H1122" s="224">
        <f>Clothing!Q78</f>
        <v>2</v>
      </c>
      <c r="I1122" s="224">
        <f>Clothing!R78</f>
        <v>2</v>
      </c>
      <c r="J1122" s="224">
        <f>Clothing!S78</f>
        <v>2</v>
      </c>
      <c r="K1122" s="499">
        <f t="shared" si="18"/>
        <v>0.37356464144298934</v>
      </c>
      <c r="L1122" s="1208"/>
    </row>
    <row r="1123" spans="1:12">
      <c r="A1123" s="97" t="s">
        <v>2021</v>
      </c>
      <c r="B1123" s="68">
        <f>Clothing!B79</f>
        <v>2019</v>
      </c>
      <c r="C1123" s="304" t="str">
        <f>Clothing!C79</f>
        <v>PET</v>
      </c>
      <c r="D1123" s="68">
        <f>Clothing!N79</f>
        <v>125.4894141405874</v>
      </c>
      <c r="E1123" s="304" t="s">
        <v>2020</v>
      </c>
      <c r="F1123" s="972">
        <f>Clothing!O79</f>
        <v>1</v>
      </c>
      <c r="G1123" s="224">
        <f>Clothing!P79</f>
        <v>1</v>
      </c>
      <c r="H1123" s="224">
        <f>Clothing!Q79</f>
        <v>2</v>
      </c>
      <c r="I1123" s="224">
        <f>Clothing!R79</f>
        <v>2</v>
      </c>
      <c r="J1123" s="224">
        <f>Clothing!S79</f>
        <v>2</v>
      </c>
      <c r="K1123" s="499">
        <f t="shared" si="18"/>
        <v>0.37356464144298934</v>
      </c>
      <c r="L1123" s="1208"/>
    </row>
    <row r="1124" spans="1:12">
      <c r="A1124" s="97" t="s">
        <v>2021</v>
      </c>
      <c r="B1124" s="68">
        <f>Clothing!B80</f>
        <v>2019</v>
      </c>
      <c r="C1124" s="304" t="str">
        <f>Clothing!C80</f>
        <v>PUR</v>
      </c>
      <c r="D1124" s="68">
        <f>Clothing!N80</f>
        <v>8.8089171010586362</v>
      </c>
      <c r="E1124" s="304" t="s">
        <v>2020</v>
      </c>
      <c r="F1124" s="972">
        <f>Clothing!O80</f>
        <v>1</v>
      </c>
      <c r="G1124" s="224">
        <f>Clothing!P80</f>
        <v>1</v>
      </c>
      <c r="H1124" s="224">
        <f>Clothing!Q80</f>
        <v>2</v>
      </c>
      <c r="I1124" s="224">
        <f>Clothing!R80</f>
        <v>2</v>
      </c>
      <c r="J1124" s="224">
        <f>Clothing!S80</f>
        <v>2</v>
      </c>
      <c r="K1124" s="499">
        <f t="shared" si="18"/>
        <v>0.37356464144298934</v>
      </c>
      <c r="L1124" s="1208"/>
    </row>
    <row r="1125" spans="1:12">
      <c r="A1125" s="97" t="s">
        <v>2021</v>
      </c>
      <c r="B1125" s="68">
        <f>Clothing!B81</f>
        <v>2019</v>
      </c>
      <c r="C1125" s="304" t="str">
        <f>Clothing!C81</f>
        <v>PVC</v>
      </c>
      <c r="D1125" s="68">
        <f>Clothing!N81</f>
        <v>5.6612112355543545</v>
      </c>
      <c r="E1125" s="304" t="s">
        <v>2020</v>
      </c>
      <c r="F1125" s="972">
        <f>Clothing!O81</f>
        <v>1</v>
      </c>
      <c r="G1125" s="224">
        <f>Clothing!P81</f>
        <v>1</v>
      </c>
      <c r="H1125" s="224">
        <f>Clothing!Q81</f>
        <v>2</v>
      </c>
      <c r="I1125" s="224">
        <f>Clothing!R81</f>
        <v>2</v>
      </c>
      <c r="J1125" s="224">
        <f>Clothing!S81</f>
        <v>2</v>
      </c>
      <c r="K1125" s="499">
        <f t="shared" si="18"/>
        <v>0.37356464144298934</v>
      </c>
      <c r="L1125" s="1208"/>
    </row>
    <row r="1126" spans="1:12">
      <c r="A1126" s="97" t="s">
        <v>2021</v>
      </c>
      <c r="B1126" s="68">
        <f>Clothing!B82</f>
        <v>2019</v>
      </c>
      <c r="C1126" s="304" t="str">
        <f>Clothing!C82</f>
        <v>RUBBER</v>
      </c>
      <c r="D1126" s="68">
        <f>Clothing!N82</f>
        <v>11.601345476587742</v>
      </c>
      <c r="E1126" s="304" t="s">
        <v>2020</v>
      </c>
      <c r="F1126" s="972">
        <f>Clothing!O82</f>
        <v>1</v>
      </c>
      <c r="G1126" s="224">
        <f>Clothing!P82</f>
        <v>1</v>
      </c>
      <c r="H1126" s="224">
        <f>Clothing!Q82</f>
        <v>2</v>
      </c>
      <c r="I1126" s="224">
        <f>Clothing!R82</f>
        <v>2</v>
      </c>
      <c r="J1126" s="224">
        <f>Clothing!S82</f>
        <v>2</v>
      </c>
      <c r="K1126" s="499">
        <f t="shared" si="18"/>
        <v>0.37356464144298934</v>
      </c>
      <c r="L1126" s="1208"/>
    </row>
    <row r="1127" spans="1:12">
      <c r="A1127" s="97" t="s">
        <v>2021</v>
      </c>
      <c r="B1127" s="68">
        <f>Clothing!B83</f>
        <v>2020</v>
      </c>
      <c r="C1127" s="304" t="str">
        <f>Clothing!C83</f>
        <v>Acryl</v>
      </c>
      <c r="D1127" s="68">
        <f>Clothing!N83</f>
        <v>4.5859809125068463</v>
      </c>
      <c r="E1127" s="304" t="s">
        <v>2020</v>
      </c>
      <c r="F1127" s="972">
        <f>Clothing!O83</f>
        <v>1</v>
      </c>
      <c r="G1127" s="224">
        <f>Clothing!P83</f>
        <v>1</v>
      </c>
      <c r="H1127" s="224">
        <f>Clothing!Q83</f>
        <v>2</v>
      </c>
      <c r="I1127" s="224">
        <f>Clothing!R83</f>
        <v>2</v>
      </c>
      <c r="J1127" s="224">
        <f>Clothing!S83</f>
        <v>2</v>
      </c>
      <c r="K1127" s="499">
        <f t="shared" si="18"/>
        <v>0.37356464144298934</v>
      </c>
      <c r="L1127" s="1208"/>
    </row>
    <row r="1128" spans="1:12">
      <c r="A1128" s="97" t="s">
        <v>2021</v>
      </c>
      <c r="B1128" s="68">
        <f>Clothing!B84</f>
        <v>2020</v>
      </c>
      <c r="C1128" s="304" t="str">
        <f>Clothing!C84</f>
        <v>OTHER</v>
      </c>
      <c r="D1128" s="68">
        <f>Clothing!N84</f>
        <v>6.5786115956147801</v>
      </c>
      <c r="E1128" s="304" t="s">
        <v>2020</v>
      </c>
      <c r="F1128" s="972">
        <f>Clothing!O84</f>
        <v>1</v>
      </c>
      <c r="G1128" s="224">
        <f>Clothing!P84</f>
        <v>1</v>
      </c>
      <c r="H1128" s="224">
        <f>Clothing!Q84</f>
        <v>2</v>
      </c>
      <c r="I1128" s="224">
        <f>Clothing!R84</f>
        <v>2</v>
      </c>
      <c r="J1128" s="224">
        <f>Clothing!S84</f>
        <v>2</v>
      </c>
      <c r="K1128" s="499">
        <f t="shared" si="18"/>
        <v>0.37356464144298934</v>
      </c>
      <c r="L1128" s="1208"/>
    </row>
    <row r="1129" spans="1:12">
      <c r="A1129" s="97" t="s">
        <v>2021</v>
      </c>
      <c r="B1129" s="68">
        <f>Clothing!B85</f>
        <v>2020</v>
      </c>
      <c r="C1129" s="304" t="str">
        <f>Clothing!C85</f>
        <v>PA</v>
      </c>
      <c r="D1129" s="68">
        <f>Clothing!N85</f>
        <v>9.0787744006396522</v>
      </c>
      <c r="E1129" s="304" t="s">
        <v>2020</v>
      </c>
      <c r="F1129" s="972">
        <f>Clothing!O85</f>
        <v>1</v>
      </c>
      <c r="G1129" s="224">
        <f>Clothing!P85</f>
        <v>1</v>
      </c>
      <c r="H1129" s="224">
        <f>Clothing!Q85</f>
        <v>2</v>
      </c>
      <c r="I1129" s="224">
        <f>Clothing!R85</f>
        <v>2</v>
      </c>
      <c r="J1129" s="224">
        <f>Clothing!S85</f>
        <v>2</v>
      </c>
      <c r="K1129" s="499">
        <f t="shared" si="18"/>
        <v>0.37356464144298934</v>
      </c>
      <c r="L1129" s="1208"/>
    </row>
    <row r="1130" spans="1:12">
      <c r="A1130" s="97" t="s">
        <v>2021</v>
      </c>
      <c r="B1130" s="68">
        <f>Clothing!B86</f>
        <v>2020</v>
      </c>
      <c r="C1130" s="304" t="str">
        <f>Clothing!C86</f>
        <v>PET</v>
      </c>
      <c r="D1130" s="68">
        <f>Clothing!N86</f>
        <v>48.250750903867512</v>
      </c>
      <c r="E1130" s="304" t="s">
        <v>2020</v>
      </c>
      <c r="F1130" s="972">
        <f>Clothing!O86</f>
        <v>1</v>
      </c>
      <c r="G1130" s="224">
        <f>Clothing!P86</f>
        <v>1</v>
      </c>
      <c r="H1130" s="224">
        <f>Clothing!Q86</f>
        <v>2</v>
      </c>
      <c r="I1130" s="224">
        <f>Clothing!R86</f>
        <v>2</v>
      </c>
      <c r="J1130" s="224">
        <f>Clothing!S86</f>
        <v>2</v>
      </c>
      <c r="K1130" s="499">
        <f t="shared" si="18"/>
        <v>0.37356464144298934</v>
      </c>
      <c r="L1130" s="1208"/>
    </row>
    <row r="1131" spans="1:12">
      <c r="A1131" s="97" t="s">
        <v>2021</v>
      </c>
      <c r="B1131" s="68">
        <f>Clothing!B87</f>
        <v>2020</v>
      </c>
      <c r="C1131" s="304" t="str">
        <f>Clothing!C87</f>
        <v>PUR</v>
      </c>
      <c r="D1131" s="68">
        <f>Clothing!N87</f>
        <v>6.1427614079732447</v>
      </c>
      <c r="E1131" s="304" t="s">
        <v>2020</v>
      </c>
      <c r="F1131" s="972">
        <f>Clothing!O87</f>
        <v>1</v>
      </c>
      <c r="G1131" s="224">
        <f>Clothing!P87</f>
        <v>1</v>
      </c>
      <c r="H1131" s="224">
        <f>Clothing!Q87</f>
        <v>2</v>
      </c>
      <c r="I1131" s="224">
        <f>Clothing!R87</f>
        <v>2</v>
      </c>
      <c r="J1131" s="224">
        <f>Clothing!S87</f>
        <v>2</v>
      </c>
      <c r="K1131" s="499">
        <f t="shared" si="18"/>
        <v>0.37356464144298934</v>
      </c>
      <c r="L1131" s="1208"/>
    </row>
    <row r="1132" spans="1:12">
      <c r="A1132" s="97" t="s">
        <v>2021</v>
      </c>
      <c r="B1132" s="68">
        <f>Clothing!B88</f>
        <v>2020</v>
      </c>
      <c r="C1132" s="304" t="str">
        <f>Clothing!C88</f>
        <v>PVC</v>
      </c>
      <c r="D1132" s="68">
        <f>Clothing!N88</f>
        <v>3.8557637144604473</v>
      </c>
      <c r="E1132" s="304" t="s">
        <v>2020</v>
      </c>
      <c r="F1132" s="972">
        <f>Clothing!O88</f>
        <v>1</v>
      </c>
      <c r="G1132" s="224">
        <f>Clothing!P88</f>
        <v>1</v>
      </c>
      <c r="H1132" s="224">
        <f>Clothing!Q88</f>
        <v>2</v>
      </c>
      <c r="I1132" s="224">
        <f>Clothing!R88</f>
        <v>2</v>
      </c>
      <c r="J1132" s="224">
        <f>Clothing!S88</f>
        <v>2</v>
      </c>
      <c r="K1132" s="499">
        <f t="shared" si="18"/>
        <v>0.37356464144298934</v>
      </c>
      <c r="L1132" s="1208"/>
    </row>
    <row r="1133" spans="1:12">
      <c r="A1133" s="97" t="s">
        <v>2021</v>
      </c>
      <c r="B1133" s="68">
        <f>Clothing!B89</f>
        <v>2020</v>
      </c>
      <c r="C1133" s="304" t="str">
        <f>Clothing!C89</f>
        <v>RUBBER</v>
      </c>
      <c r="D1133" s="68">
        <f>Clothing!N89</f>
        <v>6.6844557851669997</v>
      </c>
      <c r="E1133" s="304" t="s">
        <v>2020</v>
      </c>
      <c r="F1133" s="972">
        <f>Clothing!O89</f>
        <v>1</v>
      </c>
      <c r="G1133" s="224">
        <f>Clothing!P89</f>
        <v>1</v>
      </c>
      <c r="H1133" s="224">
        <f>Clothing!Q89</f>
        <v>2</v>
      </c>
      <c r="I1133" s="224">
        <f>Clothing!R89</f>
        <v>2</v>
      </c>
      <c r="J1133" s="224">
        <f>Clothing!S89</f>
        <v>2</v>
      </c>
      <c r="K1133" s="499">
        <f t="shared" si="18"/>
        <v>0.37356464144298934</v>
      </c>
      <c r="L1133" s="1208"/>
    </row>
    <row r="1134" spans="1:12">
      <c r="A1134" s="97" t="s">
        <v>2021</v>
      </c>
      <c r="B1134" s="68">
        <f>Clothing!B90</f>
        <v>2021</v>
      </c>
      <c r="C1134" s="304" t="str">
        <f>Clothing!C90</f>
        <v>Acryl</v>
      </c>
      <c r="D1134" s="68">
        <f>Clothing!N90</f>
        <v>5.6161085637920438</v>
      </c>
      <c r="E1134" s="304" t="s">
        <v>2020</v>
      </c>
      <c r="F1134" s="972">
        <f>Clothing!O90</f>
        <v>1</v>
      </c>
      <c r="G1134" s="224">
        <f>Clothing!P90</f>
        <v>1</v>
      </c>
      <c r="H1134" s="224">
        <f>Clothing!Q90</f>
        <v>2</v>
      </c>
      <c r="I1134" s="224">
        <f>Clothing!R90</f>
        <v>2</v>
      </c>
      <c r="J1134" s="224">
        <f>Clothing!S90</f>
        <v>2</v>
      </c>
      <c r="K1134" s="499">
        <f t="shared" si="18"/>
        <v>0.37356464144298934</v>
      </c>
      <c r="L1134" s="1208"/>
    </row>
    <row r="1135" spans="1:12">
      <c r="A1135" s="97" t="s">
        <v>2021</v>
      </c>
      <c r="B1135" s="68">
        <f>Clothing!B91</f>
        <v>2021</v>
      </c>
      <c r="C1135" s="304" t="str">
        <f>Clothing!C91</f>
        <v>OTHER</v>
      </c>
      <c r="D1135" s="68">
        <f>Clothing!N91</f>
        <v>6.5805077956322817</v>
      </c>
      <c r="E1135" s="304" t="s">
        <v>2020</v>
      </c>
      <c r="F1135" s="972">
        <f>Clothing!O91</f>
        <v>1</v>
      </c>
      <c r="G1135" s="224">
        <f>Clothing!P91</f>
        <v>1</v>
      </c>
      <c r="H1135" s="224">
        <f>Clothing!Q91</f>
        <v>2</v>
      </c>
      <c r="I1135" s="224">
        <f>Clothing!R91</f>
        <v>2</v>
      </c>
      <c r="J1135" s="224">
        <f>Clothing!S91</f>
        <v>2</v>
      </c>
      <c r="K1135" s="499">
        <f t="shared" si="18"/>
        <v>0.37356464144298934</v>
      </c>
      <c r="L1135" s="1208"/>
    </row>
    <row r="1136" spans="1:12">
      <c r="A1136" s="97" t="s">
        <v>2021</v>
      </c>
      <c r="B1136" s="68">
        <f>Clothing!B92</f>
        <v>2021</v>
      </c>
      <c r="C1136" s="304" t="str">
        <f>Clothing!C92</f>
        <v>PA</v>
      </c>
      <c r="D1136" s="68">
        <f>Clothing!N92</f>
        <v>9.1729945723551705</v>
      </c>
      <c r="E1136" s="304" t="s">
        <v>2020</v>
      </c>
      <c r="F1136" s="972">
        <f>Clothing!O92</f>
        <v>1</v>
      </c>
      <c r="G1136" s="224">
        <f>Clothing!P92</f>
        <v>1</v>
      </c>
      <c r="H1136" s="224">
        <f>Clothing!Q92</f>
        <v>2</v>
      </c>
      <c r="I1136" s="224">
        <f>Clothing!R92</f>
        <v>2</v>
      </c>
      <c r="J1136" s="224">
        <f>Clothing!S92</f>
        <v>2</v>
      </c>
      <c r="K1136" s="499">
        <f t="shared" si="18"/>
        <v>0.37356464144298934</v>
      </c>
      <c r="L1136" s="1208"/>
    </row>
    <row r="1137" spans="1:12">
      <c r="A1137" s="97" t="s">
        <v>2021</v>
      </c>
      <c r="B1137" s="68">
        <f>Clothing!B93</f>
        <v>2021</v>
      </c>
      <c r="C1137" s="304" t="str">
        <f>Clothing!C93</f>
        <v>PET</v>
      </c>
      <c r="D1137" s="68">
        <f>Clothing!N93</f>
        <v>50.872845672105207</v>
      </c>
      <c r="E1137" s="304" t="s">
        <v>2020</v>
      </c>
      <c r="F1137" s="972">
        <f>Clothing!O93</f>
        <v>1</v>
      </c>
      <c r="G1137" s="224">
        <f>Clothing!P93</f>
        <v>1</v>
      </c>
      <c r="H1137" s="224">
        <f>Clothing!Q93</f>
        <v>2</v>
      </c>
      <c r="I1137" s="224">
        <f>Clothing!R93</f>
        <v>2</v>
      </c>
      <c r="J1137" s="224">
        <f>Clothing!S93</f>
        <v>2</v>
      </c>
      <c r="K1137" s="499">
        <f t="shared" si="18"/>
        <v>0.37356464144298934</v>
      </c>
      <c r="L1137" s="1208"/>
    </row>
    <row r="1138" spans="1:12">
      <c r="A1138" s="97" t="s">
        <v>2021</v>
      </c>
      <c r="B1138" s="68">
        <f>Clothing!B94</f>
        <v>2021</v>
      </c>
      <c r="C1138" s="304" t="str">
        <f>Clothing!C94</f>
        <v>PUR</v>
      </c>
      <c r="D1138" s="68">
        <f>Clothing!N94</f>
        <v>5.9453102773179474</v>
      </c>
      <c r="E1138" s="304" t="s">
        <v>2020</v>
      </c>
      <c r="F1138" s="972">
        <f>Clothing!O94</f>
        <v>1</v>
      </c>
      <c r="G1138" s="224">
        <f>Clothing!P94</f>
        <v>1</v>
      </c>
      <c r="H1138" s="224">
        <f>Clothing!Q94</f>
        <v>2</v>
      </c>
      <c r="I1138" s="224">
        <f>Clothing!R94</f>
        <v>2</v>
      </c>
      <c r="J1138" s="224">
        <f>Clothing!S94</f>
        <v>2</v>
      </c>
      <c r="K1138" s="499">
        <f t="shared" si="18"/>
        <v>0.37356464144298934</v>
      </c>
      <c r="L1138" s="1208"/>
    </row>
    <row r="1139" spans="1:12">
      <c r="A1139" s="97" t="s">
        <v>2021</v>
      </c>
      <c r="B1139" s="68">
        <f>Clothing!B95</f>
        <v>2021</v>
      </c>
      <c r="C1139" s="304" t="str">
        <f>Clothing!C95</f>
        <v>PVC</v>
      </c>
      <c r="D1139" s="68">
        <f>Clothing!N95</f>
        <v>3.7767024424573439</v>
      </c>
      <c r="E1139" s="304" t="s">
        <v>2020</v>
      </c>
      <c r="F1139" s="972">
        <f>Clothing!O95</f>
        <v>1</v>
      </c>
      <c r="G1139" s="224">
        <f>Clothing!P95</f>
        <v>1</v>
      </c>
      <c r="H1139" s="224">
        <f>Clothing!Q95</f>
        <v>2</v>
      </c>
      <c r="I1139" s="224">
        <f>Clothing!R95</f>
        <v>2</v>
      </c>
      <c r="J1139" s="224">
        <f>Clothing!S95</f>
        <v>2</v>
      </c>
      <c r="K1139" s="499">
        <f t="shared" si="18"/>
        <v>0.37356464144298934</v>
      </c>
      <c r="L1139" s="1208"/>
    </row>
    <row r="1140" spans="1:12">
      <c r="A1140" s="97" t="s">
        <v>2021</v>
      </c>
      <c r="B1140" s="68">
        <f>Clothing!B96</f>
        <v>2021</v>
      </c>
      <c r="C1140" s="304" t="str">
        <f>Clothing!C96</f>
        <v>RUBBER</v>
      </c>
      <c r="D1140" s="68">
        <f>Clothing!N96</f>
        <v>7.2186209683208107</v>
      </c>
      <c r="E1140" s="304" t="s">
        <v>2020</v>
      </c>
      <c r="F1140" s="972">
        <f>Clothing!O96</f>
        <v>1</v>
      </c>
      <c r="G1140" s="224">
        <f>Clothing!P96</f>
        <v>1</v>
      </c>
      <c r="H1140" s="224">
        <f>Clothing!Q96</f>
        <v>2</v>
      </c>
      <c r="I1140" s="224">
        <f>Clothing!R96</f>
        <v>2</v>
      </c>
      <c r="J1140" s="224">
        <f>Clothing!S96</f>
        <v>2</v>
      </c>
      <c r="K1140" s="499">
        <f t="shared" si="18"/>
        <v>0.37356464144298934</v>
      </c>
      <c r="L1140" s="1208"/>
    </row>
    <row r="1141" spans="1:12">
      <c r="A1141" s="97" t="s">
        <v>2021</v>
      </c>
      <c r="B1141" s="68">
        <f>Clothing!B97</f>
        <v>2022</v>
      </c>
      <c r="C1141" s="304" t="str">
        <f>Clothing!C97</f>
        <v>Acryl</v>
      </c>
      <c r="D1141" s="68">
        <f>Clothing!N97</f>
        <v>9.761650601433864</v>
      </c>
      <c r="E1141" s="304" t="s">
        <v>2020</v>
      </c>
      <c r="F1141" s="972">
        <f>Clothing!O97</f>
        <v>1</v>
      </c>
      <c r="G1141" s="224">
        <f>Clothing!P97</f>
        <v>1</v>
      </c>
      <c r="H1141" s="224">
        <f>Clothing!Q97</f>
        <v>2</v>
      </c>
      <c r="I1141" s="224">
        <f>Clothing!R97</f>
        <v>2</v>
      </c>
      <c r="J1141" s="224">
        <f>Clothing!S97</f>
        <v>2</v>
      </c>
      <c r="K1141" s="499">
        <f t="shared" si="18"/>
        <v>0.37356464144298934</v>
      </c>
      <c r="L1141" s="1208"/>
    </row>
    <row r="1142" spans="1:12">
      <c r="A1142" s="97" t="s">
        <v>2021</v>
      </c>
      <c r="B1142" s="68">
        <f>Clothing!B98</f>
        <v>2022</v>
      </c>
      <c r="C1142" s="304" t="str">
        <f>Clothing!C98</f>
        <v>OTHER</v>
      </c>
      <c r="D1142" s="68">
        <f>Clothing!N98</f>
        <v>15.227243691565498</v>
      </c>
      <c r="E1142" s="304" t="s">
        <v>2020</v>
      </c>
      <c r="F1142" s="972">
        <f>Clothing!O98</f>
        <v>1</v>
      </c>
      <c r="G1142" s="224">
        <f>Clothing!P98</f>
        <v>1</v>
      </c>
      <c r="H1142" s="224">
        <f>Clothing!Q98</f>
        <v>2</v>
      </c>
      <c r="I1142" s="224">
        <f>Clothing!R98</f>
        <v>2</v>
      </c>
      <c r="J1142" s="224">
        <f>Clothing!S98</f>
        <v>2</v>
      </c>
      <c r="K1142" s="499">
        <f t="shared" si="18"/>
        <v>0.37356464144298934</v>
      </c>
      <c r="L1142" s="1208"/>
    </row>
    <row r="1143" spans="1:12">
      <c r="A1143" s="97" t="s">
        <v>2021</v>
      </c>
      <c r="B1143" s="68">
        <f>Clothing!B99</f>
        <v>2022</v>
      </c>
      <c r="C1143" s="304" t="str">
        <f>Clothing!C99</f>
        <v>PA</v>
      </c>
      <c r="D1143" s="68">
        <f>Clothing!N99</f>
        <v>20.042975979561387</v>
      </c>
      <c r="E1143" s="304" t="s">
        <v>2020</v>
      </c>
      <c r="F1143" s="972">
        <f>Clothing!O99</f>
        <v>1</v>
      </c>
      <c r="G1143" s="224">
        <f>Clothing!P99</f>
        <v>1</v>
      </c>
      <c r="H1143" s="224">
        <f>Clothing!Q99</f>
        <v>2</v>
      </c>
      <c r="I1143" s="224">
        <f>Clothing!R99</f>
        <v>2</v>
      </c>
      <c r="J1143" s="224">
        <f>Clothing!S99</f>
        <v>2</v>
      </c>
      <c r="K1143" s="499">
        <f t="shared" si="18"/>
        <v>0.37356464144298934</v>
      </c>
      <c r="L1143" s="1208"/>
    </row>
    <row r="1144" spans="1:12">
      <c r="A1144" s="97" t="s">
        <v>2021</v>
      </c>
      <c r="B1144" s="68">
        <f>Clothing!B100</f>
        <v>2022</v>
      </c>
      <c r="C1144" s="304" t="str">
        <f>Clothing!C100</f>
        <v>PET</v>
      </c>
      <c r="D1144" s="68">
        <f>Clothing!N100</f>
        <v>103.49376237698202</v>
      </c>
      <c r="E1144" s="304" t="s">
        <v>2020</v>
      </c>
      <c r="F1144" s="972">
        <f>Clothing!O100</f>
        <v>1</v>
      </c>
      <c r="G1144" s="224">
        <f>Clothing!P100</f>
        <v>1</v>
      </c>
      <c r="H1144" s="224">
        <f>Clothing!Q100</f>
        <v>2</v>
      </c>
      <c r="I1144" s="224">
        <f>Clothing!R100</f>
        <v>2</v>
      </c>
      <c r="J1144" s="224">
        <f>Clothing!S100</f>
        <v>2</v>
      </c>
      <c r="K1144" s="499">
        <f t="shared" si="18"/>
        <v>0.37356464144298934</v>
      </c>
      <c r="L1144" s="1208"/>
    </row>
    <row r="1145" spans="1:12">
      <c r="A1145" s="97" t="s">
        <v>2021</v>
      </c>
      <c r="B1145" s="68">
        <f>Clothing!B101</f>
        <v>2022</v>
      </c>
      <c r="C1145" s="304" t="str">
        <f>Clothing!C101</f>
        <v>PUR</v>
      </c>
      <c r="D1145" s="68">
        <f>Clothing!N101</f>
        <v>9.0711807032870055</v>
      </c>
      <c r="E1145" s="304" t="s">
        <v>2020</v>
      </c>
      <c r="F1145" s="972">
        <f>Clothing!O101</f>
        <v>1</v>
      </c>
      <c r="G1145" s="224">
        <f>Clothing!P101</f>
        <v>1</v>
      </c>
      <c r="H1145" s="224">
        <f>Clothing!Q101</f>
        <v>2</v>
      </c>
      <c r="I1145" s="224">
        <f>Clothing!R101</f>
        <v>2</v>
      </c>
      <c r="J1145" s="224">
        <f>Clothing!S101</f>
        <v>2</v>
      </c>
      <c r="K1145" s="499">
        <f t="shared" si="18"/>
        <v>0.37356464144298934</v>
      </c>
      <c r="L1145" s="1208"/>
    </row>
    <row r="1146" spans="1:12">
      <c r="A1146" s="97" t="s">
        <v>2021</v>
      </c>
      <c r="B1146" s="68">
        <f>Clothing!B102</f>
        <v>2022</v>
      </c>
      <c r="C1146" s="304" t="str">
        <f>Clothing!C102</f>
        <v>PVC</v>
      </c>
      <c r="D1146" s="68">
        <f>Clothing!N102</f>
        <v>5.8575658803403581</v>
      </c>
      <c r="E1146" s="304" t="s">
        <v>2020</v>
      </c>
      <c r="F1146" s="972">
        <f>Clothing!O102</f>
        <v>1</v>
      </c>
      <c r="G1146" s="224">
        <f>Clothing!P102</f>
        <v>1</v>
      </c>
      <c r="H1146" s="224">
        <f>Clothing!Q102</f>
        <v>2</v>
      </c>
      <c r="I1146" s="224">
        <f>Clothing!R102</f>
        <v>2</v>
      </c>
      <c r="J1146" s="224">
        <f>Clothing!S102</f>
        <v>2</v>
      </c>
      <c r="K1146" s="499">
        <f t="shared" si="18"/>
        <v>0.37356464144298934</v>
      </c>
      <c r="L1146" s="1208"/>
    </row>
    <row r="1147" spans="1:12" ht="15" thickBot="1">
      <c r="A1147" s="98" t="s">
        <v>2021</v>
      </c>
      <c r="B1147" s="72">
        <f>Clothing!B103</f>
        <v>2022</v>
      </c>
      <c r="C1147" s="317" t="str">
        <f>Clothing!C103</f>
        <v>RUBBER</v>
      </c>
      <c r="D1147" s="72">
        <f>Clothing!N103</f>
        <v>12.302518511190634</v>
      </c>
      <c r="E1147" s="317" t="s">
        <v>2020</v>
      </c>
      <c r="F1147" s="937">
        <f>Clothing!O103</f>
        <v>1</v>
      </c>
      <c r="G1147" s="934">
        <f>Clothing!P103</f>
        <v>1</v>
      </c>
      <c r="H1147" s="934">
        <f>Clothing!Q103</f>
        <v>2</v>
      </c>
      <c r="I1147" s="934">
        <f>Clothing!R103</f>
        <v>2</v>
      </c>
      <c r="J1147" s="934">
        <f>Clothing!S103</f>
        <v>2</v>
      </c>
      <c r="K1147" s="500">
        <f t="shared" si="18"/>
        <v>0.37356464144298934</v>
      </c>
      <c r="L1147" s="1209"/>
    </row>
    <row r="1148" spans="1:12">
      <c r="A1148" s="7"/>
      <c r="B1148" s="6"/>
      <c r="C1148" s="7"/>
      <c r="D1148" s="6"/>
      <c r="E1148" s="364"/>
    </row>
    <row r="1149" spans="1:12">
      <c r="A1149" s="7"/>
      <c r="B1149" s="6"/>
      <c r="C1149" s="7"/>
      <c r="D1149" s="6"/>
      <c r="E1149" s="364"/>
    </row>
    <row r="1150" spans="1:12">
      <c r="A1150" s="7"/>
      <c r="B1150" s="6"/>
      <c r="C1150" s="7"/>
      <c r="D1150" s="6"/>
      <c r="E1150" s="364"/>
    </row>
    <row r="1151" spans="1:12">
      <c r="A1151" s="7"/>
      <c r="B1151" s="6"/>
      <c r="C1151" s="7"/>
      <c r="D1151" s="6"/>
      <c r="E1151" s="364"/>
    </row>
    <row r="1152" spans="1:12">
      <c r="A1152" s="7"/>
      <c r="B1152" s="6"/>
      <c r="C1152" s="7"/>
      <c r="D1152" s="6"/>
      <c r="E1152" s="364"/>
    </row>
    <row r="1153" spans="1:5">
      <c r="A1153" s="7"/>
      <c r="B1153" s="6"/>
      <c r="C1153" s="7"/>
      <c r="D1153" s="6"/>
      <c r="E1153" s="364"/>
    </row>
    <row r="1154" spans="1:5">
      <c r="A1154" s="7"/>
      <c r="B1154" s="6"/>
      <c r="C1154" s="7"/>
      <c r="D1154" s="6"/>
      <c r="E1154" s="364"/>
    </row>
    <row r="1155" spans="1:5">
      <c r="A1155" s="7"/>
      <c r="B1155" s="6"/>
      <c r="C1155" s="7"/>
      <c r="D1155" s="6"/>
      <c r="E1155" s="364"/>
    </row>
    <row r="1156" spans="1:5">
      <c r="A1156" s="7"/>
      <c r="B1156" s="6"/>
      <c r="C1156" s="7"/>
      <c r="D1156" s="6"/>
      <c r="E1156" s="364"/>
    </row>
  </sheetData>
  <autoFilter ref="A1:L1147" xr:uid="{DFD55F35-1BE8-491D-A5D1-66586526783F}"/>
  <phoneticPr fontId="22" type="noConversion"/>
  <conditionalFormatting sqref="D1">
    <cfRule type="cellIs" dxfId="227" priority="46" operator="greaterThan">
      <formula>0</formula>
    </cfRule>
    <cfRule type="cellIs" dxfId="226" priority="47" operator="equal">
      <formula>0</formula>
    </cfRule>
  </conditionalFormatting>
  <conditionalFormatting sqref="D812:D1048576">
    <cfRule type="cellIs" dxfId="225" priority="11" operator="greaterThan">
      <formula>0</formula>
    </cfRule>
    <cfRule type="cellIs" dxfId="224" priority="12" operator="equal">
      <formula>0</formula>
    </cfRule>
  </conditionalFormatting>
  <conditionalFormatting sqref="F2:J2">
    <cfRule type="dataBar" priority="116">
      <dataBar>
        <cfvo type="min"/>
        <cfvo type="num" val="4"/>
        <color rgb="FFFFC000"/>
      </dataBar>
      <extLst>
        <ext xmlns:x14="http://schemas.microsoft.com/office/spreadsheetml/2009/9/main" uri="{B025F937-C7B1-47D3-B67F-A62EFF666E3E}">
          <x14:id>{CD730401-8902-4D03-822C-05794E09E6C3}</x14:id>
        </ext>
      </extLst>
    </cfRule>
  </conditionalFormatting>
  <conditionalFormatting sqref="F10:J21">
    <cfRule type="dataBar" priority="8093">
      <dataBar>
        <cfvo type="min"/>
        <cfvo type="num" val="4"/>
        <color rgb="FFFFC000"/>
      </dataBar>
      <extLst>
        <ext xmlns:x14="http://schemas.microsoft.com/office/spreadsheetml/2009/9/main" uri="{B025F937-C7B1-47D3-B67F-A62EFF666E3E}">
          <x14:id>{373FBC6C-9ABE-469B-A09A-F9D659EDEBAD}</x14:id>
        </ext>
      </extLst>
    </cfRule>
  </conditionalFormatting>
  <conditionalFormatting sqref="F22:J73">
    <cfRule type="dataBar" priority="7214">
      <dataBar>
        <cfvo type="min"/>
        <cfvo type="num" val="4"/>
        <color rgb="FFFFC000"/>
      </dataBar>
      <extLst>
        <ext xmlns:x14="http://schemas.microsoft.com/office/spreadsheetml/2009/9/main" uri="{B025F937-C7B1-47D3-B67F-A62EFF666E3E}">
          <x14:id>{A7D252E5-B8F2-41AD-B07F-1F308CA5F21E}</x14:id>
        </ext>
      </extLst>
    </cfRule>
  </conditionalFormatting>
  <conditionalFormatting sqref="F74:J81 F3:J9">
    <cfRule type="dataBar" priority="3815">
      <dataBar>
        <cfvo type="min"/>
        <cfvo type="num" val="4"/>
        <color rgb="FFFFC000"/>
      </dataBar>
      <extLst>
        <ext xmlns:x14="http://schemas.microsoft.com/office/spreadsheetml/2009/9/main" uri="{B025F937-C7B1-47D3-B67F-A62EFF666E3E}">
          <x14:id>{7A243A7B-BB4E-4A10-B6FE-A08AD24404BB}</x14:id>
        </ext>
      </extLst>
    </cfRule>
  </conditionalFormatting>
  <conditionalFormatting sqref="F82:J101">
    <cfRule type="dataBar" priority="23">
      <dataBar>
        <cfvo type="min"/>
        <cfvo type="num" val="4"/>
        <color rgb="FFFFC000"/>
      </dataBar>
      <extLst>
        <ext xmlns:x14="http://schemas.microsoft.com/office/spreadsheetml/2009/9/main" uri="{B025F937-C7B1-47D3-B67F-A62EFF666E3E}">
          <x14:id>{583E9E55-5882-441F-A54E-71FD12E7BE9F}</x14:id>
        </ext>
      </extLst>
    </cfRule>
  </conditionalFormatting>
  <conditionalFormatting sqref="F82:J109">
    <cfRule type="cellIs" dxfId="223" priority="19" stopIfTrue="1" operator="notBetween">
      <formula>1</formula>
      <formula>4</formula>
    </cfRule>
  </conditionalFormatting>
  <conditionalFormatting sqref="F102:J109">
    <cfRule type="dataBar" priority="20">
      <dataBar>
        <cfvo type="min"/>
        <cfvo type="num" val="4"/>
        <color rgb="FFFFC000"/>
      </dataBar>
      <extLst>
        <ext xmlns:x14="http://schemas.microsoft.com/office/spreadsheetml/2009/9/main" uri="{B025F937-C7B1-47D3-B67F-A62EFF666E3E}">
          <x14:id>{E74C1F7C-0664-4503-8E0D-4379C8D3C8BB}</x14:id>
        </ext>
      </extLst>
    </cfRule>
  </conditionalFormatting>
  <conditionalFormatting sqref="F110:J460">
    <cfRule type="dataBar" priority="17">
      <dataBar>
        <cfvo type="min"/>
        <cfvo type="num" val="4"/>
        <color rgb="FFFFC000"/>
      </dataBar>
      <extLst>
        <ext xmlns:x14="http://schemas.microsoft.com/office/spreadsheetml/2009/9/main" uri="{B025F937-C7B1-47D3-B67F-A62EFF666E3E}">
          <x14:id>{7C9416CB-1198-4041-A290-6CB6DE342E1F}</x14:id>
        </ext>
      </extLst>
    </cfRule>
  </conditionalFormatting>
  <conditionalFormatting sqref="F461:J811">
    <cfRule type="dataBar" priority="14">
      <dataBar>
        <cfvo type="min"/>
        <cfvo type="num" val="4"/>
        <color rgb="FFFFC000"/>
      </dataBar>
      <extLst>
        <ext xmlns:x14="http://schemas.microsoft.com/office/spreadsheetml/2009/9/main" uri="{B025F937-C7B1-47D3-B67F-A62EFF666E3E}">
          <x14:id>{F249D597-EF36-456A-85A0-7911B7560335}</x14:id>
        </ext>
      </extLst>
    </cfRule>
  </conditionalFormatting>
  <conditionalFormatting sqref="F812:J812">
    <cfRule type="dataBar" priority="10">
      <dataBar>
        <cfvo type="min"/>
        <cfvo type="num" val="4"/>
        <color rgb="FFFFC000"/>
      </dataBar>
      <extLst>
        <ext xmlns:x14="http://schemas.microsoft.com/office/spreadsheetml/2009/9/main" uri="{B025F937-C7B1-47D3-B67F-A62EFF666E3E}">
          <x14:id>{A993CA9D-F400-4210-9A53-862DC336DB85}</x14:id>
        </ext>
      </extLst>
    </cfRule>
  </conditionalFormatting>
  <conditionalFormatting sqref="F812:J895">
    <cfRule type="containsBlanks" dxfId="222" priority="7">
      <formula>LEN(TRIM(F812))=0</formula>
    </cfRule>
  </conditionalFormatting>
  <conditionalFormatting sqref="F813:J895">
    <cfRule type="dataBar" priority="8">
      <dataBar>
        <cfvo type="min"/>
        <cfvo type="num" val="4"/>
        <color rgb="FFFFC000"/>
      </dataBar>
      <extLst>
        <ext xmlns:x14="http://schemas.microsoft.com/office/spreadsheetml/2009/9/main" uri="{B025F937-C7B1-47D3-B67F-A62EFF666E3E}">
          <x14:id>{15A7EADD-A692-4A1A-9D45-AE23E014A056}</x14:id>
        </ext>
      </extLst>
    </cfRule>
  </conditionalFormatting>
  <conditionalFormatting sqref="F2:K811 K796:K1147">
    <cfRule type="containsBlanks" dxfId="221" priority="13">
      <formula>LEN(TRIM(F2))=0</formula>
    </cfRule>
  </conditionalFormatting>
  <conditionalFormatting sqref="K22:K73">
    <cfRule type="dataBar" priority="7216">
      <dataBar>
        <cfvo type="min"/>
        <cfvo type="max"/>
        <color rgb="FF3FCDFF"/>
      </dataBar>
      <extLst>
        <ext xmlns:x14="http://schemas.microsoft.com/office/spreadsheetml/2009/9/main" uri="{B025F937-C7B1-47D3-B67F-A62EFF666E3E}">
          <x14:id>{FE7DBF0D-941C-4038-BE7B-F34D3059124E}</x14:id>
        </ext>
      </extLst>
    </cfRule>
  </conditionalFormatting>
  <conditionalFormatting sqref="K74:K81 K2:K9">
    <cfRule type="dataBar" priority="3818">
      <dataBar>
        <cfvo type="min"/>
        <cfvo type="max"/>
        <color rgb="FF3FCDFF"/>
      </dataBar>
      <extLst>
        <ext xmlns:x14="http://schemas.microsoft.com/office/spreadsheetml/2009/9/main" uri="{B025F937-C7B1-47D3-B67F-A62EFF666E3E}">
          <x14:id>{1C3EE34C-34B6-4D04-9474-1D4325C46CC9}</x14:id>
        </ext>
      </extLst>
    </cfRule>
  </conditionalFormatting>
  <conditionalFormatting sqref="K82:K109 K10:K21">
    <cfRule type="dataBar" priority="34">
      <dataBar>
        <cfvo type="min"/>
        <cfvo type="max"/>
        <color rgb="FF3FCDFF"/>
      </dataBar>
      <extLst>
        <ext xmlns:x14="http://schemas.microsoft.com/office/spreadsheetml/2009/9/main" uri="{B025F937-C7B1-47D3-B67F-A62EFF666E3E}">
          <x14:id>{C09D56A9-B46C-45CA-B496-ED5644F389C8}</x14:id>
        </ext>
      </extLst>
    </cfRule>
  </conditionalFormatting>
  <conditionalFormatting sqref="K110:K1147">
    <cfRule type="dataBar" priority="16">
      <dataBar>
        <cfvo type="min"/>
        <cfvo type="max"/>
        <color rgb="FF3FCDFF"/>
      </dataBar>
      <extLst>
        <ext xmlns:x14="http://schemas.microsoft.com/office/spreadsheetml/2009/9/main" uri="{B025F937-C7B1-47D3-B67F-A62EFF666E3E}">
          <x14:id>{E9D6D587-DDCF-4145-8CFF-891B53F1666F}</x14:id>
        </ext>
      </extLst>
    </cfRule>
  </conditionalFormatting>
  <conditionalFormatting sqref="F896:J979">
    <cfRule type="containsBlanks" dxfId="220" priority="5">
      <formula>LEN(TRIM(F896))=0</formula>
    </cfRule>
  </conditionalFormatting>
  <conditionalFormatting sqref="F896:J979">
    <cfRule type="dataBar" priority="6">
      <dataBar>
        <cfvo type="min"/>
        <cfvo type="num" val="4"/>
        <color rgb="FFFFC000"/>
      </dataBar>
      <extLst>
        <ext xmlns:x14="http://schemas.microsoft.com/office/spreadsheetml/2009/9/main" uri="{B025F937-C7B1-47D3-B67F-A62EFF666E3E}">
          <x14:id>{B0B9B783-55C3-4EA3-BC96-FA83EEFC485C}</x14:id>
        </ext>
      </extLst>
    </cfRule>
  </conditionalFormatting>
  <conditionalFormatting sqref="F980:J1063">
    <cfRule type="containsBlanks" dxfId="219" priority="3">
      <formula>LEN(TRIM(F980))=0</formula>
    </cfRule>
  </conditionalFormatting>
  <conditionalFormatting sqref="F980:J1063">
    <cfRule type="dataBar" priority="4">
      <dataBar>
        <cfvo type="min"/>
        <cfvo type="num" val="4"/>
        <color rgb="FFFFC000"/>
      </dataBar>
      <extLst>
        <ext xmlns:x14="http://schemas.microsoft.com/office/spreadsheetml/2009/9/main" uri="{B025F937-C7B1-47D3-B67F-A62EFF666E3E}">
          <x14:id>{ECCBC17A-2A79-48CF-A133-76DCCAF9138B}</x14:id>
        </ext>
      </extLst>
    </cfRule>
  </conditionalFormatting>
  <conditionalFormatting sqref="F1064:J1147">
    <cfRule type="containsBlanks" dxfId="218" priority="1">
      <formula>LEN(TRIM(F1064))=0</formula>
    </cfRule>
  </conditionalFormatting>
  <conditionalFormatting sqref="F1064:J1147">
    <cfRule type="dataBar" priority="2">
      <dataBar>
        <cfvo type="min"/>
        <cfvo type="num" val="4"/>
        <color rgb="FFFFC000"/>
      </dataBar>
      <extLst>
        <ext xmlns:x14="http://schemas.microsoft.com/office/spreadsheetml/2009/9/main" uri="{B025F937-C7B1-47D3-B67F-A62EFF666E3E}">
          <x14:id>{D1965883-AF53-4E4B-B5D8-33B27A7CF271}</x14:id>
        </ext>
      </extLst>
    </cfRule>
  </conditionalFormatting>
  <hyperlinks>
    <hyperlink ref="E22:E73" r:id="rId1" display="https://ec.europa.eu/eurostat/databrowser/view/DS-056120__custom_5851448/default/table" xr:uid="{76E39BD6-0473-4CD6-8605-BBDABD25D3E2}"/>
    <hyperlink ref="E812" r:id="rId2" xr:uid="{73A5BA69-8977-4552-9FC5-4E08CA76F202}"/>
    <hyperlink ref="E813:E895" r:id="rId3" display="https://ec.europa.eu/eurostat/databrowser/view/DS-056120__custom_15192557/default/table?lang=en - Low estimate" xr:uid="{3626CA35-F7BC-4CD8-B533-18ED816287E8}"/>
    <hyperlink ref="E896" r:id="rId4" xr:uid="{8103C7D0-3AC5-4EA8-8931-5D5FC89F2B3B}"/>
    <hyperlink ref="E897" r:id="rId5" xr:uid="{F54B5008-BE0B-45D4-9CD0-6BCE9497D0A1}"/>
    <hyperlink ref="E898" r:id="rId6" xr:uid="{7DFD9BF4-C93F-4453-A4BB-340EFAFF508D}"/>
    <hyperlink ref="E899" r:id="rId7" xr:uid="{60788790-F74D-4BEF-A02C-01C51F7B6286}"/>
    <hyperlink ref="E900" r:id="rId8" xr:uid="{0877E031-E8EC-4A84-ACFE-CAB9268FC487}"/>
    <hyperlink ref="E901" r:id="rId9" xr:uid="{62744053-2624-43B9-9CBB-B248FDC13D44}"/>
    <hyperlink ref="E902" r:id="rId10" xr:uid="{D1CB0F05-FF18-4D46-955B-C030132CF4C2}"/>
    <hyperlink ref="E903" r:id="rId11" xr:uid="{4D9CEA75-0F6A-4711-88E2-40466A7D911C}"/>
    <hyperlink ref="E904" r:id="rId12" xr:uid="{724F2B47-E8EE-4B2C-A523-EDFED097207A}"/>
    <hyperlink ref="E905" r:id="rId13" xr:uid="{A6D3095B-03BB-43E3-B750-58CEA81EBD9D}"/>
    <hyperlink ref="E906" r:id="rId14" xr:uid="{EFDC8E06-5FA1-4651-8CD5-B9D1B365BAE8}"/>
    <hyperlink ref="E907" r:id="rId15" xr:uid="{D06738D1-A51C-4551-A0D6-149A0EDD178B}"/>
    <hyperlink ref="E908" r:id="rId16" xr:uid="{99CF3C05-D7F1-4D95-8263-F859A034222F}"/>
    <hyperlink ref="E909" r:id="rId17" xr:uid="{346B4E86-9FE4-4ECC-B831-2BAFB8599CC9}"/>
    <hyperlink ref="E910" r:id="rId18" xr:uid="{53244DC6-FFB6-479C-8694-372F0956F54C}"/>
    <hyperlink ref="E911" r:id="rId19" xr:uid="{C61F388A-D270-4381-BB9F-2978293E23A0}"/>
    <hyperlink ref="E912" r:id="rId20" xr:uid="{04873A3D-09C7-4A5C-8DEE-7DD07A92F546}"/>
    <hyperlink ref="E913" r:id="rId21" xr:uid="{B06AAFE2-942C-4419-910F-F1DAD2293A5F}"/>
    <hyperlink ref="E914" r:id="rId22" xr:uid="{FF1E823F-B74B-49F3-A118-240162F393E2}"/>
    <hyperlink ref="E915" r:id="rId23" xr:uid="{2D4C3BFE-0ABB-4275-BBF9-BE74BF614842}"/>
    <hyperlink ref="E916" r:id="rId24" xr:uid="{7F6E02F8-E097-4097-979B-D007658C9035}"/>
    <hyperlink ref="E917" r:id="rId25" xr:uid="{E43C20D5-F443-490E-94F7-44BBA8E023A8}"/>
    <hyperlink ref="E918" r:id="rId26" xr:uid="{9A08D332-8096-4E24-BEDD-6FEAC74020D9}"/>
    <hyperlink ref="E919" r:id="rId27" xr:uid="{52EDBC21-9597-4750-BE38-F4CE90DD7C68}"/>
    <hyperlink ref="E920" r:id="rId28" xr:uid="{7B755B01-AA34-4B52-B084-5EE072FB5E55}"/>
    <hyperlink ref="E921" r:id="rId29" xr:uid="{6DC26488-AC2B-4E86-AD55-F96D4662133B}"/>
    <hyperlink ref="E922" r:id="rId30" xr:uid="{B888CFAA-82DB-44F9-A472-81CF77384981}"/>
    <hyperlink ref="E923" r:id="rId31" xr:uid="{51415E83-3889-4561-83BA-3B13604A10F7}"/>
    <hyperlink ref="E924" r:id="rId32" xr:uid="{30D24D38-6136-4AF6-B213-F95AC1D04630}"/>
    <hyperlink ref="E925" r:id="rId33" xr:uid="{663A4EA5-9EEF-4DFD-8326-5292466C93E1}"/>
    <hyperlink ref="E926" r:id="rId34" xr:uid="{7782AB71-AE91-409B-8396-E11A03B0AE2A}"/>
    <hyperlink ref="E927" r:id="rId35" xr:uid="{7EE9FC09-8C7A-48E9-A687-4F9D709EC306}"/>
    <hyperlink ref="E928" r:id="rId36" xr:uid="{69C6819E-B70B-4A02-A427-5ED0F66E7D1B}"/>
    <hyperlink ref="E929" r:id="rId37" xr:uid="{5CDADE4E-E8E8-42EC-A803-169EF0160F72}"/>
    <hyperlink ref="E930" r:id="rId38" xr:uid="{B15377F0-C2A0-47B7-A802-A266AB81E7BB}"/>
    <hyperlink ref="E931" r:id="rId39" xr:uid="{64CA41D5-EAC5-4189-8F46-6A72C1EB377F}"/>
    <hyperlink ref="E932" r:id="rId40" xr:uid="{7935BBF5-192D-41E4-9580-5228F3F0AA7F}"/>
    <hyperlink ref="E933" r:id="rId41" xr:uid="{5819863D-F7DF-4E03-9CB5-BECC72BF0A0B}"/>
    <hyperlink ref="E934" r:id="rId42" xr:uid="{06D1B782-E9A1-4AB1-AD30-412D7502DF24}"/>
    <hyperlink ref="E935" r:id="rId43" xr:uid="{12196046-5908-41E4-A427-AB2A50C9400A}"/>
    <hyperlink ref="E936" r:id="rId44" xr:uid="{D473F001-0634-43E6-969F-1C560299DCB4}"/>
    <hyperlink ref="E937" r:id="rId45" xr:uid="{CCF84148-0B91-4251-97F9-E131878ED008}"/>
    <hyperlink ref="E938" r:id="rId46" xr:uid="{5DDE27A2-313F-4011-A582-C922E316FEF2}"/>
    <hyperlink ref="E939" r:id="rId47" xr:uid="{5CEDB5F4-4570-496A-83C8-F7778306BC9B}"/>
    <hyperlink ref="E940" r:id="rId48" xr:uid="{FC196DCF-6617-4646-ABA8-36C68A7FC98E}"/>
    <hyperlink ref="E941" r:id="rId49" xr:uid="{2FB14B0F-08E8-4196-A27D-FA9600B45813}"/>
    <hyperlink ref="E942" r:id="rId50" xr:uid="{E305AE44-6FA3-4055-8114-2B023F20DC45}"/>
    <hyperlink ref="E943" r:id="rId51" xr:uid="{8FC8EA15-70B2-48C5-9F63-F8E0F0FDBCBE}"/>
    <hyperlink ref="E944" r:id="rId52" xr:uid="{BB0C5B3A-A21C-4107-8216-B5CA4797E4FE}"/>
    <hyperlink ref="E945" r:id="rId53" xr:uid="{458866A0-CA40-4C88-A34A-3F2300626CFE}"/>
    <hyperlink ref="E946" r:id="rId54" xr:uid="{64981438-66B9-43B6-A93F-38C73DB1DC42}"/>
    <hyperlink ref="E947" r:id="rId55" xr:uid="{42FCE82B-243A-40C1-930E-4A2FC9474E51}"/>
    <hyperlink ref="E948" r:id="rId56" xr:uid="{D134DAF0-F464-4029-8F8F-CADC6174F136}"/>
    <hyperlink ref="E949" r:id="rId57" xr:uid="{2CF0BBBD-6895-4831-A487-B4F6ECF68D98}"/>
    <hyperlink ref="E950" r:id="rId58" xr:uid="{5A75149E-2E3B-4DC8-9878-F61BF354438C}"/>
    <hyperlink ref="E951" r:id="rId59" xr:uid="{9A34C2C6-889D-40E6-9700-1E468FAB86EA}"/>
    <hyperlink ref="E952" r:id="rId60" xr:uid="{FD2F95F7-ECA0-4DB1-8720-39FE7C02927B}"/>
    <hyperlink ref="E953" r:id="rId61" xr:uid="{DDF15CB0-A227-4869-8331-F60B79A98634}"/>
    <hyperlink ref="E954" r:id="rId62" xr:uid="{3E7BC117-4610-463F-A549-C52DCF9CCBC3}"/>
    <hyperlink ref="E955" r:id="rId63" xr:uid="{6ED25C76-B93A-4066-8BC2-E7A79EE6A16C}"/>
    <hyperlink ref="E956" r:id="rId64" xr:uid="{8E2E0356-82E9-4C47-BB6B-2A2037A3036C}"/>
    <hyperlink ref="E957" r:id="rId65" xr:uid="{67143C77-F7EC-4050-99FA-E10203A954D9}"/>
    <hyperlink ref="E958" r:id="rId66" xr:uid="{4559C502-8B9A-439E-B489-2E8709CF3529}"/>
    <hyperlink ref="E959" r:id="rId67" xr:uid="{E2DE69EA-4615-409E-B393-161BBDB182D6}"/>
    <hyperlink ref="E960" r:id="rId68" xr:uid="{C0FBC5B0-36E5-4902-BB75-BB4BE732F024}"/>
    <hyperlink ref="E961" r:id="rId69" xr:uid="{4F806B49-4212-4F40-A880-91DFF67911CF}"/>
    <hyperlink ref="E962" r:id="rId70" xr:uid="{3655BEA6-D1AA-4EE0-9C8F-8C8CD428009B}"/>
    <hyperlink ref="E963" r:id="rId71" xr:uid="{4CF71F50-E661-492F-AA28-A20F2E2B9CE2}"/>
    <hyperlink ref="E964" r:id="rId72" xr:uid="{227858E4-6716-487B-81F6-B5D408B820FD}"/>
    <hyperlink ref="E965" r:id="rId73" xr:uid="{DBD99FA7-627A-4DD8-9453-5017FB694FCF}"/>
    <hyperlink ref="E966" r:id="rId74" xr:uid="{697A5491-60EF-4BF9-9E30-2F169C1A7314}"/>
    <hyperlink ref="E967" r:id="rId75" xr:uid="{C837941C-54DB-41F4-9159-31660FD2D564}"/>
    <hyperlink ref="E968" r:id="rId76" xr:uid="{7DAB4E9E-CE7E-497B-91A0-E07754A6BADE}"/>
    <hyperlink ref="E969" r:id="rId77" xr:uid="{42A7EEC9-FFA5-4005-ADD5-BB94A67FCF20}"/>
    <hyperlink ref="E970" r:id="rId78" xr:uid="{5984BDBC-702B-4D20-86A4-5FE935B54695}"/>
    <hyperlink ref="E971" r:id="rId79" xr:uid="{7D224C79-3C94-4C92-BB8F-24F8D8D41888}"/>
    <hyperlink ref="E972" r:id="rId80" xr:uid="{B0B4428F-4FC1-49B7-85B6-DE92F349F818}"/>
    <hyperlink ref="E973" r:id="rId81" xr:uid="{D4301EE5-A2B8-41B4-9D9B-97FD76407349}"/>
    <hyperlink ref="E974" r:id="rId82" xr:uid="{D777A1A5-8831-421E-B7E3-A054ADF43E88}"/>
    <hyperlink ref="E975" r:id="rId83" xr:uid="{9D7CF7C6-A053-472E-8193-7B0C03410592}"/>
    <hyperlink ref="E976" r:id="rId84" xr:uid="{D0B59701-A2F6-4AFC-AA8C-652C691864E8}"/>
    <hyperlink ref="E977" r:id="rId85" xr:uid="{3B7B70C5-3A5D-4FA4-B6D1-4CF0BF66051B}"/>
    <hyperlink ref="E978" r:id="rId86" xr:uid="{517EEBAF-9EAA-4D1B-9A9C-F124B2B39248}"/>
    <hyperlink ref="E979" r:id="rId87" xr:uid="{CF6F58AC-03CD-49A6-B5D9-723DC13C13EB}"/>
    <hyperlink ref="E980" r:id="rId88" xr:uid="{C4606A8A-9C94-46ED-B707-DD49F5379F74}"/>
    <hyperlink ref="E981" r:id="rId89" xr:uid="{6BDC99D5-8D70-489D-A0FD-21D0DF5BEF7F}"/>
    <hyperlink ref="E982" r:id="rId90" xr:uid="{373EE183-63D5-4133-BD2B-9FDCF0F304B9}"/>
    <hyperlink ref="E983" r:id="rId91" xr:uid="{FE6E8D0A-9503-4741-89E3-019070D359A5}"/>
    <hyperlink ref="E984" r:id="rId92" xr:uid="{EBBCE407-CBBE-445A-8D8A-251976925D65}"/>
    <hyperlink ref="E985" r:id="rId93" xr:uid="{4768E3C0-1855-4420-A2D2-D27DB8B2D274}"/>
    <hyperlink ref="E986" r:id="rId94" xr:uid="{AF8E98CA-3C05-4227-8E5A-12C04D9D1520}"/>
    <hyperlink ref="E987" r:id="rId95" xr:uid="{938F7BEC-7BC1-4901-A061-54D0302037F4}"/>
    <hyperlink ref="E988" r:id="rId96" xr:uid="{2AEA0C17-201A-4E1F-9932-CA28C382A5E9}"/>
    <hyperlink ref="E989" r:id="rId97" xr:uid="{D7A6FAED-3506-4789-A646-F668E2B8E8B3}"/>
    <hyperlink ref="E990" r:id="rId98" xr:uid="{239064E4-CFEE-41C8-92CB-AB7980E2594B}"/>
    <hyperlink ref="E991" r:id="rId99" xr:uid="{12FD9BA0-A2BE-4D5F-9D0F-BE8F9ACCEC2B}"/>
    <hyperlink ref="E992" r:id="rId100" xr:uid="{E5C4F687-7316-4EB2-8357-A9E391FFDB15}"/>
    <hyperlink ref="E993" r:id="rId101" xr:uid="{85880D50-7FCD-48B5-8C72-93275BD33FD6}"/>
    <hyperlink ref="E994" r:id="rId102" xr:uid="{8689E714-1A5F-4A1A-8A5B-96542C97F0C2}"/>
    <hyperlink ref="E995" r:id="rId103" xr:uid="{879E8CCA-92BC-46FE-98D3-6F740AC31296}"/>
    <hyperlink ref="E996" r:id="rId104" xr:uid="{449DB8BA-F581-41B6-BD0D-9792411D95AD}"/>
    <hyperlink ref="E997" r:id="rId105" xr:uid="{AA5B1B36-6954-421E-9BEF-2DCEB19F738E}"/>
    <hyperlink ref="E998" r:id="rId106" xr:uid="{4187D467-0A4E-42F3-9299-92B4AFABBD7F}"/>
    <hyperlink ref="E999" r:id="rId107" xr:uid="{E68713AB-06AF-404D-880A-D59ED35B3A6A}"/>
    <hyperlink ref="E1000" r:id="rId108" xr:uid="{8CA4211E-9078-42A0-9531-3398D361C14D}"/>
    <hyperlink ref="E1001" r:id="rId109" xr:uid="{909F977B-79D9-4C5E-8B2D-3E6DD27D3047}"/>
    <hyperlink ref="E1002" r:id="rId110" xr:uid="{5B72221C-81EC-4A83-8D0D-E527BD0BDA91}"/>
    <hyperlink ref="E1003" r:id="rId111" xr:uid="{D3E1AFFC-9C69-4EF6-A185-4D939CC9868C}"/>
    <hyperlink ref="E1004" r:id="rId112" xr:uid="{DE130321-6348-4449-8E67-4B1DF9CA331F}"/>
    <hyperlink ref="E1005" r:id="rId113" xr:uid="{6BC8882D-15C7-40A0-971C-AADEE472B568}"/>
    <hyperlink ref="E1006" r:id="rId114" xr:uid="{B2EB0142-2E85-4E5F-9C44-C0307EF686F7}"/>
    <hyperlink ref="E1007" r:id="rId115" xr:uid="{814BD2D8-88D3-4638-9341-75183600CBD8}"/>
    <hyperlink ref="E1008" r:id="rId116" xr:uid="{DFE8E880-966F-49BD-A05C-9C86D0DB3F90}"/>
    <hyperlink ref="E1009" r:id="rId117" xr:uid="{E7552CC4-0AA3-4257-B4F9-3593FEF873C7}"/>
    <hyperlink ref="E1010" r:id="rId118" xr:uid="{9452223A-3486-43BC-BF3D-BFFB5F75879A}"/>
    <hyperlink ref="E1011" r:id="rId119" xr:uid="{E3F4549D-B63F-46C3-8BD5-8983773C9500}"/>
    <hyperlink ref="E1012" r:id="rId120" xr:uid="{6D1C2CAA-1E19-4593-9C39-DA28F57D03FA}"/>
    <hyperlink ref="E1013" r:id="rId121" xr:uid="{25F9F676-08C8-46EC-87EC-FF08C2D37DB4}"/>
    <hyperlink ref="E1014" r:id="rId122" xr:uid="{85FB2C2C-B029-40A3-BED5-84709BB2EA17}"/>
    <hyperlink ref="E1015" r:id="rId123" xr:uid="{29CE81C4-7357-4BE2-B6B1-B59BC0F6DD49}"/>
    <hyperlink ref="E1016" r:id="rId124" xr:uid="{FFFC5FB9-82B4-42F0-9248-B901B84AAC00}"/>
    <hyperlink ref="E1017" r:id="rId125" xr:uid="{AB4663E4-FEC2-4699-B628-53CB7A215B63}"/>
    <hyperlink ref="E1018" r:id="rId126" xr:uid="{3A3ED3DD-50B1-49D7-9F89-725C7154B4BB}"/>
    <hyperlink ref="E1019" r:id="rId127" xr:uid="{0A573962-CED9-46E9-832C-A62BF5885ED9}"/>
    <hyperlink ref="E1020" r:id="rId128" xr:uid="{492D2917-6661-430A-B2B6-3520ACE99123}"/>
    <hyperlink ref="E1021" r:id="rId129" xr:uid="{12CD5A06-3A58-48C1-B870-C84E345879CE}"/>
    <hyperlink ref="E1022" r:id="rId130" xr:uid="{A060C888-D59B-48A4-A8F8-2A463F68FB30}"/>
    <hyperlink ref="E1023" r:id="rId131" xr:uid="{48244DEA-2197-4414-A515-FED56F78781A}"/>
    <hyperlink ref="E1024" r:id="rId132" xr:uid="{35F0812E-1307-49AB-8839-D768AA2BB7E4}"/>
    <hyperlink ref="E1025" r:id="rId133" xr:uid="{6D393FFE-129B-4B20-8CC3-CF5BEE4F70C5}"/>
    <hyperlink ref="E1026" r:id="rId134" xr:uid="{EBE83187-F15F-4631-BC5C-E55D277A7216}"/>
    <hyperlink ref="E1027" r:id="rId135" xr:uid="{378F9ED8-4711-48F3-9E86-5E717F4153D1}"/>
    <hyperlink ref="E1028" r:id="rId136" xr:uid="{F1B52474-4805-4B35-8F86-1A1C64447282}"/>
    <hyperlink ref="E1029" r:id="rId137" xr:uid="{7F834B10-78C4-4D9F-BB97-F6A5367FF8F2}"/>
    <hyperlink ref="E1030" r:id="rId138" xr:uid="{93B378B9-AC84-40FA-8628-7834AD464CBD}"/>
    <hyperlink ref="E1031" r:id="rId139" xr:uid="{6252E27B-6D07-4457-BA52-1A46A29DB216}"/>
    <hyperlink ref="E1032" r:id="rId140" xr:uid="{4B5388C8-745D-4E48-AB08-EEB011E55710}"/>
    <hyperlink ref="E1033" r:id="rId141" xr:uid="{174EB63E-79E3-4939-AC92-1844979E721A}"/>
    <hyperlink ref="E1034" r:id="rId142" xr:uid="{B67EA316-7831-4473-BE97-195CAF5BF394}"/>
    <hyperlink ref="E1035" r:id="rId143" xr:uid="{B5FB9959-474F-4A58-9049-53286B99096D}"/>
    <hyperlink ref="E1036" r:id="rId144" xr:uid="{D79178F3-A95F-4C6C-A035-3F63AB0C117B}"/>
    <hyperlink ref="E1037" r:id="rId145" xr:uid="{42C4B343-D1B8-472D-8515-443D6C4F9EC0}"/>
    <hyperlink ref="E1038" r:id="rId146" xr:uid="{C7B1D34B-8728-4434-8B8A-40CDA024B08F}"/>
    <hyperlink ref="E1039" r:id="rId147" xr:uid="{6F2A7C5B-0BE6-48CA-9F4D-1F876A44B709}"/>
    <hyperlink ref="E1040" r:id="rId148" xr:uid="{52CF23FD-ED43-4002-A6A9-BE7B7485B473}"/>
    <hyperlink ref="E1041" r:id="rId149" xr:uid="{80DB37B1-40AA-4BF2-9C23-E698C149321F}"/>
    <hyperlink ref="E1042" r:id="rId150" xr:uid="{026A3D79-9B69-4BF5-B9FF-6376BFBFDD43}"/>
    <hyperlink ref="E1043" r:id="rId151" xr:uid="{969F54A8-14EE-4696-963E-B7E930148644}"/>
    <hyperlink ref="E1044" r:id="rId152" xr:uid="{723E4DD2-4B41-4AF8-8022-192DDBE51B2E}"/>
    <hyperlink ref="E1045" r:id="rId153" xr:uid="{F120E17A-BB09-499F-A85E-B3D454F1B040}"/>
    <hyperlink ref="E1046" r:id="rId154" xr:uid="{444D349D-72C8-4D05-9F42-6CD71297D36F}"/>
    <hyperlink ref="E1047" r:id="rId155" xr:uid="{7C8346BE-BD7C-4237-87E1-36C1FB5ABE06}"/>
    <hyperlink ref="E1048" r:id="rId156" xr:uid="{392B4DDB-2E66-4E26-B2CA-C2FA15F9F487}"/>
    <hyperlink ref="E1049" r:id="rId157" xr:uid="{D50BA12D-749A-4440-8ECF-325AFBA08177}"/>
    <hyperlink ref="E1050" r:id="rId158" xr:uid="{9222D2A4-7E79-4AB8-9A3F-8D85722F9F34}"/>
    <hyperlink ref="E1051" r:id="rId159" xr:uid="{78FC222B-E31B-4A47-AE3C-E5CD5DACB4EA}"/>
    <hyperlink ref="E1052" r:id="rId160" xr:uid="{33803EAA-9DDA-4CCF-8FA3-F53A0898595E}"/>
    <hyperlink ref="E1053" r:id="rId161" xr:uid="{9F6A7E9F-ACA6-4E60-A0F0-56145E27004E}"/>
    <hyperlink ref="E1054" r:id="rId162" xr:uid="{0461AD52-0941-4C30-B635-084CAC455EF5}"/>
    <hyperlink ref="E1055" r:id="rId163" xr:uid="{58C07ED1-C084-44E4-AF06-8F366EB6B0B3}"/>
    <hyperlink ref="E1056" r:id="rId164" xr:uid="{1CF1F211-F389-4CA5-9008-C7F33764EE4D}"/>
    <hyperlink ref="E1057" r:id="rId165" xr:uid="{79DC2631-090D-48F4-986F-6AA9C3C4984E}"/>
    <hyperlink ref="E1058" r:id="rId166" xr:uid="{8A40EE6B-4FA6-4273-BF6F-DBDB9E9DBC1B}"/>
    <hyperlink ref="E1059" r:id="rId167" xr:uid="{6EB870AF-405A-40BF-977C-689071836F32}"/>
    <hyperlink ref="E1060" r:id="rId168" xr:uid="{65A92CCD-18D5-419C-8E65-923E039F4146}"/>
    <hyperlink ref="E1061" r:id="rId169" xr:uid="{89299111-410C-40D2-8376-0C026F2FDBB9}"/>
    <hyperlink ref="E1062" r:id="rId170" xr:uid="{70E5B5C9-CC7B-4E49-B8D1-4DB7FD277790}"/>
    <hyperlink ref="E1063" r:id="rId171" xr:uid="{7A4C5AEC-8671-4CC3-8445-C5BE32F3834A}"/>
    <hyperlink ref="E1064" r:id="rId172" xr:uid="{22847765-1582-4BC8-A8F7-2EBB64795672}"/>
    <hyperlink ref="E1065" r:id="rId173" xr:uid="{BD2049EE-7544-44DB-8DD5-75B3386B2E72}"/>
    <hyperlink ref="E1066" r:id="rId174" xr:uid="{23AE3091-8EC0-474C-A355-3D0CA4BAD9B8}"/>
    <hyperlink ref="E1067" r:id="rId175" xr:uid="{15BE4837-8F9E-4D71-97B8-4E8CC260B37D}"/>
    <hyperlink ref="E1068" r:id="rId176" xr:uid="{70FB2D12-2F06-4CE3-91D8-EAD8D8BAC4C0}"/>
    <hyperlink ref="E1069" r:id="rId177" xr:uid="{0A2EB5B9-F09F-474C-A339-92EA90E36ED1}"/>
    <hyperlink ref="E1070" r:id="rId178" xr:uid="{FE08B5DB-B24D-4EF2-908F-7978E5C4EA42}"/>
    <hyperlink ref="E1071" r:id="rId179" xr:uid="{2C7EBD74-6AF9-4A45-8E17-C5B87033698E}"/>
    <hyperlink ref="E1072" r:id="rId180" xr:uid="{91067F27-B8CC-4663-AD13-FC26B0AAD99C}"/>
    <hyperlink ref="E1073" r:id="rId181" xr:uid="{B7FECBF0-E1A3-449F-A733-2CD8A96503AA}"/>
    <hyperlink ref="E1074" r:id="rId182" xr:uid="{FED98696-4269-42D8-BCC3-7537AC574A5E}"/>
    <hyperlink ref="E1075" r:id="rId183" xr:uid="{844B7985-4E09-436E-A6DF-324B670A232D}"/>
    <hyperlink ref="E1076" r:id="rId184" xr:uid="{3965C53C-0D9E-4467-A2E3-6BD0C53E1AAD}"/>
    <hyperlink ref="E1077" r:id="rId185" xr:uid="{19C2A027-0175-4524-B2C3-BD5600C8E0E1}"/>
    <hyperlink ref="E1078" r:id="rId186" xr:uid="{5830E51E-0CEB-4093-969D-3B19DFA92C2E}"/>
    <hyperlink ref="E1079" r:id="rId187" xr:uid="{60FEB6AE-A2D3-4F10-ABE1-CA2D8D493ED4}"/>
    <hyperlink ref="E1080" r:id="rId188" xr:uid="{A0291C75-0F41-4861-8F05-FF4E6DD37387}"/>
    <hyperlink ref="E1081" r:id="rId189" xr:uid="{C3C9DB14-B6AC-4849-BEDA-E05918C4EAAF}"/>
    <hyperlink ref="E1082" r:id="rId190" xr:uid="{AB8B12D1-0204-45A3-93E6-6778ED95B3D6}"/>
    <hyperlink ref="E1083" r:id="rId191" xr:uid="{3EDD46F1-CF6C-4895-9578-CF0E4BA92CA8}"/>
    <hyperlink ref="E1084" r:id="rId192" xr:uid="{C94FA246-FC27-4C7E-B5B3-E46557B2235C}"/>
    <hyperlink ref="E1085" r:id="rId193" xr:uid="{FB1CEAB3-B3D1-48DD-B661-E666C2E288D3}"/>
    <hyperlink ref="E1086" r:id="rId194" xr:uid="{CB988832-6481-4873-921E-4F59FB379629}"/>
    <hyperlink ref="E1087" r:id="rId195" xr:uid="{C069B140-BAA7-4A54-BD81-0E86909E0852}"/>
    <hyperlink ref="E1088" r:id="rId196" xr:uid="{C08823C4-9A90-4275-997E-A0082499CD73}"/>
    <hyperlink ref="E1089" r:id="rId197" xr:uid="{498FD93B-9293-4286-BB49-02388744196E}"/>
    <hyperlink ref="E1090" r:id="rId198" xr:uid="{27ED4DF0-D887-4AD0-A210-76A95DECD424}"/>
    <hyperlink ref="E1091" r:id="rId199" xr:uid="{060AD166-8B81-452E-98AC-3C967641EF74}"/>
    <hyperlink ref="E1092" r:id="rId200" xr:uid="{E53F27E5-78B7-4C52-A5EE-499DCD11DEE6}"/>
    <hyperlink ref="E1093" r:id="rId201" xr:uid="{CDAA0015-00C2-47AD-95B0-E577F53F5B0C}"/>
    <hyperlink ref="E1094" r:id="rId202" xr:uid="{32A04C1F-C82A-492C-A205-BBA09FAD379E}"/>
    <hyperlink ref="E1095" r:id="rId203" xr:uid="{7259B621-0D0A-48E4-B7E4-0C8EDEABB1EB}"/>
    <hyperlink ref="E1096" r:id="rId204" xr:uid="{ABD3485C-A6D5-4A9A-8706-9DAF7F076262}"/>
    <hyperlink ref="E1097" r:id="rId205" xr:uid="{F960B009-B45F-4E50-BBA3-6F5EC96B5326}"/>
    <hyperlink ref="E1098" r:id="rId206" xr:uid="{886D8F32-B82B-42B5-B82D-D5965B6933E7}"/>
    <hyperlink ref="E1099" r:id="rId207" xr:uid="{641CA028-F1CE-43B2-857A-9D69FE53A98D}"/>
    <hyperlink ref="E1100" r:id="rId208" xr:uid="{DC2F20B3-829E-45F3-8F6C-094944EF6E27}"/>
    <hyperlink ref="E1101" r:id="rId209" xr:uid="{331305CB-24EB-4FE7-AC59-3AE68FC2F0DE}"/>
    <hyperlink ref="E1102" r:id="rId210" xr:uid="{8A543C9B-EF3F-42A3-95BF-445D60C407B2}"/>
    <hyperlink ref="E1103" r:id="rId211" xr:uid="{65663B4F-F2FA-435D-BD9A-6BE1E9159384}"/>
    <hyperlink ref="E1104" r:id="rId212" xr:uid="{8A38B29D-F07F-4298-8A9D-24EA5E9727A3}"/>
    <hyperlink ref="E1105" r:id="rId213" xr:uid="{C3B8CC2F-86BF-4E03-B7A2-C1598F6700E0}"/>
    <hyperlink ref="E1106" r:id="rId214" xr:uid="{2A2D2FED-6FF3-4697-8E1B-37B4081F1607}"/>
    <hyperlink ref="E1107" r:id="rId215" xr:uid="{426D5F95-3970-4C8B-90DD-DCE2E7EB8460}"/>
    <hyperlink ref="E1108" r:id="rId216" xr:uid="{23D5B2A2-A89C-4B95-942D-361E89FF3D2F}"/>
    <hyperlink ref="E1109" r:id="rId217" xr:uid="{0F8AE25E-A66D-4322-81DE-2E323B09AA3B}"/>
    <hyperlink ref="E1110" r:id="rId218" xr:uid="{9AB30074-3050-4379-BDCE-8C920E02865C}"/>
    <hyperlink ref="E1111" r:id="rId219" xr:uid="{E408564D-A62C-4F68-B8FA-804A52A2C08C}"/>
    <hyperlink ref="E1112" r:id="rId220" xr:uid="{5258F41D-BC3C-4137-864A-4BDCC3CF7627}"/>
    <hyperlink ref="E1113" r:id="rId221" xr:uid="{55545B65-493D-447D-A040-280D43C052CE}"/>
    <hyperlink ref="E1114" r:id="rId222" xr:uid="{E0AA7A2B-0ADE-4AF3-B764-26FF2F1E6B1D}"/>
    <hyperlink ref="E1115" r:id="rId223" xr:uid="{645CF853-F77B-41E1-9BB0-9403FAF1A99C}"/>
    <hyperlink ref="E1116" r:id="rId224" xr:uid="{5E67432B-705E-42FB-AE54-C12AAB64064F}"/>
    <hyperlink ref="E1117" r:id="rId225" xr:uid="{422E79C9-61D0-49F0-84FC-06E04E183D49}"/>
    <hyperlink ref="E1118" r:id="rId226" xr:uid="{68ED90CE-507D-449B-9FBF-9BE8DDB73B37}"/>
    <hyperlink ref="E1119" r:id="rId227" xr:uid="{9B58F5B7-83D2-48D9-990A-EADD741757B0}"/>
    <hyperlink ref="E1120" r:id="rId228" xr:uid="{35503C10-7217-46BE-A194-6BDBA6B562B0}"/>
    <hyperlink ref="E1121" r:id="rId229" xr:uid="{3E6A996E-49F6-465D-915B-6D75127AA6C7}"/>
    <hyperlink ref="E1122" r:id="rId230" xr:uid="{DDA0F86D-D956-48BE-A12D-5F11DEDEB120}"/>
    <hyperlink ref="E1123" r:id="rId231" xr:uid="{63810CC2-63E8-4CAB-964F-202359F7EDA5}"/>
    <hyperlink ref="E1124" r:id="rId232" xr:uid="{3AA398FC-0090-464E-9A59-E0E74269C7C0}"/>
    <hyperlink ref="E1125" r:id="rId233" xr:uid="{188E9DDB-CC64-4E71-B95F-FA1918997569}"/>
    <hyperlink ref="E1126" r:id="rId234" xr:uid="{C7D769A7-BF4A-410E-9994-B7297A70DE51}"/>
    <hyperlink ref="E1127" r:id="rId235" xr:uid="{2D0CF6B4-E6CF-4A31-8480-B94210F409D3}"/>
    <hyperlink ref="E1128" r:id="rId236" xr:uid="{95C80E76-34A3-47EA-A053-4E583AA58939}"/>
    <hyperlink ref="E1129" r:id="rId237" xr:uid="{F4E41884-ACA9-47CE-B1E6-A9D2FC7F41BE}"/>
    <hyperlink ref="E1130" r:id="rId238" xr:uid="{8EECDBDB-3240-43F4-B22E-BC77E8B42F06}"/>
    <hyperlink ref="E1131" r:id="rId239" xr:uid="{D8C6591A-4AF8-4D28-8022-AD52AE140A2F}"/>
    <hyperlink ref="E1132" r:id="rId240" xr:uid="{B0BD7951-7048-45A7-948F-270C5005C61A}"/>
    <hyperlink ref="E1133" r:id="rId241" xr:uid="{62C53ACB-B00B-45D0-82DB-1B311767F5E3}"/>
    <hyperlink ref="E1134" r:id="rId242" xr:uid="{7CE23F81-CDD3-4464-B5FD-572CD1DCEF13}"/>
    <hyperlink ref="E1135" r:id="rId243" xr:uid="{769D649F-531C-4DEC-B332-D7FF3579248F}"/>
    <hyperlink ref="E1136" r:id="rId244" xr:uid="{CE06C215-B9E1-44D5-9C85-8DC089440572}"/>
    <hyperlink ref="E1137" r:id="rId245" xr:uid="{0DC505ED-302E-44BA-8CF2-93723CFAA7F8}"/>
    <hyperlink ref="E1138" r:id="rId246" xr:uid="{C235FCD7-1EA4-49D0-BC41-39D540F54366}"/>
    <hyperlink ref="E1139" r:id="rId247" xr:uid="{52F87352-9200-4BEC-B8D8-2A5823308F7B}"/>
    <hyperlink ref="E1140" r:id="rId248" xr:uid="{E48CC75E-77E7-41B1-86AD-BFAF66054965}"/>
    <hyperlink ref="E1141" r:id="rId249" xr:uid="{C8E57458-D7D2-4349-BD97-06494C09981E}"/>
    <hyperlink ref="E1142" r:id="rId250" xr:uid="{9753179C-664A-4975-BCF7-6D4AFB3B8FAD}"/>
    <hyperlink ref="E1143" r:id="rId251" xr:uid="{9F6DE9BB-4C5A-4C5D-9D54-25F96501BBF5}"/>
    <hyperlink ref="E1144" r:id="rId252" xr:uid="{36183531-2406-4F2A-97AF-59544E5CD160}"/>
    <hyperlink ref="E1145" r:id="rId253" xr:uid="{8F8AAB51-FDDB-40A7-A676-62613D2A630D}"/>
    <hyperlink ref="E1146" r:id="rId254" xr:uid="{B8169C0D-5E5F-4EC7-A0F8-94AED0EC194D}"/>
    <hyperlink ref="E1147" r:id="rId255" xr:uid="{A579E4F9-E039-4977-AA1D-683E1A2B9C23}"/>
  </hyperlinks>
  <pageMargins left="0.7" right="0.7" top="0.75" bottom="0.75" header="0.3" footer="0.3"/>
  <pageSetup paperSize="9" orientation="portrait" r:id="rId256"/>
  <extLst>
    <ext xmlns:x14="http://schemas.microsoft.com/office/spreadsheetml/2009/9/main" uri="{78C0D931-6437-407d-A8EE-F0AAD7539E65}">
      <x14:conditionalFormattings>
        <x14:conditionalFormatting xmlns:xm="http://schemas.microsoft.com/office/excel/2006/main">
          <x14:cfRule type="dataBar" id="{CD730401-8902-4D03-822C-05794E09E6C3}">
            <x14:dataBar minLength="0" maxLength="100" gradient="0">
              <x14:cfvo type="autoMin"/>
              <x14:cfvo type="num">
                <xm:f>4</xm:f>
              </x14:cfvo>
              <x14:negativeFillColor rgb="FFFF0000"/>
              <x14:axisColor rgb="FF000000"/>
            </x14:dataBar>
          </x14:cfRule>
          <xm:sqref>F2:J2</xm:sqref>
        </x14:conditionalFormatting>
        <x14:conditionalFormatting xmlns:xm="http://schemas.microsoft.com/office/excel/2006/main">
          <x14:cfRule type="dataBar" id="{373FBC6C-9ABE-469B-A09A-F9D659EDEBAD}">
            <x14:dataBar minLength="0" maxLength="100" gradient="0">
              <x14:cfvo type="autoMin"/>
              <x14:cfvo type="num">
                <xm:f>4</xm:f>
              </x14:cfvo>
              <x14:negativeFillColor rgb="FFFF0000"/>
              <x14:axisColor rgb="FF000000"/>
            </x14:dataBar>
          </x14:cfRule>
          <xm:sqref>F10:J21</xm:sqref>
        </x14:conditionalFormatting>
        <x14:conditionalFormatting xmlns:xm="http://schemas.microsoft.com/office/excel/2006/main">
          <x14:cfRule type="dataBar" id="{A7D252E5-B8F2-41AD-B07F-1F308CA5F21E}">
            <x14:dataBar minLength="0" maxLength="100" gradient="0">
              <x14:cfvo type="autoMin"/>
              <x14:cfvo type="num">
                <xm:f>4</xm:f>
              </x14:cfvo>
              <x14:negativeFillColor rgb="FFFF0000"/>
              <x14:axisColor rgb="FF000000"/>
            </x14:dataBar>
          </x14:cfRule>
          <xm:sqref>F22:J73</xm:sqref>
        </x14:conditionalFormatting>
        <x14:conditionalFormatting xmlns:xm="http://schemas.microsoft.com/office/excel/2006/main">
          <x14:cfRule type="dataBar" id="{7A243A7B-BB4E-4A10-B6FE-A08AD24404BB}">
            <x14:dataBar minLength="0" maxLength="100" gradient="0">
              <x14:cfvo type="autoMin"/>
              <x14:cfvo type="num">
                <xm:f>4</xm:f>
              </x14:cfvo>
              <x14:negativeFillColor rgb="FFFF0000"/>
              <x14:axisColor rgb="FF000000"/>
            </x14:dataBar>
          </x14:cfRule>
          <xm:sqref>F74:J81 F3:J9</xm:sqref>
        </x14:conditionalFormatting>
        <x14:conditionalFormatting xmlns:xm="http://schemas.microsoft.com/office/excel/2006/main">
          <x14:cfRule type="dataBar" id="{583E9E55-5882-441F-A54E-71FD12E7BE9F}">
            <x14:dataBar minLength="0" maxLength="100" gradient="0">
              <x14:cfvo type="autoMin"/>
              <x14:cfvo type="num">
                <xm:f>4</xm:f>
              </x14:cfvo>
              <x14:negativeFillColor rgb="FFFF0000"/>
              <x14:axisColor rgb="FF000000"/>
            </x14:dataBar>
          </x14:cfRule>
          <xm:sqref>F82:J101</xm:sqref>
        </x14:conditionalFormatting>
        <x14:conditionalFormatting xmlns:xm="http://schemas.microsoft.com/office/excel/2006/main">
          <x14:cfRule type="dataBar" id="{E74C1F7C-0664-4503-8E0D-4379C8D3C8BB}">
            <x14:dataBar minLength="0" maxLength="100" gradient="0">
              <x14:cfvo type="autoMin"/>
              <x14:cfvo type="num">
                <xm:f>4</xm:f>
              </x14:cfvo>
              <x14:negativeFillColor rgb="FFFF0000"/>
              <x14:axisColor rgb="FF000000"/>
            </x14:dataBar>
          </x14:cfRule>
          <xm:sqref>F102:J109</xm:sqref>
        </x14:conditionalFormatting>
        <x14:conditionalFormatting xmlns:xm="http://schemas.microsoft.com/office/excel/2006/main">
          <x14:cfRule type="dataBar" id="{7C9416CB-1198-4041-A290-6CB6DE342E1F}">
            <x14:dataBar minLength="0" maxLength="100" gradient="0">
              <x14:cfvo type="autoMin"/>
              <x14:cfvo type="num">
                <xm:f>4</xm:f>
              </x14:cfvo>
              <x14:negativeFillColor rgb="FFFF0000"/>
              <x14:axisColor rgb="FF000000"/>
            </x14:dataBar>
          </x14:cfRule>
          <xm:sqref>F110:J460</xm:sqref>
        </x14:conditionalFormatting>
        <x14:conditionalFormatting xmlns:xm="http://schemas.microsoft.com/office/excel/2006/main">
          <x14:cfRule type="dataBar" id="{F249D597-EF36-456A-85A0-7911B7560335}">
            <x14:dataBar minLength="0" maxLength="100" gradient="0">
              <x14:cfvo type="autoMin"/>
              <x14:cfvo type="num">
                <xm:f>4</xm:f>
              </x14:cfvo>
              <x14:negativeFillColor rgb="FFFF0000"/>
              <x14:axisColor rgb="FF000000"/>
            </x14:dataBar>
          </x14:cfRule>
          <xm:sqref>F461:J811</xm:sqref>
        </x14:conditionalFormatting>
        <x14:conditionalFormatting xmlns:xm="http://schemas.microsoft.com/office/excel/2006/main">
          <x14:cfRule type="dataBar" id="{A993CA9D-F400-4210-9A53-862DC336DB85}">
            <x14:dataBar minLength="0" maxLength="100" gradient="0">
              <x14:cfvo type="autoMin"/>
              <x14:cfvo type="num">
                <xm:f>4</xm:f>
              </x14:cfvo>
              <x14:negativeFillColor rgb="FFFF0000"/>
              <x14:axisColor rgb="FF000000"/>
            </x14:dataBar>
          </x14:cfRule>
          <xm:sqref>F812:J812</xm:sqref>
        </x14:conditionalFormatting>
        <x14:conditionalFormatting xmlns:xm="http://schemas.microsoft.com/office/excel/2006/main">
          <x14:cfRule type="dataBar" id="{15A7EADD-A692-4A1A-9D45-AE23E014A056}">
            <x14:dataBar minLength="0" maxLength="100" gradient="0">
              <x14:cfvo type="autoMin"/>
              <x14:cfvo type="num">
                <xm:f>4</xm:f>
              </x14:cfvo>
              <x14:negativeFillColor rgb="FFFF0000"/>
              <x14:axisColor rgb="FF000000"/>
            </x14:dataBar>
          </x14:cfRule>
          <xm:sqref>F813:J895</xm:sqref>
        </x14:conditionalFormatting>
        <x14:conditionalFormatting xmlns:xm="http://schemas.microsoft.com/office/excel/2006/main">
          <x14:cfRule type="dataBar" id="{FE7DBF0D-941C-4038-BE7B-F34D3059124E}">
            <x14:dataBar minLength="0" maxLength="100" gradient="0">
              <x14:cfvo type="autoMin"/>
              <x14:cfvo type="autoMax"/>
              <x14:negativeFillColor rgb="FFFF0000"/>
              <x14:axisColor rgb="FF000000"/>
            </x14:dataBar>
          </x14:cfRule>
          <xm:sqref>K22:K73</xm:sqref>
        </x14:conditionalFormatting>
        <x14:conditionalFormatting xmlns:xm="http://schemas.microsoft.com/office/excel/2006/main">
          <x14:cfRule type="dataBar" id="{1C3EE34C-34B6-4D04-9474-1D4325C46CC9}">
            <x14:dataBar minLength="0" maxLength="100" gradient="0">
              <x14:cfvo type="autoMin"/>
              <x14:cfvo type="autoMax"/>
              <x14:negativeFillColor rgb="FFFF0000"/>
              <x14:axisColor rgb="FF000000"/>
            </x14:dataBar>
          </x14:cfRule>
          <xm:sqref>K74:K81 K2:K9</xm:sqref>
        </x14:conditionalFormatting>
        <x14:conditionalFormatting xmlns:xm="http://schemas.microsoft.com/office/excel/2006/main">
          <x14:cfRule type="dataBar" id="{C09D56A9-B46C-45CA-B496-ED5644F389C8}">
            <x14:dataBar minLength="0" maxLength="100" gradient="0">
              <x14:cfvo type="autoMin"/>
              <x14:cfvo type="autoMax"/>
              <x14:negativeFillColor rgb="FFFF0000"/>
              <x14:axisColor rgb="FF000000"/>
            </x14:dataBar>
          </x14:cfRule>
          <xm:sqref>K82:K109 K10:K21</xm:sqref>
        </x14:conditionalFormatting>
        <x14:conditionalFormatting xmlns:xm="http://schemas.microsoft.com/office/excel/2006/main">
          <x14:cfRule type="dataBar" id="{E9D6D587-DDCF-4145-8CFF-891B53F1666F}">
            <x14:dataBar minLength="0" maxLength="100" gradient="0">
              <x14:cfvo type="autoMin"/>
              <x14:cfvo type="autoMax"/>
              <x14:negativeFillColor rgb="FFFF0000"/>
              <x14:axisColor rgb="FF000000"/>
            </x14:dataBar>
          </x14:cfRule>
          <xm:sqref>K110:K1147</xm:sqref>
        </x14:conditionalFormatting>
        <x14:conditionalFormatting xmlns:xm="http://schemas.microsoft.com/office/excel/2006/main">
          <x14:cfRule type="dataBar" id="{B0B9B783-55C3-4EA3-BC96-FA83EEFC485C}">
            <x14:dataBar minLength="0" maxLength="100" gradient="0">
              <x14:cfvo type="autoMin"/>
              <x14:cfvo type="num">
                <xm:f>4</xm:f>
              </x14:cfvo>
              <x14:negativeFillColor rgb="FFFF0000"/>
              <x14:axisColor rgb="FF000000"/>
            </x14:dataBar>
          </x14:cfRule>
          <xm:sqref>F896:J979</xm:sqref>
        </x14:conditionalFormatting>
        <x14:conditionalFormatting xmlns:xm="http://schemas.microsoft.com/office/excel/2006/main">
          <x14:cfRule type="dataBar" id="{ECCBC17A-2A79-48CF-A133-76DCCAF9138B}">
            <x14:dataBar minLength="0" maxLength="100" gradient="0">
              <x14:cfvo type="autoMin"/>
              <x14:cfvo type="num">
                <xm:f>4</xm:f>
              </x14:cfvo>
              <x14:negativeFillColor rgb="FFFF0000"/>
              <x14:axisColor rgb="FF000000"/>
            </x14:dataBar>
          </x14:cfRule>
          <xm:sqref>F980:J1063</xm:sqref>
        </x14:conditionalFormatting>
        <x14:conditionalFormatting xmlns:xm="http://schemas.microsoft.com/office/excel/2006/main">
          <x14:cfRule type="dataBar" id="{D1965883-AF53-4E4B-B5D8-33B27A7CF271}">
            <x14:dataBar minLength="0" maxLength="100" gradient="0">
              <x14:cfvo type="autoMin"/>
              <x14:cfvo type="num">
                <xm:f>4</xm:f>
              </x14:cfvo>
              <x14:negativeFillColor rgb="FFFF0000"/>
              <x14:axisColor rgb="FF000000"/>
            </x14:dataBar>
          </x14:cfRule>
          <xm:sqref>F1064:J1147</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B31CE-E6BF-4F52-9FA7-52F353BEC4BE}">
  <sheetPr>
    <tabColor rgb="FFFFC000"/>
  </sheetPr>
  <dimension ref="A1:L931"/>
  <sheetViews>
    <sheetView zoomScale="90" zoomScaleNormal="90" workbookViewId="0">
      <pane ySplit="1" topLeftCell="A783" activePane="bottomLeft" state="frozen"/>
      <selection pane="bottomLeft" activeCell="F815" sqref="F815"/>
    </sheetView>
  </sheetViews>
  <sheetFormatPr defaultColWidth="9.33203125" defaultRowHeight="14.4"/>
  <cols>
    <col min="1" max="1" width="40.6640625" style="26" customWidth="1"/>
    <col min="2" max="3" width="15.6640625" style="26" customWidth="1"/>
    <col min="4" max="4" width="27.33203125" style="64" customWidth="1"/>
    <col min="5" max="5" width="99.44140625" style="7" customWidth="1"/>
    <col min="6" max="11" width="10.6640625" style="7" customWidth="1"/>
    <col min="12" max="12" width="79.5546875" style="31" customWidth="1"/>
    <col min="13" max="16384" width="9.33203125" style="7"/>
  </cols>
  <sheetData>
    <row r="1" spans="1:12" s="26" customFormat="1" ht="30" customHeight="1" thickBot="1">
      <c r="A1" s="65" t="s">
        <v>100</v>
      </c>
      <c r="B1" s="65" t="s">
        <v>101</v>
      </c>
      <c r="C1" s="108" t="s">
        <v>102</v>
      </c>
      <c r="D1" s="804" t="s">
        <v>103</v>
      </c>
      <c r="E1" s="108" t="s">
        <v>104</v>
      </c>
      <c r="F1" s="111" t="s">
        <v>105</v>
      </c>
      <c r="G1" s="112" t="s">
        <v>65</v>
      </c>
      <c r="H1" s="112" t="s">
        <v>67</v>
      </c>
      <c r="I1" s="112" t="s">
        <v>73</v>
      </c>
      <c r="J1" s="113" t="s">
        <v>79</v>
      </c>
      <c r="K1" s="419" t="s">
        <v>106</v>
      </c>
      <c r="L1" s="49" t="s">
        <v>123</v>
      </c>
    </row>
    <row r="2" spans="1:12">
      <c r="A2" s="150" t="str">
        <f>Agriculture!A10</f>
        <v>Agriculture</v>
      </c>
      <c r="B2" s="231">
        <f>Agriculture!C10</f>
        <v>2018</v>
      </c>
      <c r="C2" s="39" t="str">
        <f>Agriculture!D10</f>
        <v>PS</v>
      </c>
      <c r="D2" s="54">
        <f>Agriculture!E10</f>
        <v>3.9507478925049049</v>
      </c>
      <c r="E2" s="39" t="str">
        <f>Agriculture!F10</f>
        <v xml:space="preserve">Combined from TNO Sieger Henke and Statistics - APE Europe [WWW Document], n.d. URL https://web.archive.org/web/20230930160250/https://apeeurope.eu/statistics/ (accessed 3.27.24). </v>
      </c>
      <c r="F2" s="28">
        <v>1</v>
      </c>
      <c r="G2" s="11">
        <v>2</v>
      </c>
      <c r="H2" s="11">
        <v>2</v>
      </c>
      <c r="I2" s="11">
        <v>1</v>
      </c>
      <c r="J2" s="11">
        <v>2</v>
      </c>
      <c r="K2" s="158">
        <f t="shared" ref="K2:K56" si="0">IF( OR( ISBLANK(F2),ISBLANK(G2), ISBLANK(H2), ISBLANK(I2), ISBLANK(J2) ), "", 1.5*SQRT(   EXP(2.21*(F2-1)) + EXP(2.21*(G2-1)) + EXP(2.21*(H2-1)) + EXP(2.21*(I2-1)) + EXP(2.21*J2)   )/100*2.45 )</f>
        <v>0.37356464144298934</v>
      </c>
      <c r="L2" s="343"/>
    </row>
    <row r="3" spans="1:12">
      <c r="A3" s="151" t="str">
        <f>Agriculture!A11</f>
        <v>Agriculture</v>
      </c>
      <c r="B3" s="232">
        <f>Agriculture!C11</f>
        <v>2018</v>
      </c>
      <c r="C3" s="40" t="str">
        <f>Agriculture!D11</f>
        <v>PP</v>
      </c>
      <c r="D3" s="55">
        <f>Agriculture!E11</f>
        <v>3.9660876131077227</v>
      </c>
      <c r="E3" s="40" t="str">
        <f>Agriculture!F11</f>
        <v xml:space="preserve">Combined from TNO Sieger Henke and Statistics - APE Europe [WWW Document], n.d. URL https://web.archive.org/web/20230930160250/https://apeeurope.eu/statistics/ (accessed 3.27.24). </v>
      </c>
      <c r="F3" s="29">
        <v>1</v>
      </c>
      <c r="G3" s="9">
        <v>2</v>
      </c>
      <c r="H3" s="9">
        <v>2</v>
      </c>
      <c r="I3" s="9">
        <v>1</v>
      </c>
      <c r="J3" s="9">
        <v>2</v>
      </c>
      <c r="K3" s="159">
        <f t="shared" si="0"/>
        <v>0.37356464144298934</v>
      </c>
      <c r="L3" s="63"/>
    </row>
    <row r="4" spans="1:12">
      <c r="A4" s="151" t="str">
        <f>Agriculture!A15</f>
        <v>Agriculture</v>
      </c>
      <c r="B4" s="232">
        <f>Agriculture!C15</f>
        <v>2019</v>
      </c>
      <c r="C4" s="40" t="str">
        <f>Agriculture!D15</f>
        <v>PS</v>
      </c>
      <c r="D4" s="55">
        <f>Agriculture!E15</f>
        <v>3.9660876131077227</v>
      </c>
      <c r="E4" s="40" t="str">
        <f>Agriculture!F15</f>
        <v xml:space="preserve">Combined from TNO Sieger Henke and Statistics - APE Europe [WWW Document], n.d. URL https://web.archive.org/web/20230930160250/https://apeeurope.eu/statistics/ (accessed 3.27.24). </v>
      </c>
      <c r="F4" s="29">
        <v>1</v>
      </c>
      <c r="G4" s="9">
        <v>2</v>
      </c>
      <c r="H4" s="9">
        <v>2</v>
      </c>
      <c r="I4" s="9">
        <v>1</v>
      </c>
      <c r="J4" s="9">
        <v>2</v>
      </c>
      <c r="K4" s="159">
        <f t="shared" si="0"/>
        <v>0.37356464144298934</v>
      </c>
      <c r="L4" s="63"/>
    </row>
    <row r="5" spans="1:12">
      <c r="A5" s="151" t="str">
        <f>Agriculture!A16</f>
        <v>Agriculture</v>
      </c>
      <c r="B5" s="232">
        <f>Agriculture!C16</f>
        <v>2019</v>
      </c>
      <c r="C5" s="40" t="str">
        <f>Agriculture!D16</f>
        <v>PP</v>
      </c>
      <c r="D5" s="55">
        <f>Agriculture!E16</f>
        <v>3.9660876131077227</v>
      </c>
      <c r="E5" s="40" t="str">
        <f>Agriculture!F16</f>
        <v xml:space="preserve">Combined from TNO Sieger Henke and Statistics - APE Europe [WWW Document], n.d. URL https://web.archive.org/web/20230930160250/https://apeeurope.eu/statistics/ (accessed 3.27.24). </v>
      </c>
      <c r="F5" s="29">
        <v>1</v>
      </c>
      <c r="G5" s="9">
        <v>2</v>
      </c>
      <c r="H5" s="9">
        <v>2</v>
      </c>
      <c r="I5" s="9">
        <v>1</v>
      </c>
      <c r="J5" s="9">
        <v>2</v>
      </c>
      <c r="K5" s="159">
        <f t="shared" si="0"/>
        <v>0.37356464144298934</v>
      </c>
      <c r="L5" s="63"/>
    </row>
    <row r="6" spans="1:12">
      <c r="A6" s="151" t="str">
        <f>Agriculture!A13</f>
        <v>Agriculture</v>
      </c>
      <c r="B6" s="232">
        <f>Agriculture!C13</f>
        <v>2018</v>
      </c>
      <c r="C6" s="40" t="str">
        <f>Agriculture!D13</f>
        <v>HDPE</v>
      </c>
      <c r="D6" s="55">
        <f>Agriculture!E13</f>
        <v>5.6494845366498607</v>
      </c>
      <c r="E6" s="40" t="str">
        <f>Agriculture!F13</f>
        <v xml:space="preserve">Combined from TNO Sieger Henke and Statistics - APE Europe [WWW Document], n.d. URL https://web.archive.org/web/20230930160250/https://apeeurope.eu/statistics/ (accessed 3.27.24). </v>
      </c>
      <c r="F6" s="29">
        <v>1</v>
      </c>
      <c r="G6" s="9">
        <v>2</v>
      </c>
      <c r="H6" s="9">
        <v>2</v>
      </c>
      <c r="I6" s="9">
        <v>1</v>
      </c>
      <c r="J6" s="9">
        <v>2</v>
      </c>
      <c r="K6" s="159">
        <f t="shared" si="0"/>
        <v>0.37356464144298934</v>
      </c>
      <c r="L6" s="63"/>
    </row>
    <row r="7" spans="1:12">
      <c r="A7" s="151" t="str">
        <f>Agriculture!A18</f>
        <v>Agriculture</v>
      </c>
      <c r="B7" s="232">
        <f>Agriculture!C18</f>
        <v>2019</v>
      </c>
      <c r="C7" s="40" t="str">
        <f>Agriculture!D18</f>
        <v>HDPE</v>
      </c>
      <c r="D7" s="55">
        <f>Agriculture!E18</f>
        <v>5.6714200072746905</v>
      </c>
      <c r="E7" s="40" t="str">
        <f>Agriculture!F18</f>
        <v xml:space="preserve">Combined from TNO Sieger Henke and Statistics - APE Europe [WWW Document], n.d. URL https://web.archive.org/web/20230930160250/https://apeeurope.eu/statistics/ (accessed 3.27.24). </v>
      </c>
      <c r="F7" s="29">
        <v>1</v>
      </c>
      <c r="G7" s="9">
        <v>2</v>
      </c>
      <c r="H7" s="9">
        <v>2</v>
      </c>
      <c r="I7" s="9">
        <v>1</v>
      </c>
      <c r="J7" s="9">
        <v>2</v>
      </c>
      <c r="K7" s="159">
        <f t="shared" si="0"/>
        <v>0.37356464144298934</v>
      </c>
      <c r="L7" s="63"/>
    </row>
    <row r="8" spans="1:12">
      <c r="A8" s="151" t="str">
        <f>Agriculture!A9</f>
        <v>Agriculture</v>
      </c>
      <c r="B8" s="232">
        <f>Agriculture!C9</f>
        <v>2018</v>
      </c>
      <c r="C8" s="40" t="str">
        <f>Agriculture!D9</f>
        <v>PVC</v>
      </c>
      <c r="D8" s="55">
        <f>Agriculture!E9</f>
        <v>56.385014842085823</v>
      </c>
      <c r="E8" s="40" t="str">
        <f>Agriculture!F9</f>
        <v xml:space="preserve">Combined from TNO Sieger Henke and Statistics - APE Europe [WWW Document], n.d. URL https://web.archive.org/web/20230930160250/https://apeeurope.eu/statistics/ (accessed 3.27.24). </v>
      </c>
      <c r="F8" s="29">
        <v>1</v>
      </c>
      <c r="G8" s="9">
        <v>2</v>
      </c>
      <c r="H8" s="9">
        <v>2</v>
      </c>
      <c r="I8" s="9">
        <v>1</v>
      </c>
      <c r="J8" s="9">
        <v>2</v>
      </c>
      <c r="K8" s="159">
        <f t="shared" si="0"/>
        <v>0.37356464144298934</v>
      </c>
      <c r="L8" s="63"/>
    </row>
    <row r="9" spans="1:12">
      <c r="A9" s="151" t="str">
        <f>Agriculture!A14</f>
        <v>Agriculture</v>
      </c>
      <c r="B9" s="232">
        <f>Agriculture!C14</f>
        <v>2019</v>
      </c>
      <c r="C9" s="40" t="str">
        <f>Agriculture!D14</f>
        <v>PVC</v>
      </c>
      <c r="D9" s="55">
        <f>Agriculture!E14</f>
        <v>56.60394310513805</v>
      </c>
      <c r="E9" s="40" t="str">
        <f>Agriculture!F14</f>
        <v xml:space="preserve">Combined from TNO Sieger Henke and Statistics - APE Europe [WWW Document], n.d. URL https://web.archive.org/web/20230930160250/https://apeeurope.eu/statistics/ (accessed 3.27.24). </v>
      </c>
      <c r="F9" s="29">
        <v>1</v>
      </c>
      <c r="G9" s="9">
        <v>2</v>
      </c>
      <c r="H9" s="9">
        <v>2</v>
      </c>
      <c r="I9" s="9">
        <v>1</v>
      </c>
      <c r="J9" s="9">
        <v>2</v>
      </c>
      <c r="K9" s="159">
        <f t="shared" si="0"/>
        <v>0.37356464144298934</v>
      </c>
      <c r="L9" s="63"/>
    </row>
    <row r="10" spans="1:12">
      <c r="A10" s="151" t="str">
        <f>Agriculture!A12</f>
        <v>Agriculture</v>
      </c>
      <c r="B10" s="232">
        <f>Agriculture!C12</f>
        <v>2018</v>
      </c>
      <c r="C10" s="40" t="str">
        <f>Agriculture!D12</f>
        <v>LDPE</v>
      </c>
      <c r="D10" s="55">
        <f>Agriculture!E12</f>
        <v>622.8710048492452</v>
      </c>
      <c r="E10" s="40" t="str">
        <f>Agriculture!F12</f>
        <v xml:space="preserve">Combined from TNO Sieger Henke and Statistics - APE Europe [WWW Document], n.d. URL https://web.archive.org/web/20230930160250/https://apeeurope.eu/statistics/ (accessed 3.27.24). </v>
      </c>
      <c r="F10" s="29">
        <v>1</v>
      </c>
      <c r="G10" s="9">
        <v>2</v>
      </c>
      <c r="H10" s="9">
        <v>2</v>
      </c>
      <c r="I10" s="9">
        <v>1</v>
      </c>
      <c r="J10" s="9">
        <v>2</v>
      </c>
      <c r="K10" s="159">
        <f t="shared" si="0"/>
        <v>0.37356464144298934</v>
      </c>
      <c r="L10" s="63"/>
    </row>
    <row r="11" spans="1:12" ht="15" thickBot="1">
      <c r="A11" s="152" t="str">
        <f>Agriculture!A17</f>
        <v>Agriculture</v>
      </c>
      <c r="B11" s="233">
        <f>Agriculture!C17</f>
        <v>2019</v>
      </c>
      <c r="C11" s="41" t="str">
        <f>Agriculture!D17</f>
        <v>LDPE</v>
      </c>
      <c r="D11" s="56">
        <f>Agriculture!E17</f>
        <v>625.28945002619776</v>
      </c>
      <c r="E11" s="41" t="str">
        <f>Agriculture!F17</f>
        <v xml:space="preserve">Combined from TNO Sieger Henke and Statistics - APE Europe [WWW Document], n.d. URL https://web.archive.org/web/20230930160250/https://apeeurope.eu/statistics/ (accessed 3.27.24). </v>
      </c>
      <c r="F11" s="30">
        <v>1</v>
      </c>
      <c r="G11" s="12">
        <v>2</v>
      </c>
      <c r="H11" s="12">
        <v>2</v>
      </c>
      <c r="I11" s="12">
        <v>1</v>
      </c>
      <c r="J11" s="12">
        <v>2</v>
      </c>
      <c r="K11" s="160">
        <f t="shared" si="0"/>
        <v>0.37356464144298934</v>
      </c>
      <c r="L11" s="62"/>
    </row>
    <row r="12" spans="1:12">
      <c r="A12" s="150" t="s">
        <v>109</v>
      </c>
      <c r="B12" s="799">
        <v>2015</v>
      </c>
      <c r="C12" s="638" t="s">
        <v>94</v>
      </c>
      <c r="D12" s="799">
        <v>400</v>
      </c>
      <c r="E12" s="638" t="s">
        <v>126</v>
      </c>
      <c r="F12" s="28">
        <v>1</v>
      </c>
      <c r="G12" s="11">
        <v>1</v>
      </c>
      <c r="H12" s="11">
        <v>1</v>
      </c>
      <c r="I12" s="11">
        <v>2</v>
      </c>
      <c r="J12" s="11">
        <v>2</v>
      </c>
      <c r="K12" s="158">
        <f t="shared" si="0"/>
        <v>0.35859414261160716</v>
      </c>
      <c r="L12" s="51" t="s">
        <v>111</v>
      </c>
    </row>
    <row r="13" spans="1:12">
      <c r="A13" s="151" t="s">
        <v>109</v>
      </c>
      <c r="B13" s="59">
        <v>2013</v>
      </c>
      <c r="C13" s="336" t="s">
        <v>94</v>
      </c>
      <c r="D13" s="59">
        <v>468</v>
      </c>
      <c r="E13" s="336" t="s">
        <v>126</v>
      </c>
      <c r="F13" s="29">
        <v>1</v>
      </c>
      <c r="G13" s="9">
        <v>1</v>
      </c>
      <c r="H13" s="9">
        <v>1</v>
      </c>
      <c r="I13" s="9">
        <v>2</v>
      </c>
      <c r="J13" s="9">
        <v>2</v>
      </c>
      <c r="K13" s="159">
        <f t="shared" si="0"/>
        <v>0.35859414261160716</v>
      </c>
      <c r="L13" s="52" t="s">
        <v>111</v>
      </c>
    </row>
    <row r="14" spans="1:12">
      <c r="A14" s="151" t="s">
        <v>109</v>
      </c>
      <c r="B14" s="59">
        <v>2016</v>
      </c>
      <c r="C14" s="336" t="s">
        <v>94</v>
      </c>
      <c r="D14" s="59">
        <v>551</v>
      </c>
      <c r="E14" s="336" t="s">
        <v>126</v>
      </c>
      <c r="F14" s="29">
        <v>1</v>
      </c>
      <c r="G14" s="9">
        <v>1</v>
      </c>
      <c r="H14" s="9">
        <v>1</v>
      </c>
      <c r="I14" s="9">
        <v>2</v>
      </c>
      <c r="J14" s="9">
        <v>2</v>
      </c>
      <c r="K14" s="159">
        <f t="shared" si="0"/>
        <v>0.35859414261160716</v>
      </c>
      <c r="L14" s="52" t="s">
        <v>111</v>
      </c>
    </row>
    <row r="15" spans="1:12">
      <c r="A15" s="151" t="s">
        <v>109</v>
      </c>
      <c r="B15" s="59">
        <v>2003</v>
      </c>
      <c r="C15" s="336" t="s">
        <v>94</v>
      </c>
      <c r="D15" s="59">
        <v>613</v>
      </c>
      <c r="E15" s="336" t="s">
        <v>126</v>
      </c>
      <c r="F15" s="29">
        <v>1</v>
      </c>
      <c r="G15" s="9">
        <v>1</v>
      </c>
      <c r="H15" s="9">
        <v>1</v>
      </c>
      <c r="I15" s="9">
        <v>2</v>
      </c>
      <c r="J15" s="9">
        <v>2</v>
      </c>
      <c r="K15" s="159">
        <f t="shared" si="0"/>
        <v>0.35859414261160716</v>
      </c>
      <c r="L15" s="52" t="s">
        <v>111</v>
      </c>
    </row>
    <row r="16" spans="1:12">
      <c r="A16" s="151" t="s">
        <v>109</v>
      </c>
      <c r="B16" s="59">
        <v>2012</v>
      </c>
      <c r="C16" s="336" t="s">
        <v>94</v>
      </c>
      <c r="D16" s="59">
        <v>624</v>
      </c>
      <c r="E16" s="336" t="s">
        <v>126</v>
      </c>
      <c r="F16" s="29">
        <v>1</v>
      </c>
      <c r="G16" s="9">
        <v>1</v>
      </c>
      <c r="H16" s="9">
        <v>1</v>
      </c>
      <c r="I16" s="9">
        <v>2</v>
      </c>
      <c r="J16" s="9">
        <v>2</v>
      </c>
      <c r="K16" s="159">
        <f t="shared" si="0"/>
        <v>0.35859414261160716</v>
      </c>
      <c r="L16" s="52" t="s">
        <v>111</v>
      </c>
    </row>
    <row r="17" spans="1:12">
      <c r="A17" s="151" t="s">
        <v>109</v>
      </c>
      <c r="B17" s="59">
        <v>2020</v>
      </c>
      <c r="C17" s="336" t="s">
        <v>94</v>
      </c>
      <c r="D17" s="59">
        <v>661</v>
      </c>
      <c r="E17" s="336" t="s">
        <v>126</v>
      </c>
      <c r="F17" s="29">
        <v>1</v>
      </c>
      <c r="G17" s="9">
        <v>1</v>
      </c>
      <c r="H17" s="9">
        <v>1</v>
      </c>
      <c r="I17" s="9">
        <v>2</v>
      </c>
      <c r="J17" s="9">
        <v>2</v>
      </c>
      <c r="K17" s="159">
        <f t="shared" si="0"/>
        <v>0.35859414261160716</v>
      </c>
      <c r="L17" s="52" t="s">
        <v>111</v>
      </c>
    </row>
    <row r="18" spans="1:12">
      <c r="A18" s="151" t="s">
        <v>109</v>
      </c>
      <c r="B18" s="59">
        <v>2017</v>
      </c>
      <c r="C18" s="336" t="s">
        <v>94</v>
      </c>
      <c r="D18" s="59">
        <v>683</v>
      </c>
      <c r="E18" s="336" t="s">
        <v>126</v>
      </c>
      <c r="F18" s="29">
        <v>1</v>
      </c>
      <c r="G18" s="9">
        <v>1</v>
      </c>
      <c r="H18" s="9">
        <v>1</v>
      </c>
      <c r="I18" s="9">
        <v>2</v>
      </c>
      <c r="J18" s="9">
        <v>2</v>
      </c>
      <c r="K18" s="159">
        <f t="shared" si="0"/>
        <v>0.35859414261160716</v>
      </c>
      <c r="L18" s="52" t="s">
        <v>111</v>
      </c>
    </row>
    <row r="19" spans="1:12">
      <c r="A19" s="151" t="s">
        <v>109</v>
      </c>
      <c r="B19" s="59">
        <v>2018</v>
      </c>
      <c r="C19" s="336" t="s">
        <v>94</v>
      </c>
      <c r="D19" s="59">
        <v>683</v>
      </c>
      <c r="E19" s="336" t="s">
        <v>126</v>
      </c>
      <c r="F19" s="29">
        <v>1</v>
      </c>
      <c r="G19" s="9">
        <v>1</v>
      </c>
      <c r="H19" s="9">
        <v>1</v>
      </c>
      <c r="I19" s="9">
        <v>2</v>
      </c>
      <c r="J19" s="9">
        <v>2</v>
      </c>
      <c r="K19" s="159">
        <f t="shared" si="0"/>
        <v>0.35859414261160716</v>
      </c>
      <c r="L19" s="52" t="s">
        <v>111</v>
      </c>
    </row>
    <row r="20" spans="1:12">
      <c r="A20" s="151" t="s">
        <v>109</v>
      </c>
      <c r="B20" s="59">
        <v>2019</v>
      </c>
      <c r="C20" s="336" t="s">
        <v>94</v>
      </c>
      <c r="D20" s="59">
        <v>683</v>
      </c>
      <c r="E20" s="336" t="s">
        <v>126</v>
      </c>
      <c r="F20" s="29">
        <v>1</v>
      </c>
      <c r="G20" s="9">
        <v>1</v>
      </c>
      <c r="H20" s="9">
        <v>1</v>
      </c>
      <c r="I20" s="9">
        <v>2</v>
      </c>
      <c r="J20" s="9">
        <v>2</v>
      </c>
      <c r="K20" s="159">
        <f t="shared" si="0"/>
        <v>0.35859414261160716</v>
      </c>
      <c r="L20" s="52" t="s">
        <v>111</v>
      </c>
    </row>
    <row r="21" spans="1:12">
      <c r="A21" s="151" t="s">
        <v>109</v>
      </c>
      <c r="B21" s="59">
        <v>2010</v>
      </c>
      <c r="C21" s="336" t="s">
        <v>94</v>
      </c>
      <c r="D21" s="59">
        <v>691</v>
      </c>
      <c r="E21" s="336" t="s">
        <v>126</v>
      </c>
      <c r="F21" s="29">
        <v>1</v>
      </c>
      <c r="G21" s="9">
        <v>1</v>
      </c>
      <c r="H21" s="9">
        <v>1</v>
      </c>
      <c r="I21" s="9">
        <v>2</v>
      </c>
      <c r="J21" s="9">
        <v>2</v>
      </c>
      <c r="K21" s="159">
        <f t="shared" si="0"/>
        <v>0.35859414261160716</v>
      </c>
      <c r="L21" s="52" t="s">
        <v>111</v>
      </c>
    </row>
    <row r="22" spans="1:12">
      <c r="A22" s="151" t="s">
        <v>109</v>
      </c>
      <c r="B22" s="59">
        <v>2009</v>
      </c>
      <c r="C22" s="336" t="s">
        <v>94</v>
      </c>
      <c r="D22" s="59">
        <v>698</v>
      </c>
      <c r="E22" s="336" t="s">
        <v>126</v>
      </c>
      <c r="F22" s="29">
        <v>1</v>
      </c>
      <c r="G22" s="9">
        <v>1</v>
      </c>
      <c r="H22" s="9">
        <v>1</v>
      </c>
      <c r="I22" s="9">
        <v>2</v>
      </c>
      <c r="J22" s="9">
        <v>2</v>
      </c>
      <c r="K22" s="159">
        <f t="shared" si="0"/>
        <v>0.35859414261160716</v>
      </c>
      <c r="L22" s="52" t="s">
        <v>111</v>
      </c>
    </row>
    <row r="23" spans="1:12">
      <c r="A23" s="151" t="s">
        <v>109</v>
      </c>
      <c r="B23" s="59">
        <v>2005</v>
      </c>
      <c r="C23" s="336" t="s">
        <v>94</v>
      </c>
      <c r="D23" s="59">
        <v>702</v>
      </c>
      <c r="E23" s="336" t="s">
        <v>126</v>
      </c>
      <c r="F23" s="29">
        <v>1</v>
      </c>
      <c r="G23" s="9">
        <v>1</v>
      </c>
      <c r="H23" s="9">
        <v>1</v>
      </c>
      <c r="I23" s="9">
        <v>2</v>
      </c>
      <c r="J23" s="9">
        <v>2</v>
      </c>
      <c r="K23" s="159">
        <f t="shared" si="0"/>
        <v>0.35859414261160716</v>
      </c>
      <c r="L23" s="52" t="s">
        <v>111</v>
      </c>
    </row>
    <row r="24" spans="1:12">
      <c r="A24" s="151" t="s">
        <v>109</v>
      </c>
      <c r="B24" s="59">
        <v>2021</v>
      </c>
      <c r="C24" s="336" t="s">
        <v>94</v>
      </c>
      <c r="D24" s="59">
        <v>710</v>
      </c>
      <c r="E24" s="336" t="s">
        <v>126</v>
      </c>
      <c r="F24" s="29">
        <v>1</v>
      </c>
      <c r="G24" s="9">
        <v>1</v>
      </c>
      <c r="H24" s="9">
        <v>1</v>
      </c>
      <c r="I24" s="9">
        <v>2</v>
      </c>
      <c r="J24" s="9">
        <v>2</v>
      </c>
      <c r="K24" s="159">
        <f t="shared" si="0"/>
        <v>0.35859414261160716</v>
      </c>
      <c r="L24" s="52" t="s">
        <v>111</v>
      </c>
    </row>
    <row r="25" spans="1:12">
      <c r="A25" s="151" t="s">
        <v>109</v>
      </c>
      <c r="B25" s="59">
        <v>2004</v>
      </c>
      <c r="C25" s="336" t="s">
        <v>94</v>
      </c>
      <c r="D25" s="59">
        <v>724</v>
      </c>
      <c r="E25" s="336" t="s">
        <v>126</v>
      </c>
      <c r="F25" s="29">
        <v>1</v>
      </c>
      <c r="G25" s="9">
        <v>1</v>
      </c>
      <c r="H25" s="9">
        <v>1</v>
      </c>
      <c r="I25" s="9">
        <v>2</v>
      </c>
      <c r="J25" s="9">
        <v>2</v>
      </c>
      <c r="K25" s="159">
        <f t="shared" si="0"/>
        <v>0.35859414261160716</v>
      </c>
      <c r="L25" s="52" t="s">
        <v>111</v>
      </c>
    </row>
    <row r="26" spans="1:12">
      <c r="A26" s="151" t="s">
        <v>109</v>
      </c>
      <c r="B26" s="59">
        <v>2006</v>
      </c>
      <c r="C26" s="336" t="s">
        <v>94</v>
      </c>
      <c r="D26" s="59">
        <v>736</v>
      </c>
      <c r="E26" s="336" t="s">
        <v>126</v>
      </c>
      <c r="F26" s="29">
        <v>1</v>
      </c>
      <c r="G26" s="9">
        <v>1</v>
      </c>
      <c r="H26" s="9">
        <v>1</v>
      </c>
      <c r="I26" s="9">
        <v>2</v>
      </c>
      <c r="J26" s="9">
        <v>2</v>
      </c>
      <c r="K26" s="159">
        <f t="shared" si="0"/>
        <v>0.35859414261160716</v>
      </c>
      <c r="L26" s="52" t="s">
        <v>111</v>
      </c>
    </row>
    <row r="27" spans="1:12">
      <c r="A27" s="151" t="s">
        <v>109</v>
      </c>
      <c r="B27" s="59">
        <v>2014</v>
      </c>
      <c r="C27" s="336" t="s">
        <v>94</v>
      </c>
      <c r="D27" s="59">
        <v>737</v>
      </c>
      <c r="E27" s="336" t="s">
        <v>126</v>
      </c>
      <c r="F27" s="29">
        <v>1</v>
      </c>
      <c r="G27" s="9">
        <v>1</v>
      </c>
      <c r="H27" s="9">
        <v>1</v>
      </c>
      <c r="I27" s="9">
        <v>2</v>
      </c>
      <c r="J27" s="9">
        <v>2</v>
      </c>
      <c r="K27" s="159">
        <f t="shared" si="0"/>
        <v>0.35859414261160716</v>
      </c>
      <c r="L27" s="52" t="s">
        <v>111</v>
      </c>
    </row>
    <row r="28" spans="1:12">
      <c r="A28" s="151" t="s">
        <v>109</v>
      </c>
      <c r="B28" s="59">
        <v>2011</v>
      </c>
      <c r="C28" s="336" t="s">
        <v>94</v>
      </c>
      <c r="D28" s="59">
        <v>790</v>
      </c>
      <c r="E28" s="336" t="s">
        <v>126</v>
      </c>
      <c r="F28" s="29">
        <v>1</v>
      </c>
      <c r="G28" s="9">
        <v>1</v>
      </c>
      <c r="H28" s="9">
        <v>1</v>
      </c>
      <c r="I28" s="9">
        <v>2</v>
      </c>
      <c r="J28" s="9">
        <v>2</v>
      </c>
      <c r="K28" s="159">
        <f t="shared" si="0"/>
        <v>0.35859414261160716</v>
      </c>
      <c r="L28" s="52" t="s">
        <v>111</v>
      </c>
    </row>
    <row r="29" spans="1:12">
      <c r="A29" s="151" t="s">
        <v>109</v>
      </c>
      <c r="B29" s="59">
        <v>2013</v>
      </c>
      <c r="C29" s="336" t="s">
        <v>96</v>
      </c>
      <c r="D29" s="59">
        <v>837</v>
      </c>
      <c r="E29" s="336" t="s">
        <v>126</v>
      </c>
      <c r="F29" s="29">
        <v>1</v>
      </c>
      <c r="G29" s="9">
        <v>1</v>
      </c>
      <c r="H29" s="9">
        <v>1</v>
      </c>
      <c r="I29" s="9">
        <v>2</v>
      </c>
      <c r="J29" s="9">
        <v>2</v>
      </c>
      <c r="K29" s="159">
        <f t="shared" si="0"/>
        <v>0.35859414261160716</v>
      </c>
      <c r="L29" s="52" t="s">
        <v>111</v>
      </c>
    </row>
    <row r="30" spans="1:12">
      <c r="A30" s="151" t="s">
        <v>109</v>
      </c>
      <c r="B30" s="59">
        <v>2008</v>
      </c>
      <c r="C30" s="336" t="s">
        <v>94</v>
      </c>
      <c r="D30" s="59">
        <v>860</v>
      </c>
      <c r="E30" s="336" t="s">
        <v>126</v>
      </c>
      <c r="F30" s="29">
        <v>1</v>
      </c>
      <c r="G30" s="9">
        <v>1</v>
      </c>
      <c r="H30" s="9">
        <v>1</v>
      </c>
      <c r="I30" s="9">
        <v>2</v>
      </c>
      <c r="J30" s="9">
        <v>2</v>
      </c>
      <c r="K30" s="159">
        <f t="shared" si="0"/>
        <v>0.35859414261160716</v>
      </c>
      <c r="L30" s="52" t="s">
        <v>111</v>
      </c>
    </row>
    <row r="31" spans="1:12">
      <c r="A31" s="151" t="s">
        <v>109</v>
      </c>
      <c r="B31" s="59">
        <v>2012</v>
      </c>
      <c r="C31" s="336" t="s">
        <v>96</v>
      </c>
      <c r="D31" s="59">
        <v>894</v>
      </c>
      <c r="E31" s="336" t="s">
        <v>126</v>
      </c>
      <c r="F31" s="29">
        <v>1</v>
      </c>
      <c r="G31" s="9">
        <v>1</v>
      </c>
      <c r="H31" s="9">
        <v>1</v>
      </c>
      <c r="I31" s="9">
        <v>2</v>
      </c>
      <c r="J31" s="9">
        <v>2</v>
      </c>
      <c r="K31" s="159">
        <f t="shared" si="0"/>
        <v>0.35859414261160716</v>
      </c>
      <c r="L31" s="52" t="s">
        <v>111</v>
      </c>
    </row>
    <row r="32" spans="1:12">
      <c r="A32" s="151" t="s">
        <v>109</v>
      </c>
      <c r="B32" s="59">
        <v>2007</v>
      </c>
      <c r="C32" s="336" t="s">
        <v>94</v>
      </c>
      <c r="D32" s="59">
        <v>969</v>
      </c>
      <c r="E32" s="336" t="s">
        <v>126</v>
      </c>
      <c r="F32" s="29">
        <v>1</v>
      </c>
      <c r="G32" s="9">
        <v>1</v>
      </c>
      <c r="H32" s="9">
        <v>1</v>
      </c>
      <c r="I32" s="9">
        <v>2</v>
      </c>
      <c r="J32" s="9">
        <v>2</v>
      </c>
      <c r="K32" s="159">
        <f t="shared" si="0"/>
        <v>0.35859414261160716</v>
      </c>
      <c r="L32" s="52" t="s">
        <v>111</v>
      </c>
    </row>
    <row r="33" spans="1:12">
      <c r="A33" s="151" t="s">
        <v>109</v>
      </c>
      <c r="B33" s="59">
        <v>2015</v>
      </c>
      <c r="C33" s="336" t="s">
        <v>96</v>
      </c>
      <c r="D33" s="59">
        <v>973</v>
      </c>
      <c r="E33" s="336" t="s">
        <v>126</v>
      </c>
      <c r="F33" s="29">
        <v>1</v>
      </c>
      <c r="G33" s="9">
        <v>1</v>
      </c>
      <c r="H33" s="9">
        <v>1</v>
      </c>
      <c r="I33" s="9">
        <v>2</v>
      </c>
      <c r="J33" s="9">
        <v>2</v>
      </c>
      <c r="K33" s="159">
        <f t="shared" si="0"/>
        <v>0.35859414261160716</v>
      </c>
      <c r="L33" s="52" t="s">
        <v>111</v>
      </c>
    </row>
    <row r="34" spans="1:12">
      <c r="A34" s="151" t="s">
        <v>109</v>
      </c>
      <c r="B34" s="59">
        <v>2014</v>
      </c>
      <c r="C34" s="336" t="s">
        <v>96</v>
      </c>
      <c r="D34" s="59">
        <v>1092</v>
      </c>
      <c r="E34" s="336" t="s">
        <v>126</v>
      </c>
      <c r="F34" s="29">
        <v>1</v>
      </c>
      <c r="G34" s="9">
        <v>1</v>
      </c>
      <c r="H34" s="9">
        <v>1</v>
      </c>
      <c r="I34" s="9">
        <v>2</v>
      </c>
      <c r="J34" s="9">
        <v>2</v>
      </c>
      <c r="K34" s="159">
        <f t="shared" si="0"/>
        <v>0.35859414261160716</v>
      </c>
      <c r="L34" s="52" t="s">
        <v>111</v>
      </c>
    </row>
    <row r="35" spans="1:12">
      <c r="A35" s="151" t="s">
        <v>109</v>
      </c>
      <c r="B35" s="59">
        <v>2020</v>
      </c>
      <c r="C35" s="336" t="s">
        <v>96</v>
      </c>
      <c r="D35" s="59">
        <v>1130</v>
      </c>
      <c r="E35" s="336" t="s">
        <v>126</v>
      </c>
      <c r="F35" s="29">
        <v>1</v>
      </c>
      <c r="G35" s="9">
        <v>1</v>
      </c>
      <c r="H35" s="9">
        <v>1</v>
      </c>
      <c r="I35" s="9">
        <v>2</v>
      </c>
      <c r="J35" s="9">
        <v>2</v>
      </c>
      <c r="K35" s="159">
        <f t="shared" si="0"/>
        <v>0.35859414261160716</v>
      </c>
      <c r="L35" s="52" t="s">
        <v>111</v>
      </c>
    </row>
    <row r="36" spans="1:12">
      <c r="A36" s="151" t="s">
        <v>109</v>
      </c>
      <c r="B36" s="59">
        <v>2006</v>
      </c>
      <c r="C36" s="336" t="s">
        <v>96</v>
      </c>
      <c r="D36" s="59">
        <v>1135</v>
      </c>
      <c r="E36" s="336" t="s">
        <v>126</v>
      </c>
      <c r="F36" s="29">
        <v>1</v>
      </c>
      <c r="G36" s="9">
        <v>1</v>
      </c>
      <c r="H36" s="9">
        <v>1</v>
      </c>
      <c r="I36" s="9">
        <v>2</v>
      </c>
      <c r="J36" s="9">
        <v>2</v>
      </c>
      <c r="K36" s="159">
        <f t="shared" si="0"/>
        <v>0.35859414261160716</v>
      </c>
      <c r="L36" s="52" t="s">
        <v>111</v>
      </c>
    </row>
    <row r="37" spans="1:12">
      <c r="A37" s="151" t="s">
        <v>109</v>
      </c>
      <c r="B37" s="59">
        <v>2004</v>
      </c>
      <c r="C37" s="336" t="s">
        <v>96</v>
      </c>
      <c r="D37" s="59">
        <v>1138</v>
      </c>
      <c r="E37" s="336" t="s">
        <v>126</v>
      </c>
      <c r="F37" s="29">
        <v>1</v>
      </c>
      <c r="G37" s="9">
        <v>1</v>
      </c>
      <c r="H37" s="9">
        <v>1</v>
      </c>
      <c r="I37" s="9">
        <v>2</v>
      </c>
      <c r="J37" s="9">
        <v>2</v>
      </c>
      <c r="K37" s="159">
        <f t="shared" si="0"/>
        <v>0.35859414261160716</v>
      </c>
      <c r="L37" s="52" t="s">
        <v>111</v>
      </c>
    </row>
    <row r="38" spans="1:12">
      <c r="A38" s="151" t="s">
        <v>109</v>
      </c>
      <c r="B38" s="59">
        <v>2016</v>
      </c>
      <c r="C38" s="336" t="s">
        <v>96</v>
      </c>
      <c r="D38" s="59">
        <v>1139</v>
      </c>
      <c r="E38" s="336" t="s">
        <v>126</v>
      </c>
      <c r="F38" s="29">
        <v>1</v>
      </c>
      <c r="G38" s="9">
        <v>1</v>
      </c>
      <c r="H38" s="9">
        <v>1</v>
      </c>
      <c r="I38" s="9">
        <v>2</v>
      </c>
      <c r="J38" s="9">
        <v>2</v>
      </c>
      <c r="K38" s="159">
        <f t="shared" si="0"/>
        <v>0.35859414261160716</v>
      </c>
      <c r="L38" s="52" t="s">
        <v>111</v>
      </c>
    </row>
    <row r="39" spans="1:12">
      <c r="A39" s="151" t="s">
        <v>109</v>
      </c>
      <c r="B39" s="59">
        <v>2005</v>
      </c>
      <c r="C39" s="336" t="s">
        <v>89</v>
      </c>
      <c r="D39" s="59">
        <v>1178</v>
      </c>
      <c r="E39" s="336" t="s">
        <v>126</v>
      </c>
      <c r="F39" s="29">
        <v>1</v>
      </c>
      <c r="G39" s="9">
        <v>1</v>
      </c>
      <c r="H39" s="9">
        <v>1</v>
      </c>
      <c r="I39" s="9">
        <v>2</v>
      </c>
      <c r="J39" s="9">
        <v>2</v>
      </c>
      <c r="K39" s="159">
        <f t="shared" si="0"/>
        <v>0.35859414261160716</v>
      </c>
      <c r="L39" s="52" t="s">
        <v>111</v>
      </c>
    </row>
    <row r="40" spans="1:12">
      <c r="A40" s="151" t="s">
        <v>109</v>
      </c>
      <c r="B40" s="59">
        <v>2005</v>
      </c>
      <c r="C40" s="336" t="s">
        <v>96</v>
      </c>
      <c r="D40" s="59">
        <v>1194</v>
      </c>
      <c r="E40" s="336" t="s">
        <v>126</v>
      </c>
      <c r="F40" s="29">
        <v>1</v>
      </c>
      <c r="G40" s="9">
        <v>1</v>
      </c>
      <c r="H40" s="9">
        <v>1</v>
      </c>
      <c r="I40" s="9">
        <v>2</v>
      </c>
      <c r="J40" s="9">
        <v>2</v>
      </c>
      <c r="K40" s="159">
        <f t="shared" si="0"/>
        <v>0.35859414261160716</v>
      </c>
      <c r="L40" s="52" t="s">
        <v>111</v>
      </c>
    </row>
    <row r="41" spans="1:12">
      <c r="A41" s="151" t="s">
        <v>109</v>
      </c>
      <c r="B41" s="59">
        <v>2017</v>
      </c>
      <c r="C41" s="336" t="s">
        <v>96</v>
      </c>
      <c r="D41" s="59">
        <v>1203</v>
      </c>
      <c r="E41" s="336" t="s">
        <v>126</v>
      </c>
      <c r="F41" s="29">
        <v>1</v>
      </c>
      <c r="G41" s="9">
        <v>1</v>
      </c>
      <c r="H41" s="9">
        <v>1</v>
      </c>
      <c r="I41" s="9">
        <v>2</v>
      </c>
      <c r="J41" s="9">
        <v>2</v>
      </c>
      <c r="K41" s="159">
        <f t="shared" si="0"/>
        <v>0.35859414261160716</v>
      </c>
      <c r="L41" s="52" t="s">
        <v>111</v>
      </c>
    </row>
    <row r="42" spans="1:12">
      <c r="A42" s="151" t="s">
        <v>109</v>
      </c>
      <c r="B42" s="59">
        <v>2018</v>
      </c>
      <c r="C42" s="336" t="s">
        <v>96</v>
      </c>
      <c r="D42" s="59">
        <v>1203</v>
      </c>
      <c r="E42" s="336" t="s">
        <v>126</v>
      </c>
      <c r="F42" s="29">
        <v>1</v>
      </c>
      <c r="G42" s="9">
        <v>1</v>
      </c>
      <c r="H42" s="9">
        <v>1</v>
      </c>
      <c r="I42" s="9">
        <v>2</v>
      </c>
      <c r="J42" s="9">
        <v>2</v>
      </c>
      <c r="K42" s="159">
        <f t="shared" si="0"/>
        <v>0.35859414261160716</v>
      </c>
      <c r="L42" s="52" t="s">
        <v>111</v>
      </c>
    </row>
    <row r="43" spans="1:12">
      <c r="A43" s="151" t="s">
        <v>109</v>
      </c>
      <c r="B43" s="59">
        <v>2019</v>
      </c>
      <c r="C43" s="336" t="s">
        <v>96</v>
      </c>
      <c r="D43" s="59">
        <v>1203</v>
      </c>
      <c r="E43" s="336" t="s">
        <v>126</v>
      </c>
      <c r="F43" s="29">
        <v>1</v>
      </c>
      <c r="G43" s="9">
        <v>1</v>
      </c>
      <c r="H43" s="9">
        <v>1</v>
      </c>
      <c r="I43" s="9">
        <v>2</v>
      </c>
      <c r="J43" s="9">
        <v>2</v>
      </c>
      <c r="K43" s="159">
        <f t="shared" si="0"/>
        <v>0.35859414261160716</v>
      </c>
      <c r="L43" s="52" t="s">
        <v>111</v>
      </c>
    </row>
    <row r="44" spans="1:12">
      <c r="A44" s="151" t="s">
        <v>109</v>
      </c>
      <c r="B44" s="59">
        <v>2006</v>
      </c>
      <c r="C44" s="336" t="s">
        <v>89</v>
      </c>
      <c r="D44" s="59">
        <v>1225</v>
      </c>
      <c r="E44" s="336" t="s">
        <v>126</v>
      </c>
      <c r="F44" s="29">
        <v>1</v>
      </c>
      <c r="G44" s="9">
        <v>1</v>
      </c>
      <c r="H44" s="9">
        <v>1</v>
      </c>
      <c r="I44" s="9">
        <v>2</v>
      </c>
      <c r="J44" s="9">
        <v>2</v>
      </c>
      <c r="K44" s="159">
        <f t="shared" si="0"/>
        <v>0.35859414261160716</v>
      </c>
      <c r="L44" s="52" t="s">
        <v>111</v>
      </c>
    </row>
    <row r="45" spans="1:12">
      <c r="A45" s="151" t="s">
        <v>109</v>
      </c>
      <c r="B45" s="59">
        <v>2010</v>
      </c>
      <c r="C45" s="336" t="s">
        <v>96</v>
      </c>
      <c r="D45" s="59">
        <v>1317</v>
      </c>
      <c r="E45" s="336" t="s">
        <v>126</v>
      </c>
      <c r="F45" s="29">
        <v>1</v>
      </c>
      <c r="G45" s="9">
        <v>1</v>
      </c>
      <c r="H45" s="9">
        <v>1</v>
      </c>
      <c r="I45" s="9">
        <v>2</v>
      </c>
      <c r="J45" s="9">
        <v>2</v>
      </c>
      <c r="K45" s="159">
        <f t="shared" si="0"/>
        <v>0.35859414261160716</v>
      </c>
      <c r="L45" s="52" t="s">
        <v>111</v>
      </c>
    </row>
    <row r="46" spans="1:12">
      <c r="A46" s="151" t="s">
        <v>109</v>
      </c>
      <c r="B46" s="59">
        <v>2021</v>
      </c>
      <c r="C46" s="336" t="s">
        <v>96</v>
      </c>
      <c r="D46" s="59">
        <v>1323</v>
      </c>
      <c r="E46" s="336" t="s">
        <v>126</v>
      </c>
      <c r="F46" s="29">
        <v>1</v>
      </c>
      <c r="G46" s="9">
        <v>1</v>
      </c>
      <c r="H46" s="9">
        <v>1</v>
      </c>
      <c r="I46" s="9">
        <v>2</v>
      </c>
      <c r="J46" s="9">
        <v>2</v>
      </c>
      <c r="K46" s="159">
        <f t="shared" si="0"/>
        <v>0.35859414261160716</v>
      </c>
      <c r="L46" s="52" t="s">
        <v>111</v>
      </c>
    </row>
    <row r="47" spans="1:12">
      <c r="A47" s="151" t="s">
        <v>109</v>
      </c>
      <c r="B47" s="59">
        <v>2003</v>
      </c>
      <c r="C47" s="336" t="s">
        <v>96</v>
      </c>
      <c r="D47" s="59">
        <v>1330</v>
      </c>
      <c r="E47" s="336" t="s">
        <v>126</v>
      </c>
      <c r="F47" s="29">
        <v>1</v>
      </c>
      <c r="G47" s="9">
        <v>1</v>
      </c>
      <c r="H47" s="9">
        <v>1</v>
      </c>
      <c r="I47" s="9">
        <v>2</v>
      </c>
      <c r="J47" s="9">
        <v>2</v>
      </c>
      <c r="K47" s="159">
        <f t="shared" si="0"/>
        <v>0.35859414261160716</v>
      </c>
      <c r="L47" s="52" t="s">
        <v>111</v>
      </c>
    </row>
    <row r="48" spans="1:12">
      <c r="A48" s="151" t="s">
        <v>109</v>
      </c>
      <c r="B48" s="59">
        <v>2004</v>
      </c>
      <c r="C48" s="336" t="s">
        <v>89</v>
      </c>
      <c r="D48" s="59">
        <v>1334</v>
      </c>
      <c r="E48" s="336" t="s">
        <v>126</v>
      </c>
      <c r="F48" s="29">
        <v>1</v>
      </c>
      <c r="G48" s="9">
        <v>1</v>
      </c>
      <c r="H48" s="9">
        <v>1</v>
      </c>
      <c r="I48" s="9">
        <v>2</v>
      </c>
      <c r="J48" s="9">
        <v>2</v>
      </c>
      <c r="K48" s="159">
        <f t="shared" si="0"/>
        <v>0.35859414261160716</v>
      </c>
      <c r="L48" s="52" t="s">
        <v>111</v>
      </c>
    </row>
    <row r="49" spans="1:12">
      <c r="A49" s="151" t="s">
        <v>109</v>
      </c>
      <c r="B49" s="59">
        <v>2009</v>
      </c>
      <c r="C49" s="336" t="s">
        <v>96</v>
      </c>
      <c r="D49" s="59">
        <v>1344</v>
      </c>
      <c r="E49" s="336" t="s">
        <v>126</v>
      </c>
      <c r="F49" s="29">
        <v>1</v>
      </c>
      <c r="G49" s="9">
        <v>1</v>
      </c>
      <c r="H49" s="9">
        <v>1</v>
      </c>
      <c r="I49" s="9">
        <v>2</v>
      </c>
      <c r="J49" s="9">
        <v>2</v>
      </c>
      <c r="K49" s="159">
        <f t="shared" si="0"/>
        <v>0.35859414261160716</v>
      </c>
      <c r="L49" s="52" t="s">
        <v>111</v>
      </c>
    </row>
    <row r="50" spans="1:12">
      <c r="A50" s="151" t="s">
        <v>109</v>
      </c>
      <c r="B50" s="59">
        <v>2008</v>
      </c>
      <c r="C50" s="336" t="s">
        <v>96</v>
      </c>
      <c r="D50" s="59">
        <v>1425</v>
      </c>
      <c r="E50" s="336" t="s">
        <v>126</v>
      </c>
      <c r="F50" s="29">
        <v>1</v>
      </c>
      <c r="G50" s="9">
        <v>1</v>
      </c>
      <c r="H50" s="9">
        <v>1</v>
      </c>
      <c r="I50" s="9">
        <v>2</v>
      </c>
      <c r="J50" s="9">
        <v>2</v>
      </c>
      <c r="K50" s="159">
        <f t="shared" si="0"/>
        <v>0.35859414261160716</v>
      </c>
      <c r="L50" s="52" t="s">
        <v>111</v>
      </c>
    </row>
    <row r="51" spans="1:12">
      <c r="A51" s="151" t="s">
        <v>109</v>
      </c>
      <c r="B51" s="59">
        <v>2007</v>
      </c>
      <c r="C51" s="336" t="s">
        <v>96</v>
      </c>
      <c r="D51" s="59">
        <v>1461</v>
      </c>
      <c r="E51" s="336" t="s">
        <v>126</v>
      </c>
      <c r="F51" s="29">
        <v>1</v>
      </c>
      <c r="G51" s="9">
        <v>1</v>
      </c>
      <c r="H51" s="9">
        <v>1</v>
      </c>
      <c r="I51" s="9">
        <v>2</v>
      </c>
      <c r="J51" s="9">
        <v>2</v>
      </c>
      <c r="K51" s="159">
        <f t="shared" si="0"/>
        <v>0.35859414261160716</v>
      </c>
      <c r="L51" s="52" t="s">
        <v>111</v>
      </c>
    </row>
    <row r="52" spans="1:12">
      <c r="A52" s="151" t="s">
        <v>109</v>
      </c>
      <c r="B52" s="59">
        <v>2003</v>
      </c>
      <c r="C52" s="336" t="s">
        <v>89</v>
      </c>
      <c r="D52" s="59">
        <v>1482</v>
      </c>
      <c r="E52" s="336" t="s">
        <v>126</v>
      </c>
      <c r="F52" s="29">
        <v>1</v>
      </c>
      <c r="G52" s="9">
        <v>1</v>
      </c>
      <c r="H52" s="9">
        <v>1</v>
      </c>
      <c r="I52" s="9">
        <v>2</v>
      </c>
      <c r="J52" s="9">
        <v>2</v>
      </c>
      <c r="K52" s="159">
        <f t="shared" si="0"/>
        <v>0.35859414261160716</v>
      </c>
      <c r="L52" s="52" t="s">
        <v>111</v>
      </c>
    </row>
    <row r="53" spans="1:12">
      <c r="A53" s="151" t="s">
        <v>109</v>
      </c>
      <c r="B53" s="59">
        <v>2008</v>
      </c>
      <c r="C53" s="336" t="s">
        <v>89</v>
      </c>
      <c r="D53" s="59">
        <v>1487</v>
      </c>
      <c r="E53" s="336" t="s">
        <v>126</v>
      </c>
      <c r="F53" s="29">
        <v>1</v>
      </c>
      <c r="G53" s="9">
        <v>1</v>
      </c>
      <c r="H53" s="9">
        <v>1</v>
      </c>
      <c r="I53" s="9">
        <v>2</v>
      </c>
      <c r="J53" s="9">
        <v>2</v>
      </c>
      <c r="K53" s="159">
        <f t="shared" si="0"/>
        <v>0.35859414261160716</v>
      </c>
      <c r="L53" s="52" t="s">
        <v>111</v>
      </c>
    </row>
    <row r="54" spans="1:12">
      <c r="A54" s="151" t="s">
        <v>109</v>
      </c>
      <c r="B54" s="59">
        <v>2011</v>
      </c>
      <c r="C54" s="336" t="s">
        <v>96</v>
      </c>
      <c r="D54" s="59">
        <v>1520</v>
      </c>
      <c r="E54" s="336" t="s">
        <v>126</v>
      </c>
      <c r="F54" s="29">
        <v>1</v>
      </c>
      <c r="G54" s="9">
        <v>1</v>
      </c>
      <c r="H54" s="9">
        <v>1</v>
      </c>
      <c r="I54" s="9">
        <v>2</v>
      </c>
      <c r="J54" s="9">
        <v>2</v>
      </c>
      <c r="K54" s="159">
        <f t="shared" si="0"/>
        <v>0.35859414261160716</v>
      </c>
      <c r="L54" s="52" t="s">
        <v>111</v>
      </c>
    </row>
    <row r="55" spans="1:12">
      <c r="A55" s="151" t="s">
        <v>109</v>
      </c>
      <c r="B55" s="59">
        <v>2007</v>
      </c>
      <c r="C55" s="336" t="s">
        <v>89</v>
      </c>
      <c r="D55" s="59">
        <v>1527</v>
      </c>
      <c r="E55" s="336" t="s">
        <v>126</v>
      </c>
      <c r="F55" s="29">
        <v>1</v>
      </c>
      <c r="G55" s="9">
        <v>1</v>
      </c>
      <c r="H55" s="9">
        <v>1</v>
      </c>
      <c r="I55" s="9">
        <v>2</v>
      </c>
      <c r="J55" s="9">
        <v>2</v>
      </c>
      <c r="K55" s="159">
        <f t="shared" si="0"/>
        <v>0.35859414261160716</v>
      </c>
      <c r="L55" s="52" t="s">
        <v>111</v>
      </c>
    </row>
    <row r="56" spans="1:12">
      <c r="A56" s="151" t="s">
        <v>109</v>
      </c>
      <c r="B56" s="59">
        <v>2011</v>
      </c>
      <c r="C56" s="336" t="s">
        <v>89</v>
      </c>
      <c r="D56" s="59">
        <v>1540</v>
      </c>
      <c r="E56" s="336" t="s">
        <v>126</v>
      </c>
      <c r="F56" s="29">
        <v>1</v>
      </c>
      <c r="G56" s="9">
        <v>1</v>
      </c>
      <c r="H56" s="9">
        <v>1</v>
      </c>
      <c r="I56" s="9">
        <v>2</v>
      </c>
      <c r="J56" s="9">
        <v>2</v>
      </c>
      <c r="K56" s="159">
        <f t="shared" si="0"/>
        <v>0.35859414261160716</v>
      </c>
      <c r="L56" s="52" t="s">
        <v>111</v>
      </c>
    </row>
    <row r="57" spans="1:12">
      <c r="A57" s="151" t="s">
        <v>109</v>
      </c>
      <c r="B57" s="59">
        <v>2016</v>
      </c>
      <c r="C57" s="336" t="s">
        <v>89</v>
      </c>
      <c r="D57" s="59">
        <v>1544</v>
      </c>
      <c r="E57" s="336" t="s">
        <v>126</v>
      </c>
      <c r="F57" s="29">
        <v>1</v>
      </c>
      <c r="G57" s="9">
        <v>1</v>
      </c>
      <c r="H57" s="9">
        <v>1</v>
      </c>
      <c r="I57" s="9">
        <v>2</v>
      </c>
      <c r="J57" s="9">
        <v>2</v>
      </c>
      <c r="K57" s="159">
        <f t="shared" ref="K57:K120" si="1">IF( OR( ISBLANK(F57),ISBLANK(G57), ISBLANK(H57), ISBLANK(I57), ISBLANK(J57) ), "", 1.5*SQRT(   EXP(2.21*(F57-1)) + EXP(2.21*(G57-1)) + EXP(2.21*(H57-1)) + EXP(2.21*(I57-1)) + EXP(2.21*J57)   )/100*2.45 )</f>
        <v>0.35859414261160716</v>
      </c>
      <c r="L57" s="52" t="s">
        <v>111</v>
      </c>
    </row>
    <row r="58" spans="1:12">
      <c r="A58" s="151" t="s">
        <v>109</v>
      </c>
      <c r="B58" s="59">
        <v>2015</v>
      </c>
      <c r="C58" s="336" t="s">
        <v>88</v>
      </c>
      <c r="D58" s="59">
        <v>1554</v>
      </c>
      <c r="E58" s="336" t="s">
        <v>126</v>
      </c>
      <c r="F58" s="29">
        <v>1</v>
      </c>
      <c r="G58" s="9">
        <v>1</v>
      </c>
      <c r="H58" s="9">
        <v>1</v>
      </c>
      <c r="I58" s="9">
        <v>2</v>
      </c>
      <c r="J58" s="9">
        <v>2</v>
      </c>
      <c r="K58" s="159">
        <f t="shared" si="1"/>
        <v>0.35859414261160716</v>
      </c>
      <c r="L58" s="52" t="s">
        <v>111</v>
      </c>
    </row>
    <row r="59" spans="1:12">
      <c r="A59" s="151" t="s">
        <v>109</v>
      </c>
      <c r="B59" s="59">
        <v>2010</v>
      </c>
      <c r="C59" s="336" t="s">
        <v>88</v>
      </c>
      <c r="D59" s="59">
        <v>1567</v>
      </c>
      <c r="E59" s="336" t="s">
        <v>126</v>
      </c>
      <c r="F59" s="29">
        <v>1</v>
      </c>
      <c r="G59" s="9">
        <v>1</v>
      </c>
      <c r="H59" s="9">
        <v>1</v>
      </c>
      <c r="I59" s="9">
        <v>2</v>
      </c>
      <c r="J59" s="9">
        <v>2</v>
      </c>
      <c r="K59" s="159">
        <f t="shared" si="1"/>
        <v>0.35859414261160716</v>
      </c>
      <c r="L59" s="52" t="s">
        <v>111</v>
      </c>
    </row>
    <row r="60" spans="1:12">
      <c r="A60" s="151" t="s">
        <v>109</v>
      </c>
      <c r="B60" s="59">
        <v>2017</v>
      </c>
      <c r="C60" s="336" t="s">
        <v>89</v>
      </c>
      <c r="D60" s="59">
        <v>1611</v>
      </c>
      <c r="E60" s="336" t="s">
        <v>126</v>
      </c>
      <c r="F60" s="29">
        <v>1</v>
      </c>
      <c r="G60" s="9">
        <v>1</v>
      </c>
      <c r="H60" s="9">
        <v>1</v>
      </c>
      <c r="I60" s="9">
        <v>2</v>
      </c>
      <c r="J60" s="9">
        <v>2</v>
      </c>
      <c r="K60" s="159">
        <f t="shared" si="1"/>
        <v>0.35859414261160716</v>
      </c>
      <c r="L60" s="52" t="s">
        <v>111</v>
      </c>
    </row>
    <row r="61" spans="1:12">
      <c r="A61" s="151" t="s">
        <v>109</v>
      </c>
      <c r="B61" s="59">
        <v>2018</v>
      </c>
      <c r="C61" s="336" t="s">
        <v>89</v>
      </c>
      <c r="D61" s="59">
        <v>1611</v>
      </c>
      <c r="E61" s="336" t="s">
        <v>126</v>
      </c>
      <c r="F61" s="29">
        <v>1</v>
      </c>
      <c r="G61" s="9">
        <v>1</v>
      </c>
      <c r="H61" s="9">
        <v>1</v>
      </c>
      <c r="I61" s="9">
        <v>2</v>
      </c>
      <c r="J61" s="9">
        <v>2</v>
      </c>
      <c r="K61" s="159">
        <f t="shared" si="1"/>
        <v>0.35859414261160716</v>
      </c>
      <c r="L61" s="52" t="s">
        <v>111</v>
      </c>
    </row>
    <row r="62" spans="1:12">
      <c r="A62" s="151" t="s">
        <v>109</v>
      </c>
      <c r="B62" s="59">
        <v>2019</v>
      </c>
      <c r="C62" s="336" t="s">
        <v>89</v>
      </c>
      <c r="D62" s="59">
        <v>1611</v>
      </c>
      <c r="E62" s="336" t="s">
        <v>126</v>
      </c>
      <c r="F62" s="29">
        <v>1</v>
      </c>
      <c r="G62" s="9">
        <v>1</v>
      </c>
      <c r="H62" s="9">
        <v>1</v>
      </c>
      <c r="I62" s="9">
        <v>2</v>
      </c>
      <c r="J62" s="9">
        <v>2</v>
      </c>
      <c r="K62" s="159">
        <f t="shared" si="1"/>
        <v>0.35859414261160716</v>
      </c>
      <c r="L62" s="52" t="s">
        <v>111</v>
      </c>
    </row>
    <row r="63" spans="1:12">
      <c r="A63" s="151" t="s">
        <v>109</v>
      </c>
      <c r="B63" s="59">
        <v>2015</v>
      </c>
      <c r="C63" s="336" t="s">
        <v>89</v>
      </c>
      <c r="D63" s="59">
        <v>1624</v>
      </c>
      <c r="E63" s="336" t="s">
        <v>126</v>
      </c>
      <c r="F63" s="29">
        <v>1</v>
      </c>
      <c r="G63" s="9">
        <v>1</v>
      </c>
      <c r="H63" s="9">
        <v>1</v>
      </c>
      <c r="I63" s="9">
        <v>2</v>
      </c>
      <c r="J63" s="9">
        <v>2</v>
      </c>
      <c r="K63" s="159">
        <f t="shared" si="1"/>
        <v>0.35859414261160716</v>
      </c>
      <c r="L63" s="52" t="s">
        <v>111</v>
      </c>
    </row>
    <row r="64" spans="1:12">
      <c r="A64" s="151" t="s">
        <v>109</v>
      </c>
      <c r="B64" s="59">
        <v>2010</v>
      </c>
      <c r="C64" s="336" t="s">
        <v>89</v>
      </c>
      <c r="D64" s="59">
        <v>1634</v>
      </c>
      <c r="E64" s="336" t="s">
        <v>126</v>
      </c>
      <c r="F64" s="29">
        <v>1</v>
      </c>
      <c r="G64" s="9">
        <v>1</v>
      </c>
      <c r="H64" s="9">
        <v>1</v>
      </c>
      <c r="I64" s="9">
        <v>2</v>
      </c>
      <c r="J64" s="9">
        <v>2</v>
      </c>
      <c r="K64" s="159">
        <f t="shared" si="1"/>
        <v>0.35859414261160716</v>
      </c>
      <c r="L64" s="52" t="s">
        <v>111</v>
      </c>
    </row>
    <row r="65" spans="1:12">
      <c r="A65" s="151" t="s">
        <v>109</v>
      </c>
      <c r="B65" s="59">
        <v>2004</v>
      </c>
      <c r="C65" s="336" t="s">
        <v>88</v>
      </c>
      <c r="D65" s="59">
        <v>1637</v>
      </c>
      <c r="E65" s="336" t="s">
        <v>126</v>
      </c>
      <c r="F65" s="29">
        <v>1</v>
      </c>
      <c r="G65" s="9">
        <v>1</v>
      </c>
      <c r="H65" s="9">
        <v>1</v>
      </c>
      <c r="I65" s="9">
        <v>2</v>
      </c>
      <c r="J65" s="9">
        <v>2</v>
      </c>
      <c r="K65" s="159">
        <f t="shared" si="1"/>
        <v>0.35859414261160716</v>
      </c>
      <c r="L65" s="52" t="s">
        <v>111</v>
      </c>
    </row>
    <row r="66" spans="1:12">
      <c r="A66" s="151" t="s">
        <v>109</v>
      </c>
      <c r="B66" s="59">
        <v>2009</v>
      </c>
      <c r="C66" s="336" t="s">
        <v>89</v>
      </c>
      <c r="D66" s="59">
        <v>1646</v>
      </c>
      <c r="E66" s="336" t="s">
        <v>126</v>
      </c>
      <c r="F66" s="29">
        <v>1</v>
      </c>
      <c r="G66" s="9">
        <v>1</v>
      </c>
      <c r="H66" s="9">
        <v>1</v>
      </c>
      <c r="I66" s="9">
        <v>2</v>
      </c>
      <c r="J66" s="9">
        <v>2</v>
      </c>
      <c r="K66" s="159">
        <f t="shared" si="1"/>
        <v>0.35859414261160716</v>
      </c>
      <c r="L66" s="52" t="s">
        <v>111</v>
      </c>
    </row>
    <row r="67" spans="1:12">
      <c r="A67" s="151" t="s">
        <v>109</v>
      </c>
      <c r="B67" s="59">
        <v>2005</v>
      </c>
      <c r="C67" s="336" t="s">
        <v>88</v>
      </c>
      <c r="D67" s="59">
        <v>1714</v>
      </c>
      <c r="E67" s="336" t="s">
        <v>126</v>
      </c>
      <c r="F67" s="29">
        <v>1</v>
      </c>
      <c r="G67" s="9">
        <v>1</v>
      </c>
      <c r="H67" s="9">
        <v>1</v>
      </c>
      <c r="I67" s="9">
        <v>2</v>
      </c>
      <c r="J67" s="9">
        <v>2</v>
      </c>
      <c r="K67" s="159">
        <f t="shared" si="1"/>
        <v>0.35859414261160716</v>
      </c>
      <c r="L67" s="52" t="s">
        <v>111</v>
      </c>
    </row>
    <row r="68" spans="1:12">
      <c r="A68" s="151" t="s">
        <v>109</v>
      </c>
      <c r="B68" s="59">
        <v>2014</v>
      </c>
      <c r="C68" s="336" t="s">
        <v>88</v>
      </c>
      <c r="D68" s="59">
        <v>1721</v>
      </c>
      <c r="E68" s="336" t="s">
        <v>126</v>
      </c>
      <c r="F68" s="29">
        <v>1</v>
      </c>
      <c r="G68" s="9">
        <v>1</v>
      </c>
      <c r="H68" s="9">
        <v>1</v>
      </c>
      <c r="I68" s="9">
        <v>2</v>
      </c>
      <c r="J68" s="9">
        <v>2</v>
      </c>
      <c r="K68" s="159">
        <f t="shared" si="1"/>
        <v>0.35859414261160716</v>
      </c>
      <c r="L68" s="52" t="s">
        <v>111</v>
      </c>
    </row>
    <row r="69" spans="1:12">
      <c r="A69" s="151" t="s">
        <v>109</v>
      </c>
      <c r="B69" s="59">
        <v>2009</v>
      </c>
      <c r="C69" s="336" t="s">
        <v>88</v>
      </c>
      <c r="D69" s="59">
        <v>1738</v>
      </c>
      <c r="E69" s="336" t="s">
        <v>126</v>
      </c>
      <c r="F69" s="29">
        <v>1</v>
      </c>
      <c r="G69" s="9">
        <v>1</v>
      </c>
      <c r="H69" s="9">
        <v>1</v>
      </c>
      <c r="I69" s="9">
        <v>2</v>
      </c>
      <c r="J69" s="9">
        <v>2</v>
      </c>
      <c r="K69" s="159">
        <f t="shared" si="1"/>
        <v>0.35859414261160716</v>
      </c>
      <c r="L69" s="52" t="s">
        <v>111</v>
      </c>
    </row>
    <row r="70" spans="1:12">
      <c r="A70" s="151" t="s">
        <v>109</v>
      </c>
      <c r="B70" s="59">
        <v>2013</v>
      </c>
      <c r="C70" s="336" t="s">
        <v>88</v>
      </c>
      <c r="D70" s="59">
        <v>1752</v>
      </c>
      <c r="E70" s="336" t="s">
        <v>126</v>
      </c>
      <c r="F70" s="29">
        <v>1</v>
      </c>
      <c r="G70" s="9">
        <v>1</v>
      </c>
      <c r="H70" s="9">
        <v>1</v>
      </c>
      <c r="I70" s="9">
        <v>2</v>
      </c>
      <c r="J70" s="9">
        <v>2</v>
      </c>
      <c r="K70" s="159">
        <f t="shared" si="1"/>
        <v>0.35859414261160716</v>
      </c>
      <c r="L70" s="52" t="s">
        <v>111</v>
      </c>
    </row>
    <row r="71" spans="1:12">
      <c r="A71" s="151" t="s">
        <v>109</v>
      </c>
      <c r="B71" s="59">
        <v>2011</v>
      </c>
      <c r="C71" s="336" t="s">
        <v>88</v>
      </c>
      <c r="D71" s="59">
        <v>1771</v>
      </c>
      <c r="E71" s="336" t="s">
        <v>126</v>
      </c>
      <c r="F71" s="29">
        <v>1</v>
      </c>
      <c r="G71" s="9">
        <v>1</v>
      </c>
      <c r="H71" s="9">
        <v>1</v>
      </c>
      <c r="I71" s="9">
        <v>2</v>
      </c>
      <c r="J71" s="9">
        <v>2</v>
      </c>
      <c r="K71" s="159">
        <f t="shared" si="1"/>
        <v>0.35859414261160716</v>
      </c>
      <c r="L71" s="52" t="s">
        <v>111</v>
      </c>
    </row>
    <row r="72" spans="1:12">
      <c r="A72" s="151" t="s">
        <v>109</v>
      </c>
      <c r="B72" s="59">
        <v>2016</v>
      </c>
      <c r="C72" s="336" t="s">
        <v>88</v>
      </c>
      <c r="D72" s="59">
        <v>1781</v>
      </c>
      <c r="E72" s="336" t="s">
        <v>126</v>
      </c>
      <c r="F72" s="29">
        <v>1</v>
      </c>
      <c r="G72" s="9">
        <v>1</v>
      </c>
      <c r="H72" s="9">
        <v>1</v>
      </c>
      <c r="I72" s="9">
        <v>2</v>
      </c>
      <c r="J72" s="9">
        <v>2</v>
      </c>
      <c r="K72" s="159">
        <f t="shared" si="1"/>
        <v>0.35859414261160716</v>
      </c>
      <c r="L72" s="52" t="s">
        <v>111</v>
      </c>
    </row>
    <row r="73" spans="1:12">
      <c r="A73" s="151" t="s">
        <v>109</v>
      </c>
      <c r="B73" s="59">
        <v>2008</v>
      </c>
      <c r="C73" s="336" t="s">
        <v>88</v>
      </c>
      <c r="D73" s="59">
        <v>1783</v>
      </c>
      <c r="E73" s="336" t="s">
        <v>126</v>
      </c>
      <c r="F73" s="29">
        <v>1</v>
      </c>
      <c r="G73" s="9">
        <v>1</v>
      </c>
      <c r="H73" s="9">
        <v>1</v>
      </c>
      <c r="I73" s="9">
        <v>2</v>
      </c>
      <c r="J73" s="9">
        <v>2</v>
      </c>
      <c r="K73" s="159">
        <f t="shared" si="1"/>
        <v>0.35859414261160716</v>
      </c>
      <c r="L73" s="52" t="s">
        <v>111</v>
      </c>
    </row>
    <row r="74" spans="1:12">
      <c r="A74" s="151" t="s">
        <v>109</v>
      </c>
      <c r="B74" s="59">
        <v>2017</v>
      </c>
      <c r="C74" s="336" t="s">
        <v>88</v>
      </c>
      <c r="D74" s="59">
        <v>1814</v>
      </c>
      <c r="E74" s="336" t="s">
        <v>126</v>
      </c>
      <c r="F74" s="29">
        <v>1</v>
      </c>
      <c r="G74" s="9">
        <v>1</v>
      </c>
      <c r="H74" s="9">
        <v>1</v>
      </c>
      <c r="I74" s="9">
        <v>2</v>
      </c>
      <c r="J74" s="9">
        <v>2</v>
      </c>
      <c r="K74" s="159">
        <f t="shared" si="1"/>
        <v>0.35859414261160716</v>
      </c>
      <c r="L74" s="52" t="s">
        <v>111</v>
      </c>
    </row>
    <row r="75" spans="1:12">
      <c r="A75" s="151" t="s">
        <v>109</v>
      </c>
      <c r="B75" s="59">
        <v>2018</v>
      </c>
      <c r="C75" s="336" t="s">
        <v>88</v>
      </c>
      <c r="D75" s="59">
        <v>1814</v>
      </c>
      <c r="E75" s="336" t="s">
        <v>126</v>
      </c>
      <c r="F75" s="29">
        <v>1</v>
      </c>
      <c r="G75" s="9">
        <v>1</v>
      </c>
      <c r="H75" s="9">
        <v>1</v>
      </c>
      <c r="I75" s="9">
        <v>2</v>
      </c>
      <c r="J75" s="9">
        <v>2</v>
      </c>
      <c r="K75" s="159">
        <f t="shared" si="1"/>
        <v>0.35859414261160716</v>
      </c>
      <c r="L75" s="52" t="s">
        <v>111</v>
      </c>
    </row>
    <row r="76" spans="1:12">
      <c r="A76" s="151" t="s">
        <v>109</v>
      </c>
      <c r="B76" s="59">
        <v>2019</v>
      </c>
      <c r="C76" s="336" t="s">
        <v>88</v>
      </c>
      <c r="D76" s="59">
        <v>1814</v>
      </c>
      <c r="E76" s="336" t="s">
        <v>126</v>
      </c>
      <c r="F76" s="29">
        <v>1</v>
      </c>
      <c r="G76" s="9">
        <v>1</v>
      </c>
      <c r="H76" s="9">
        <v>1</v>
      </c>
      <c r="I76" s="9">
        <v>2</v>
      </c>
      <c r="J76" s="9">
        <v>2</v>
      </c>
      <c r="K76" s="159">
        <f t="shared" si="1"/>
        <v>0.35859414261160716</v>
      </c>
      <c r="L76" s="52" t="s">
        <v>111</v>
      </c>
    </row>
    <row r="77" spans="1:12">
      <c r="A77" s="151" t="s">
        <v>109</v>
      </c>
      <c r="B77" s="59">
        <v>2013</v>
      </c>
      <c r="C77" s="336" t="s">
        <v>95</v>
      </c>
      <c r="D77" s="59">
        <v>1837</v>
      </c>
      <c r="E77" s="336" t="s">
        <v>126</v>
      </c>
      <c r="F77" s="29">
        <v>1</v>
      </c>
      <c r="G77" s="9">
        <v>1</v>
      </c>
      <c r="H77" s="9">
        <v>1</v>
      </c>
      <c r="I77" s="9">
        <v>2</v>
      </c>
      <c r="J77" s="9">
        <v>2</v>
      </c>
      <c r="K77" s="159">
        <f t="shared" si="1"/>
        <v>0.35859414261160716</v>
      </c>
      <c r="L77" s="52" t="s">
        <v>111</v>
      </c>
    </row>
    <row r="78" spans="1:12">
      <c r="A78" s="151" t="s">
        <v>109</v>
      </c>
      <c r="B78" s="59">
        <v>2020</v>
      </c>
      <c r="C78" s="336" t="s">
        <v>89</v>
      </c>
      <c r="D78" s="59">
        <v>1855</v>
      </c>
      <c r="E78" s="336" t="s">
        <v>126</v>
      </c>
      <c r="F78" s="29">
        <v>1</v>
      </c>
      <c r="G78" s="9">
        <v>1</v>
      </c>
      <c r="H78" s="9">
        <v>1</v>
      </c>
      <c r="I78" s="9">
        <v>2</v>
      </c>
      <c r="J78" s="9">
        <v>2</v>
      </c>
      <c r="K78" s="159">
        <f t="shared" si="1"/>
        <v>0.35859414261160716</v>
      </c>
      <c r="L78" s="52" t="s">
        <v>111</v>
      </c>
    </row>
    <row r="79" spans="1:12">
      <c r="A79" s="151" t="s">
        <v>109</v>
      </c>
      <c r="B79" s="59">
        <v>2012</v>
      </c>
      <c r="C79" s="336" t="s">
        <v>88</v>
      </c>
      <c r="D79" s="59">
        <v>1864</v>
      </c>
      <c r="E79" s="336" t="s">
        <v>126</v>
      </c>
      <c r="F79" s="29">
        <v>1</v>
      </c>
      <c r="G79" s="9">
        <v>1</v>
      </c>
      <c r="H79" s="9">
        <v>1</v>
      </c>
      <c r="I79" s="9">
        <v>2</v>
      </c>
      <c r="J79" s="9">
        <v>2</v>
      </c>
      <c r="K79" s="159">
        <f t="shared" si="1"/>
        <v>0.35859414261160716</v>
      </c>
      <c r="L79" s="52" t="s">
        <v>111</v>
      </c>
    </row>
    <row r="80" spans="1:12">
      <c r="A80" s="151" t="s">
        <v>109</v>
      </c>
      <c r="B80" s="59">
        <v>2012</v>
      </c>
      <c r="C80" s="336" t="s">
        <v>89</v>
      </c>
      <c r="D80" s="59">
        <v>1872</v>
      </c>
      <c r="E80" s="336" t="s">
        <v>126</v>
      </c>
      <c r="F80" s="29">
        <v>1</v>
      </c>
      <c r="G80" s="9">
        <v>1</v>
      </c>
      <c r="H80" s="9">
        <v>1</v>
      </c>
      <c r="I80" s="9">
        <v>2</v>
      </c>
      <c r="J80" s="9">
        <v>2</v>
      </c>
      <c r="K80" s="159">
        <f t="shared" si="1"/>
        <v>0.35859414261160716</v>
      </c>
      <c r="L80" s="52" t="s">
        <v>111</v>
      </c>
    </row>
    <row r="81" spans="1:12">
      <c r="A81" s="151" t="s">
        <v>109</v>
      </c>
      <c r="B81" s="59">
        <v>2013</v>
      </c>
      <c r="C81" s="336" t="s">
        <v>89</v>
      </c>
      <c r="D81" s="59">
        <v>1875</v>
      </c>
      <c r="E81" s="336" t="s">
        <v>126</v>
      </c>
      <c r="F81" s="29">
        <v>1</v>
      </c>
      <c r="G81" s="9">
        <v>1</v>
      </c>
      <c r="H81" s="9">
        <v>1</v>
      </c>
      <c r="I81" s="9">
        <v>2</v>
      </c>
      <c r="J81" s="9">
        <v>2</v>
      </c>
      <c r="K81" s="159">
        <f t="shared" si="1"/>
        <v>0.35859414261160716</v>
      </c>
      <c r="L81" s="52" t="s">
        <v>111</v>
      </c>
    </row>
    <row r="82" spans="1:12">
      <c r="A82" s="151" t="s">
        <v>109</v>
      </c>
      <c r="B82" s="59">
        <v>2012</v>
      </c>
      <c r="C82" s="336" t="s">
        <v>95</v>
      </c>
      <c r="D82" s="59">
        <v>1900</v>
      </c>
      <c r="E82" s="336" t="s">
        <v>126</v>
      </c>
      <c r="F82" s="29">
        <v>1</v>
      </c>
      <c r="G82" s="9">
        <v>1</v>
      </c>
      <c r="H82" s="9">
        <v>1</v>
      </c>
      <c r="I82" s="9">
        <v>2</v>
      </c>
      <c r="J82" s="9">
        <v>2</v>
      </c>
      <c r="K82" s="159">
        <f t="shared" si="1"/>
        <v>0.35859414261160716</v>
      </c>
      <c r="L82" s="52" t="s">
        <v>111</v>
      </c>
    </row>
    <row r="83" spans="1:12">
      <c r="A83" s="151" t="s">
        <v>109</v>
      </c>
      <c r="B83" s="59">
        <v>2003</v>
      </c>
      <c r="C83" s="336" t="s">
        <v>88</v>
      </c>
      <c r="D83" s="59">
        <v>1922</v>
      </c>
      <c r="E83" s="336" t="s">
        <v>126</v>
      </c>
      <c r="F83" s="29">
        <v>1</v>
      </c>
      <c r="G83" s="9">
        <v>1</v>
      </c>
      <c r="H83" s="9">
        <v>1</v>
      </c>
      <c r="I83" s="9">
        <v>2</v>
      </c>
      <c r="J83" s="9">
        <v>2</v>
      </c>
      <c r="K83" s="159">
        <f t="shared" si="1"/>
        <v>0.35859414261160716</v>
      </c>
      <c r="L83" s="52" t="s">
        <v>111</v>
      </c>
    </row>
    <row r="84" spans="1:12">
      <c r="A84" s="151" t="s">
        <v>109</v>
      </c>
      <c r="B84" s="59">
        <v>2021</v>
      </c>
      <c r="C84" s="336" t="s">
        <v>89</v>
      </c>
      <c r="D84" s="59">
        <v>1923</v>
      </c>
      <c r="E84" s="336" t="s">
        <v>126</v>
      </c>
      <c r="F84" s="29">
        <v>1</v>
      </c>
      <c r="G84" s="9">
        <v>1</v>
      </c>
      <c r="H84" s="9">
        <v>1</v>
      </c>
      <c r="I84" s="9">
        <v>2</v>
      </c>
      <c r="J84" s="9">
        <v>2</v>
      </c>
      <c r="K84" s="159">
        <f t="shared" si="1"/>
        <v>0.35859414261160716</v>
      </c>
      <c r="L84" s="52" t="s">
        <v>111</v>
      </c>
    </row>
    <row r="85" spans="1:12">
      <c r="A85" s="151" t="s">
        <v>109</v>
      </c>
      <c r="B85" s="59">
        <v>2007</v>
      </c>
      <c r="C85" s="336" t="s">
        <v>88</v>
      </c>
      <c r="D85" s="59">
        <v>1934</v>
      </c>
      <c r="E85" s="336" t="s">
        <v>126</v>
      </c>
      <c r="F85" s="29">
        <v>1</v>
      </c>
      <c r="G85" s="9">
        <v>1</v>
      </c>
      <c r="H85" s="9">
        <v>1</v>
      </c>
      <c r="I85" s="9">
        <v>2</v>
      </c>
      <c r="J85" s="9">
        <v>2</v>
      </c>
      <c r="K85" s="159">
        <f t="shared" si="1"/>
        <v>0.35859414261160716</v>
      </c>
      <c r="L85" s="52" t="s">
        <v>111</v>
      </c>
    </row>
    <row r="86" spans="1:12">
      <c r="A86" s="151" t="s">
        <v>109</v>
      </c>
      <c r="B86" s="59">
        <v>2016</v>
      </c>
      <c r="C86" s="336" t="s">
        <v>97</v>
      </c>
      <c r="D86" s="59">
        <v>1965</v>
      </c>
      <c r="E86" s="336" t="s">
        <v>126</v>
      </c>
      <c r="F86" s="29">
        <v>1</v>
      </c>
      <c r="G86" s="9">
        <v>1</v>
      </c>
      <c r="H86" s="9">
        <v>1</v>
      </c>
      <c r="I86" s="9">
        <v>2</v>
      </c>
      <c r="J86" s="9">
        <v>2</v>
      </c>
      <c r="K86" s="159">
        <f t="shared" si="1"/>
        <v>0.35859414261160716</v>
      </c>
      <c r="L86" s="52" t="s">
        <v>111</v>
      </c>
    </row>
    <row r="87" spans="1:12">
      <c r="A87" s="151" t="s">
        <v>109</v>
      </c>
      <c r="B87" s="59">
        <v>2020</v>
      </c>
      <c r="C87" s="336" t="s">
        <v>88</v>
      </c>
      <c r="D87" s="59">
        <v>1995</v>
      </c>
      <c r="E87" s="336" t="s">
        <v>126</v>
      </c>
      <c r="F87" s="29">
        <v>1</v>
      </c>
      <c r="G87" s="9">
        <v>1</v>
      </c>
      <c r="H87" s="9">
        <v>1</v>
      </c>
      <c r="I87" s="9">
        <v>2</v>
      </c>
      <c r="J87" s="9">
        <v>2</v>
      </c>
      <c r="K87" s="159">
        <f t="shared" si="1"/>
        <v>0.35859414261160716</v>
      </c>
      <c r="L87" s="52" t="s">
        <v>111</v>
      </c>
    </row>
    <row r="88" spans="1:12">
      <c r="A88" s="151" t="s">
        <v>109</v>
      </c>
      <c r="B88" s="59">
        <v>2004</v>
      </c>
      <c r="C88" s="336" t="s">
        <v>95</v>
      </c>
      <c r="D88" s="59">
        <v>2007</v>
      </c>
      <c r="E88" s="336" t="s">
        <v>126</v>
      </c>
      <c r="F88" s="29">
        <v>1</v>
      </c>
      <c r="G88" s="9">
        <v>1</v>
      </c>
      <c r="H88" s="9">
        <v>1</v>
      </c>
      <c r="I88" s="9">
        <v>2</v>
      </c>
      <c r="J88" s="9">
        <v>2</v>
      </c>
      <c r="K88" s="159">
        <f t="shared" si="1"/>
        <v>0.35859414261160716</v>
      </c>
      <c r="L88" s="52" t="s">
        <v>111</v>
      </c>
    </row>
    <row r="89" spans="1:12">
      <c r="A89" s="151" t="s">
        <v>109</v>
      </c>
      <c r="B89" s="59">
        <v>2014</v>
      </c>
      <c r="C89" s="336" t="s">
        <v>89</v>
      </c>
      <c r="D89" s="59">
        <v>2023</v>
      </c>
      <c r="E89" s="336" t="s">
        <v>126</v>
      </c>
      <c r="F89" s="29">
        <v>1</v>
      </c>
      <c r="G89" s="9">
        <v>1</v>
      </c>
      <c r="H89" s="9">
        <v>1</v>
      </c>
      <c r="I89" s="9">
        <v>2</v>
      </c>
      <c r="J89" s="9">
        <v>2</v>
      </c>
      <c r="K89" s="159">
        <f t="shared" si="1"/>
        <v>0.35859414261160716</v>
      </c>
      <c r="L89" s="52" t="s">
        <v>111</v>
      </c>
    </row>
    <row r="90" spans="1:12">
      <c r="A90" s="151" t="s">
        <v>109</v>
      </c>
      <c r="B90" s="59">
        <v>2021</v>
      </c>
      <c r="C90" s="336" t="s">
        <v>88</v>
      </c>
      <c r="D90" s="59">
        <v>2057</v>
      </c>
      <c r="E90" s="336" t="s">
        <v>126</v>
      </c>
      <c r="F90" s="29">
        <v>1</v>
      </c>
      <c r="G90" s="9">
        <v>1</v>
      </c>
      <c r="H90" s="9">
        <v>1</v>
      </c>
      <c r="I90" s="9">
        <v>2</v>
      </c>
      <c r="J90" s="9">
        <v>2</v>
      </c>
      <c r="K90" s="159">
        <f t="shared" si="1"/>
        <v>0.35859414261160716</v>
      </c>
      <c r="L90" s="52" t="s">
        <v>111</v>
      </c>
    </row>
    <row r="91" spans="1:12">
      <c r="A91" s="151" t="s">
        <v>109</v>
      </c>
      <c r="B91" s="59">
        <v>2010</v>
      </c>
      <c r="C91" s="336" t="s">
        <v>93</v>
      </c>
      <c r="D91" s="59">
        <v>2100</v>
      </c>
      <c r="E91" s="336" t="s">
        <v>126</v>
      </c>
      <c r="F91" s="29">
        <v>1</v>
      </c>
      <c r="G91" s="9">
        <v>1</v>
      </c>
      <c r="H91" s="9">
        <v>1</v>
      </c>
      <c r="I91" s="9">
        <v>2</v>
      </c>
      <c r="J91" s="9">
        <v>2</v>
      </c>
      <c r="K91" s="159">
        <f t="shared" si="1"/>
        <v>0.35859414261160716</v>
      </c>
      <c r="L91" s="52" t="s">
        <v>111</v>
      </c>
    </row>
    <row r="92" spans="1:12">
      <c r="A92" s="151" t="s">
        <v>109</v>
      </c>
      <c r="B92" s="59">
        <v>2011</v>
      </c>
      <c r="C92" s="336" t="s">
        <v>93</v>
      </c>
      <c r="D92" s="59">
        <v>2100</v>
      </c>
      <c r="E92" s="336" t="s">
        <v>126</v>
      </c>
      <c r="F92" s="29">
        <v>1</v>
      </c>
      <c r="G92" s="9">
        <v>1</v>
      </c>
      <c r="H92" s="9">
        <v>1</v>
      </c>
      <c r="I92" s="9">
        <v>2</v>
      </c>
      <c r="J92" s="9">
        <v>2</v>
      </c>
      <c r="K92" s="159">
        <f t="shared" si="1"/>
        <v>0.35859414261160716</v>
      </c>
      <c r="L92" s="52" t="s">
        <v>111</v>
      </c>
    </row>
    <row r="93" spans="1:12">
      <c r="A93" s="151" t="s">
        <v>109</v>
      </c>
      <c r="B93" s="59">
        <v>2009</v>
      </c>
      <c r="C93" s="336" t="s">
        <v>95</v>
      </c>
      <c r="D93" s="59">
        <v>2127</v>
      </c>
      <c r="E93" s="336" t="s">
        <v>126</v>
      </c>
      <c r="F93" s="29">
        <v>1</v>
      </c>
      <c r="G93" s="9">
        <v>1</v>
      </c>
      <c r="H93" s="9">
        <v>1</v>
      </c>
      <c r="I93" s="9">
        <v>2</v>
      </c>
      <c r="J93" s="9">
        <v>2</v>
      </c>
      <c r="K93" s="159">
        <f t="shared" si="1"/>
        <v>0.35859414261160716</v>
      </c>
      <c r="L93" s="52" t="s">
        <v>111</v>
      </c>
    </row>
    <row r="94" spans="1:12">
      <c r="A94" s="151" t="s">
        <v>109</v>
      </c>
      <c r="B94" s="59">
        <v>2020</v>
      </c>
      <c r="C94" s="336" t="s">
        <v>95</v>
      </c>
      <c r="D94" s="59">
        <v>2139</v>
      </c>
      <c r="E94" s="336" t="s">
        <v>126</v>
      </c>
      <c r="F94" s="29">
        <v>1</v>
      </c>
      <c r="G94" s="9">
        <v>1</v>
      </c>
      <c r="H94" s="9">
        <v>1</v>
      </c>
      <c r="I94" s="9">
        <v>2</v>
      </c>
      <c r="J94" s="9">
        <v>2</v>
      </c>
      <c r="K94" s="159">
        <f t="shared" si="1"/>
        <v>0.35859414261160716</v>
      </c>
      <c r="L94" s="52" t="s">
        <v>111</v>
      </c>
    </row>
    <row r="95" spans="1:12">
      <c r="A95" s="151" t="s">
        <v>109</v>
      </c>
      <c r="B95" s="59">
        <v>2021</v>
      </c>
      <c r="C95" s="336" t="s">
        <v>95</v>
      </c>
      <c r="D95" s="59">
        <v>2149</v>
      </c>
      <c r="E95" s="336" t="s">
        <v>126</v>
      </c>
      <c r="F95" s="29">
        <v>1</v>
      </c>
      <c r="G95" s="9">
        <v>1</v>
      </c>
      <c r="H95" s="9">
        <v>1</v>
      </c>
      <c r="I95" s="9">
        <v>2</v>
      </c>
      <c r="J95" s="9">
        <v>2</v>
      </c>
      <c r="K95" s="159">
        <f t="shared" si="1"/>
        <v>0.35859414261160716</v>
      </c>
      <c r="L95" s="52" t="s">
        <v>111</v>
      </c>
    </row>
    <row r="96" spans="1:12">
      <c r="A96" s="151" t="s">
        <v>109</v>
      </c>
      <c r="B96" s="59">
        <v>2003</v>
      </c>
      <c r="C96" s="336" t="s">
        <v>95</v>
      </c>
      <c r="D96" s="59">
        <v>2162</v>
      </c>
      <c r="E96" s="336" t="s">
        <v>126</v>
      </c>
      <c r="F96" s="29">
        <v>1</v>
      </c>
      <c r="G96" s="9">
        <v>1</v>
      </c>
      <c r="H96" s="9">
        <v>1</v>
      </c>
      <c r="I96" s="9">
        <v>2</v>
      </c>
      <c r="J96" s="9">
        <v>2</v>
      </c>
      <c r="K96" s="159">
        <f t="shared" si="1"/>
        <v>0.35859414261160716</v>
      </c>
      <c r="L96" s="52" t="s">
        <v>111</v>
      </c>
    </row>
    <row r="97" spans="1:12">
      <c r="A97" s="151" t="s">
        <v>109</v>
      </c>
      <c r="B97" s="59">
        <v>2006</v>
      </c>
      <c r="C97" s="336" t="s">
        <v>88</v>
      </c>
      <c r="D97" s="59">
        <v>2239</v>
      </c>
      <c r="E97" s="336" t="s">
        <v>126</v>
      </c>
      <c r="F97" s="29">
        <v>1</v>
      </c>
      <c r="G97" s="9">
        <v>1</v>
      </c>
      <c r="H97" s="9">
        <v>1</v>
      </c>
      <c r="I97" s="9">
        <v>2</v>
      </c>
      <c r="J97" s="9">
        <v>2</v>
      </c>
      <c r="K97" s="159">
        <f t="shared" si="1"/>
        <v>0.35859414261160716</v>
      </c>
      <c r="L97" s="52" t="s">
        <v>111</v>
      </c>
    </row>
    <row r="98" spans="1:12">
      <c r="A98" s="151" t="s">
        <v>109</v>
      </c>
      <c r="B98" s="59">
        <v>2013</v>
      </c>
      <c r="C98" s="336" t="s">
        <v>97</v>
      </c>
      <c r="D98" s="59">
        <v>2280</v>
      </c>
      <c r="E98" s="336" t="s">
        <v>126</v>
      </c>
      <c r="F98" s="29">
        <v>1</v>
      </c>
      <c r="G98" s="9">
        <v>1</v>
      </c>
      <c r="H98" s="9">
        <v>1</v>
      </c>
      <c r="I98" s="9">
        <v>2</v>
      </c>
      <c r="J98" s="9">
        <v>2</v>
      </c>
      <c r="K98" s="159">
        <f t="shared" si="1"/>
        <v>0.35859414261160716</v>
      </c>
      <c r="L98" s="52" t="s">
        <v>111</v>
      </c>
    </row>
    <row r="99" spans="1:12">
      <c r="A99" s="151" t="s">
        <v>109</v>
      </c>
      <c r="B99" s="59">
        <v>2015</v>
      </c>
      <c r="C99" s="336" t="s">
        <v>97</v>
      </c>
      <c r="D99" s="59">
        <v>2282</v>
      </c>
      <c r="E99" s="336" t="s">
        <v>126</v>
      </c>
      <c r="F99" s="29">
        <v>1</v>
      </c>
      <c r="G99" s="9">
        <v>1</v>
      </c>
      <c r="H99" s="9">
        <v>1</v>
      </c>
      <c r="I99" s="9">
        <v>2</v>
      </c>
      <c r="J99" s="9">
        <v>2</v>
      </c>
      <c r="K99" s="159">
        <f t="shared" si="1"/>
        <v>0.35859414261160716</v>
      </c>
      <c r="L99" s="52" t="s">
        <v>111</v>
      </c>
    </row>
    <row r="100" spans="1:12">
      <c r="A100" s="151" t="s">
        <v>109</v>
      </c>
      <c r="B100" s="59">
        <v>2017</v>
      </c>
      <c r="C100" s="336" t="s">
        <v>95</v>
      </c>
      <c r="D100" s="59">
        <v>2283</v>
      </c>
      <c r="E100" s="336" t="s">
        <v>126</v>
      </c>
      <c r="F100" s="29">
        <v>1</v>
      </c>
      <c r="G100" s="9">
        <v>1</v>
      </c>
      <c r="H100" s="9">
        <v>1</v>
      </c>
      <c r="I100" s="9">
        <v>2</v>
      </c>
      <c r="J100" s="9">
        <v>2</v>
      </c>
      <c r="K100" s="159">
        <f t="shared" si="1"/>
        <v>0.35859414261160716</v>
      </c>
      <c r="L100" s="52" t="s">
        <v>111</v>
      </c>
    </row>
    <row r="101" spans="1:12">
      <c r="A101" s="151" t="s">
        <v>109</v>
      </c>
      <c r="B101" s="59">
        <v>2018</v>
      </c>
      <c r="C101" s="336" t="s">
        <v>95</v>
      </c>
      <c r="D101" s="59">
        <v>2283</v>
      </c>
      <c r="E101" s="336" t="s">
        <v>126</v>
      </c>
      <c r="F101" s="29">
        <v>1</v>
      </c>
      <c r="G101" s="9">
        <v>1</v>
      </c>
      <c r="H101" s="9">
        <v>1</v>
      </c>
      <c r="I101" s="9">
        <v>2</v>
      </c>
      <c r="J101" s="9">
        <v>2</v>
      </c>
      <c r="K101" s="159">
        <f t="shared" si="1"/>
        <v>0.35859414261160716</v>
      </c>
      <c r="L101" s="52" t="s">
        <v>111</v>
      </c>
    </row>
    <row r="102" spans="1:12">
      <c r="A102" s="151" t="s">
        <v>109</v>
      </c>
      <c r="B102" s="59">
        <v>2019</v>
      </c>
      <c r="C102" s="336" t="s">
        <v>95</v>
      </c>
      <c r="D102" s="59">
        <v>2283</v>
      </c>
      <c r="E102" s="336" t="s">
        <v>126</v>
      </c>
      <c r="F102" s="29">
        <v>1</v>
      </c>
      <c r="G102" s="9">
        <v>1</v>
      </c>
      <c r="H102" s="9">
        <v>1</v>
      </c>
      <c r="I102" s="9">
        <v>2</v>
      </c>
      <c r="J102" s="9">
        <v>2</v>
      </c>
      <c r="K102" s="159">
        <f t="shared" si="1"/>
        <v>0.35859414261160716</v>
      </c>
      <c r="L102" s="52" t="s">
        <v>111</v>
      </c>
    </row>
    <row r="103" spans="1:12">
      <c r="A103" s="151" t="s">
        <v>109</v>
      </c>
      <c r="B103" s="59">
        <v>2011</v>
      </c>
      <c r="C103" s="336" t="s">
        <v>95</v>
      </c>
      <c r="D103" s="59">
        <v>2300</v>
      </c>
      <c r="E103" s="336" t="s">
        <v>126</v>
      </c>
      <c r="F103" s="29">
        <v>1</v>
      </c>
      <c r="G103" s="9">
        <v>1</v>
      </c>
      <c r="H103" s="9">
        <v>1</v>
      </c>
      <c r="I103" s="9">
        <v>2</v>
      </c>
      <c r="J103" s="9">
        <v>2</v>
      </c>
      <c r="K103" s="159">
        <f t="shared" si="1"/>
        <v>0.35859414261160716</v>
      </c>
      <c r="L103" s="52" t="s">
        <v>111</v>
      </c>
    </row>
    <row r="104" spans="1:12">
      <c r="A104" s="151" t="s">
        <v>109</v>
      </c>
      <c r="B104" s="59">
        <v>2013</v>
      </c>
      <c r="C104" s="336" t="s">
        <v>93</v>
      </c>
      <c r="D104" s="59">
        <v>2327</v>
      </c>
      <c r="E104" s="336" t="s">
        <v>126</v>
      </c>
      <c r="F104" s="29">
        <v>1</v>
      </c>
      <c r="G104" s="9">
        <v>1</v>
      </c>
      <c r="H104" s="9">
        <v>1</v>
      </c>
      <c r="I104" s="9">
        <v>2</v>
      </c>
      <c r="J104" s="9">
        <v>2</v>
      </c>
      <c r="K104" s="159">
        <f t="shared" si="1"/>
        <v>0.35859414261160716</v>
      </c>
      <c r="L104" s="52" t="s">
        <v>111</v>
      </c>
    </row>
    <row r="105" spans="1:12">
      <c r="A105" s="151" t="s">
        <v>109</v>
      </c>
      <c r="B105" s="59">
        <v>2009</v>
      </c>
      <c r="C105" s="336" t="s">
        <v>93</v>
      </c>
      <c r="D105" s="59">
        <v>2344</v>
      </c>
      <c r="E105" s="336" t="s">
        <v>126</v>
      </c>
      <c r="F105" s="29">
        <v>1</v>
      </c>
      <c r="G105" s="9">
        <v>1</v>
      </c>
      <c r="H105" s="9">
        <v>1</v>
      </c>
      <c r="I105" s="9">
        <v>2</v>
      </c>
      <c r="J105" s="9">
        <v>2</v>
      </c>
      <c r="K105" s="159">
        <f t="shared" si="1"/>
        <v>0.35859414261160716</v>
      </c>
      <c r="L105" s="52" t="s">
        <v>111</v>
      </c>
    </row>
    <row r="106" spans="1:12">
      <c r="A106" s="151" t="s">
        <v>109</v>
      </c>
      <c r="B106" s="59">
        <v>2005</v>
      </c>
      <c r="C106" s="336" t="s">
        <v>95</v>
      </c>
      <c r="D106" s="59">
        <v>2366</v>
      </c>
      <c r="E106" s="336" t="s">
        <v>126</v>
      </c>
      <c r="F106" s="29">
        <v>1</v>
      </c>
      <c r="G106" s="9">
        <v>1</v>
      </c>
      <c r="H106" s="9">
        <v>1</v>
      </c>
      <c r="I106" s="9">
        <v>2</v>
      </c>
      <c r="J106" s="9">
        <v>2</v>
      </c>
      <c r="K106" s="159">
        <f t="shared" si="1"/>
        <v>0.35859414261160716</v>
      </c>
      <c r="L106" s="52" t="s">
        <v>111</v>
      </c>
    </row>
    <row r="107" spans="1:12">
      <c r="A107" s="151" t="s">
        <v>109</v>
      </c>
      <c r="B107" s="59">
        <v>2012</v>
      </c>
      <c r="C107" s="336" t="s">
        <v>91</v>
      </c>
      <c r="D107" s="59">
        <v>2381</v>
      </c>
      <c r="E107" s="336" t="s">
        <v>126</v>
      </c>
      <c r="F107" s="29">
        <v>1</v>
      </c>
      <c r="G107" s="9">
        <v>1</v>
      </c>
      <c r="H107" s="9">
        <v>1</v>
      </c>
      <c r="I107" s="9">
        <v>2</v>
      </c>
      <c r="J107" s="9">
        <v>2</v>
      </c>
      <c r="K107" s="159">
        <f t="shared" si="1"/>
        <v>0.35859414261160716</v>
      </c>
      <c r="L107" s="52" t="s">
        <v>111</v>
      </c>
    </row>
    <row r="108" spans="1:12">
      <c r="A108" s="151" t="s">
        <v>109</v>
      </c>
      <c r="B108" s="59">
        <v>2013</v>
      </c>
      <c r="C108" s="336" t="s">
        <v>91</v>
      </c>
      <c r="D108" s="59">
        <v>2397</v>
      </c>
      <c r="E108" s="336" t="s">
        <v>126</v>
      </c>
      <c r="F108" s="29">
        <v>1</v>
      </c>
      <c r="G108" s="9">
        <v>1</v>
      </c>
      <c r="H108" s="9">
        <v>1</v>
      </c>
      <c r="I108" s="9">
        <v>2</v>
      </c>
      <c r="J108" s="9">
        <v>2</v>
      </c>
      <c r="K108" s="159">
        <f t="shared" si="1"/>
        <v>0.35859414261160716</v>
      </c>
      <c r="L108" s="52" t="s">
        <v>111</v>
      </c>
    </row>
    <row r="109" spans="1:12">
      <c r="A109" s="151" t="s">
        <v>109</v>
      </c>
      <c r="B109" s="59">
        <v>2016</v>
      </c>
      <c r="C109" s="336" t="s">
        <v>95</v>
      </c>
      <c r="D109" s="59">
        <v>2397</v>
      </c>
      <c r="E109" s="336" t="s">
        <v>126</v>
      </c>
      <c r="F109" s="29">
        <v>1</v>
      </c>
      <c r="G109" s="9">
        <v>1</v>
      </c>
      <c r="H109" s="9">
        <v>1</v>
      </c>
      <c r="I109" s="9">
        <v>2</v>
      </c>
      <c r="J109" s="9">
        <v>2</v>
      </c>
      <c r="K109" s="159">
        <f t="shared" si="1"/>
        <v>0.35859414261160716</v>
      </c>
      <c r="L109" s="52" t="s">
        <v>111</v>
      </c>
    </row>
    <row r="110" spans="1:12">
      <c r="A110" s="151" t="s">
        <v>109</v>
      </c>
      <c r="B110" s="59">
        <v>2015</v>
      </c>
      <c r="C110" s="336" t="s">
        <v>93</v>
      </c>
      <c r="D110" s="59">
        <v>2400</v>
      </c>
      <c r="E110" s="336" t="s">
        <v>126</v>
      </c>
      <c r="F110" s="29">
        <v>1</v>
      </c>
      <c r="G110" s="9">
        <v>1</v>
      </c>
      <c r="H110" s="9">
        <v>1</v>
      </c>
      <c r="I110" s="9">
        <v>2</v>
      </c>
      <c r="J110" s="9">
        <v>2</v>
      </c>
      <c r="K110" s="159">
        <f t="shared" si="1"/>
        <v>0.35859414261160716</v>
      </c>
      <c r="L110" s="52" t="s">
        <v>111</v>
      </c>
    </row>
    <row r="111" spans="1:12">
      <c r="A111" s="151" t="s">
        <v>109</v>
      </c>
      <c r="B111" s="59">
        <v>2016</v>
      </c>
      <c r="C111" s="336" t="s">
        <v>93</v>
      </c>
      <c r="D111" s="59">
        <v>2400</v>
      </c>
      <c r="E111" s="336" t="s">
        <v>126</v>
      </c>
      <c r="F111" s="29">
        <v>1</v>
      </c>
      <c r="G111" s="9">
        <v>1</v>
      </c>
      <c r="H111" s="9">
        <v>1</v>
      </c>
      <c r="I111" s="9">
        <v>2</v>
      </c>
      <c r="J111" s="9">
        <v>2</v>
      </c>
      <c r="K111" s="159">
        <f t="shared" si="1"/>
        <v>0.35859414261160716</v>
      </c>
      <c r="L111" s="52" t="s">
        <v>111</v>
      </c>
    </row>
    <row r="112" spans="1:12">
      <c r="A112" s="151" t="s">
        <v>109</v>
      </c>
      <c r="B112" s="59">
        <v>2006</v>
      </c>
      <c r="C112" s="336" t="s">
        <v>95</v>
      </c>
      <c r="D112" s="59">
        <v>2440</v>
      </c>
      <c r="E112" s="336" t="s">
        <v>126</v>
      </c>
      <c r="F112" s="29">
        <v>1</v>
      </c>
      <c r="G112" s="9">
        <v>1</v>
      </c>
      <c r="H112" s="9">
        <v>1</v>
      </c>
      <c r="I112" s="9">
        <v>2</v>
      </c>
      <c r="J112" s="9">
        <v>2</v>
      </c>
      <c r="K112" s="159">
        <f t="shared" si="1"/>
        <v>0.35859414261160716</v>
      </c>
      <c r="L112" s="52" t="s">
        <v>111</v>
      </c>
    </row>
    <row r="113" spans="1:12">
      <c r="A113" s="151" t="s">
        <v>109</v>
      </c>
      <c r="B113" s="59">
        <v>2015</v>
      </c>
      <c r="C113" s="336" t="s">
        <v>95</v>
      </c>
      <c r="D113" s="59">
        <v>2444</v>
      </c>
      <c r="E113" s="336" t="s">
        <v>126</v>
      </c>
      <c r="F113" s="29">
        <v>1</v>
      </c>
      <c r="G113" s="9">
        <v>1</v>
      </c>
      <c r="H113" s="9">
        <v>1</v>
      </c>
      <c r="I113" s="9">
        <v>2</v>
      </c>
      <c r="J113" s="9">
        <v>2</v>
      </c>
      <c r="K113" s="159">
        <f t="shared" si="1"/>
        <v>0.35859414261160716</v>
      </c>
      <c r="L113" s="52" t="s">
        <v>111</v>
      </c>
    </row>
    <row r="114" spans="1:12">
      <c r="A114" s="151" t="s">
        <v>109</v>
      </c>
      <c r="B114" s="59">
        <v>2020</v>
      </c>
      <c r="C114" s="336" t="s">
        <v>97</v>
      </c>
      <c r="D114" s="59">
        <v>2463</v>
      </c>
      <c r="E114" s="336" t="s">
        <v>126</v>
      </c>
      <c r="F114" s="29">
        <v>1</v>
      </c>
      <c r="G114" s="9">
        <v>1</v>
      </c>
      <c r="H114" s="9">
        <v>1</v>
      </c>
      <c r="I114" s="9">
        <v>2</v>
      </c>
      <c r="J114" s="9">
        <v>2</v>
      </c>
      <c r="K114" s="159">
        <f t="shared" si="1"/>
        <v>0.35859414261160716</v>
      </c>
      <c r="L114" s="52" t="s">
        <v>111</v>
      </c>
    </row>
    <row r="115" spans="1:12">
      <c r="A115" s="151" t="s">
        <v>109</v>
      </c>
      <c r="B115" s="59">
        <v>2014</v>
      </c>
      <c r="C115" s="336" t="s">
        <v>95</v>
      </c>
      <c r="D115" s="59">
        <v>2491</v>
      </c>
      <c r="E115" s="336" t="s">
        <v>126</v>
      </c>
      <c r="F115" s="29">
        <v>1</v>
      </c>
      <c r="G115" s="9">
        <v>1</v>
      </c>
      <c r="H115" s="9">
        <v>1</v>
      </c>
      <c r="I115" s="9">
        <v>2</v>
      </c>
      <c r="J115" s="9">
        <v>2</v>
      </c>
      <c r="K115" s="159">
        <f t="shared" si="1"/>
        <v>0.35859414261160716</v>
      </c>
      <c r="L115" s="52" t="s">
        <v>111</v>
      </c>
    </row>
    <row r="116" spans="1:12">
      <c r="A116" s="151" t="s">
        <v>109</v>
      </c>
      <c r="B116" s="59">
        <v>2008</v>
      </c>
      <c r="C116" s="336" t="s">
        <v>95</v>
      </c>
      <c r="D116" s="59">
        <v>2497</v>
      </c>
      <c r="E116" s="336" t="s">
        <v>126</v>
      </c>
      <c r="F116" s="29">
        <v>1</v>
      </c>
      <c r="G116" s="9">
        <v>1</v>
      </c>
      <c r="H116" s="9">
        <v>1</v>
      </c>
      <c r="I116" s="9">
        <v>2</v>
      </c>
      <c r="J116" s="9">
        <v>2</v>
      </c>
      <c r="K116" s="159">
        <f t="shared" si="1"/>
        <v>0.35859414261160716</v>
      </c>
      <c r="L116" s="52" t="s">
        <v>111</v>
      </c>
    </row>
    <row r="117" spans="1:12">
      <c r="A117" s="151" t="s">
        <v>109</v>
      </c>
      <c r="B117" s="59">
        <v>2020</v>
      </c>
      <c r="C117" s="336" t="s">
        <v>91</v>
      </c>
      <c r="D117" s="59">
        <v>2519</v>
      </c>
      <c r="E117" s="336" t="s">
        <v>126</v>
      </c>
      <c r="F117" s="29">
        <v>1</v>
      </c>
      <c r="G117" s="9">
        <v>1</v>
      </c>
      <c r="H117" s="9">
        <v>1</v>
      </c>
      <c r="I117" s="9">
        <v>2</v>
      </c>
      <c r="J117" s="9">
        <v>2</v>
      </c>
      <c r="K117" s="159">
        <f t="shared" si="1"/>
        <v>0.35859414261160716</v>
      </c>
      <c r="L117" s="52" t="s">
        <v>111</v>
      </c>
    </row>
    <row r="118" spans="1:12">
      <c r="A118" s="151" t="s">
        <v>109</v>
      </c>
      <c r="B118" s="59">
        <v>2012</v>
      </c>
      <c r="C118" s="336" t="s">
        <v>97</v>
      </c>
      <c r="D118" s="59">
        <v>2542</v>
      </c>
      <c r="E118" s="336" t="s">
        <v>126</v>
      </c>
      <c r="F118" s="29">
        <v>1</v>
      </c>
      <c r="G118" s="9">
        <v>1</v>
      </c>
      <c r="H118" s="9">
        <v>1</v>
      </c>
      <c r="I118" s="9">
        <v>2</v>
      </c>
      <c r="J118" s="9">
        <v>2</v>
      </c>
      <c r="K118" s="159">
        <f t="shared" si="1"/>
        <v>0.35859414261160716</v>
      </c>
      <c r="L118" s="52" t="s">
        <v>111</v>
      </c>
    </row>
    <row r="119" spans="1:12">
      <c r="A119" s="151" t="s">
        <v>109</v>
      </c>
      <c r="B119" s="59">
        <v>2021</v>
      </c>
      <c r="C119" s="336" t="s">
        <v>97</v>
      </c>
      <c r="D119" s="59">
        <v>2546</v>
      </c>
      <c r="E119" s="336" t="s">
        <v>126</v>
      </c>
      <c r="F119" s="29">
        <v>1</v>
      </c>
      <c r="G119" s="9">
        <v>1</v>
      </c>
      <c r="H119" s="9">
        <v>1</v>
      </c>
      <c r="I119" s="9">
        <v>2</v>
      </c>
      <c r="J119" s="9">
        <v>2</v>
      </c>
      <c r="K119" s="159">
        <f t="shared" si="1"/>
        <v>0.35859414261160716</v>
      </c>
      <c r="L119" s="52" t="s">
        <v>111</v>
      </c>
    </row>
    <row r="120" spans="1:12">
      <c r="A120" s="151" t="s">
        <v>109</v>
      </c>
      <c r="B120" s="59">
        <v>2007</v>
      </c>
      <c r="C120" s="336" t="s">
        <v>93</v>
      </c>
      <c r="D120" s="59">
        <v>2550</v>
      </c>
      <c r="E120" s="336" t="s">
        <v>126</v>
      </c>
      <c r="F120" s="29">
        <v>1</v>
      </c>
      <c r="G120" s="9">
        <v>1</v>
      </c>
      <c r="H120" s="9">
        <v>1</v>
      </c>
      <c r="I120" s="9">
        <v>2</v>
      </c>
      <c r="J120" s="9">
        <v>2</v>
      </c>
      <c r="K120" s="159">
        <f t="shared" si="1"/>
        <v>0.35859414261160716</v>
      </c>
      <c r="L120" s="52" t="s">
        <v>111</v>
      </c>
    </row>
    <row r="121" spans="1:12">
      <c r="A121" s="151" t="s">
        <v>109</v>
      </c>
      <c r="B121" s="59">
        <v>2010</v>
      </c>
      <c r="C121" s="336" t="s">
        <v>95</v>
      </c>
      <c r="D121" s="59">
        <v>2566</v>
      </c>
      <c r="E121" s="336" t="s">
        <v>126</v>
      </c>
      <c r="F121" s="29">
        <v>1</v>
      </c>
      <c r="G121" s="9">
        <v>1</v>
      </c>
      <c r="H121" s="9">
        <v>1</v>
      </c>
      <c r="I121" s="9">
        <v>2</v>
      </c>
      <c r="J121" s="9">
        <v>2</v>
      </c>
      <c r="K121" s="159">
        <f t="shared" ref="K121:K184" si="2">IF( OR( ISBLANK(F121),ISBLANK(G121), ISBLANK(H121), ISBLANK(I121), ISBLANK(J121) ), "", 1.5*SQRT(   EXP(2.21*(F121-1)) + EXP(2.21*(G121-1)) + EXP(2.21*(H121-1)) + EXP(2.21*(I121-1)) + EXP(2.21*J121)   )/100*2.45 )</f>
        <v>0.35859414261160716</v>
      </c>
      <c r="L121" s="52" t="s">
        <v>111</v>
      </c>
    </row>
    <row r="122" spans="1:12">
      <c r="A122" s="151" t="s">
        <v>109</v>
      </c>
      <c r="B122" s="59">
        <v>2003</v>
      </c>
      <c r="C122" s="336" t="s">
        <v>91</v>
      </c>
      <c r="D122" s="59">
        <v>2697</v>
      </c>
      <c r="E122" s="336" t="s">
        <v>126</v>
      </c>
      <c r="F122" s="29">
        <v>1</v>
      </c>
      <c r="G122" s="9">
        <v>1</v>
      </c>
      <c r="H122" s="9">
        <v>1</v>
      </c>
      <c r="I122" s="9">
        <v>2</v>
      </c>
      <c r="J122" s="9">
        <v>2</v>
      </c>
      <c r="K122" s="159">
        <f t="shared" si="2"/>
        <v>0.35859414261160716</v>
      </c>
      <c r="L122" s="52" t="s">
        <v>111</v>
      </c>
    </row>
    <row r="123" spans="1:12">
      <c r="A123" s="151" t="s">
        <v>109</v>
      </c>
      <c r="B123" s="59">
        <v>2007</v>
      </c>
      <c r="C123" s="336" t="s">
        <v>95</v>
      </c>
      <c r="D123" s="59">
        <v>2709</v>
      </c>
      <c r="E123" s="336" t="s">
        <v>126</v>
      </c>
      <c r="F123" s="29">
        <v>1</v>
      </c>
      <c r="G123" s="9">
        <v>1</v>
      </c>
      <c r="H123" s="9">
        <v>1</v>
      </c>
      <c r="I123" s="9">
        <v>2</v>
      </c>
      <c r="J123" s="9">
        <v>2</v>
      </c>
      <c r="K123" s="159">
        <f t="shared" si="2"/>
        <v>0.35859414261160716</v>
      </c>
      <c r="L123" s="52" t="s">
        <v>111</v>
      </c>
    </row>
    <row r="124" spans="1:12">
      <c r="A124" s="151" t="s">
        <v>109</v>
      </c>
      <c r="B124" s="59">
        <v>2004</v>
      </c>
      <c r="C124" s="336" t="s">
        <v>91</v>
      </c>
      <c r="D124" s="59">
        <v>2786</v>
      </c>
      <c r="E124" s="336" t="s">
        <v>126</v>
      </c>
      <c r="F124" s="29">
        <v>1</v>
      </c>
      <c r="G124" s="9">
        <v>1</v>
      </c>
      <c r="H124" s="9">
        <v>1</v>
      </c>
      <c r="I124" s="9">
        <v>2</v>
      </c>
      <c r="J124" s="9">
        <v>2</v>
      </c>
      <c r="K124" s="159">
        <f t="shared" si="2"/>
        <v>0.35859414261160716</v>
      </c>
      <c r="L124" s="52" t="s">
        <v>111</v>
      </c>
    </row>
    <row r="125" spans="1:12">
      <c r="A125" s="151" t="s">
        <v>109</v>
      </c>
      <c r="B125" s="59">
        <v>2021</v>
      </c>
      <c r="C125" s="336" t="s">
        <v>91</v>
      </c>
      <c r="D125" s="59">
        <v>2802</v>
      </c>
      <c r="E125" s="336" t="s">
        <v>126</v>
      </c>
      <c r="F125" s="29">
        <v>1</v>
      </c>
      <c r="G125" s="9">
        <v>1</v>
      </c>
      <c r="H125" s="9">
        <v>1</v>
      </c>
      <c r="I125" s="9">
        <v>2</v>
      </c>
      <c r="J125" s="9">
        <v>2</v>
      </c>
      <c r="K125" s="159">
        <f t="shared" si="2"/>
        <v>0.35859414261160716</v>
      </c>
      <c r="L125" s="52" t="s">
        <v>111</v>
      </c>
    </row>
    <row r="126" spans="1:12">
      <c r="A126" s="151" t="s">
        <v>109</v>
      </c>
      <c r="B126" s="59">
        <v>2014</v>
      </c>
      <c r="C126" s="336" t="s">
        <v>91</v>
      </c>
      <c r="D126" s="59">
        <v>2830</v>
      </c>
      <c r="E126" s="336" t="s">
        <v>126</v>
      </c>
      <c r="F126" s="29">
        <v>1</v>
      </c>
      <c r="G126" s="9">
        <v>1</v>
      </c>
      <c r="H126" s="9">
        <v>1</v>
      </c>
      <c r="I126" s="9">
        <v>2</v>
      </c>
      <c r="J126" s="9">
        <v>2</v>
      </c>
      <c r="K126" s="159">
        <f t="shared" si="2"/>
        <v>0.35859414261160716</v>
      </c>
      <c r="L126" s="52" t="s">
        <v>111</v>
      </c>
    </row>
    <row r="127" spans="1:12">
      <c r="A127" s="151" t="s">
        <v>109</v>
      </c>
      <c r="B127" s="59">
        <v>2016</v>
      </c>
      <c r="C127" s="336" t="s">
        <v>91</v>
      </c>
      <c r="D127" s="59">
        <v>2830</v>
      </c>
      <c r="E127" s="336" t="s">
        <v>126</v>
      </c>
      <c r="F127" s="29">
        <v>1</v>
      </c>
      <c r="G127" s="9">
        <v>1</v>
      </c>
      <c r="H127" s="9">
        <v>1</v>
      </c>
      <c r="I127" s="9">
        <v>2</v>
      </c>
      <c r="J127" s="9">
        <v>2</v>
      </c>
      <c r="K127" s="159">
        <f t="shared" si="2"/>
        <v>0.35859414261160716</v>
      </c>
      <c r="L127" s="52" t="s">
        <v>111</v>
      </c>
    </row>
    <row r="128" spans="1:12">
      <c r="A128" s="151" t="s">
        <v>109</v>
      </c>
      <c r="B128" s="59">
        <v>2008</v>
      </c>
      <c r="C128" s="336" t="s">
        <v>93</v>
      </c>
      <c r="D128" s="59">
        <v>2860</v>
      </c>
      <c r="E128" s="336" t="s">
        <v>126</v>
      </c>
      <c r="F128" s="29">
        <v>1</v>
      </c>
      <c r="G128" s="9">
        <v>1</v>
      </c>
      <c r="H128" s="9">
        <v>1</v>
      </c>
      <c r="I128" s="9">
        <v>2</v>
      </c>
      <c r="J128" s="9">
        <v>2</v>
      </c>
      <c r="K128" s="159">
        <f t="shared" si="2"/>
        <v>0.35859414261160716</v>
      </c>
      <c r="L128" s="52" t="s">
        <v>111</v>
      </c>
    </row>
    <row r="129" spans="1:12">
      <c r="A129" s="151" t="s">
        <v>109</v>
      </c>
      <c r="B129" s="59">
        <v>2007</v>
      </c>
      <c r="C129" s="336" t="s">
        <v>91</v>
      </c>
      <c r="D129" s="59">
        <v>2864</v>
      </c>
      <c r="E129" s="336" t="s">
        <v>126</v>
      </c>
      <c r="F129" s="29">
        <v>1</v>
      </c>
      <c r="G129" s="9">
        <v>1</v>
      </c>
      <c r="H129" s="9">
        <v>1</v>
      </c>
      <c r="I129" s="9">
        <v>2</v>
      </c>
      <c r="J129" s="9">
        <v>2</v>
      </c>
      <c r="K129" s="159">
        <f t="shared" si="2"/>
        <v>0.35859414261160716</v>
      </c>
      <c r="L129" s="52" t="s">
        <v>111</v>
      </c>
    </row>
    <row r="130" spans="1:12">
      <c r="A130" s="151" t="s">
        <v>109</v>
      </c>
      <c r="B130" s="59">
        <v>2017</v>
      </c>
      <c r="C130" s="336" t="s">
        <v>93</v>
      </c>
      <c r="D130" s="59">
        <v>2871</v>
      </c>
      <c r="E130" s="336" t="s">
        <v>126</v>
      </c>
      <c r="F130" s="29">
        <v>1</v>
      </c>
      <c r="G130" s="9">
        <v>1</v>
      </c>
      <c r="H130" s="9">
        <v>1</v>
      </c>
      <c r="I130" s="9">
        <v>2</v>
      </c>
      <c r="J130" s="9">
        <v>2</v>
      </c>
      <c r="K130" s="159">
        <f t="shared" si="2"/>
        <v>0.35859414261160716</v>
      </c>
      <c r="L130" s="52" t="s">
        <v>111</v>
      </c>
    </row>
    <row r="131" spans="1:12">
      <c r="A131" s="151" t="s">
        <v>109</v>
      </c>
      <c r="B131" s="59">
        <v>2018</v>
      </c>
      <c r="C131" s="336" t="s">
        <v>93</v>
      </c>
      <c r="D131" s="59">
        <v>2871</v>
      </c>
      <c r="E131" s="336" t="s">
        <v>126</v>
      </c>
      <c r="F131" s="29">
        <v>1</v>
      </c>
      <c r="G131" s="9">
        <v>1</v>
      </c>
      <c r="H131" s="9">
        <v>1</v>
      </c>
      <c r="I131" s="9">
        <v>2</v>
      </c>
      <c r="J131" s="9">
        <v>2</v>
      </c>
      <c r="K131" s="159">
        <f t="shared" si="2"/>
        <v>0.35859414261160716</v>
      </c>
      <c r="L131" s="52" t="s">
        <v>111</v>
      </c>
    </row>
    <row r="132" spans="1:12">
      <c r="A132" s="151" t="s">
        <v>109</v>
      </c>
      <c r="B132" s="59">
        <v>2019</v>
      </c>
      <c r="C132" s="336" t="s">
        <v>93</v>
      </c>
      <c r="D132" s="59">
        <v>2871</v>
      </c>
      <c r="E132" s="336" t="s">
        <v>126</v>
      </c>
      <c r="F132" s="29">
        <v>1</v>
      </c>
      <c r="G132" s="9">
        <v>1</v>
      </c>
      <c r="H132" s="9">
        <v>1</v>
      </c>
      <c r="I132" s="9">
        <v>2</v>
      </c>
      <c r="J132" s="9">
        <v>2</v>
      </c>
      <c r="K132" s="159">
        <f t="shared" si="2"/>
        <v>0.35859414261160716</v>
      </c>
      <c r="L132" s="52" t="s">
        <v>111</v>
      </c>
    </row>
    <row r="133" spans="1:12">
      <c r="A133" s="151" t="s">
        <v>109</v>
      </c>
      <c r="B133" s="59">
        <v>2015</v>
      </c>
      <c r="C133" s="336" t="s">
        <v>91</v>
      </c>
      <c r="D133" s="59">
        <v>2872</v>
      </c>
      <c r="E133" s="336" t="s">
        <v>126</v>
      </c>
      <c r="F133" s="29">
        <v>1</v>
      </c>
      <c r="G133" s="9">
        <v>1</v>
      </c>
      <c r="H133" s="9">
        <v>1</v>
      </c>
      <c r="I133" s="9">
        <v>2</v>
      </c>
      <c r="J133" s="9">
        <v>2</v>
      </c>
      <c r="K133" s="159">
        <f t="shared" si="2"/>
        <v>0.35859414261160716</v>
      </c>
      <c r="L133" s="52" t="s">
        <v>111</v>
      </c>
    </row>
    <row r="134" spans="1:12">
      <c r="A134" s="151" t="s">
        <v>109</v>
      </c>
      <c r="B134" s="59">
        <v>2017</v>
      </c>
      <c r="C134" s="336" t="s">
        <v>91</v>
      </c>
      <c r="D134" s="59">
        <v>2891</v>
      </c>
      <c r="E134" s="336" t="s">
        <v>126</v>
      </c>
      <c r="F134" s="29">
        <v>1</v>
      </c>
      <c r="G134" s="9">
        <v>1</v>
      </c>
      <c r="H134" s="9">
        <v>1</v>
      </c>
      <c r="I134" s="9">
        <v>2</v>
      </c>
      <c r="J134" s="9">
        <v>2</v>
      </c>
      <c r="K134" s="159">
        <f t="shared" si="2"/>
        <v>0.35859414261160716</v>
      </c>
      <c r="L134" s="52" t="s">
        <v>111</v>
      </c>
    </row>
    <row r="135" spans="1:12">
      <c r="A135" s="151" t="s">
        <v>109</v>
      </c>
      <c r="B135" s="59">
        <v>2018</v>
      </c>
      <c r="C135" s="336" t="s">
        <v>91</v>
      </c>
      <c r="D135" s="59">
        <v>2891</v>
      </c>
      <c r="E135" s="336" t="s">
        <v>126</v>
      </c>
      <c r="F135" s="29">
        <v>1</v>
      </c>
      <c r="G135" s="9">
        <v>1</v>
      </c>
      <c r="H135" s="9">
        <v>1</v>
      </c>
      <c r="I135" s="9">
        <v>2</v>
      </c>
      <c r="J135" s="9">
        <v>2</v>
      </c>
      <c r="K135" s="159">
        <f t="shared" si="2"/>
        <v>0.35859414261160716</v>
      </c>
      <c r="L135" s="52" t="s">
        <v>111</v>
      </c>
    </row>
    <row r="136" spans="1:12">
      <c r="A136" s="151" t="s">
        <v>109</v>
      </c>
      <c r="B136" s="59">
        <v>2019</v>
      </c>
      <c r="C136" s="336" t="s">
        <v>91</v>
      </c>
      <c r="D136" s="59">
        <v>2891</v>
      </c>
      <c r="E136" s="336" t="s">
        <v>126</v>
      </c>
      <c r="F136" s="29">
        <v>1</v>
      </c>
      <c r="G136" s="9">
        <v>1</v>
      </c>
      <c r="H136" s="9">
        <v>1</v>
      </c>
      <c r="I136" s="9">
        <v>2</v>
      </c>
      <c r="J136" s="9">
        <v>2</v>
      </c>
      <c r="K136" s="159">
        <f t="shared" si="2"/>
        <v>0.35859414261160716</v>
      </c>
      <c r="L136" s="52" t="s">
        <v>111</v>
      </c>
    </row>
    <row r="137" spans="1:12">
      <c r="A137" s="151" t="s">
        <v>109</v>
      </c>
      <c r="B137" s="59">
        <v>2009</v>
      </c>
      <c r="C137" s="336" t="s">
        <v>91</v>
      </c>
      <c r="D137" s="59">
        <v>2917</v>
      </c>
      <c r="E137" s="336" t="s">
        <v>126</v>
      </c>
      <c r="F137" s="29">
        <v>1</v>
      </c>
      <c r="G137" s="9">
        <v>1</v>
      </c>
      <c r="H137" s="9">
        <v>1</v>
      </c>
      <c r="I137" s="9">
        <v>2</v>
      </c>
      <c r="J137" s="9">
        <v>2</v>
      </c>
      <c r="K137" s="159">
        <f t="shared" si="2"/>
        <v>0.35859414261160716</v>
      </c>
      <c r="L137" s="52" t="s">
        <v>111</v>
      </c>
    </row>
    <row r="138" spans="1:12">
      <c r="A138" s="151" t="s">
        <v>109</v>
      </c>
      <c r="B138" s="59">
        <v>2006</v>
      </c>
      <c r="C138" s="336" t="s">
        <v>91</v>
      </c>
      <c r="D138" s="59">
        <v>2931</v>
      </c>
      <c r="E138" s="336" t="s">
        <v>126</v>
      </c>
      <c r="F138" s="29">
        <v>1</v>
      </c>
      <c r="G138" s="9">
        <v>1</v>
      </c>
      <c r="H138" s="9">
        <v>1</v>
      </c>
      <c r="I138" s="9">
        <v>2</v>
      </c>
      <c r="J138" s="9">
        <v>2</v>
      </c>
      <c r="K138" s="159">
        <f t="shared" si="2"/>
        <v>0.35859414261160716</v>
      </c>
      <c r="L138" s="52" t="s">
        <v>111</v>
      </c>
    </row>
    <row r="139" spans="1:12">
      <c r="A139" s="151" t="s">
        <v>109</v>
      </c>
      <c r="B139" s="59">
        <v>2004</v>
      </c>
      <c r="C139" s="336" t="s">
        <v>97</v>
      </c>
      <c r="D139" s="59">
        <v>2951</v>
      </c>
      <c r="E139" s="336" t="s">
        <v>126</v>
      </c>
      <c r="F139" s="29">
        <v>1</v>
      </c>
      <c r="G139" s="9">
        <v>1</v>
      </c>
      <c r="H139" s="9">
        <v>1</v>
      </c>
      <c r="I139" s="9">
        <v>2</v>
      </c>
      <c r="J139" s="9">
        <v>2</v>
      </c>
      <c r="K139" s="159">
        <f t="shared" si="2"/>
        <v>0.35859414261160716</v>
      </c>
      <c r="L139" s="52" t="s">
        <v>111</v>
      </c>
    </row>
    <row r="140" spans="1:12">
      <c r="A140" s="151" t="s">
        <v>109</v>
      </c>
      <c r="B140" s="59">
        <v>2011</v>
      </c>
      <c r="C140" s="336" t="s">
        <v>91</v>
      </c>
      <c r="D140" s="59">
        <v>2968</v>
      </c>
      <c r="E140" s="336" t="s">
        <v>126</v>
      </c>
      <c r="F140" s="29">
        <v>1</v>
      </c>
      <c r="G140" s="9">
        <v>1</v>
      </c>
      <c r="H140" s="9">
        <v>1</v>
      </c>
      <c r="I140" s="9">
        <v>2</v>
      </c>
      <c r="J140" s="9">
        <v>2</v>
      </c>
      <c r="K140" s="159">
        <f t="shared" si="2"/>
        <v>0.35859414261160716</v>
      </c>
      <c r="L140" s="52" t="s">
        <v>111</v>
      </c>
    </row>
    <row r="141" spans="1:12">
      <c r="A141" s="151" t="s">
        <v>109</v>
      </c>
      <c r="B141" s="59">
        <v>2014</v>
      </c>
      <c r="C141" s="336" t="s">
        <v>93</v>
      </c>
      <c r="D141" s="59">
        <v>3000</v>
      </c>
      <c r="E141" s="336" t="s">
        <v>126</v>
      </c>
      <c r="F141" s="29">
        <v>1</v>
      </c>
      <c r="G141" s="9">
        <v>1</v>
      </c>
      <c r="H141" s="9">
        <v>1</v>
      </c>
      <c r="I141" s="9">
        <v>2</v>
      </c>
      <c r="J141" s="9">
        <v>2</v>
      </c>
      <c r="K141" s="159">
        <f t="shared" si="2"/>
        <v>0.35859414261160716</v>
      </c>
      <c r="L141" s="52" t="s">
        <v>111</v>
      </c>
    </row>
    <row r="142" spans="1:12">
      <c r="A142" s="151" t="s">
        <v>109</v>
      </c>
      <c r="B142" s="59">
        <v>2010</v>
      </c>
      <c r="C142" s="336" t="s">
        <v>91</v>
      </c>
      <c r="D142" s="59">
        <v>3001</v>
      </c>
      <c r="E142" s="336" t="s">
        <v>126</v>
      </c>
      <c r="F142" s="29">
        <v>1</v>
      </c>
      <c r="G142" s="9">
        <v>1</v>
      </c>
      <c r="H142" s="9">
        <v>1</v>
      </c>
      <c r="I142" s="9">
        <v>2</v>
      </c>
      <c r="J142" s="9">
        <v>2</v>
      </c>
      <c r="K142" s="159">
        <f t="shared" si="2"/>
        <v>0.35859414261160716</v>
      </c>
      <c r="L142" s="52" t="s">
        <v>111</v>
      </c>
    </row>
    <row r="143" spans="1:12">
      <c r="A143" s="151" t="s">
        <v>109</v>
      </c>
      <c r="B143" s="59">
        <v>2008</v>
      </c>
      <c r="C143" s="336" t="s">
        <v>91</v>
      </c>
      <c r="D143" s="59">
        <v>3018</v>
      </c>
      <c r="E143" s="336" t="s">
        <v>126</v>
      </c>
      <c r="F143" s="29">
        <v>1</v>
      </c>
      <c r="G143" s="9">
        <v>1</v>
      </c>
      <c r="H143" s="9">
        <v>1</v>
      </c>
      <c r="I143" s="9">
        <v>2</v>
      </c>
      <c r="J143" s="9">
        <v>2</v>
      </c>
      <c r="K143" s="159">
        <f t="shared" si="2"/>
        <v>0.35859414261160716</v>
      </c>
      <c r="L143" s="52" t="s">
        <v>111</v>
      </c>
    </row>
    <row r="144" spans="1:12">
      <c r="A144" s="151" t="s">
        <v>109</v>
      </c>
      <c r="B144" s="59">
        <v>2017</v>
      </c>
      <c r="C144" s="336" t="s">
        <v>97</v>
      </c>
      <c r="D144" s="59">
        <v>3038</v>
      </c>
      <c r="E144" s="336" t="s">
        <v>126</v>
      </c>
      <c r="F144" s="29">
        <v>1</v>
      </c>
      <c r="G144" s="9">
        <v>1</v>
      </c>
      <c r="H144" s="9">
        <v>1</v>
      </c>
      <c r="I144" s="9">
        <v>2</v>
      </c>
      <c r="J144" s="9">
        <v>2</v>
      </c>
      <c r="K144" s="159">
        <f t="shared" si="2"/>
        <v>0.35859414261160716</v>
      </c>
      <c r="L144" s="52" t="s">
        <v>111</v>
      </c>
    </row>
    <row r="145" spans="1:12">
      <c r="A145" s="151" t="s">
        <v>109</v>
      </c>
      <c r="B145" s="59">
        <v>2018</v>
      </c>
      <c r="C145" s="336" t="s">
        <v>97</v>
      </c>
      <c r="D145" s="59">
        <v>3038</v>
      </c>
      <c r="E145" s="336" t="s">
        <v>126</v>
      </c>
      <c r="F145" s="29">
        <v>1</v>
      </c>
      <c r="G145" s="9">
        <v>1</v>
      </c>
      <c r="H145" s="9">
        <v>1</v>
      </c>
      <c r="I145" s="9">
        <v>2</v>
      </c>
      <c r="J145" s="9">
        <v>2</v>
      </c>
      <c r="K145" s="159">
        <f t="shared" si="2"/>
        <v>0.35859414261160716</v>
      </c>
      <c r="L145" s="52" t="s">
        <v>111</v>
      </c>
    </row>
    <row r="146" spans="1:12">
      <c r="A146" s="151" t="s">
        <v>109</v>
      </c>
      <c r="B146" s="59">
        <v>2019</v>
      </c>
      <c r="C146" s="336" t="s">
        <v>97</v>
      </c>
      <c r="D146" s="59">
        <v>3038</v>
      </c>
      <c r="E146" s="336" t="s">
        <v>126</v>
      </c>
      <c r="F146" s="29">
        <v>1</v>
      </c>
      <c r="G146" s="9">
        <v>1</v>
      </c>
      <c r="H146" s="9">
        <v>1</v>
      </c>
      <c r="I146" s="9">
        <v>2</v>
      </c>
      <c r="J146" s="9">
        <v>2</v>
      </c>
      <c r="K146" s="159">
        <f t="shared" si="2"/>
        <v>0.35859414261160716</v>
      </c>
      <c r="L146" s="52" t="s">
        <v>111</v>
      </c>
    </row>
    <row r="147" spans="1:12">
      <c r="A147" s="151" t="s">
        <v>109</v>
      </c>
      <c r="B147" s="59">
        <v>2003</v>
      </c>
      <c r="C147" s="336" t="s">
        <v>93</v>
      </c>
      <c r="D147" s="59">
        <v>3056</v>
      </c>
      <c r="E147" s="336" t="s">
        <v>126</v>
      </c>
      <c r="F147" s="29">
        <v>1</v>
      </c>
      <c r="G147" s="9">
        <v>1</v>
      </c>
      <c r="H147" s="9">
        <v>1</v>
      </c>
      <c r="I147" s="9">
        <v>2</v>
      </c>
      <c r="J147" s="9">
        <v>2</v>
      </c>
      <c r="K147" s="159">
        <f t="shared" si="2"/>
        <v>0.35859414261160716</v>
      </c>
      <c r="L147" s="52" t="s">
        <v>111</v>
      </c>
    </row>
    <row r="148" spans="1:12">
      <c r="A148" s="151" t="s">
        <v>109</v>
      </c>
      <c r="B148" s="59">
        <v>2004</v>
      </c>
      <c r="C148" s="336" t="s">
        <v>93</v>
      </c>
      <c r="D148" s="59">
        <v>3101</v>
      </c>
      <c r="E148" s="336" t="s">
        <v>126</v>
      </c>
      <c r="F148" s="29">
        <v>1</v>
      </c>
      <c r="G148" s="9">
        <v>1</v>
      </c>
      <c r="H148" s="9">
        <v>1</v>
      </c>
      <c r="I148" s="9">
        <v>2</v>
      </c>
      <c r="J148" s="9">
        <v>2</v>
      </c>
      <c r="K148" s="159">
        <f t="shared" si="2"/>
        <v>0.35859414261160716</v>
      </c>
      <c r="L148" s="52" t="s">
        <v>111</v>
      </c>
    </row>
    <row r="149" spans="1:12">
      <c r="A149" s="151" t="s">
        <v>109</v>
      </c>
      <c r="B149" s="59">
        <v>2003</v>
      </c>
      <c r="C149" s="336" t="s">
        <v>97</v>
      </c>
      <c r="D149" s="59">
        <v>3121</v>
      </c>
      <c r="E149" s="336" t="s">
        <v>126</v>
      </c>
      <c r="F149" s="29">
        <v>1</v>
      </c>
      <c r="G149" s="9">
        <v>1</v>
      </c>
      <c r="H149" s="9">
        <v>1</v>
      </c>
      <c r="I149" s="9">
        <v>2</v>
      </c>
      <c r="J149" s="9">
        <v>2</v>
      </c>
      <c r="K149" s="159">
        <f t="shared" si="2"/>
        <v>0.35859414261160716</v>
      </c>
      <c r="L149" s="52" t="s">
        <v>111</v>
      </c>
    </row>
    <row r="150" spans="1:12">
      <c r="A150" s="151" t="s">
        <v>109</v>
      </c>
      <c r="B150" s="59">
        <v>2014</v>
      </c>
      <c r="C150" s="336" t="s">
        <v>97</v>
      </c>
      <c r="D150" s="59">
        <v>3176</v>
      </c>
      <c r="E150" s="336" t="s">
        <v>126</v>
      </c>
      <c r="F150" s="29">
        <v>1</v>
      </c>
      <c r="G150" s="9">
        <v>1</v>
      </c>
      <c r="H150" s="9">
        <v>1</v>
      </c>
      <c r="I150" s="9">
        <v>2</v>
      </c>
      <c r="J150" s="9">
        <v>2</v>
      </c>
      <c r="K150" s="159">
        <f t="shared" si="2"/>
        <v>0.35859414261160716</v>
      </c>
      <c r="L150" s="52" t="s">
        <v>111</v>
      </c>
    </row>
    <row r="151" spans="1:12">
      <c r="A151" s="151" t="s">
        <v>109</v>
      </c>
      <c r="B151" s="59">
        <v>2006</v>
      </c>
      <c r="C151" s="336" t="s">
        <v>97</v>
      </c>
      <c r="D151" s="59">
        <v>3259</v>
      </c>
      <c r="E151" s="336" t="s">
        <v>126</v>
      </c>
      <c r="F151" s="29">
        <v>1</v>
      </c>
      <c r="G151" s="9">
        <v>1</v>
      </c>
      <c r="H151" s="9">
        <v>1</v>
      </c>
      <c r="I151" s="9">
        <v>2</v>
      </c>
      <c r="J151" s="9">
        <v>2</v>
      </c>
      <c r="K151" s="159">
        <f t="shared" si="2"/>
        <v>0.35859414261160716</v>
      </c>
      <c r="L151" s="52" t="s">
        <v>111</v>
      </c>
    </row>
    <row r="152" spans="1:12">
      <c r="A152" s="151" t="s">
        <v>109</v>
      </c>
      <c r="B152" s="59">
        <v>2010</v>
      </c>
      <c r="C152" s="336" t="s">
        <v>97</v>
      </c>
      <c r="D152" s="59">
        <v>3357</v>
      </c>
      <c r="E152" s="336" t="s">
        <v>126</v>
      </c>
      <c r="F152" s="29">
        <v>1</v>
      </c>
      <c r="G152" s="9">
        <v>1</v>
      </c>
      <c r="H152" s="9">
        <v>1</v>
      </c>
      <c r="I152" s="9">
        <v>2</v>
      </c>
      <c r="J152" s="9">
        <v>2</v>
      </c>
      <c r="K152" s="159">
        <f t="shared" si="2"/>
        <v>0.35859414261160716</v>
      </c>
      <c r="L152" s="52" t="s">
        <v>111</v>
      </c>
    </row>
    <row r="153" spans="1:12">
      <c r="A153" s="151" t="s">
        <v>109</v>
      </c>
      <c r="B153" s="59">
        <v>2005</v>
      </c>
      <c r="C153" s="336" t="s">
        <v>93</v>
      </c>
      <c r="D153" s="59">
        <v>3361</v>
      </c>
      <c r="E153" s="336" t="s">
        <v>126</v>
      </c>
      <c r="F153" s="29">
        <v>1</v>
      </c>
      <c r="G153" s="9">
        <v>1</v>
      </c>
      <c r="H153" s="9">
        <v>1</v>
      </c>
      <c r="I153" s="9">
        <v>2</v>
      </c>
      <c r="J153" s="9">
        <v>2</v>
      </c>
      <c r="K153" s="159">
        <f t="shared" si="2"/>
        <v>0.35859414261160716</v>
      </c>
      <c r="L153" s="52" t="s">
        <v>111</v>
      </c>
    </row>
    <row r="154" spans="1:12">
      <c r="A154" s="151" t="s">
        <v>109</v>
      </c>
      <c r="B154" s="59">
        <v>2006</v>
      </c>
      <c r="C154" s="336" t="s">
        <v>93</v>
      </c>
      <c r="D154" s="59">
        <v>3363</v>
      </c>
      <c r="E154" s="336" t="s">
        <v>126</v>
      </c>
      <c r="F154" s="29">
        <v>1</v>
      </c>
      <c r="G154" s="9">
        <v>1</v>
      </c>
      <c r="H154" s="9">
        <v>1</v>
      </c>
      <c r="I154" s="9">
        <v>2</v>
      </c>
      <c r="J154" s="9">
        <v>2</v>
      </c>
      <c r="K154" s="159">
        <f t="shared" si="2"/>
        <v>0.35859414261160716</v>
      </c>
      <c r="L154" s="52" t="s">
        <v>111</v>
      </c>
    </row>
    <row r="155" spans="1:12">
      <c r="A155" s="151" t="s">
        <v>109</v>
      </c>
      <c r="B155" s="59">
        <v>2009</v>
      </c>
      <c r="C155" s="336" t="s">
        <v>97</v>
      </c>
      <c r="D155" s="59">
        <v>3427</v>
      </c>
      <c r="E155" s="336" t="s">
        <v>126</v>
      </c>
      <c r="F155" s="29">
        <v>1</v>
      </c>
      <c r="G155" s="9">
        <v>1</v>
      </c>
      <c r="H155" s="9">
        <v>1</v>
      </c>
      <c r="I155" s="9">
        <v>2</v>
      </c>
      <c r="J155" s="9">
        <v>2</v>
      </c>
      <c r="K155" s="159">
        <f t="shared" si="2"/>
        <v>0.35859414261160716</v>
      </c>
      <c r="L155" s="52" t="s">
        <v>111</v>
      </c>
    </row>
    <row r="156" spans="1:12">
      <c r="A156" s="151" t="s">
        <v>109</v>
      </c>
      <c r="B156" s="59">
        <v>2005</v>
      </c>
      <c r="C156" s="336" t="s">
        <v>97</v>
      </c>
      <c r="D156" s="59">
        <v>3495</v>
      </c>
      <c r="E156" s="336" t="s">
        <v>126</v>
      </c>
      <c r="F156" s="29">
        <v>1</v>
      </c>
      <c r="G156" s="9">
        <v>1</v>
      </c>
      <c r="H156" s="9">
        <v>1</v>
      </c>
      <c r="I156" s="9">
        <v>2</v>
      </c>
      <c r="J156" s="9">
        <v>2</v>
      </c>
      <c r="K156" s="159">
        <f t="shared" si="2"/>
        <v>0.35859414261160716</v>
      </c>
      <c r="L156" s="52" t="s">
        <v>111</v>
      </c>
    </row>
    <row r="157" spans="1:12">
      <c r="A157" s="151" t="s">
        <v>109</v>
      </c>
      <c r="B157" s="59">
        <v>2021</v>
      </c>
      <c r="C157" s="336" t="s">
        <v>93</v>
      </c>
      <c r="D157" s="59">
        <v>3554</v>
      </c>
      <c r="E157" s="336" t="s">
        <v>126</v>
      </c>
      <c r="F157" s="29">
        <v>1</v>
      </c>
      <c r="G157" s="9">
        <v>1</v>
      </c>
      <c r="H157" s="9">
        <v>1</v>
      </c>
      <c r="I157" s="9">
        <v>2</v>
      </c>
      <c r="J157" s="9">
        <v>2</v>
      </c>
      <c r="K157" s="159">
        <f t="shared" si="2"/>
        <v>0.35859414261160716</v>
      </c>
      <c r="L157" s="52" t="s">
        <v>111</v>
      </c>
    </row>
    <row r="158" spans="1:12">
      <c r="A158" s="151" t="s">
        <v>109</v>
      </c>
      <c r="B158" s="59">
        <v>2012</v>
      </c>
      <c r="C158" s="336" t="s">
        <v>93</v>
      </c>
      <c r="D158" s="59">
        <v>3589</v>
      </c>
      <c r="E158" s="336" t="s">
        <v>126</v>
      </c>
      <c r="F158" s="29">
        <v>1</v>
      </c>
      <c r="G158" s="9">
        <v>1</v>
      </c>
      <c r="H158" s="9">
        <v>1</v>
      </c>
      <c r="I158" s="9">
        <v>2</v>
      </c>
      <c r="J158" s="9">
        <v>2</v>
      </c>
      <c r="K158" s="159">
        <f t="shared" si="2"/>
        <v>0.35859414261160716</v>
      </c>
      <c r="L158" s="52" t="s">
        <v>111</v>
      </c>
    </row>
    <row r="159" spans="1:12">
      <c r="A159" s="151" t="s">
        <v>109</v>
      </c>
      <c r="B159" s="59">
        <v>2007</v>
      </c>
      <c r="C159" s="336" t="s">
        <v>97</v>
      </c>
      <c r="D159" s="59">
        <v>3778</v>
      </c>
      <c r="E159" s="336" t="s">
        <v>126</v>
      </c>
      <c r="F159" s="29">
        <v>1</v>
      </c>
      <c r="G159" s="9">
        <v>1</v>
      </c>
      <c r="H159" s="9">
        <v>1</v>
      </c>
      <c r="I159" s="9">
        <v>2</v>
      </c>
      <c r="J159" s="9">
        <v>2</v>
      </c>
      <c r="K159" s="159">
        <f t="shared" si="2"/>
        <v>0.35859414261160716</v>
      </c>
      <c r="L159" s="52" t="s">
        <v>111</v>
      </c>
    </row>
    <row r="160" spans="1:12">
      <c r="A160" s="151" t="s">
        <v>109</v>
      </c>
      <c r="B160" s="59">
        <v>2011</v>
      </c>
      <c r="C160" s="336" t="s">
        <v>97</v>
      </c>
      <c r="D160" s="59">
        <v>3791</v>
      </c>
      <c r="E160" s="336" t="s">
        <v>126</v>
      </c>
      <c r="F160" s="29">
        <v>1</v>
      </c>
      <c r="G160" s="9">
        <v>1</v>
      </c>
      <c r="H160" s="9">
        <v>1</v>
      </c>
      <c r="I160" s="9">
        <v>2</v>
      </c>
      <c r="J160" s="9">
        <v>2</v>
      </c>
      <c r="K160" s="159">
        <f t="shared" si="2"/>
        <v>0.35859414261160716</v>
      </c>
      <c r="L160" s="52" t="s">
        <v>111</v>
      </c>
    </row>
    <row r="161" spans="1:12">
      <c r="A161" s="151" t="s">
        <v>109</v>
      </c>
      <c r="B161" s="59">
        <v>2020</v>
      </c>
      <c r="C161" s="336" t="s">
        <v>93</v>
      </c>
      <c r="D161" s="59">
        <v>3825</v>
      </c>
      <c r="E161" s="336" t="s">
        <v>126</v>
      </c>
      <c r="F161" s="29">
        <v>1</v>
      </c>
      <c r="G161" s="9">
        <v>1</v>
      </c>
      <c r="H161" s="9">
        <v>1</v>
      </c>
      <c r="I161" s="9">
        <v>2</v>
      </c>
      <c r="J161" s="9">
        <v>2</v>
      </c>
      <c r="K161" s="159">
        <f t="shared" si="2"/>
        <v>0.35859414261160716</v>
      </c>
      <c r="L161" s="52" t="s">
        <v>111</v>
      </c>
    </row>
    <row r="162" spans="1:12">
      <c r="A162" s="151" t="s">
        <v>109</v>
      </c>
      <c r="B162" s="59">
        <v>2008</v>
      </c>
      <c r="C162" s="336" t="s">
        <v>97</v>
      </c>
      <c r="D162" s="59">
        <v>4175</v>
      </c>
      <c r="E162" s="336" t="s">
        <v>126</v>
      </c>
      <c r="F162" s="29">
        <v>1</v>
      </c>
      <c r="G162" s="9">
        <v>1</v>
      </c>
      <c r="H162" s="9">
        <v>1</v>
      </c>
      <c r="I162" s="9">
        <v>2</v>
      </c>
      <c r="J162" s="9">
        <v>2</v>
      </c>
      <c r="K162" s="159">
        <f t="shared" si="2"/>
        <v>0.35859414261160716</v>
      </c>
      <c r="L162" s="52" t="s">
        <v>111</v>
      </c>
    </row>
    <row r="163" spans="1:12">
      <c r="A163" s="151" t="s">
        <v>109</v>
      </c>
      <c r="B163" s="59">
        <v>2005</v>
      </c>
      <c r="C163" s="336" t="s">
        <v>91</v>
      </c>
      <c r="D163" s="59">
        <v>4447</v>
      </c>
      <c r="E163" s="336" t="s">
        <v>126</v>
      </c>
      <c r="F163" s="29">
        <v>1</v>
      </c>
      <c r="G163" s="9">
        <v>1</v>
      </c>
      <c r="H163" s="9">
        <v>1</v>
      </c>
      <c r="I163" s="9">
        <v>2</v>
      </c>
      <c r="J163" s="9">
        <v>2</v>
      </c>
      <c r="K163" s="159">
        <f t="shared" si="2"/>
        <v>0.35859414261160716</v>
      </c>
      <c r="L163" s="52" t="s">
        <v>111</v>
      </c>
    </row>
    <row r="164" spans="1:12">
      <c r="A164" s="151" t="s">
        <v>109</v>
      </c>
      <c r="B164" s="59">
        <v>2009</v>
      </c>
      <c r="C164" s="336" t="s">
        <v>86</v>
      </c>
      <c r="D164" s="59">
        <v>5551</v>
      </c>
      <c r="E164" s="336" t="s">
        <v>126</v>
      </c>
      <c r="F164" s="29">
        <v>1</v>
      </c>
      <c r="G164" s="9">
        <v>1</v>
      </c>
      <c r="H164" s="9">
        <v>1</v>
      </c>
      <c r="I164" s="9">
        <v>2</v>
      </c>
      <c r="J164" s="9">
        <v>2</v>
      </c>
      <c r="K164" s="159">
        <f t="shared" si="2"/>
        <v>0.35859414261160716</v>
      </c>
      <c r="L164" s="52" t="s">
        <v>111</v>
      </c>
    </row>
    <row r="165" spans="1:12">
      <c r="A165" s="151" t="s">
        <v>109</v>
      </c>
      <c r="B165" s="59">
        <v>2006</v>
      </c>
      <c r="C165" s="336" t="s">
        <v>86</v>
      </c>
      <c r="D165" s="59">
        <v>5682</v>
      </c>
      <c r="E165" s="336" t="s">
        <v>126</v>
      </c>
      <c r="F165" s="29">
        <v>1</v>
      </c>
      <c r="G165" s="9">
        <v>1</v>
      </c>
      <c r="H165" s="9">
        <v>1</v>
      </c>
      <c r="I165" s="9">
        <v>2</v>
      </c>
      <c r="J165" s="9">
        <v>2</v>
      </c>
      <c r="K165" s="159">
        <f t="shared" si="2"/>
        <v>0.35859414261160716</v>
      </c>
      <c r="L165" s="52" t="s">
        <v>111</v>
      </c>
    </row>
    <row r="166" spans="1:12">
      <c r="A166" s="151" t="s">
        <v>109</v>
      </c>
      <c r="B166" s="59">
        <v>2010</v>
      </c>
      <c r="C166" s="336" t="s">
        <v>86</v>
      </c>
      <c r="D166" s="59">
        <v>5687</v>
      </c>
      <c r="E166" s="336" t="s">
        <v>126</v>
      </c>
      <c r="F166" s="29">
        <v>1</v>
      </c>
      <c r="G166" s="9">
        <v>1</v>
      </c>
      <c r="H166" s="9">
        <v>1</v>
      </c>
      <c r="I166" s="9">
        <v>2</v>
      </c>
      <c r="J166" s="9">
        <v>2</v>
      </c>
      <c r="K166" s="159">
        <f t="shared" si="2"/>
        <v>0.35859414261160716</v>
      </c>
      <c r="L166" s="52" t="s">
        <v>111</v>
      </c>
    </row>
    <row r="167" spans="1:12">
      <c r="A167" s="151" t="s">
        <v>109</v>
      </c>
      <c r="B167" s="59">
        <v>2008</v>
      </c>
      <c r="C167" s="336" t="s">
        <v>86</v>
      </c>
      <c r="D167" s="59">
        <v>5693</v>
      </c>
      <c r="E167" s="336" t="s">
        <v>126</v>
      </c>
      <c r="F167" s="29">
        <v>1</v>
      </c>
      <c r="G167" s="9">
        <v>1</v>
      </c>
      <c r="H167" s="9">
        <v>1</v>
      </c>
      <c r="I167" s="9">
        <v>2</v>
      </c>
      <c r="J167" s="9">
        <v>2</v>
      </c>
      <c r="K167" s="159">
        <f t="shared" si="2"/>
        <v>0.35859414261160716</v>
      </c>
      <c r="L167" s="52" t="s">
        <v>111</v>
      </c>
    </row>
    <row r="168" spans="1:12">
      <c r="A168" s="151" t="s">
        <v>109</v>
      </c>
      <c r="B168" s="59">
        <v>2016</v>
      </c>
      <c r="C168" s="336" t="s">
        <v>86</v>
      </c>
      <c r="D168" s="59">
        <v>5815</v>
      </c>
      <c r="E168" s="336" t="s">
        <v>126</v>
      </c>
      <c r="F168" s="29">
        <v>1</v>
      </c>
      <c r="G168" s="9">
        <v>1</v>
      </c>
      <c r="H168" s="9">
        <v>1</v>
      </c>
      <c r="I168" s="9">
        <v>2</v>
      </c>
      <c r="J168" s="9">
        <v>2</v>
      </c>
      <c r="K168" s="159">
        <f t="shared" si="2"/>
        <v>0.35859414261160716</v>
      </c>
      <c r="L168" s="52" t="s">
        <v>111</v>
      </c>
    </row>
    <row r="169" spans="1:12">
      <c r="A169" s="151" t="s">
        <v>109</v>
      </c>
      <c r="B169" s="59">
        <v>2005</v>
      </c>
      <c r="C169" s="336" t="s">
        <v>86</v>
      </c>
      <c r="D169" s="59">
        <v>5841</v>
      </c>
      <c r="E169" s="336" t="s">
        <v>126</v>
      </c>
      <c r="F169" s="29">
        <v>1</v>
      </c>
      <c r="G169" s="9">
        <v>1</v>
      </c>
      <c r="H169" s="9">
        <v>1</v>
      </c>
      <c r="I169" s="9">
        <v>2</v>
      </c>
      <c r="J169" s="9">
        <v>2</v>
      </c>
      <c r="K169" s="159">
        <f t="shared" si="2"/>
        <v>0.35859414261160716</v>
      </c>
      <c r="L169" s="52" t="s">
        <v>111</v>
      </c>
    </row>
    <row r="170" spans="1:12">
      <c r="A170" s="151" t="s">
        <v>109</v>
      </c>
      <c r="B170" s="59">
        <v>2004</v>
      </c>
      <c r="C170" s="336" t="s">
        <v>86</v>
      </c>
      <c r="D170" s="59">
        <v>5842</v>
      </c>
      <c r="E170" s="336" t="s">
        <v>126</v>
      </c>
      <c r="F170" s="29">
        <v>1</v>
      </c>
      <c r="G170" s="9">
        <v>1</v>
      </c>
      <c r="H170" s="9">
        <v>1</v>
      </c>
      <c r="I170" s="9">
        <v>2</v>
      </c>
      <c r="J170" s="9">
        <v>2</v>
      </c>
      <c r="K170" s="159">
        <f t="shared" si="2"/>
        <v>0.35859414261160716</v>
      </c>
      <c r="L170" s="52" t="s">
        <v>111</v>
      </c>
    </row>
    <row r="171" spans="1:12">
      <c r="A171" s="151" t="s">
        <v>109</v>
      </c>
      <c r="B171" s="59">
        <v>2015</v>
      </c>
      <c r="C171" s="336" t="s">
        <v>86</v>
      </c>
      <c r="D171" s="59">
        <v>5847</v>
      </c>
      <c r="E171" s="336" t="s">
        <v>126</v>
      </c>
      <c r="F171" s="29">
        <v>1</v>
      </c>
      <c r="G171" s="9">
        <v>1</v>
      </c>
      <c r="H171" s="9">
        <v>1</v>
      </c>
      <c r="I171" s="9">
        <v>2</v>
      </c>
      <c r="J171" s="9">
        <v>2</v>
      </c>
      <c r="K171" s="159">
        <f t="shared" si="2"/>
        <v>0.35859414261160716</v>
      </c>
      <c r="L171" s="52" t="s">
        <v>111</v>
      </c>
    </row>
    <row r="172" spans="1:12">
      <c r="A172" s="151" t="s">
        <v>109</v>
      </c>
      <c r="B172" s="59">
        <v>2011</v>
      </c>
      <c r="C172" s="336" t="s">
        <v>86</v>
      </c>
      <c r="D172" s="59">
        <v>5883</v>
      </c>
      <c r="E172" s="336" t="s">
        <v>126</v>
      </c>
      <c r="F172" s="29">
        <v>1</v>
      </c>
      <c r="G172" s="9">
        <v>1</v>
      </c>
      <c r="H172" s="9">
        <v>1</v>
      </c>
      <c r="I172" s="9">
        <v>2</v>
      </c>
      <c r="J172" s="9">
        <v>2</v>
      </c>
      <c r="K172" s="159">
        <f t="shared" si="2"/>
        <v>0.35859414261160716</v>
      </c>
      <c r="L172" s="52" t="s">
        <v>111</v>
      </c>
    </row>
    <row r="173" spans="1:12">
      <c r="A173" s="151" t="s">
        <v>109</v>
      </c>
      <c r="B173" s="59">
        <v>2008</v>
      </c>
      <c r="C173" s="336" t="s">
        <v>90</v>
      </c>
      <c r="D173" s="59">
        <v>5913</v>
      </c>
      <c r="E173" s="336" t="s">
        <v>126</v>
      </c>
      <c r="F173" s="29">
        <v>1</v>
      </c>
      <c r="G173" s="9">
        <v>1</v>
      </c>
      <c r="H173" s="9">
        <v>1</v>
      </c>
      <c r="I173" s="9">
        <v>2</v>
      </c>
      <c r="J173" s="9">
        <v>2</v>
      </c>
      <c r="K173" s="159">
        <f t="shared" si="2"/>
        <v>0.35859414261160716</v>
      </c>
      <c r="L173" s="52" t="s">
        <v>111</v>
      </c>
    </row>
    <row r="174" spans="1:12">
      <c r="A174" s="151" t="s">
        <v>109</v>
      </c>
      <c r="B174" s="59">
        <v>2010</v>
      </c>
      <c r="C174" s="336" t="s">
        <v>90</v>
      </c>
      <c r="D174" s="59">
        <v>5949</v>
      </c>
      <c r="E174" s="336" t="s">
        <v>126</v>
      </c>
      <c r="F174" s="29">
        <v>1</v>
      </c>
      <c r="G174" s="9">
        <v>1</v>
      </c>
      <c r="H174" s="9">
        <v>1</v>
      </c>
      <c r="I174" s="9">
        <v>2</v>
      </c>
      <c r="J174" s="9">
        <v>2</v>
      </c>
      <c r="K174" s="159">
        <f t="shared" si="2"/>
        <v>0.35859414261160716</v>
      </c>
      <c r="L174" s="52" t="s">
        <v>111</v>
      </c>
    </row>
    <row r="175" spans="1:12">
      <c r="A175" s="151" t="s">
        <v>109</v>
      </c>
      <c r="B175" s="59">
        <v>2003</v>
      </c>
      <c r="C175" s="336" t="s">
        <v>86</v>
      </c>
      <c r="D175" s="59">
        <v>5967</v>
      </c>
      <c r="E175" s="336" t="s">
        <v>126</v>
      </c>
      <c r="F175" s="29">
        <v>1</v>
      </c>
      <c r="G175" s="9">
        <v>1</v>
      </c>
      <c r="H175" s="9">
        <v>1</v>
      </c>
      <c r="I175" s="9">
        <v>2</v>
      </c>
      <c r="J175" s="9">
        <v>2</v>
      </c>
      <c r="K175" s="159">
        <f t="shared" si="2"/>
        <v>0.35859414261160716</v>
      </c>
      <c r="L175" s="52" t="s">
        <v>111</v>
      </c>
    </row>
    <row r="176" spans="1:12">
      <c r="A176" s="151" t="s">
        <v>109</v>
      </c>
      <c r="B176" s="59">
        <v>2016</v>
      </c>
      <c r="C176" s="336" t="s">
        <v>90</v>
      </c>
      <c r="D176" s="59">
        <v>5989</v>
      </c>
      <c r="E176" s="336" t="s">
        <v>126</v>
      </c>
      <c r="F176" s="29">
        <v>1</v>
      </c>
      <c r="G176" s="9">
        <v>1</v>
      </c>
      <c r="H176" s="9">
        <v>1</v>
      </c>
      <c r="I176" s="9">
        <v>2</v>
      </c>
      <c r="J176" s="9">
        <v>2</v>
      </c>
      <c r="K176" s="159">
        <f t="shared" si="2"/>
        <v>0.35859414261160716</v>
      </c>
      <c r="L176" s="52" t="s">
        <v>111</v>
      </c>
    </row>
    <row r="177" spans="1:12">
      <c r="A177" s="151" t="s">
        <v>109</v>
      </c>
      <c r="B177" s="59">
        <v>2017</v>
      </c>
      <c r="C177" s="336" t="s">
        <v>86</v>
      </c>
      <c r="D177" s="59">
        <v>6009</v>
      </c>
      <c r="E177" s="336" t="s">
        <v>126</v>
      </c>
      <c r="F177" s="29">
        <v>1</v>
      </c>
      <c r="G177" s="9">
        <v>1</v>
      </c>
      <c r="H177" s="9">
        <v>1</v>
      </c>
      <c r="I177" s="9">
        <v>2</v>
      </c>
      <c r="J177" s="9">
        <v>2</v>
      </c>
      <c r="K177" s="159">
        <f t="shared" si="2"/>
        <v>0.35859414261160716</v>
      </c>
      <c r="L177" s="52" t="s">
        <v>111</v>
      </c>
    </row>
    <row r="178" spans="1:12">
      <c r="A178" s="151" t="s">
        <v>109</v>
      </c>
      <c r="B178" s="59">
        <v>2018</v>
      </c>
      <c r="C178" s="336" t="s">
        <v>86</v>
      </c>
      <c r="D178" s="59">
        <v>6009</v>
      </c>
      <c r="E178" s="336" t="s">
        <v>126</v>
      </c>
      <c r="F178" s="29">
        <v>1</v>
      </c>
      <c r="G178" s="9">
        <v>1</v>
      </c>
      <c r="H178" s="9">
        <v>1</v>
      </c>
      <c r="I178" s="9">
        <v>2</v>
      </c>
      <c r="J178" s="9">
        <v>2</v>
      </c>
      <c r="K178" s="159">
        <f t="shared" si="2"/>
        <v>0.35859414261160716</v>
      </c>
      <c r="L178" s="52" t="s">
        <v>111</v>
      </c>
    </row>
    <row r="179" spans="1:12">
      <c r="A179" s="151" t="s">
        <v>109</v>
      </c>
      <c r="B179" s="59">
        <v>2019</v>
      </c>
      <c r="C179" s="336" t="s">
        <v>86</v>
      </c>
      <c r="D179" s="59">
        <v>6009</v>
      </c>
      <c r="E179" s="336" t="s">
        <v>126</v>
      </c>
      <c r="F179" s="29">
        <v>1</v>
      </c>
      <c r="G179" s="9">
        <v>1</v>
      </c>
      <c r="H179" s="9">
        <v>1</v>
      </c>
      <c r="I179" s="9">
        <v>2</v>
      </c>
      <c r="J179" s="9">
        <v>2</v>
      </c>
      <c r="K179" s="159">
        <f t="shared" si="2"/>
        <v>0.35859414261160716</v>
      </c>
      <c r="L179" s="52" t="s">
        <v>111</v>
      </c>
    </row>
    <row r="180" spans="1:12">
      <c r="A180" s="151" t="s">
        <v>109</v>
      </c>
      <c r="B180" s="59">
        <v>2009</v>
      </c>
      <c r="C180" s="336" t="s">
        <v>90</v>
      </c>
      <c r="D180" s="59">
        <v>6033</v>
      </c>
      <c r="E180" s="336" t="s">
        <v>126</v>
      </c>
      <c r="F180" s="29">
        <v>1</v>
      </c>
      <c r="G180" s="9">
        <v>1</v>
      </c>
      <c r="H180" s="9">
        <v>1</v>
      </c>
      <c r="I180" s="9">
        <v>2</v>
      </c>
      <c r="J180" s="9">
        <v>2</v>
      </c>
      <c r="K180" s="159">
        <f t="shared" si="2"/>
        <v>0.35859414261160716</v>
      </c>
      <c r="L180" s="52" t="s">
        <v>111</v>
      </c>
    </row>
    <row r="181" spans="1:12">
      <c r="A181" s="151" t="s">
        <v>109</v>
      </c>
      <c r="B181" s="59">
        <v>2014</v>
      </c>
      <c r="C181" s="336" t="s">
        <v>86</v>
      </c>
      <c r="D181" s="59">
        <v>6150</v>
      </c>
      <c r="E181" s="336" t="s">
        <v>126</v>
      </c>
      <c r="F181" s="29">
        <v>1</v>
      </c>
      <c r="G181" s="9">
        <v>1</v>
      </c>
      <c r="H181" s="9">
        <v>1</v>
      </c>
      <c r="I181" s="9">
        <v>2</v>
      </c>
      <c r="J181" s="9">
        <v>2</v>
      </c>
      <c r="K181" s="159">
        <f t="shared" si="2"/>
        <v>0.35859414261160716</v>
      </c>
      <c r="L181" s="52" t="s">
        <v>111</v>
      </c>
    </row>
    <row r="182" spans="1:12">
      <c r="A182" s="151" t="s">
        <v>109</v>
      </c>
      <c r="B182" s="59">
        <v>2007</v>
      </c>
      <c r="C182" s="336" t="s">
        <v>86</v>
      </c>
      <c r="D182" s="59">
        <v>6232</v>
      </c>
      <c r="E182" s="336" t="s">
        <v>126</v>
      </c>
      <c r="F182" s="29">
        <v>1</v>
      </c>
      <c r="G182" s="9">
        <v>1</v>
      </c>
      <c r="H182" s="9">
        <v>1</v>
      </c>
      <c r="I182" s="9">
        <v>2</v>
      </c>
      <c r="J182" s="9">
        <v>2</v>
      </c>
      <c r="K182" s="159">
        <f t="shared" si="2"/>
        <v>0.35859414261160716</v>
      </c>
      <c r="L182" s="52" t="s">
        <v>111</v>
      </c>
    </row>
    <row r="183" spans="1:12">
      <c r="A183" s="151" t="s">
        <v>109</v>
      </c>
      <c r="B183" s="59">
        <v>2011</v>
      </c>
      <c r="C183" s="336" t="s">
        <v>90</v>
      </c>
      <c r="D183" s="59">
        <v>6241</v>
      </c>
      <c r="E183" s="336" t="s">
        <v>126</v>
      </c>
      <c r="F183" s="29">
        <v>1</v>
      </c>
      <c r="G183" s="9">
        <v>1</v>
      </c>
      <c r="H183" s="9">
        <v>1</v>
      </c>
      <c r="I183" s="9">
        <v>2</v>
      </c>
      <c r="J183" s="9">
        <v>2</v>
      </c>
      <c r="K183" s="159">
        <f t="shared" si="2"/>
        <v>0.35859414261160716</v>
      </c>
      <c r="L183" s="52" t="s">
        <v>111</v>
      </c>
    </row>
    <row r="184" spans="1:12">
      <c r="A184" s="151" t="s">
        <v>109</v>
      </c>
      <c r="B184" s="59">
        <v>2007</v>
      </c>
      <c r="C184" s="336" t="s">
        <v>90</v>
      </c>
      <c r="D184" s="59">
        <v>6337</v>
      </c>
      <c r="E184" s="336" t="s">
        <v>126</v>
      </c>
      <c r="F184" s="29">
        <v>1</v>
      </c>
      <c r="G184" s="9">
        <v>1</v>
      </c>
      <c r="H184" s="9">
        <v>1</v>
      </c>
      <c r="I184" s="9">
        <v>2</v>
      </c>
      <c r="J184" s="9">
        <v>2</v>
      </c>
      <c r="K184" s="159">
        <f t="shared" si="2"/>
        <v>0.35859414261160716</v>
      </c>
      <c r="L184" s="52" t="s">
        <v>111</v>
      </c>
    </row>
    <row r="185" spans="1:12">
      <c r="A185" s="151" t="s">
        <v>109</v>
      </c>
      <c r="B185" s="59">
        <v>2020</v>
      </c>
      <c r="C185" s="336" t="s">
        <v>86</v>
      </c>
      <c r="D185" s="59">
        <v>6387</v>
      </c>
      <c r="E185" s="336" t="s">
        <v>126</v>
      </c>
      <c r="F185" s="29">
        <v>1</v>
      </c>
      <c r="G185" s="9">
        <v>1</v>
      </c>
      <c r="H185" s="9">
        <v>1</v>
      </c>
      <c r="I185" s="9">
        <v>2</v>
      </c>
      <c r="J185" s="9">
        <v>2</v>
      </c>
      <c r="K185" s="159">
        <f t="shared" ref="K185:K248" si="3">IF( OR( ISBLANK(F185),ISBLANK(G185), ISBLANK(H185), ISBLANK(I185), ISBLANK(J185) ), "", 1.5*SQRT(   EXP(2.21*(F185-1)) + EXP(2.21*(G185-1)) + EXP(2.21*(H185-1)) + EXP(2.21*(I185-1)) + EXP(2.21*J185)   )/100*2.45 )</f>
        <v>0.35859414261160716</v>
      </c>
      <c r="L185" s="52" t="s">
        <v>111</v>
      </c>
    </row>
    <row r="186" spans="1:12">
      <c r="A186" s="151" t="s">
        <v>109</v>
      </c>
      <c r="B186" s="59">
        <v>2012</v>
      </c>
      <c r="C186" s="336" t="s">
        <v>86</v>
      </c>
      <c r="D186" s="59">
        <v>6391</v>
      </c>
      <c r="E186" s="336" t="s">
        <v>126</v>
      </c>
      <c r="F186" s="29">
        <v>1</v>
      </c>
      <c r="G186" s="9">
        <v>1</v>
      </c>
      <c r="H186" s="9">
        <v>1</v>
      </c>
      <c r="I186" s="9">
        <v>2</v>
      </c>
      <c r="J186" s="9">
        <v>2</v>
      </c>
      <c r="K186" s="159">
        <f t="shared" si="3"/>
        <v>0.35859414261160716</v>
      </c>
      <c r="L186" s="52" t="s">
        <v>111</v>
      </c>
    </row>
    <row r="187" spans="1:12">
      <c r="A187" s="151" t="s">
        <v>109</v>
      </c>
      <c r="B187" s="59">
        <v>2013</v>
      </c>
      <c r="C187" s="336" t="s">
        <v>86</v>
      </c>
      <c r="D187" s="59">
        <v>6464</v>
      </c>
      <c r="E187" s="336" t="s">
        <v>126</v>
      </c>
      <c r="F187" s="29">
        <v>1</v>
      </c>
      <c r="G187" s="9">
        <v>1</v>
      </c>
      <c r="H187" s="9">
        <v>1</v>
      </c>
      <c r="I187" s="9">
        <v>2</v>
      </c>
      <c r="J187" s="9">
        <v>2</v>
      </c>
      <c r="K187" s="159">
        <f t="shared" si="3"/>
        <v>0.35859414261160716</v>
      </c>
      <c r="L187" s="52" t="s">
        <v>111</v>
      </c>
    </row>
    <row r="188" spans="1:12">
      <c r="A188" s="151" t="s">
        <v>109</v>
      </c>
      <c r="B188" s="59">
        <v>2006</v>
      </c>
      <c r="C188" s="336" t="s">
        <v>90</v>
      </c>
      <c r="D188" s="59">
        <v>6599</v>
      </c>
      <c r="E188" s="336" t="s">
        <v>126</v>
      </c>
      <c r="F188" s="29">
        <v>1</v>
      </c>
      <c r="G188" s="9">
        <v>1</v>
      </c>
      <c r="H188" s="9">
        <v>1</v>
      </c>
      <c r="I188" s="9">
        <v>2</v>
      </c>
      <c r="J188" s="9">
        <v>2</v>
      </c>
      <c r="K188" s="159">
        <f t="shared" si="3"/>
        <v>0.35859414261160716</v>
      </c>
      <c r="L188" s="52" t="s">
        <v>111</v>
      </c>
    </row>
    <row r="189" spans="1:12">
      <c r="A189" s="151" t="s">
        <v>109</v>
      </c>
      <c r="B189" s="59">
        <v>2003</v>
      </c>
      <c r="C189" s="336" t="s">
        <v>90</v>
      </c>
      <c r="D189" s="59">
        <v>6604</v>
      </c>
      <c r="E189" s="336" t="s">
        <v>126</v>
      </c>
      <c r="F189" s="29">
        <v>1</v>
      </c>
      <c r="G189" s="9">
        <v>1</v>
      </c>
      <c r="H189" s="9">
        <v>1</v>
      </c>
      <c r="I189" s="9">
        <v>2</v>
      </c>
      <c r="J189" s="9">
        <v>2</v>
      </c>
      <c r="K189" s="159">
        <f t="shared" si="3"/>
        <v>0.35859414261160716</v>
      </c>
      <c r="L189" s="52" t="s">
        <v>111</v>
      </c>
    </row>
    <row r="190" spans="1:12">
      <c r="A190" s="151" t="s">
        <v>109</v>
      </c>
      <c r="B190" s="59">
        <v>2005</v>
      </c>
      <c r="C190" s="336" t="s">
        <v>90</v>
      </c>
      <c r="D190" s="59">
        <v>6608</v>
      </c>
      <c r="E190" s="336" t="s">
        <v>126</v>
      </c>
      <c r="F190" s="29">
        <v>1</v>
      </c>
      <c r="G190" s="9">
        <v>1</v>
      </c>
      <c r="H190" s="9">
        <v>1</v>
      </c>
      <c r="I190" s="9">
        <v>2</v>
      </c>
      <c r="J190" s="9">
        <v>2</v>
      </c>
      <c r="K190" s="159">
        <f t="shared" si="3"/>
        <v>0.35859414261160716</v>
      </c>
      <c r="L190" s="52" t="s">
        <v>111</v>
      </c>
    </row>
    <row r="191" spans="1:12">
      <c r="A191" s="151" t="s">
        <v>109</v>
      </c>
      <c r="B191" s="59">
        <v>2021</v>
      </c>
      <c r="C191" s="336" t="s">
        <v>86</v>
      </c>
      <c r="D191" s="59">
        <v>6722</v>
      </c>
      <c r="E191" s="336" t="s">
        <v>126</v>
      </c>
      <c r="F191" s="29">
        <v>1</v>
      </c>
      <c r="G191" s="9">
        <v>1</v>
      </c>
      <c r="H191" s="9">
        <v>1</v>
      </c>
      <c r="I191" s="9">
        <v>2</v>
      </c>
      <c r="J191" s="9">
        <v>2</v>
      </c>
      <c r="K191" s="159">
        <f t="shared" si="3"/>
        <v>0.35859414261160716</v>
      </c>
      <c r="L191" s="52" t="s">
        <v>111</v>
      </c>
    </row>
    <row r="192" spans="1:12">
      <c r="A192" s="151" t="s">
        <v>109</v>
      </c>
      <c r="B192" s="59">
        <v>2013</v>
      </c>
      <c r="C192" s="336" t="s">
        <v>90</v>
      </c>
      <c r="D192" s="59">
        <v>6758</v>
      </c>
      <c r="E192" s="336" t="s">
        <v>126</v>
      </c>
      <c r="F192" s="29">
        <v>1</v>
      </c>
      <c r="G192" s="9">
        <v>1</v>
      </c>
      <c r="H192" s="9">
        <v>1</v>
      </c>
      <c r="I192" s="9">
        <v>2</v>
      </c>
      <c r="J192" s="9">
        <v>2</v>
      </c>
      <c r="K192" s="159">
        <f t="shared" si="3"/>
        <v>0.35859414261160716</v>
      </c>
      <c r="L192" s="52" t="s">
        <v>111</v>
      </c>
    </row>
    <row r="193" spans="1:12">
      <c r="A193" s="151" t="s">
        <v>109</v>
      </c>
      <c r="B193" s="59">
        <v>2004</v>
      </c>
      <c r="C193" s="336" t="s">
        <v>90</v>
      </c>
      <c r="D193" s="59">
        <v>6777</v>
      </c>
      <c r="E193" s="336" t="s">
        <v>126</v>
      </c>
      <c r="F193" s="29">
        <v>1</v>
      </c>
      <c r="G193" s="9">
        <v>1</v>
      </c>
      <c r="H193" s="9">
        <v>1</v>
      </c>
      <c r="I193" s="9">
        <v>2</v>
      </c>
      <c r="J193" s="9">
        <v>2</v>
      </c>
      <c r="K193" s="159">
        <f t="shared" si="3"/>
        <v>0.35859414261160716</v>
      </c>
      <c r="L193" s="52" t="s">
        <v>111</v>
      </c>
    </row>
    <row r="194" spans="1:12">
      <c r="A194" s="151" t="s">
        <v>109</v>
      </c>
      <c r="B194" s="59">
        <v>2017</v>
      </c>
      <c r="C194" s="336" t="s">
        <v>90</v>
      </c>
      <c r="D194" s="59">
        <v>6797</v>
      </c>
      <c r="E194" s="336" t="s">
        <v>126</v>
      </c>
      <c r="F194" s="29">
        <v>1</v>
      </c>
      <c r="G194" s="9">
        <v>1</v>
      </c>
      <c r="H194" s="9">
        <v>1</v>
      </c>
      <c r="I194" s="9">
        <v>2</v>
      </c>
      <c r="J194" s="9">
        <v>2</v>
      </c>
      <c r="K194" s="159">
        <f t="shared" si="3"/>
        <v>0.35859414261160716</v>
      </c>
      <c r="L194" s="52" t="s">
        <v>111</v>
      </c>
    </row>
    <row r="195" spans="1:12">
      <c r="A195" s="151" t="s">
        <v>109</v>
      </c>
      <c r="B195" s="59">
        <v>2018</v>
      </c>
      <c r="C195" s="336" t="s">
        <v>90</v>
      </c>
      <c r="D195" s="59">
        <v>6797</v>
      </c>
      <c r="E195" s="336" t="s">
        <v>126</v>
      </c>
      <c r="F195" s="29">
        <v>1</v>
      </c>
      <c r="G195" s="9">
        <v>1</v>
      </c>
      <c r="H195" s="9">
        <v>1</v>
      </c>
      <c r="I195" s="9">
        <v>2</v>
      </c>
      <c r="J195" s="9">
        <v>2</v>
      </c>
      <c r="K195" s="159">
        <f t="shared" si="3"/>
        <v>0.35859414261160716</v>
      </c>
      <c r="L195" s="52" t="s">
        <v>111</v>
      </c>
    </row>
    <row r="196" spans="1:12">
      <c r="A196" s="151" t="s">
        <v>109</v>
      </c>
      <c r="B196" s="59">
        <v>2019</v>
      </c>
      <c r="C196" s="336" t="s">
        <v>90</v>
      </c>
      <c r="D196" s="59">
        <v>6797</v>
      </c>
      <c r="E196" s="336" t="s">
        <v>126</v>
      </c>
      <c r="F196" s="29">
        <v>1</v>
      </c>
      <c r="G196" s="9">
        <v>1</v>
      </c>
      <c r="H196" s="9">
        <v>1</v>
      </c>
      <c r="I196" s="9">
        <v>2</v>
      </c>
      <c r="J196" s="9">
        <v>2</v>
      </c>
      <c r="K196" s="159">
        <f t="shared" si="3"/>
        <v>0.35859414261160716</v>
      </c>
      <c r="L196" s="52" t="s">
        <v>111</v>
      </c>
    </row>
    <row r="197" spans="1:12">
      <c r="A197" s="151" t="s">
        <v>109</v>
      </c>
      <c r="B197" s="59">
        <v>2015</v>
      </c>
      <c r="C197" s="336" t="s">
        <v>90</v>
      </c>
      <c r="D197" s="59">
        <v>7154</v>
      </c>
      <c r="E197" s="336" t="s">
        <v>126</v>
      </c>
      <c r="F197" s="29">
        <v>1</v>
      </c>
      <c r="G197" s="9">
        <v>1</v>
      </c>
      <c r="H197" s="9">
        <v>1</v>
      </c>
      <c r="I197" s="9">
        <v>2</v>
      </c>
      <c r="J197" s="9">
        <v>2</v>
      </c>
      <c r="K197" s="159">
        <f t="shared" si="3"/>
        <v>0.35859414261160716</v>
      </c>
      <c r="L197" s="52" t="s">
        <v>111</v>
      </c>
    </row>
    <row r="198" spans="1:12">
      <c r="A198" s="151" t="s">
        <v>109</v>
      </c>
      <c r="B198" s="59">
        <v>2014</v>
      </c>
      <c r="C198" s="336" t="s">
        <v>90</v>
      </c>
      <c r="D198" s="59">
        <v>7535</v>
      </c>
      <c r="E198" s="336" t="s">
        <v>126</v>
      </c>
      <c r="F198" s="29">
        <v>1</v>
      </c>
      <c r="G198" s="9">
        <v>1</v>
      </c>
      <c r="H198" s="9">
        <v>1</v>
      </c>
      <c r="I198" s="9">
        <v>2</v>
      </c>
      <c r="J198" s="9">
        <v>2</v>
      </c>
      <c r="K198" s="159">
        <f t="shared" si="3"/>
        <v>0.35859414261160716</v>
      </c>
      <c r="L198" s="52" t="s">
        <v>111</v>
      </c>
    </row>
    <row r="199" spans="1:12">
      <c r="A199" s="151" t="s">
        <v>109</v>
      </c>
      <c r="B199" s="59">
        <v>2021</v>
      </c>
      <c r="C199" s="336" t="s">
        <v>90</v>
      </c>
      <c r="D199" s="59">
        <v>7971</v>
      </c>
      <c r="E199" s="336" t="s">
        <v>126</v>
      </c>
      <c r="F199" s="29">
        <v>1</v>
      </c>
      <c r="G199" s="9">
        <v>1</v>
      </c>
      <c r="H199" s="9">
        <v>1</v>
      </c>
      <c r="I199" s="9">
        <v>2</v>
      </c>
      <c r="J199" s="9">
        <v>2</v>
      </c>
      <c r="K199" s="159">
        <f t="shared" si="3"/>
        <v>0.35859414261160716</v>
      </c>
      <c r="L199" s="52" t="s">
        <v>111</v>
      </c>
    </row>
    <row r="200" spans="1:12">
      <c r="A200" s="151" t="s">
        <v>109</v>
      </c>
      <c r="B200" s="59">
        <v>2020</v>
      </c>
      <c r="C200" s="336" t="s">
        <v>90</v>
      </c>
      <c r="D200" s="59">
        <v>7974</v>
      </c>
      <c r="E200" s="336" t="s">
        <v>126</v>
      </c>
      <c r="F200" s="29">
        <v>1</v>
      </c>
      <c r="G200" s="9">
        <v>1</v>
      </c>
      <c r="H200" s="9">
        <v>1</v>
      </c>
      <c r="I200" s="9">
        <v>2</v>
      </c>
      <c r="J200" s="9">
        <v>2</v>
      </c>
      <c r="K200" s="159">
        <f t="shared" si="3"/>
        <v>0.35859414261160716</v>
      </c>
      <c r="L200" s="52" t="s">
        <v>111</v>
      </c>
    </row>
    <row r="201" spans="1:12">
      <c r="A201" s="151" t="s">
        <v>109</v>
      </c>
      <c r="B201" s="59">
        <v>2015</v>
      </c>
      <c r="C201" s="336" t="s">
        <v>87</v>
      </c>
      <c r="D201" s="59">
        <v>8085</v>
      </c>
      <c r="E201" s="336" t="s">
        <v>126</v>
      </c>
      <c r="F201" s="29">
        <v>1</v>
      </c>
      <c r="G201" s="9">
        <v>1</v>
      </c>
      <c r="H201" s="9">
        <v>1</v>
      </c>
      <c r="I201" s="9">
        <v>2</v>
      </c>
      <c r="J201" s="9">
        <v>2</v>
      </c>
      <c r="K201" s="159">
        <f t="shared" si="3"/>
        <v>0.35859414261160716</v>
      </c>
      <c r="L201" s="52" t="s">
        <v>111</v>
      </c>
    </row>
    <row r="202" spans="1:12">
      <c r="A202" s="151" t="s">
        <v>109</v>
      </c>
      <c r="B202" s="59">
        <v>2012</v>
      </c>
      <c r="C202" s="336" t="s">
        <v>90</v>
      </c>
      <c r="D202" s="59">
        <v>8310</v>
      </c>
      <c r="E202" s="336" t="s">
        <v>126</v>
      </c>
      <c r="F202" s="29">
        <v>1</v>
      </c>
      <c r="G202" s="9">
        <v>1</v>
      </c>
      <c r="H202" s="9">
        <v>1</v>
      </c>
      <c r="I202" s="9">
        <v>2</v>
      </c>
      <c r="J202" s="9">
        <v>2</v>
      </c>
      <c r="K202" s="159">
        <f t="shared" si="3"/>
        <v>0.35859414261160716</v>
      </c>
      <c r="L202" s="52" t="s">
        <v>111</v>
      </c>
    </row>
    <row r="203" spans="1:12">
      <c r="A203" s="151" t="s">
        <v>109</v>
      </c>
      <c r="B203" s="59">
        <v>2016</v>
      </c>
      <c r="C203" s="336" t="s">
        <v>87</v>
      </c>
      <c r="D203" s="59">
        <v>8396</v>
      </c>
      <c r="E203" s="336" t="s">
        <v>126</v>
      </c>
      <c r="F203" s="29">
        <v>1</v>
      </c>
      <c r="G203" s="9">
        <v>1</v>
      </c>
      <c r="H203" s="9">
        <v>1</v>
      </c>
      <c r="I203" s="9">
        <v>2</v>
      </c>
      <c r="J203" s="9">
        <v>2</v>
      </c>
      <c r="K203" s="159">
        <f t="shared" si="3"/>
        <v>0.35859414261160716</v>
      </c>
      <c r="L203" s="52" t="s">
        <v>111</v>
      </c>
    </row>
    <row r="204" spans="1:12">
      <c r="A204" s="151" t="s">
        <v>109</v>
      </c>
      <c r="B204" s="59">
        <v>2014</v>
      </c>
      <c r="C204" s="336" t="s">
        <v>87</v>
      </c>
      <c r="D204" s="59">
        <v>8482</v>
      </c>
      <c r="E204" s="336" t="s">
        <v>126</v>
      </c>
      <c r="F204" s="29">
        <v>1</v>
      </c>
      <c r="G204" s="9">
        <v>1</v>
      </c>
      <c r="H204" s="9">
        <v>1</v>
      </c>
      <c r="I204" s="9">
        <v>2</v>
      </c>
      <c r="J204" s="9">
        <v>2</v>
      </c>
      <c r="K204" s="159">
        <f t="shared" si="3"/>
        <v>0.35859414261160716</v>
      </c>
      <c r="L204" s="52" t="s">
        <v>111</v>
      </c>
    </row>
    <row r="205" spans="1:12">
      <c r="A205" s="151" t="s">
        <v>109</v>
      </c>
      <c r="B205" s="59">
        <v>2003</v>
      </c>
      <c r="C205" s="336" t="s">
        <v>87</v>
      </c>
      <c r="D205" s="59">
        <v>8573</v>
      </c>
      <c r="E205" s="336" t="s">
        <v>126</v>
      </c>
      <c r="F205" s="29">
        <v>1</v>
      </c>
      <c r="G205" s="9">
        <v>1</v>
      </c>
      <c r="H205" s="9">
        <v>1</v>
      </c>
      <c r="I205" s="9">
        <v>2</v>
      </c>
      <c r="J205" s="9">
        <v>2</v>
      </c>
      <c r="K205" s="159">
        <f t="shared" si="3"/>
        <v>0.35859414261160716</v>
      </c>
      <c r="L205" s="52" t="s">
        <v>111</v>
      </c>
    </row>
    <row r="206" spans="1:12">
      <c r="A206" s="151" t="s">
        <v>109</v>
      </c>
      <c r="B206" s="59">
        <v>2004</v>
      </c>
      <c r="C206" s="336" t="s">
        <v>87</v>
      </c>
      <c r="D206" s="59">
        <v>9177</v>
      </c>
      <c r="E206" s="336" t="s">
        <v>126</v>
      </c>
      <c r="F206" s="29">
        <v>1</v>
      </c>
      <c r="G206" s="9">
        <v>1</v>
      </c>
      <c r="H206" s="9">
        <v>1</v>
      </c>
      <c r="I206" s="9">
        <v>2</v>
      </c>
      <c r="J206" s="9">
        <v>2</v>
      </c>
      <c r="K206" s="159">
        <f t="shared" si="3"/>
        <v>0.35859414261160716</v>
      </c>
      <c r="L206" s="52" t="s">
        <v>111</v>
      </c>
    </row>
    <row r="207" spans="1:12">
      <c r="A207" s="151" t="s">
        <v>109</v>
      </c>
      <c r="B207" s="59">
        <v>2010</v>
      </c>
      <c r="C207" s="336" t="s">
        <v>87</v>
      </c>
      <c r="D207" s="59">
        <v>9333</v>
      </c>
      <c r="E207" s="336" t="s">
        <v>126</v>
      </c>
      <c r="F207" s="29">
        <v>1</v>
      </c>
      <c r="G207" s="9">
        <v>1</v>
      </c>
      <c r="H207" s="9">
        <v>1</v>
      </c>
      <c r="I207" s="9">
        <v>2</v>
      </c>
      <c r="J207" s="9">
        <v>2</v>
      </c>
      <c r="K207" s="159">
        <f t="shared" si="3"/>
        <v>0.35859414261160716</v>
      </c>
      <c r="L207" s="52" t="s">
        <v>111</v>
      </c>
    </row>
    <row r="208" spans="1:12">
      <c r="A208" s="151" t="s">
        <v>109</v>
      </c>
      <c r="B208" s="59">
        <v>2005</v>
      </c>
      <c r="C208" s="336" t="s">
        <v>87</v>
      </c>
      <c r="D208" s="59">
        <v>9359</v>
      </c>
      <c r="E208" s="336" t="s">
        <v>126</v>
      </c>
      <c r="F208" s="29">
        <v>1</v>
      </c>
      <c r="G208" s="9">
        <v>1</v>
      </c>
      <c r="H208" s="9">
        <v>1</v>
      </c>
      <c r="I208" s="9">
        <v>2</v>
      </c>
      <c r="J208" s="9">
        <v>2</v>
      </c>
      <c r="K208" s="159">
        <f t="shared" si="3"/>
        <v>0.35859414261160716</v>
      </c>
      <c r="L208" s="52" t="s">
        <v>111</v>
      </c>
    </row>
    <row r="209" spans="1:12">
      <c r="A209" s="151" t="s">
        <v>109</v>
      </c>
      <c r="B209" s="59">
        <v>2017</v>
      </c>
      <c r="C209" s="336" t="s">
        <v>87</v>
      </c>
      <c r="D209" s="59">
        <v>9425</v>
      </c>
      <c r="E209" s="336" t="s">
        <v>126</v>
      </c>
      <c r="F209" s="29">
        <v>1</v>
      </c>
      <c r="G209" s="9">
        <v>1</v>
      </c>
      <c r="H209" s="9">
        <v>1</v>
      </c>
      <c r="I209" s="9">
        <v>2</v>
      </c>
      <c r="J209" s="9">
        <v>2</v>
      </c>
      <c r="K209" s="159">
        <f t="shared" si="3"/>
        <v>0.35859414261160716</v>
      </c>
      <c r="L209" s="52" t="s">
        <v>111</v>
      </c>
    </row>
    <row r="210" spans="1:12">
      <c r="A210" s="151" t="s">
        <v>109</v>
      </c>
      <c r="B210" s="59">
        <v>2018</v>
      </c>
      <c r="C210" s="336" t="s">
        <v>87</v>
      </c>
      <c r="D210" s="59">
        <v>9425</v>
      </c>
      <c r="E210" s="336" t="s">
        <v>126</v>
      </c>
      <c r="F210" s="29">
        <v>1</v>
      </c>
      <c r="G210" s="9">
        <v>1</v>
      </c>
      <c r="H210" s="9">
        <v>1</v>
      </c>
      <c r="I210" s="9">
        <v>2</v>
      </c>
      <c r="J210" s="9">
        <v>2</v>
      </c>
      <c r="K210" s="159">
        <f t="shared" si="3"/>
        <v>0.35859414261160716</v>
      </c>
      <c r="L210" s="52" t="s">
        <v>111</v>
      </c>
    </row>
    <row r="211" spans="1:12">
      <c r="A211" s="151" t="s">
        <v>109</v>
      </c>
      <c r="B211" s="59">
        <v>2019</v>
      </c>
      <c r="C211" s="336" t="s">
        <v>87</v>
      </c>
      <c r="D211" s="59">
        <v>9425</v>
      </c>
      <c r="E211" s="336" t="s">
        <v>126</v>
      </c>
      <c r="F211" s="29">
        <v>1</v>
      </c>
      <c r="G211" s="9">
        <v>1</v>
      </c>
      <c r="H211" s="9">
        <v>1</v>
      </c>
      <c r="I211" s="9">
        <v>2</v>
      </c>
      <c r="J211" s="9">
        <v>2</v>
      </c>
      <c r="K211" s="159">
        <f t="shared" si="3"/>
        <v>0.35859414261160716</v>
      </c>
      <c r="L211" s="52" t="s">
        <v>111</v>
      </c>
    </row>
    <row r="212" spans="1:12">
      <c r="A212" s="151" t="s">
        <v>109</v>
      </c>
      <c r="B212" s="59">
        <v>2012</v>
      </c>
      <c r="C212" s="336" t="s">
        <v>87</v>
      </c>
      <c r="D212" s="59">
        <v>9437</v>
      </c>
      <c r="E212" s="336" t="s">
        <v>126</v>
      </c>
      <c r="F212" s="29">
        <v>1</v>
      </c>
      <c r="G212" s="9">
        <v>1</v>
      </c>
      <c r="H212" s="9">
        <v>1</v>
      </c>
      <c r="I212" s="9">
        <v>2</v>
      </c>
      <c r="J212" s="9">
        <v>2</v>
      </c>
      <c r="K212" s="159">
        <f t="shared" si="3"/>
        <v>0.35859414261160716</v>
      </c>
      <c r="L212" s="52" t="s">
        <v>111</v>
      </c>
    </row>
    <row r="213" spans="1:12">
      <c r="A213" s="151" t="s">
        <v>109</v>
      </c>
      <c r="B213" s="59">
        <v>2021</v>
      </c>
      <c r="C213" s="336" t="s">
        <v>87</v>
      </c>
      <c r="D213" s="59">
        <v>9482</v>
      </c>
      <c r="E213" s="336" t="s">
        <v>126</v>
      </c>
      <c r="F213" s="29">
        <v>1</v>
      </c>
      <c r="G213" s="9">
        <v>1</v>
      </c>
      <c r="H213" s="9">
        <v>1</v>
      </c>
      <c r="I213" s="9">
        <v>2</v>
      </c>
      <c r="J213" s="9">
        <v>2</v>
      </c>
      <c r="K213" s="159">
        <f t="shared" si="3"/>
        <v>0.35859414261160716</v>
      </c>
      <c r="L213" s="52" t="s">
        <v>111</v>
      </c>
    </row>
    <row r="214" spans="1:12">
      <c r="A214" s="151" t="s">
        <v>109</v>
      </c>
      <c r="B214" s="59">
        <v>2013</v>
      </c>
      <c r="C214" s="336" t="s">
        <v>87</v>
      </c>
      <c r="D214" s="59">
        <v>9631</v>
      </c>
      <c r="E214" s="336" t="s">
        <v>126</v>
      </c>
      <c r="F214" s="29">
        <v>1</v>
      </c>
      <c r="G214" s="9">
        <v>1</v>
      </c>
      <c r="H214" s="9">
        <v>1</v>
      </c>
      <c r="I214" s="9">
        <v>2</v>
      </c>
      <c r="J214" s="9">
        <v>2</v>
      </c>
      <c r="K214" s="159">
        <f t="shared" si="3"/>
        <v>0.35859414261160716</v>
      </c>
      <c r="L214" s="52" t="s">
        <v>111</v>
      </c>
    </row>
    <row r="215" spans="1:12">
      <c r="A215" s="151" t="s">
        <v>109</v>
      </c>
      <c r="B215" s="59">
        <v>2009</v>
      </c>
      <c r="C215" s="336" t="s">
        <v>87</v>
      </c>
      <c r="D215" s="59">
        <v>9674</v>
      </c>
      <c r="E215" s="336" t="s">
        <v>126</v>
      </c>
      <c r="F215" s="29">
        <v>1</v>
      </c>
      <c r="G215" s="9">
        <v>1</v>
      </c>
      <c r="H215" s="9">
        <v>1</v>
      </c>
      <c r="I215" s="9">
        <v>2</v>
      </c>
      <c r="J215" s="9">
        <v>2</v>
      </c>
      <c r="K215" s="159">
        <f t="shared" si="3"/>
        <v>0.35859414261160716</v>
      </c>
      <c r="L215" s="52" t="s">
        <v>111</v>
      </c>
    </row>
    <row r="216" spans="1:12">
      <c r="A216" s="151" t="s">
        <v>109</v>
      </c>
      <c r="B216" s="59">
        <v>2006</v>
      </c>
      <c r="C216" s="336" t="s">
        <v>87</v>
      </c>
      <c r="D216" s="59">
        <v>9780</v>
      </c>
      <c r="E216" s="336" t="s">
        <v>126</v>
      </c>
      <c r="F216" s="29">
        <v>1</v>
      </c>
      <c r="G216" s="9">
        <v>1</v>
      </c>
      <c r="H216" s="9">
        <v>1</v>
      </c>
      <c r="I216" s="9">
        <v>2</v>
      </c>
      <c r="J216" s="9">
        <v>2</v>
      </c>
      <c r="K216" s="159">
        <f t="shared" si="3"/>
        <v>0.35859414261160716</v>
      </c>
      <c r="L216" s="52" t="s">
        <v>111</v>
      </c>
    </row>
    <row r="217" spans="1:12">
      <c r="A217" s="151" t="s">
        <v>109</v>
      </c>
      <c r="B217" s="59">
        <v>2008</v>
      </c>
      <c r="C217" s="336" t="s">
        <v>87</v>
      </c>
      <c r="D217" s="59">
        <v>9960</v>
      </c>
      <c r="E217" s="336" t="s">
        <v>126</v>
      </c>
      <c r="F217" s="29">
        <v>1</v>
      </c>
      <c r="G217" s="9">
        <v>1</v>
      </c>
      <c r="H217" s="9">
        <v>1</v>
      </c>
      <c r="I217" s="9">
        <v>2</v>
      </c>
      <c r="J217" s="9">
        <v>2</v>
      </c>
      <c r="K217" s="159">
        <f t="shared" si="3"/>
        <v>0.35859414261160716</v>
      </c>
      <c r="L217" s="52" t="s">
        <v>111</v>
      </c>
    </row>
    <row r="218" spans="1:12">
      <c r="A218" s="151" t="s">
        <v>109</v>
      </c>
      <c r="B218" s="59">
        <v>2020</v>
      </c>
      <c r="C218" s="336" t="s">
        <v>87</v>
      </c>
      <c r="D218" s="59">
        <v>10055</v>
      </c>
      <c r="E218" s="336" t="s">
        <v>126</v>
      </c>
      <c r="F218" s="29">
        <v>1</v>
      </c>
      <c r="G218" s="9">
        <v>1</v>
      </c>
      <c r="H218" s="9">
        <v>1</v>
      </c>
      <c r="I218" s="9">
        <v>2</v>
      </c>
      <c r="J218" s="9">
        <v>2</v>
      </c>
      <c r="K218" s="159">
        <f t="shared" si="3"/>
        <v>0.35859414261160716</v>
      </c>
      <c r="L218" s="52" t="s">
        <v>111</v>
      </c>
    </row>
    <row r="219" spans="1:12">
      <c r="A219" s="151" t="s">
        <v>109</v>
      </c>
      <c r="B219" s="59">
        <v>2011</v>
      </c>
      <c r="C219" s="336" t="s">
        <v>87</v>
      </c>
      <c r="D219" s="59">
        <v>10120</v>
      </c>
      <c r="E219" s="336" t="s">
        <v>126</v>
      </c>
      <c r="F219" s="29">
        <v>1</v>
      </c>
      <c r="G219" s="9">
        <v>1</v>
      </c>
      <c r="H219" s="9">
        <v>1</v>
      </c>
      <c r="I219" s="9">
        <v>2</v>
      </c>
      <c r="J219" s="9">
        <v>2</v>
      </c>
      <c r="K219" s="159">
        <f t="shared" si="3"/>
        <v>0.35859414261160716</v>
      </c>
      <c r="L219" s="52" t="s">
        <v>111</v>
      </c>
    </row>
    <row r="220" spans="1:12">
      <c r="A220" s="151" t="s">
        <v>109</v>
      </c>
      <c r="B220" s="59">
        <v>2013</v>
      </c>
      <c r="C220" s="336" t="s">
        <v>98</v>
      </c>
      <c r="D220" s="59">
        <v>11075</v>
      </c>
      <c r="E220" s="336" t="s">
        <v>126</v>
      </c>
      <c r="F220" s="29">
        <v>1</v>
      </c>
      <c r="G220" s="9">
        <v>1</v>
      </c>
      <c r="H220" s="9">
        <v>1</v>
      </c>
      <c r="I220" s="9">
        <v>2</v>
      </c>
      <c r="J220" s="9">
        <v>2</v>
      </c>
      <c r="K220" s="159">
        <f t="shared" si="3"/>
        <v>0.35859414261160716</v>
      </c>
      <c r="L220" s="52" t="s">
        <v>111</v>
      </c>
    </row>
    <row r="221" spans="1:12">
      <c r="A221" s="151" t="s">
        <v>109</v>
      </c>
      <c r="B221" s="59">
        <v>2007</v>
      </c>
      <c r="C221" s="336" t="s">
        <v>87</v>
      </c>
      <c r="D221" s="59">
        <v>11254</v>
      </c>
      <c r="E221" s="336" t="s">
        <v>126</v>
      </c>
      <c r="F221" s="29">
        <v>1</v>
      </c>
      <c r="G221" s="9">
        <v>1</v>
      </c>
      <c r="H221" s="9">
        <v>1</v>
      </c>
      <c r="I221" s="9">
        <v>2</v>
      </c>
      <c r="J221" s="9">
        <v>2</v>
      </c>
      <c r="K221" s="159">
        <f t="shared" si="3"/>
        <v>0.35859414261160716</v>
      </c>
      <c r="L221" s="52" t="s">
        <v>111</v>
      </c>
    </row>
    <row r="222" spans="1:12">
      <c r="A222" s="151" t="s">
        <v>109</v>
      </c>
      <c r="B222" s="59">
        <v>2009</v>
      </c>
      <c r="C222" s="336" t="s">
        <v>85</v>
      </c>
      <c r="D222" s="59">
        <v>11289</v>
      </c>
      <c r="E222" s="336" t="s">
        <v>126</v>
      </c>
      <c r="F222" s="29">
        <v>1</v>
      </c>
      <c r="G222" s="9">
        <v>1</v>
      </c>
      <c r="H222" s="9">
        <v>1</v>
      </c>
      <c r="I222" s="9">
        <v>2</v>
      </c>
      <c r="J222" s="9">
        <v>2</v>
      </c>
      <c r="K222" s="159">
        <f t="shared" si="3"/>
        <v>0.35859414261160716</v>
      </c>
      <c r="L222" s="52" t="s">
        <v>111</v>
      </c>
    </row>
    <row r="223" spans="1:12">
      <c r="A223" s="151" t="s">
        <v>109</v>
      </c>
      <c r="B223" s="59">
        <v>2010</v>
      </c>
      <c r="C223" s="336" t="s">
        <v>85</v>
      </c>
      <c r="D223" s="59">
        <v>12078</v>
      </c>
      <c r="E223" s="336" t="s">
        <v>126</v>
      </c>
      <c r="F223" s="29">
        <v>1</v>
      </c>
      <c r="G223" s="9">
        <v>1</v>
      </c>
      <c r="H223" s="9">
        <v>1</v>
      </c>
      <c r="I223" s="9">
        <v>2</v>
      </c>
      <c r="J223" s="9">
        <v>2</v>
      </c>
      <c r="K223" s="159">
        <f t="shared" si="3"/>
        <v>0.35859414261160716</v>
      </c>
      <c r="L223" s="52" t="s">
        <v>111</v>
      </c>
    </row>
    <row r="224" spans="1:12">
      <c r="A224" s="151" t="s">
        <v>109</v>
      </c>
      <c r="B224" s="59">
        <v>2016</v>
      </c>
      <c r="C224" s="336" t="s">
        <v>85</v>
      </c>
      <c r="D224" s="59">
        <v>12146</v>
      </c>
      <c r="E224" s="336" t="s">
        <v>126</v>
      </c>
      <c r="F224" s="29">
        <v>1</v>
      </c>
      <c r="G224" s="9">
        <v>1</v>
      </c>
      <c r="H224" s="9">
        <v>1</v>
      </c>
      <c r="I224" s="9">
        <v>2</v>
      </c>
      <c r="J224" s="9">
        <v>2</v>
      </c>
      <c r="K224" s="159">
        <f t="shared" si="3"/>
        <v>0.35859414261160716</v>
      </c>
      <c r="L224" s="52" t="s">
        <v>111</v>
      </c>
    </row>
    <row r="225" spans="1:12">
      <c r="A225" s="151" t="s">
        <v>109</v>
      </c>
      <c r="B225" s="59">
        <v>2015</v>
      </c>
      <c r="C225" s="336" t="s">
        <v>85</v>
      </c>
      <c r="D225" s="59">
        <v>12194</v>
      </c>
      <c r="E225" s="336" t="s">
        <v>126</v>
      </c>
      <c r="F225" s="29">
        <v>1</v>
      </c>
      <c r="G225" s="9">
        <v>1</v>
      </c>
      <c r="H225" s="9">
        <v>1</v>
      </c>
      <c r="I225" s="9">
        <v>2</v>
      </c>
      <c r="J225" s="9">
        <v>2</v>
      </c>
      <c r="K225" s="159">
        <f t="shared" si="3"/>
        <v>0.35859414261160716</v>
      </c>
      <c r="L225" s="52" t="s">
        <v>111</v>
      </c>
    </row>
    <row r="226" spans="1:12">
      <c r="A226" s="151" t="s">
        <v>109</v>
      </c>
      <c r="B226" s="59">
        <v>2003</v>
      </c>
      <c r="C226" s="336" t="s">
        <v>85</v>
      </c>
      <c r="D226" s="59">
        <v>12268</v>
      </c>
      <c r="E226" s="336" t="s">
        <v>126</v>
      </c>
      <c r="F226" s="29">
        <v>1</v>
      </c>
      <c r="G226" s="9">
        <v>1</v>
      </c>
      <c r="H226" s="9">
        <v>1</v>
      </c>
      <c r="I226" s="9">
        <v>2</v>
      </c>
      <c r="J226" s="9">
        <v>2</v>
      </c>
      <c r="K226" s="159">
        <f t="shared" si="3"/>
        <v>0.35859414261160716</v>
      </c>
      <c r="L226" s="52" t="s">
        <v>111</v>
      </c>
    </row>
    <row r="227" spans="1:12">
      <c r="A227" s="151" t="s">
        <v>109</v>
      </c>
      <c r="B227" s="59">
        <v>2014</v>
      </c>
      <c r="C227" s="336" t="s">
        <v>85</v>
      </c>
      <c r="D227" s="59">
        <v>12281</v>
      </c>
      <c r="E227" s="336" t="s">
        <v>126</v>
      </c>
      <c r="F227" s="29">
        <v>1</v>
      </c>
      <c r="G227" s="9">
        <v>1</v>
      </c>
      <c r="H227" s="9">
        <v>1</v>
      </c>
      <c r="I227" s="9">
        <v>2</v>
      </c>
      <c r="J227" s="9">
        <v>2</v>
      </c>
      <c r="K227" s="159">
        <f t="shared" si="3"/>
        <v>0.35859414261160716</v>
      </c>
      <c r="L227" s="52" t="s">
        <v>111</v>
      </c>
    </row>
    <row r="228" spans="1:12">
      <c r="A228" s="151" t="s">
        <v>109</v>
      </c>
      <c r="B228" s="59">
        <v>2004</v>
      </c>
      <c r="C228" s="336" t="s">
        <v>85</v>
      </c>
      <c r="D228" s="59">
        <v>12405</v>
      </c>
      <c r="E228" s="336" t="s">
        <v>126</v>
      </c>
      <c r="F228" s="29">
        <v>1</v>
      </c>
      <c r="G228" s="9">
        <v>1</v>
      </c>
      <c r="H228" s="9">
        <v>1</v>
      </c>
      <c r="I228" s="9">
        <v>2</v>
      </c>
      <c r="J228" s="9">
        <v>2</v>
      </c>
      <c r="K228" s="159">
        <f t="shared" si="3"/>
        <v>0.35859414261160716</v>
      </c>
      <c r="L228" s="52" t="s">
        <v>111</v>
      </c>
    </row>
    <row r="229" spans="1:12">
      <c r="A229" s="151" t="s">
        <v>109</v>
      </c>
      <c r="B229" s="59">
        <v>2005</v>
      </c>
      <c r="C229" s="336" t="s">
        <v>85</v>
      </c>
      <c r="D229" s="59">
        <v>12454</v>
      </c>
      <c r="E229" s="336" t="s">
        <v>126</v>
      </c>
      <c r="F229" s="29">
        <v>1</v>
      </c>
      <c r="G229" s="9">
        <v>1</v>
      </c>
      <c r="H229" s="9">
        <v>1</v>
      </c>
      <c r="I229" s="9">
        <v>2</v>
      </c>
      <c r="J229" s="9">
        <v>2</v>
      </c>
      <c r="K229" s="159">
        <f t="shared" si="3"/>
        <v>0.35859414261160716</v>
      </c>
      <c r="L229" s="52" t="s">
        <v>111</v>
      </c>
    </row>
    <row r="230" spans="1:12">
      <c r="A230" s="151" t="s">
        <v>109</v>
      </c>
      <c r="B230" s="59">
        <v>2006</v>
      </c>
      <c r="C230" s="336" t="s">
        <v>85</v>
      </c>
      <c r="D230" s="59">
        <v>12651</v>
      </c>
      <c r="E230" s="336" t="s">
        <v>126</v>
      </c>
      <c r="F230" s="29">
        <v>1</v>
      </c>
      <c r="G230" s="9">
        <v>1</v>
      </c>
      <c r="H230" s="9">
        <v>1</v>
      </c>
      <c r="I230" s="9">
        <v>2</v>
      </c>
      <c r="J230" s="9">
        <v>2</v>
      </c>
      <c r="K230" s="159">
        <f t="shared" si="3"/>
        <v>0.35859414261160716</v>
      </c>
      <c r="L230" s="52" t="s">
        <v>111</v>
      </c>
    </row>
    <row r="231" spans="1:12">
      <c r="A231" s="151" t="s">
        <v>109</v>
      </c>
      <c r="B231" s="59">
        <v>2011</v>
      </c>
      <c r="C231" s="336" t="s">
        <v>85</v>
      </c>
      <c r="D231" s="59">
        <v>12709</v>
      </c>
      <c r="E231" s="336" t="s">
        <v>126</v>
      </c>
      <c r="F231" s="29">
        <v>1</v>
      </c>
      <c r="G231" s="9">
        <v>1</v>
      </c>
      <c r="H231" s="9">
        <v>1</v>
      </c>
      <c r="I231" s="9">
        <v>2</v>
      </c>
      <c r="J231" s="9">
        <v>2</v>
      </c>
      <c r="K231" s="159">
        <f t="shared" si="3"/>
        <v>0.35859414261160716</v>
      </c>
      <c r="L231" s="52" t="s">
        <v>111</v>
      </c>
    </row>
    <row r="232" spans="1:12">
      <c r="A232" s="151" t="s">
        <v>109</v>
      </c>
      <c r="B232" s="59">
        <v>2004</v>
      </c>
      <c r="C232" s="336" t="s">
        <v>98</v>
      </c>
      <c r="D232" s="59">
        <v>12742</v>
      </c>
      <c r="E232" s="336" t="s">
        <v>126</v>
      </c>
      <c r="F232" s="29">
        <v>1</v>
      </c>
      <c r="G232" s="9">
        <v>1</v>
      </c>
      <c r="H232" s="9">
        <v>1</v>
      </c>
      <c r="I232" s="9">
        <v>2</v>
      </c>
      <c r="J232" s="9">
        <v>2</v>
      </c>
      <c r="K232" s="159">
        <f t="shared" si="3"/>
        <v>0.35859414261160716</v>
      </c>
      <c r="L232" s="52" t="s">
        <v>111</v>
      </c>
    </row>
    <row r="233" spans="1:12">
      <c r="A233" s="151" t="s">
        <v>109</v>
      </c>
      <c r="B233" s="59">
        <v>2013</v>
      </c>
      <c r="C233" s="336" t="s">
        <v>85</v>
      </c>
      <c r="D233" s="59">
        <v>12784</v>
      </c>
      <c r="E233" s="336" t="s">
        <v>126</v>
      </c>
      <c r="F233" s="29">
        <v>1</v>
      </c>
      <c r="G233" s="9">
        <v>1</v>
      </c>
      <c r="H233" s="9">
        <v>1</v>
      </c>
      <c r="I233" s="9">
        <v>2</v>
      </c>
      <c r="J233" s="9">
        <v>2</v>
      </c>
      <c r="K233" s="159">
        <f t="shared" si="3"/>
        <v>0.35859414261160716</v>
      </c>
      <c r="L233" s="52" t="s">
        <v>111</v>
      </c>
    </row>
    <row r="234" spans="1:12">
      <c r="A234" s="151" t="s">
        <v>109</v>
      </c>
      <c r="B234" s="59">
        <v>2017</v>
      </c>
      <c r="C234" s="336" t="s">
        <v>85</v>
      </c>
      <c r="D234" s="59">
        <v>12829</v>
      </c>
      <c r="E234" s="336" t="s">
        <v>126</v>
      </c>
      <c r="F234" s="29">
        <v>1</v>
      </c>
      <c r="G234" s="9">
        <v>1</v>
      </c>
      <c r="H234" s="9">
        <v>1</v>
      </c>
      <c r="I234" s="9">
        <v>2</v>
      </c>
      <c r="J234" s="9">
        <v>2</v>
      </c>
      <c r="K234" s="159">
        <f t="shared" si="3"/>
        <v>0.35859414261160716</v>
      </c>
      <c r="L234" s="52" t="s">
        <v>111</v>
      </c>
    </row>
    <row r="235" spans="1:12">
      <c r="A235" s="151" t="s">
        <v>109</v>
      </c>
      <c r="B235" s="59">
        <v>2018</v>
      </c>
      <c r="C235" s="336" t="s">
        <v>85</v>
      </c>
      <c r="D235" s="59">
        <v>12829</v>
      </c>
      <c r="E235" s="336" t="s">
        <v>126</v>
      </c>
      <c r="F235" s="29">
        <v>1</v>
      </c>
      <c r="G235" s="9">
        <v>1</v>
      </c>
      <c r="H235" s="9">
        <v>1</v>
      </c>
      <c r="I235" s="9">
        <v>2</v>
      </c>
      <c r="J235" s="9">
        <v>2</v>
      </c>
      <c r="K235" s="159">
        <f t="shared" si="3"/>
        <v>0.35859414261160716</v>
      </c>
      <c r="L235" s="52" t="s">
        <v>111</v>
      </c>
    </row>
    <row r="236" spans="1:12">
      <c r="A236" s="151" t="s">
        <v>109</v>
      </c>
      <c r="B236" s="59">
        <v>2019</v>
      </c>
      <c r="C236" s="336" t="s">
        <v>85</v>
      </c>
      <c r="D236" s="59">
        <v>12829</v>
      </c>
      <c r="E236" s="336" t="s">
        <v>126</v>
      </c>
      <c r="F236" s="29">
        <v>1</v>
      </c>
      <c r="G236" s="9">
        <v>1</v>
      </c>
      <c r="H236" s="9">
        <v>1</v>
      </c>
      <c r="I236" s="9">
        <v>2</v>
      </c>
      <c r="J236" s="9">
        <v>2</v>
      </c>
      <c r="K236" s="159">
        <f t="shared" si="3"/>
        <v>0.35859414261160716</v>
      </c>
      <c r="L236" s="52" t="s">
        <v>111</v>
      </c>
    </row>
    <row r="237" spans="1:12">
      <c r="A237" s="151" t="s">
        <v>109</v>
      </c>
      <c r="B237" s="59">
        <v>2008</v>
      </c>
      <c r="C237" s="336" t="s">
        <v>85</v>
      </c>
      <c r="D237" s="59">
        <v>12855</v>
      </c>
      <c r="E237" s="336" t="s">
        <v>126</v>
      </c>
      <c r="F237" s="29">
        <v>1</v>
      </c>
      <c r="G237" s="9">
        <v>1</v>
      </c>
      <c r="H237" s="9">
        <v>1</v>
      </c>
      <c r="I237" s="9">
        <v>2</v>
      </c>
      <c r="J237" s="9">
        <v>2</v>
      </c>
      <c r="K237" s="159">
        <f t="shared" si="3"/>
        <v>0.35859414261160716</v>
      </c>
      <c r="L237" s="52" t="s">
        <v>111</v>
      </c>
    </row>
    <row r="238" spans="1:12">
      <c r="A238" s="151" t="s">
        <v>109</v>
      </c>
      <c r="B238" s="59">
        <v>2016</v>
      </c>
      <c r="C238" s="336" t="s">
        <v>98</v>
      </c>
      <c r="D238" s="59">
        <v>12878</v>
      </c>
      <c r="E238" s="336" t="s">
        <v>126</v>
      </c>
      <c r="F238" s="29">
        <v>1</v>
      </c>
      <c r="G238" s="9">
        <v>1</v>
      </c>
      <c r="H238" s="9">
        <v>1</v>
      </c>
      <c r="I238" s="9">
        <v>2</v>
      </c>
      <c r="J238" s="9">
        <v>2</v>
      </c>
      <c r="K238" s="159">
        <f t="shared" si="3"/>
        <v>0.35859414261160716</v>
      </c>
      <c r="L238" s="52" t="s">
        <v>111</v>
      </c>
    </row>
    <row r="239" spans="1:12">
      <c r="A239" s="151" t="s">
        <v>109</v>
      </c>
      <c r="B239" s="59">
        <v>2015</v>
      </c>
      <c r="C239" s="336" t="s">
        <v>98</v>
      </c>
      <c r="D239" s="59">
        <v>12995</v>
      </c>
      <c r="E239" s="336" t="s">
        <v>126</v>
      </c>
      <c r="F239" s="29">
        <v>1</v>
      </c>
      <c r="G239" s="9">
        <v>1</v>
      </c>
      <c r="H239" s="9">
        <v>1</v>
      </c>
      <c r="I239" s="9">
        <v>2</v>
      </c>
      <c r="J239" s="9">
        <v>2</v>
      </c>
      <c r="K239" s="159">
        <f t="shared" si="3"/>
        <v>0.35859414261160716</v>
      </c>
      <c r="L239" s="52" t="s">
        <v>111</v>
      </c>
    </row>
    <row r="240" spans="1:12">
      <c r="A240" s="151" t="s">
        <v>109</v>
      </c>
      <c r="B240" s="59">
        <v>2014</v>
      </c>
      <c r="C240" s="336" t="s">
        <v>98</v>
      </c>
      <c r="D240" s="59">
        <v>13212</v>
      </c>
      <c r="E240" s="336" t="s">
        <v>126</v>
      </c>
      <c r="F240" s="29">
        <v>1</v>
      </c>
      <c r="G240" s="9">
        <v>1</v>
      </c>
      <c r="H240" s="9">
        <v>1</v>
      </c>
      <c r="I240" s="9">
        <v>2</v>
      </c>
      <c r="J240" s="9">
        <v>2</v>
      </c>
      <c r="K240" s="159">
        <f t="shared" si="3"/>
        <v>0.35859414261160716</v>
      </c>
      <c r="L240" s="52" t="s">
        <v>111</v>
      </c>
    </row>
    <row r="241" spans="1:12">
      <c r="A241" s="151" t="s">
        <v>109</v>
      </c>
      <c r="B241" s="59">
        <v>2003</v>
      </c>
      <c r="C241" s="336" t="s">
        <v>98</v>
      </c>
      <c r="D241" s="59">
        <v>13324</v>
      </c>
      <c r="E241" s="336" t="s">
        <v>126</v>
      </c>
      <c r="F241" s="29">
        <v>1</v>
      </c>
      <c r="G241" s="9">
        <v>1</v>
      </c>
      <c r="H241" s="9">
        <v>1</v>
      </c>
      <c r="I241" s="9">
        <v>2</v>
      </c>
      <c r="J241" s="9">
        <v>2</v>
      </c>
      <c r="K241" s="159">
        <f t="shared" si="3"/>
        <v>0.35859414261160716</v>
      </c>
      <c r="L241" s="52" t="s">
        <v>111</v>
      </c>
    </row>
    <row r="242" spans="1:12">
      <c r="A242" s="151" t="s">
        <v>109</v>
      </c>
      <c r="B242" s="59">
        <v>2020</v>
      </c>
      <c r="C242" s="336" t="s">
        <v>85</v>
      </c>
      <c r="D242" s="59">
        <v>13493</v>
      </c>
      <c r="E242" s="336" t="s">
        <v>126</v>
      </c>
      <c r="F242" s="29">
        <v>1</v>
      </c>
      <c r="G242" s="9">
        <v>1</v>
      </c>
      <c r="H242" s="9">
        <v>1</v>
      </c>
      <c r="I242" s="9">
        <v>2</v>
      </c>
      <c r="J242" s="9">
        <v>2</v>
      </c>
      <c r="K242" s="159">
        <f t="shared" si="3"/>
        <v>0.35859414261160716</v>
      </c>
      <c r="L242" s="52" t="s">
        <v>111</v>
      </c>
    </row>
    <row r="243" spans="1:12">
      <c r="A243" s="151" t="s">
        <v>109</v>
      </c>
      <c r="B243" s="59">
        <v>2021</v>
      </c>
      <c r="C243" s="336" t="s">
        <v>85</v>
      </c>
      <c r="D243" s="59">
        <v>13666</v>
      </c>
      <c r="E243" s="336" t="s">
        <v>126</v>
      </c>
      <c r="F243" s="29">
        <v>1</v>
      </c>
      <c r="G243" s="9">
        <v>1</v>
      </c>
      <c r="H243" s="9">
        <v>1</v>
      </c>
      <c r="I243" s="9">
        <v>2</v>
      </c>
      <c r="J243" s="9">
        <v>2</v>
      </c>
      <c r="K243" s="159">
        <f t="shared" si="3"/>
        <v>0.35859414261160716</v>
      </c>
      <c r="L243" s="52" t="s">
        <v>111</v>
      </c>
    </row>
    <row r="244" spans="1:12">
      <c r="A244" s="151" t="s">
        <v>109</v>
      </c>
      <c r="B244" s="59">
        <v>2012</v>
      </c>
      <c r="C244" s="336" t="s">
        <v>98</v>
      </c>
      <c r="D244" s="59">
        <v>13706</v>
      </c>
      <c r="E244" s="336" t="s">
        <v>126</v>
      </c>
      <c r="F244" s="29">
        <v>1</v>
      </c>
      <c r="G244" s="9">
        <v>1</v>
      </c>
      <c r="H244" s="9">
        <v>1</v>
      </c>
      <c r="I244" s="9">
        <v>2</v>
      </c>
      <c r="J244" s="9">
        <v>2</v>
      </c>
      <c r="K244" s="159">
        <f t="shared" si="3"/>
        <v>0.35859414261160716</v>
      </c>
      <c r="L244" s="52" t="s">
        <v>111</v>
      </c>
    </row>
    <row r="245" spans="1:12">
      <c r="A245" s="151" t="s">
        <v>109</v>
      </c>
      <c r="B245" s="59">
        <v>2020</v>
      </c>
      <c r="C245" s="336" t="s">
        <v>98</v>
      </c>
      <c r="D245" s="59">
        <v>13872</v>
      </c>
      <c r="E245" s="336" t="s">
        <v>126</v>
      </c>
      <c r="F245" s="29">
        <v>1</v>
      </c>
      <c r="G245" s="9">
        <v>1</v>
      </c>
      <c r="H245" s="9">
        <v>1</v>
      </c>
      <c r="I245" s="9">
        <v>2</v>
      </c>
      <c r="J245" s="9">
        <v>2</v>
      </c>
      <c r="K245" s="159">
        <f t="shared" si="3"/>
        <v>0.35859414261160716</v>
      </c>
      <c r="L245" s="52" t="s">
        <v>111</v>
      </c>
    </row>
    <row r="246" spans="1:12">
      <c r="A246" s="151" t="s">
        <v>109</v>
      </c>
      <c r="B246" s="59">
        <v>2012</v>
      </c>
      <c r="C246" s="336" t="s">
        <v>85</v>
      </c>
      <c r="D246" s="59">
        <v>14019</v>
      </c>
      <c r="E246" s="336" t="s">
        <v>126</v>
      </c>
      <c r="F246" s="29">
        <v>1</v>
      </c>
      <c r="G246" s="9">
        <v>1</v>
      </c>
      <c r="H246" s="9">
        <v>1</v>
      </c>
      <c r="I246" s="9">
        <v>2</v>
      </c>
      <c r="J246" s="9">
        <v>2</v>
      </c>
      <c r="K246" s="159">
        <f t="shared" si="3"/>
        <v>0.35859414261160716</v>
      </c>
      <c r="L246" s="52" t="s">
        <v>111</v>
      </c>
    </row>
    <row r="247" spans="1:12">
      <c r="A247" s="151" t="s">
        <v>109</v>
      </c>
      <c r="B247" s="59">
        <v>2017</v>
      </c>
      <c r="C247" s="336" t="s">
        <v>98</v>
      </c>
      <c r="D247" s="59">
        <v>14059</v>
      </c>
      <c r="E247" s="336" t="s">
        <v>126</v>
      </c>
      <c r="F247" s="29">
        <v>1</v>
      </c>
      <c r="G247" s="9">
        <v>1</v>
      </c>
      <c r="H247" s="9">
        <v>1</v>
      </c>
      <c r="I247" s="9">
        <v>2</v>
      </c>
      <c r="J247" s="9">
        <v>2</v>
      </c>
      <c r="K247" s="159">
        <f t="shared" si="3"/>
        <v>0.35859414261160716</v>
      </c>
      <c r="L247" s="52" t="s">
        <v>111</v>
      </c>
    </row>
    <row r="248" spans="1:12">
      <c r="A248" s="151" t="s">
        <v>109</v>
      </c>
      <c r="B248" s="59">
        <v>2018</v>
      </c>
      <c r="C248" s="336" t="s">
        <v>98</v>
      </c>
      <c r="D248" s="59">
        <v>14059</v>
      </c>
      <c r="E248" s="336" t="s">
        <v>126</v>
      </c>
      <c r="F248" s="29">
        <v>1</v>
      </c>
      <c r="G248" s="9">
        <v>1</v>
      </c>
      <c r="H248" s="9">
        <v>1</v>
      </c>
      <c r="I248" s="9">
        <v>2</v>
      </c>
      <c r="J248" s="9">
        <v>2</v>
      </c>
      <c r="K248" s="159">
        <f t="shared" si="3"/>
        <v>0.35859414261160716</v>
      </c>
      <c r="L248" s="52" t="s">
        <v>111</v>
      </c>
    </row>
    <row r="249" spans="1:12">
      <c r="A249" s="151" t="s">
        <v>109</v>
      </c>
      <c r="B249" s="59">
        <v>2019</v>
      </c>
      <c r="C249" s="336" t="s">
        <v>98</v>
      </c>
      <c r="D249" s="59">
        <v>14059</v>
      </c>
      <c r="E249" s="336" t="s">
        <v>126</v>
      </c>
      <c r="F249" s="29">
        <v>1</v>
      </c>
      <c r="G249" s="9">
        <v>1</v>
      </c>
      <c r="H249" s="9">
        <v>1</v>
      </c>
      <c r="I249" s="9">
        <v>2</v>
      </c>
      <c r="J249" s="9">
        <v>2</v>
      </c>
      <c r="K249" s="159">
        <f t="shared" ref="K249:K312" si="4">IF( OR( ISBLANK(F249),ISBLANK(G249), ISBLANK(H249), ISBLANK(I249), ISBLANK(J249) ), "", 1.5*SQRT(   EXP(2.21*(F249-1)) + EXP(2.21*(G249-1)) + EXP(2.21*(H249-1)) + EXP(2.21*(I249-1)) + EXP(2.21*J249)   )/100*2.45 )</f>
        <v>0.35859414261160716</v>
      </c>
      <c r="L249" s="52" t="s">
        <v>111</v>
      </c>
    </row>
    <row r="250" spans="1:12">
      <c r="A250" s="151" t="s">
        <v>109</v>
      </c>
      <c r="B250" s="59">
        <v>2010</v>
      </c>
      <c r="C250" s="336" t="s">
        <v>98</v>
      </c>
      <c r="D250" s="59">
        <v>14402</v>
      </c>
      <c r="E250" s="336" t="s">
        <v>126</v>
      </c>
      <c r="F250" s="29">
        <v>1</v>
      </c>
      <c r="G250" s="9">
        <v>1</v>
      </c>
      <c r="H250" s="9">
        <v>1</v>
      </c>
      <c r="I250" s="9">
        <v>2</v>
      </c>
      <c r="J250" s="9">
        <v>2</v>
      </c>
      <c r="K250" s="159">
        <f t="shared" si="4"/>
        <v>0.35859414261160716</v>
      </c>
      <c r="L250" s="52" t="s">
        <v>111</v>
      </c>
    </row>
    <row r="251" spans="1:12">
      <c r="A251" s="151" t="s">
        <v>109</v>
      </c>
      <c r="B251" s="59">
        <v>2005</v>
      </c>
      <c r="C251" s="336" t="s">
        <v>98</v>
      </c>
      <c r="D251" s="59">
        <v>14639</v>
      </c>
      <c r="E251" s="336" t="s">
        <v>126</v>
      </c>
      <c r="F251" s="29">
        <v>1</v>
      </c>
      <c r="G251" s="9">
        <v>1</v>
      </c>
      <c r="H251" s="9">
        <v>1</v>
      </c>
      <c r="I251" s="9">
        <v>2</v>
      </c>
      <c r="J251" s="9">
        <v>2</v>
      </c>
      <c r="K251" s="159">
        <f t="shared" si="4"/>
        <v>0.35859414261160716</v>
      </c>
      <c r="L251" s="52" t="s">
        <v>111</v>
      </c>
    </row>
    <row r="252" spans="1:12">
      <c r="A252" s="151" t="s">
        <v>109</v>
      </c>
      <c r="B252" s="59">
        <v>2011</v>
      </c>
      <c r="C252" s="336" t="s">
        <v>98</v>
      </c>
      <c r="D252" s="59">
        <v>14987</v>
      </c>
      <c r="E252" s="336" t="s">
        <v>126</v>
      </c>
      <c r="F252" s="29">
        <v>1</v>
      </c>
      <c r="G252" s="9">
        <v>1</v>
      </c>
      <c r="H252" s="9">
        <v>1</v>
      </c>
      <c r="I252" s="9">
        <v>2</v>
      </c>
      <c r="J252" s="9">
        <v>2</v>
      </c>
      <c r="K252" s="159">
        <f t="shared" si="4"/>
        <v>0.35859414261160716</v>
      </c>
      <c r="L252" s="52" t="s">
        <v>111</v>
      </c>
    </row>
    <row r="253" spans="1:12">
      <c r="A253" s="151" t="s">
        <v>109</v>
      </c>
      <c r="B253" s="59">
        <v>2021</v>
      </c>
      <c r="C253" s="336" t="s">
        <v>98</v>
      </c>
      <c r="D253" s="59">
        <v>15065</v>
      </c>
      <c r="E253" s="336" t="s">
        <v>126</v>
      </c>
      <c r="F253" s="29">
        <v>1</v>
      </c>
      <c r="G253" s="9">
        <v>1</v>
      </c>
      <c r="H253" s="9">
        <v>1</v>
      </c>
      <c r="I253" s="9">
        <v>2</v>
      </c>
      <c r="J253" s="9">
        <v>2</v>
      </c>
      <c r="K253" s="159">
        <f t="shared" si="4"/>
        <v>0.35859414261160716</v>
      </c>
      <c r="L253" s="52" t="s">
        <v>111</v>
      </c>
    </row>
    <row r="254" spans="1:12">
      <c r="A254" s="151" t="s">
        <v>109</v>
      </c>
      <c r="B254" s="59">
        <v>2008</v>
      </c>
      <c r="C254" s="336" t="s">
        <v>98</v>
      </c>
      <c r="D254" s="59">
        <v>15108</v>
      </c>
      <c r="E254" s="336" t="s">
        <v>126</v>
      </c>
      <c r="F254" s="29">
        <v>1</v>
      </c>
      <c r="G254" s="9">
        <v>1</v>
      </c>
      <c r="H254" s="9">
        <v>1</v>
      </c>
      <c r="I254" s="9">
        <v>2</v>
      </c>
      <c r="J254" s="9">
        <v>2</v>
      </c>
      <c r="K254" s="159">
        <f t="shared" si="4"/>
        <v>0.35859414261160716</v>
      </c>
      <c r="L254" s="52" t="s">
        <v>111</v>
      </c>
    </row>
    <row r="255" spans="1:12">
      <c r="A255" s="151" t="s">
        <v>109</v>
      </c>
      <c r="B255" s="59">
        <v>2009</v>
      </c>
      <c r="C255" s="336" t="s">
        <v>98</v>
      </c>
      <c r="D255" s="59">
        <v>15165</v>
      </c>
      <c r="E255" s="336" t="s">
        <v>126</v>
      </c>
      <c r="F255" s="29">
        <v>1</v>
      </c>
      <c r="G255" s="9">
        <v>1</v>
      </c>
      <c r="H255" s="9">
        <v>1</v>
      </c>
      <c r="I255" s="9">
        <v>2</v>
      </c>
      <c r="J255" s="9">
        <v>2</v>
      </c>
      <c r="K255" s="159">
        <f t="shared" si="4"/>
        <v>0.35859414261160716</v>
      </c>
      <c r="L255" s="52" t="s">
        <v>111</v>
      </c>
    </row>
    <row r="256" spans="1:12">
      <c r="A256" s="151" t="s">
        <v>109</v>
      </c>
      <c r="B256" s="59">
        <v>2007</v>
      </c>
      <c r="C256" s="336" t="s">
        <v>98</v>
      </c>
      <c r="D256" s="59">
        <v>15706</v>
      </c>
      <c r="E256" s="336" t="s">
        <v>126</v>
      </c>
      <c r="F256" s="29">
        <v>1</v>
      </c>
      <c r="G256" s="9">
        <v>1</v>
      </c>
      <c r="H256" s="9">
        <v>1</v>
      </c>
      <c r="I256" s="9">
        <v>2</v>
      </c>
      <c r="J256" s="9">
        <v>2</v>
      </c>
      <c r="K256" s="159">
        <f t="shared" si="4"/>
        <v>0.35859414261160716</v>
      </c>
      <c r="L256" s="52" t="s">
        <v>111</v>
      </c>
    </row>
    <row r="257" spans="1:12">
      <c r="A257" s="151" t="s">
        <v>109</v>
      </c>
      <c r="B257" s="59">
        <v>2007</v>
      </c>
      <c r="C257" s="336" t="s">
        <v>85</v>
      </c>
      <c r="D257" s="59">
        <v>15972</v>
      </c>
      <c r="E257" s="336" t="s">
        <v>126</v>
      </c>
      <c r="F257" s="29">
        <v>1</v>
      </c>
      <c r="G257" s="9">
        <v>1</v>
      </c>
      <c r="H257" s="9">
        <v>1</v>
      </c>
      <c r="I257" s="9">
        <v>2</v>
      </c>
      <c r="J257" s="9">
        <v>2</v>
      </c>
      <c r="K257" s="159">
        <f t="shared" si="4"/>
        <v>0.35859414261160716</v>
      </c>
      <c r="L257" s="52" t="s">
        <v>111</v>
      </c>
    </row>
    <row r="258" spans="1:12">
      <c r="A258" s="151" t="s">
        <v>109</v>
      </c>
      <c r="B258" s="59">
        <v>2006</v>
      </c>
      <c r="C258" s="336" t="s">
        <v>98</v>
      </c>
      <c r="D258" s="59">
        <v>16073</v>
      </c>
      <c r="E258" s="336" t="s">
        <v>126</v>
      </c>
      <c r="F258" s="29">
        <v>1</v>
      </c>
      <c r="G258" s="9">
        <v>1</v>
      </c>
      <c r="H258" s="9">
        <v>1</v>
      </c>
      <c r="I258" s="9">
        <v>2</v>
      </c>
      <c r="J258" s="9">
        <v>2</v>
      </c>
      <c r="K258" s="159">
        <f t="shared" si="4"/>
        <v>0.35859414261160716</v>
      </c>
      <c r="L258" s="52" t="s">
        <v>111</v>
      </c>
    </row>
    <row r="259" spans="1:12">
      <c r="A259" s="151" t="s">
        <v>112</v>
      </c>
      <c r="B259" s="232">
        <v>2017</v>
      </c>
      <c r="C259" s="40" t="s">
        <v>85</v>
      </c>
      <c r="D259" s="55">
        <v>0</v>
      </c>
      <c r="E259" s="787" t="s">
        <v>124</v>
      </c>
      <c r="F259" s="29">
        <v>1</v>
      </c>
      <c r="G259" s="9">
        <v>1</v>
      </c>
      <c r="H259" s="9">
        <v>3</v>
      </c>
      <c r="I259" s="9">
        <v>1</v>
      </c>
      <c r="J259" s="9">
        <v>2</v>
      </c>
      <c r="K259" s="159">
        <f t="shared" si="4"/>
        <v>0.47802211380704585</v>
      </c>
      <c r="L259" s="63" t="s">
        <v>125</v>
      </c>
    </row>
    <row r="260" spans="1:12">
      <c r="A260" s="151" t="s">
        <v>112</v>
      </c>
      <c r="B260" s="232">
        <v>2017</v>
      </c>
      <c r="C260" s="40" t="s">
        <v>86</v>
      </c>
      <c r="D260" s="55">
        <v>149.30032789636365</v>
      </c>
      <c r="E260" s="787" t="s">
        <v>124</v>
      </c>
      <c r="F260" s="29">
        <v>1</v>
      </c>
      <c r="G260" s="9">
        <v>1</v>
      </c>
      <c r="H260" s="9">
        <v>3</v>
      </c>
      <c r="I260" s="9">
        <v>1</v>
      </c>
      <c r="J260" s="9">
        <v>2</v>
      </c>
      <c r="K260" s="159">
        <f t="shared" si="4"/>
        <v>0.47802211380704585</v>
      </c>
      <c r="L260" s="63" t="s">
        <v>125</v>
      </c>
    </row>
    <row r="261" spans="1:12">
      <c r="A261" s="151" t="s">
        <v>112</v>
      </c>
      <c r="B261" s="232">
        <v>2017</v>
      </c>
      <c r="C261" s="40" t="s">
        <v>87</v>
      </c>
      <c r="D261" s="55">
        <v>86.718819714545447</v>
      </c>
      <c r="E261" s="787" t="s">
        <v>124</v>
      </c>
      <c r="F261" s="29">
        <v>1</v>
      </c>
      <c r="G261" s="9">
        <v>1</v>
      </c>
      <c r="H261" s="9">
        <v>3</v>
      </c>
      <c r="I261" s="9">
        <v>1</v>
      </c>
      <c r="J261" s="9">
        <v>2</v>
      </c>
      <c r="K261" s="159">
        <f t="shared" si="4"/>
        <v>0.47802211380704585</v>
      </c>
      <c r="L261" s="63" t="s">
        <v>125</v>
      </c>
    </row>
    <row r="262" spans="1:12">
      <c r="A262" s="151" t="s">
        <v>112</v>
      </c>
      <c r="B262" s="232">
        <v>2017</v>
      </c>
      <c r="C262" s="40" t="s">
        <v>88</v>
      </c>
      <c r="D262" s="55">
        <v>0</v>
      </c>
      <c r="E262" s="787" t="s">
        <v>124</v>
      </c>
      <c r="F262" s="29">
        <v>1</v>
      </c>
      <c r="G262" s="9">
        <v>1</v>
      </c>
      <c r="H262" s="9">
        <v>3</v>
      </c>
      <c r="I262" s="9">
        <v>1</v>
      </c>
      <c r="J262" s="9">
        <v>2</v>
      </c>
      <c r="K262" s="159">
        <f t="shared" si="4"/>
        <v>0.47802211380704585</v>
      </c>
      <c r="L262" s="63" t="s">
        <v>125</v>
      </c>
    </row>
    <row r="263" spans="1:12">
      <c r="A263" s="151" t="s">
        <v>112</v>
      </c>
      <c r="B263" s="232">
        <v>2017</v>
      </c>
      <c r="C263" s="40" t="s">
        <v>89</v>
      </c>
      <c r="D263" s="55">
        <v>0</v>
      </c>
      <c r="E263" s="787" t="s">
        <v>124</v>
      </c>
      <c r="F263" s="29">
        <v>1</v>
      </c>
      <c r="G263" s="9">
        <v>1</v>
      </c>
      <c r="H263" s="9">
        <v>3</v>
      </c>
      <c r="I263" s="9">
        <v>1</v>
      </c>
      <c r="J263" s="9">
        <v>2</v>
      </c>
      <c r="K263" s="159">
        <f t="shared" si="4"/>
        <v>0.47802211380704585</v>
      </c>
      <c r="L263" s="63" t="s">
        <v>125</v>
      </c>
    </row>
    <row r="264" spans="1:12">
      <c r="A264" s="151" t="s">
        <v>112</v>
      </c>
      <c r="B264" s="232">
        <v>2017</v>
      </c>
      <c r="C264" s="40" t="s">
        <v>90</v>
      </c>
      <c r="D264" s="55">
        <v>0</v>
      </c>
      <c r="E264" s="787" t="s">
        <v>124</v>
      </c>
      <c r="F264" s="29">
        <v>1</v>
      </c>
      <c r="G264" s="9">
        <v>1</v>
      </c>
      <c r="H264" s="9">
        <v>3</v>
      </c>
      <c r="I264" s="9">
        <v>1</v>
      </c>
      <c r="J264" s="9">
        <v>2</v>
      </c>
      <c r="K264" s="159">
        <f t="shared" si="4"/>
        <v>0.47802211380704585</v>
      </c>
      <c r="L264" s="63" t="s">
        <v>125</v>
      </c>
    </row>
    <row r="265" spans="1:12">
      <c r="A265" s="151" t="s">
        <v>112</v>
      </c>
      <c r="B265" s="232">
        <v>2017</v>
      </c>
      <c r="C265" s="40" t="s">
        <v>91</v>
      </c>
      <c r="D265" s="55">
        <v>617.78344629272738</v>
      </c>
      <c r="E265" s="787" t="s">
        <v>124</v>
      </c>
      <c r="F265" s="29">
        <v>1</v>
      </c>
      <c r="G265" s="9">
        <v>1</v>
      </c>
      <c r="H265" s="9">
        <v>3</v>
      </c>
      <c r="I265" s="9">
        <v>1</v>
      </c>
      <c r="J265" s="9">
        <v>2</v>
      </c>
      <c r="K265" s="159">
        <f t="shared" si="4"/>
        <v>0.47802211380704585</v>
      </c>
      <c r="L265" s="63" t="s">
        <v>125</v>
      </c>
    </row>
    <row r="266" spans="1:12">
      <c r="A266" s="151" t="s">
        <v>112</v>
      </c>
      <c r="B266" s="232">
        <v>2017</v>
      </c>
      <c r="C266" s="40" t="s">
        <v>95</v>
      </c>
      <c r="D266" s="55">
        <v>88.053207938181828</v>
      </c>
      <c r="E266" s="787" t="s">
        <v>124</v>
      </c>
      <c r="F266" s="29">
        <v>1</v>
      </c>
      <c r="G266" s="9">
        <v>1</v>
      </c>
      <c r="H266" s="9">
        <v>3</v>
      </c>
      <c r="I266" s="9">
        <v>1</v>
      </c>
      <c r="J266" s="9">
        <v>2</v>
      </c>
      <c r="K266" s="159">
        <f t="shared" si="4"/>
        <v>0.47802211380704585</v>
      </c>
      <c r="L266" s="63" t="s">
        <v>125</v>
      </c>
    </row>
    <row r="267" spans="1:12" ht="15" thickBot="1">
      <c r="A267" s="152" t="s">
        <v>112</v>
      </c>
      <c r="B267" s="233">
        <v>2017</v>
      </c>
      <c r="C267" s="41" t="s">
        <v>99</v>
      </c>
      <c r="D267" s="56">
        <v>53.497956158181822</v>
      </c>
      <c r="E267" s="813" t="s">
        <v>124</v>
      </c>
      <c r="F267" s="30">
        <v>1</v>
      </c>
      <c r="G267" s="12">
        <v>1</v>
      </c>
      <c r="H267" s="12">
        <v>3</v>
      </c>
      <c r="I267" s="12">
        <v>1</v>
      </c>
      <c r="J267" s="12">
        <v>2</v>
      </c>
      <c r="K267" s="160">
        <f t="shared" si="4"/>
        <v>0.47802211380704585</v>
      </c>
      <c r="L267" s="62" t="s">
        <v>125</v>
      </c>
    </row>
    <row r="268" spans="1:12">
      <c r="A268" s="230" t="s">
        <v>114</v>
      </c>
      <c r="B268" s="801">
        <v>2003</v>
      </c>
      <c r="C268" s="800" t="s">
        <v>85</v>
      </c>
      <c r="D268" s="801">
        <v>3879</v>
      </c>
      <c r="E268" s="800" t="s">
        <v>126</v>
      </c>
      <c r="F268" s="656">
        <v>1</v>
      </c>
      <c r="G268" s="118">
        <v>1</v>
      </c>
      <c r="H268" s="118">
        <v>1</v>
      </c>
      <c r="I268" s="118">
        <v>2</v>
      </c>
      <c r="J268" s="118">
        <v>2</v>
      </c>
      <c r="K268" s="810">
        <f t="shared" si="4"/>
        <v>0.35859414261160716</v>
      </c>
      <c r="L268" s="658" t="s">
        <v>111</v>
      </c>
    </row>
    <row r="269" spans="1:12">
      <c r="A269" s="151" t="s">
        <v>114</v>
      </c>
      <c r="B269" s="59">
        <v>2003</v>
      </c>
      <c r="C269" s="336" t="s">
        <v>86</v>
      </c>
      <c r="D269" s="59">
        <v>1318</v>
      </c>
      <c r="E269" s="336" t="s">
        <v>126</v>
      </c>
      <c r="F269" s="29">
        <v>1</v>
      </c>
      <c r="G269" s="9">
        <v>1</v>
      </c>
      <c r="H269" s="9">
        <v>1</v>
      </c>
      <c r="I269" s="9">
        <v>2</v>
      </c>
      <c r="J269" s="9">
        <v>2</v>
      </c>
      <c r="K269" s="159">
        <f t="shared" si="4"/>
        <v>0.35859414261160716</v>
      </c>
      <c r="L269" s="52" t="s">
        <v>111</v>
      </c>
    </row>
    <row r="270" spans="1:12">
      <c r="A270" s="151" t="s">
        <v>114</v>
      </c>
      <c r="B270" s="59">
        <v>2003</v>
      </c>
      <c r="C270" s="336" t="s">
        <v>87</v>
      </c>
      <c r="D270" s="59">
        <v>900</v>
      </c>
      <c r="E270" s="336" t="s">
        <v>126</v>
      </c>
      <c r="F270" s="29">
        <v>1</v>
      </c>
      <c r="G270" s="9">
        <v>1</v>
      </c>
      <c r="H270" s="9">
        <v>1</v>
      </c>
      <c r="I270" s="9">
        <v>2</v>
      </c>
      <c r="J270" s="9">
        <v>2</v>
      </c>
      <c r="K270" s="159">
        <f t="shared" si="4"/>
        <v>0.35859414261160716</v>
      </c>
      <c r="L270" s="52" t="s">
        <v>111</v>
      </c>
    </row>
    <row r="271" spans="1:12">
      <c r="A271" s="151" t="s">
        <v>114</v>
      </c>
      <c r="B271" s="59">
        <v>2003</v>
      </c>
      <c r="C271" s="336" t="s">
        <v>88</v>
      </c>
      <c r="D271" s="59">
        <v>92</v>
      </c>
      <c r="E271" s="336" t="s">
        <v>126</v>
      </c>
      <c r="F271" s="29">
        <v>1</v>
      </c>
      <c r="G271" s="9">
        <v>1</v>
      </c>
      <c r="H271" s="9">
        <v>1</v>
      </c>
      <c r="I271" s="9">
        <v>2</v>
      </c>
      <c r="J271" s="9">
        <v>2</v>
      </c>
      <c r="K271" s="159">
        <f t="shared" si="4"/>
        <v>0.35859414261160716</v>
      </c>
      <c r="L271" s="52" t="s">
        <v>111</v>
      </c>
    </row>
    <row r="272" spans="1:12">
      <c r="A272" s="151" t="s">
        <v>114</v>
      </c>
      <c r="B272" s="59">
        <v>2003</v>
      </c>
      <c r="C272" s="336" t="s">
        <v>89</v>
      </c>
      <c r="D272" s="59">
        <v>40</v>
      </c>
      <c r="E272" s="336" t="s">
        <v>126</v>
      </c>
      <c r="F272" s="29">
        <v>1</v>
      </c>
      <c r="G272" s="9">
        <v>1</v>
      </c>
      <c r="H272" s="9">
        <v>1</v>
      </c>
      <c r="I272" s="9">
        <v>2</v>
      </c>
      <c r="J272" s="9">
        <v>2</v>
      </c>
      <c r="K272" s="159">
        <f t="shared" si="4"/>
        <v>0.35859414261160716</v>
      </c>
      <c r="L272" s="52" t="s">
        <v>111</v>
      </c>
    </row>
    <row r="273" spans="1:12">
      <c r="A273" s="151" t="s">
        <v>114</v>
      </c>
      <c r="B273" s="59">
        <v>2003</v>
      </c>
      <c r="C273" s="336" t="s">
        <v>90</v>
      </c>
      <c r="D273" s="59">
        <v>323</v>
      </c>
      <c r="E273" s="336" t="s">
        <v>126</v>
      </c>
      <c r="F273" s="29">
        <v>1</v>
      </c>
      <c r="G273" s="9">
        <v>1</v>
      </c>
      <c r="H273" s="9">
        <v>1</v>
      </c>
      <c r="I273" s="9">
        <v>2</v>
      </c>
      <c r="J273" s="9">
        <v>2</v>
      </c>
      <c r="K273" s="159">
        <f t="shared" si="4"/>
        <v>0.35859414261160716</v>
      </c>
      <c r="L273" s="52" t="s">
        <v>111</v>
      </c>
    </row>
    <row r="274" spans="1:12">
      <c r="A274" s="151" t="s">
        <v>114</v>
      </c>
      <c r="B274" s="59">
        <v>2003</v>
      </c>
      <c r="C274" s="336" t="s">
        <v>91</v>
      </c>
      <c r="D274" s="59">
        <v>863</v>
      </c>
      <c r="E274" s="336" t="s">
        <v>126</v>
      </c>
      <c r="F274" s="29">
        <v>1</v>
      </c>
      <c r="G274" s="9">
        <v>1</v>
      </c>
      <c r="H274" s="9">
        <v>1</v>
      </c>
      <c r="I274" s="9">
        <v>2</v>
      </c>
      <c r="J274" s="9">
        <v>2</v>
      </c>
      <c r="K274" s="159">
        <f t="shared" si="4"/>
        <v>0.35859414261160716</v>
      </c>
      <c r="L274" s="52" t="s">
        <v>111</v>
      </c>
    </row>
    <row r="275" spans="1:12">
      <c r="A275" s="151" t="s">
        <v>114</v>
      </c>
      <c r="B275" s="59">
        <v>2003</v>
      </c>
      <c r="C275" s="336" t="s">
        <v>94</v>
      </c>
      <c r="D275" s="59">
        <v>157</v>
      </c>
      <c r="E275" s="336" t="s">
        <v>126</v>
      </c>
      <c r="F275" s="29">
        <v>1</v>
      </c>
      <c r="G275" s="9">
        <v>1</v>
      </c>
      <c r="H275" s="9">
        <v>1</v>
      </c>
      <c r="I275" s="9">
        <v>2</v>
      </c>
      <c r="J275" s="9">
        <v>2</v>
      </c>
      <c r="K275" s="159">
        <f t="shared" si="4"/>
        <v>0.35859414261160716</v>
      </c>
      <c r="L275" s="52" t="s">
        <v>111</v>
      </c>
    </row>
    <row r="276" spans="1:12">
      <c r="A276" s="151" t="s">
        <v>114</v>
      </c>
      <c r="B276" s="59">
        <v>2003</v>
      </c>
      <c r="C276" s="336" t="s">
        <v>96</v>
      </c>
      <c r="D276" s="59">
        <v>85</v>
      </c>
      <c r="E276" s="336" t="s">
        <v>126</v>
      </c>
      <c r="F276" s="29">
        <v>1</v>
      </c>
      <c r="G276" s="9">
        <v>1</v>
      </c>
      <c r="H276" s="9">
        <v>1</v>
      </c>
      <c r="I276" s="9">
        <v>2</v>
      </c>
      <c r="J276" s="9">
        <v>2</v>
      </c>
      <c r="K276" s="159">
        <f t="shared" si="4"/>
        <v>0.35859414261160716</v>
      </c>
      <c r="L276" s="52" t="s">
        <v>111</v>
      </c>
    </row>
    <row r="277" spans="1:12">
      <c r="A277" s="151" t="s">
        <v>114</v>
      </c>
      <c r="B277" s="59">
        <v>2003</v>
      </c>
      <c r="C277" s="336" t="s">
        <v>97</v>
      </c>
      <c r="D277" s="59">
        <v>316</v>
      </c>
      <c r="E277" s="336" t="s">
        <v>126</v>
      </c>
      <c r="F277" s="29">
        <v>1</v>
      </c>
      <c r="G277" s="9">
        <v>1</v>
      </c>
      <c r="H277" s="9">
        <v>1</v>
      </c>
      <c r="I277" s="9">
        <v>2</v>
      </c>
      <c r="J277" s="9">
        <v>2</v>
      </c>
      <c r="K277" s="159">
        <f t="shared" si="4"/>
        <v>0.35859414261160716</v>
      </c>
      <c r="L277" s="52" t="s">
        <v>111</v>
      </c>
    </row>
    <row r="278" spans="1:12">
      <c r="A278" s="151" t="s">
        <v>114</v>
      </c>
      <c r="B278" s="59">
        <v>2003</v>
      </c>
      <c r="C278" s="336" t="s">
        <v>95</v>
      </c>
      <c r="D278" s="59">
        <v>263</v>
      </c>
      <c r="E278" s="336" t="s">
        <v>126</v>
      </c>
      <c r="F278" s="29">
        <v>1</v>
      </c>
      <c r="G278" s="9">
        <v>1</v>
      </c>
      <c r="H278" s="9">
        <v>1</v>
      </c>
      <c r="I278" s="9">
        <v>2</v>
      </c>
      <c r="J278" s="9">
        <v>2</v>
      </c>
      <c r="K278" s="159">
        <f t="shared" si="4"/>
        <v>0.35859414261160716</v>
      </c>
      <c r="L278" s="52" t="s">
        <v>111</v>
      </c>
    </row>
    <row r="279" spans="1:12">
      <c r="A279" s="151" t="s">
        <v>114</v>
      </c>
      <c r="B279" s="59">
        <v>2003</v>
      </c>
      <c r="C279" s="336" t="s">
        <v>93</v>
      </c>
      <c r="D279" s="59">
        <v>60</v>
      </c>
      <c r="E279" s="336" t="s">
        <v>126</v>
      </c>
      <c r="F279" s="29">
        <v>1</v>
      </c>
      <c r="G279" s="9">
        <v>1</v>
      </c>
      <c r="H279" s="9">
        <v>1</v>
      </c>
      <c r="I279" s="9">
        <v>2</v>
      </c>
      <c r="J279" s="9">
        <v>2</v>
      </c>
      <c r="K279" s="159">
        <f t="shared" si="4"/>
        <v>0.35859414261160716</v>
      </c>
      <c r="L279" s="52" t="s">
        <v>111</v>
      </c>
    </row>
    <row r="280" spans="1:12">
      <c r="A280" s="151" t="s">
        <v>114</v>
      </c>
      <c r="B280" s="59">
        <v>2003</v>
      </c>
      <c r="C280" s="336" t="s">
        <v>98</v>
      </c>
      <c r="D280" s="59">
        <v>2016</v>
      </c>
      <c r="E280" s="336" t="s">
        <v>126</v>
      </c>
      <c r="F280" s="29">
        <v>1</v>
      </c>
      <c r="G280" s="9">
        <v>1</v>
      </c>
      <c r="H280" s="9">
        <v>1</v>
      </c>
      <c r="I280" s="9">
        <v>2</v>
      </c>
      <c r="J280" s="9">
        <v>2</v>
      </c>
      <c r="K280" s="159">
        <f t="shared" si="4"/>
        <v>0.35859414261160716</v>
      </c>
      <c r="L280" s="52" t="s">
        <v>111</v>
      </c>
    </row>
    <row r="281" spans="1:12">
      <c r="A281" s="151" t="s">
        <v>114</v>
      </c>
      <c r="B281" s="59">
        <v>2004</v>
      </c>
      <c r="C281" s="336" t="s">
        <v>85</v>
      </c>
      <c r="D281" s="59">
        <v>3129</v>
      </c>
      <c r="E281" s="336" t="s">
        <v>126</v>
      </c>
      <c r="F281" s="29">
        <v>1</v>
      </c>
      <c r="G281" s="9">
        <v>1</v>
      </c>
      <c r="H281" s="9">
        <v>1</v>
      </c>
      <c r="I281" s="9">
        <v>2</v>
      </c>
      <c r="J281" s="9">
        <v>2</v>
      </c>
      <c r="K281" s="159">
        <f t="shared" si="4"/>
        <v>0.35859414261160716</v>
      </c>
      <c r="L281" s="52" t="s">
        <v>111</v>
      </c>
    </row>
    <row r="282" spans="1:12">
      <c r="A282" s="151" t="s">
        <v>114</v>
      </c>
      <c r="B282" s="59">
        <v>2004</v>
      </c>
      <c r="C282" s="336" t="s">
        <v>86</v>
      </c>
      <c r="D282" s="59">
        <v>1188</v>
      </c>
      <c r="E282" s="336" t="s">
        <v>126</v>
      </c>
      <c r="F282" s="29">
        <v>1</v>
      </c>
      <c r="G282" s="9">
        <v>1</v>
      </c>
      <c r="H282" s="9">
        <v>1</v>
      </c>
      <c r="I282" s="9">
        <v>2</v>
      </c>
      <c r="J282" s="9">
        <v>2</v>
      </c>
      <c r="K282" s="159">
        <f t="shared" si="4"/>
        <v>0.35859414261160716</v>
      </c>
      <c r="L282" s="52" t="s">
        <v>111</v>
      </c>
    </row>
    <row r="283" spans="1:12">
      <c r="A283" s="151" t="s">
        <v>114</v>
      </c>
      <c r="B283" s="59">
        <v>2004</v>
      </c>
      <c r="C283" s="336" t="s">
        <v>87</v>
      </c>
      <c r="D283" s="59">
        <v>909</v>
      </c>
      <c r="E283" s="336" t="s">
        <v>126</v>
      </c>
      <c r="F283" s="29">
        <v>1</v>
      </c>
      <c r="G283" s="9">
        <v>1</v>
      </c>
      <c r="H283" s="9">
        <v>1</v>
      </c>
      <c r="I283" s="9">
        <v>2</v>
      </c>
      <c r="J283" s="9">
        <v>2</v>
      </c>
      <c r="K283" s="159">
        <f t="shared" si="4"/>
        <v>0.35859414261160716</v>
      </c>
      <c r="L283" s="52" t="s">
        <v>111</v>
      </c>
    </row>
    <row r="284" spans="1:12">
      <c r="A284" s="151" t="s">
        <v>114</v>
      </c>
      <c r="B284" s="59">
        <v>2004</v>
      </c>
      <c r="C284" s="336" t="s">
        <v>88</v>
      </c>
      <c r="D284" s="59">
        <v>166</v>
      </c>
      <c r="E284" s="336" t="s">
        <v>126</v>
      </c>
      <c r="F284" s="29">
        <v>1</v>
      </c>
      <c r="G284" s="9">
        <v>1</v>
      </c>
      <c r="H284" s="9">
        <v>1</v>
      </c>
      <c r="I284" s="9">
        <v>2</v>
      </c>
      <c r="J284" s="9">
        <v>2</v>
      </c>
      <c r="K284" s="159">
        <f t="shared" si="4"/>
        <v>0.35859414261160716</v>
      </c>
      <c r="L284" s="52" t="s">
        <v>111</v>
      </c>
    </row>
    <row r="285" spans="1:12">
      <c r="A285" s="151" t="s">
        <v>114</v>
      </c>
      <c r="B285" s="59">
        <v>2004</v>
      </c>
      <c r="C285" s="336" t="s">
        <v>89</v>
      </c>
      <c r="D285" s="59">
        <v>50</v>
      </c>
      <c r="E285" s="336" t="s">
        <v>126</v>
      </c>
      <c r="F285" s="29">
        <v>1</v>
      </c>
      <c r="G285" s="9">
        <v>1</v>
      </c>
      <c r="H285" s="9">
        <v>1</v>
      </c>
      <c r="I285" s="9">
        <v>2</v>
      </c>
      <c r="J285" s="9">
        <v>2</v>
      </c>
      <c r="K285" s="159">
        <f t="shared" si="4"/>
        <v>0.35859414261160716</v>
      </c>
      <c r="L285" s="52" t="s">
        <v>111</v>
      </c>
    </row>
    <row r="286" spans="1:12">
      <c r="A286" s="151" t="s">
        <v>114</v>
      </c>
      <c r="B286" s="59">
        <v>2004</v>
      </c>
      <c r="C286" s="336" t="s">
        <v>90</v>
      </c>
      <c r="D286" s="59">
        <v>409</v>
      </c>
      <c r="E286" s="336" t="s">
        <v>126</v>
      </c>
      <c r="F286" s="29">
        <v>1</v>
      </c>
      <c r="G286" s="9">
        <v>1</v>
      </c>
      <c r="H286" s="9">
        <v>1</v>
      </c>
      <c r="I286" s="9">
        <v>2</v>
      </c>
      <c r="J286" s="9">
        <v>2</v>
      </c>
      <c r="K286" s="159">
        <f t="shared" si="4"/>
        <v>0.35859414261160716</v>
      </c>
      <c r="L286" s="52" t="s">
        <v>111</v>
      </c>
    </row>
    <row r="287" spans="1:12">
      <c r="A287" s="151" t="s">
        <v>114</v>
      </c>
      <c r="B287" s="59">
        <v>2004</v>
      </c>
      <c r="C287" s="336" t="s">
        <v>91</v>
      </c>
      <c r="D287" s="59">
        <v>991</v>
      </c>
      <c r="E287" s="336" t="s">
        <v>126</v>
      </c>
      <c r="F287" s="29">
        <v>1</v>
      </c>
      <c r="G287" s="9">
        <v>1</v>
      </c>
      <c r="H287" s="9">
        <v>1</v>
      </c>
      <c r="I287" s="9">
        <v>2</v>
      </c>
      <c r="J287" s="9">
        <v>2</v>
      </c>
      <c r="K287" s="159">
        <f t="shared" si="4"/>
        <v>0.35859414261160716</v>
      </c>
      <c r="L287" s="52" t="s">
        <v>111</v>
      </c>
    </row>
    <row r="288" spans="1:12">
      <c r="A288" s="151" t="s">
        <v>114</v>
      </c>
      <c r="B288" s="59">
        <v>2004</v>
      </c>
      <c r="C288" s="336" t="s">
        <v>94</v>
      </c>
      <c r="D288" s="59">
        <v>178</v>
      </c>
      <c r="E288" s="336" t="s">
        <v>126</v>
      </c>
      <c r="F288" s="29">
        <v>1</v>
      </c>
      <c r="G288" s="9">
        <v>1</v>
      </c>
      <c r="H288" s="9">
        <v>1</v>
      </c>
      <c r="I288" s="9">
        <v>2</v>
      </c>
      <c r="J288" s="9">
        <v>2</v>
      </c>
      <c r="K288" s="159">
        <f t="shared" si="4"/>
        <v>0.35859414261160716</v>
      </c>
      <c r="L288" s="52" t="s">
        <v>111</v>
      </c>
    </row>
    <row r="289" spans="1:12">
      <c r="A289" s="151" t="s">
        <v>114</v>
      </c>
      <c r="B289" s="59">
        <v>2004</v>
      </c>
      <c r="C289" s="336" t="s">
        <v>96</v>
      </c>
      <c r="D289" s="59">
        <v>84</v>
      </c>
      <c r="E289" s="336" t="s">
        <v>126</v>
      </c>
      <c r="F289" s="29">
        <v>1</v>
      </c>
      <c r="G289" s="9">
        <v>1</v>
      </c>
      <c r="H289" s="9">
        <v>1</v>
      </c>
      <c r="I289" s="9">
        <v>2</v>
      </c>
      <c r="J289" s="9">
        <v>2</v>
      </c>
      <c r="K289" s="159">
        <f t="shared" si="4"/>
        <v>0.35859414261160716</v>
      </c>
      <c r="L289" s="52" t="s">
        <v>111</v>
      </c>
    </row>
    <row r="290" spans="1:12">
      <c r="A290" s="151" t="s">
        <v>114</v>
      </c>
      <c r="B290" s="59">
        <v>2004</v>
      </c>
      <c r="C290" s="336" t="s">
        <v>97</v>
      </c>
      <c r="D290" s="59">
        <v>353</v>
      </c>
      <c r="E290" s="336" t="s">
        <v>126</v>
      </c>
      <c r="F290" s="29">
        <v>1</v>
      </c>
      <c r="G290" s="9">
        <v>1</v>
      </c>
      <c r="H290" s="9">
        <v>1</v>
      </c>
      <c r="I290" s="9">
        <v>2</v>
      </c>
      <c r="J290" s="9">
        <v>2</v>
      </c>
      <c r="K290" s="159">
        <f t="shared" si="4"/>
        <v>0.35859414261160716</v>
      </c>
      <c r="L290" s="52" t="s">
        <v>111</v>
      </c>
    </row>
    <row r="291" spans="1:12">
      <c r="A291" s="151" t="s">
        <v>114</v>
      </c>
      <c r="B291" s="59">
        <v>2004</v>
      </c>
      <c r="C291" s="336" t="s">
        <v>95</v>
      </c>
      <c r="D291" s="59">
        <v>283</v>
      </c>
      <c r="E291" s="336" t="s">
        <v>126</v>
      </c>
      <c r="F291" s="29">
        <v>1</v>
      </c>
      <c r="G291" s="9">
        <v>1</v>
      </c>
      <c r="H291" s="9">
        <v>1</v>
      </c>
      <c r="I291" s="9">
        <v>2</v>
      </c>
      <c r="J291" s="9">
        <v>2</v>
      </c>
      <c r="K291" s="159">
        <f t="shared" si="4"/>
        <v>0.35859414261160716</v>
      </c>
      <c r="L291" s="52" t="s">
        <v>111</v>
      </c>
    </row>
    <row r="292" spans="1:12">
      <c r="A292" s="151" t="s">
        <v>114</v>
      </c>
      <c r="B292" s="59">
        <v>2004</v>
      </c>
      <c r="C292" s="336" t="s">
        <v>93</v>
      </c>
      <c r="D292" s="59">
        <v>66</v>
      </c>
      <c r="E292" s="336" t="s">
        <v>126</v>
      </c>
      <c r="F292" s="29">
        <v>1</v>
      </c>
      <c r="G292" s="9">
        <v>1</v>
      </c>
      <c r="H292" s="9">
        <v>1</v>
      </c>
      <c r="I292" s="9">
        <v>2</v>
      </c>
      <c r="J292" s="9">
        <v>2</v>
      </c>
      <c r="K292" s="159">
        <f t="shared" si="4"/>
        <v>0.35859414261160716</v>
      </c>
      <c r="L292" s="52" t="s">
        <v>111</v>
      </c>
    </row>
    <row r="293" spans="1:12">
      <c r="A293" s="151" t="s">
        <v>114</v>
      </c>
      <c r="B293" s="59">
        <v>2004</v>
      </c>
      <c r="C293" s="336" t="s">
        <v>98</v>
      </c>
      <c r="D293" s="59">
        <v>2264</v>
      </c>
      <c r="E293" s="336" t="s">
        <v>126</v>
      </c>
      <c r="F293" s="29">
        <v>1</v>
      </c>
      <c r="G293" s="9">
        <v>1</v>
      </c>
      <c r="H293" s="9">
        <v>1</v>
      </c>
      <c r="I293" s="9">
        <v>2</v>
      </c>
      <c r="J293" s="9">
        <v>2</v>
      </c>
      <c r="K293" s="159">
        <f t="shared" si="4"/>
        <v>0.35859414261160716</v>
      </c>
      <c r="L293" s="52" t="s">
        <v>111</v>
      </c>
    </row>
    <row r="294" spans="1:12">
      <c r="A294" s="151" t="s">
        <v>114</v>
      </c>
      <c r="B294" s="59">
        <v>2005</v>
      </c>
      <c r="C294" s="336" t="s">
        <v>85</v>
      </c>
      <c r="D294" s="59">
        <v>3634</v>
      </c>
      <c r="E294" s="336" t="s">
        <v>126</v>
      </c>
      <c r="F294" s="29">
        <v>1</v>
      </c>
      <c r="G294" s="9">
        <v>1</v>
      </c>
      <c r="H294" s="9">
        <v>1</v>
      </c>
      <c r="I294" s="9">
        <v>2</v>
      </c>
      <c r="J294" s="9">
        <v>2</v>
      </c>
      <c r="K294" s="159">
        <f t="shared" si="4"/>
        <v>0.35859414261160716</v>
      </c>
      <c r="L294" s="52" t="s">
        <v>111</v>
      </c>
    </row>
    <row r="295" spans="1:12">
      <c r="A295" s="151" t="s">
        <v>114</v>
      </c>
      <c r="B295" s="59">
        <v>2005</v>
      </c>
      <c r="C295" s="336" t="s">
        <v>86</v>
      </c>
      <c r="D295" s="59">
        <v>1341</v>
      </c>
      <c r="E295" s="336" t="s">
        <v>126</v>
      </c>
      <c r="F295" s="29">
        <v>1</v>
      </c>
      <c r="G295" s="9">
        <v>1</v>
      </c>
      <c r="H295" s="9">
        <v>1</v>
      </c>
      <c r="I295" s="9">
        <v>2</v>
      </c>
      <c r="J295" s="9">
        <v>2</v>
      </c>
      <c r="K295" s="159">
        <f t="shared" si="4"/>
        <v>0.35859414261160716</v>
      </c>
      <c r="L295" s="52" t="s">
        <v>111</v>
      </c>
    </row>
    <row r="296" spans="1:12">
      <c r="A296" s="151" t="s">
        <v>114</v>
      </c>
      <c r="B296" s="59">
        <v>2005</v>
      </c>
      <c r="C296" s="336" t="s">
        <v>87</v>
      </c>
      <c r="D296" s="59">
        <v>1094</v>
      </c>
      <c r="E296" s="336" t="s">
        <v>126</v>
      </c>
      <c r="F296" s="29">
        <v>1</v>
      </c>
      <c r="G296" s="9">
        <v>1</v>
      </c>
      <c r="H296" s="9">
        <v>1</v>
      </c>
      <c r="I296" s="9">
        <v>2</v>
      </c>
      <c r="J296" s="9">
        <v>2</v>
      </c>
      <c r="K296" s="159">
        <f t="shared" si="4"/>
        <v>0.35859414261160716</v>
      </c>
      <c r="L296" s="52" t="s">
        <v>111</v>
      </c>
    </row>
    <row r="297" spans="1:12">
      <c r="A297" s="151" t="s">
        <v>114</v>
      </c>
      <c r="B297" s="59">
        <v>2005</v>
      </c>
      <c r="C297" s="336" t="s">
        <v>88</v>
      </c>
      <c r="D297" s="59">
        <v>126</v>
      </c>
      <c r="E297" s="336" t="s">
        <v>126</v>
      </c>
      <c r="F297" s="29">
        <v>1</v>
      </c>
      <c r="G297" s="9">
        <v>1</v>
      </c>
      <c r="H297" s="9">
        <v>1</v>
      </c>
      <c r="I297" s="9">
        <v>2</v>
      </c>
      <c r="J297" s="9">
        <v>2</v>
      </c>
      <c r="K297" s="159">
        <f t="shared" si="4"/>
        <v>0.35859414261160716</v>
      </c>
      <c r="L297" s="52" t="s">
        <v>111</v>
      </c>
    </row>
    <row r="298" spans="1:12">
      <c r="A298" s="151" t="s">
        <v>114</v>
      </c>
      <c r="B298" s="59">
        <v>2005</v>
      </c>
      <c r="C298" s="336" t="s">
        <v>89</v>
      </c>
      <c r="D298" s="59">
        <v>51</v>
      </c>
      <c r="E298" s="336" t="s">
        <v>126</v>
      </c>
      <c r="F298" s="29">
        <v>1</v>
      </c>
      <c r="G298" s="9">
        <v>1</v>
      </c>
      <c r="H298" s="9">
        <v>1</v>
      </c>
      <c r="I298" s="9">
        <v>2</v>
      </c>
      <c r="J298" s="9">
        <v>2</v>
      </c>
      <c r="K298" s="159">
        <f t="shared" si="4"/>
        <v>0.35859414261160716</v>
      </c>
      <c r="L298" s="52" t="s">
        <v>111</v>
      </c>
    </row>
    <row r="299" spans="1:12">
      <c r="A299" s="151" t="s">
        <v>114</v>
      </c>
      <c r="B299" s="59">
        <v>2005</v>
      </c>
      <c r="C299" s="336" t="s">
        <v>90</v>
      </c>
      <c r="D299" s="59">
        <v>420</v>
      </c>
      <c r="E299" s="336" t="s">
        <v>126</v>
      </c>
      <c r="F299" s="29">
        <v>1</v>
      </c>
      <c r="G299" s="9">
        <v>1</v>
      </c>
      <c r="H299" s="9">
        <v>1</v>
      </c>
      <c r="I299" s="9">
        <v>2</v>
      </c>
      <c r="J299" s="9">
        <v>2</v>
      </c>
      <c r="K299" s="159">
        <f t="shared" si="4"/>
        <v>0.35859414261160716</v>
      </c>
      <c r="L299" s="52" t="s">
        <v>111</v>
      </c>
    </row>
    <row r="300" spans="1:12">
      <c r="A300" s="151" t="s">
        <v>114</v>
      </c>
      <c r="B300" s="59">
        <v>2005</v>
      </c>
      <c r="C300" s="336" t="s">
        <v>91</v>
      </c>
      <c r="D300" s="59">
        <v>895</v>
      </c>
      <c r="E300" s="336" t="s">
        <v>126</v>
      </c>
      <c r="F300" s="29">
        <v>1</v>
      </c>
      <c r="G300" s="9">
        <v>1</v>
      </c>
      <c r="H300" s="9">
        <v>1</v>
      </c>
      <c r="I300" s="9">
        <v>2</v>
      </c>
      <c r="J300" s="9">
        <v>2</v>
      </c>
      <c r="K300" s="159">
        <f t="shared" si="4"/>
        <v>0.35859414261160716</v>
      </c>
      <c r="L300" s="52" t="s">
        <v>111</v>
      </c>
    </row>
    <row r="301" spans="1:12">
      <c r="A301" s="151" t="s">
        <v>114</v>
      </c>
      <c r="B301" s="59">
        <v>2005</v>
      </c>
      <c r="C301" s="336" t="s">
        <v>94</v>
      </c>
      <c r="D301" s="59">
        <v>207</v>
      </c>
      <c r="E301" s="336" t="s">
        <v>126</v>
      </c>
      <c r="F301" s="29">
        <v>1</v>
      </c>
      <c r="G301" s="9">
        <v>1</v>
      </c>
      <c r="H301" s="9">
        <v>1</v>
      </c>
      <c r="I301" s="9">
        <v>2</v>
      </c>
      <c r="J301" s="9">
        <v>2</v>
      </c>
      <c r="K301" s="159">
        <f t="shared" si="4"/>
        <v>0.35859414261160716</v>
      </c>
      <c r="L301" s="52" t="s">
        <v>111</v>
      </c>
    </row>
    <row r="302" spans="1:12">
      <c r="A302" s="151" t="s">
        <v>114</v>
      </c>
      <c r="B302" s="59">
        <v>2005</v>
      </c>
      <c r="C302" s="336" t="s">
        <v>96</v>
      </c>
      <c r="D302" s="59">
        <v>92</v>
      </c>
      <c r="E302" s="336" t="s">
        <v>126</v>
      </c>
      <c r="F302" s="29">
        <v>1</v>
      </c>
      <c r="G302" s="9">
        <v>1</v>
      </c>
      <c r="H302" s="9">
        <v>1</v>
      </c>
      <c r="I302" s="9">
        <v>2</v>
      </c>
      <c r="J302" s="9">
        <v>2</v>
      </c>
      <c r="K302" s="159">
        <f t="shared" si="4"/>
        <v>0.35859414261160716</v>
      </c>
      <c r="L302" s="52" t="s">
        <v>111</v>
      </c>
    </row>
    <row r="303" spans="1:12">
      <c r="A303" s="151" t="s">
        <v>114</v>
      </c>
      <c r="B303" s="59">
        <v>2005</v>
      </c>
      <c r="C303" s="336" t="s">
        <v>97</v>
      </c>
      <c r="D303" s="59">
        <v>358</v>
      </c>
      <c r="E303" s="336" t="s">
        <v>126</v>
      </c>
      <c r="F303" s="29">
        <v>1</v>
      </c>
      <c r="G303" s="9">
        <v>1</v>
      </c>
      <c r="H303" s="9">
        <v>1</v>
      </c>
      <c r="I303" s="9">
        <v>2</v>
      </c>
      <c r="J303" s="9">
        <v>2</v>
      </c>
      <c r="K303" s="159">
        <f t="shared" si="4"/>
        <v>0.35859414261160716</v>
      </c>
      <c r="L303" s="52" t="s">
        <v>111</v>
      </c>
    </row>
    <row r="304" spans="1:12">
      <c r="A304" s="151" t="s">
        <v>114</v>
      </c>
      <c r="B304" s="59">
        <v>2005</v>
      </c>
      <c r="C304" s="336" t="s">
        <v>95</v>
      </c>
      <c r="D304" s="59">
        <v>289</v>
      </c>
      <c r="E304" s="336" t="s">
        <v>126</v>
      </c>
      <c r="F304" s="29">
        <v>1</v>
      </c>
      <c r="G304" s="9">
        <v>1</v>
      </c>
      <c r="H304" s="9">
        <v>1</v>
      </c>
      <c r="I304" s="9">
        <v>2</v>
      </c>
      <c r="J304" s="9">
        <v>2</v>
      </c>
      <c r="K304" s="159">
        <f t="shared" si="4"/>
        <v>0.35859414261160716</v>
      </c>
      <c r="L304" s="52" t="s">
        <v>111</v>
      </c>
    </row>
    <row r="305" spans="1:12">
      <c r="A305" s="151" t="s">
        <v>114</v>
      </c>
      <c r="B305" s="59">
        <v>2005</v>
      </c>
      <c r="C305" s="336" t="s">
        <v>93</v>
      </c>
      <c r="D305" s="59">
        <v>69</v>
      </c>
      <c r="E305" s="336" t="s">
        <v>126</v>
      </c>
      <c r="F305" s="29">
        <v>1</v>
      </c>
      <c r="G305" s="9">
        <v>1</v>
      </c>
      <c r="H305" s="9">
        <v>1</v>
      </c>
      <c r="I305" s="9">
        <v>2</v>
      </c>
      <c r="J305" s="9">
        <v>2</v>
      </c>
      <c r="K305" s="159">
        <f t="shared" si="4"/>
        <v>0.35859414261160716</v>
      </c>
      <c r="L305" s="52" t="s">
        <v>111</v>
      </c>
    </row>
    <row r="306" spans="1:12">
      <c r="A306" s="151" t="s">
        <v>114</v>
      </c>
      <c r="B306" s="59">
        <v>2005</v>
      </c>
      <c r="C306" s="336" t="s">
        <v>98</v>
      </c>
      <c r="D306" s="59">
        <v>2432</v>
      </c>
      <c r="E306" s="336" t="s">
        <v>126</v>
      </c>
      <c r="F306" s="29">
        <v>1</v>
      </c>
      <c r="G306" s="9">
        <v>1</v>
      </c>
      <c r="H306" s="9">
        <v>1</v>
      </c>
      <c r="I306" s="9">
        <v>2</v>
      </c>
      <c r="J306" s="9">
        <v>2</v>
      </c>
      <c r="K306" s="159">
        <f t="shared" si="4"/>
        <v>0.35859414261160716</v>
      </c>
      <c r="L306" s="52" t="s">
        <v>111</v>
      </c>
    </row>
    <row r="307" spans="1:12">
      <c r="A307" s="151" t="s">
        <v>114</v>
      </c>
      <c r="B307" s="59">
        <v>2006</v>
      </c>
      <c r="C307" s="336" t="s">
        <v>85</v>
      </c>
      <c r="D307" s="59">
        <v>4450</v>
      </c>
      <c r="E307" s="336" t="s">
        <v>126</v>
      </c>
      <c r="F307" s="29">
        <v>1</v>
      </c>
      <c r="G307" s="9">
        <v>1</v>
      </c>
      <c r="H307" s="9">
        <v>1</v>
      </c>
      <c r="I307" s="9">
        <v>2</v>
      </c>
      <c r="J307" s="9">
        <v>2</v>
      </c>
      <c r="K307" s="159">
        <f t="shared" si="4"/>
        <v>0.35859414261160716</v>
      </c>
      <c r="L307" s="52" t="s">
        <v>111</v>
      </c>
    </row>
    <row r="308" spans="1:12">
      <c r="A308" s="151" t="s">
        <v>114</v>
      </c>
      <c r="B308" s="59">
        <v>2006</v>
      </c>
      <c r="C308" s="336" t="s">
        <v>86</v>
      </c>
      <c r="D308" s="59">
        <v>1652</v>
      </c>
      <c r="E308" s="336" t="s">
        <v>126</v>
      </c>
      <c r="F308" s="29">
        <v>1</v>
      </c>
      <c r="G308" s="9">
        <v>1</v>
      </c>
      <c r="H308" s="9">
        <v>1</v>
      </c>
      <c r="I308" s="9">
        <v>2</v>
      </c>
      <c r="J308" s="9">
        <v>2</v>
      </c>
      <c r="K308" s="159">
        <f t="shared" si="4"/>
        <v>0.35859414261160716</v>
      </c>
      <c r="L308" s="52" t="s">
        <v>111</v>
      </c>
    </row>
    <row r="309" spans="1:12">
      <c r="A309" s="151" t="s">
        <v>114</v>
      </c>
      <c r="B309" s="59">
        <v>2006</v>
      </c>
      <c r="C309" s="336" t="s">
        <v>87</v>
      </c>
      <c r="D309" s="59">
        <v>1293</v>
      </c>
      <c r="E309" s="336" t="s">
        <v>126</v>
      </c>
      <c r="F309" s="29">
        <v>1</v>
      </c>
      <c r="G309" s="9">
        <v>1</v>
      </c>
      <c r="H309" s="9">
        <v>1</v>
      </c>
      <c r="I309" s="9">
        <v>2</v>
      </c>
      <c r="J309" s="9">
        <v>2</v>
      </c>
      <c r="K309" s="159">
        <f t="shared" si="4"/>
        <v>0.35859414261160716</v>
      </c>
      <c r="L309" s="52" t="s">
        <v>111</v>
      </c>
    </row>
    <row r="310" spans="1:12">
      <c r="A310" s="151" t="s">
        <v>114</v>
      </c>
      <c r="B310" s="59">
        <v>2006</v>
      </c>
      <c r="C310" s="336" t="s">
        <v>88</v>
      </c>
      <c r="D310" s="59">
        <v>158</v>
      </c>
      <c r="E310" s="336" t="s">
        <v>126</v>
      </c>
      <c r="F310" s="29">
        <v>1</v>
      </c>
      <c r="G310" s="9">
        <v>1</v>
      </c>
      <c r="H310" s="9">
        <v>1</v>
      </c>
      <c r="I310" s="9">
        <v>2</v>
      </c>
      <c r="J310" s="9">
        <v>2</v>
      </c>
      <c r="K310" s="159">
        <f t="shared" si="4"/>
        <v>0.35859414261160716</v>
      </c>
      <c r="L310" s="52" t="s">
        <v>111</v>
      </c>
    </row>
    <row r="311" spans="1:12">
      <c r="A311" s="151" t="s">
        <v>114</v>
      </c>
      <c r="B311" s="59">
        <v>2006</v>
      </c>
      <c r="C311" s="336" t="s">
        <v>89</v>
      </c>
      <c r="D311" s="59">
        <v>41</v>
      </c>
      <c r="E311" s="336" t="s">
        <v>126</v>
      </c>
      <c r="F311" s="29">
        <v>1</v>
      </c>
      <c r="G311" s="9">
        <v>1</v>
      </c>
      <c r="H311" s="9">
        <v>1</v>
      </c>
      <c r="I311" s="9">
        <v>2</v>
      </c>
      <c r="J311" s="9">
        <v>2</v>
      </c>
      <c r="K311" s="159">
        <f t="shared" si="4"/>
        <v>0.35859414261160716</v>
      </c>
      <c r="L311" s="52" t="s">
        <v>111</v>
      </c>
    </row>
    <row r="312" spans="1:12">
      <c r="A312" s="151" t="s">
        <v>114</v>
      </c>
      <c r="B312" s="59">
        <v>2006</v>
      </c>
      <c r="C312" s="336" t="s">
        <v>90</v>
      </c>
      <c r="D312" s="59">
        <v>551</v>
      </c>
      <c r="E312" s="336" t="s">
        <v>126</v>
      </c>
      <c r="F312" s="29">
        <v>1</v>
      </c>
      <c r="G312" s="9">
        <v>1</v>
      </c>
      <c r="H312" s="9">
        <v>1</v>
      </c>
      <c r="I312" s="9">
        <v>2</v>
      </c>
      <c r="J312" s="9">
        <v>2</v>
      </c>
      <c r="K312" s="159">
        <f t="shared" si="4"/>
        <v>0.35859414261160716</v>
      </c>
      <c r="L312" s="52" t="s">
        <v>111</v>
      </c>
    </row>
    <row r="313" spans="1:12">
      <c r="A313" s="151" t="s">
        <v>114</v>
      </c>
      <c r="B313" s="59">
        <v>2006</v>
      </c>
      <c r="C313" s="336" t="s">
        <v>91</v>
      </c>
      <c r="D313" s="59">
        <v>988</v>
      </c>
      <c r="E313" s="336" t="s">
        <v>126</v>
      </c>
      <c r="F313" s="29">
        <v>1</v>
      </c>
      <c r="G313" s="9">
        <v>1</v>
      </c>
      <c r="H313" s="9">
        <v>1</v>
      </c>
      <c r="I313" s="9">
        <v>2</v>
      </c>
      <c r="J313" s="9">
        <v>2</v>
      </c>
      <c r="K313" s="159">
        <f t="shared" ref="K313:K376" si="5">IF( OR( ISBLANK(F313),ISBLANK(G313), ISBLANK(H313), ISBLANK(I313), ISBLANK(J313) ), "", 1.5*SQRT(   EXP(2.21*(F313-1)) + EXP(2.21*(G313-1)) + EXP(2.21*(H313-1)) + EXP(2.21*(I313-1)) + EXP(2.21*J313)   )/100*2.45 )</f>
        <v>0.35859414261160716</v>
      </c>
      <c r="L313" s="52" t="s">
        <v>111</v>
      </c>
    </row>
    <row r="314" spans="1:12">
      <c r="A314" s="151" t="s">
        <v>114</v>
      </c>
      <c r="B314" s="59">
        <v>2006</v>
      </c>
      <c r="C314" s="336" t="s">
        <v>94</v>
      </c>
      <c r="D314" s="59">
        <v>243</v>
      </c>
      <c r="E314" s="336" t="s">
        <v>126</v>
      </c>
      <c r="F314" s="29">
        <v>1</v>
      </c>
      <c r="G314" s="9">
        <v>1</v>
      </c>
      <c r="H314" s="9">
        <v>1</v>
      </c>
      <c r="I314" s="9">
        <v>2</v>
      </c>
      <c r="J314" s="9">
        <v>2</v>
      </c>
      <c r="K314" s="159">
        <f t="shared" si="5"/>
        <v>0.35859414261160716</v>
      </c>
      <c r="L314" s="52" t="s">
        <v>111</v>
      </c>
    </row>
    <row r="315" spans="1:12">
      <c r="A315" s="151" t="s">
        <v>114</v>
      </c>
      <c r="B315" s="59">
        <v>2006</v>
      </c>
      <c r="C315" s="336" t="s">
        <v>96</v>
      </c>
      <c r="D315" s="59">
        <v>92</v>
      </c>
      <c r="E315" s="336" t="s">
        <v>126</v>
      </c>
      <c r="F315" s="29">
        <v>1</v>
      </c>
      <c r="G315" s="9">
        <v>1</v>
      </c>
      <c r="H315" s="9">
        <v>1</v>
      </c>
      <c r="I315" s="9">
        <v>2</v>
      </c>
      <c r="J315" s="9">
        <v>2</v>
      </c>
      <c r="K315" s="159">
        <f t="shared" si="5"/>
        <v>0.35859414261160716</v>
      </c>
      <c r="L315" s="52" t="s">
        <v>111</v>
      </c>
    </row>
    <row r="316" spans="1:12">
      <c r="A316" s="151" t="s">
        <v>114</v>
      </c>
      <c r="B316" s="59">
        <v>2006</v>
      </c>
      <c r="C316" s="336" t="s">
        <v>97</v>
      </c>
      <c r="D316" s="59">
        <v>414</v>
      </c>
      <c r="E316" s="336" t="s">
        <v>126</v>
      </c>
      <c r="F316" s="29">
        <v>1</v>
      </c>
      <c r="G316" s="9">
        <v>1</v>
      </c>
      <c r="H316" s="9">
        <v>1</v>
      </c>
      <c r="I316" s="9">
        <v>2</v>
      </c>
      <c r="J316" s="9">
        <v>2</v>
      </c>
      <c r="K316" s="159">
        <f t="shared" si="5"/>
        <v>0.35859414261160716</v>
      </c>
      <c r="L316" s="52" t="s">
        <v>111</v>
      </c>
    </row>
    <row r="317" spans="1:12">
      <c r="A317" s="151" t="s">
        <v>114</v>
      </c>
      <c r="B317" s="59">
        <v>2006</v>
      </c>
      <c r="C317" s="336" t="s">
        <v>95</v>
      </c>
      <c r="D317" s="59">
        <v>307</v>
      </c>
      <c r="E317" s="336" t="s">
        <v>126</v>
      </c>
      <c r="F317" s="29">
        <v>1</v>
      </c>
      <c r="G317" s="9">
        <v>1</v>
      </c>
      <c r="H317" s="9">
        <v>1</v>
      </c>
      <c r="I317" s="9">
        <v>2</v>
      </c>
      <c r="J317" s="9">
        <v>2</v>
      </c>
      <c r="K317" s="159">
        <f t="shared" si="5"/>
        <v>0.35859414261160716</v>
      </c>
      <c r="L317" s="52" t="s">
        <v>111</v>
      </c>
    </row>
    <row r="318" spans="1:12">
      <c r="A318" s="151" t="s">
        <v>114</v>
      </c>
      <c r="B318" s="59">
        <v>2006</v>
      </c>
      <c r="C318" s="336" t="s">
        <v>93</v>
      </c>
      <c r="D318" s="59">
        <v>65</v>
      </c>
      <c r="E318" s="336" t="s">
        <v>126</v>
      </c>
      <c r="F318" s="29">
        <v>1</v>
      </c>
      <c r="G318" s="9">
        <v>1</v>
      </c>
      <c r="H318" s="9">
        <v>1</v>
      </c>
      <c r="I318" s="9">
        <v>2</v>
      </c>
      <c r="J318" s="9">
        <v>2</v>
      </c>
      <c r="K318" s="159">
        <f t="shared" si="5"/>
        <v>0.35859414261160716</v>
      </c>
      <c r="L318" s="52" t="s">
        <v>111</v>
      </c>
    </row>
    <row r="319" spans="1:12">
      <c r="A319" s="151" t="s">
        <v>114</v>
      </c>
      <c r="B319" s="59">
        <v>2006</v>
      </c>
      <c r="C319" s="336" t="s">
        <v>98</v>
      </c>
      <c r="D319" s="59">
        <v>2561</v>
      </c>
      <c r="E319" s="336" t="s">
        <v>126</v>
      </c>
      <c r="F319" s="29">
        <v>1</v>
      </c>
      <c r="G319" s="9">
        <v>1</v>
      </c>
      <c r="H319" s="9">
        <v>1</v>
      </c>
      <c r="I319" s="9">
        <v>2</v>
      </c>
      <c r="J319" s="9">
        <v>2</v>
      </c>
      <c r="K319" s="159">
        <f t="shared" si="5"/>
        <v>0.35859414261160716</v>
      </c>
      <c r="L319" s="52" t="s">
        <v>111</v>
      </c>
    </row>
    <row r="320" spans="1:12">
      <c r="A320" s="151" t="s">
        <v>114</v>
      </c>
      <c r="B320" s="59">
        <v>2007</v>
      </c>
      <c r="C320" s="336" t="s">
        <v>85</v>
      </c>
      <c r="D320" s="59">
        <v>4175</v>
      </c>
      <c r="E320" s="336" t="s">
        <v>126</v>
      </c>
      <c r="F320" s="29">
        <v>1</v>
      </c>
      <c r="G320" s="9">
        <v>1</v>
      </c>
      <c r="H320" s="9">
        <v>1</v>
      </c>
      <c r="I320" s="9">
        <v>2</v>
      </c>
      <c r="J320" s="9">
        <v>2</v>
      </c>
      <c r="K320" s="159">
        <f t="shared" si="5"/>
        <v>0.35859414261160716</v>
      </c>
      <c r="L320" s="52" t="s">
        <v>111</v>
      </c>
    </row>
    <row r="321" spans="1:12">
      <c r="A321" s="151" t="s">
        <v>114</v>
      </c>
      <c r="B321" s="59">
        <v>2007</v>
      </c>
      <c r="C321" s="336" t="s">
        <v>86</v>
      </c>
      <c r="D321" s="59">
        <v>1552</v>
      </c>
      <c r="E321" s="336" t="s">
        <v>126</v>
      </c>
      <c r="F321" s="29">
        <v>1</v>
      </c>
      <c r="G321" s="9">
        <v>1</v>
      </c>
      <c r="H321" s="9">
        <v>1</v>
      </c>
      <c r="I321" s="9">
        <v>2</v>
      </c>
      <c r="J321" s="9">
        <v>2</v>
      </c>
      <c r="K321" s="159">
        <f t="shared" si="5"/>
        <v>0.35859414261160716</v>
      </c>
      <c r="L321" s="52" t="s">
        <v>111</v>
      </c>
    </row>
    <row r="322" spans="1:12">
      <c r="A322" s="151" t="s">
        <v>114</v>
      </c>
      <c r="B322" s="59">
        <v>2007</v>
      </c>
      <c r="C322" s="336" t="s">
        <v>87</v>
      </c>
      <c r="D322" s="59">
        <v>1332</v>
      </c>
      <c r="E322" s="336" t="s">
        <v>126</v>
      </c>
      <c r="F322" s="29">
        <v>1</v>
      </c>
      <c r="G322" s="9">
        <v>1</v>
      </c>
      <c r="H322" s="9">
        <v>1</v>
      </c>
      <c r="I322" s="9">
        <v>2</v>
      </c>
      <c r="J322" s="9">
        <v>2</v>
      </c>
      <c r="K322" s="159">
        <f t="shared" si="5"/>
        <v>0.35859414261160716</v>
      </c>
      <c r="L322" s="52" t="s">
        <v>111</v>
      </c>
    </row>
    <row r="323" spans="1:12">
      <c r="A323" s="151" t="s">
        <v>114</v>
      </c>
      <c r="B323" s="59">
        <v>2007</v>
      </c>
      <c r="C323" s="336" t="s">
        <v>88</v>
      </c>
      <c r="D323" s="59">
        <v>125</v>
      </c>
      <c r="E323" s="336" t="s">
        <v>126</v>
      </c>
      <c r="F323" s="29">
        <v>1</v>
      </c>
      <c r="G323" s="9">
        <v>1</v>
      </c>
      <c r="H323" s="9">
        <v>1</v>
      </c>
      <c r="I323" s="9">
        <v>2</v>
      </c>
      <c r="J323" s="9">
        <v>2</v>
      </c>
      <c r="K323" s="159">
        <f t="shared" si="5"/>
        <v>0.35859414261160716</v>
      </c>
      <c r="L323" s="52" t="s">
        <v>111</v>
      </c>
    </row>
    <row r="324" spans="1:12">
      <c r="A324" s="151" t="s">
        <v>114</v>
      </c>
      <c r="B324" s="59">
        <v>2007</v>
      </c>
      <c r="C324" s="336" t="s">
        <v>89</v>
      </c>
      <c r="D324" s="59">
        <v>45</v>
      </c>
      <c r="E324" s="336" t="s">
        <v>126</v>
      </c>
      <c r="F324" s="29">
        <v>1</v>
      </c>
      <c r="G324" s="9">
        <v>1</v>
      </c>
      <c r="H324" s="9">
        <v>1</v>
      </c>
      <c r="I324" s="9">
        <v>2</v>
      </c>
      <c r="J324" s="9">
        <v>2</v>
      </c>
      <c r="K324" s="159">
        <f t="shared" si="5"/>
        <v>0.35859414261160716</v>
      </c>
      <c r="L324" s="52" t="s">
        <v>111</v>
      </c>
    </row>
    <row r="325" spans="1:12">
      <c r="A325" s="151" t="s">
        <v>114</v>
      </c>
      <c r="B325" s="59">
        <v>2007</v>
      </c>
      <c r="C325" s="336" t="s">
        <v>90</v>
      </c>
      <c r="D325" s="59">
        <v>553</v>
      </c>
      <c r="E325" s="336" t="s">
        <v>126</v>
      </c>
      <c r="F325" s="29">
        <v>1</v>
      </c>
      <c r="G325" s="9">
        <v>1</v>
      </c>
      <c r="H325" s="9">
        <v>1</v>
      </c>
      <c r="I325" s="9">
        <v>2</v>
      </c>
      <c r="J325" s="9">
        <v>2</v>
      </c>
      <c r="K325" s="159">
        <f t="shared" si="5"/>
        <v>0.35859414261160716</v>
      </c>
      <c r="L325" s="52" t="s">
        <v>111</v>
      </c>
    </row>
    <row r="326" spans="1:12">
      <c r="A326" s="151" t="s">
        <v>114</v>
      </c>
      <c r="B326" s="59">
        <v>2007</v>
      </c>
      <c r="C326" s="336" t="s">
        <v>91</v>
      </c>
      <c r="D326" s="59">
        <v>1108</v>
      </c>
      <c r="E326" s="336" t="s">
        <v>126</v>
      </c>
      <c r="F326" s="29">
        <v>1</v>
      </c>
      <c r="G326" s="9">
        <v>1</v>
      </c>
      <c r="H326" s="9">
        <v>1</v>
      </c>
      <c r="I326" s="9">
        <v>2</v>
      </c>
      <c r="J326" s="9">
        <v>2</v>
      </c>
      <c r="K326" s="159">
        <f t="shared" si="5"/>
        <v>0.35859414261160716</v>
      </c>
      <c r="L326" s="52" t="s">
        <v>111</v>
      </c>
    </row>
    <row r="327" spans="1:12">
      <c r="A327" s="151" t="s">
        <v>114</v>
      </c>
      <c r="B327" s="59">
        <v>2007</v>
      </c>
      <c r="C327" s="336" t="s">
        <v>94</v>
      </c>
      <c r="D327" s="59">
        <v>245</v>
      </c>
      <c r="E327" s="336" t="s">
        <v>126</v>
      </c>
      <c r="F327" s="29">
        <v>1</v>
      </c>
      <c r="G327" s="9">
        <v>1</v>
      </c>
      <c r="H327" s="9">
        <v>1</v>
      </c>
      <c r="I327" s="9">
        <v>2</v>
      </c>
      <c r="J327" s="9">
        <v>2</v>
      </c>
      <c r="K327" s="159">
        <f t="shared" si="5"/>
        <v>0.35859414261160716</v>
      </c>
      <c r="L327" s="52" t="s">
        <v>111</v>
      </c>
    </row>
    <row r="328" spans="1:12">
      <c r="A328" s="151" t="s">
        <v>114</v>
      </c>
      <c r="B328" s="59">
        <v>2007</v>
      </c>
      <c r="C328" s="336" t="s">
        <v>96</v>
      </c>
      <c r="D328" s="59">
        <v>83</v>
      </c>
      <c r="E328" s="336" t="s">
        <v>126</v>
      </c>
      <c r="F328" s="29">
        <v>1</v>
      </c>
      <c r="G328" s="9">
        <v>1</v>
      </c>
      <c r="H328" s="9">
        <v>1</v>
      </c>
      <c r="I328" s="9">
        <v>2</v>
      </c>
      <c r="J328" s="9">
        <v>2</v>
      </c>
      <c r="K328" s="159">
        <f t="shared" si="5"/>
        <v>0.35859414261160716</v>
      </c>
      <c r="L328" s="52" t="s">
        <v>111</v>
      </c>
    </row>
    <row r="329" spans="1:12">
      <c r="A329" s="151" t="s">
        <v>114</v>
      </c>
      <c r="B329" s="59">
        <v>2007</v>
      </c>
      <c r="C329" s="336" t="s">
        <v>97</v>
      </c>
      <c r="D329" s="59">
        <v>451</v>
      </c>
      <c r="E329" s="336" t="s">
        <v>126</v>
      </c>
      <c r="F329" s="29">
        <v>1</v>
      </c>
      <c r="G329" s="9">
        <v>1</v>
      </c>
      <c r="H329" s="9">
        <v>1</v>
      </c>
      <c r="I329" s="9">
        <v>2</v>
      </c>
      <c r="J329" s="9">
        <v>2</v>
      </c>
      <c r="K329" s="159">
        <f t="shared" si="5"/>
        <v>0.35859414261160716</v>
      </c>
      <c r="L329" s="52" t="s">
        <v>111</v>
      </c>
    </row>
    <row r="330" spans="1:12">
      <c r="A330" s="151" t="s">
        <v>114</v>
      </c>
      <c r="B330" s="59">
        <v>2007</v>
      </c>
      <c r="C330" s="336" t="s">
        <v>95</v>
      </c>
      <c r="D330" s="59">
        <v>342</v>
      </c>
      <c r="E330" s="336" t="s">
        <v>126</v>
      </c>
      <c r="F330" s="29">
        <v>1</v>
      </c>
      <c r="G330" s="9">
        <v>1</v>
      </c>
      <c r="H330" s="9">
        <v>1</v>
      </c>
      <c r="I330" s="9">
        <v>2</v>
      </c>
      <c r="J330" s="9">
        <v>2</v>
      </c>
      <c r="K330" s="159">
        <f t="shared" si="5"/>
        <v>0.35859414261160716</v>
      </c>
      <c r="L330" s="52" t="s">
        <v>111</v>
      </c>
    </row>
    <row r="331" spans="1:12">
      <c r="A331" s="151" t="s">
        <v>114</v>
      </c>
      <c r="B331" s="59">
        <v>2007</v>
      </c>
      <c r="C331" s="336" t="s">
        <v>93</v>
      </c>
      <c r="D331" s="59">
        <v>76</v>
      </c>
      <c r="E331" s="336" t="s">
        <v>126</v>
      </c>
      <c r="F331" s="29">
        <v>1</v>
      </c>
      <c r="G331" s="9">
        <v>1</v>
      </c>
      <c r="H331" s="9">
        <v>1</v>
      </c>
      <c r="I331" s="9">
        <v>2</v>
      </c>
      <c r="J331" s="9">
        <v>2</v>
      </c>
      <c r="K331" s="159">
        <f t="shared" si="5"/>
        <v>0.35859414261160716</v>
      </c>
      <c r="L331" s="52" t="s">
        <v>111</v>
      </c>
    </row>
    <row r="332" spans="1:12">
      <c r="A332" s="151" t="s">
        <v>114</v>
      </c>
      <c r="B332" s="59">
        <v>2007</v>
      </c>
      <c r="C332" s="336" t="s">
        <v>98</v>
      </c>
      <c r="D332" s="59">
        <v>2912</v>
      </c>
      <c r="E332" s="336" t="s">
        <v>126</v>
      </c>
      <c r="F332" s="29">
        <v>1</v>
      </c>
      <c r="G332" s="9">
        <v>1</v>
      </c>
      <c r="H332" s="9">
        <v>1</v>
      </c>
      <c r="I332" s="9">
        <v>2</v>
      </c>
      <c r="J332" s="9">
        <v>2</v>
      </c>
      <c r="K332" s="159">
        <f t="shared" si="5"/>
        <v>0.35859414261160716</v>
      </c>
      <c r="L332" s="52" t="s">
        <v>111</v>
      </c>
    </row>
    <row r="333" spans="1:12">
      <c r="A333" s="151" t="s">
        <v>114</v>
      </c>
      <c r="B333" s="59">
        <v>2008</v>
      </c>
      <c r="C333" s="336" t="s">
        <v>85</v>
      </c>
      <c r="D333" s="59">
        <v>3692</v>
      </c>
      <c r="E333" s="336" t="s">
        <v>126</v>
      </c>
      <c r="F333" s="29">
        <v>1</v>
      </c>
      <c r="G333" s="9">
        <v>1</v>
      </c>
      <c r="H333" s="9">
        <v>1</v>
      </c>
      <c r="I333" s="9">
        <v>2</v>
      </c>
      <c r="J333" s="9">
        <v>2</v>
      </c>
      <c r="K333" s="159">
        <f t="shared" si="5"/>
        <v>0.35859414261160716</v>
      </c>
      <c r="L333" s="52" t="s">
        <v>111</v>
      </c>
    </row>
    <row r="334" spans="1:12">
      <c r="A334" s="151" t="s">
        <v>114</v>
      </c>
      <c r="B334" s="59">
        <v>2008</v>
      </c>
      <c r="C334" s="336" t="s">
        <v>86</v>
      </c>
      <c r="D334" s="59">
        <v>1598</v>
      </c>
      <c r="E334" s="336" t="s">
        <v>126</v>
      </c>
      <c r="F334" s="29">
        <v>1</v>
      </c>
      <c r="G334" s="9">
        <v>1</v>
      </c>
      <c r="H334" s="9">
        <v>1</v>
      </c>
      <c r="I334" s="9">
        <v>2</v>
      </c>
      <c r="J334" s="9">
        <v>2</v>
      </c>
      <c r="K334" s="159">
        <f t="shared" si="5"/>
        <v>0.35859414261160716</v>
      </c>
      <c r="L334" s="52" t="s">
        <v>111</v>
      </c>
    </row>
    <row r="335" spans="1:12">
      <c r="A335" s="151" t="s">
        <v>114</v>
      </c>
      <c r="B335" s="59">
        <v>2008</v>
      </c>
      <c r="C335" s="336" t="s">
        <v>87</v>
      </c>
      <c r="D335" s="59">
        <v>1292</v>
      </c>
      <c r="E335" s="336" t="s">
        <v>126</v>
      </c>
      <c r="F335" s="29">
        <v>1</v>
      </c>
      <c r="G335" s="9">
        <v>1</v>
      </c>
      <c r="H335" s="9">
        <v>1</v>
      </c>
      <c r="I335" s="9">
        <v>2</v>
      </c>
      <c r="J335" s="9">
        <v>2</v>
      </c>
      <c r="K335" s="159">
        <f t="shared" si="5"/>
        <v>0.35859414261160716</v>
      </c>
      <c r="L335" s="52" t="s">
        <v>111</v>
      </c>
    </row>
    <row r="336" spans="1:12">
      <c r="A336" s="151" t="s">
        <v>114</v>
      </c>
      <c r="B336" s="59">
        <v>2008</v>
      </c>
      <c r="C336" s="336" t="s">
        <v>88</v>
      </c>
      <c r="D336" s="59">
        <v>114</v>
      </c>
      <c r="E336" s="336" t="s">
        <v>126</v>
      </c>
      <c r="F336" s="29">
        <v>1</v>
      </c>
      <c r="G336" s="9">
        <v>1</v>
      </c>
      <c r="H336" s="9">
        <v>1</v>
      </c>
      <c r="I336" s="9">
        <v>2</v>
      </c>
      <c r="J336" s="9">
        <v>2</v>
      </c>
      <c r="K336" s="159">
        <f t="shared" si="5"/>
        <v>0.35859414261160716</v>
      </c>
      <c r="L336" s="52" t="s">
        <v>111</v>
      </c>
    </row>
    <row r="337" spans="1:12">
      <c r="A337" s="151" t="s">
        <v>114</v>
      </c>
      <c r="B337" s="59">
        <v>2008</v>
      </c>
      <c r="C337" s="336" t="s">
        <v>89</v>
      </c>
      <c r="D337" s="59">
        <v>84</v>
      </c>
      <c r="E337" s="336" t="s">
        <v>126</v>
      </c>
      <c r="F337" s="29">
        <v>1</v>
      </c>
      <c r="G337" s="9">
        <v>1</v>
      </c>
      <c r="H337" s="9">
        <v>1</v>
      </c>
      <c r="I337" s="9">
        <v>2</v>
      </c>
      <c r="J337" s="9">
        <v>2</v>
      </c>
      <c r="K337" s="159">
        <f t="shared" si="5"/>
        <v>0.35859414261160716</v>
      </c>
      <c r="L337" s="52" t="s">
        <v>111</v>
      </c>
    </row>
    <row r="338" spans="1:12">
      <c r="A338" s="151" t="s">
        <v>114</v>
      </c>
      <c r="B338" s="59">
        <v>2008</v>
      </c>
      <c r="C338" s="336" t="s">
        <v>90</v>
      </c>
      <c r="D338" s="59">
        <v>669</v>
      </c>
      <c r="E338" s="336" t="s">
        <v>126</v>
      </c>
      <c r="F338" s="29">
        <v>1</v>
      </c>
      <c r="G338" s="9">
        <v>1</v>
      </c>
      <c r="H338" s="9">
        <v>1</v>
      </c>
      <c r="I338" s="9">
        <v>2</v>
      </c>
      <c r="J338" s="9">
        <v>2</v>
      </c>
      <c r="K338" s="159">
        <f t="shared" si="5"/>
        <v>0.35859414261160716</v>
      </c>
      <c r="L338" s="52" t="s">
        <v>111</v>
      </c>
    </row>
    <row r="339" spans="1:12">
      <c r="A339" s="151" t="s">
        <v>114</v>
      </c>
      <c r="B339" s="59">
        <v>2008</v>
      </c>
      <c r="C339" s="336" t="s">
        <v>91</v>
      </c>
      <c r="D339" s="59">
        <v>1161</v>
      </c>
      <c r="E339" s="336" t="s">
        <v>126</v>
      </c>
      <c r="F339" s="29">
        <v>1</v>
      </c>
      <c r="G339" s="9">
        <v>1</v>
      </c>
      <c r="H339" s="9">
        <v>1</v>
      </c>
      <c r="I339" s="9">
        <v>2</v>
      </c>
      <c r="J339" s="9">
        <v>2</v>
      </c>
      <c r="K339" s="159">
        <f t="shared" si="5"/>
        <v>0.35859414261160716</v>
      </c>
      <c r="L339" s="52" t="s">
        <v>111</v>
      </c>
    </row>
    <row r="340" spans="1:12">
      <c r="A340" s="151" t="s">
        <v>114</v>
      </c>
      <c r="B340" s="59">
        <v>2008</v>
      </c>
      <c r="C340" s="336" t="s">
        <v>94</v>
      </c>
      <c r="D340" s="59">
        <v>257</v>
      </c>
      <c r="E340" s="336" t="s">
        <v>126</v>
      </c>
      <c r="F340" s="29">
        <v>1</v>
      </c>
      <c r="G340" s="9">
        <v>1</v>
      </c>
      <c r="H340" s="9">
        <v>1</v>
      </c>
      <c r="I340" s="9">
        <v>2</v>
      </c>
      <c r="J340" s="9">
        <v>2</v>
      </c>
      <c r="K340" s="159">
        <f t="shared" si="5"/>
        <v>0.35859414261160716</v>
      </c>
      <c r="L340" s="52" t="s">
        <v>111</v>
      </c>
    </row>
    <row r="341" spans="1:12">
      <c r="A341" s="151" t="s">
        <v>114</v>
      </c>
      <c r="B341" s="59">
        <v>2008</v>
      </c>
      <c r="C341" s="336" t="s">
        <v>96</v>
      </c>
      <c r="D341" s="59">
        <v>86</v>
      </c>
      <c r="E341" s="336" t="s">
        <v>126</v>
      </c>
      <c r="F341" s="29">
        <v>1</v>
      </c>
      <c r="G341" s="9">
        <v>1</v>
      </c>
      <c r="H341" s="9">
        <v>1</v>
      </c>
      <c r="I341" s="9">
        <v>2</v>
      </c>
      <c r="J341" s="9">
        <v>2</v>
      </c>
      <c r="K341" s="159">
        <f t="shared" si="5"/>
        <v>0.35859414261160716</v>
      </c>
      <c r="L341" s="52" t="s">
        <v>111</v>
      </c>
    </row>
    <row r="342" spans="1:12">
      <c r="A342" s="151" t="s">
        <v>114</v>
      </c>
      <c r="B342" s="59">
        <v>2008</v>
      </c>
      <c r="C342" s="336" t="s">
        <v>97</v>
      </c>
      <c r="D342" s="59">
        <v>444</v>
      </c>
      <c r="E342" s="336" t="s">
        <v>126</v>
      </c>
      <c r="F342" s="29">
        <v>1</v>
      </c>
      <c r="G342" s="9">
        <v>1</v>
      </c>
      <c r="H342" s="9">
        <v>1</v>
      </c>
      <c r="I342" s="9">
        <v>2</v>
      </c>
      <c r="J342" s="9">
        <v>2</v>
      </c>
      <c r="K342" s="159">
        <f t="shared" si="5"/>
        <v>0.35859414261160716</v>
      </c>
      <c r="L342" s="52" t="s">
        <v>111</v>
      </c>
    </row>
    <row r="343" spans="1:12">
      <c r="A343" s="151" t="s">
        <v>114</v>
      </c>
      <c r="B343" s="59">
        <v>2008</v>
      </c>
      <c r="C343" s="336" t="s">
        <v>95</v>
      </c>
      <c r="D343" s="59">
        <v>361</v>
      </c>
      <c r="E343" s="336" t="s">
        <v>126</v>
      </c>
      <c r="F343" s="29">
        <v>1</v>
      </c>
      <c r="G343" s="9">
        <v>1</v>
      </c>
      <c r="H343" s="9">
        <v>1</v>
      </c>
      <c r="I343" s="9">
        <v>2</v>
      </c>
      <c r="J343" s="9">
        <v>2</v>
      </c>
      <c r="K343" s="159">
        <f t="shared" si="5"/>
        <v>0.35859414261160716</v>
      </c>
      <c r="L343" s="52" t="s">
        <v>111</v>
      </c>
    </row>
    <row r="344" spans="1:12">
      <c r="A344" s="151" t="s">
        <v>114</v>
      </c>
      <c r="B344" s="59">
        <v>2008</v>
      </c>
      <c r="C344" s="336" t="s">
        <v>93</v>
      </c>
      <c r="D344" s="59">
        <v>80</v>
      </c>
      <c r="E344" s="336" t="s">
        <v>126</v>
      </c>
      <c r="F344" s="29">
        <v>1</v>
      </c>
      <c r="G344" s="9">
        <v>1</v>
      </c>
      <c r="H344" s="9">
        <v>1</v>
      </c>
      <c r="I344" s="9">
        <v>2</v>
      </c>
      <c r="J344" s="9">
        <v>2</v>
      </c>
      <c r="K344" s="159">
        <f t="shared" si="5"/>
        <v>0.35859414261160716</v>
      </c>
      <c r="L344" s="52" t="s">
        <v>111</v>
      </c>
    </row>
    <row r="345" spans="1:12">
      <c r="A345" s="151" t="s">
        <v>114</v>
      </c>
      <c r="B345" s="59">
        <v>2008</v>
      </c>
      <c r="C345" s="336" t="s">
        <v>98</v>
      </c>
      <c r="D345" s="59">
        <v>3399</v>
      </c>
      <c r="E345" s="336" t="s">
        <v>126</v>
      </c>
      <c r="F345" s="29">
        <v>1</v>
      </c>
      <c r="G345" s="9">
        <v>1</v>
      </c>
      <c r="H345" s="9">
        <v>1</v>
      </c>
      <c r="I345" s="9">
        <v>2</v>
      </c>
      <c r="J345" s="9">
        <v>2</v>
      </c>
      <c r="K345" s="159">
        <f t="shared" si="5"/>
        <v>0.35859414261160716</v>
      </c>
      <c r="L345" s="52" t="s">
        <v>111</v>
      </c>
    </row>
    <row r="346" spans="1:12">
      <c r="A346" s="151" t="s">
        <v>114</v>
      </c>
      <c r="B346" s="59">
        <v>2009</v>
      </c>
      <c r="C346" s="336" t="s">
        <v>85</v>
      </c>
      <c r="D346" s="59">
        <v>3276</v>
      </c>
      <c r="E346" s="336" t="s">
        <v>126</v>
      </c>
      <c r="F346" s="29">
        <v>1</v>
      </c>
      <c r="G346" s="9">
        <v>1</v>
      </c>
      <c r="H346" s="9">
        <v>1</v>
      </c>
      <c r="I346" s="9">
        <v>2</v>
      </c>
      <c r="J346" s="9">
        <v>2</v>
      </c>
      <c r="K346" s="159">
        <f t="shared" si="5"/>
        <v>0.35859414261160716</v>
      </c>
      <c r="L346" s="52" t="s">
        <v>111</v>
      </c>
    </row>
    <row r="347" spans="1:12">
      <c r="A347" s="151" t="s">
        <v>114</v>
      </c>
      <c r="B347" s="59">
        <v>2009</v>
      </c>
      <c r="C347" s="336" t="s">
        <v>86</v>
      </c>
      <c r="D347" s="59">
        <v>1953</v>
      </c>
      <c r="E347" s="336" t="s">
        <v>126</v>
      </c>
      <c r="F347" s="29">
        <v>1</v>
      </c>
      <c r="G347" s="9">
        <v>1</v>
      </c>
      <c r="H347" s="9">
        <v>1</v>
      </c>
      <c r="I347" s="9">
        <v>2</v>
      </c>
      <c r="J347" s="9">
        <v>2</v>
      </c>
      <c r="K347" s="159">
        <f t="shared" si="5"/>
        <v>0.35859414261160716</v>
      </c>
      <c r="L347" s="52" t="s">
        <v>111</v>
      </c>
    </row>
    <row r="348" spans="1:12">
      <c r="A348" s="151" t="s">
        <v>114</v>
      </c>
      <c r="B348" s="59">
        <v>2009</v>
      </c>
      <c r="C348" s="336" t="s">
        <v>87</v>
      </c>
      <c r="D348" s="59">
        <v>1367</v>
      </c>
      <c r="E348" s="336" t="s">
        <v>126</v>
      </c>
      <c r="F348" s="29">
        <v>1</v>
      </c>
      <c r="G348" s="9">
        <v>1</v>
      </c>
      <c r="H348" s="9">
        <v>1</v>
      </c>
      <c r="I348" s="9">
        <v>2</v>
      </c>
      <c r="J348" s="9">
        <v>2</v>
      </c>
      <c r="K348" s="159">
        <f t="shared" si="5"/>
        <v>0.35859414261160716</v>
      </c>
      <c r="L348" s="52" t="s">
        <v>111</v>
      </c>
    </row>
    <row r="349" spans="1:12">
      <c r="A349" s="151" t="s">
        <v>114</v>
      </c>
      <c r="B349" s="59">
        <v>2009</v>
      </c>
      <c r="C349" s="336" t="s">
        <v>88</v>
      </c>
      <c r="D349" s="59">
        <v>199</v>
      </c>
      <c r="E349" s="336" t="s">
        <v>126</v>
      </c>
      <c r="F349" s="29">
        <v>1</v>
      </c>
      <c r="G349" s="9">
        <v>1</v>
      </c>
      <c r="H349" s="9">
        <v>1</v>
      </c>
      <c r="I349" s="9">
        <v>2</v>
      </c>
      <c r="J349" s="9">
        <v>2</v>
      </c>
      <c r="K349" s="159">
        <f t="shared" si="5"/>
        <v>0.35859414261160716</v>
      </c>
      <c r="L349" s="52" t="s">
        <v>111</v>
      </c>
    </row>
    <row r="350" spans="1:12">
      <c r="A350" s="151" t="s">
        <v>114</v>
      </c>
      <c r="B350" s="59">
        <v>2009</v>
      </c>
      <c r="C350" s="336" t="s">
        <v>89</v>
      </c>
      <c r="D350" s="59">
        <v>101</v>
      </c>
      <c r="E350" s="336" t="s">
        <v>126</v>
      </c>
      <c r="F350" s="29">
        <v>1</v>
      </c>
      <c r="G350" s="9">
        <v>1</v>
      </c>
      <c r="H350" s="9">
        <v>1</v>
      </c>
      <c r="I350" s="9">
        <v>2</v>
      </c>
      <c r="J350" s="9">
        <v>2</v>
      </c>
      <c r="K350" s="159">
        <f t="shared" si="5"/>
        <v>0.35859414261160716</v>
      </c>
      <c r="L350" s="52" t="s">
        <v>111</v>
      </c>
    </row>
    <row r="351" spans="1:12">
      <c r="A351" s="151" t="s">
        <v>114</v>
      </c>
      <c r="B351" s="59">
        <v>2009</v>
      </c>
      <c r="C351" s="336" t="s">
        <v>90</v>
      </c>
      <c r="D351" s="59">
        <v>580</v>
      </c>
      <c r="E351" s="336" t="s">
        <v>126</v>
      </c>
      <c r="F351" s="29">
        <v>1</v>
      </c>
      <c r="G351" s="9">
        <v>1</v>
      </c>
      <c r="H351" s="9">
        <v>1</v>
      </c>
      <c r="I351" s="9">
        <v>2</v>
      </c>
      <c r="J351" s="9">
        <v>2</v>
      </c>
      <c r="K351" s="159">
        <f t="shared" si="5"/>
        <v>0.35859414261160716</v>
      </c>
      <c r="L351" s="52" t="s">
        <v>111</v>
      </c>
    </row>
    <row r="352" spans="1:12">
      <c r="A352" s="151" t="s">
        <v>114</v>
      </c>
      <c r="B352" s="59">
        <v>2009</v>
      </c>
      <c r="C352" s="336" t="s">
        <v>91</v>
      </c>
      <c r="D352" s="59">
        <v>1397</v>
      </c>
      <c r="E352" s="336" t="s">
        <v>126</v>
      </c>
      <c r="F352" s="29">
        <v>1</v>
      </c>
      <c r="G352" s="9">
        <v>1</v>
      </c>
      <c r="H352" s="9">
        <v>1</v>
      </c>
      <c r="I352" s="9">
        <v>2</v>
      </c>
      <c r="J352" s="9">
        <v>2</v>
      </c>
      <c r="K352" s="159">
        <f t="shared" si="5"/>
        <v>0.35859414261160716</v>
      </c>
      <c r="L352" s="52" t="s">
        <v>111</v>
      </c>
    </row>
    <row r="353" spans="1:12">
      <c r="A353" s="151" t="s">
        <v>114</v>
      </c>
      <c r="B353" s="59">
        <v>2009</v>
      </c>
      <c r="C353" s="336" t="s">
        <v>94</v>
      </c>
      <c r="D353" s="59">
        <v>238</v>
      </c>
      <c r="E353" s="336" t="s">
        <v>126</v>
      </c>
      <c r="F353" s="29">
        <v>1</v>
      </c>
      <c r="G353" s="9">
        <v>1</v>
      </c>
      <c r="H353" s="9">
        <v>1</v>
      </c>
      <c r="I353" s="9">
        <v>2</v>
      </c>
      <c r="J353" s="9">
        <v>2</v>
      </c>
      <c r="K353" s="159">
        <f t="shared" si="5"/>
        <v>0.35859414261160716</v>
      </c>
      <c r="L353" s="52" t="s">
        <v>111</v>
      </c>
    </row>
    <row r="354" spans="1:12">
      <c r="A354" s="151" t="s">
        <v>114</v>
      </c>
      <c r="B354" s="59">
        <v>2009</v>
      </c>
      <c r="C354" s="336" t="s">
        <v>96</v>
      </c>
      <c r="D354" s="59">
        <v>91</v>
      </c>
      <c r="E354" s="336" t="s">
        <v>126</v>
      </c>
      <c r="F354" s="29">
        <v>1</v>
      </c>
      <c r="G354" s="9">
        <v>1</v>
      </c>
      <c r="H354" s="9">
        <v>1</v>
      </c>
      <c r="I354" s="9">
        <v>2</v>
      </c>
      <c r="J354" s="9">
        <v>2</v>
      </c>
      <c r="K354" s="159">
        <f t="shared" si="5"/>
        <v>0.35859414261160716</v>
      </c>
      <c r="L354" s="52" t="s">
        <v>111</v>
      </c>
    </row>
    <row r="355" spans="1:12">
      <c r="A355" s="151" t="s">
        <v>114</v>
      </c>
      <c r="B355" s="59">
        <v>2009</v>
      </c>
      <c r="C355" s="336" t="s">
        <v>97</v>
      </c>
      <c r="D355" s="59">
        <v>464</v>
      </c>
      <c r="E355" s="336" t="s">
        <v>126</v>
      </c>
      <c r="F355" s="29">
        <v>1</v>
      </c>
      <c r="G355" s="9">
        <v>1</v>
      </c>
      <c r="H355" s="9">
        <v>1</v>
      </c>
      <c r="I355" s="9">
        <v>2</v>
      </c>
      <c r="J355" s="9">
        <v>2</v>
      </c>
      <c r="K355" s="159">
        <f t="shared" si="5"/>
        <v>0.35859414261160716</v>
      </c>
      <c r="L355" s="52" t="s">
        <v>111</v>
      </c>
    </row>
    <row r="356" spans="1:12">
      <c r="A356" s="151" t="s">
        <v>114</v>
      </c>
      <c r="B356" s="59">
        <v>2009</v>
      </c>
      <c r="C356" s="336" t="s">
        <v>95</v>
      </c>
      <c r="D356" s="59">
        <v>325</v>
      </c>
      <c r="E356" s="336" t="s">
        <v>126</v>
      </c>
      <c r="F356" s="29">
        <v>1</v>
      </c>
      <c r="G356" s="9">
        <v>1</v>
      </c>
      <c r="H356" s="9">
        <v>1</v>
      </c>
      <c r="I356" s="9">
        <v>2</v>
      </c>
      <c r="J356" s="9">
        <v>2</v>
      </c>
      <c r="K356" s="159">
        <f t="shared" si="5"/>
        <v>0.35859414261160716</v>
      </c>
      <c r="L356" s="52" t="s">
        <v>111</v>
      </c>
    </row>
    <row r="357" spans="1:12">
      <c r="A357" s="151" t="s">
        <v>114</v>
      </c>
      <c r="B357" s="59">
        <v>2009</v>
      </c>
      <c r="C357" s="336" t="s">
        <v>93</v>
      </c>
      <c r="D357" s="59">
        <v>82</v>
      </c>
      <c r="E357" s="336" t="s">
        <v>126</v>
      </c>
      <c r="F357" s="29">
        <v>1</v>
      </c>
      <c r="G357" s="9">
        <v>1</v>
      </c>
      <c r="H357" s="9">
        <v>1</v>
      </c>
      <c r="I357" s="9">
        <v>2</v>
      </c>
      <c r="J357" s="9">
        <v>2</v>
      </c>
      <c r="K357" s="159">
        <f t="shared" si="5"/>
        <v>0.35859414261160716</v>
      </c>
      <c r="L357" s="52" t="s">
        <v>111</v>
      </c>
    </row>
    <row r="358" spans="1:12">
      <c r="A358" s="151" t="s">
        <v>114</v>
      </c>
      <c r="B358" s="59">
        <v>2009</v>
      </c>
      <c r="C358" s="336" t="s">
        <v>98</v>
      </c>
      <c r="D358" s="59">
        <v>3768</v>
      </c>
      <c r="E358" s="336" t="s">
        <v>126</v>
      </c>
      <c r="F358" s="29">
        <v>1</v>
      </c>
      <c r="G358" s="9">
        <v>1</v>
      </c>
      <c r="H358" s="9">
        <v>1</v>
      </c>
      <c r="I358" s="9">
        <v>2</v>
      </c>
      <c r="J358" s="9">
        <v>2</v>
      </c>
      <c r="K358" s="159">
        <f t="shared" si="5"/>
        <v>0.35859414261160716</v>
      </c>
      <c r="L358" s="52" t="s">
        <v>111</v>
      </c>
    </row>
    <row r="359" spans="1:12">
      <c r="A359" s="151" t="s">
        <v>114</v>
      </c>
      <c r="B359" s="59">
        <v>2010</v>
      </c>
      <c r="C359" s="336" t="s">
        <v>85</v>
      </c>
      <c r="D359" s="59">
        <v>2773</v>
      </c>
      <c r="E359" s="336" t="s">
        <v>126</v>
      </c>
      <c r="F359" s="29">
        <v>1</v>
      </c>
      <c r="G359" s="9">
        <v>1</v>
      </c>
      <c r="H359" s="9">
        <v>1</v>
      </c>
      <c r="I359" s="9">
        <v>2</v>
      </c>
      <c r="J359" s="9">
        <v>2</v>
      </c>
      <c r="K359" s="159">
        <f t="shared" si="5"/>
        <v>0.35859414261160716</v>
      </c>
      <c r="L359" s="52" t="s">
        <v>111</v>
      </c>
    </row>
    <row r="360" spans="1:12">
      <c r="A360" s="151" t="s">
        <v>114</v>
      </c>
      <c r="B360" s="59">
        <v>2010</v>
      </c>
      <c r="C360" s="336" t="s">
        <v>86</v>
      </c>
      <c r="D360" s="59">
        <v>1804</v>
      </c>
      <c r="E360" s="336" t="s">
        <v>126</v>
      </c>
      <c r="F360" s="29">
        <v>1</v>
      </c>
      <c r="G360" s="9">
        <v>1</v>
      </c>
      <c r="H360" s="9">
        <v>1</v>
      </c>
      <c r="I360" s="9">
        <v>2</v>
      </c>
      <c r="J360" s="9">
        <v>2</v>
      </c>
      <c r="K360" s="159">
        <f t="shared" si="5"/>
        <v>0.35859414261160716</v>
      </c>
      <c r="L360" s="52" t="s">
        <v>111</v>
      </c>
    </row>
    <row r="361" spans="1:12">
      <c r="A361" s="151" t="s">
        <v>114</v>
      </c>
      <c r="B361" s="59">
        <v>2010</v>
      </c>
      <c r="C361" s="336" t="s">
        <v>87</v>
      </c>
      <c r="D361" s="59">
        <v>1342</v>
      </c>
      <c r="E361" s="336" t="s">
        <v>126</v>
      </c>
      <c r="F361" s="29">
        <v>1</v>
      </c>
      <c r="G361" s="9">
        <v>1</v>
      </c>
      <c r="H361" s="9">
        <v>1</v>
      </c>
      <c r="I361" s="9">
        <v>2</v>
      </c>
      <c r="J361" s="9">
        <v>2</v>
      </c>
      <c r="K361" s="159">
        <f t="shared" si="5"/>
        <v>0.35859414261160716</v>
      </c>
      <c r="L361" s="52" t="s">
        <v>111</v>
      </c>
    </row>
    <row r="362" spans="1:12">
      <c r="A362" s="151" t="s">
        <v>114</v>
      </c>
      <c r="B362" s="59">
        <v>2010</v>
      </c>
      <c r="C362" s="336" t="s">
        <v>88</v>
      </c>
      <c r="D362" s="59">
        <v>93</v>
      </c>
      <c r="E362" s="336" t="s">
        <v>126</v>
      </c>
      <c r="F362" s="29">
        <v>1</v>
      </c>
      <c r="G362" s="9">
        <v>1</v>
      </c>
      <c r="H362" s="9">
        <v>1</v>
      </c>
      <c r="I362" s="9">
        <v>2</v>
      </c>
      <c r="J362" s="9">
        <v>2</v>
      </c>
      <c r="K362" s="159">
        <f t="shared" si="5"/>
        <v>0.35859414261160716</v>
      </c>
      <c r="L362" s="52" t="s">
        <v>111</v>
      </c>
    </row>
    <row r="363" spans="1:12">
      <c r="A363" s="151" t="s">
        <v>114</v>
      </c>
      <c r="B363" s="59">
        <v>2010</v>
      </c>
      <c r="C363" s="336" t="s">
        <v>89</v>
      </c>
      <c r="D363" s="59">
        <v>112</v>
      </c>
      <c r="E363" s="336" t="s">
        <v>126</v>
      </c>
      <c r="F363" s="29">
        <v>1</v>
      </c>
      <c r="G363" s="9">
        <v>1</v>
      </c>
      <c r="H363" s="9">
        <v>1</v>
      </c>
      <c r="I363" s="9">
        <v>2</v>
      </c>
      <c r="J363" s="9">
        <v>2</v>
      </c>
      <c r="K363" s="159">
        <f t="shared" si="5"/>
        <v>0.35859414261160716</v>
      </c>
      <c r="L363" s="52" t="s">
        <v>111</v>
      </c>
    </row>
    <row r="364" spans="1:12">
      <c r="A364" s="151" t="s">
        <v>114</v>
      </c>
      <c r="B364" s="59">
        <v>2010</v>
      </c>
      <c r="C364" s="336" t="s">
        <v>90</v>
      </c>
      <c r="D364" s="59">
        <v>444</v>
      </c>
      <c r="E364" s="336" t="s">
        <v>126</v>
      </c>
      <c r="F364" s="29">
        <v>1</v>
      </c>
      <c r="G364" s="9">
        <v>1</v>
      </c>
      <c r="H364" s="9">
        <v>1</v>
      </c>
      <c r="I364" s="9">
        <v>2</v>
      </c>
      <c r="J364" s="9">
        <v>2</v>
      </c>
      <c r="K364" s="159">
        <f t="shared" si="5"/>
        <v>0.35859414261160716</v>
      </c>
      <c r="L364" s="52" t="s">
        <v>111</v>
      </c>
    </row>
    <row r="365" spans="1:12">
      <c r="A365" s="151" t="s">
        <v>114</v>
      </c>
      <c r="B365" s="59">
        <v>2010</v>
      </c>
      <c r="C365" s="336" t="s">
        <v>91</v>
      </c>
      <c r="D365" s="59">
        <v>1193</v>
      </c>
      <c r="E365" s="336" t="s">
        <v>126</v>
      </c>
      <c r="F365" s="29">
        <v>1</v>
      </c>
      <c r="G365" s="9">
        <v>1</v>
      </c>
      <c r="H365" s="9">
        <v>1</v>
      </c>
      <c r="I365" s="9">
        <v>2</v>
      </c>
      <c r="J365" s="9">
        <v>2</v>
      </c>
      <c r="K365" s="159">
        <f t="shared" si="5"/>
        <v>0.35859414261160716</v>
      </c>
      <c r="L365" s="52" t="s">
        <v>111</v>
      </c>
    </row>
    <row r="366" spans="1:12">
      <c r="A366" s="151" t="s">
        <v>114</v>
      </c>
      <c r="B366" s="59">
        <v>2010</v>
      </c>
      <c r="C366" s="336" t="s">
        <v>94</v>
      </c>
      <c r="D366" s="59">
        <v>182</v>
      </c>
      <c r="E366" s="336" t="s">
        <v>126</v>
      </c>
      <c r="F366" s="29">
        <v>1</v>
      </c>
      <c r="G366" s="9">
        <v>1</v>
      </c>
      <c r="H366" s="9">
        <v>1</v>
      </c>
      <c r="I366" s="9">
        <v>2</v>
      </c>
      <c r="J366" s="9">
        <v>2</v>
      </c>
      <c r="K366" s="159">
        <f t="shared" si="5"/>
        <v>0.35859414261160716</v>
      </c>
      <c r="L366" s="52" t="s">
        <v>111</v>
      </c>
    </row>
    <row r="367" spans="1:12">
      <c r="A367" s="151" t="s">
        <v>114</v>
      </c>
      <c r="B367" s="59">
        <v>2010</v>
      </c>
      <c r="C367" s="336" t="s">
        <v>96</v>
      </c>
      <c r="D367" s="59">
        <v>102</v>
      </c>
      <c r="E367" s="336" t="s">
        <v>126</v>
      </c>
      <c r="F367" s="29">
        <v>1</v>
      </c>
      <c r="G367" s="9">
        <v>1</v>
      </c>
      <c r="H367" s="9">
        <v>1</v>
      </c>
      <c r="I367" s="9">
        <v>2</v>
      </c>
      <c r="J367" s="9">
        <v>2</v>
      </c>
      <c r="K367" s="159">
        <f t="shared" si="5"/>
        <v>0.35859414261160716</v>
      </c>
      <c r="L367" s="52" t="s">
        <v>111</v>
      </c>
    </row>
    <row r="368" spans="1:12">
      <c r="A368" s="151" t="s">
        <v>114</v>
      </c>
      <c r="B368" s="59">
        <v>2010</v>
      </c>
      <c r="C368" s="336" t="s">
        <v>97</v>
      </c>
      <c r="D368" s="59">
        <v>525</v>
      </c>
      <c r="E368" s="336" t="s">
        <v>126</v>
      </c>
      <c r="F368" s="29">
        <v>1</v>
      </c>
      <c r="G368" s="9">
        <v>1</v>
      </c>
      <c r="H368" s="9">
        <v>1</v>
      </c>
      <c r="I368" s="9">
        <v>2</v>
      </c>
      <c r="J368" s="9">
        <v>2</v>
      </c>
      <c r="K368" s="159">
        <f t="shared" si="5"/>
        <v>0.35859414261160716</v>
      </c>
      <c r="L368" s="52" t="s">
        <v>111</v>
      </c>
    </row>
    <row r="369" spans="1:12">
      <c r="A369" s="151" t="s">
        <v>114</v>
      </c>
      <c r="B369" s="59">
        <v>2010</v>
      </c>
      <c r="C369" s="336" t="s">
        <v>95</v>
      </c>
      <c r="D369" s="59">
        <v>286</v>
      </c>
      <c r="E369" s="336" t="s">
        <v>126</v>
      </c>
      <c r="F369" s="29">
        <v>1</v>
      </c>
      <c r="G369" s="9">
        <v>1</v>
      </c>
      <c r="H369" s="9">
        <v>1</v>
      </c>
      <c r="I369" s="9">
        <v>2</v>
      </c>
      <c r="J369" s="9">
        <v>2</v>
      </c>
      <c r="K369" s="159">
        <f t="shared" si="5"/>
        <v>0.35859414261160716</v>
      </c>
      <c r="L369" s="52" t="s">
        <v>111</v>
      </c>
    </row>
    <row r="370" spans="1:12">
      <c r="A370" s="151" t="s">
        <v>114</v>
      </c>
      <c r="B370" s="59">
        <v>2010</v>
      </c>
      <c r="C370" s="336" t="s">
        <v>93</v>
      </c>
      <c r="D370" s="59">
        <v>77</v>
      </c>
      <c r="E370" s="336" t="s">
        <v>126</v>
      </c>
      <c r="F370" s="29">
        <v>1</v>
      </c>
      <c r="G370" s="9">
        <v>1</v>
      </c>
      <c r="H370" s="9">
        <v>1</v>
      </c>
      <c r="I370" s="9">
        <v>2</v>
      </c>
      <c r="J370" s="9">
        <v>2</v>
      </c>
      <c r="K370" s="159">
        <f t="shared" si="5"/>
        <v>0.35859414261160716</v>
      </c>
      <c r="L370" s="52" t="s">
        <v>111</v>
      </c>
    </row>
    <row r="371" spans="1:12">
      <c r="A371" s="151" t="s">
        <v>114</v>
      </c>
      <c r="B371" s="59">
        <v>2010</v>
      </c>
      <c r="C371" s="336" t="s">
        <v>98</v>
      </c>
      <c r="D371" s="59">
        <v>3675</v>
      </c>
      <c r="E371" s="336" t="s">
        <v>126</v>
      </c>
      <c r="F371" s="29">
        <v>1</v>
      </c>
      <c r="G371" s="9">
        <v>1</v>
      </c>
      <c r="H371" s="9">
        <v>1</v>
      </c>
      <c r="I371" s="9">
        <v>2</v>
      </c>
      <c r="J371" s="9">
        <v>2</v>
      </c>
      <c r="K371" s="159">
        <f t="shared" si="5"/>
        <v>0.35859414261160716</v>
      </c>
      <c r="L371" s="52" t="s">
        <v>111</v>
      </c>
    </row>
    <row r="372" spans="1:12">
      <c r="A372" s="151" t="s">
        <v>114</v>
      </c>
      <c r="B372" s="59">
        <v>2011</v>
      </c>
      <c r="C372" s="336" t="s">
        <v>85</v>
      </c>
      <c r="D372" s="59">
        <v>3130</v>
      </c>
      <c r="E372" s="336" t="s">
        <v>126</v>
      </c>
      <c r="F372" s="29">
        <v>1</v>
      </c>
      <c r="G372" s="9">
        <v>1</v>
      </c>
      <c r="H372" s="9">
        <v>1</v>
      </c>
      <c r="I372" s="9">
        <v>2</v>
      </c>
      <c r="J372" s="9">
        <v>2</v>
      </c>
      <c r="K372" s="159">
        <f t="shared" si="5"/>
        <v>0.35859414261160716</v>
      </c>
      <c r="L372" s="52" t="s">
        <v>111</v>
      </c>
    </row>
    <row r="373" spans="1:12">
      <c r="A373" s="151" t="s">
        <v>114</v>
      </c>
      <c r="B373" s="59">
        <v>2011</v>
      </c>
      <c r="C373" s="336" t="s">
        <v>86</v>
      </c>
      <c r="D373" s="59">
        <v>1771</v>
      </c>
      <c r="E373" s="336" t="s">
        <v>126</v>
      </c>
      <c r="F373" s="29">
        <v>1</v>
      </c>
      <c r="G373" s="9">
        <v>1</v>
      </c>
      <c r="H373" s="9">
        <v>1</v>
      </c>
      <c r="I373" s="9">
        <v>2</v>
      </c>
      <c r="J373" s="9">
        <v>2</v>
      </c>
      <c r="K373" s="159">
        <f t="shared" si="5"/>
        <v>0.35859414261160716</v>
      </c>
      <c r="L373" s="52" t="s">
        <v>111</v>
      </c>
    </row>
    <row r="374" spans="1:12">
      <c r="A374" s="151" t="s">
        <v>114</v>
      </c>
      <c r="B374" s="59">
        <v>2011</v>
      </c>
      <c r="C374" s="336" t="s">
        <v>87</v>
      </c>
      <c r="D374" s="59">
        <v>1720</v>
      </c>
      <c r="E374" s="336" t="s">
        <v>126</v>
      </c>
      <c r="F374" s="29">
        <v>1</v>
      </c>
      <c r="G374" s="9">
        <v>1</v>
      </c>
      <c r="H374" s="9">
        <v>1</v>
      </c>
      <c r="I374" s="9">
        <v>2</v>
      </c>
      <c r="J374" s="9">
        <v>2</v>
      </c>
      <c r="K374" s="159">
        <f t="shared" si="5"/>
        <v>0.35859414261160716</v>
      </c>
      <c r="L374" s="52" t="s">
        <v>111</v>
      </c>
    </row>
    <row r="375" spans="1:12">
      <c r="A375" s="151" t="s">
        <v>114</v>
      </c>
      <c r="B375" s="59">
        <v>2011</v>
      </c>
      <c r="C375" s="336" t="s">
        <v>88</v>
      </c>
      <c r="D375" s="59">
        <v>83</v>
      </c>
      <c r="E375" s="336" t="s">
        <v>126</v>
      </c>
      <c r="F375" s="29">
        <v>1</v>
      </c>
      <c r="G375" s="9">
        <v>1</v>
      </c>
      <c r="H375" s="9">
        <v>1</v>
      </c>
      <c r="I375" s="9">
        <v>2</v>
      </c>
      <c r="J375" s="9">
        <v>2</v>
      </c>
      <c r="K375" s="159">
        <f t="shared" si="5"/>
        <v>0.35859414261160716</v>
      </c>
      <c r="L375" s="52" t="s">
        <v>111</v>
      </c>
    </row>
    <row r="376" spans="1:12">
      <c r="A376" s="151" t="s">
        <v>114</v>
      </c>
      <c r="B376" s="59">
        <v>2011</v>
      </c>
      <c r="C376" s="336" t="s">
        <v>89</v>
      </c>
      <c r="D376" s="59">
        <v>173</v>
      </c>
      <c r="E376" s="336" t="s">
        <v>126</v>
      </c>
      <c r="F376" s="29">
        <v>1</v>
      </c>
      <c r="G376" s="9">
        <v>1</v>
      </c>
      <c r="H376" s="9">
        <v>1</v>
      </c>
      <c r="I376" s="9">
        <v>2</v>
      </c>
      <c r="J376" s="9">
        <v>2</v>
      </c>
      <c r="K376" s="159">
        <f t="shared" si="5"/>
        <v>0.35859414261160716</v>
      </c>
      <c r="L376" s="52" t="s">
        <v>111</v>
      </c>
    </row>
    <row r="377" spans="1:12">
      <c r="A377" s="151" t="s">
        <v>114</v>
      </c>
      <c r="B377" s="59">
        <v>2011</v>
      </c>
      <c r="C377" s="336" t="s">
        <v>90</v>
      </c>
      <c r="D377" s="59">
        <v>599</v>
      </c>
      <c r="E377" s="336" t="s">
        <v>126</v>
      </c>
      <c r="F377" s="29">
        <v>1</v>
      </c>
      <c r="G377" s="9">
        <v>1</v>
      </c>
      <c r="H377" s="9">
        <v>1</v>
      </c>
      <c r="I377" s="9">
        <v>2</v>
      </c>
      <c r="J377" s="9">
        <v>2</v>
      </c>
      <c r="K377" s="159">
        <f t="shared" ref="K377:K440" si="6">IF( OR( ISBLANK(F377),ISBLANK(G377), ISBLANK(H377), ISBLANK(I377), ISBLANK(J377) ), "", 1.5*SQRT(   EXP(2.21*(F377-1)) + EXP(2.21*(G377-1)) + EXP(2.21*(H377-1)) + EXP(2.21*(I377-1)) + EXP(2.21*J377)   )/100*2.45 )</f>
        <v>0.35859414261160716</v>
      </c>
      <c r="L377" s="52" t="s">
        <v>111</v>
      </c>
    </row>
    <row r="378" spans="1:12">
      <c r="A378" s="151" t="s">
        <v>114</v>
      </c>
      <c r="B378" s="59">
        <v>2011</v>
      </c>
      <c r="C378" s="336" t="s">
        <v>91</v>
      </c>
      <c r="D378" s="59">
        <v>1095</v>
      </c>
      <c r="E378" s="336" t="s">
        <v>126</v>
      </c>
      <c r="F378" s="29">
        <v>1</v>
      </c>
      <c r="G378" s="9">
        <v>1</v>
      </c>
      <c r="H378" s="9">
        <v>1</v>
      </c>
      <c r="I378" s="9">
        <v>2</v>
      </c>
      <c r="J378" s="9">
        <v>2</v>
      </c>
      <c r="K378" s="159">
        <f t="shared" si="6"/>
        <v>0.35859414261160716</v>
      </c>
      <c r="L378" s="52" t="s">
        <v>111</v>
      </c>
    </row>
    <row r="379" spans="1:12">
      <c r="A379" s="151" t="s">
        <v>114</v>
      </c>
      <c r="B379" s="59">
        <v>2011</v>
      </c>
      <c r="C379" s="336" t="s">
        <v>94</v>
      </c>
      <c r="D379" s="59">
        <v>225</v>
      </c>
      <c r="E379" s="336" t="s">
        <v>126</v>
      </c>
      <c r="F379" s="29">
        <v>1</v>
      </c>
      <c r="G379" s="9">
        <v>1</v>
      </c>
      <c r="H379" s="9">
        <v>1</v>
      </c>
      <c r="I379" s="9">
        <v>2</v>
      </c>
      <c r="J379" s="9">
        <v>2</v>
      </c>
      <c r="K379" s="159">
        <f t="shared" si="6"/>
        <v>0.35859414261160716</v>
      </c>
      <c r="L379" s="52" t="s">
        <v>111</v>
      </c>
    </row>
    <row r="380" spans="1:12">
      <c r="A380" s="151" t="s">
        <v>114</v>
      </c>
      <c r="B380" s="59">
        <v>2011</v>
      </c>
      <c r="C380" s="336" t="s">
        <v>96</v>
      </c>
      <c r="D380" s="59">
        <v>142</v>
      </c>
      <c r="E380" s="336" t="s">
        <v>126</v>
      </c>
      <c r="F380" s="29">
        <v>1</v>
      </c>
      <c r="G380" s="9">
        <v>1</v>
      </c>
      <c r="H380" s="9">
        <v>1</v>
      </c>
      <c r="I380" s="9">
        <v>2</v>
      </c>
      <c r="J380" s="9">
        <v>2</v>
      </c>
      <c r="K380" s="159">
        <f t="shared" si="6"/>
        <v>0.35859414261160716</v>
      </c>
      <c r="L380" s="52" t="s">
        <v>111</v>
      </c>
    </row>
    <row r="381" spans="1:12">
      <c r="A381" s="151" t="s">
        <v>114</v>
      </c>
      <c r="B381" s="59">
        <v>2011</v>
      </c>
      <c r="C381" s="336" t="s">
        <v>97</v>
      </c>
      <c r="D381" s="59">
        <v>545</v>
      </c>
      <c r="E381" s="336" t="s">
        <v>126</v>
      </c>
      <c r="F381" s="29">
        <v>1</v>
      </c>
      <c r="G381" s="9">
        <v>1</v>
      </c>
      <c r="H381" s="9">
        <v>1</v>
      </c>
      <c r="I381" s="9">
        <v>2</v>
      </c>
      <c r="J381" s="9">
        <v>2</v>
      </c>
      <c r="K381" s="159">
        <f t="shared" si="6"/>
        <v>0.35859414261160716</v>
      </c>
      <c r="L381" s="52" t="s">
        <v>111</v>
      </c>
    </row>
    <row r="382" spans="1:12">
      <c r="A382" s="151" t="s">
        <v>114</v>
      </c>
      <c r="B382" s="59">
        <v>2011</v>
      </c>
      <c r="C382" s="336" t="s">
        <v>95</v>
      </c>
      <c r="D382" s="59">
        <v>339</v>
      </c>
      <c r="E382" s="336" t="s">
        <v>126</v>
      </c>
      <c r="F382" s="29">
        <v>1</v>
      </c>
      <c r="G382" s="9">
        <v>1</v>
      </c>
      <c r="H382" s="9">
        <v>1</v>
      </c>
      <c r="I382" s="9">
        <v>2</v>
      </c>
      <c r="J382" s="9">
        <v>2</v>
      </c>
      <c r="K382" s="159">
        <f t="shared" si="6"/>
        <v>0.35859414261160716</v>
      </c>
      <c r="L382" s="52" t="s">
        <v>111</v>
      </c>
    </row>
    <row r="383" spans="1:12">
      <c r="A383" s="151" t="s">
        <v>114</v>
      </c>
      <c r="B383" s="59">
        <v>2011</v>
      </c>
      <c r="C383" s="336" t="s">
        <v>93</v>
      </c>
      <c r="D383" s="59">
        <v>82</v>
      </c>
      <c r="E383" s="336" t="s">
        <v>126</v>
      </c>
      <c r="F383" s="29">
        <v>1</v>
      </c>
      <c r="G383" s="9">
        <v>1</v>
      </c>
      <c r="H383" s="9">
        <v>1</v>
      </c>
      <c r="I383" s="9">
        <v>2</v>
      </c>
      <c r="J383" s="9">
        <v>2</v>
      </c>
      <c r="K383" s="159">
        <f t="shared" si="6"/>
        <v>0.35859414261160716</v>
      </c>
      <c r="L383" s="52" t="s">
        <v>111</v>
      </c>
    </row>
    <row r="384" spans="1:12">
      <c r="A384" s="151" t="s">
        <v>114</v>
      </c>
      <c r="B384" s="59">
        <v>2011</v>
      </c>
      <c r="C384" s="336" t="s">
        <v>98</v>
      </c>
      <c r="D384" s="59">
        <v>3989</v>
      </c>
      <c r="E384" s="336" t="s">
        <v>126</v>
      </c>
      <c r="F384" s="29">
        <v>1</v>
      </c>
      <c r="G384" s="9">
        <v>1</v>
      </c>
      <c r="H384" s="9">
        <v>1</v>
      </c>
      <c r="I384" s="9">
        <v>2</v>
      </c>
      <c r="J384" s="9">
        <v>2</v>
      </c>
      <c r="K384" s="159">
        <f t="shared" si="6"/>
        <v>0.35859414261160716</v>
      </c>
      <c r="L384" s="52" t="s">
        <v>111</v>
      </c>
    </row>
    <row r="385" spans="1:12">
      <c r="A385" s="151" t="s">
        <v>114</v>
      </c>
      <c r="B385" s="59">
        <v>2012</v>
      </c>
      <c r="C385" s="336" t="s">
        <v>85</v>
      </c>
      <c r="D385" s="59">
        <v>2747</v>
      </c>
      <c r="E385" s="336" t="s">
        <v>126</v>
      </c>
      <c r="F385" s="29">
        <v>1</v>
      </c>
      <c r="G385" s="9">
        <v>1</v>
      </c>
      <c r="H385" s="9">
        <v>1</v>
      </c>
      <c r="I385" s="9">
        <v>2</v>
      </c>
      <c r="J385" s="9">
        <v>2</v>
      </c>
      <c r="K385" s="159">
        <f t="shared" si="6"/>
        <v>0.35859414261160716</v>
      </c>
      <c r="L385" s="52" t="s">
        <v>111</v>
      </c>
    </row>
    <row r="386" spans="1:12">
      <c r="A386" s="151" t="s">
        <v>114</v>
      </c>
      <c r="B386" s="59">
        <v>2012</v>
      </c>
      <c r="C386" s="336" t="s">
        <v>86</v>
      </c>
      <c r="D386" s="59">
        <v>918</v>
      </c>
      <c r="E386" s="336" t="s">
        <v>126</v>
      </c>
      <c r="F386" s="29">
        <v>1</v>
      </c>
      <c r="G386" s="9">
        <v>1</v>
      </c>
      <c r="H386" s="9">
        <v>1</v>
      </c>
      <c r="I386" s="9">
        <v>2</v>
      </c>
      <c r="J386" s="9">
        <v>2</v>
      </c>
      <c r="K386" s="159">
        <f t="shared" si="6"/>
        <v>0.35859414261160716</v>
      </c>
      <c r="L386" s="52" t="s">
        <v>111</v>
      </c>
    </row>
    <row r="387" spans="1:12">
      <c r="A387" s="151" t="s">
        <v>114</v>
      </c>
      <c r="B387" s="59">
        <v>2012</v>
      </c>
      <c r="C387" s="336" t="s">
        <v>87</v>
      </c>
      <c r="D387" s="59">
        <v>571</v>
      </c>
      <c r="E387" s="336" t="s">
        <v>126</v>
      </c>
      <c r="F387" s="29">
        <v>1</v>
      </c>
      <c r="G387" s="9">
        <v>1</v>
      </c>
      <c r="H387" s="9">
        <v>1</v>
      </c>
      <c r="I387" s="9">
        <v>2</v>
      </c>
      <c r="J387" s="9">
        <v>2</v>
      </c>
      <c r="K387" s="159">
        <f t="shared" si="6"/>
        <v>0.35859414261160716</v>
      </c>
      <c r="L387" s="52" t="s">
        <v>111</v>
      </c>
    </row>
    <row r="388" spans="1:12">
      <c r="A388" s="151" t="s">
        <v>114</v>
      </c>
      <c r="B388" s="59">
        <v>2012</v>
      </c>
      <c r="C388" s="336" t="s">
        <v>88</v>
      </c>
      <c r="D388" s="59">
        <v>128</v>
      </c>
      <c r="E388" s="336" t="s">
        <v>126</v>
      </c>
      <c r="F388" s="29">
        <v>1</v>
      </c>
      <c r="G388" s="9">
        <v>1</v>
      </c>
      <c r="H388" s="9">
        <v>1</v>
      </c>
      <c r="I388" s="9">
        <v>2</v>
      </c>
      <c r="J388" s="9">
        <v>2</v>
      </c>
      <c r="K388" s="159">
        <f t="shared" si="6"/>
        <v>0.35859414261160716</v>
      </c>
      <c r="L388" s="52" t="s">
        <v>111</v>
      </c>
    </row>
    <row r="389" spans="1:12">
      <c r="A389" s="151" t="s">
        <v>114</v>
      </c>
      <c r="B389" s="59">
        <v>2012</v>
      </c>
      <c r="C389" s="336" t="s">
        <v>89</v>
      </c>
      <c r="D389" s="59">
        <v>95</v>
      </c>
      <c r="E389" s="336" t="s">
        <v>126</v>
      </c>
      <c r="F389" s="29">
        <v>1</v>
      </c>
      <c r="G389" s="9">
        <v>1</v>
      </c>
      <c r="H389" s="9">
        <v>1</v>
      </c>
      <c r="I389" s="9">
        <v>2</v>
      </c>
      <c r="J389" s="9">
        <v>2</v>
      </c>
      <c r="K389" s="159">
        <f t="shared" si="6"/>
        <v>0.35859414261160716</v>
      </c>
      <c r="L389" s="52" t="s">
        <v>111</v>
      </c>
    </row>
    <row r="390" spans="1:12">
      <c r="A390" s="151" t="s">
        <v>114</v>
      </c>
      <c r="B390" s="59">
        <v>2012</v>
      </c>
      <c r="C390" s="336" t="s">
        <v>90</v>
      </c>
      <c r="D390" s="59">
        <v>408</v>
      </c>
      <c r="E390" s="336" t="s">
        <v>126</v>
      </c>
      <c r="F390" s="29">
        <v>1</v>
      </c>
      <c r="G390" s="9">
        <v>1</v>
      </c>
      <c r="H390" s="9">
        <v>1</v>
      </c>
      <c r="I390" s="9">
        <v>2</v>
      </c>
      <c r="J390" s="9">
        <v>2</v>
      </c>
      <c r="K390" s="159">
        <f t="shared" si="6"/>
        <v>0.35859414261160716</v>
      </c>
      <c r="L390" s="52" t="s">
        <v>111</v>
      </c>
    </row>
    <row r="391" spans="1:12">
      <c r="A391" s="151" t="s">
        <v>114</v>
      </c>
      <c r="B391" s="59">
        <v>2012</v>
      </c>
      <c r="C391" s="336" t="s">
        <v>91</v>
      </c>
      <c r="D391" s="59">
        <v>879</v>
      </c>
      <c r="E391" s="336" t="s">
        <v>126</v>
      </c>
      <c r="F391" s="29">
        <v>1</v>
      </c>
      <c r="G391" s="9">
        <v>1</v>
      </c>
      <c r="H391" s="9">
        <v>1</v>
      </c>
      <c r="I391" s="9">
        <v>2</v>
      </c>
      <c r="J391" s="9">
        <v>2</v>
      </c>
      <c r="K391" s="159">
        <f t="shared" si="6"/>
        <v>0.35859414261160716</v>
      </c>
      <c r="L391" s="52" t="s">
        <v>111</v>
      </c>
    </row>
    <row r="392" spans="1:12">
      <c r="A392" s="151" t="s">
        <v>114</v>
      </c>
      <c r="B392" s="59">
        <v>2012</v>
      </c>
      <c r="C392" s="336" t="s">
        <v>94</v>
      </c>
      <c r="D392" s="59">
        <v>237</v>
      </c>
      <c r="E392" s="336" t="s">
        <v>126</v>
      </c>
      <c r="F392" s="29">
        <v>1</v>
      </c>
      <c r="G392" s="9">
        <v>1</v>
      </c>
      <c r="H392" s="9">
        <v>1</v>
      </c>
      <c r="I392" s="9">
        <v>2</v>
      </c>
      <c r="J392" s="9">
        <v>2</v>
      </c>
      <c r="K392" s="159">
        <f t="shared" si="6"/>
        <v>0.35859414261160716</v>
      </c>
      <c r="L392" s="52" t="s">
        <v>111</v>
      </c>
    </row>
    <row r="393" spans="1:12">
      <c r="A393" s="151" t="s">
        <v>114</v>
      </c>
      <c r="B393" s="59">
        <v>2012</v>
      </c>
      <c r="C393" s="336" t="s">
        <v>96</v>
      </c>
      <c r="D393" s="59">
        <v>109</v>
      </c>
      <c r="E393" s="336" t="s">
        <v>126</v>
      </c>
      <c r="F393" s="29">
        <v>1</v>
      </c>
      <c r="G393" s="9">
        <v>1</v>
      </c>
      <c r="H393" s="9">
        <v>1</v>
      </c>
      <c r="I393" s="9">
        <v>2</v>
      </c>
      <c r="J393" s="9">
        <v>2</v>
      </c>
      <c r="K393" s="159">
        <f t="shared" si="6"/>
        <v>0.35859414261160716</v>
      </c>
      <c r="L393" s="52" t="s">
        <v>111</v>
      </c>
    </row>
    <row r="394" spans="1:12">
      <c r="A394" s="151" t="s">
        <v>114</v>
      </c>
      <c r="B394" s="59">
        <v>2012</v>
      </c>
      <c r="C394" s="336" t="s">
        <v>97</v>
      </c>
      <c r="D394" s="59">
        <v>348</v>
      </c>
      <c r="E394" s="336" t="s">
        <v>126</v>
      </c>
      <c r="F394" s="29">
        <v>1</v>
      </c>
      <c r="G394" s="9">
        <v>1</v>
      </c>
      <c r="H394" s="9">
        <v>1</v>
      </c>
      <c r="I394" s="9">
        <v>2</v>
      </c>
      <c r="J394" s="9">
        <v>2</v>
      </c>
      <c r="K394" s="159">
        <f t="shared" si="6"/>
        <v>0.35859414261160716</v>
      </c>
      <c r="L394" s="52" t="s">
        <v>111</v>
      </c>
    </row>
    <row r="395" spans="1:12">
      <c r="A395" s="151" t="s">
        <v>114</v>
      </c>
      <c r="B395" s="59">
        <v>2012</v>
      </c>
      <c r="C395" s="336" t="s">
        <v>95</v>
      </c>
      <c r="D395" s="59">
        <v>311</v>
      </c>
      <c r="E395" s="336" t="s">
        <v>126</v>
      </c>
      <c r="F395" s="29">
        <v>1</v>
      </c>
      <c r="G395" s="9">
        <v>1</v>
      </c>
      <c r="H395" s="9">
        <v>1</v>
      </c>
      <c r="I395" s="9">
        <v>2</v>
      </c>
      <c r="J395" s="9">
        <v>2</v>
      </c>
      <c r="K395" s="159">
        <f t="shared" si="6"/>
        <v>0.35859414261160716</v>
      </c>
      <c r="L395" s="52" t="s">
        <v>111</v>
      </c>
    </row>
    <row r="396" spans="1:12">
      <c r="A396" s="151" t="s">
        <v>114</v>
      </c>
      <c r="B396" s="59">
        <v>2012</v>
      </c>
      <c r="C396" s="336" t="s">
        <v>93</v>
      </c>
      <c r="D396" s="59">
        <v>80</v>
      </c>
      <c r="E396" s="336" t="s">
        <v>126</v>
      </c>
      <c r="F396" s="29">
        <v>1</v>
      </c>
      <c r="G396" s="9">
        <v>1</v>
      </c>
      <c r="H396" s="9">
        <v>1</v>
      </c>
      <c r="I396" s="9">
        <v>2</v>
      </c>
      <c r="J396" s="9">
        <v>2</v>
      </c>
      <c r="K396" s="159">
        <f t="shared" si="6"/>
        <v>0.35859414261160716</v>
      </c>
      <c r="L396" s="52" t="s">
        <v>111</v>
      </c>
    </row>
    <row r="397" spans="1:12">
      <c r="A397" s="151" t="s">
        <v>114</v>
      </c>
      <c r="B397" s="59">
        <v>2012</v>
      </c>
      <c r="C397" s="336" t="s">
        <v>98</v>
      </c>
      <c r="D397" s="59">
        <v>1624</v>
      </c>
      <c r="E397" s="336" t="s">
        <v>126</v>
      </c>
      <c r="F397" s="29">
        <v>1</v>
      </c>
      <c r="G397" s="9">
        <v>1</v>
      </c>
      <c r="H397" s="9">
        <v>1</v>
      </c>
      <c r="I397" s="9">
        <v>2</v>
      </c>
      <c r="J397" s="9">
        <v>2</v>
      </c>
      <c r="K397" s="159">
        <f t="shared" si="6"/>
        <v>0.35859414261160716</v>
      </c>
      <c r="L397" s="52" t="s">
        <v>111</v>
      </c>
    </row>
    <row r="398" spans="1:12">
      <c r="A398" s="151" t="s">
        <v>114</v>
      </c>
      <c r="B398" s="59">
        <v>2013</v>
      </c>
      <c r="C398" s="336" t="s">
        <v>85</v>
      </c>
      <c r="D398" s="59">
        <v>2361</v>
      </c>
      <c r="E398" s="336" t="s">
        <v>126</v>
      </c>
      <c r="F398" s="29">
        <v>1</v>
      </c>
      <c r="G398" s="9">
        <v>1</v>
      </c>
      <c r="H398" s="9">
        <v>1</v>
      </c>
      <c r="I398" s="9">
        <v>2</v>
      </c>
      <c r="J398" s="9">
        <v>2</v>
      </c>
      <c r="K398" s="159">
        <f t="shared" si="6"/>
        <v>0.35859414261160716</v>
      </c>
      <c r="L398" s="52" t="s">
        <v>111</v>
      </c>
    </row>
    <row r="399" spans="1:12">
      <c r="A399" s="151" t="s">
        <v>114</v>
      </c>
      <c r="B399" s="59">
        <v>2013</v>
      </c>
      <c r="C399" s="336" t="s">
        <v>86</v>
      </c>
      <c r="D399" s="59">
        <v>998</v>
      </c>
      <c r="E399" s="336" t="s">
        <v>126</v>
      </c>
      <c r="F399" s="29">
        <v>1</v>
      </c>
      <c r="G399" s="9">
        <v>1</v>
      </c>
      <c r="H399" s="9">
        <v>1</v>
      </c>
      <c r="I399" s="9">
        <v>2</v>
      </c>
      <c r="J399" s="9">
        <v>2</v>
      </c>
      <c r="K399" s="159">
        <f t="shared" si="6"/>
        <v>0.35859414261160716</v>
      </c>
      <c r="L399" s="52" t="s">
        <v>111</v>
      </c>
    </row>
    <row r="400" spans="1:12">
      <c r="A400" s="151" t="s">
        <v>114</v>
      </c>
      <c r="B400" s="59">
        <v>2013</v>
      </c>
      <c r="C400" s="336" t="s">
        <v>87</v>
      </c>
      <c r="D400" s="59">
        <v>487</v>
      </c>
      <c r="E400" s="336" t="s">
        <v>126</v>
      </c>
      <c r="F400" s="29">
        <v>1</v>
      </c>
      <c r="G400" s="9">
        <v>1</v>
      </c>
      <c r="H400" s="9">
        <v>1</v>
      </c>
      <c r="I400" s="9">
        <v>2</v>
      </c>
      <c r="J400" s="9">
        <v>2</v>
      </c>
      <c r="K400" s="159">
        <f t="shared" si="6"/>
        <v>0.35859414261160716</v>
      </c>
      <c r="L400" s="52" t="s">
        <v>111</v>
      </c>
    </row>
    <row r="401" spans="1:12">
      <c r="A401" s="151" t="s">
        <v>114</v>
      </c>
      <c r="B401" s="59">
        <v>2013</v>
      </c>
      <c r="C401" s="336" t="s">
        <v>88</v>
      </c>
      <c r="D401" s="59">
        <v>97</v>
      </c>
      <c r="E401" s="336" t="s">
        <v>126</v>
      </c>
      <c r="F401" s="29">
        <v>1</v>
      </c>
      <c r="G401" s="9">
        <v>1</v>
      </c>
      <c r="H401" s="9">
        <v>1</v>
      </c>
      <c r="I401" s="9">
        <v>2</v>
      </c>
      <c r="J401" s="9">
        <v>2</v>
      </c>
      <c r="K401" s="159">
        <f t="shared" si="6"/>
        <v>0.35859414261160716</v>
      </c>
      <c r="L401" s="52" t="s">
        <v>111</v>
      </c>
    </row>
    <row r="402" spans="1:12">
      <c r="A402" s="151" t="s">
        <v>114</v>
      </c>
      <c r="B402" s="59">
        <v>2013</v>
      </c>
      <c r="C402" s="336" t="s">
        <v>89</v>
      </c>
      <c r="D402" s="59">
        <v>71</v>
      </c>
      <c r="E402" s="336" t="s">
        <v>126</v>
      </c>
      <c r="F402" s="29">
        <v>1</v>
      </c>
      <c r="G402" s="9">
        <v>1</v>
      </c>
      <c r="H402" s="9">
        <v>1</v>
      </c>
      <c r="I402" s="9">
        <v>2</v>
      </c>
      <c r="J402" s="9">
        <v>2</v>
      </c>
      <c r="K402" s="159">
        <f t="shared" si="6"/>
        <v>0.35859414261160716</v>
      </c>
      <c r="L402" s="52" t="s">
        <v>111</v>
      </c>
    </row>
    <row r="403" spans="1:12">
      <c r="A403" s="151" t="s">
        <v>114</v>
      </c>
      <c r="B403" s="59">
        <v>2013</v>
      </c>
      <c r="C403" s="336" t="s">
        <v>90</v>
      </c>
      <c r="D403" s="59">
        <v>392</v>
      </c>
      <c r="E403" s="336" t="s">
        <v>126</v>
      </c>
      <c r="F403" s="29">
        <v>1</v>
      </c>
      <c r="G403" s="9">
        <v>1</v>
      </c>
      <c r="H403" s="9">
        <v>1</v>
      </c>
      <c r="I403" s="9">
        <v>2</v>
      </c>
      <c r="J403" s="9">
        <v>2</v>
      </c>
      <c r="K403" s="159">
        <f t="shared" si="6"/>
        <v>0.35859414261160716</v>
      </c>
      <c r="L403" s="52" t="s">
        <v>111</v>
      </c>
    </row>
    <row r="404" spans="1:12">
      <c r="A404" s="151" t="s">
        <v>114</v>
      </c>
      <c r="B404" s="59">
        <v>2013</v>
      </c>
      <c r="C404" s="336" t="s">
        <v>91</v>
      </c>
      <c r="D404" s="59">
        <v>1106</v>
      </c>
      <c r="E404" s="336" t="s">
        <v>126</v>
      </c>
      <c r="F404" s="29">
        <v>1</v>
      </c>
      <c r="G404" s="9">
        <v>1</v>
      </c>
      <c r="H404" s="9">
        <v>1</v>
      </c>
      <c r="I404" s="9">
        <v>2</v>
      </c>
      <c r="J404" s="9">
        <v>2</v>
      </c>
      <c r="K404" s="159">
        <f t="shared" si="6"/>
        <v>0.35859414261160716</v>
      </c>
      <c r="L404" s="52" t="s">
        <v>111</v>
      </c>
    </row>
    <row r="405" spans="1:12">
      <c r="A405" s="151" t="s">
        <v>114</v>
      </c>
      <c r="B405" s="59">
        <v>2013</v>
      </c>
      <c r="C405" s="336" t="s">
        <v>94</v>
      </c>
      <c r="D405" s="59">
        <v>172</v>
      </c>
      <c r="E405" s="336" t="s">
        <v>126</v>
      </c>
      <c r="F405" s="29">
        <v>1</v>
      </c>
      <c r="G405" s="9">
        <v>1</v>
      </c>
      <c r="H405" s="9">
        <v>1</v>
      </c>
      <c r="I405" s="9">
        <v>2</v>
      </c>
      <c r="J405" s="9">
        <v>2</v>
      </c>
      <c r="K405" s="159">
        <f t="shared" si="6"/>
        <v>0.35859414261160716</v>
      </c>
      <c r="L405" s="52" t="s">
        <v>111</v>
      </c>
    </row>
    <row r="406" spans="1:12">
      <c r="A406" s="151" t="s">
        <v>114</v>
      </c>
      <c r="B406" s="59">
        <v>2013</v>
      </c>
      <c r="C406" s="336" t="s">
        <v>96</v>
      </c>
      <c r="D406" s="59">
        <v>65</v>
      </c>
      <c r="E406" s="336" t="s">
        <v>126</v>
      </c>
      <c r="F406" s="29">
        <v>1</v>
      </c>
      <c r="G406" s="9">
        <v>1</v>
      </c>
      <c r="H406" s="9">
        <v>1</v>
      </c>
      <c r="I406" s="9">
        <v>2</v>
      </c>
      <c r="J406" s="9">
        <v>2</v>
      </c>
      <c r="K406" s="159">
        <f t="shared" si="6"/>
        <v>0.35859414261160716</v>
      </c>
      <c r="L406" s="52" t="s">
        <v>111</v>
      </c>
    </row>
    <row r="407" spans="1:12">
      <c r="A407" s="151" t="s">
        <v>114</v>
      </c>
      <c r="B407" s="59">
        <v>2013</v>
      </c>
      <c r="C407" s="336" t="s">
        <v>97</v>
      </c>
      <c r="D407" s="59">
        <v>285</v>
      </c>
      <c r="E407" s="336" t="s">
        <v>126</v>
      </c>
      <c r="F407" s="29">
        <v>1</v>
      </c>
      <c r="G407" s="9">
        <v>1</v>
      </c>
      <c r="H407" s="9">
        <v>1</v>
      </c>
      <c r="I407" s="9">
        <v>2</v>
      </c>
      <c r="J407" s="9">
        <v>2</v>
      </c>
      <c r="K407" s="159">
        <f t="shared" si="6"/>
        <v>0.35859414261160716</v>
      </c>
      <c r="L407" s="52" t="s">
        <v>111</v>
      </c>
    </row>
    <row r="408" spans="1:12">
      <c r="A408" s="151" t="s">
        <v>114</v>
      </c>
      <c r="B408" s="59">
        <v>2013</v>
      </c>
      <c r="C408" s="336" t="s">
        <v>95</v>
      </c>
      <c r="D408" s="59">
        <v>169</v>
      </c>
      <c r="E408" s="336" t="s">
        <v>126</v>
      </c>
      <c r="F408" s="29">
        <v>1</v>
      </c>
      <c r="G408" s="9">
        <v>1</v>
      </c>
      <c r="H408" s="9">
        <v>1</v>
      </c>
      <c r="I408" s="9">
        <v>2</v>
      </c>
      <c r="J408" s="9">
        <v>2</v>
      </c>
      <c r="K408" s="159">
        <f t="shared" si="6"/>
        <v>0.35859414261160716</v>
      </c>
      <c r="L408" s="52" t="s">
        <v>111</v>
      </c>
    </row>
    <row r="409" spans="1:12">
      <c r="A409" s="151" t="s">
        <v>114</v>
      </c>
      <c r="B409" s="59">
        <v>2013</v>
      </c>
      <c r="C409" s="336" t="s">
        <v>93</v>
      </c>
      <c r="D409" s="59">
        <v>61</v>
      </c>
      <c r="E409" s="336" t="s">
        <v>126</v>
      </c>
      <c r="F409" s="29">
        <v>1</v>
      </c>
      <c r="G409" s="9">
        <v>1</v>
      </c>
      <c r="H409" s="9">
        <v>1</v>
      </c>
      <c r="I409" s="9">
        <v>2</v>
      </c>
      <c r="J409" s="9">
        <v>2</v>
      </c>
      <c r="K409" s="159">
        <f t="shared" si="6"/>
        <v>0.35859414261160716</v>
      </c>
      <c r="L409" s="52" t="s">
        <v>111</v>
      </c>
    </row>
    <row r="410" spans="1:12">
      <c r="A410" s="151" t="s">
        <v>114</v>
      </c>
      <c r="B410" s="59">
        <v>2013</v>
      </c>
      <c r="C410" s="336" t="s">
        <v>98</v>
      </c>
      <c r="D410" s="59">
        <v>1270</v>
      </c>
      <c r="E410" s="336" t="s">
        <v>126</v>
      </c>
      <c r="F410" s="29">
        <v>1</v>
      </c>
      <c r="G410" s="9">
        <v>1</v>
      </c>
      <c r="H410" s="9">
        <v>1</v>
      </c>
      <c r="I410" s="9">
        <v>2</v>
      </c>
      <c r="J410" s="9">
        <v>2</v>
      </c>
      <c r="K410" s="159">
        <f t="shared" si="6"/>
        <v>0.35859414261160716</v>
      </c>
      <c r="L410" s="52" t="s">
        <v>111</v>
      </c>
    </row>
    <row r="411" spans="1:12">
      <c r="A411" s="151" t="s">
        <v>114</v>
      </c>
      <c r="B411" s="59">
        <v>2014</v>
      </c>
      <c r="C411" s="336" t="s">
        <v>85</v>
      </c>
      <c r="D411" s="59">
        <v>3216</v>
      </c>
      <c r="E411" s="336" t="s">
        <v>126</v>
      </c>
      <c r="F411" s="29">
        <v>1</v>
      </c>
      <c r="G411" s="9">
        <v>1</v>
      </c>
      <c r="H411" s="9">
        <v>1</v>
      </c>
      <c r="I411" s="9">
        <v>2</v>
      </c>
      <c r="J411" s="9">
        <v>2</v>
      </c>
      <c r="K411" s="159">
        <f t="shared" si="6"/>
        <v>0.35859414261160716</v>
      </c>
      <c r="L411" s="52" t="s">
        <v>111</v>
      </c>
    </row>
    <row r="412" spans="1:12">
      <c r="A412" s="151" t="s">
        <v>114</v>
      </c>
      <c r="B412" s="59">
        <v>2014</v>
      </c>
      <c r="C412" s="336" t="s">
        <v>86</v>
      </c>
      <c r="D412" s="59">
        <v>1112</v>
      </c>
      <c r="E412" s="336" t="s">
        <v>126</v>
      </c>
      <c r="F412" s="29">
        <v>1</v>
      </c>
      <c r="G412" s="9">
        <v>1</v>
      </c>
      <c r="H412" s="9">
        <v>1</v>
      </c>
      <c r="I412" s="9">
        <v>2</v>
      </c>
      <c r="J412" s="9">
        <v>2</v>
      </c>
      <c r="K412" s="159">
        <f t="shared" si="6"/>
        <v>0.35859414261160716</v>
      </c>
      <c r="L412" s="52" t="s">
        <v>111</v>
      </c>
    </row>
    <row r="413" spans="1:12">
      <c r="A413" s="151" t="s">
        <v>114</v>
      </c>
      <c r="B413" s="59">
        <v>2014</v>
      </c>
      <c r="C413" s="336" t="s">
        <v>87</v>
      </c>
      <c r="D413" s="59">
        <v>718</v>
      </c>
      <c r="E413" s="336" t="s">
        <v>126</v>
      </c>
      <c r="F413" s="29">
        <v>1</v>
      </c>
      <c r="G413" s="9">
        <v>1</v>
      </c>
      <c r="H413" s="9">
        <v>1</v>
      </c>
      <c r="I413" s="9">
        <v>2</v>
      </c>
      <c r="J413" s="9">
        <v>2</v>
      </c>
      <c r="K413" s="159">
        <f t="shared" si="6"/>
        <v>0.35859414261160716</v>
      </c>
      <c r="L413" s="52" t="s">
        <v>111</v>
      </c>
    </row>
    <row r="414" spans="1:12">
      <c r="A414" s="151" t="s">
        <v>114</v>
      </c>
      <c r="B414" s="59">
        <v>2014</v>
      </c>
      <c r="C414" s="336" t="s">
        <v>88</v>
      </c>
      <c r="D414" s="59">
        <v>68</v>
      </c>
      <c r="E414" s="336" t="s">
        <v>126</v>
      </c>
      <c r="F414" s="29">
        <v>1</v>
      </c>
      <c r="G414" s="9">
        <v>1</v>
      </c>
      <c r="H414" s="9">
        <v>1</v>
      </c>
      <c r="I414" s="9">
        <v>2</v>
      </c>
      <c r="J414" s="9">
        <v>2</v>
      </c>
      <c r="K414" s="159">
        <f t="shared" si="6"/>
        <v>0.35859414261160716</v>
      </c>
      <c r="L414" s="52" t="s">
        <v>111</v>
      </c>
    </row>
    <row r="415" spans="1:12">
      <c r="A415" s="151" t="s">
        <v>114</v>
      </c>
      <c r="B415" s="59">
        <v>2014</v>
      </c>
      <c r="C415" s="336" t="s">
        <v>89</v>
      </c>
      <c r="D415" s="59">
        <v>58</v>
      </c>
      <c r="E415" s="336" t="s">
        <v>126</v>
      </c>
      <c r="F415" s="29">
        <v>1</v>
      </c>
      <c r="G415" s="9">
        <v>1</v>
      </c>
      <c r="H415" s="9">
        <v>1</v>
      </c>
      <c r="I415" s="9">
        <v>2</v>
      </c>
      <c r="J415" s="9">
        <v>2</v>
      </c>
      <c r="K415" s="159">
        <f t="shared" si="6"/>
        <v>0.35859414261160716</v>
      </c>
      <c r="L415" s="52" t="s">
        <v>111</v>
      </c>
    </row>
    <row r="416" spans="1:12">
      <c r="A416" s="151" t="s">
        <v>114</v>
      </c>
      <c r="B416" s="59">
        <v>2014</v>
      </c>
      <c r="C416" s="336" t="s">
        <v>90</v>
      </c>
      <c r="D416" s="59">
        <v>378</v>
      </c>
      <c r="E416" s="336" t="s">
        <v>126</v>
      </c>
      <c r="F416" s="29">
        <v>1</v>
      </c>
      <c r="G416" s="9">
        <v>1</v>
      </c>
      <c r="H416" s="9">
        <v>1</v>
      </c>
      <c r="I416" s="9">
        <v>2</v>
      </c>
      <c r="J416" s="9">
        <v>2</v>
      </c>
      <c r="K416" s="159">
        <f t="shared" si="6"/>
        <v>0.35859414261160716</v>
      </c>
      <c r="L416" s="52" t="s">
        <v>111</v>
      </c>
    </row>
    <row r="417" spans="1:12">
      <c r="A417" s="151" t="s">
        <v>114</v>
      </c>
      <c r="B417" s="59">
        <v>2014</v>
      </c>
      <c r="C417" s="336" t="s">
        <v>91</v>
      </c>
      <c r="D417" s="59">
        <v>960</v>
      </c>
      <c r="E417" s="336" t="s">
        <v>126</v>
      </c>
      <c r="F417" s="29">
        <v>1</v>
      </c>
      <c r="G417" s="9">
        <v>1</v>
      </c>
      <c r="H417" s="9">
        <v>1</v>
      </c>
      <c r="I417" s="9">
        <v>2</v>
      </c>
      <c r="J417" s="9">
        <v>2</v>
      </c>
      <c r="K417" s="159">
        <f t="shared" si="6"/>
        <v>0.35859414261160716</v>
      </c>
      <c r="L417" s="52" t="s">
        <v>111</v>
      </c>
    </row>
    <row r="418" spans="1:12">
      <c r="A418" s="151" t="s">
        <v>114</v>
      </c>
      <c r="B418" s="59">
        <v>2014</v>
      </c>
      <c r="C418" s="336" t="s">
        <v>94</v>
      </c>
      <c r="D418" s="59">
        <v>179</v>
      </c>
      <c r="E418" s="336" t="s">
        <v>126</v>
      </c>
      <c r="F418" s="29">
        <v>1</v>
      </c>
      <c r="G418" s="9">
        <v>1</v>
      </c>
      <c r="H418" s="9">
        <v>1</v>
      </c>
      <c r="I418" s="9">
        <v>2</v>
      </c>
      <c r="J418" s="9">
        <v>2</v>
      </c>
      <c r="K418" s="159">
        <f t="shared" si="6"/>
        <v>0.35859414261160716</v>
      </c>
      <c r="L418" s="52" t="s">
        <v>111</v>
      </c>
    </row>
    <row r="419" spans="1:12">
      <c r="A419" s="151" t="s">
        <v>114</v>
      </c>
      <c r="B419" s="59">
        <v>2014</v>
      </c>
      <c r="C419" s="336" t="s">
        <v>96</v>
      </c>
      <c r="D419" s="59">
        <v>95</v>
      </c>
      <c r="E419" s="336" t="s">
        <v>126</v>
      </c>
      <c r="F419" s="29">
        <v>1</v>
      </c>
      <c r="G419" s="9">
        <v>1</v>
      </c>
      <c r="H419" s="9">
        <v>1</v>
      </c>
      <c r="I419" s="9">
        <v>2</v>
      </c>
      <c r="J419" s="9">
        <v>2</v>
      </c>
      <c r="K419" s="159">
        <f t="shared" si="6"/>
        <v>0.35859414261160716</v>
      </c>
      <c r="L419" s="52" t="s">
        <v>111</v>
      </c>
    </row>
    <row r="420" spans="1:12">
      <c r="A420" s="151" t="s">
        <v>114</v>
      </c>
      <c r="B420" s="59">
        <v>2014</v>
      </c>
      <c r="C420" s="336" t="s">
        <v>97</v>
      </c>
      <c r="D420" s="59">
        <v>329</v>
      </c>
      <c r="E420" s="336" t="s">
        <v>126</v>
      </c>
      <c r="F420" s="29">
        <v>1</v>
      </c>
      <c r="G420" s="9">
        <v>1</v>
      </c>
      <c r="H420" s="9">
        <v>1</v>
      </c>
      <c r="I420" s="9">
        <v>2</v>
      </c>
      <c r="J420" s="9">
        <v>2</v>
      </c>
      <c r="K420" s="159">
        <f t="shared" si="6"/>
        <v>0.35859414261160716</v>
      </c>
      <c r="L420" s="52" t="s">
        <v>111</v>
      </c>
    </row>
    <row r="421" spans="1:12">
      <c r="A421" s="151" t="s">
        <v>114</v>
      </c>
      <c r="B421" s="59">
        <v>2014</v>
      </c>
      <c r="C421" s="336" t="s">
        <v>95</v>
      </c>
      <c r="D421" s="59">
        <v>214</v>
      </c>
      <c r="E421" s="336" t="s">
        <v>126</v>
      </c>
      <c r="F421" s="29">
        <v>1</v>
      </c>
      <c r="G421" s="9">
        <v>1</v>
      </c>
      <c r="H421" s="9">
        <v>1</v>
      </c>
      <c r="I421" s="9">
        <v>2</v>
      </c>
      <c r="J421" s="9">
        <v>2</v>
      </c>
      <c r="K421" s="159">
        <f t="shared" si="6"/>
        <v>0.35859414261160716</v>
      </c>
      <c r="L421" s="52" t="s">
        <v>111</v>
      </c>
    </row>
    <row r="422" spans="1:12">
      <c r="A422" s="151" t="s">
        <v>114</v>
      </c>
      <c r="B422" s="59">
        <v>2014</v>
      </c>
      <c r="C422" s="336" t="s">
        <v>93</v>
      </c>
      <c r="D422" s="59">
        <v>66</v>
      </c>
      <c r="E422" s="336" t="s">
        <v>126</v>
      </c>
      <c r="F422" s="29">
        <v>1</v>
      </c>
      <c r="G422" s="9">
        <v>1</v>
      </c>
      <c r="H422" s="9">
        <v>1</v>
      </c>
      <c r="I422" s="9">
        <v>2</v>
      </c>
      <c r="J422" s="9">
        <v>2</v>
      </c>
      <c r="K422" s="159">
        <f t="shared" si="6"/>
        <v>0.35859414261160716</v>
      </c>
      <c r="L422" s="52" t="s">
        <v>111</v>
      </c>
    </row>
    <row r="423" spans="1:12">
      <c r="A423" s="151" t="s">
        <v>114</v>
      </c>
      <c r="B423" s="59">
        <v>2014</v>
      </c>
      <c r="C423" s="336" t="s">
        <v>98</v>
      </c>
      <c r="D423" s="59">
        <v>1633</v>
      </c>
      <c r="E423" s="336" t="s">
        <v>126</v>
      </c>
      <c r="F423" s="29">
        <v>1</v>
      </c>
      <c r="G423" s="9">
        <v>1</v>
      </c>
      <c r="H423" s="9">
        <v>1</v>
      </c>
      <c r="I423" s="9">
        <v>2</v>
      </c>
      <c r="J423" s="9">
        <v>2</v>
      </c>
      <c r="K423" s="159">
        <f t="shared" si="6"/>
        <v>0.35859414261160716</v>
      </c>
      <c r="L423" s="52" t="s">
        <v>111</v>
      </c>
    </row>
    <row r="424" spans="1:12">
      <c r="A424" s="151" t="s">
        <v>114</v>
      </c>
      <c r="B424" s="59">
        <v>2015</v>
      </c>
      <c r="C424" s="336" t="s">
        <v>85</v>
      </c>
      <c r="D424" s="59">
        <v>3427</v>
      </c>
      <c r="E424" s="336" t="s">
        <v>126</v>
      </c>
      <c r="F424" s="29">
        <v>1</v>
      </c>
      <c r="G424" s="9">
        <v>1</v>
      </c>
      <c r="H424" s="9">
        <v>1</v>
      </c>
      <c r="I424" s="9">
        <v>2</v>
      </c>
      <c r="J424" s="9">
        <v>2</v>
      </c>
      <c r="K424" s="159">
        <f t="shared" si="6"/>
        <v>0.35859414261160716</v>
      </c>
      <c r="L424" s="52" t="s">
        <v>111</v>
      </c>
    </row>
    <row r="425" spans="1:12">
      <c r="A425" s="151" t="s">
        <v>114</v>
      </c>
      <c r="B425" s="59">
        <v>2015</v>
      </c>
      <c r="C425" s="336" t="s">
        <v>86</v>
      </c>
      <c r="D425" s="59">
        <v>1146</v>
      </c>
      <c r="E425" s="336" t="s">
        <v>126</v>
      </c>
      <c r="F425" s="29">
        <v>1</v>
      </c>
      <c r="G425" s="9">
        <v>1</v>
      </c>
      <c r="H425" s="9">
        <v>1</v>
      </c>
      <c r="I425" s="9">
        <v>2</v>
      </c>
      <c r="J425" s="9">
        <v>2</v>
      </c>
      <c r="K425" s="159">
        <f t="shared" si="6"/>
        <v>0.35859414261160716</v>
      </c>
      <c r="L425" s="52" t="s">
        <v>111</v>
      </c>
    </row>
    <row r="426" spans="1:12">
      <c r="A426" s="151" t="s">
        <v>114</v>
      </c>
      <c r="B426" s="59">
        <v>2015</v>
      </c>
      <c r="C426" s="336" t="s">
        <v>87</v>
      </c>
      <c r="D426" s="59">
        <v>886</v>
      </c>
      <c r="E426" s="336" t="s">
        <v>126</v>
      </c>
      <c r="F426" s="29">
        <v>1</v>
      </c>
      <c r="G426" s="9">
        <v>1</v>
      </c>
      <c r="H426" s="9">
        <v>1</v>
      </c>
      <c r="I426" s="9">
        <v>2</v>
      </c>
      <c r="J426" s="9">
        <v>2</v>
      </c>
      <c r="K426" s="159">
        <f t="shared" si="6"/>
        <v>0.35859414261160716</v>
      </c>
      <c r="L426" s="52" t="s">
        <v>111</v>
      </c>
    </row>
    <row r="427" spans="1:12">
      <c r="A427" s="151" t="s">
        <v>114</v>
      </c>
      <c r="B427" s="59">
        <v>2015</v>
      </c>
      <c r="C427" s="336" t="s">
        <v>88</v>
      </c>
      <c r="D427" s="59">
        <v>93</v>
      </c>
      <c r="E427" s="336" t="s">
        <v>126</v>
      </c>
      <c r="F427" s="29">
        <v>1</v>
      </c>
      <c r="G427" s="9">
        <v>1</v>
      </c>
      <c r="H427" s="9">
        <v>1</v>
      </c>
      <c r="I427" s="9">
        <v>2</v>
      </c>
      <c r="J427" s="9">
        <v>2</v>
      </c>
      <c r="K427" s="159">
        <f t="shared" si="6"/>
        <v>0.35859414261160716</v>
      </c>
      <c r="L427" s="52" t="s">
        <v>111</v>
      </c>
    </row>
    <row r="428" spans="1:12">
      <c r="A428" s="151" t="s">
        <v>114</v>
      </c>
      <c r="B428" s="59">
        <v>2015</v>
      </c>
      <c r="C428" s="336" t="s">
        <v>89</v>
      </c>
      <c r="D428" s="59">
        <v>72</v>
      </c>
      <c r="E428" s="336" t="s">
        <v>126</v>
      </c>
      <c r="F428" s="29">
        <v>1</v>
      </c>
      <c r="G428" s="9">
        <v>1</v>
      </c>
      <c r="H428" s="9">
        <v>1</v>
      </c>
      <c r="I428" s="9">
        <v>2</v>
      </c>
      <c r="J428" s="9">
        <v>2</v>
      </c>
      <c r="K428" s="159">
        <f t="shared" si="6"/>
        <v>0.35859414261160716</v>
      </c>
      <c r="L428" s="52" t="s">
        <v>111</v>
      </c>
    </row>
    <row r="429" spans="1:12">
      <c r="A429" s="151" t="s">
        <v>114</v>
      </c>
      <c r="B429" s="59">
        <v>2015</v>
      </c>
      <c r="C429" s="336" t="s">
        <v>90</v>
      </c>
      <c r="D429" s="59">
        <v>388</v>
      </c>
      <c r="E429" s="336" t="s">
        <v>126</v>
      </c>
      <c r="F429" s="29">
        <v>1</v>
      </c>
      <c r="G429" s="9">
        <v>1</v>
      </c>
      <c r="H429" s="9">
        <v>1</v>
      </c>
      <c r="I429" s="9">
        <v>2</v>
      </c>
      <c r="J429" s="9">
        <v>2</v>
      </c>
      <c r="K429" s="159">
        <f t="shared" si="6"/>
        <v>0.35859414261160716</v>
      </c>
      <c r="L429" s="52" t="s">
        <v>111</v>
      </c>
    </row>
    <row r="430" spans="1:12">
      <c r="A430" s="151" t="s">
        <v>114</v>
      </c>
      <c r="B430" s="59">
        <v>2015</v>
      </c>
      <c r="C430" s="336" t="s">
        <v>91</v>
      </c>
      <c r="D430" s="59">
        <v>871</v>
      </c>
      <c r="E430" s="336" t="s">
        <v>126</v>
      </c>
      <c r="F430" s="29">
        <v>1</v>
      </c>
      <c r="G430" s="9">
        <v>1</v>
      </c>
      <c r="H430" s="9">
        <v>1</v>
      </c>
      <c r="I430" s="9">
        <v>2</v>
      </c>
      <c r="J430" s="9">
        <v>2</v>
      </c>
      <c r="K430" s="159">
        <f t="shared" si="6"/>
        <v>0.35859414261160716</v>
      </c>
      <c r="L430" s="52" t="s">
        <v>111</v>
      </c>
    </row>
    <row r="431" spans="1:12">
      <c r="A431" s="151" t="s">
        <v>114</v>
      </c>
      <c r="B431" s="59">
        <v>2015</v>
      </c>
      <c r="C431" s="336" t="s">
        <v>94</v>
      </c>
      <c r="D431" s="59">
        <v>163</v>
      </c>
      <c r="E431" s="336" t="s">
        <v>126</v>
      </c>
      <c r="F431" s="29">
        <v>1</v>
      </c>
      <c r="G431" s="9">
        <v>1</v>
      </c>
      <c r="H431" s="9">
        <v>1</v>
      </c>
      <c r="I431" s="9">
        <v>2</v>
      </c>
      <c r="J431" s="9">
        <v>2</v>
      </c>
      <c r="K431" s="159">
        <f t="shared" si="6"/>
        <v>0.35859414261160716</v>
      </c>
      <c r="L431" s="52" t="s">
        <v>111</v>
      </c>
    </row>
    <row r="432" spans="1:12">
      <c r="A432" s="151" t="s">
        <v>114</v>
      </c>
      <c r="B432" s="59">
        <v>2015</v>
      </c>
      <c r="C432" s="336" t="s">
        <v>96</v>
      </c>
      <c r="D432" s="59">
        <v>82</v>
      </c>
      <c r="E432" s="336" t="s">
        <v>126</v>
      </c>
      <c r="F432" s="29">
        <v>1</v>
      </c>
      <c r="G432" s="9">
        <v>1</v>
      </c>
      <c r="H432" s="9">
        <v>1</v>
      </c>
      <c r="I432" s="9">
        <v>2</v>
      </c>
      <c r="J432" s="9">
        <v>2</v>
      </c>
      <c r="K432" s="159">
        <f t="shared" si="6"/>
        <v>0.35859414261160716</v>
      </c>
      <c r="L432" s="52" t="s">
        <v>111</v>
      </c>
    </row>
    <row r="433" spans="1:12">
      <c r="A433" s="151" t="s">
        <v>114</v>
      </c>
      <c r="B433" s="59">
        <v>2015</v>
      </c>
      <c r="C433" s="336" t="s">
        <v>97</v>
      </c>
      <c r="D433" s="59">
        <v>324</v>
      </c>
      <c r="E433" s="336" t="s">
        <v>126</v>
      </c>
      <c r="F433" s="29">
        <v>1</v>
      </c>
      <c r="G433" s="9">
        <v>1</v>
      </c>
      <c r="H433" s="9">
        <v>1</v>
      </c>
      <c r="I433" s="9">
        <v>2</v>
      </c>
      <c r="J433" s="9">
        <v>2</v>
      </c>
      <c r="K433" s="159">
        <f t="shared" si="6"/>
        <v>0.35859414261160716</v>
      </c>
      <c r="L433" s="52" t="s">
        <v>111</v>
      </c>
    </row>
    <row r="434" spans="1:12">
      <c r="A434" s="151" t="s">
        <v>114</v>
      </c>
      <c r="B434" s="59">
        <v>2015</v>
      </c>
      <c r="C434" s="336" t="s">
        <v>95</v>
      </c>
      <c r="D434" s="59">
        <v>236</v>
      </c>
      <c r="E434" s="336" t="s">
        <v>126</v>
      </c>
      <c r="F434" s="29">
        <v>1</v>
      </c>
      <c r="G434" s="9">
        <v>1</v>
      </c>
      <c r="H434" s="9">
        <v>1</v>
      </c>
      <c r="I434" s="9">
        <v>2</v>
      </c>
      <c r="J434" s="9">
        <v>2</v>
      </c>
      <c r="K434" s="159">
        <f t="shared" si="6"/>
        <v>0.35859414261160716</v>
      </c>
      <c r="L434" s="52" t="s">
        <v>111</v>
      </c>
    </row>
    <row r="435" spans="1:12">
      <c r="A435" s="151" t="s">
        <v>114</v>
      </c>
      <c r="B435" s="59">
        <v>2015</v>
      </c>
      <c r="C435" s="336" t="s">
        <v>93</v>
      </c>
      <c r="D435" s="59">
        <v>64</v>
      </c>
      <c r="E435" s="336" t="s">
        <v>126</v>
      </c>
      <c r="F435" s="29">
        <v>1</v>
      </c>
      <c r="G435" s="9">
        <v>1</v>
      </c>
      <c r="H435" s="9">
        <v>1</v>
      </c>
      <c r="I435" s="9">
        <v>2</v>
      </c>
      <c r="J435" s="9">
        <v>2</v>
      </c>
      <c r="K435" s="159">
        <f t="shared" si="6"/>
        <v>0.35859414261160716</v>
      </c>
      <c r="L435" s="52" t="s">
        <v>111</v>
      </c>
    </row>
    <row r="436" spans="1:12">
      <c r="A436" s="151" t="s">
        <v>114</v>
      </c>
      <c r="B436" s="59">
        <v>2015</v>
      </c>
      <c r="C436" s="336" t="s">
        <v>98</v>
      </c>
      <c r="D436" s="59">
        <v>1809</v>
      </c>
      <c r="E436" s="336" t="s">
        <v>126</v>
      </c>
      <c r="F436" s="29">
        <v>1</v>
      </c>
      <c r="G436" s="9">
        <v>1</v>
      </c>
      <c r="H436" s="9">
        <v>1</v>
      </c>
      <c r="I436" s="9">
        <v>2</v>
      </c>
      <c r="J436" s="9">
        <v>2</v>
      </c>
      <c r="K436" s="159">
        <f t="shared" si="6"/>
        <v>0.35859414261160716</v>
      </c>
      <c r="L436" s="52" t="s">
        <v>111</v>
      </c>
    </row>
    <row r="437" spans="1:12">
      <c r="A437" s="151" t="s">
        <v>114</v>
      </c>
      <c r="B437" s="59">
        <v>2016</v>
      </c>
      <c r="C437" s="336" t="s">
        <v>85</v>
      </c>
      <c r="D437" s="59">
        <v>3642</v>
      </c>
      <c r="E437" s="336" t="s">
        <v>126</v>
      </c>
      <c r="F437" s="29">
        <v>1</v>
      </c>
      <c r="G437" s="9">
        <v>1</v>
      </c>
      <c r="H437" s="9">
        <v>1</v>
      </c>
      <c r="I437" s="9">
        <v>2</v>
      </c>
      <c r="J437" s="9">
        <v>2</v>
      </c>
      <c r="K437" s="159">
        <f t="shared" si="6"/>
        <v>0.35859414261160716</v>
      </c>
      <c r="L437" s="52" t="s">
        <v>111</v>
      </c>
    </row>
    <row r="438" spans="1:12">
      <c r="A438" s="151" t="s">
        <v>114</v>
      </c>
      <c r="B438" s="59">
        <v>2016</v>
      </c>
      <c r="C438" s="336" t="s">
        <v>86</v>
      </c>
      <c r="D438" s="59">
        <v>1070</v>
      </c>
      <c r="E438" s="336" t="s">
        <v>126</v>
      </c>
      <c r="F438" s="29">
        <v>1</v>
      </c>
      <c r="G438" s="9">
        <v>1</v>
      </c>
      <c r="H438" s="9">
        <v>1</v>
      </c>
      <c r="I438" s="9">
        <v>2</v>
      </c>
      <c r="J438" s="9">
        <v>2</v>
      </c>
      <c r="K438" s="159">
        <f t="shared" si="6"/>
        <v>0.35859414261160716</v>
      </c>
      <c r="L438" s="52" t="s">
        <v>111</v>
      </c>
    </row>
    <row r="439" spans="1:12">
      <c r="A439" s="151" t="s">
        <v>114</v>
      </c>
      <c r="B439" s="59">
        <v>2016</v>
      </c>
      <c r="C439" s="336" t="s">
        <v>87</v>
      </c>
      <c r="D439" s="59">
        <v>968</v>
      </c>
      <c r="E439" s="336" t="s">
        <v>126</v>
      </c>
      <c r="F439" s="29">
        <v>1</v>
      </c>
      <c r="G439" s="9">
        <v>1</v>
      </c>
      <c r="H439" s="9">
        <v>1</v>
      </c>
      <c r="I439" s="9">
        <v>2</v>
      </c>
      <c r="J439" s="9">
        <v>2</v>
      </c>
      <c r="K439" s="159">
        <f t="shared" si="6"/>
        <v>0.35859414261160716</v>
      </c>
      <c r="L439" s="52" t="s">
        <v>111</v>
      </c>
    </row>
    <row r="440" spans="1:12">
      <c r="A440" s="151" t="s">
        <v>114</v>
      </c>
      <c r="B440" s="59">
        <v>2016</v>
      </c>
      <c r="C440" s="336" t="s">
        <v>88</v>
      </c>
      <c r="D440" s="59">
        <v>63</v>
      </c>
      <c r="E440" s="336" t="s">
        <v>126</v>
      </c>
      <c r="F440" s="29">
        <v>1</v>
      </c>
      <c r="G440" s="9">
        <v>1</v>
      </c>
      <c r="H440" s="9">
        <v>1</v>
      </c>
      <c r="I440" s="9">
        <v>2</v>
      </c>
      <c r="J440" s="9">
        <v>2</v>
      </c>
      <c r="K440" s="159">
        <f t="shared" si="6"/>
        <v>0.35859414261160716</v>
      </c>
      <c r="L440" s="52" t="s">
        <v>111</v>
      </c>
    </row>
    <row r="441" spans="1:12">
      <c r="A441" s="151" t="s">
        <v>114</v>
      </c>
      <c r="B441" s="59">
        <v>2016</v>
      </c>
      <c r="C441" s="336" t="s">
        <v>89</v>
      </c>
      <c r="D441" s="59">
        <v>69</v>
      </c>
      <c r="E441" s="336" t="s">
        <v>126</v>
      </c>
      <c r="F441" s="29">
        <v>1</v>
      </c>
      <c r="G441" s="9">
        <v>1</v>
      </c>
      <c r="H441" s="9">
        <v>1</v>
      </c>
      <c r="I441" s="9">
        <v>2</v>
      </c>
      <c r="J441" s="9">
        <v>2</v>
      </c>
      <c r="K441" s="159">
        <f t="shared" ref="K441:K504" si="7">IF( OR( ISBLANK(F441),ISBLANK(G441), ISBLANK(H441), ISBLANK(I441), ISBLANK(J441) ), "", 1.5*SQRT(   EXP(2.21*(F441-1)) + EXP(2.21*(G441-1)) + EXP(2.21*(H441-1)) + EXP(2.21*(I441-1)) + EXP(2.21*J441)   )/100*2.45 )</f>
        <v>0.35859414261160716</v>
      </c>
      <c r="L441" s="52" t="s">
        <v>111</v>
      </c>
    </row>
    <row r="442" spans="1:12">
      <c r="A442" s="151" t="s">
        <v>114</v>
      </c>
      <c r="B442" s="59">
        <v>2016</v>
      </c>
      <c r="C442" s="336" t="s">
        <v>90</v>
      </c>
      <c r="D442" s="59">
        <v>316</v>
      </c>
      <c r="E442" s="336" t="s">
        <v>126</v>
      </c>
      <c r="F442" s="29">
        <v>1</v>
      </c>
      <c r="G442" s="9">
        <v>1</v>
      </c>
      <c r="H442" s="9">
        <v>1</v>
      </c>
      <c r="I442" s="9">
        <v>2</v>
      </c>
      <c r="J442" s="9">
        <v>2</v>
      </c>
      <c r="K442" s="159">
        <f t="shared" si="7"/>
        <v>0.35859414261160716</v>
      </c>
      <c r="L442" s="52" t="s">
        <v>111</v>
      </c>
    </row>
    <row r="443" spans="1:12">
      <c r="A443" s="151" t="s">
        <v>114</v>
      </c>
      <c r="B443" s="59">
        <v>2016</v>
      </c>
      <c r="C443" s="336" t="s">
        <v>91</v>
      </c>
      <c r="D443" s="59">
        <v>706</v>
      </c>
      <c r="E443" s="336" t="s">
        <v>126</v>
      </c>
      <c r="F443" s="29">
        <v>1</v>
      </c>
      <c r="G443" s="9">
        <v>1</v>
      </c>
      <c r="H443" s="9">
        <v>1</v>
      </c>
      <c r="I443" s="9">
        <v>2</v>
      </c>
      <c r="J443" s="9">
        <v>2</v>
      </c>
      <c r="K443" s="159">
        <f t="shared" si="7"/>
        <v>0.35859414261160716</v>
      </c>
      <c r="L443" s="52" t="s">
        <v>111</v>
      </c>
    </row>
    <row r="444" spans="1:12">
      <c r="A444" s="151" t="s">
        <v>114</v>
      </c>
      <c r="B444" s="59">
        <v>2016</v>
      </c>
      <c r="C444" s="336" t="s">
        <v>94</v>
      </c>
      <c r="D444" s="59">
        <v>158</v>
      </c>
      <c r="E444" s="336" t="s">
        <v>126</v>
      </c>
      <c r="F444" s="29">
        <v>1</v>
      </c>
      <c r="G444" s="9">
        <v>1</v>
      </c>
      <c r="H444" s="9">
        <v>1</v>
      </c>
      <c r="I444" s="9">
        <v>2</v>
      </c>
      <c r="J444" s="9">
        <v>2</v>
      </c>
      <c r="K444" s="159">
        <f t="shared" si="7"/>
        <v>0.35859414261160716</v>
      </c>
      <c r="L444" s="52" t="s">
        <v>111</v>
      </c>
    </row>
    <row r="445" spans="1:12">
      <c r="A445" s="151" t="s">
        <v>114</v>
      </c>
      <c r="B445" s="59">
        <v>2016</v>
      </c>
      <c r="C445" s="336" t="s">
        <v>96</v>
      </c>
      <c r="D445" s="59">
        <v>101</v>
      </c>
      <c r="E445" s="336" t="s">
        <v>126</v>
      </c>
      <c r="F445" s="29">
        <v>1</v>
      </c>
      <c r="G445" s="9">
        <v>1</v>
      </c>
      <c r="H445" s="9">
        <v>1</v>
      </c>
      <c r="I445" s="9">
        <v>2</v>
      </c>
      <c r="J445" s="9">
        <v>2</v>
      </c>
      <c r="K445" s="159">
        <f t="shared" si="7"/>
        <v>0.35859414261160716</v>
      </c>
      <c r="L445" s="52" t="s">
        <v>111</v>
      </c>
    </row>
    <row r="446" spans="1:12">
      <c r="A446" s="151" t="s">
        <v>114</v>
      </c>
      <c r="B446" s="59">
        <v>2016</v>
      </c>
      <c r="C446" s="336" t="s">
        <v>97</v>
      </c>
      <c r="D446" s="59">
        <v>309</v>
      </c>
      <c r="E446" s="336" t="s">
        <v>126</v>
      </c>
      <c r="F446" s="29">
        <v>1</v>
      </c>
      <c r="G446" s="9">
        <v>1</v>
      </c>
      <c r="H446" s="9">
        <v>1</v>
      </c>
      <c r="I446" s="9">
        <v>2</v>
      </c>
      <c r="J446" s="9">
        <v>2</v>
      </c>
      <c r="K446" s="159">
        <f t="shared" si="7"/>
        <v>0.35859414261160716</v>
      </c>
      <c r="L446" s="52" t="s">
        <v>111</v>
      </c>
    </row>
    <row r="447" spans="1:12">
      <c r="A447" s="151" t="s">
        <v>114</v>
      </c>
      <c r="B447" s="59">
        <v>2016</v>
      </c>
      <c r="C447" s="336" t="s">
        <v>95</v>
      </c>
      <c r="D447" s="59">
        <v>249</v>
      </c>
      <c r="E447" s="336" t="s">
        <v>126</v>
      </c>
      <c r="F447" s="29">
        <v>1</v>
      </c>
      <c r="G447" s="9">
        <v>1</v>
      </c>
      <c r="H447" s="9">
        <v>1</v>
      </c>
      <c r="I447" s="9">
        <v>2</v>
      </c>
      <c r="J447" s="9">
        <v>2</v>
      </c>
      <c r="K447" s="159">
        <f t="shared" si="7"/>
        <v>0.35859414261160716</v>
      </c>
      <c r="L447" s="52" t="s">
        <v>111</v>
      </c>
    </row>
    <row r="448" spans="1:12">
      <c r="A448" s="151" t="s">
        <v>114</v>
      </c>
      <c r="B448" s="59">
        <v>2016</v>
      </c>
      <c r="C448" s="336" t="s">
        <v>93</v>
      </c>
      <c r="D448" s="59">
        <v>55</v>
      </c>
      <c r="E448" s="336" t="s">
        <v>126</v>
      </c>
      <c r="F448" s="29">
        <v>1</v>
      </c>
      <c r="G448" s="9">
        <v>1</v>
      </c>
      <c r="H448" s="9">
        <v>1</v>
      </c>
      <c r="I448" s="9">
        <v>2</v>
      </c>
      <c r="J448" s="9">
        <v>2</v>
      </c>
      <c r="K448" s="159">
        <f t="shared" si="7"/>
        <v>0.35859414261160716</v>
      </c>
      <c r="L448" s="52" t="s">
        <v>111</v>
      </c>
    </row>
    <row r="449" spans="1:12">
      <c r="A449" s="151" t="s">
        <v>114</v>
      </c>
      <c r="B449" s="59">
        <v>2016</v>
      </c>
      <c r="C449" s="336" t="s">
        <v>98</v>
      </c>
      <c r="D449" s="59">
        <v>1838</v>
      </c>
      <c r="E449" s="336" t="s">
        <v>126</v>
      </c>
      <c r="F449" s="29">
        <v>1</v>
      </c>
      <c r="G449" s="9">
        <v>1</v>
      </c>
      <c r="H449" s="9">
        <v>1</v>
      </c>
      <c r="I449" s="9">
        <v>2</v>
      </c>
      <c r="J449" s="9">
        <v>2</v>
      </c>
      <c r="K449" s="159">
        <f t="shared" si="7"/>
        <v>0.35859414261160716</v>
      </c>
      <c r="L449" s="52" t="s">
        <v>111</v>
      </c>
    </row>
    <row r="450" spans="1:12">
      <c r="A450" s="151" t="s">
        <v>114</v>
      </c>
      <c r="B450" s="59">
        <v>2017</v>
      </c>
      <c r="C450" s="336" t="s">
        <v>85</v>
      </c>
      <c r="D450" s="59">
        <v>1911</v>
      </c>
      <c r="E450" s="336" t="s">
        <v>126</v>
      </c>
      <c r="F450" s="29">
        <v>1</v>
      </c>
      <c r="G450" s="9">
        <v>1</v>
      </c>
      <c r="H450" s="9">
        <v>1</v>
      </c>
      <c r="I450" s="9">
        <v>2</v>
      </c>
      <c r="J450" s="9">
        <v>2</v>
      </c>
      <c r="K450" s="159">
        <f t="shared" si="7"/>
        <v>0.35859414261160716</v>
      </c>
      <c r="L450" s="52" t="s">
        <v>111</v>
      </c>
    </row>
    <row r="451" spans="1:12">
      <c r="A451" s="151" t="s">
        <v>114</v>
      </c>
      <c r="B451" s="59">
        <v>2017</v>
      </c>
      <c r="C451" s="336" t="s">
        <v>86</v>
      </c>
      <c r="D451" s="59">
        <v>1075</v>
      </c>
      <c r="E451" s="336" t="s">
        <v>126</v>
      </c>
      <c r="F451" s="29">
        <v>1</v>
      </c>
      <c r="G451" s="9">
        <v>1</v>
      </c>
      <c r="H451" s="9">
        <v>1</v>
      </c>
      <c r="I451" s="9">
        <v>2</v>
      </c>
      <c r="J451" s="9">
        <v>2</v>
      </c>
      <c r="K451" s="159">
        <f t="shared" si="7"/>
        <v>0.35859414261160716</v>
      </c>
      <c r="L451" s="52" t="s">
        <v>111</v>
      </c>
    </row>
    <row r="452" spans="1:12">
      <c r="A452" s="151" t="s">
        <v>114</v>
      </c>
      <c r="B452" s="59">
        <v>2017</v>
      </c>
      <c r="C452" s="336" t="s">
        <v>87</v>
      </c>
      <c r="D452" s="59">
        <v>467</v>
      </c>
      <c r="E452" s="336" t="s">
        <v>126</v>
      </c>
      <c r="F452" s="29">
        <v>1</v>
      </c>
      <c r="G452" s="9">
        <v>1</v>
      </c>
      <c r="H452" s="9">
        <v>1</v>
      </c>
      <c r="I452" s="9">
        <v>2</v>
      </c>
      <c r="J452" s="9">
        <v>2</v>
      </c>
      <c r="K452" s="159">
        <f t="shared" si="7"/>
        <v>0.35859414261160716</v>
      </c>
      <c r="L452" s="52" t="s">
        <v>111</v>
      </c>
    </row>
    <row r="453" spans="1:12">
      <c r="A453" s="151" t="s">
        <v>114</v>
      </c>
      <c r="B453" s="59">
        <v>2017</v>
      </c>
      <c r="C453" s="336" t="s">
        <v>88</v>
      </c>
      <c r="D453" s="59">
        <v>216</v>
      </c>
      <c r="E453" s="336" t="s">
        <v>126</v>
      </c>
      <c r="F453" s="29">
        <v>1</v>
      </c>
      <c r="G453" s="9">
        <v>1</v>
      </c>
      <c r="H453" s="9">
        <v>1</v>
      </c>
      <c r="I453" s="9">
        <v>2</v>
      </c>
      <c r="J453" s="9">
        <v>2</v>
      </c>
      <c r="K453" s="159">
        <f t="shared" si="7"/>
        <v>0.35859414261160716</v>
      </c>
      <c r="L453" s="52" t="s">
        <v>111</v>
      </c>
    </row>
    <row r="454" spans="1:12">
      <c r="A454" s="151" t="s">
        <v>114</v>
      </c>
      <c r="B454" s="59">
        <v>2017</v>
      </c>
      <c r="C454" s="336" t="s">
        <v>89</v>
      </c>
      <c r="D454" s="59">
        <v>46</v>
      </c>
      <c r="E454" s="336" t="s">
        <v>126</v>
      </c>
      <c r="F454" s="29">
        <v>1</v>
      </c>
      <c r="G454" s="9">
        <v>1</v>
      </c>
      <c r="H454" s="9">
        <v>1</v>
      </c>
      <c r="I454" s="9">
        <v>2</v>
      </c>
      <c r="J454" s="9">
        <v>2</v>
      </c>
      <c r="K454" s="159">
        <f t="shared" si="7"/>
        <v>0.35859414261160716</v>
      </c>
      <c r="L454" s="52" t="s">
        <v>111</v>
      </c>
    </row>
    <row r="455" spans="1:12">
      <c r="A455" s="151" t="s">
        <v>114</v>
      </c>
      <c r="B455" s="59">
        <v>2017</v>
      </c>
      <c r="C455" s="336" t="s">
        <v>90</v>
      </c>
      <c r="D455" s="59">
        <v>297</v>
      </c>
      <c r="E455" s="336" t="s">
        <v>126</v>
      </c>
      <c r="F455" s="29">
        <v>1</v>
      </c>
      <c r="G455" s="9">
        <v>1</v>
      </c>
      <c r="H455" s="9">
        <v>1</v>
      </c>
      <c r="I455" s="9">
        <v>2</v>
      </c>
      <c r="J455" s="9">
        <v>2</v>
      </c>
      <c r="K455" s="159">
        <f t="shared" si="7"/>
        <v>0.35859414261160716</v>
      </c>
      <c r="L455" s="52" t="s">
        <v>111</v>
      </c>
    </row>
    <row r="456" spans="1:12">
      <c r="A456" s="151" t="s">
        <v>114</v>
      </c>
      <c r="B456" s="59">
        <v>2017</v>
      </c>
      <c r="C456" s="336" t="s">
        <v>91</v>
      </c>
      <c r="D456" s="59">
        <v>909</v>
      </c>
      <c r="E456" s="336" t="s">
        <v>126</v>
      </c>
      <c r="F456" s="29">
        <v>1</v>
      </c>
      <c r="G456" s="9">
        <v>1</v>
      </c>
      <c r="H456" s="9">
        <v>1</v>
      </c>
      <c r="I456" s="9">
        <v>2</v>
      </c>
      <c r="J456" s="9">
        <v>2</v>
      </c>
      <c r="K456" s="159">
        <f t="shared" si="7"/>
        <v>0.35859414261160716</v>
      </c>
      <c r="L456" s="52" t="s">
        <v>111</v>
      </c>
    </row>
    <row r="457" spans="1:12">
      <c r="A457" s="151" t="s">
        <v>114</v>
      </c>
      <c r="B457" s="59">
        <v>2017</v>
      </c>
      <c r="C457" s="336" t="s">
        <v>94</v>
      </c>
      <c r="D457" s="59">
        <v>213</v>
      </c>
      <c r="E457" s="336" t="s">
        <v>126</v>
      </c>
      <c r="F457" s="29">
        <v>1</v>
      </c>
      <c r="G457" s="9">
        <v>1</v>
      </c>
      <c r="H457" s="9">
        <v>1</v>
      </c>
      <c r="I457" s="9">
        <v>2</v>
      </c>
      <c r="J457" s="9">
        <v>2</v>
      </c>
      <c r="K457" s="159">
        <f t="shared" si="7"/>
        <v>0.35859414261160716</v>
      </c>
      <c r="L457" s="52" t="s">
        <v>111</v>
      </c>
    </row>
    <row r="458" spans="1:12">
      <c r="A458" s="151" t="s">
        <v>114</v>
      </c>
      <c r="B458" s="59">
        <v>2017</v>
      </c>
      <c r="C458" s="336" t="s">
        <v>96</v>
      </c>
      <c r="D458" s="59">
        <v>106</v>
      </c>
      <c r="E458" s="336" t="s">
        <v>126</v>
      </c>
      <c r="F458" s="29">
        <v>1</v>
      </c>
      <c r="G458" s="9">
        <v>1</v>
      </c>
      <c r="H458" s="9">
        <v>1</v>
      </c>
      <c r="I458" s="9">
        <v>2</v>
      </c>
      <c r="J458" s="9">
        <v>2</v>
      </c>
      <c r="K458" s="159">
        <f t="shared" si="7"/>
        <v>0.35859414261160716</v>
      </c>
      <c r="L458" s="52" t="s">
        <v>111</v>
      </c>
    </row>
    <row r="459" spans="1:12">
      <c r="A459" s="151" t="s">
        <v>114</v>
      </c>
      <c r="B459" s="59">
        <v>2017</v>
      </c>
      <c r="C459" s="336" t="s">
        <v>97</v>
      </c>
      <c r="D459" s="59">
        <v>306</v>
      </c>
      <c r="E459" s="336" t="s">
        <v>126</v>
      </c>
      <c r="F459" s="29">
        <v>1</v>
      </c>
      <c r="G459" s="9">
        <v>1</v>
      </c>
      <c r="H459" s="9">
        <v>1</v>
      </c>
      <c r="I459" s="9">
        <v>2</v>
      </c>
      <c r="J459" s="9">
        <v>2</v>
      </c>
      <c r="K459" s="159">
        <f t="shared" si="7"/>
        <v>0.35859414261160716</v>
      </c>
      <c r="L459" s="52" t="s">
        <v>111</v>
      </c>
    </row>
    <row r="460" spans="1:12">
      <c r="A460" s="151" t="s">
        <v>114</v>
      </c>
      <c r="B460" s="59">
        <v>2017</v>
      </c>
      <c r="C460" s="336" t="s">
        <v>95</v>
      </c>
      <c r="D460" s="59">
        <v>214</v>
      </c>
      <c r="E460" s="336" t="s">
        <v>126</v>
      </c>
      <c r="F460" s="29">
        <v>1</v>
      </c>
      <c r="G460" s="9">
        <v>1</v>
      </c>
      <c r="H460" s="9">
        <v>1</v>
      </c>
      <c r="I460" s="9">
        <v>2</v>
      </c>
      <c r="J460" s="9">
        <v>2</v>
      </c>
      <c r="K460" s="159">
        <f t="shared" si="7"/>
        <v>0.35859414261160716</v>
      </c>
      <c r="L460" s="52" t="s">
        <v>111</v>
      </c>
    </row>
    <row r="461" spans="1:12">
      <c r="A461" s="151" t="s">
        <v>114</v>
      </c>
      <c r="B461" s="59">
        <v>2017</v>
      </c>
      <c r="C461" s="336" t="s">
        <v>93</v>
      </c>
      <c r="D461" s="59">
        <v>52</v>
      </c>
      <c r="E461" s="336" t="s">
        <v>126</v>
      </c>
      <c r="F461" s="29">
        <v>1</v>
      </c>
      <c r="G461" s="9">
        <v>1</v>
      </c>
      <c r="H461" s="9">
        <v>1</v>
      </c>
      <c r="I461" s="9">
        <v>2</v>
      </c>
      <c r="J461" s="9">
        <v>2</v>
      </c>
      <c r="K461" s="159">
        <f t="shared" si="7"/>
        <v>0.35859414261160716</v>
      </c>
      <c r="L461" s="52" t="s">
        <v>111</v>
      </c>
    </row>
    <row r="462" spans="1:12">
      <c r="A462" s="151" t="s">
        <v>114</v>
      </c>
      <c r="B462" s="59">
        <v>2017</v>
      </c>
      <c r="C462" s="336" t="s">
        <v>98</v>
      </c>
      <c r="D462" s="59">
        <v>1465</v>
      </c>
      <c r="E462" s="336" t="s">
        <v>126</v>
      </c>
      <c r="F462" s="29">
        <v>1</v>
      </c>
      <c r="G462" s="9">
        <v>1</v>
      </c>
      <c r="H462" s="9">
        <v>1</v>
      </c>
      <c r="I462" s="9">
        <v>2</v>
      </c>
      <c r="J462" s="9">
        <v>2</v>
      </c>
      <c r="K462" s="159">
        <f t="shared" si="7"/>
        <v>0.35859414261160716</v>
      </c>
      <c r="L462" s="52" t="s">
        <v>111</v>
      </c>
    </row>
    <row r="463" spans="1:12">
      <c r="A463" s="151" t="s">
        <v>114</v>
      </c>
      <c r="B463" s="59">
        <v>2018</v>
      </c>
      <c r="C463" s="336" t="s">
        <v>85</v>
      </c>
      <c r="D463" s="59">
        <v>2104</v>
      </c>
      <c r="E463" s="336" t="s">
        <v>126</v>
      </c>
      <c r="F463" s="29">
        <v>1</v>
      </c>
      <c r="G463" s="9">
        <v>1</v>
      </c>
      <c r="H463" s="9">
        <v>1</v>
      </c>
      <c r="I463" s="9">
        <v>2</v>
      </c>
      <c r="J463" s="9">
        <v>2</v>
      </c>
      <c r="K463" s="159">
        <f t="shared" si="7"/>
        <v>0.35859414261160716</v>
      </c>
      <c r="L463" s="52" t="s">
        <v>111</v>
      </c>
    </row>
    <row r="464" spans="1:12">
      <c r="A464" s="151" t="s">
        <v>114</v>
      </c>
      <c r="B464" s="59">
        <v>2018</v>
      </c>
      <c r="C464" s="336" t="s">
        <v>86</v>
      </c>
      <c r="D464" s="59">
        <v>967</v>
      </c>
      <c r="E464" s="336" t="s">
        <v>126</v>
      </c>
      <c r="F464" s="29">
        <v>1</v>
      </c>
      <c r="G464" s="9">
        <v>1</v>
      </c>
      <c r="H464" s="9">
        <v>1</v>
      </c>
      <c r="I464" s="9">
        <v>2</v>
      </c>
      <c r="J464" s="9">
        <v>2</v>
      </c>
      <c r="K464" s="159">
        <f t="shared" si="7"/>
        <v>0.35859414261160716</v>
      </c>
      <c r="L464" s="52" t="s">
        <v>111</v>
      </c>
    </row>
    <row r="465" spans="1:12">
      <c r="A465" s="151" t="s">
        <v>114</v>
      </c>
      <c r="B465" s="59">
        <v>2018</v>
      </c>
      <c r="C465" s="336" t="s">
        <v>87</v>
      </c>
      <c r="D465" s="59">
        <v>423</v>
      </c>
      <c r="E465" s="336" t="s">
        <v>126</v>
      </c>
      <c r="F465" s="29">
        <v>1</v>
      </c>
      <c r="G465" s="9">
        <v>1</v>
      </c>
      <c r="H465" s="9">
        <v>1</v>
      </c>
      <c r="I465" s="9">
        <v>2</v>
      </c>
      <c r="J465" s="9">
        <v>2</v>
      </c>
      <c r="K465" s="159">
        <f t="shared" si="7"/>
        <v>0.35859414261160716</v>
      </c>
      <c r="L465" s="52" t="s">
        <v>111</v>
      </c>
    </row>
    <row r="466" spans="1:12">
      <c r="A466" s="151" t="s">
        <v>114</v>
      </c>
      <c r="B466" s="59">
        <v>2018</v>
      </c>
      <c r="C466" s="336" t="s">
        <v>88</v>
      </c>
      <c r="D466" s="59">
        <v>198</v>
      </c>
      <c r="E466" s="336" t="s">
        <v>126</v>
      </c>
      <c r="F466" s="29">
        <v>1</v>
      </c>
      <c r="G466" s="9">
        <v>1</v>
      </c>
      <c r="H466" s="9">
        <v>1</v>
      </c>
      <c r="I466" s="9">
        <v>2</v>
      </c>
      <c r="J466" s="9">
        <v>2</v>
      </c>
      <c r="K466" s="159">
        <f t="shared" si="7"/>
        <v>0.35859414261160716</v>
      </c>
      <c r="L466" s="52" t="s">
        <v>111</v>
      </c>
    </row>
    <row r="467" spans="1:12">
      <c r="A467" s="151" t="s">
        <v>114</v>
      </c>
      <c r="B467" s="59">
        <v>2018</v>
      </c>
      <c r="C467" s="336" t="s">
        <v>89</v>
      </c>
      <c r="D467" s="59">
        <v>48</v>
      </c>
      <c r="E467" s="336" t="s">
        <v>126</v>
      </c>
      <c r="F467" s="29">
        <v>1</v>
      </c>
      <c r="G467" s="9">
        <v>1</v>
      </c>
      <c r="H467" s="9">
        <v>1</v>
      </c>
      <c r="I467" s="9">
        <v>2</v>
      </c>
      <c r="J467" s="9">
        <v>2</v>
      </c>
      <c r="K467" s="159">
        <f t="shared" si="7"/>
        <v>0.35859414261160716</v>
      </c>
      <c r="L467" s="52" t="s">
        <v>111</v>
      </c>
    </row>
    <row r="468" spans="1:12">
      <c r="A468" s="151" t="s">
        <v>114</v>
      </c>
      <c r="B468" s="59">
        <v>2018</v>
      </c>
      <c r="C468" s="336" t="s">
        <v>90</v>
      </c>
      <c r="D468" s="59">
        <v>267</v>
      </c>
      <c r="E468" s="336" t="s">
        <v>126</v>
      </c>
      <c r="F468" s="29">
        <v>1</v>
      </c>
      <c r="G468" s="9">
        <v>1</v>
      </c>
      <c r="H468" s="9">
        <v>1</v>
      </c>
      <c r="I468" s="9">
        <v>2</v>
      </c>
      <c r="J468" s="9">
        <v>2</v>
      </c>
      <c r="K468" s="159">
        <f t="shared" si="7"/>
        <v>0.35859414261160716</v>
      </c>
      <c r="L468" s="52" t="s">
        <v>111</v>
      </c>
    </row>
    <row r="469" spans="1:12">
      <c r="A469" s="151" t="s">
        <v>114</v>
      </c>
      <c r="B469" s="59">
        <v>2018</v>
      </c>
      <c r="C469" s="336" t="s">
        <v>91</v>
      </c>
      <c r="D469" s="59">
        <v>831</v>
      </c>
      <c r="E469" s="336" t="s">
        <v>126</v>
      </c>
      <c r="F469" s="29">
        <v>1</v>
      </c>
      <c r="G469" s="9">
        <v>1</v>
      </c>
      <c r="H469" s="9">
        <v>1</v>
      </c>
      <c r="I469" s="9">
        <v>2</v>
      </c>
      <c r="J469" s="9">
        <v>2</v>
      </c>
      <c r="K469" s="159">
        <f t="shared" si="7"/>
        <v>0.35859414261160716</v>
      </c>
      <c r="L469" s="52" t="s">
        <v>111</v>
      </c>
    </row>
    <row r="470" spans="1:12">
      <c r="A470" s="151" t="s">
        <v>114</v>
      </c>
      <c r="B470" s="59">
        <v>2018</v>
      </c>
      <c r="C470" s="336" t="s">
        <v>94</v>
      </c>
      <c r="D470" s="59">
        <v>194</v>
      </c>
      <c r="E470" s="336" t="s">
        <v>126</v>
      </c>
      <c r="F470" s="29">
        <v>1</v>
      </c>
      <c r="G470" s="9">
        <v>1</v>
      </c>
      <c r="H470" s="9">
        <v>1</v>
      </c>
      <c r="I470" s="9">
        <v>2</v>
      </c>
      <c r="J470" s="9">
        <v>2</v>
      </c>
      <c r="K470" s="159">
        <f t="shared" si="7"/>
        <v>0.35859414261160716</v>
      </c>
      <c r="L470" s="52" t="s">
        <v>111</v>
      </c>
    </row>
    <row r="471" spans="1:12">
      <c r="A471" s="151" t="s">
        <v>114</v>
      </c>
      <c r="B471" s="59">
        <v>2018</v>
      </c>
      <c r="C471" s="336" t="s">
        <v>96</v>
      </c>
      <c r="D471" s="59">
        <v>103</v>
      </c>
      <c r="E471" s="336" t="s">
        <v>126</v>
      </c>
      <c r="F471" s="29">
        <v>1</v>
      </c>
      <c r="G471" s="9">
        <v>1</v>
      </c>
      <c r="H471" s="9">
        <v>1</v>
      </c>
      <c r="I471" s="9">
        <v>2</v>
      </c>
      <c r="J471" s="9">
        <v>2</v>
      </c>
      <c r="K471" s="159">
        <f t="shared" si="7"/>
        <v>0.35859414261160716</v>
      </c>
      <c r="L471" s="52" t="s">
        <v>111</v>
      </c>
    </row>
    <row r="472" spans="1:12">
      <c r="A472" s="151" t="s">
        <v>114</v>
      </c>
      <c r="B472" s="59">
        <v>2018</v>
      </c>
      <c r="C472" s="336" t="s">
        <v>97</v>
      </c>
      <c r="D472" s="59">
        <v>489</v>
      </c>
      <c r="E472" s="336" t="s">
        <v>126</v>
      </c>
      <c r="F472" s="29">
        <v>1</v>
      </c>
      <c r="G472" s="9">
        <v>1</v>
      </c>
      <c r="H472" s="9">
        <v>1</v>
      </c>
      <c r="I472" s="9">
        <v>2</v>
      </c>
      <c r="J472" s="9">
        <v>2</v>
      </c>
      <c r="K472" s="159">
        <f t="shared" si="7"/>
        <v>0.35859414261160716</v>
      </c>
      <c r="L472" s="52" t="s">
        <v>111</v>
      </c>
    </row>
    <row r="473" spans="1:12">
      <c r="A473" s="151" t="s">
        <v>114</v>
      </c>
      <c r="B473" s="59">
        <v>2018</v>
      </c>
      <c r="C473" s="336" t="s">
        <v>95</v>
      </c>
      <c r="D473" s="59">
        <v>242</v>
      </c>
      <c r="E473" s="336" t="s">
        <v>126</v>
      </c>
      <c r="F473" s="29">
        <v>1</v>
      </c>
      <c r="G473" s="9">
        <v>1</v>
      </c>
      <c r="H473" s="9">
        <v>1</v>
      </c>
      <c r="I473" s="9">
        <v>2</v>
      </c>
      <c r="J473" s="9">
        <v>2</v>
      </c>
      <c r="K473" s="159">
        <f t="shared" si="7"/>
        <v>0.35859414261160716</v>
      </c>
      <c r="L473" s="52" t="s">
        <v>111</v>
      </c>
    </row>
    <row r="474" spans="1:12">
      <c r="A474" s="151" t="s">
        <v>114</v>
      </c>
      <c r="B474" s="59">
        <v>2018</v>
      </c>
      <c r="C474" s="336" t="s">
        <v>93</v>
      </c>
      <c r="D474" s="59">
        <v>56</v>
      </c>
      <c r="E474" s="336" t="s">
        <v>126</v>
      </c>
      <c r="F474" s="29">
        <v>1</v>
      </c>
      <c r="G474" s="9">
        <v>1</v>
      </c>
      <c r="H474" s="9">
        <v>1</v>
      </c>
      <c r="I474" s="9">
        <v>2</v>
      </c>
      <c r="J474" s="9">
        <v>2</v>
      </c>
      <c r="K474" s="159">
        <f t="shared" si="7"/>
        <v>0.35859414261160716</v>
      </c>
      <c r="L474" s="52" t="s">
        <v>111</v>
      </c>
    </row>
    <row r="475" spans="1:12">
      <c r="A475" s="151" t="s">
        <v>114</v>
      </c>
      <c r="B475" s="59">
        <v>2018</v>
      </c>
      <c r="C475" s="336" t="s">
        <v>98</v>
      </c>
      <c r="D475" s="59">
        <v>1475</v>
      </c>
      <c r="E475" s="336" t="s">
        <v>126</v>
      </c>
      <c r="F475" s="29">
        <v>1</v>
      </c>
      <c r="G475" s="9">
        <v>1</v>
      </c>
      <c r="H475" s="9">
        <v>1</v>
      </c>
      <c r="I475" s="9">
        <v>2</v>
      </c>
      <c r="J475" s="9">
        <v>2</v>
      </c>
      <c r="K475" s="159">
        <f t="shared" si="7"/>
        <v>0.35859414261160716</v>
      </c>
      <c r="L475" s="52" t="s">
        <v>111</v>
      </c>
    </row>
    <row r="476" spans="1:12">
      <c r="A476" s="151" t="s">
        <v>114</v>
      </c>
      <c r="B476" s="59">
        <v>2019</v>
      </c>
      <c r="C476" s="336" t="s">
        <v>85</v>
      </c>
      <c r="D476" s="59">
        <v>3179</v>
      </c>
      <c r="E476" s="336" t="s">
        <v>126</v>
      </c>
      <c r="F476" s="29">
        <v>1</v>
      </c>
      <c r="G476" s="9">
        <v>1</v>
      </c>
      <c r="H476" s="9">
        <v>1</v>
      </c>
      <c r="I476" s="9">
        <v>2</v>
      </c>
      <c r="J476" s="9">
        <v>2</v>
      </c>
      <c r="K476" s="159">
        <f t="shared" si="7"/>
        <v>0.35859414261160716</v>
      </c>
      <c r="L476" s="52" t="s">
        <v>111</v>
      </c>
    </row>
    <row r="477" spans="1:12">
      <c r="A477" s="151" t="s">
        <v>114</v>
      </c>
      <c r="B477" s="59">
        <v>2019</v>
      </c>
      <c r="C477" s="336" t="s">
        <v>86</v>
      </c>
      <c r="D477" s="59">
        <v>1314</v>
      </c>
      <c r="E477" s="336" t="s">
        <v>126</v>
      </c>
      <c r="F477" s="29">
        <v>1</v>
      </c>
      <c r="G477" s="9">
        <v>1</v>
      </c>
      <c r="H477" s="9">
        <v>1</v>
      </c>
      <c r="I477" s="9">
        <v>2</v>
      </c>
      <c r="J477" s="9">
        <v>2</v>
      </c>
      <c r="K477" s="159">
        <f t="shared" si="7"/>
        <v>0.35859414261160716</v>
      </c>
      <c r="L477" s="52" t="s">
        <v>111</v>
      </c>
    </row>
    <row r="478" spans="1:12">
      <c r="A478" s="151" t="s">
        <v>114</v>
      </c>
      <c r="B478" s="59">
        <v>2019</v>
      </c>
      <c r="C478" s="336" t="s">
        <v>87</v>
      </c>
      <c r="D478" s="59">
        <v>938</v>
      </c>
      <c r="E478" s="336" t="s">
        <v>126</v>
      </c>
      <c r="F478" s="29">
        <v>1</v>
      </c>
      <c r="G478" s="9">
        <v>1</v>
      </c>
      <c r="H478" s="9">
        <v>1</v>
      </c>
      <c r="I478" s="9">
        <v>2</v>
      </c>
      <c r="J478" s="9">
        <v>2</v>
      </c>
      <c r="K478" s="159">
        <f t="shared" si="7"/>
        <v>0.35859414261160716</v>
      </c>
      <c r="L478" s="52" t="s">
        <v>111</v>
      </c>
    </row>
    <row r="479" spans="1:12">
      <c r="A479" s="151" t="s">
        <v>114</v>
      </c>
      <c r="B479" s="59">
        <v>2019</v>
      </c>
      <c r="C479" s="336" t="s">
        <v>88</v>
      </c>
      <c r="D479" s="59">
        <v>127</v>
      </c>
      <c r="E479" s="336" t="s">
        <v>126</v>
      </c>
      <c r="F479" s="29">
        <v>1</v>
      </c>
      <c r="G479" s="9">
        <v>1</v>
      </c>
      <c r="H479" s="9">
        <v>1</v>
      </c>
      <c r="I479" s="9">
        <v>2</v>
      </c>
      <c r="J479" s="9">
        <v>2</v>
      </c>
      <c r="K479" s="159">
        <f t="shared" si="7"/>
        <v>0.35859414261160716</v>
      </c>
      <c r="L479" s="52" t="s">
        <v>111</v>
      </c>
    </row>
    <row r="480" spans="1:12">
      <c r="A480" s="151" t="s">
        <v>114</v>
      </c>
      <c r="B480" s="59">
        <v>2019</v>
      </c>
      <c r="C480" s="336" t="s">
        <v>89</v>
      </c>
      <c r="D480" s="59">
        <v>78</v>
      </c>
      <c r="E480" s="336" t="s">
        <v>126</v>
      </c>
      <c r="F480" s="29">
        <v>1</v>
      </c>
      <c r="G480" s="9">
        <v>1</v>
      </c>
      <c r="H480" s="9">
        <v>1</v>
      </c>
      <c r="I480" s="9">
        <v>2</v>
      </c>
      <c r="J480" s="9">
        <v>2</v>
      </c>
      <c r="K480" s="159">
        <f t="shared" si="7"/>
        <v>0.35859414261160716</v>
      </c>
      <c r="L480" s="52" t="s">
        <v>111</v>
      </c>
    </row>
    <row r="481" spans="1:12">
      <c r="A481" s="151" t="s">
        <v>114</v>
      </c>
      <c r="B481" s="59">
        <v>2019</v>
      </c>
      <c r="C481" s="336" t="s">
        <v>90</v>
      </c>
      <c r="D481" s="59">
        <v>438</v>
      </c>
      <c r="E481" s="336" t="s">
        <v>126</v>
      </c>
      <c r="F481" s="29">
        <v>1</v>
      </c>
      <c r="G481" s="9">
        <v>1</v>
      </c>
      <c r="H481" s="9">
        <v>1</v>
      </c>
      <c r="I481" s="9">
        <v>2</v>
      </c>
      <c r="J481" s="9">
        <v>2</v>
      </c>
      <c r="K481" s="159">
        <f t="shared" si="7"/>
        <v>0.35859414261160716</v>
      </c>
      <c r="L481" s="52" t="s">
        <v>111</v>
      </c>
    </row>
    <row r="482" spans="1:12">
      <c r="A482" s="151" t="s">
        <v>114</v>
      </c>
      <c r="B482" s="59">
        <v>2019</v>
      </c>
      <c r="C482" s="336" t="s">
        <v>91</v>
      </c>
      <c r="D482" s="59">
        <v>980</v>
      </c>
      <c r="E482" s="336" t="s">
        <v>126</v>
      </c>
      <c r="F482" s="29">
        <v>1</v>
      </c>
      <c r="G482" s="9">
        <v>1</v>
      </c>
      <c r="H482" s="9">
        <v>1</v>
      </c>
      <c r="I482" s="9">
        <v>2</v>
      </c>
      <c r="J482" s="9">
        <v>2</v>
      </c>
      <c r="K482" s="159">
        <f t="shared" si="7"/>
        <v>0.35859414261160716</v>
      </c>
      <c r="L482" s="52" t="s">
        <v>111</v>
      </c>
    </row>
    <row r="483" spans="1:12">
      <c r="A483" s="151" t="s">
        <v>114</v>
      </c>
      <c r="B483" s="59">
        <v>2019</v>
      </c>
      <c r="C483" s="336" t="s">
        <v>94</v>
      </c>
      <c r="D483" s="59">
        <v>203</v>
      </c>
      <c r="E483" s="336" t="s">
        <v>126</v>
      </c>
      <c r="F483" s="29">
        <v>1</v>
      </c>
      <c r="G483" s="9">
        <v>1</v>
      </c>
      <c r="H483" s="9">
        <v>1</v>
      </c>
      <c r="I483" s="9">
        <v>2</v>
      </c>
      <c r="J483" s="9">
        <v>2</v>
      </c>
      <c r="K483" s="159">
        <f t="shared" si="7"/>
        <v>0.35859414261160716</v>
      </c>
      <c r="L483" s="52" t="s">
        <v>111</v>
      </c>
    </row>
    <row r="484" spans="1:12">
      <c r="A484" s="151" t="s">
        <v>114</v>
      </c>
      <c r="B484" s="59">
        <v>2019</v>
      </c>
      <c r="C484" s="336" t="s">
        <v>96</v>
      </c>
      <c r="D484" s="59">
        <v>95</v>
      </c>
      <c r="E484" s="336" t="s">
        <v>126</v>
      </c>
      <c r="F484" s="29">
        <v>1</v>
      </c>
      <c r="G484" s="9">
        <v>1</v>
      </c>
      <c r="H484" s="9">
        <v>1</v>
      </c>
      <c r="I484" s="9">
        <v>2</v>
      </c>
      <c r="J484" s="9">
        <v>2</v>
      </c>
      <c r="K484" s="159">
        <f t="shared" si="7"/>
        <v>0.35859414261160716</v>
      </c>
      <c r="L484" s="52" t="s">
        <v>111</v>
      </c>
    </row>
    <row r="485" spans="1:12">
      <c r="A485" s="151" t="s">
        <v>114</v>
      </c>
      <c r="B485" s="59">
        <v>2019</v>
      </c>
      <c r="C485" s="336" t="s">
        <v>97</v>
      </c>
      <c r="D485" s="59">
        <v>394</v>
      </c>
      <c r="E485" s="336" t="s">
        <v>126</v>
      </c>
      <c r="F485" s="29">
        <v>1</v>
      </c>
      <c r="G485" s="9">
        <v>1</v>
      </c>
      <c r="H485" s="9">
        <v>1</v>
      </c>
      <c r="I485" s="9">
        <v>2</v>
      </c>
      <c r="J485" s="9">
        <v>2</v>
      </c>
      <c r="K485" s="159">
        <f t="shared" si="7"/>
        <v>0.35859414261160716</v>
      </c>
      <c r="L485" s="52" t="s">
        <v>111</v>
      </c>
    </row>
    <row r="486" spans="1:12">
      <c r="A486" s="151" t="s">
        <v>114</v>
      </c>
      <c r="B486" s="59">
        <v>2019</v>
      </c>
      <c r="C486" s="336" t="s">
        <v>95</v>
      </c>
      <c r="D486" s="59">
        <v>280</v>
      </c>
      <c r="E486" s="336" t="s">
        <v>126</v>
      </c>
      <c r="F486" s="29">
        <v>1</v>
      </c>
      <c r="G486" s="9">
        <v>1</v>
      </c>
      <c r="H486" s="9">
        <v>1</v>
      </c>
      <c r="I486" s="9">
        <v>2</v>
      </c>
      <c r="J486" s="9">
        <v>2</v>
      </c>
      <c r="K486" s="159">
        <f t="shared" si="7"/>
        <v>0.35859414261160716</v>
      </c>
      <c r="L486" s="52" t="s">
        <v>111</v>
      </c>
    </row>
    <row r="487" spans="1:12">
      <c r="A487" s="151" t="s">
        <v>114</v>
      </c>
      <c r="B487" s="59">
        <v>2019</v>
      </c>
      <c r="C487" s="336" t="s">
        <v>93</v>
      </c>
      <c r="D487" s="59">
        <v>68</v>
      </c>
      <c r="E487" s="336" t="s">
        <v>126</v>
      </c>
      <c r="F487" s="29">
        <v>1</v>
      </c>
      <c r="G487" s="9">
        <v>1</v>
      </c>
      <c r="H487" s="9">
        <v>1</v>
      </c>
      <c r="I487" s="9">
        <v>2</v>
      </c>
      <c r="J487" s="9">
        <v>2</v>
      </c>
      <c r="K487" s="159">
        <f t="shared" si="7"/>
        <v>0.35859414261160716</v>
      </c>
      <c r="L487" s="52" t="s">
        <v>111</v>
      </c>
    </row>
    <row r="488" spans="1:12">
      <c r="A488" s="151" t="s">
        <v>114</v>
      </c>
      <c r="B488" s="59">
        <v>2019</v>
      </c>
      <c r="C488" s="336" t="s">
        <v>98</v>
      </c>
      <c r="D488" s="59">
        <v>2300</v>
      </c>
      <c r="E488" s="336" t="s">
        <v>126</v>
      </c>
      <c r="F488" s="29">
        <v>1</v>
      </c>
      <c r="G488" s="9">
        <v>1</v>
      </c>
      <c r="H488" s="9">
        <v>1</v>
      </c>
      <c r="I488" s="9">
        <v>2</v>
      </c>
      <c r="J488" s="9">
        <v>2</v>
      </c>
      <c r="K488" s="159">
        <f t="shared" si="7"/>
        <v>0.35859414261160716</v>
      </c>
      <c r="L488" s="52" t="s">
        <v>111</v>
      </c>
    </row>
    <row r="489" spans="1:12">
      <c r="A489" s="151" t="s">
        <v>114</v>
      </c>
      <c r="B489" s="59">
        <v>2020</v>
      </c>
      <c r="C489" s="336" t="s">
        <v>85</v>
      </c>
      <c r="D489" s="59">
        <v>2799</v>
      </c>
      <c r="E489" s="336" t="s">
        <v>126</v>
      </c>
      <c r="F489" s="29">
        <v>1</v>
      </c>
      <c r="G489" s="9">
        <v>1</v>
      </c>
      <c r="H489" s="9">
        <v>1</v>
      </c>
      <c r="I489" s="9">
        <v>2</v>
      </c>
      <c r="J489" s="9">
        <v>2</v>
      </c>
      <c r="K489" s="159">
        <f t="shared" si="7"/>
        <v>0.35859414261160716</v>
      </c>
      <c r="L489" s="52" t="s">
        <v>111</v>
      </c>
    </row>
    <row r="490" spans="1:12">
      <c r="A490" s="151" t="s">
        <v>114</v>
      </c>
      <c r="B490" s="59">
        <v>2020</v>
      </c>
      <c r="C490" s="336" t="s">
        <v>86</v>
      </c>
      <c r="D490" s="59">
        <v>971</v>
      </c>
      <c r="E490" s="336" t="s">
        <v>126</v>
      </c>
      <c r="F490" s="29">
        <v>1</v>
      </c>
      <c r="G490" s="9">
        <v>1</v>
      </c>
      <c r="H490" s="9">
        <v>1</v>
      </c>
      <c r="I490" s="9">
        <v>2</v>
      </c>
      <c r="J490" s="9">
        <v>2</v>
      </c>
      <c r="K490" s="159">
        <f t="shared" si="7"/>
        <v>0.35859414261160716</v>
      </c>
      <c r="L490" s="52" t="s">
        <v>111</v>
      </c>
    </row>
    <row r="491" spans="1:12">
      <c r="A491" s="151" t="s">
        <v>114</v>
      </c>
      <c r="B491" s="59">
        <v>2020</v>
      </c>
      <c r="C491" s="336" t="s">
        <v>87</v>
      </c>
      <c r="D491" s="59">
        <v>490</v>
      </c>
      <c r="E491" s="336" t="s">
        <v>126</v>
      </c>
      <c r="F491" s="29">
        <v>1</v>
      </c>
      <c r="G491" s="9">
        <v>1</v>
      </c>
      <c r="H491" s="9">
        <v>1</v>
      </c>
      <c r="I491" s="9">
        <v>2</v>
      </c>
      <c r="J491" s="9">
        <v>2</v>
      </c>
      <c r="K491" s="159">
        <f t="shared" si="7"/>
        <v>0.35859414261160716</v>
      </c>
      <c r="L491" s="52" t="s">
        <v>111</v>
      </c>
    </row>
    <row r="492" spans="1:12">
      <c r="A492" s="151" t="s">
        <v>114</v>
      </c>
      <c r="B492" s="59">
        <v>2020</v>
      </c>
      <c r="C492" s="336" t="s">
        <v>88</v>
      </c>
      <c r="D492" s="59">
        <v>149</v>
      </c>
      <c r="E492" s="336" t="s">
        <v>126</v>
      </c>
      <c r="F492" s="29">
        <v>1</v>
      </c>
      <c r="G492" s="9">
        <v>1</v>
      </c>
      <c r="H492" s="9">
        <v>1</v>
      </c>
      <c r="I492" s="9">
        <v>2</v>
      </c>
      <c r="J492" s="9">
        <v>2</v>
      </c>
      <c r="K492" s="159">
        <f t="shared" si="7"/>
        <v>0.35859414261160716</v>
      </c>
      <c r="L492" s="52" t="s">
        <v>111</v>
      </c>
    </row>
    <row r="493" spans="1:12">
      <c r="A493" s="151" t="s">
        <v>114</v>
      </c>
      <c r="B493" s="59">
        <v>2020</v>
      </c>
      <c r="C493" s="336" t="s">
        <v>89</v>
      </c>
      <c r="D493" s="59">
        <v>62</v>
      </c>
      <c r="E493" s="336" t="s">
        <v>126</v>
      </c>
      <c r="F493" s="29">
        <v>1</v>
      </c>
      <c r="G493" s="9">
        <v>1</v>
      </c>
      <c r="H493" s="9">
        <v>1</v>
      </c>
      <c r="I493" s="9">
        <v>2</v>
      </c>
      <c r="J493" s="9">
        <v>2</v>
      </c>
      <c r="K493" s="159">
        <f t="shared" si="7"/>
        <v>0.35859414261160716</v>
      </c>
      <c r="L493" s="52" t="s">
        <v>111</v>
      </c>
    </row>
    <row r="494" spans="1:12">
      <c r="A494" s="151" t="s">
        <v>114</v>
      </c>
      <c r="B494" s="59">
        <v>2020</v>
      </c>
      <c r="C494" s="336" t="s">
        <v>90</v>
      </c>
      <c r="D494" s="59">
        <v>378</v>
      </c>
      <c r="E494" s="336" t="s">
        <v>126</v>
      </c>
      <c r="F494" s="29">
        <v>1</v>
      </c>
      <c r="G494" s="9">
        <v>1</v>
      </c>
      <c r="H494" s="9">
        <v>1</v>
      </c>
      <c r="I494" s="9">
        <v>2</v>
      </c>
      <c r="J494" s="9">
        <v>2</v>
      </c>
      <c r="K494" s="159">
        <f t="shared" si="7"/>
        <v>0.35859414261160716</v>
      </c>
      <c r="L494" s="52" t="s">
        <v>111</v>
      </c>
    </row>
    <row r="495" spans="1:12">
      <c r="A495" s="151" t="s">
        <v>114</v>
      </c>
      <c r="B495" s="59">
        <v>2020</v>
      </c>
      <c r="C495" s="336" t="s">
        <v>91</v>
      </c>
      <c r="D495" s="59">
        <v>853</v>
      </c>
      <c r="E495" s="336" t="s">
        <v>126</v>
      </c>
      <c r="F495" s="29">
        <v>1</v>
      </c>
      <c r="G495" s="9">
        <v>1</v>
      </c>
      <c r="H495" s="9">
        <v>1</v>
      </c>
      <c r="I495" s="9">
        <v>2</v>
      </c>
      <c r="J495" s="9">
        <v>2</v>
      </c>
      <c r="K495" s="159">
        <f t="shared" si="7"/>
        <v>0.35859414261160716</v>
      </c>
      <c r="L495" s="52" t="s">
        <v>111</v>
      </c>
    </row>
    <row r="496" spans="1:12">
      <c r="A496" s="151" t="s">
        <v>114</v>
      </c>
      <c r="B496" s="59">
        <v>2020</v>
      </c>
      <c r="C496" s="336" t="s">
        <v>94</v>
      </c>
      <c r="D496" s="59">
        <v>172</v>
      </c>
      <c r="E496" s="336" t="s">
        <v>126</v>
      </c>
      <c r="F496" s="29">
        <v>1</v>
      </c>
      <c r="G496" s="9">
        <v>1</v>
      </c>
      <c r="H496" s="9">
        <v>1</v>
      </c>
      <c r="I496" s="9">
        <v>2</v>
      </c>
      <c r="J496" s="9">
        <v>2</v>
      </c>
      <c r="K496" s="159">
        <f t="shared" si="7"/>
        <v>0.35859414261160716</v>
      </c>
      <c r="L496" s="52" t="s">
        <v>111</v>
      </c>
    </row>
    <row r="497" spans="1:12">
      <c r="A497" s="151" t="s">
        <v>114</v>
      </c>
      <c r="B497" s="59">
        <v>2020</v>
      </c>
      <c r="C497" s="336" t="s">
        <v>96</v>
      </c>
      <c r="D497" s="59">
        <v>88</v>
      </c>
      <c r="E497" s="336" t="s">
        <v>126</v>
      </c>
      <c r="F497" s="29">
        <v>1</v>
      </c>
      <c r="G497" s="9">
        <v>1</v>
      </c>
      <c r="H497" s="9">
        <v>1</v>
      </c>
      <c r="I497" s="9">
        <v>2</v>
      </c>
      <c r="J497" s="9">
        <v>2</v>
      </c>
      <c r="K497" s="159">
        <f t="shared" si="7"/>
        <v>0.35859414261160716</v>
      </c>
      <c r="L497" s="52" t="s">
        <v>111</v>
      </c>
    </row>
    <row r="498" spans="1:12">
      <c r="A498" s="151" t="s">
        <v>114</v>
      </c>
      <c r="B498" s="59">
        <v>2020</v>
      </c>
      <c r="C498" s="336" t="s">
        <v>97</v>
      </c>
      <c r="D498" s="59">
        <v>418</v>
      </c>
      <c r="E498" s="336" t="s">
        <v>126</v>
      </c>
      <c r="F498" s="29">
        <v>1</v>
      </c>
      <c r="G498" s="9">
        <v>1</v>
      </c>
      <c r="H498" s="9">
        <v>1</v>
      </c>
      <c r="I498" s="9">
        <v>2</v>
      </c>
      <c r="J498" s="9">
        <v>2</v>
      </c>
      <c r="K498" s="159">
        <f t="shared" si="7"/>
        <v>0.35859414261160716</v>
      </c>
      <c r="L498" s="52" t="s">
        <v>111</v>
      </c>
    </row>
    <row r="499" spans="1:12">
      <c r="A499" s="151" t="s">
        <v>114</v>
      </c>
      <c r="B499" s="59">
        <v>2020</v>
      </c>
      <c r="C499" s="336" t="s">
        <v>95</v>
      </c>
      <c r="D499" s="59">
        <v>292</v>
      </c>
      <c r="E499" s="336" t="s">
        <v>126</v>
      </c>
      <c r="F499" s="29">
        <v>1</v>
      </c>
      <c r="G499" s="9">
        <v>1</v>
      </c>
      <c r="H499" s="9">
        <v>1</v>
      </c>
      <c r="I499" s="9">
        <v>2</v>
      </c>
      <c r="J499" s="9">
        <v>2</v>
      </c>
      <c r="K499" s="159">
        <f t="shared" si="7"/>
        <v>0.35859414261160716</v>
      </c>
      <c r="L499" s="52" t="s">
        <v>111</v>
      </c>
    </row>
    <row r="500" spans="1:12">
      <c r="A500" s="151" t="s">
        <v>114</v>
      </c>
      <c r="B500" s="59">
        <v>2020</v>
      </c>
      <c r="C500" s="336" t="s">
        <v>93</v>
      </c>
      <c r="D500" s="59">
        <v>66</v>
      </c>
      <c r="E500" s="336" t="s">
        <v>126</v>
      </c>
      <c r="F500" s="29">
        <v>1</v>
      </c>
      <c r="G500" s="9">
        <v>1</v>
      </c>
      <c r="H500" s="9">
        <v>1</v>
      </c>
      <c r="I500" s="9">
        <v>2</v>
      </c>
      <c r="J500" s="9">
        <v>2</v>
      </c>
      <c r="K500" s="159">
        <f t="shared" si="7"/>
        <v>0.35859414261160716</v>
      </c>
      <c r="L500" s="52" t="s">
        <v>111</v>
      </c>
    </row>
    <row r="501" spans="1:12">
      <c r="A501" s="151" t="s">
        <v>114</v>
      </c>
      <c r="B501" s="59">
        <v>2020</v>
      </c>
      <c r="C501" s="336" t="s">
        <v>98</v>
      </c>
      <c r="D501" s="59">
        <v>1580</v>
      </c>
      <c r="E501" s="336" t="s">
        <v>126</v>
      </c>
      <c r="F501" s="29">
        <v>1</v>
      </c>
      <c r="G501" s="9">
        <v>1</v>
      </c>
      <c r="H501" s="9">
        <v>1</v>
      </c>
      <c r="I501" s="9">
        <v>2</v>
      </c>
      <c r="J501" s="9">
        <v>2</v>
      </c>
      <c r="K501" s="159">
        <f t="shared" si="7"/>
        <v>0.35859414261160716</v>
      </c>
      <c r="L501" s="52" t="s">
        <v>111</v>
      </c>
    </row>
    <row r="502" spans="1:12">
      <c r="A502" s="151" t="s">
        <v>114</v>
      </c>
      <c r="B502" s="59">
        <v>2021</v>
      </c>
      <c r="C502" s="336" t="s">
        <v>85</v>
      </c>
      <c r="D502" s="59">
        <v>2883</v>
      </c>
      <c r="E502" s="336" t="s">
        <v>126</v>
      </c>
      <c r="F502" s="29">
        <v>1</v>
      </c>
      <c r="G502" s="9">
        <v>1</v>
      </c>
      <c r="H502" s="9">
        <v>1</v>
      </c>
      <c r="I502" s="9">
        <v>2</v>
      </c>
      <c r="J502" s="9">
        <v>2</v>
      </c>
      <c r="K502" s="159">
        <f t="shared" si="7"/>
        <v>0.35859414261160716</v>
      </c>
      <c r="L502" s="52" t="s">
        <v>111</v>
      </c>
    </row>
    <row r="503" spans="1:12">
      <c r="A503" s="151" t="s">
        <v>114</v>
      </c>
      <c r="B503" s="59">
        <v>2021</v>
      </c>
      <c r="C503" s="336" t="s">
        <v>86</v>
      </c>
      <c r="D503" s="59">
        <v>1213</v>
      </c>
      <c r="E503" s="336" t="s">
        <v>126</v>
      </c>
      <c r="F503" s="29">
        <v>1</v>
      </c>
      <c r="G503" s="9">
        <v>1</v>
      </c>
      <c r="H503" s="9">
        <v>1</v>
      </c>
      <c r="I503" s="9">
        <v>2</v>
      </c>
      <c r="J503" s="9">
        <v>2</v>
      </c>
      <c r="K503" s="159">
        <f t="shared" si="7"/>
        <v>0.35859414261160716</v>
      </c>
      <c r="L503" s="52" t="s">
        <v>111</v>
      </c>
    </row>
    <row r="504" spans="1:12">
      <c r="A504" s="151" t="s">
        <v>114</v>
      </c>
      <c r="B504" s="59">
        <v>2021</v>
      </c>
      <c r="C504" s="336" t="s">
        <v>87</v>
      </c>
      <c r="D504" s="59">
        <v>617</v>
      </c>
      <c r="E504" s="336" t="s">
        <v>126</v>
      </c>
      <c r="F504" s="29">
        <v>1</v>
      </c>
      <c r="G504" s="9">
        <v>1</v>
      </c>
      <c r="H504" s="9">
        <v>1</v>
      </c>
      <c r="I504" s="9">
        <v>2</v>
      </c>
      <c r="J504" s="9">
        <v>2</v>
      </c>
      <c r="K504" s="159">
        <f t="shared" si="7"/>
        <v>0.35859414261160716</v>
      </c>
      <c r="L504" s="52" t="s">
        <v>111</v>
      </c>
    </row>
    <row r="505" spans="1:12">
      <c r="A505" s="151" t="s">
        <v>114</v>
      </c>
      <c r="B505" s="59">
        <v>2021</v>
      </c>
      <c r="C505" s="336" t="s">
        <v>88</v>
      </c>
      <c r="D505" s="59">
        <v>117</v>
      </c>
      <c r="E505" s="336" t="s">
        <v>126</v>
      </c>
      <c r="F505" s="29">
        <v>1</v>
      </c>
      <c r="G505" s="9">
        <v>1</v>
      </c>
      <c r="H505" s="9">
        <v>1</v>
      </c>
      <c r="I505" s="9">
        <v>2</v>
      </c>
      <c r="J505" s="9">
        <v>2</v>
      </c>
      <c r="K505" s="159">
        <f t="shared" ref="K505:K568" si="8">IF( OR( ISBLANK(F505),ISBLANK(G505), ISBLANK(H505), ISBLANK(I505), ISBLANK(J505) ), "", 1.5*SQRT(   EXP(2.21*(F505-1)) + EXP(2.21*(G505-1)) + EXP(2.21*(H505-1)) + EXP(2.21*(I505-1)) + EXP(2.21*J505)   )/100*2.45 )</f>
        <v>0.35859414261160716</v>
      </c>
      <c r="L505" s="52" t="s">
        <v>111</v>
      </c>
    </row>
    <row r="506" spans="1:12">
      <c r="A506" s="151" t="s">
        <v>114</v>
      </c>
      <c r="B506" s="59">
        <v>2021</v>
      </c>
      <c r="C506" s="336" t="s">
        <v>89</v>
      </c>
      <c r="D506" s="59">
        <v>180</v>
      </c>
      <c r="E506" s="336" t="s">
        <v>126</v>
      </c>
      <c r="F506" s="29">
        <v>1</v>
      </c>
      <c r="G506" s="9">
        <v>1</v>
      </c>
      <c r="H506" s="9">
        <v>1</v>
      </c>
      <c r="I506" s="9">
        <v>2</v>
      </c>
      <c r="J506" s="9">
        <v>2</v>
      </c>
      <c r="K506" s="159">
        <f t="shared" si="8"/>
        <v>0.35859414261160716</v>
      </c>
      <c r="L506" s="52" t="s">
        <v>111</v>
      </c>
    </row>
    <row r="507" spans="1:12">
      <c r="A507" s="151" t="s">
        <v>114</v>
      </c>
      <c r="B507" s="59">
        <v>2021</v>
      </c>
      <c r="C507" s="336" t="s">
        <v>90</v>
      </c>
      <c r="D507" s="59">
        <v>508</v>
      </c>
      <c r="E507" s="336" t="s">
        <v>126</v>
      </c>
      <c r="F507" s="29">
        <v>1</v>
      </c>
      <c r="G507" s="9">
        <v>1</v>
      </c>
      <c r="H507" s="9">
        <v>1</v>
      </c>
      <c r="I507" s="9">
        <v>2</v>
      </c>
      <c r="J507" s="9">
        <v>2</v>
      </c>
      <c r="K507" s="159">
        <f t="shared" si="8"/>
        <v>0.35859414261160716</v>
      </c>
      <c r="L507" s="52" t="s">
        <v>111</v>
      </c>
    </row>
    <row r="508" spans="1:12">
      <c r="A508" s="151" t="s">
        <v>114</v>
      </c>
      <c r="B508" s="59">
        <v>2021</v>
      </c>
      <c r="C508" s="336" t="s">
        <v>91</v>
      </c>
      <c r="D508" s="59">
        <v>824</v>
      </c>
      <c r="E508" s="336" t="s">
        <v>126</v>
      </c>
      <c r="F508" s="29">
        <v>1</v>
      </c>
      <c r="G508" s="9">
        <v>1</v>
      </c>
      <c r="H508" s="9">
        <v>1</v>
      </c>
      <c r="I508" s="9">
        <v>2</v>
      </c>
      <c r="J508" s="9">
        <v>2</v>
      </c>
      <c r="K508" s="159">
        <f t="shared" si="8"/>
        <v>0.35859414261160716</v>
      </c>
      <c r="L508" s="52" t="s">
        <v>111</v>
      </c>
    </row>
    <row r="509" spans="1:12">
      <c r="A509" s="151" t="s">
        <v>114</v>
      </c>
      <c r="B509" s="59">
        <v>2021</v>
      </c>
      <c r="C509" s="336" t="s">
        <v>94</v>
      </c>
      <c r="D509" s="59">
        <v>228</v>
      </c>
      <c r="E509" s="336" t="s">
        <v>126</v>
      </c>
      <c r="F509" s="29">
        <v>1</v>
      </c>
      <c r="G509" s="9">
        <v>1</v>
      </c>
      <c r="H509" s="9">
        <v>1</v>
      </c>
      <c r="I509" s="9">
        <v>2</v>
      </c>
      <c r="J509" s="9">
        <v>2</v>
      </c>
      <c r="K509" s="159">
        <f t="shared" si="8"/>
        <v>0.35859414261160716</v>
      </c>
      <c r="L509" s="52" t="s">
        <v>111</v>
      </c>
    </row>
    <row r="510" spans="1:12">
      <c r="A510" s="151" t="s">
        <v>114</v>
      </c>
      <c r="B510" s="59">
        <v>2021</v>
      </c>
      <c r="C510" s="336" t="s">
        <v>96</v>
      </c>
      <c r="D510" s="59">
        <v>103</v>
      </c>
      <c r="E510" s="336" t="s">
        <v>126</v>
      </c>
      <c r="F510" s="29">
        <v>1</v>
      </c>
      <c r="G510" s="9">
        <v>1</v>
      </c>
      <c r="H510" s="9">
        <v>1</v>
      </c>
      <c r="I510" s="9">
        <v>2</v>
      </c>
      <c r="J510" s="9">
        <v>2</v>
      </c>
      <c r="K510" s="159">
        <f t="shared" si="8"/>
        <v>0.35859414261160716</v>
      </c>
      <c r="L510" s="52" t="s">
        <v>111</v>
      </c>
    </row>
    <row r="511" spans="1:12">
      <c r="A511" s="151" t="s">
        <v>114</v>
      </c>
      <c r="B511" s="59">
        <v>2021</v>
      </c>
      <c r="C511" s="336" t="s">
        <v>97</v>
      </c>
      <c r="D511" s="59">
        <v>408</v>
      </c>
      <c r="E511" s="336" t="s">
        <v>126</v>
      </c>
      <c r="F511" s="29">
        <v>1</v>
      </c>
      <c r="G511" s="9">
        <v>1</v>
      </c>
      <c r="H511" s="9">
        <v>1</v>
      </c>
      <c r="I511" s="9">
        <v>2</v>
      </c>
      <c r="J511" s="9">
        <v>2</v>
      </c>
      <c r="K511" s="159">
        <f t="shared" si="8"/>
        <v>0.35859414261160716</v>
      </c>
      <c r="L511" s="52" t="s">
        <v>111</v>
      </c>
    </row>
    <row r="512" spans="1:12">
      <c r="A512" s="151" t="s">
        <v>114</v>
      </c>
      <c r="B512" s="59">
        <v>2021</v>
      </c>
      <c r="C512" s="336" t="s">
        <v>95</v>
      </c>
      <c r="D512" s="59">
        <v>317</v>
      </c>
      <c r="E512" s="336" t="s">
        <v>126</v>
      </c>
      <c r="F512" s="29">
        <v>1</v>
      </c>
      <c r="G512" s="9">
        <v>1</v>
      </c>
      <c r="H512" s="9">
        <v>1</v>
      </c>
      <c r="I512" s="9">
        <v>2</v>
      </c>
      <c r="J512" s="9">
        <v>2</v>
      </c>
      <c r="K512" s="159">
        <f t="shared" si="8"/>
        <v>0.35859414261160716</v>
      </c>
      <c r="L512" s="52" t="s">
        <v>111</v>
      </c>
    </row>
    <row r="513" spans="1:12">
      <c r="A513" s="151" t="s">
        <v>114</v>
      </c>
      <c r="B513" s="59">
        <v>2021</v>
      </c>
      <c r="C513" s="336" t="s">
        <v>93</v>
      </c>
      <c r="D513" s="59">
        <v>72</v>
      </c>
      <c r="E513" s="336" t="s">
        <v>126</v>
      </c>
      <c r="F513" s="29">
        <v>1</v>
      </c>
      <c r="G513" s="9">
        <v>1</v>
      </c>
      <c r="H513" s="9">
        <v>1</v>
      </c>
      <c r="I513" s="9">
        <v>2</v>
      </c>
      <c r="J513" s="9">
        <v>2</v>
      </c>
      <c r="K513" s="159">
        <f t="shared" si="8"/>
        <v>0.35859414261160716</v>
      </c>
      <c r="L513" s="52" t="s">
        <v>111</v>
      </c>
    </row>
    <row r="514" spans="1:12" ht="15" thickBot="1">
      <c r="A514" s="227" t="s">
        <v>114</v>
      </c>
      <c r="B514" s="798">
        <v>2021</v>
      </c>
      <c r="C514" s="639" t="s">
        <v>98</v>
      </c>
      <c r="D514" s="798">
        <v>1687</v>
      </c>
      <c r="E514" s="639" t="s">
        <v>126</v>
      </c>
      <c r="F514" s="154">
        <v>1</v>
      </c>
      <c r="G514" s="119">
        <v>1</v>
      </c>
      <c r="H514" s="119">
        <v>1</v>
      </c>
      <c r="I514" s="119">
        <v>2</v>
      </c>
      <c r="J514" s="119">
        <v>2</v>
      </c>
      <c r="K514" s="808">
        <f t="shared" si="8"/>
        <v>0.35859414261160716</v>
      </c>
      <c r="L514" s="61" t="s">
        <v>111</v>
      </c>
    </row>
    <row r="515" spans="1:12">
      <c r="A515" s="150" t="s">
        <v>37</v>
      </c>
      <c r="B515" s="231">
        <v>2020</v>
      </c>
      <c r="C515" s="39" t="s">
        <v>88</v>
      </c>
      <c r="D515" s="54">
        <f>Intentionally_produced_MPs!G57</f>
        <v>0</v>
      </c>
      <c r="E515" s="39" t="s">
        <v>116</v>
      </c>
      <c r="F515" s="28">
        <v>1</v>
      </c>
      <c r="G515" s="11">
        <v>1</v>
      </c>
      <c r="H515" s="11">
        <v>3</v>
      </c>
      <c r="I515" s="11">
        <v>1</v>
      </c>
      <c r="J515" s="11">
        <v>1</v>
      </c>
      <c r="K515" s="158">
        <f t="shared" si="8"/>
        <v>0.35859414261160716</v>
      </c>
      <c r="L515" s="51"/>
    </row>
    <row r="516" spans="1:12">
      <c r="A516" s="151" t="s">
        <v>37</v>
      </c>
      <c r="B516" s="232">
        <v>2020</v>
      </c>
      <c r="C516" s="40" t="s">
        <v>89</v>
      </c>
      <c r="D516" s="55">
        <f>Intentionally_produced_MPs!H57</f>
        <v>0</v>
      </c>
      <c r="E516" s="40" t="s">
        <v>116</v>
      </c>
      <c r="F516" s="29">
        <v>1</v>
      </c>
      <c r="G516" s="9">
        <v>1</v>
      </c>
      <c r="H516" s="9">
        <v>3</v>
      </c>
      <c r="I516" s="9">
        <v>1</v>
      </c>
      <c r="J516" s="9">
        <v>1</v>
      </c>
      <c r="K516" s="159">
        <f t="shared" si="8"/>
        <v>0.35859414261160716</v>
      </c>
      <c r="L516" s="52"/>
    </row>
    <row r="517" spans="1:12">
      <c r="A517" s="151" t="s">
        <v>37</v>
      </c>
      <c r="B517" s="232">
        <v>2020</v>
      </c>
      <c r="C517" s="40" t="s">
        <v>94</v>
      </c>
      <c r="D517" s="55">
        <f>Intentionally_produced_MPs!M57</f>
        <v>0</v>
      </c>
      <c r="E517" s="40" t="s">
        <v>116</v>
      </c>
      <c r="F517" s="29">
        <v>1</v>
      </c>
      <c r="G517" s="9">
        <v>1</v>
      </c>
      <c r="H517" s="9">
        <v>3</v>
      </c>
      <c r="I517" s="9">
        <v>1</v>
      </c>
      <c r="J517" s="9">
        <v>1</v>
      </c>
      <c r="K517" s="159">
        <f t="shared" si="8"/>
        <v>0.35859414261160716</v>
      </c>
      <c r="L517" s="52"/>
    </row>
    <row r="518" spans="1:12">
      <c r="A518" s="151" t="s">
        <v>37</v>
      </c>
      <c r="B518" s="232">
        <v>2020</v>
      </c>
      <c r="C518" s="40" t="s">
        <v>96</v>
      </c>
      <c r="D518" s="55">
        <f>Intentionally_produced_MPs!O57</f>
        <v>0</v>
      </c>
      <c r="E518" s="40" t="s">
        <v>116</v>
      </c>
      <c r="F518" s="29">
        <v>1</v>
      </c>
      <c r="G518" s="9">
        <v>1</v>
      </c>
      <c r="H518" s="9">
        <v>3</v>
      </c>
      <c r="I518" s="9">
        <v>1</v>
      </c>
      <c r="J518" s="9">
        <v>1</v>
      </c>
      <c r="K518" s="159">
        <f t="shared" si="8"/>
        <v>0.35859414261160716</v>
      </c>
      <c r="L518" s="52"/>
    </row>
    <row r="519" spans="1:12">
      <c r="A519" s="151" t="s">
        <v>37</v>
      </c>
      <c r="B519" s="232">
        <v>2020</v>
      </c>
      <c r="C519" s="40" t="s">
        <v>91</v>
      </c>
      <c r="D519" s="55">
        <f>Intentionally_produced_MPs!J57</f>
        <v>0.60256976333451073</v>
      </c>
      <c r="E519" s="40" t="s">
        <v>116</v>
      </c>
      <c r="F519" s="29">
        <v>1</v>
      </c>
      <c r="G519" s="9">
        <v>1</v>
      </c>
      <c r="H519" s="9">
        <v>3</v>
      </c>
      <c r="I519" s="9">
        <v>1</v>
      </c>
      <c r="J519" s="9">
        <v>1</v>
      </c>
      <c r="K519" s="159">
        <f t="shared" si="8"/>
        <v>0.35859414261160716</v>
      </c>
      <c r="L519" s="52"/>
    </row>
    <row r="520" spans="1:12">
      <c r="A520" s="151" t="s">
        <v>37</v>
      </c>
      <c r="B520" s="232">
        <v>2020</v>
      </c>
      <c r="C520" s="40" t="s">
        <v>87</v>
      </c>
      <c r="D520" s="55">
        <f>Intentionally_produced_MPs!F57</f>
        <v>1</v>
      </c>
      <c r="E520" s="40" t="s">
        <v>116</v>
      </c>
      <c r="F520" s="29">
        <v>1</v>
      </c>
      <c r="G520" s="9">
        <v>1</v>
      </c>
      <c r="H520" s="9">
        <v>3</v>
      </c>
      <c r="I520" s="9">
        <v>1</v>
      </c>
      <c r="J520" s="9">
        <v>1</v>
      </c>
      <c r="K520" s="159">
        <f t="shared" si="8"/>
        <v>0.35859414261160716</v>
      </c>
      <c r="L520" s="52"/>
    </row>
    <row r="521" spans="1:12">
      <c r="A521" s="151" t="s">
        <v>37</v>
      </c>
      <c r="B521" s="232">
        <v>2020</v>
      </c>
      <c r="C521" s="40" t="s">
        <v>85</v>
      </c>
      <c r="D521" s="55">
        <f>Intentionally_produced_MPs!D57</f>
        <v>1.125</v>
      </c>
      <c r="E521" s="40" t="s">
        <v>116</v>
      </c>
      <c r="F521" s="29">
        <v>1</v>
      </c>
      <c r="G521" s="9">
        <v>1</v>
      </c>
      <c r="H521" s="9">
        <v>3</v>
      </c>
      <c r="I521" s="9">
        <v>1</v>
      </c>
      <c r="J521" s="9">
        <v>1</v>
      </c>
      <c r="K521" s="159">
        <f t="shared" si="8"/>
        <v>0.35859414261160716</v>
      </c>
      <c r="L521" s="52"/>
    </row>
    <row r="522" spans="1:12">
      <c r="A522" s="151" t="s">
        <v>37</v>
      </c>
      <c r="B522" s="232">
        <v>2020</v>
      </c>
      <c r="C522" s="40" t="s">
        <v>90</v>
      </c>
      <c r="D522" s="55">
        <f>Intentionally_produced_MPs!I57</f>
        <v>1.125</v>
      </c>
      <c r="E522" s="40" t="s">
        <v>116</v>
      </c>
      <c r="F522" s="29">
        <v>1</v>
      </c>
      <c r="G522" s="9">
        <v>1</v>
      </c>
      <c r="H522" s="9">
        <v>3</v>
      </c>
      <c r="I522" s="9">
        <v>1</v>
      </c>
      <c r="J522" s="9">
        <v>1</v>
      </c>
      <c r="K522" s="159">
        <f t="shared" si="8"/>
        <v>0.35859414261160716</v>
      </c>
      <c r="L522" s="52"/>
    </row>
    <row r="523" spans="1:12">
      <c r="A523" s="151" t="s">
        <v>37</v>
      </c>
      <c r="B523" s="232">
        <v>2020</v>
      </c>
      <c r="C523" s="40" t="s">
        <v>97</v>
      </c>
      <c r="D523" s="55">
        <f>Intentionally_produced_MPs!P57</f>
        <v>1.6025697633345108</v>
      </c>
      <c r="E523" s="40" t="s">
        <v>116</v>
      </c>
      <c r="F523" s="29">
        <v>1</v>
      </c>
      <c r="G523" s="9">
        <v>1</v>
      </c>
      <c r="H523" s="9">
        <v>3</v>
      </c>
      <c r="I523" s="9">
        <v>1</v>
      </c>
      <c r="J523" s="9">
        <v>1</v>
      </c>
      <c r="K523" s="159">
        <f t="shared" si="8"/>
        <v>0.35859414261160716</v>
      </c>
      <c r="L523" s="52"/>
    </row>
    <row r="524" spans="1:12">
      <c r="A524" s="151" t="s">
        <v>37</v>
      </c>
      <c r="B524" s="232">
        <v>2020</v>
      </c>
      <c r="C524" s="40" t="s">
        <v>95</v>
      </c>
      <c r="D524" s="55">
        <f>Intentionally_produced_MPs!N57</f>
        <v>1.6163390373067874</v>
      </c>
      <c r="E524" s="40" t="s">
        <v>116</v>
      </c>
      <c r="F524" s="29">
        <v>1</v>
      </c>
      <c r="G524" s="9">
        <v>1</v>
      </c>
      <c r="H524" s="9">
        <v>3</v>
      </c>
      <c r="I524" s="9">
        <v>1</v>
      </c>
      <c r="J524" s="9">
        <v>1</v>
      </c>
      <c r="K524" s="159">
        <f t="shared" si="8"/>
        <v>0.35859414261160716</v>
      </c>
      <c r="L524" s="52"/>
    </row>
    <row r="525" spans="1:12">
      <c r="A525" s="151" t="s">
        <v>37</v>
      </c>
      <c r="B525" s="232">
        <v>2020</v>
      </c>
      <c r="C525" s="40" t="s">
        <v>86</v>
      </c>
      <c r="D525" s="55">
        <f>Intentionally_produced_MPs!E57</f>
        <v>8.4170262584018349</v>
      </c>
      <c r="E525" s="40" t="s">
        <v>116</v>
      </c>
      <c r="F525" s="29">
        <v>1</v>
      </c>
      <c r="G525" s="9">
        <v>1</v>
      </c>
      <c r="H525" s="9">
        <v>3</v>
      </c>
      <c r="I525" s="9">
        <v>1</v>
      </c>
      <c r="J525" s="9">
        <v>1</v>
      </c>
      <c r="K525" s="159">
        <f t="shared" si="8"/>
        <v>0.35859414261160716</v>
      </c>
      <c r="L525" s="52"/>
    </row>
    <row r="526" spans="1:12">
      <c r="A526" s="151" t="s">
        <v>37</v>
      </c>
      <c r="B526" s="232">
        <v>2020</v>
      </c>
      <c r="C526" s="40" t="s">
        <v>98</v>
      </c>
      <c r="D526" s="55">
        <f>Intentionally_produced_MPs!Q57</f>
        <v>9.6628389153492069</v>
      </c>
      <c r="E526" s="40" t="s">
        <v>116</v>
      </c>
      <c r="F526" s="29">
        <v>1</v>
      </c>
      <c r="G526" s="9">
        <v>1</v>
      </c>
      <c r="H526" s="9">
        <v>3</v>
      </c>
      <c r="I526" s="9">
        <v>1</v>
      </c>
      <c r="J526" s="9">
        <v>1</v>
      </c>
      <c r="K526" s="159">
        <f t="shared" si="8"/>
        <v>0.35859414261160716</v>
      </c>
      <c r="L526" s="52"/>
    </row>
    <row r="527" spans="1:12">
      <c r="A527" s="151" t="s">
        <v>37</v>
      </c>
      <c r="B527" s="232">
        <v>2020</v>
      </c>
      <c r="C527" s="40" t="s">
        <v>93</v>
      </c>
      <c r="D527" s="55">
        <f>Intentionally_produced_MPs!L57</f>
        <v>21.948661262273152</v>
      </c>
      <c r="E527" s="40" t="s">
        <v>116</v>
      </c>
      <c r="F527" s="29">
        <v>1</v>
      </c>
      <c r="G527" s="9">
        <v>1</v>
      </c>
      <c r="H527" s="9">
        <v>3</v>
      </c>
      <c r="I527" s="9">
        <v>1</v>
      </c>
      <c r="J527" s="9">
        <v>1</v>
      </c>
      <c r="K527" s="159">
        <f t="shared" si="8"/>
        <v>0.35859414261160716</v>
      </c>
      <c r="L527" s="52"/>
    </row>
    <row r="528" spans="1:12" ht="15" thickBot="1">
      <c r="A528" s="152" t="s">
        <v>37</v>
      </c>
      <c r="B528" s="233">
        <v>2020</v>
      </c>
      <c r="C528" s="41" t="s">
        <v>92</v>
      </c>
      <c r="D528" s="56">
        <f>Intentionally_produced_MPs!K57</f>
        <v>115.5</v>
      </c>
      <c r="E528" s="41" t="s">
        <v>116</v>
      </c>
      <c r="F528" s="30">
        <v>1</v>
      </c>
      <c r="G528" s="12">
        <v>1</v>
      </c>
      <c r="H528" s="12">
        <v>3</v>
      </c>
      <c r="I528" s="12">
        <v>1</v>
      </c>
      <c r="J528" s="12">
        <v>1</v>
      </c>
      <c r="K528" s="160">
        <f t="shared" si="8"/>
        <v>0.35859414261160716</v>
      </c>
      <c r="L528" s="53"/>
    </row>
    <row r="529" spans="1:12">
      <c r="A529" s="230" t="str">
        <f>Packaging!AF59</f>
        <v>Packaging</v>
      </c>
      <c r="B529" s="234">
        <f>Packaging!AG59</f>
        <v>2017</v>
      </c>
      <c r="C529" s="161" t="str">
        <f>Packaging!AI59</f>
        <v>EPS</v>
      </c>
      <c r="D529" s="157">
        <f>Packaging!AJ59</f>
        <v>196.16893694434862</v>
      </c>
      <c r="E529" s="161" t="s">
        <v>117</v>
      </c>
      <c r="F529" s="656">
        <v>1</v>
      </c>
      <c r="G529" s="118">
        <v>1</v>
      </c>
      <c r="H529" s="118">
        <v>2</v>
      </c>
      <c r="I529" s="118">
        <v>1</v>
      </c>
      <c r="J529" s="118">
        <v>2</v>
      </c>
      <c r="K529" s="810">
        <f t="shared" si="8"/>
        <v>0.35859414261160716</v>
      </c>
      <c r="L529" s="658"/>
    </row>
    <row r="530" spans="1:12">
      <c r="A530" s="151" t="str">
        <f>Packaging!AF51</f>
        <v>Packaging</v>
      </c>
      <c r="B530" s="232">
        <f>Packaging!AG51</f>
        <v>2018</v>
      </c>
      <c r="C530" s="40" t="str">
        <f>Packaging!AI51</f>
        <v>EPS</v>
      </c>
      <c r="D530" s="55">
        <f>Packaging!AJ51</f>
        <v>199.7502347440078</v>
      </c>
      <c r="E530" s="40" t="s">
        <v>117</v>
      </c>
      <c r="F530" s="29">
        <v>1</v>
      </c>
      <c r="G530" s="9">
        <v>1</v>
      </c>
      <c r="H530" s="9">
        <v>2</v>
      </c>
      <c r="I530" s="9">
        <v>1</v>
      </c>
      <c r="J530" s="9">
        <v>2</v>
      </c>
      <c r="K530" s="159">
        <f t="shared" si="8"/>
        <v>0.35859414261160716</v>
      </c>
      <c r="L530" s="52"/>
    </row>
    <row r="531" spans="1:12">
      <c r="A531" s="151" t="str">
        <f>Packaging!AF43</f>
        <v>Packaging</v>
      </c>
      <c r="B531" s="232">
        <f>Packaging!AG43</f>
        <v>2019</v>
      </c>
      <c r="C531" s="40" t="str">
        <f>Packaging!AI43</f>
        <v>EPS</v>
      </c>
      <c r="D531" s="55">
        <f>Packaging!AJ43</f>
        <v>205.7539301402723</v>
      </c>
      <c r="E531" s="40" t="s">
        <v>117</v>
      </c>
      <c r="F531" s="29">
        <v>1</v>
      </c>
      <c r="G531" s="9">
        <v>1</v>
      </c>
      <c r="H531" s="9">
        <v>2</v>
      </c>
      <c r="I531" s="9">
        <v>1</v>
      </c>
      <c r="J531" s="9">
        <v>2</v>
      </c>
      <c r="K531" s="159">
        <f t="shared" si="8"/>
        <v>0.35859414261160716</v>
      </c>
      <c r="L531" s="52"/>
    </row>
    <row r="532" spans="1:12">
      <c r="A532" s="151" t="str">
        <f>Packaging!AF35</f>
        <v>Packaging</v>
      </c>
      <c r="B532" s="232">
        <f>Packaging!AG35</f>
        <v>2020</v>
      </c>
      <c r="C532" s="40" t="str">
        <f>Packaging!AI35</f>
        <v>EPS</v>
      </c>
      <c r="D532" s="55">
        <f>Packaging!AJ35</f>
        <v>208.32709651874683</v>
      </c>
      <c r="E532" s="40" t="s">
        <v>117</v>
      </c>
      <c r="F532" s="29">
        <v>1</v>
      </c>
      <c r="G532" s="9">
        <v>1</v>
      </c>
      <c r="H532" s="9">
        <v>2</v>
      </c>
      <c r="I532" s="9">
        <v>1</v>
      </c>
      <c r="J532" s="9">
        <v>2</v>
      </c>
      <c r="K532" s="159">
        <f t="shared" si="8"/>
        <v>0.35859414261160716</v>
      </c>
      <c r="L532" s="63"/>
    </row>
    <row r="533" spans="1:12">
      <c r="A533" s="151" t="str">
        <f>Packaging!AF27</f>
        <v>Packaging</v>
      </c>
      <c r="B533" s="232">
        <f>Packaging!AG27</f>
        <v>2021</v>
      </c>
      <c r="C533" s="40" t="str">
        <f>Packaging!AI27</f>
        <v>EPS</v>
      </c>
      <c r="D533" s="55">
        <f>Packaging!AJ27</f>
        <v>216.38776664232742</v>
      </c>
      <c r="E533" s="40" t="s">
        <v>117</v>
      </c>
      <c r="F533" s="29">
        <v>1</v>
      </c>
      <c r="G533" s="9">
        <v>1</v>
      </c>
      <c r="H533" s="9">
        <v>2</v>
      </c>
      <c r="I533" s="9">
        <v>1</v>
      </c>
      <c r="J533" s="9">
        <v>2</v>
      </c>
      <c r="K533" s="159">
        <f t="shared" si="8"/>
        <v>0.35859414261160716</v>
      </c>
      <c r="L533" s="52"/>
    </row>
    <row r="534" spans="1:12">
      <c r="A534" s="151" t="str">
        <f>Packaging!AF60</f>
        <v>Packaging</v>
      </c>
      <c r="B534" s="232">
        <f>Packaging!AG60</f>
        <v>2017</v>
      </c>
      <c r="C534" s="40" t="str">
        <f>Packaging!AI60</f>
        <v>PVC</v>
      </c>
      <c r="D534" s="55">
        <f>Packaging!AJ60</f>
        <v>312.57448292752849</v>
      </c>
      <c r="E534" s="40" t="s">
        <v>117</v>
      </c>
      <c r="F534" s="29">
        <v>1</v>
      </c>
      <c r="G534" s="9">
        <v>1</v>
      </c>
      <c r="H534" s="9">
        <v>2</v>
      </c>
      <c r="I534" s="9">
        <v>1</v>
      </c>
      <c r="J534" s="9">
        <v>2</v>
      </c>
      <c r="K534" s="159">
        <f t="shared" si="8"/>
        <v>0.35859414261160716</v>
      </c>
      <c r="L534" s="52"/>
    </row>
    <row r="535" spans="1:12">
      <c r="A535" s="151" t="str">
        <f>Packaging!AF52</f>
        <v>Packaging</v>
      </c>
      <c r="B535" s="232">
        <f>Packaging!AG52</f>
        <v>2018</v>
      </c>
      <c r="C535" s="40" t="str">
        <f>Packaging!AI52</f>
        <v>PVC</v>
      </c>
      <c r="D535" s="55">
        <f>Packaging!AJ52</f>
        <v>318.28090273779407</v>
      </c>
      <c r="E535" s="40" t="s">
        <v>117</v>
      </c>
      <c r="F535" s="29">
        <v>1</v>
      </c>
      <c r="G535" s="9">
        <v>1</v>
      </c>
      <c r="H535" s="9">
        <v>2</v>
      </c>
      <c r="I535" s="9">
        <v>1</v>
      </c>
      <c r="J535" s="9">
        <v>2</v>
      </c>
      <c r="K535" s="159">
        <f t="shared" si="8"/>
        <v>0.35859414261160716</v>
      </c>
      <c r="L535" s="52"/>
    </row>
    <row r="536" spans="1:12">
      <c r="A536" s="151" t="str">
        <f>Packaging!AF44</f>
        <v>Packaging</v>
      </c>
      <c r="B536" s="232">
        <f>Packaging!AG44</f>
        <v>2019</v>
      </c>
      <c r="C536" s="40" t="str">
        <f>Packaging!AI44</f>
        <v>PVC</v>
      </c>
      <c r="D536" s="55">
        <f>Packaging!AJ44</f>
        <v>327.84715728029653</v>
      </c>
      <c r="E536" s="40" t="s">
        <v>117</v>
      </c>
      <c r="F536" s="29">
        <v>1</v>
      </c>
      <c r="G536" s="9">
        <v>1</v>
      </c>
      <c r="H536" s="9">
        <v>2</v>
      </c>
      <c r="I536" s="9">
        <v>1</v>
      </c>
      <c r="J536" s="9">
        <v>2</v>
      </c>
      <c r="K536" s="159">
        <f t="shared" si="8"/>
        <v>0.35859414261160716</v>
      </c>
      <c r="L536" s="52"/>
    </row>
    <row r="537" spans="1:12">
      <c r="A537" s="151" t="str">
        <f>Packaging!AF36</f>
        <v>Packaging</v>
      </c>
      <c r="B537" s="232">
        <f>Packaging!AG36</f>
        <v>2020</v>
      </c>
      <c r="C537" s="40" t="str">
        <f>Packaging!AI36</f>
        <v>PVC</v>
      </c>
      <c r="D537" s="55">
        <f>Packaging!AJ36</f>
        <v>331.94722614321932</v>
      </c>
      <c r="E537" s="40" t="s">
        <v>117</v>
      </c>
      <c r="F537" s="29">
        <v>1</v>
      </c>
      <c r="G537" s="9">
        <v>1</v>
      </c>
      <c r="H537" s="9">
        <v>2</v>
      </c>
      <c r="I537" s="9">
        <v>1</v>
      </c>
      <c r="J537" s="9">
        <v>2</v>
      </c>
      <c r="K537" s="159">
        <f t="shared" si="8"/>
        <v>0.35859414261160716</v>
      </c>
      <c r="L537" s="63"/>
    </row>
    <row r="538" spans="1:12">
      <c r="A538" s="151" t="str">
        <f>Packaging!AF28</f>
        <v>Packaging</v>
      </c>
      <c r="B538" s="232">
        <f>Packaging!AG28</f>
        <v>2021</v>
      </c>
      <c r="C538" s="40" t="str">
        <f>Packaging!AI28</f>
        <v>PVC</v>
      </c>
      <c r="D538" s="55">
        <f>Packaging!AJ28</f>
        <v>344.79105266934431</v>
      </c>
      <c r="E538" s="40" t="s">
        <v>117</v>
      </c>
      <c r="F538" s="29">
        <v>1</v>
      </c>
      <c r="G538" s="9">
        <v>1</v>
      </c>
      <c r="H538" s="9">
        <v>2</v>
      </c>
      <c r="I538" s="9">
        <v>1</v>
      </c>
      <c r="J538" s="9">
        <v>2</v>
      </c>
      <c r="K538" s="159">
        <f t="shared" si="8"/>
        <v>0.35859414261160716</v>
      </c>
      <c r="L538" s="52"/>
    </row>
    <row r="539" spans="1:12">
      <c r="A539" s="151" t="str">
        <f>Packaging!AF62</f>
        <v>Packaging</v>
      </c>
      <c r="B539" s="232">
        <f>Packaging!AG62</f>
        <v>2017</v>
      </c>
      <c r="C539" s="40" t="str">
        <f>Packaging!AI62</f>
        <v>OTHER</v>
      </c>
      <c r="D539" s="55">
        <f>Packaging!AJ62</f>
        <v>369.51335477026953</v>
      </c>
      <c r="E539" s="40" t="s">
        <v>117</v>
      </c>
      <c r="F539" s="29">
        <v>1</v>
      </c>
      <c r="G539" s="9">
        <v>1</v>
      </c>
      <c r="H539" s="9">
        <v>2</v>
      </c>
      <c r="I539" s="9">
        <v>1</v>
      </c>
      <c r="J539" s="9">
        <v>2</v>
      </c>
      <c r="K539" s="159">
        <f t="shared" si="8"/>
        <v>0.35859414261160716</v>
      </c>
      <c r="L539" s="52"/>
    </row>
    <row r="540" spans="1:12">
      <c r="A540" s="151" t="str">
        <f>Packaging!AF54</f>
        <v>Packaging</v>
      </c>
      <c r="B540" s="232">
        <f>Packaging!AG54</f>
        <v>2018</v>
      </c>
      <c r="C540" s="40" t="str">
        <f>Packaging!AI54</f>
        <v>OTHER</v>
      </c>
      <c r="D540" s="55">
        <f>Packaging!AJ54</f>
        <v>376.25926156365176</v>
      </c>
      <c r="E540" s="40" t="s">
        <v>117</v>
      </c>
      <c r="F540" s="29">
        <v>1</v>
      </c>
      <c r="G540" s="9">
        <v>1</v>
      </c>
      <c r="H540" s="9">
        <v>2</v>
      </c>
      <c r="I540" s="9">
        <v>1</v>
      </c>
      <c r="J540" s="9">
        <v>2</v>
      </c>
      <c r="K540" s="159">
        <f t="shared" si="8"/>
        <v>0.35859414261160716</v>
      </c>
      <c r="L540" s="52"/>
    </row>
    <row r="541" spans="1:12">
      <c r="A541" s="151" t="str">
        <f>Packaging!AF46</f>
        <v>Packaging</v>
      </c>
      <c r="B541" s="232">
        <f>Packaging!AG46</f>
        <v>2019</v>
      </c>
      <c r="C541" s="40" t="str">
        <f>Packaging!AI46</f>
        <v>OTHER</v>
      </c>
      <c r="D541" s="55">
        <f>Packaging!AJ46</f>
        <v>387.56811433845098</v>
      </c>
      <c r="E541" s="40" t="s">
        <v>117</v>
      </c>
      <c r="F541" s="29">
        <v>1</v>
      </c>
      <c r="G541" s="9">
        <v>1</v>
      </c>
      <c r="H541" s="9">
        <v>2</v>
      </c>
      <c r="I541" s="9">
        <v>1</v>
      </c>
      <c r="J541" s="9">
        <v>2</v>
      </c>
      <c r="K541" s="159">
        <f t="shared" si="8"/>
        <v>0.35859414261160716</v>
      </c>
      <c r="L541" s="52"/>
    </row>
    <row r="542" spans="1:12">
      <c r="A542" s="151" t="str">
        <f>Packaging!AF38</f>
        <v>Packaging</v>
      </c>
      <c r="B542" s="232">
        <f>Packaging!AG38</f>
        <v>2020</v>
      </c>
      <c r="C542" s="40" t="str">
        <f>Packaging!AI38</f>
        <v>OTHER</v>
      </c>
      <c r="D542" s="55">
        <f>Packaging!AJ38</f>
        <v>392.41505573346876</v>
      </c>
      <c r="E542" s="40" t="s">
        <v>117</v>
      </c>
      <c r="F542" s="29">
        <v>1</v>
      </c>
      <c r="G542" s="9">
        <v>1</v>
      </c>
      <c r="H542" s="9">
        <v>2</v>
      </c>
      <c r="I542" s="9">
        <v>1</v>
      </c>
      <c r="J542" s="9">
        <v>2</v>
      </c>
      <c r="K542" s="159">
        <f t="shared" si="8"/>
        <v>0.35859414261160716</v>
      </c>
      <c r="L542" s="63"/>
    </row>
    <row r="543" spans="1:12">
      <c r="A543" s="151" t="str">
        <f>Packaging!AF30</f>
        <v>Packaging</v>
      </c>
      <c r="B543" s="232">
        <f>Packaging!AG30</f>
        <v>2021</v>
      </c>
      <c r="C543" s="40" t="str">
        <f>Packaging!AI30</f>
        <v>OTHER</v>
      </c>
      <c r="D543" s="55">
        <f>Packaging!AJ30</f>
        <v>407.59852619243202</v>
      </c>
      <c r="E543" s="40" t="s">
        <v>117</v>
      </c>
      <c r="F543" s="29">
        <v>1</v>
      </c>
      <c r="G543" s="9">
        <v>1</v>
      </c>
      <c r="H543" s="9">
        <v>2</v>
      </c>
      <c r="I543" s="9">
        <v>1</v>
      </c>
      <c r="J543" s="9">
        <v>2</v>
      </c>
      <c r="K543" s="159">
        <f t="shared" si="8"/>
        <v>0.35859414261160716</v>
      </c>
      <c r="L543" s="52"/>
    </row>
    <row r="544" spans="1:12">
      <c r="A544" s="151" t="str">
        <f>Packaging!AF58</f>
        <v>Packaging</v>
      </c>
      <c r="B544" s="232">
        <f>Packaging!AG58</f>
        <v>2017</v>
      </c>
      <c r="C544" s="40" t="str">
        <f>Packaging!AI58</f>
        <v>PS</v>
      </c>
      <c r="D544" s="55">
        <f>Packaging!AJ58</f>
        <v>548.65033904328789</v>
      </c>
      <c r="E544" s="40" t="s">
        <v>117</v>
      </c>
      <c r="F544" s="29">
        <v>1</v>
      </c>
      <c r="G544" s="9">
        <v>1</v>
      </c>
      <c r="H544" s="9">
        <v>2</v>
      </c>
      <c r="I544" s="9">
        <v>1</v>
      </c>
      <c r="J544" s="9">
        <v>2</v>
      </c>
      <c r="K544" s="159">
        <f t="shared" si="8"/>
        <v>0.35859414261160716</v>
      </c>
      <c r="L544" s="52"/>
    </row>
    <row r="545" spans="1:12">
      <c r="A545" s="151" t="str">
        <f>Packaging!AF50</f>
        <v>Packaging</v>
      </c>
      <c r="B545" s="232">
        <f>Packaging!AG50</f>
        <v>2018</v>
      </c>
      <c r="C545" s="40" t="str">
        <f>Packaging!AI50</f>
        <v>PS</v>
      </c>
      <c r="D545" s="55">
        <f>Packaging!AJ50</f>
        <v>558.66660503628452</v>
      </c>
      <c r="E545" s="40" t="s">
        <v>117</v>
      </c>
      <c r="F545" s="29">
        <v>1</v>
      </c>
      <c r="G545" s="9">
        <v>1</v>
      </c>
      <c r="H545" s="9">
        <v>2</v>
      </c>
      <c r="I545" s="9">
        <v>1</v>
      </c>
      <c r="J545" s="9">
        <v>2</v>
      </c>
      <c r="K545" s="159">
        <f t="shared" si="8"/>
        <v>0.35859414261160716</v>
      </c>
      <c r="L545" s="52"/>
    </row>
    <row r="546" spans="1:12">
      <c r="A546" s="151" t="str">
        <f>Packaging!AF42</f>
        <v>Packaging</v>
      </c>
      <c r="B546" s="232">
        <f>Packaging!AG42</f>
        <v>2019</v>
      </c>
      <c r="C546" s="40" t="str">
        <f>Packaging!AI42</f>
        <v>PS</v>
      </c>
      <c r="D546" s="55">
        <f>Packaging!AJ42</f>
        <v>575.45789506406095</v>
      </c>
      <c r="E546" s="40" t="s">
        <v>117</v>
      </c>
      <c r="F546" s="29">
        <v>1</v>
      </c>
      <c r="G546" s="9">
        <v>1</v>
      </c>
      <c r="H546" s="9">
        <v>2</v>
      </c>
      <c r="I546" s="9">
        <v>1</v>
      </c>
      <c r="J546" s="9">
        <v>2</v>
      </c>
      <c r="K546" s="159">
        <f t="shared" si="8"/>
        <v>0.35859414261160716</v>
      </c>
      <c r="L546" s="52"/>
    </row>
    <row r="547" spans="1:12">
      <c r="A547" s="151" t="str">
        <f>Packaging!AF34</f>
        <v>Packaging</v>
      </c>
      <c r="B547" s="232">
        <f>Packaging!AG34</f>
        <v>2020</v>
      </c>
      <c r="C547" s="40" t="str">
        <f>Packaging!AI34</f>
        <v>PS</v>
      </c>
      <c r="D547" s="55">
        <f>Packaging!AJ34</f>
        <v>582.65459311399411</v>
      </c>
      <c r="E547" s="40" t="s">
        <v>117</v>
      </c>
      <c r="F547" s="29">
        <v>1</v>
      </c>
      <c r="G547" s="9">
        <v>1</v>
      </c>
      <c r="H547" s="9">
        <v>2</v>
      </c>
      <c r="I547" s="9">
        <v>1</v>
      </c>
      <c r="J547" s="9">
        <v>2</v>
      </c>
      <c r="K547" s="159">
        <f t="shared" si="8"/>
        <v>0.35859414261160716</v>
      </c>
      <c r="L547" s="63"/>
    </row>
    <row r="548" spans="1:12">
      <c r="A548" s="151" t="str">
        <f>Packaging!AF26</f>
        <v>Packaging</v>
      </c>
      <c r="B548" s="232">
        <f>Packaging!AG26</f>
        <v>2021</v>
      </c>
      <c r="C548" s="40" t="str">
        <f>Packaging!AI26</f>
        <v>PS</v>
      </c>
      <c r="D548" s="55">
        <f>Packaging!AJ26</f>
        <v>605.19888307705389</v>
      </c>
      <c r="E548" s="40" t="s">
        <v>117</v>
      </c>
      <c r="F548" s="29">
        <v>1</v>
      </c>
      <c r="G548" s="9">
        <v>1</v>
      </c>
      <c r="H548" s="9">
        <v>2</v>
      </c>
      <c r="I548" s="9">
        <v>1</v>
      </c>
      <c r="J548" s="9">
        <v>2</v>
      </c>
      <c r="K548" s="159">
        <f t="shared" si="8"/>
        <v>0.35859414261160716</v>
      </c>
      <c r="L548" s="52"/>
    </row>
    <row r="549" spans="1:12">
      <c r="A549" s="151" t="str">
        <f>Packaging!AF61</f>
        <v>Packaging</v>
      </c>
      <c r="B549" s="232">
        <f>Packaging!AG61</f>
        <v>2017</v>
      </c>
      <c r="C549" s="40" t="str">
        <f>Packaging!AI61</f>
        <v>PET</v>
      </c>
      <c r="D549" s="55">
        <f>Packaging!AJ61</f>
        <v>2670.371333170558</v>
      </c>
      <c r="E549" s="40" t="s">
        <v>117</v>
      </c>
      <c r="F549" s="29">
        <v>1</v>
      </c>
      <c r="G549" s="9">
        <v>1</v>
      </c>
      <c r="H549" s="9">
        <v>2</v>
      </c>
      <c r="I549" s="9">
        <v>1</v>
      </c>
      <c r="J549" s="9">
        <v>2</v>
      </c>
      <c r="K549" s="159">
        <f t="shared" si="8"/>
        <v>0.35859414261160716</v>
      </c>
      <c r="L549" s="52"/>
    </row>
    <row r="550" spans="1:12">
      <c r="A550" s="151" t="str">
        <f>Packaging!AF56</f>
        <v>Packaging</v>
      </c>
      <c r="B550" s="232">
        <f>Packaging!AG56</f>
        <v>2017</v>
      </c>
      <c r="C550" s="40" t="str">
        <f>Packaging!AI56</f>
        <v>HDPE</v>
      </c>
      <c r="D550" s="55">
        <f>Packaging!AJ56</f>
        <v>2679.9417770960026</v>
      </c>
      <c r="E550" s="40" t="s">
        <v>117</v>
      </c>
      <c r="F550" s="29">
        <v>1</v>
      </c>
      <c r="G550" s="9">
        <v>1</v>
      </c>
      <c r="H550" s="9">
        <v>2</v>
      </c>
      <c r="I550" s="9">
        <v>1</v>
      </c>
      <c r="J550" s="9">
        <v>2</v>
      </c>
      <c r="K550" s="159">
        <f t="shared" si="8"/>
        <v>0.35859414261160716</v>
      </c>
      <c r="L550" s="52"/>
    </row>
    <row r="551" spans="1:12">
      <c r="A551" s="151" t="str">
        <f>Packaging!AF53</f>
        <v>Packaging</v>
      </c>
      <c r="B551" s="232">
        <f>Packaging!AG53</f>
        <v>2018</v>
      </c>
      <c r="C551" s="40" t="str">
        <f>Packaging!AI53</f>
        <v>PET</v>
      </c>
      <c r="D551" s="55">
        <f>Packaging!AJ53</f>
        <v>2719.1221452446925</v>
      </c>
      <c r="E551" s="40" t="s">
        <v>117</v>
      </c>
      <c r="F551" s="29">
        <v>1</v>
      </c>
      <c r="G551" s="9">
        <v>1</v>
      </c>
      <c r="H551" s="9">
        <v>2</v>
      </c>
      <c r="I551" s="9">
        <v>1</v>
      </c>
      <c r="J551" s="9">
        <v>2</v>
      </c>
      <c r="K551" s="159">
        <f t="shared" si="8"/>
        <v>0.35859414261160716</v>
      </c>
      <c r="L551" s="52"/>
    </row>
    <row r="552" spans="1:12">
      <c r="A552" s="151" t="str">
        <f>Packaging!AF48</f>
        <v>Packaging</v>
      </c>
      <c r="B552" s="232">
        <f>Packaging!AG48</f>
        <v>2018</v>
      </c>
      <c r="C552" s="40" t="str">
        <f>Packaging!AI48</f>
        <v>HDPE</v>
      </c>
      <c r="D552" s="55">
        <f>Packaging!AJ48</f>
        <v>2728.8673090330567</v>
      </c>
      <c r="E552" s="40" t="s">
        <v>117</v>
      </c>
      <c r="F552" s="29">
        <v>1</v>
      </c>
      <c r="G552" s="9">
        <v>1</v>
      </c>
      <c r="H552" s="9">
        <v>2</v>
      </c>
      <c r="I552" s="9">
        <v>1</v>
      </c>
      <c r="J552" s="9">
        <v>2</v>
      </c>
      <c r="K552" s="159">
        <f t="shared" si="8"/>
        <v>0.35859414261160716</v>
      </c>
      <c r="L552" s="52"/>
    </row>
    <row r="553" spans="1:12">
      <c r="A553" s="151" t="str">
        <f>Packaging!AF45</f>
        <v>Packaging</v>
      </c>
      <c r="B553" s="232">
        <f>Packaging!AG45</f>
        <v>2019</v>
      </c>
      <c r="C553" s="40" t="str">
        <f>Packaging!AI45</f>
        <v>PET</v>
      </c>
      <c r="D553" s="55">
        <f>Packaging!AJ45</f>
        <v>2800.8481123065467</v>
      </c>
      <c r="E553" s="40" t="s">
        <v>117</v>
      </c>
      <c r="F553" s="29">
        <v>1</v>
      </c>
      <c r="G553" s="9">
        <v>1</v>
      </c>
      <c r="H553" s="9">
        <v>2</v>
      </c>
      <c r="I553" s="9">
        <v>1</v>
      </c>
      <c r="J553" s="9">
        <v>2</v>
      </c>
      <c r="K553" s="159">
        <f t="shared" si="8"/>
        <v>0.35859414261160716</v>
      </c>
      <c r="L553" s="52"/>
    </row>
    <row r="554" spans="1:12">
      <c r="A554" s="151" t="str">
        <f>Packaging!AF40</f>
        <v>Packaging</v>
      </c>
      <c r="B554" s="232">
        <f>Packaging!AG40</f>
        <v>2019</v>
      </c>
      <c r="C554" s="40" t="str">
        <f>Packaging!AI40</f>
        <v>HDPE</v>
      </c>
      <c r="D554" s="55">
        <f>Packaging!AJ40</f>
        <v>2810.8861768519337</v>
      </c>
      <c r="E554" s="40" t="s">
        <v>117</v>
      </c>
      <c r="F554" s="29">
        <v>1</v>
      </c>
      <c r="G554" s="9">
        <v>1</v>
      </c>
      <c r="H554" s="9">
        <v>2</v>
      </c>
      <c r="I554" s="9">
        <v>1</v>
      </c>
      <c r="J554" s="9">
        <v>2</v>
      </c>
      <c r="K554" s="159">
        <f t="shared" si="8"/>
        <v>0.35859414261160716</v>
      </c>
      <c r="L554" s="52"/>
    </row>
    <row r="555" spans="1:12">
      <c r="A555" s="151" t="str">
        <f>Packaging!AF37</f>
        <v>Packaging</v>
      </c>
      <c r="B555" s="232">
        <f>Packaging!AG37</f>
        <v>2020</v>
      </c>
      <c r="C555" s="40" t="str">
        <f>Packaging!AI37</f>
        <v>PET</v>
      </c>
      <c r="D555" s="55">
        <f>Packaging!AJ37</f>
        <v>2835.8756239992163</v>
      </c>
      <c r="E555" s="40" t="s">
        <v>117</v>
      </c>
      <c r="F555" s="29">
        <v>1</v>
      </c>
      <c r="G555" s="9">
        <v>1</v>
      </c>
      <c r="H555" s="9">
        <v>2</v>
      </c>
      <c r="I555" s="9">
        <v>1</v>
      </c>
      <c r="J555" s="9">
        <v>2</v>
      </c>
      <c r="K555" s="159">
        <f t="shared" si="8"/>
        <v>0.35859414261160716</v>
      </c>
      <c r="L555" s="63"/>
    </row>
    <row r="556" spans="1:12">
      <c r="A556" s="151" t="str">
        <f>Packaging!AF32</f>
        <v>Packaging</v>
      </c>
      <c r="B556" s="232">
        <f>Packaging!AG32</f>
        <v>2020</v>
      </c>
      <c r="C556" s="40" t="str">
        <f>Packaging!AI32</f>
        <v>HDPE</v>
      </c>
      <c r="D556" s="55">
        <f>Packaging!AJ32</f>
        <v>2846.0392249568386</v>
      </c>
      <c r="E556" s="40" t="s">
        <v>117</v>
      </c>
      <c r="F556" s="29">
        <v>1</v>
      </c>
      <c r="G556" s="9">
        <v>1</v>
      </c>
      <c r="H556" s="9">
        <v>2</v>
      </c>
      <c r="I556" s="9">
        <v>1</v>
      </c>
      <c r="J556" s="9">
        <v>2</v>
      </c>
      <c r="K556" s="159">
        <f t="shared" si="8"/>
        <v>0.35859414261160716</v>
      </c>
      <c r="L556" s="63"/>
    </row>
    <row r="557" spans="1:12">
      <c r="A557" s="151" t="str">
        <f>Packaging!AF29</f>
        <v>Packaging</v>
      </c>
      <c r="B557" s="232">
        <f>Packaging!AG29</f>
        <v>2021</v>
      </c>
      <c r="C557" s="40" t="str">
        <f>Packaging!AI29</f>
        <v>PET</v>
      </c>
      <c r="D557" s="55">
        <f>Packaging!AJ29</f>
        <v>2945.6023868569887</v>
      </c>
      <c r="E557" s="40" t="s">
        <v>117</v>
      </c>
      <c r="F557" s="29">
        <v>1</v>
      </c>
      <c r="G557" s="9">
        <v>1</v>
      </c>
      <c r="H557" s="9">
        <v>2</v>
      </c>
      <c r="I557" s="9">
        <v>1</v>
      </c>
      <c r="J557" s="9">
        <v>2</v>
      </c>
      <c r="K557" s="159">
        <f t="shared" si="8"/>
        <v>0.35859414261160716</v>
      </c>
      <c r="L557" s="52"/>
    </row>
    <row r="558" spans="1:12">
      <c r="A558" s="151" t="str">
        <f>Packaging!AF24</f>
        <v>Packaging</v>
      </c>
      <c r="B558" s="232">
        <f>Packaging!AG24</f>
        <v>2021</v>
      </c>
      <c r="C558" s="40" t="str">
        <f>Packaging!AI24</f>
        <v>HDPE</v>
      </c>
      <c r="D558" s="55">
        <f>Packaging!AJ24</f>
        <v>2956.1592416733561</v>
      </c>
      <c r="E558" s="40" t="s">
        <v>117</v>
      </c>
      <c r="F558" s="29">
        <v>1</v>
      </c>
      <c r="G558" s="9">
        <v>1</v>
      </c>
      <c r="H558" s="9">
        <v>2</v>
      </c>
      <c r="I558" s="9">
        <v>1</v>
      </c>
      <c r="J558" s="9">
        <v>2</v>
      </c>
      <c r="K558" s="159">
        <f t="shared" si="8"/>
        <v>0.35859414261160716</v>
      </c>
      <c r="L558" s="52"/>
    </row>
    <row r="559" spans="1:12">
      <c r="A559" s="151" t="str">
        <f>Packaging!AF57</f>
        <v>Packaging</v>
      </c>
      <c r="B559" s="232">
        <f>Packaging!AG57</f>
        <v>2017</v>
      </c>
      <c r="C559" s="40" t="str">
        <f>Packaging!AI57</f>
        <v>PP</v>
      </c>
      <c r="D559" s="55">
        <f>Packaging!AJ57</f>
        <v>3067.413114842308</v>
      </c>
      <c r="E559" s="40" t="s">
        <v>117</v>
      </c>
      <c r="F559" s="29">
        <v>1</v>
      </c>
      <c r="G559" s="9">
        <v>1</v>
      </c>
      <c r="H559" s="9">
        <v>2</v>
      </c>
      <c r="I559" s="9">
        <v>1</v>
      </c>
      <c r="J559" s="9">
        <v>2</v>
      </c>
      <c r="K559" s="159">
        <f t="shared" si="8"/>
        <v>0.35859414261160716</v>
      </c>
      <c r="L559" s="52"/>
    </row>
    <row r="560" spans="1:12">
      <c r="A560" s="151" t="str">
        <f>Packaging!AF49</f>
        <v>Packaging</v>
      </c>
      <c r="B560" s="232">
        <f>Packaging!AG49</f>
        <v>2018</v>
      </c>
      <c r="C560" s="40" t="str">
        <f>Packaging!AI49</f>
        <v>PP</v>
      </c>
      <c r="D560" s="55">
        <f>Packaging!AJ49</f>
        <v>3123.4123979599349</v>
      </c>
      <c r="E560" s="40" t="s">
        <v>117</v>
      </c>
      <c r="F560" s="29">
        <v>1</v>
      </c>
      <c r="G560" s="9">
        <v>1</v>
      </c>
      <c r="H560" s="9">
        <v>2</v>
      </c>
      <c r="I560" s="9">
        <v>1</v>
      </c>
      <c r="J560" s="9">
        <v>2</v>
      </c>
      <c r="K560" s="159">
        <f t="shared" si="8"/>
        <v>0.35859414261160716</v>
      </c>
      <c r="L560" s="52"/>
    </row>
    <row r="561" spans="1:12">
      <c r="A561" s="151" t="str">
        <f>Packaging!AF41</f>
        <v>Packaging</v>
      </c>
      <c r="B561" s="232">
        <f>Packaging!AG41</f>
        <v>2019</v>
      </c>
      <c r="C561" s="40" t="str">
        <f>Packaging!AI41</f>
        <v>PP</v>
      </c>
      <c r="D561" s="55">
        <f>Packaging!AJ41</f>
        <v>3217.2897175951252</v>
      </c>
      <c r="E561" s="40" t="s">
        <v>117</v>
      </c>
      <c r="F561" s="29">
        <v>1</v>
      </c>
      <c r="G561" s="9">
        <v>1</v>
      </c>
      <c r="H561" s="9">
        <v>2</v>
      </c>
      <c r="I561" s="9">
        <v>1</v>
      </c>
      <c r="J561" s="9">
        <v>2</v>
      </c>
      <c r="K561" s="159">
        <f t="shared" si="8"/>
        <v>0.35859414261160716</v>
      </c>
      <c r="L561" s="52"/>
    </row>
    <row r="562" spans="1:12">
      <c r="A562" s="151" t="str">
        <f>Packaging!AF33</f>
        <v>Packaging</v>
      </c>
      <c r="B562" s="232">
        <f>Packaging!AG33</f>
        <v>2020</v>
      </c>
      <c r="C562" s="40" t="str">
        <f>Packaging!AI33</f>
        <v>PP</v>
      </c>
      <c r="D562" s="55">
        <f>Packaging!AJ33</f>
        <v>3257.5252636451264</v>
      </c>
      <c r="E562" s="40" t="s">
        <v>117</v>
      </c>
      <c r="F562" s="29">
        <v>1</v>
      </c>
      <c r="G562" s="9">
        <v>1</v>
      </c>
      <c r="H562" s="9">
        <v>2</v>
      </c>
      <c r="I562" s="9">
        <v>1</v>
      </c>
      <c r="J562" s="9">
        <v>2</v>
      </c>
      <c r="K562" s="159">
        <f t="shared" si="8"/>
        <v>0.35859414261160716</v>
      </c>
      <c r="L562" s="63"/>
    </row>
    <row r="563" spans="1:12">
      <c r="A563" s="151" t="str">
        <f>Packaging!AF25</f>
        <v>Packaging</v>
      </c>
      <c r="B563" s="232">
        <f>Packaging!AG25</f>
        <v>2021</v>
      </c>
      <c r="C563" s="40" t="str">
        <f>Packaging!AI25</f>
        <v>PP</v>
      </c>
      <c r="D563" s="55">
        <f>Packaging!AJ25</f>
        <v>3383.566652443104</v>
      </c>
      <c r="E563" s="40" t="s">
        <v>117</v>
      </c>
      <c r="F563" s="29">
        <v>1</v>
      </c>
      <c r="G563" s="9">
        <v>1</v>
      </c>
      <c r="H563" s="9">
        <v>2</v>
      </c>
      <c r="I563" s="9">
        <v>1</v>
      </c>
      <c r="J563" s="9">
        <v>2</v>
      </c>
      <c r="K563" s="159">
        <f t="shared" si="8"/>
        <v>0.35859414261160716</v>
      </c>
      <c r="L563" s="52"/>
    </row>
    <row r="564" spans="1:12">
      <c r="A564" s="151" t="str">
        <f>Packaging!AF55</f>
        <v>Packaging</v>
      </c>
      <c r="B564" s="232">
        <f>Packaging!AG55</f>
        <v>2017</v>
      </c>
      <c r="C564" s="40" t="str">
        <f>Packaging!AI55</f>
        <v>LDPE</v>
      </c>
      <c r="D564" s="55">
        <f>Packaging!AJ55</f>
        <v>4707.1416612056973</v>
      </c>
      <c r="E564" s="40" t="s">
        <v>117</v>
      </c>
      <c r="F564" s="29">
        <v>1</v>
      </c>
      <c r="G564" s="9">
        <v>1</v>
      </c>
      <c r="H564" s="9">
        <v>2</v>
      </c>
      <c r="I564" s="9">
        <v>1</v>
      </c>
      <c r="J564" s="9">
        <v>2</v>
      </c>
      <c r="K564" s="159">
        <f t="shared" si="8"/>
        <v>0.35859414261160716</v>
      </c>
      <c r="L564" s="52"/>
    </row>
    <row r="565" spans="1:12">
      <c r="A565" s="151" t="str">
        <f>Packaging!AF47</f>
        <v>Packaging</v>
      </c>
      <c r="B565" s="232">
        <f>Packaging!AG47</f>
        <v>2018</v>
      </c>
      <c r="C565" s="40" t="str">
        <f>Packaging!AI47</f>
        <v>LDPE</v>
      </c>
      <c r="D565" s="55">
        <f>Packaging!AJ47</f>
        <v>4793.0761436805778</v>
      </c>
      <c r="E565" s="40" t="s">
        <v>117</v>
      </c>
      <c r="F565" s="29">
        <v>1</v>
      </c>
      <c r="G565" s="9">
        <v>1</v>
      </c>
      <c r="H565" s="9">
        <v>2</v>
      </c>
      <c r="I565" s="9">
        <v>1</v>
      </c>
      <c r="J565" s="9">
        <v>2</v>
      </c>
      <c r="K565" s="159">
        <f t="shared" si="8"/>
        <v>0.35859414261160716</v>
      </c>
      <c r="L565" s="52"/>
    </row>
    <row r="566" spans="1:12">
      <c r="A566" s="151" t="str">
        <f>Packaging!AF39</f>
        <v>Packaging</v>
      </c>
      <c r="B566" s="232">
        <f>Packaging!AG39</f>
        <v>2019</v>
      </c>
      <c r="C566" s="40" t="str">
        <f>Packaging!AI39</f>
        <v>LDPE</v>
      </c>
      <c r="D566" s="55">
        <f>Packaging!AJ39</f>
        <v>4937.1368964233152</v>
      </c>
      <c r="E566" s="40" t="s">
        <v>117</v>
      </c>
      <c r="F566" s="29">
        <v>1</v>
      </c>
      <c r="G566" s="9">
        <v>1</v>
      </c>
      <c r="H566" s="9">
        <v>2</v>
      </c>
      <c r="I566" s="9">
        <v>1</v>
      </c>
      <c r="J566" s="9">
        <v>2</v>
      </c>
      <c r="K566" s="159">
        <f t="shared" si="8"/>
        <v>0.35859414261160716</v>
      </c>
      <c r="L566" s="52"/>
    </row>
    <row r="567" spans="1:12">
      <c r="A567" s="151" t="str">
        <f>Packaging!AF31</f>
        <v>Packaging</v>
      </c>
      <c r="B567" s="232">
        <f>Packaging!AG31</f>
        <v>2020</v>
      </c>
      <c r="C567" s="40" t="str">
        <f>Packaging!AI31</f>
        <v>LDPE</v>
      </c>
      <c r="D567" s="55">
        <f>Packaging!AJ31</f>
        <v>4998.880915889391</v>
      </c>
      <c r="E567" s="40" t="s">
        <v>117</v>
      </c>
      <c r="F567" s="29">
        <v>1</v>
      </c>
      <c r="G567" s="9">
        <v>1</v>
      </c>
      <c r="H567" s="9">
        <v>2</v>
      </c>
      <c r="I567" s="9">
        <v>1</v>
      </c>
      <c r="J567" s="9">
        <v>2</v>
      </c>
      <c r="K567" s="159">
        <f t="shared" si="8"/>
        <v>0.35859414261160716</v>
      </c>
      <c r="L567" s="63"/>
    </row>
    <row r="568" spans="1:12" ht="15" thickBot="1">
      <c r="A568" s="227" t="str">
        <f>Packaging!AF23</f>
        <v>Packaging</v>
      </c>
      <c r="B568" s="235">
        <f>Packaging!AG23</f>
        <v>2021</v>
      </c>
      <c r="C568" s="153" t="str">
        <f>Packaging!AI23</f>
        <v>LDPE</v>
      </c>
      <c r="D568" s="156">
        <f>Packaging!AJ23</f>
        <v>5192.2994904453935</v>
      </c>
      <c r="E568" s="153" t="s">
        <v>117</v>
      </c>
      <c r="F568" s="154">
        <v>1</v>
      </c>
      <c r="G568" s="119">
        <v>1</v>
      </c>
      <c r="H568" s="119">
        <v>2</v>
      </c>
      <c r="I568" s="119">
        <v>1</v>
      </c>
      <c r="J568" s="119">
        <v>2</v>
      </c>
      <c r="K568" s="808">
        <f t="shared" si="8"/>
        <v>0.35859414261160716</v>
      </c>
      <c r="L568" s="61"/>
    </row>
    <row r="569" spans="1:12" ht="15" thickBot="1">
      <c r="A569" s="228" t="s">
        <v>118</v>
      </c>
      <c r="B569" s="236">
        <v>2019</v>
      </c>
      <c r="C569" s="166" t="s">
        <v>99</v>
      </c>
      <c r="D569" s="571">
        <v>2326</v>
      </c>
      <c r="E569" s="166" t="s">
        <v>128</v>
      </c>
      <c r="F569" s="776">
        <v>1</v>
      </c>
      <c r="G569" s="747">
        <v>1</v>
      </c>
      <c r="H569" s="747">
        <v>3</v>
      </c>
      <c r="I569" s="747">
        <v>1</v>
      </c>
      <c r="J569" s="747">
        <v>2</v>
      </c>
      <c r="K569" s="811">
        <f t="shared" ref="K569:K578" si="9">IF( OR( ISBLANK(F569),ISBLANK(G569), ISBLANK(H569), ISBLANK(I569), ISBLANK(J569) ), "", 1.5*SQRT(   EXP(2.21*(F569-1)) + EXP(2.21*(G569-1)) + EXP(2.21*(H569-1)) + EXP(2.21*(I569-1)) + EXP(2.21*J569)   )/100*2.45 )</f>
        <v>0.47802211380704585</v>
      </c>
      <c r="L569" s="812"/>
    </row>
    <row r="570" spans="1:12">
      <c r="A570" s="230" t="s">
        <v>121</v>
      </c>
      <c r="B570" s="234">
        <v>2017</v>
      </c>
      <c r="C570" s="161" t="s">
        <v>85</v>
      </c>
      <c r="D570" s="801">
        <v>0</v>
      </c>
      <c r="E570" s="809" t="s">
        <v>124</v>
      </c>
      <c r="F570" s="656">
        <v>1</v>
      </c>
      <c r="G570" s="118">
        <v>1</v>
      </c>
      <c r="H570" s="118">
        <v>3</v>
      </c>
      <c r="I570" s="118">
        <v>1</v>
      </c>
      <c r="J570" s="118">
        <v>2</v>
      </c>
      <c r="K570" s="810">
        <f t="shared" si="9"/>
        <v>0.47802211380704585</v>
      </c>
      <c r="L570" s="229" t="s">
        <v>125</v>
      </c>
    </row>
    <row r="571" spans="1:12">
      <c r="A571" s="151" t="s">
        <v>121</v>
      </c>
      <c r="B571" s="232">
        <v>2017</v>
      </c>
      <c r="C571" s="40" t="s">
        <v>86</v>
      </c>
      <c r="D571" s="59">
        <v>4</v>
      </c>
      <c r="E571" s="787" t="s">
        <v>124</v>
      </c>
      <c r="F571" s="29">
        <v>1</v>
      </c>
      <c r="G571" s="9">
        <v>1</v>
      </c>
      <c r="H571" s="9">
        <v>3</v>
      </c>
      <c r="I571" s="9">
        <v>1</v>
      </c>
      <c r="J571" s="9">
        <v>2</v>
      </c>
      <c r="K571" s="159">
        <f t="shared" si="9"/>
        <v>0.47802211380704585</v>
      </c>
      <c r="L571" s="63" t="s">
        <v>125</v>
      </c>
    </row>
    <row r="572" spans="1:12">
      <c r="A572" s="151" t="s">
        <v>121</v>
      </c>
      <c r="B572" s="232">
        <v>2017</v>
      </c>
      <c r="C572" s="40" t="s">
        <v>87</v>
      </c>
      <c r="D572" s="59">
        <v>1903.3411817515153</v>
      </c>
      <c r="E572" s="787" t="s">
        <v>124</v>
      </c>
      <c r="F572" s="29">
        <v>1</v>
      </c>
      <c r="G572" s="9">
        <v>1</v>
      </c>
      <c r="H572" s="9">
        <v>3</v>
      </c>
      <c r="I572" s="9">
        <v>1</v>
      </c>
      <c r="J572" s="9">
        <v>2</v>
      </c>
      <c r="K572" s="159">
        <f t="shared" si="9"/>
        <v>0.47802211380704585</v>
      </c>
      <c r="L572" s="63" t="s">
        <v>125</v>
      </c>
    </row>
    <row r="573" spans="1:12">
      <c r="A573" s="151" t="s">
        <v>121</v>
      </c>
      <c r="B573" s="232">
        <v>2017</v>
      </c>
      <c r="C573" s="40" t="s">
        <v>88</v>
      </c>
      <c r="D573" s="59">
        <v>0</v>
      </c>
      <c r="E573" s="787" t="s">
        <v>124</v>
      </c>
      <c r="F573" s="29">
        <v>1</v>
      </c>
      <c r="G573" s="9">
        <v>1</v>
      </c>
      <c r="H573" s="9">
        <v>3</v>
      </c>
      <c r="I573" s="9">
        <v>1</v>
      </c>
      <c r="J573" s="9">
        <v>2</v>
      </c>
      <c r="K573" s="159">
        <f t="shared" si="9"/>
        <v>0.47802211380704585</v>
      </c>
      <c r="L573" s="63" t="s">
        <v>125</v>
      </c>
    </row>
    <row r="574" spans="1:12">
      <c r="A574" s="151" t="s">
        <v>121</v>
      </c>
      <c r="B574" s="232">
        <v>2017</v>
      </c>
      <c r="C574" s="40" t="s">
        <v>89</v>
      </c>
      <c r="D574" s="59">
        <v>0</v>
      </c>
      <c r="E574" s="787" t="s">
        <v>124</v>
      </c>
      <c r="F574" s="29">
        <v>1</v>
      </c>
      <c r="G574" s="9">
        <v>1</v>
      </c>
      <c r="H574" s="9">
        <v>3</v>
      </c>
      <c r="I574" s="9">
        <v>1</v>
      </c>
      <c r="J574" s="9">
        <v>2</v>
      </c>
      <c r="K574" s="159">
        <f t="shared" si="9"/>
        <v>0.47802211380704585</v>
      </c>
      <c r="L574" s="63" t="s">
        <v>125</v>
      </c>
    </row>
    <row r="575" spans="1:12">
      <c r="A575" s="151" t="s">
        <v>121</v>
      </c>
      <c r="B575" s="232">
        <v>2017</v>
      </c>
      <c r="C575" s="40" t="s">
        <v>90</v>
      </c>
      <c r="D575" s="59">
        <v>208.87860763636365</v>
      </c>
      <c r="E575" s="787" t="s">
        <v>124</v>
      </c>
      <c r="F575" s="29">
        <v>1</v>
      </c>
      <c r="G575" s="9">
        <v>1</v>
      </c>
      <c r="H575" s="9">
        <v>3</v>
      </c>
      <c r="I575" s="9">
        <v>1</v>
      </c>
      <c r="J575" s="9">
        <v>2</v>
      </c>
      <c r="K575" s="159">
        <f t="shared" si="9"/>
        <v>0.47802211380704585</v>
      </c>
      <c r="L575" s="63" t="s">
        <v>125</v>
      </c>
    </row>
    <row r="576" spans="1:12">
      <c r="A576" s="151" t="s">
        <v>121</v>
      </c>
      <c r="B576" s="232">
        <v>2017</v>
      </c>
      <c r="C576" s="40" t="s">
        <v>91</v>
      </c>
      <c r="D576" s="59">
        <v>1840.5618588333332</v>
      </c>
      <c r="E576" s="787" t="s">
        <v>124</v>
      </c>
      <c r="F576" s="29">
        <v>1</v>
      </c>
      <c r="G576" s="9">
        <v>1</v>
      </c>
      <c r="H576" s="9">
        <v>3</v>
      </c>
      <c r="I576" s="9">
        <v>1</v>
      </c>
      <c r="J576" s="9">
        <v>2</v>
      </c>
      <c r="K576" s="159">
        <f t="shared" si="9"/>
        <v>0.47802211380704585</v>
      </c>
      <c r="L576" s="63" t="s">
        <v>125</v>
      </c>
    </row>
    <row r="577" spans="1:12">
      <c r="A577" s="151" t="s">
        <v>121</v>
      </c>
      <c r="B577" s="232">
        <v>2017</v>
      </c>
      <c r="C577" s="40" t="s">
        <v>95</v>
      </c>
      <c r="D577" s="59">
        <v>2388.6652442424243</v>
      </c>
      <c r="E577" s="787" t="s">
        <v>124</v>
      </c>
      <c r="F577" s="29">
        <v>1</v>
      </c>
      <c r="G577" s="9">
        <v>1</v>
      </c>
      <c r="H577" s="9">
        <v>3</v>
      </c>
      <c r="I577" s="9">
        <v>1</v>
      </c>
      <c r="J577" s="9">
        <v>2</v>
      </c>
      <c r="K577" s="159">
        <f t="shared" si="9"/>
        <v>0.47802211380704585</v>
      </c>
      <c r="L577" s="63" t="s">
        <v>125</v>
      </c>
    </row>
    <row r="578" spans="1:12" ht="15" thickBot="1">
      <c r="A578" s="227" t="s">
        <v>121</v>
      </c>
      <c r="B578" s="235">
        <v>2017</v>
      </c>
      <c r="C578" s="153" t="s">
        <v>99</v>
      </c>
      <c r="D578" s="798">
        <v>403.50709808181819</v>
      </c>
      <c r="E578" s="807" t="s">
        <v>124</v>
      </c>
      <c r="F578" s="154">
        <v>1</v>
      </c>
      <c r="G578" s="119">
        <v>1</v>
      </c>
      <c r="H578" s="119">
        <v>3</v>
      </c>
      <c r="I578" s="119">
        <v>1</v>
      </c>
      <c r="J578" s="119">
        <v>2</v>
      </c>
      <c r="K578" s="808">
        <f t="shared" si="9"/>
        <v>0.47802211380704585</v>
      </c>
      <c r="L578" s="502" t="s">
        <v>125</v>
      </c>
    </row>
    <row r="579" spans="1:12">
      <c r="A579" s="802" t="str">
        <f>'Tyre wear'!B46</f>
        <v>Tyre wear</v>
      </c>
      <c r="B579" s="231">
        <f>'Tyre wear'!C46</f>
        <v>1990</v>
      </c>
      <c r="C579" s="39" t="str">
        <f>'Tyre wear'!D46</f>
        <v>RUBBER</v>
      </c>
      <c r="D579" s="54">
        <f>'Tyre wear'!E46</f>
        <v>274.36551667214508</v>
      </c>
      <c r="E579" s="39" t="str">
        <f>'Tyre wear'!F46</f>
        <v>LOW - Scaling from NL to EU using population</v>
      </c>
      <c r="F579" s="28">
        <f>'Tyre wear'!G46</f>
        <v>1</v>
      </c>
      <c r="G579" s="11">
        <f>'Tyre wear'!H46</f>
        <v>1</v>
      </c>
      <c r="H579" s="11">
        <f>'Tyre wear'!I46</f>
        <v>1</v>
      </c>
      <c r="I579" s="11">
        <f>'Tyre wear'!J46</f>
        <v>1</v>
      </c>
      <c r="J579" s="11">
        <f>'Tyre wear'!K46</f>
        <v>2</v>
      </c>
      <c r="K579" s="158">
        <f>'Tyre wear'!L46</f>
        <v>0.2160744213792255</v>
      </c>
      <c r="L579" s="51"/>
    </row>
    <row r="580" spans="1:12">
      <c r="A580" s="606" t="str">
        <f>'Tyre wear'!B47</f>
        <v>Tyre wear</v>
      </c>
      <c r="B580" s="232">
        <f>'Tyre wear'!C47</f>
        <v>1995</v>
      </c>
      <c r="C580" s="40" t="str">
        <f>'Tyre wear'!D47</f>
        <v>RUBBER</v>
      </c>
      <c r="D580" s="55">
        <f>'Tyre wear'!E47</f>
        <v>289.04881285533907</v>
      </c>
      <c r="E580" s="40" t="str">
        <f>'Tyre wear'!F47</f>
        <v>LOW - Scaling from NL to EU using population</v>
      </c>
      <c r="F580" s="29">
        <f>'Tyre wear'!G47</f>
        <v>1</v>
      </c>
      <c r="G580" s="9">
        <f>'Tyre wear'!H47</f>
        <v>1</v>
      </c>
      <c r="H580" s="9">
        <f>'Tyre wear'!I47</f>
        <v>1</v>
      </c>
      <c r="I580" s="9">
        <f>'Tyre wear'!J47</f>
        <v>1</v>
      </c>
      <c r="J580" s="9">
        <f>'Tyre wear'!K47</f>
        <v>2</v>
      </c>
      <c r="K580" s="159">
        <f>'Tyre wear'!L47</f>
        <v>0.2160744213792255</v>
      </c>
      <c r="L580" s="52"/>
    </row>
    <row r="581" spans="1:12">
      <c r="A581" s="606" t="str">
        <f>'Tyre wear'!B53</f>
        <v>Tyre wear</v>
      </c>
      <c r="B581" s="232">
        <f>'Tyre wear'!C53</f>
        <v>2020</v>
      </c>
      <c r="C581" s="40" t="str">
        <f>'Tyre wear'!D53</f>
        <v>RUBBER</v>
      </c>
      <c r="D581" s="55">
        <f>'Tyre wear'!E53</f>
        <v>299.66901592225156</v>
      </c>
      <c r="E581" s="40" t="str">
        <f>'Tyre wear'!F53</f>
        <v>LOW - Scaling from NL to EU using population</v>
      </c>
      <c r="F581" s="29">
        <f>'Tyre wear'!G53</f>
        <v>1</v>
      </c>
      <c r="G581" s="9">
        <f>'Tyre wear'!H53</f>
        <v>1</v>
      </c>
      <c r="H581" s="9">
        <f>'Tyre wear'!I53</f>
        <v>1</v>
      </c>
      <c r="I581" s="9">
        <f>'Tyre wear'!J53</f>
        <v>1</v>
      </c>
      <c r="J581" s="9">
        <f>'Tyre wear'!K53</f>
        <v>2</v>
      </c>
      <c r="K581" s="159">
        <f>'Tyre wear'!L53</f>
        <v>0.2160744213792255</v>
      </c>
      <c r="L581" s="52"/>
    </row>
    <row r="582" spans="1:12">
      <c r="A582" s="606" t="str">
        <f>'Tyre wear'!B48</f>
        <v>Tyre wear</v>
      </c>
      <c r="B582" s="232">
        <f>'Tyre wear'!C48</f>
        <v>2000</v>
      </c>
      <c r="C582" s="40" t="str">
        <f>'Tyre wear'!D48</f>
        <v>RUBBER</v>
      </c>
      <c r="D582" s="55">
        <f>'Tyre wear'!E48</f>
        <v>315.12798141039013</v>
      </c>
      <c r="E582" s="40" t="str">
        <f>'Tyre wear'!F48</f>
        <v>LOW - Scaling from NL to EU using population</v>
      </c>
      <c r="F582" s="29">
        <f>'Tyre wear'!G48</f>
        <v>1</v>
      </c>
      <c r="G582" s="9">
        <f>'Tyre wear'!H48</f>
        <v>1</v>
      </c>
      <c r="H582" s="9">
        <f>'Tyre wear'!I48</f>
        <v>1</v>
      </c>
      <c r="I582" s="9">
        <f>'Tyre wear'!J48</f>
        <v>1</v>
      </c>
      <c r="J582" s="9">
        <f>'Tyre wear'!K48</f>
        <v>2</v>
      </c>
      <c r="K582" s="159">
        <f>'Tyre wear'!L48</f>
        <v>0.2160744213792255</v>
      </c>
      <c r="L582" s="52"/>
    </row>
    <row r="583" spans="1:12">
      <c r="A583" s="606" t="str">
        <f>'Tyre wear'!B49</f>
        <v>Tyre wear</v>
      </c>
      <c r="B583" s="232">
        <f>'Tyre wear'!C49</f>
        <v>2005</v>
      </c>
      <c r="C583" s="40" t="str">
        <f>'Tyre wear'!D49</f>
        <v>RUBBER</v>
      </c>
      <c r="D583" s="55">
        <f>'Tyre wear'!E49</f>
        <v>330.49692430627994</v>
      </c>
      <c r="E583" s="40" t="str">
        <f>'Tyre wear'!F49</f>
        <v>LOW - Scaling from NL to EU using population</v>
      </c>
      <c r="F583" s="29">
        <f>'Tyre wear'!G49</f>
        <v>1</v>
      </c>
      <c r="G583" s="9">
        <f>'Tyre wear'!H49</f>
        <v>1</v>
      </c>
      <c r="H583" s="9">
        <f>'Tyre wear'!I49</f>
        <v>1</v>
      </c>
      <c r="I583" s="9">
        <f>'Tyre wear'!J49</f>
        <v>1</v>
      </c>
      <c r="J583" s="9">
        <f>'Tyre wear'!K49</f>
        <v>2</v>
      </c>
      <c r="K583" s="159">
        <f>'Tyre wear'!L49</f>
        <v>0.2160744213792255</v>
      </c>
      <c r="L583" s="52"/>
    </row>
    <row r="584" spans="1:12">
      <c r="A584" s="606" t="str">
        <f>'Tyre wear'!B51</f>
        <v>Tyre wear</v>
      </c>
      <c r="B584" s="232">
        <f>'Tyre wear'!C51</f>
        <v>2015</v>
      </c>
      <c r="C584" s="40" t="str">
        <f>'Tyre wear'!D51</f>
        <v>RUBBER</v>
      </c>
      <c r="D584" s="55">
        <f>'Tyre wear'!E51</f>
        <v>333.36119378416316</v>
      </c>
      <c r="E584" s="40" t="str">
        <f>'Tyre wear'!F51</f>
        <v>LOW - Scaling from NL to EU using population</v>
      </c>
      <c r="F584" s="29">
        <f>'Tyre wear'!G51</f>
        <v>1</v>
      </c>
      <c r="G584" s="9">
        <f>'Tyre wear'!H51</f>
        <v>1</v>
      </c>
      <c r="H584" s="9">
        <f>'Tyre wear'!I51</f>
        <v>1</v>
      </c>
      <c r="I584" s="9">
        <f>'Tyre wear'!J51</f>
        <v>1</v>
      </c>
      <c r="J584" s="9">
        <f>'Tyre wear'!K51</f>
        <v>2</v>
      </c>
      <c r="K584" s="159">
        <f>'Tyre wear'!L51</f>
        <v>0.2160744213792255</v>
      </c>
      <c r="L584" s="52"/>
    </row>
    <row r="585" spans="1:12">
      <c r="A585" s="606" t="str">
        <f>'Tyre wear'!B50</f>
        <v>Tyre wear</v>
      </c>
      <c r="B585" s="232">
        <f>'Tyre wear'!C50</f>
        <v>2010</v>
      </c>
      <c r="C585" s="40" t="str">
        <f>'Tyre wear'!D50</f>
        <v>RUBBER</v>
      </c>
      <c r="D585" s="55">
        <f>'Tyre wear'!E50</f>
        <v>333.95978463908972</v>
      </c>
      <c r="E585" s="40" t="str">
        <f>'Tyre wear'!F50</f>
        <v>LOW - Scaling from NL to EU using population</v>
      </c>
      <c r="F585" s="29">
        <f>'Tyre wear'!G50</f>
        <v>1</v>
      </c>
      <c r="G585" s="9">
        <f>'Tyre wear'!H50</f>
        <v>1</v>
      </c>
      <c r="H585" s="9">
        <f>'Tyre wear'!I50</f>
        <v>1</v>
      </c>
      <c r="I585" s="9">
        <f>'Tyre wear'!J50</f>
        <v>1</v>
      </c>
      <c r="J585" s="9">
        <f>'Tyre wear'!K50</f>
        <v>2</v>
      </c>
      <c r="K585" s="159">
        <f>'Tyre wear'!L50</f>
        <v>0.2160744213792255</v>
      </c>
      <c r="L585" s="52"/>
    </row>
    <row r="586" spans="1:12">
      <c r="A586" s="606" t="str">
        <f>'Tyre wear'!B52</f>
        <v>Tyre wear</v>
      </c>
      <c r="B586" s="232">
        <f>'Tyre wear'!C52</f>
        <v>2019</v>
      </c>
      <c r="C586" s="40" t="str">
        <f>'Tyre wear'!D52</f>
        <v>RUBBER</v>
      </c>
      <c r="D586" s="55">
        <f>'Tyre wear'!E52</f>
        <v>347.5284875289928</v>
      </c>
      <c r="E586" s="40" t="str">
        <f>'Tyre wear'!F52</f>
        <v>LOW - Scaling from NL to EU using population</v>
      </c>
      <c r="F586" s="29">
        <f>'Tyre wear'!G52</f>
        <v>1</v>
      </c>
      <c r="G586" s="9">
        <f>'Tyre wear'!H52</f>
        <v>1</v>
      </c>
      <c r="H586" s="9">
        <f>'Tyre wear'!I52</f>
        <v>1</v>
      </c>
      <c r="I586" s="9">
        <f>'Tyre wear'!J52</f>
        <v>1</v>
      </c>
      <c r="J586" s="9">
        <f>'Tyre wear'!K52</f>
        <v>2</v>
      </c>
      <c r="K586" s="159">
        <f>'Tyre wear'!L52</f>
        <v>0.2160744213792255</v>
      </c>
      <c r="L586" s="52"/>
    </row>
    <row r="587" spans="1:12">
      <c r="A587" s="606" t="str">
        <f>'Tyre wear'!B55</f>
        <v>Tyre wear</v>
      </c>
      <c r="B587" s="232">
        <f>'Tyre wear'!C55</f>
        <v>1990</v>
      </c>
      <c r="C587" s="40" t="str">
        <f>'Tyre wear'!D55</f>
        <v>RUBBER</v>
      </c>
      <c r="D587" s="55">
        <f>'Tyre wear'!E55</f>
        <v>505.23406118894758</v>
      </c>
      <c r="E587" s="40" t="str">
        <f>'Tyre wear'!F55</f>
        <v>HIGH - Scaling from NL to EU using population</v>
      </c>
      <c r="F587" s="29">
        <f>'Tyre wear'!G55</f>
        <v>1</v>
      </c>
      <c r="G587" s="9">
        <f>'Tyre wear'!H55</f>
        <v>1</v>
      </c>
      <c r="H587" s="9">
        <f>'Tyre wear'!I55</f>
        <v>1</v>
      </c>
      <c r="I587" s="9">
        <f>'Tyre wear'!J55</f>
        <v>1</v>
      </c>
      <c r="J587" s="9">
        <f>'Tyre wear'!K55</f>
        <v>2</v>
      </c>
      <c r="K587" s="159">
        <v>0.61786151866399042</v>
      </c>
      <c r="L587" s="52"/>
    </row>
    <row r="588" spans="1:12">
      <c r="A588" s="606" t="str">
        <f>'Tyre wear'!B56</f>
        <v>Tyre wear</v>
      </c>
      <c r="B588" s="232">
        <f>'Tyre wear'!C56</f>
        <v>1995</v>
      </c>
      <c r="C588" s="40" t="str">
        <f>'Tyre wear'!D56</f>
        <v>RUBBER</v>
      </c>
      <c r="D588" s="55">
        <f>'Tyre wear'!E56</f>
        <v>532.27281391654117</v>
      </c>
      <c r="E588" s="40" t="str">
        <f>'Tyre wear'!F56</f>
        <v>HIGH - Scaling from NL to EU using population</v>
      </c>
      <c r="F588" s="29">
        <f>'Tyre wear'!G56</f>
        <v>1</v>
      </c>
      <c r="G588" s="9">
        <f>'Tyre wear'!H56</f>
        <v>1</v>
      </c>
      <c r="H588" s="9">
        <f>'Tyre wear'!I56</f>
        <v>1</v>
      </c>
      <c r="I588" s="9">
        <f>'Tyre wear'!J56</f>
        <v>1</v>
      </c>
      <c r="J588" s="9">
        <f>'Tyre wear'!K56</f>
        <v>2</v>
      </c>
      <c r="K588" s="159">
        <v>0.61786151866399042</v>
      </c>
      <c r="L588" s="52"/>
    </row>
    <row r="589" spans="1:12">
      <c r="A589" s="606" t="str">
        <f>'Tyre wear'!B62</f>
        <v>Tyre wear</v>
      </c>
      <c r="B589" s="232">
        <f>'Tyre wear'!C62</f>
        <v>2020</v>
      </c>
      <c r="C589" s="40" t="str">
        <f>'Tyre wear'!D62</f>
        <v>RUBBER</v>
      </c>
      <c r="D589" s="55">
        <f>'Tyre wear'!E62</f>
        <v>551.8295293202433</v>
      </c>
      <c r="E589" s="40" t="str">
        <f>'Tyre wear'!F62</f>
        <v>HIGH - Scaling from NL to EU using population</v>
      </c>
      <c r="F589" s="29">
        <f>'Tyre wear'!G62</f>
        <v>1</v>
      </c>
      <c r="G589" s="9">
        <f>'Tyre wear'!H62</f>
        <v>1</v>
      </c>
      <c r="H589" s="9">
        <f>'Tyre wear'!I62</f>
        <v>1</v>
      </c>
      <c r="I589" s="9">
        <f>'Tyre wear'!J62</f>
        <v>1</v>
      </c>
      <c r="J589" s="9">
        <f>'Tyre wear'!K62</f>
        <v>2</v>
      </c>
      <c r="K589" s="159">
        <v>0.61786151866399042</v>
      </c>
      <c r="L589" s="52"/>
    </row>
    <row r="590" spans="1:12">
      <c r="A590" s="606" t="str">
        <f>'Tyre wear'!B57</f>
        <v>Tyre wear</v>
      </c>
      <c r="B590" s="232">
        <f>'Tyre wear'!C57</f>
        <v>2000</v>
      </c>
      <c r="C590" s="40" t="str">
        <f>'Tyre wear'!D57</f>
        <v>RUBBER</v>
      </c>
      <c r="D590" s="55">
        <f>'Tyre wear'!E57</f>
        <v>580.29664869474288</v>
      </c>
      <c r="E590" s="40" t="str">
        <f>'Tyre wear'!F57</f>
        <v>HIGH - Scaling from NL to EU using population</v>
      </c>
      <c r="F590" s="29">
        <f>'Tyre wear'!G57</f>
        <v>1</v>
      </c>
      <c r="G590" s="9">
        <f>'Tyre wear'!H57</f>
        <v>1</v>
      </c>
      <c r="H590" s="9">
        <f>'Tyre wear'!I57</f>
        <v>1</v>
      </c>
      <c r="I590" s="9">
        <f>'Tyre wear'!J57</f>
        <v>1</v>
      </c>
      <c r="J590" s="9">
        <f>'Tyre wear'!K57</f>
        <v>2</v>
      </c>
      <c r="K590" s="159">
        <v>0.61786151866399042</v>
      </c>
      <c r="L590" s="52"/>
    </row>
    <row r="591" spans="1:12">
      <c r="A591" s="606" t="str">
        <f>'Tyre wear'!B58</f>
        <v>Tyre wear</v>
      </c>
      <c r="B591" s="232">
        <f>'Tyre wear'!C58</f>
        <v>2005</v>
      </c>
      <c r="C591" s="40" t="str">
        <f>'Tyre wear'!D58</f>
        <v>RUBBER</v>
      </c>
      <c r="D591" s="55">
        <f>'Tyre wear'!E58</f>
        <v>608.59799475912735</v>
      </c>
      <c r="E591" s="40" t="str">
        <f>'Tyre wear'!F58</f>
        <v>HIGH - Scaling from NL to EU using population</v>
      </c>
      <c r="F591" s="29">
        <f>'Tyre wear'!G58</f>
        <v>1</v>
      </c>
      <c r="G591" s="9">
        <f>'Tyre wear'!H58</f>
        <v>1</v>
      </c>
      <c r="H591" s="9">
        <f>'Tyre wear'!I58</f>
        <v>1</v>
      </c>
      <c r="I591" s="9">
        <f>'Tyre wear'!J58</f>
        <v>1</v>
      </c>
      <c r="J591" s="9">
        <f>'Tyre wear'!K58</f>
        <v>2</v>
      </c>
      <c r="K591" s="159">
        <v>0.61786151866399042</v>
      </c>
      <c r="L591" s="52"/>
    </row>
    <row r="592" spans="1:12">
      <c r="A592" s="606" t="str">
        <f>'Tyre wear'!B60</f>
        <v>Tyre wear</v>
      </c>
      <c r="B592" s="232">
        <f>'Tyre wear'!C60</f>
        <v>2015</v>
      </c>
      <c r="C592" s="40" t="str">
        <f>'Tyre wear'!D60</f>
        <v>RUBBER</v>
      </c>
      <c r="D592" s="55">
        <f>'Tyre wear'!E60</f>
        <v>613.87244221230344</v>
      </c>
      <c r="E592" s="40" t="str">
        <f>'Tyre wear'!F60</f>
        <v>HIGH - Scaling from NL to EU using population</v>
      </c>
      <c r="F592" s="29">
        <f>'Tyre wear'!G60</f>
        <v>1</v>
      </c>
      <c r="G592" s="9">
        <f>'Tyre wear'!H60</f>
        <v>1</v>
      </c>
      <c r="H592" s="9">
        <f>'Tyre wear'!I60</f>
        <v>1</v>
      </c>
      <c r="I592" s="9">
        <f>'Tyre wear'!J60</f>
        <v>1</v>
      </c>
      <c r="J592" s="9">
        <f>'Tyre wear'!K60</f>
        <v>2</v>
      </c>
      <c r="K592" s="159">
        <v>0.61786151866399042</v>
      </c>
      <c r="L592" s="52"/>
    </row>
    <row r="593" spans="1:12">
      <c r="A593" s="606" t="str">
        <f>'Tyre wear'!B59</f>
        <v>Tyre wear</v>
      </c>
      <c r="B593" s="232">
        <f>'Tyre wear'!C59</f>
        <v>2010</v>
      </c>
      <c r="C593" s="40" t="str">
        <f>'Tyre wear'!D59</f>
        <v>RUBBER</v>
      </c>
      <c r="D593" s="55">
        <f>'Tyre wear'!E59</f>
        <v>614.97472537198053</v>
      </c>
      <c r="E593" s="40" t="str">
        <f>'Tyre wear'!F59</f>
        <v>HIGH - Scaling from NL to EU using population</v>
      </c>
      <c r="F593" s="29">
        <f>'Tyre wear'!G59</f>
        <v>1</v>
      </c>
      <c r="G593" s="9">
        <f>'Tyre wear'!H59</f>
        <v>1</v>
      </c>
      <c r="H593" s="9">
        <f>'Tyre wear'!I59</f>
        <v>1</v>
      </c>
      <c r="I593" s="9">
        <f>'Tyre wear'!J59</f>
        <v>1</v>
      </c>
      <c r="J593" s="9">
        <f>'Tyre wear'!K59</f>
        <v>2</v>
      </c>
      <c r="K593" s="159">
        <v>0.61786151866399042</v>
      </c>
      <c r="L593" s="52"/>
    </row>
    <row r="594" spans="1:12" ht="15" thickBot="1">
      <c r="A594" s="1213" t="str">
        <f>'Tyre wear'!B61</f>
        <v>Tyre wear</v>
      </c>
      <c r="B594" s="235">
        <f>'Tyre wear'!C61</f>
        <v>2019</v>
      </c>
      <c r="C594" s="153" t="str">
        <f>'Tyre wear'!D61</f>
        <v>RUBBER</v>
      </c>
      <c r="D594" s="156">
        <f>'Tyre wear'!E61</f>
        <v>639.96099532777771</v>
      </c>
      <c r="E594" s="153" t="str">
        <f>'Tyre wear'!F61</f>
        <v>HIGH - Scaling from NL to EU using population</v>
      </c>
      <c r="F594" s="154">
        <f>'Tyre wear'!G61</f>
        <v>1</v>
      </c>
      <c r="G594" s="119">
        <f>'Tyre wear'!H61</f>
        <v>1</v>
      </c>
      <c r="H594" s="119">
        <f>'Tyre wear'!I61</f>
        <v>1</v>
      </c>
      <c r="I594" s="119">
        <f>'Tyre wear'!J61</f>
        <v>1</v>
      </c>
      <c r="J594" s="119">
        <f>'Tyre wear'!K61</f>
        <v>2</v>
      </c>
      <c r="K594" s="808">
        <v>0.61786151866399042</v>
      </c>
      <c r="L594" s="61"/>
    </row>
    <row r="595" spans="1:12">
      <c r="A595" s="150" t="s">
        <v>2021</v>
      </c>
      <c r="B595" s="33">
        <v>2011</v>
      </c>
      <c r="C595" s="39" t="s">
        <v>99</v>
      </c>
      <c r="D595" s="54">
        <v>128.00471822053382</v>
      </c>
      <c r="E595" s="39" t="s">
        <v>2019</v>
      </c>
      <c r="F595" s="29">
        <v>1</v>
      </c>
      <c r="G595" s="9">
        <v>1</v>
      </c>
      <c r="H595" s="9">
        <v>2</v>
      </c>
      <c r="I595" s="9">
        <v>2</v>
      </c>
      <c r="J595" s="9">
        <v>2</v>
      </c>
      <c r="K595" s="158">
        <f t="shared" ref="K595:K658" si="10">IF( OR( ISBLANK(F595),ISBLANK(G595), ISBLANK(H595), ISBLANK(I595), ISBLANK(J595) ), "", 1.5*SQRT(   EXP(2.21*(F595-1)) + EXP(2.21*(G595-1)) + EXP(2.21*(H595-1)) + EXP(2.21*(I595-1)) + EXP(2.21*J595)   )/100*2.45 )</f>
        <v>0.37356464144298934</v>
      </c>
      <c r="L595" s="51"/>
    </row>
    <row r="596" spans="1:12">
      <c r="A596" s="151" t="s">
        <v>2021</v>
      </c>
      <c r="B596" s="34">
        <v>2011</v>
      </c>
      <c r="C596" s="40" t="s">
        <v>98</v>
      </c>
      <c r="D596" s="55">
        <v>209.81733355425601</v>
      </c>
      <c r="E596" s="40" t="s">
        <v>2019</v>
      </c>
      <c r="F596" s="29">
        <v>1</v>
      </c>
      <c r="G596" s="9">
        <v>1</v>
      </c>
      <c r="H596" s="9">
        <v>2</v>
      </c>
      <c r="I596" s="9">
        <v>2</v>
      </c>
      <c r="J596" s="9">
        <v>2</v>
      </c>
      <c r="K596" s="159">
        <f t="shared" si="10"/>
        <v>0.37356464144298934</v>
      </c>
      <c r="L596" s="52"/>
    </row>
    <row r="597" spans="1:12">
      <c r="A597" s="151" t="s">
        <v>2021</v>
      </c>
      <c r="B597" s="34">
        <v>2011</v>
      </c>
      <c r="C597" s="40" t="s">
        <v>95</v>
      </c>
      <c r="D597" s="55">
        <v>280.47351795825369</v>
      </c>
      <c r="E597" s="40" t="s">
        <v>2019</v>
      </c>
      <c r="F597" s="29">
        <v>1</v>
      </c>
      <c r="G597" s="9">
        <v>1</v>
      </c>
      <c r="H597" s="9">
        <v>2</v>
      </c>
      <c r="I597" s="9">
        <v>2</v>
      </c>
      <c r="J597" s="9">
        <v>2</v>
      </c>
      <c r="K597" s="159">
        <f t="shared" si="10"/>
        <v>0.37356464144298934</v>
      </c>
      <c r="L597" s="52"/>
    </row>
    <row r="598" spans="1:12">
      <c r="A598" s="151" t="s">
        <v>2021</v>
      </c>
      <c r="B598" s="34">
        <v>2011</v>
      </c>
      <c r="C598" s="40" t="s">
        <v>91</v>
      </c>
      <c r="D598" s="55">
        <v>1255.6099534356335</v>
      </c>
      <c r="E598" s="40" t="s">
        <v>2019</v>
      </c>
      <c r="F598" s="29">
        <v>1</v>
      </c>
      <c r="G598" s="9">
        <v>1</v>
      </c>
      <c r="H598" s="9">
        <v>2</v>
      </c>
      <c r="I598" s="9">
        <v>2</v>
      </c>
      <c r="J598" s="9">
        <v>2</v>
      </c>
      <c r="K598" s="159">
        <f t="shared" si="10"/>
        <v>0.37356464144298934</v>
      </c>
      <c r="L598" s="52"/>
    </row>
    <row r="599" spans="1:12">
      <c r="A599" s="151" t="s">
        <v>2021</v>
      </c>
      <c r="B599" s="34">
        <v>2011</v>
      </c>
      <c r="C599" s="40" t="s">
        <v>93</v>
      </c>
      <c r="D599" s="55">
        <v>152.60514814044893</v>
      </c>
      <c r="E599" s="40" t="s">
        <v>2019</v>
      </c>
      <c r="F599" s="29">
        <v>1</v>
      </c>
      <c r="G599" s="9">
        <v>1</v>
      </c>
      <c r="H599" s="9">
        <v>2</v>
      </c>
      <c r="I599" s="9">
        <v>2</v>
      </c>
      <c r="J599" s="9">
        <v>2</v>
      </c>
      <c r="K599" s="159">
        <f t="shared" si="10"/>
        <v>0.37356464144298934</v>
      </c>
      <c r="L599" s="52"/>
    </row>
    <row r="600" spans="1:12">
      <c r="A600" s="151" t="s">
        <v>2021</v>
      </c>
      <c r="B600" s="34">
        <v>2011</v>
      </c>
      <c r="C600" s="40" t="s">
        <v>90</v>
      </c>
      <c r="D600" s="55">
        <v>99.107873413830859</v>
      </c>
      <c r="E600" s="40" t="s">
        <v>2019</v>
      </c>
      <c r="F600" s="29">
        <v>1</v>
      </c>
      <c r="G600" s="9">
        <v>1</v>
      </c>
      <c r="H600" s="9">
        <v>2</v>
      </c>
      <c r="I600" s="9">
        <v>2</v>
      </c>
      <c r="J600" s="9">
        <v>2</v>
      </c>
      <c r="K600" s="159">
        <f t="shared" si="10"/>
        <v>0.37356464144298934</v>
      </c>
      <c r="L600" s="52"/>
    </row>
    <row r="601" spans="1:12">
      <c r="A601" s="151" t="s">
        <v>2021</v>
      </c>
      <c r="B601" s="34">
        <v>2011</v>
      </c>
      <c r="C601" s="40" t="s">
        <v>92</v>
      </c>
      <c r="D601" s="55">
        <v>215.80381803166551</v>
      </c>
      <c r="E601" s="40" t="s">
        <v>2019</v>
      </c>
      <c r="F601" s="29">
        <v>1</v>
      </c>
      <c r="G601" s="9">
        <v>1</v>
      </c>
      <c r="H601" s="9">
        <v>2</v>
      </c>
      <c r="I601" s="9">
        <v>2</v>
      </c>
      <c r="J601" s="9">
        <v>2</v>
      </c>
      <c r="K601" s="159">
        <f t="shared" si="10"/>
        <v>0.37356464144298934</v>
      </c>
      <c r="L601" s="52"/>
    </row>
    <row r="602" spans="1:12">
      <c r="A602" s="151" t="s">
        <v>2021</v>
      </c>
      <c r="B602" s="34">
        <v>2012</v>
      </c>
      <c r="C602" s="40" t="s">
        <v>99</v>
      </c>
      <c r="D602" s="55">
        <v>95.679475975761164</v>
      </c>
      <c r="E602" s="40" t="s">
        <v>2019</v>
      </c>
      <c r="F602" s="29">
        <v>1</v>
      </c>
      <c r="G602" s="9">
        <v>1</v>
      </c>
      <c r="H602" s="9">
        <v>2</v>
      </c>
      <c r="I602" s="9">
        <v>2</v>
      </c>
      <c r="J602" s="9">
        <v>2</v>
      </c>
      <c r="K602" s="159">
        <f t="shared" si="10"/>
        <v>0.37356464144298934</v>
      </c>
      <c r="L602" s="52"/>
    </row>
    <row r="603" spans="1:12">
      <c r="A603" s="151" t="s">
        <v>2021</v>
      </c>
      <c r="B603" s="34">
        <v>2012</v>
      </c>
      <c r="C603" s="40" t="s">
        <v>98</v>
      </c>
      <c r="D603" s="55">
        <v>165.87520937884773</v>
      </c>
      <c r="E603" s="40" t="s">
        <v>2019</v>
      </c>
      <c r="F603" s="29">
        <v>1</v>
      </c>
      <c r="G603" s="9">
        <v>1</v>
      </c>
      <c r="H603" s="9">
        <v>2</v>
      </c>
      <c r="I603" s="9">
        <v>2</v>
      </c>
      <c r="J603" s="9">
        <v>2</v>
      </c>
      <c r="K603" s="159">
        <f t="shared" si="10"/>
        <v>0.37356464144298934</v>
      </c>
      <c r="L603" s="52"/>
    </row>
    <row r="604" spans="1:12">
      <c r="A604" s="151" t="s">
        <v>2021</v>
      </c>
      <c r="B604" s="34">
        <v>2012</v>
      </c>
      <c r="C604" s="40" t="s">
        <v>95</v>
      </c>
      <c r="D604" s="55">
        <v>203.80363075095224</v>
      </c>
      <c r="E604" s="40" t="s">
        <v>2019</v>
      </c>
      <c r="F604" s="29">
        <v>1</v>
      </c>
      <c r="G604" s="9">
        <v>1</v>
      </c>
      <c r="H604" s="9">
        <v>2</v>
      </c>
      <c r="I604" s="9">
        <v>2</v>
      </c>
      <c r="J604" s="9">
        <v>2</v>
      </c>
      <c r="K604" s="159">
        <f t="shared" si="10"/>
        <v>0.37356464144298934</v>
      </c>
      <c r="L604" s="52"/>
    </row>
    <row r="605" spans="1:12">
      <c r="A605" s="151" t="s">
        <v>2021</v>
      </c>
      <c r="B605" s="34">
        <v>2012</v>
      </c>
      <c r="C605" s="40" t="s">
        <v>91</v>
      </c>
      <c r="D605" s="55">
        <v>1074.6175373409505</v>
      </c>
      <c r="E605" s="40" t="s">
        <v>2019</v>
      </c>
      <c r="F605" s="29">
        <v>1</v>
      </c>
      <c r="G605" s="9">
        <v>1</v>
      </c>
      <c r="H605" s="9">
        <v>2</v>
      </c>
      <c r="I605" s="9">
        <v>2</v>
      </c>
      <c r="J605" s="9">
        <v>2</v>
      </c>
      <c r="K605" s="159">
        <f t="shared" si="10"/>
        <v>0.37356464144298934</v>
      </c>
      <c r="L605" s="52"/>
    </row>
    <row r="606" spans="1:12">
      <c r="A606" s="151" t="s">
        <v>2021</v>
      </c>
      <c r="B606" s="34">
        <v>2012</v>
      </c>
      <c r="C606" s="40" t="s">
        <v>93</v>
      </c>
      <c r="D606" s="55">
        <v>136.00551465713366</v>
      </c>
      <c r="E606" s="40" t="s">
        <v>2019</v>
      </c>
      <c r="F606" s="29">
        <v>1</v>
      </c>
      <c r="G606" s="9">
        <v>1</v>
      </c>
      <c r="H606" s="9">
        <v>2</v>
      </c>
      <c r="I606" s="9">
        <v>2</v>
      </c>
      <c r="J606" s="9">
        <v>2</v>
      </c>
      <c r="K606" s="159">
        <f t="shared" si="10"/>
        <v>0.37356464144298934</v>
      </c>
      <c r="L606" s="52"/>
    </row>
    <row r="607" spans="1:12">
      <c r="A607" s="151" t="s">
        <v>2021</v>
      </c>
      <c r="B607" s="34">
        <v>2012</v>
      </c>
      <c r="C607" s="40" t="s">
        <v>90</v>
      </c>
      <c r="D607" s="55">
        <v>87.815772141648651</v>
      </c>
      <c r="E607" s="40" t="s">
        <v>2019</v>
      </c>
      <c r="F607" s="29">
        <v>1</v>
      </c>
      <c r="G607" s="9">
        <v>1</v>
      </c>
      <c r="H607" s="9">
        <v>2</v>
      </c>
      <c r="I607" s="9">
        <v>2</v>
      </c>
      <c r="J607" s="9">
        <v>2</v>
      </c>
      <c r="K607" s="159">
        <f t="shared" si="10"/>
        <v>0.37356464144298934</v>
      </c>
      <c r="L607" s="52"/>
    </row>
    <row r="608" spans="1:12">
      <c r="A608" s="151" t="s">
        <v>2021</v>
      </c>
      <c r="B608" s="34">
        <v>2012</v>
      </c>
      <c r="C608" s="40" t="s">
        <v>92</v>
      </c>
      <c r="D608" s="55">
        <v>186.02629325631176</v>
      </c>
      <c r="E608" s="40" t="s">
        <v>2019</v>
      </c>
      <c r="F608" s="29">
        <v>1</v>
      </c>
      <c r="G608" s="9">
        <v>1</v>
      </c>
      <c r="H608" s="9">
        <v>2</v>
      </c>
      <c r="I608" s="9">
        <v>2</v>
      </c>
      <c r="J608" s="9">
        <v>2</v>
      </c>
      <c r="K608" s="159">
        <f t="shared" si="10"/>
        <v>0.37356464144298934</v>
      </c>
      <c r="L608" s="52"/>
    </row>
    <row r="609" spans="1:12">
      <c r="A609" s="151" t="s">
        <v>2021</v>
      </c>
      <c r="B609" s="34">
        <v>2013</v>
      </c>
      <c r="C609" s="40" t="s">
        <v>99</v>
      </c>
      <c r="D609" s="55">
        <v>101.37217451932561</v>
      </c>
      <c r="E609" s="40" t="s">
        <v>2019</v>
      </c>
      <c r="F609" s="29">
        <v>1</v>
      </c>
      <c r="G609" s="9">
        <v>1</v>
      </c>
      <c r="H609" s="9">
        <v>2</v>
      </c>
      <c r="I609" s="9">
        <v>2</v>
      </c>
      <c r="J609" s="9">
        <v>2</v>
      </c>
      <c r="K609" s="159">
        <f t="shared" si="10"/>
        <v>0.37356464144298934</v>
      </c>
      <c r="L609" s="52"/>
    </row>
    <row r="610" spans="1:12">
      <c r="A610" s="151" t="s">
        <v>2021</v>
      </c>
      <c r="B610" s="34">
        <v>2013</v>
      </c>
      <c r="C610" s="40" t="s">
        <v>98</v>
      </c>
      <c r="D610" s="55">
        <v>172.72011454363258</v>
      </c>
      <c r="E610" s="40" t="s">
        <v>2019</v>
      </c>
      <c r="F610" s="29">
        <v>1</v>
      </c>
      <c r="G610" s="9">
        <v>1</v>
      </c>
      <c r="H610" s="9">
        <v>2</v>
      </c>
      <c r="I610" s="9">
        <v>2</v>
      </c>
      <c r="J610" s="9">
        <v>2</v>
      </c>
      <c r="K610" s="159">
        <f t="shared" si="10"/>
        <v>0.37356464144298934</v>
      </c>
      <c r="L610" s="52"/>
    </row>
    <row r="611" spans="1:12">
      <c r="A611" s="151" t="s">
        <v>2021</v>
      </c>
      <c r="B611" s="34">
        <v>2013</v>
      </c>
      <c r="C611" s="40" t="s">
        <v>95</v>
      </c>
      <c r="D611" s="55">
        <v>213.02135330109527</v>
      </c>
      <c r="E611" s="40" t="s">
        <v>2019</v>
      </c>
      <c r="F611" s="29">
        <v>1</v>
      </c>
      <c r="G611" s="9">
        <v>1</v>
      </c>
      <c r="H611" s="9">
        <v>2</v>
      </c>
      <c r="I611" s="9">
        <v>2</v>
      </c>
      <c r="J611" s="9">
        <v>2</v>
      </c>
      <c r="K611" s="159">
        <f t="shared" si="10"/>
        <v>0.37356464144298934</v>
      </c>
      <c r="L611" s="52"/>
    </row>
    <row r="612" spans="1:12">
      <c r="A612" s="151" t="s">
        <v>2021</v>
      </c>
      <c r="B612" s="34">
        <v>2013</v>
      </c>
      <c r="C612" s="40" t="s">
        <v>91</v>
      </c>
      <c r="D612" s="55">
        <v>1129.5225554743433</v>
      </c>
      <c r="E612" s="40" t="s">
        <v>2019</v>
      </c>
      <c r="F612" s="29">
        <v>1</v>
      </c>
      <c r="G612" s="9">
        <v>1</v>
      </c>
      <c r="H612" s="9">
        <v>2</v>
      </c>
      <c r="I612" s="9">
        <v>2</v>
      </c>
      <c r="J612" s="9">
        <v>2</v>
      </c>
      <c r="K612" s="159">
        <f t="shared" si="10"/>
        <v>0.37356464144298934</v>
      </c>
      <c r="L612" s="52"/>
    </row>
    <row r="613" spans="1:12">
      <c r="A613" s="151" t="s">
        <v>2021</v>
      </c>
      <c r="B613" s="34">
        <v>2013</v>
      </c>
      <c r="C613" s="40" t="s">
        <v>93</v>
      </c>
      <c r="D613" s="55">
        <v>139.32868413165403</v>
      </c>
      <c r="E613" s="40" t="s">
        <v>2019</v>
      </c>
      <c r="F613" s="29">
        <v>1</v>
      </c>
      <c r="G613" s="9">
        <v>1</v>
      </c>
      <c r="H613" s="9">
        <v>2</v>
      </c>
      <c r="I613" s="9">
        <v>2</v>
      </c>
      <c r="J613" s="9">
        <v>2</v>
      </c>
      <c r="K613" s="159">
        <f t="shared" si="10"/>
        <v>0.37356464144298934</v>
      </c>
      <c r="L613" s="52"/>
    </row>
    <row r="614" spans="1:12">
      <c r="A614" s="151" t="s">
        <v>2021</v>
      </c>
      <c r="B614" s="34">
        <v>2013</v>
      </c>
      <c r="C614" s="40" t="s">
        <v>90</v>
      </c>
      <c r="D614" s="55">
        <v>90.048788857326286</v>
      </c>
      <c r="E614" s="40" t="s">
        <v>2019</v>
      </c>
      <c r="F614" s="29">
        <v>1</v>
      </c>
      <c r="G614" s="9">
        <v>1</v>
      </c>
      <c r="H614" s="9">
        <v>2</v>
      </c>
      <c r="I614" s="9">
        <v>2</v>
      </c>
      <c r="J614" s="9">
        <v>2</v>
      </c>
      <c r="K614" s="159">
        <f t="shared" si="10"/>
        <v>0.37356464144298934</v>
      </c>
      <c r="L614" s="52"/>
    </row>
    <row r="615" spans="1:12">
      <c r="A615" s="151" t="s">
        <v>2021</v>
      </c>
      <c r="B615" s="34">
        <v>2013</v>
      </c>
      <c r="C615" s="40" t="s">
        <v>92</v>
      </c>
      <c r="D615" s="55">
        <v>191.98337676717932</v>
      </c>
      <c r="E615" s="40" t="s">
        <v>2019</v>
      </c>
      <c r="F615" s="29">
        <v>1</v>
      </c>
      <c r="G615" s="9">
        <v>1</v>
      </c>
      <c r="H615" s="9">
        <v>2</v>
      </c>
      <c r="I615" s="9">
        <v>2</v>
      </c>
      <c r="J615" s="9">
        <v>2</v>
      </c>
      <c r="K615" s="159">
        <f t="shared" si="10"/>
        <v>0.37356464144298934</v>
      </c>
      <c r="L615" s="52"/>
    </row>
    <row r="616" spans="1:12">
      <c r="A616" s="151" t="s">
        <v>2021</v>
      </c>
      <c r="B616" s="34">
        <v>2014</v>
      </c>
      <c r="C616" s="40" t="s">
        <v>99</v>
      </c>
      <c r="D616" s="55">
        <v>114.60964804554116</v>
      </c>
      <c r="E616" s="40" t="s">
        <v>2019</v>
      </c>
      <c r="F616" s="29">
        <v>1</v>
      </c>
      <c r="G616" s="9">
        <v>1</v>
      </c>
      <c r="H616" s="9">
        <v>2</v>
      </c>
      <c r="I616" s="9">
        <v>2</v>
      </c>
      <c r="J616" s="9">
        <v>2</v>
      </c>
      <c r="K616" s="159">
        <f t="shared" si="10"/>
        <v>0.37356464144298934</v>
      </c>
      <c r="L616" s="52"/>
    </row>
    <row r="617" spans="1:12">
      <c r="A617" s="151" t="s">
        <v>2021</v>
      </c>
      <c r="B617" s="34">
        <v>2014</v>
      </c>
      <c r="C617" s="40" t="s">
        <v>98</v>
      </c>
      <c r="D617" s="55">
        <v>190.75321928450364</v>
      </c>
      <c r="E617" s="40" t="s">
        <v>2019</v>
      </c>
      <c r="F617" s="29">
        <v>1</v>
      </c>
      <c r="G617" s="9">
        <v>1</v>
      </c>
      <c r="H617" s="9">
        <v>2</v>
      </c>
      <c r="I617" s="9">
        <v>2</v>
      </c>
      <c r="J617" s="9">
        <v>2</v>
      </c>
      <c r="K617" s="159">
        <f t="shared" si="10"/>
        <v>0.37356464144298934</v>
      </c>
      <c r="L617" s="52"/>
    </row>
    <row r="618" spans="1:12">
      <c r="A618" s="151" t="s">
        <v>2021</v>
      </c>
      <c r="B618" s="34">
        <v>2014</v>
      </c>
      <c r="C618" s="40" t="s">
        <v>95</v>
      </c>
      <c r="D618" s="55">
        <v>234.78523689282349</v>
      </c>
      <c r="E618" s="40" t="s">
        <v>2019</v>
      </c>
      <c r="F618" s="29">
        <v>1</v>
      </c>
      <c r="G618" s="9">
        <v>1</v>
      </c>
      <c r="H618" s="9">
        <v>2</v>
      </c>
      <c r="I618" s="9">
        <v>2</v>
      </c>
      <c r="J618" s="9">
        <v>2</v>
      </c>
      <c r="K618" s="159">
        <f t="shared" si="10"/>
        <v>0.37356464144298934</v>
      </c>
      <c r="L618" s="52"/>
    </row>
    <row r="619" spans="1:12">
      <c r="A619" s="151" t="s">
        <v>2021</v>
      </c>
      <c r="B619" s="34">
        <v>2014</v>
      </c>
      <c r="C619" s="40" t="s">
        <v>91</v>
      </c>
      <c r="D619" s="55">
        <v>1237.8019722043498</v>
      </c>
      <c r="E619" s="40" t="s">
        <v>2019</v>
      </c>
      <c r="F619" s="29">
        <v>1</v>
      </c>
      <c r="G619" s="9">
        <v>1</v>
      </c>
      <c r="H619" s="9">
        <v>2</v>
      </c>
      <c r="I619" s="9">
        <v>2</v>
      </c>
      <c r="J619" s="9">
        <v>2</v>
      </c>
      <c r="K619" s="159">
        <f t="shared" si="10"/>
        <v>0.37356464144298934</v>
      </c>
      <c r="L619" s="52"/>
    </row>
    <row r="620" spans="1:12">
      <c r="A620" s="151" t="s">
        <v>2021</v>
      </c>
      <c r="B620" s="34">
        <v>2014</v>
      </c>
      <c r="C620" s="40" t="s">
        <v>93</v>
      </c>
      <c r="D620" s="55">
        <v>151.55793255507916</v>
      </c>
      <c r="E620" s="40" t="s">
        <v>2019</v>
      </c>
      <c r="F620" s="29">
        <v>1</v>
      </c>
      <c r="G620" s="9">
        <v>1</v>
      </c>
      <c r="H620" s="9">
        <v>2</v>
      </c>
      <c r="I620" s="9">
        <v>2</v>
      </c>
      <c r="J620" s="9">
        <v>2</v>
      </c>
      <c r="K620" s="159">
        <f t="shared" si="10"/>
        <v>0.37356464144298934</v>
      </c>
      <c r="L620" s="52"/>
    </row>
    <row r="621" spans="1:12">
      <c r="A621" s="151" t="s">
        <v>2021</v>
      </c>
      <c r="B621" s="34">
        <v>2014</v>
      </c>
      <c r="C621" s="40" t="s">
        <v>90</v>
      </c>
      <c r="D621" s="55">
        <v>97.987899486336815</v>
      </c>
      <c r="E621" s="40" t="s">
        <v>2019</v>
      </c>
      <c r="F621" s="29">
        <v>1</v>
      </c>
      <c r="G621" s="9">
        <v>1</v>
      </c>
      <c r="H621" s="9">
        <v>2</v>
      </c>
      <c r="I621" s="9">
        <v>2</v>
      </c>
      <c r="J621" s="9">
        <v>2</v>
      </c>
      <c r="K621" s="159">
        <f t="shared" si="10"/>
        <v>0.37356464144298934</v>
      </c>
      <c r="L621" s="52"/>
    </row>
    <row r="622" spans="1:12">
      <c r="A622" s="151" t="s">
        <v>2021</v>
      </c>
      <c r="B622" s="34">
        <v>2014</v>
      </c>
      <c r="C622" s="40" t="s">
        <v>92</v>
      </c>
      <c r="D622" s="55">
        <v>208.23906228848693</v>
      </c>
      <c r="E622" s="40" t="s">
        <v>2019</v>
      </c>
      <c r="F622" s="29">
        <v>1</v>
      </c>
      <c r="G622" s="9">
        <v>1</v>
      </c>
      <c r="H622" s="9">
        <v>2</v>
      </c>
      <c r="I622" s="9">
        <v>2</v>
      </c>
      <c r="J622" s="9">
        <v>2</v>
      </c>
      <c r="K622" s="159">
        <f t="shared" si="10"/>
        <v>0.37356464144298934</v>
      </c>
      <c r="L622" s="52"/>
    </row>
    <row r="623" spans="1:12">
      <c r="A623" s="151" t="s">
        <v>2021</v>
      </c>
      <c r="B623" s="34">
        <v>2015</v>
      </c>
      <c r="C623" s="40" t="s">
        <v>99</v>
      </c>
      <c r="D623" s="55">
        <v>107.03086293533588</v>
      </c>
      <c r="E623" s="40" t="s">
        <v>2019</v>
      </c>
      <c r="F623" s="29">
        <v>1</v>
      </c>
      <c r="G623" s="9">
        <v>1</v>
      </c>
      <c r="H623" s="9">
        <v>2</v>
      </c>
      <c r="I623" s="9">
        <v>2</v>
      </c>
      <c r="J623" s="9">
        <v>2</v>
      </c>
      <c r="K623" s="159">
        <f t="shared" si="10"/>
        <v>0.37356464144298934</v>
      </c>
      <c r="L623" s="52"/>
    </row>
    <row r="624" spans="1:12">
      <c r="A624" s="151" t="s">
        <v>2021</v>
      </c>
      <c r="B624" s="34">
        <v>2015</v>
      </c>
      <c r="C624" s="40" t="s">
        <v>98</v>
      </c>
      <c r="D624" s="55">
        <v>172.59820103270866</v>
      </c>
      <c r="E624" s="40" t="s">
        <v>2019</v>
      </c>
      <c r="F624" s="29">
        <v>1</v>
      </c>
      <c r="G624" s="9">
        <v>1</v>
      </c>
      <c r="H624" s="9">
        <v>2</v>
      </c>
      <c r="I624" s="9">
        <v>2</v>
      </c>
      <c r="J624" s="9">
        <v>2</v>
      </c>
      <c r="K624" s="159">
        <f t="shared" si="10"/>
        <v>0.37356464144298934</v>
      </c>
      <c r="L624" s="52"/>
    </row>
    <row r="625" spans="1:12">
      <c r="A625" s="151" t="s">
        <v>2021</v>
      </c>
      <c r="B625" s="34">
        <v>2015</v>
      </c>
      <c r="C625" s="40" t="s">
        <v>95</v>
      </c>
      <c r="D625" s="55">
        <v>221.28909889497507</v>
      </c>
      <c r="E625" s="40" t="s">
        <v>2019</v>
      </c>
      <c r="F625" s="29">
        <v>1</v>
      </c>
      <c r="G625" s="9">
        <v>1</v>
      </c>
      <c r="H625" s="9">
        <v>2</v>
      </c>
      <c r="I625" s="9">
        <v>2</v>
      </c>
      <c r="J625" s="9">
        <v>2</v>
      </c>
      <c r="K625" s="159">
        <f t="shared" si="10"/>
        <v>0.37356464144298934</v>
      </c>
      <c r="L625" s="52"/>
    </row>
    <row r="626" spans="1:12">
      <c r="A626" s="151" t="s">
        <v>2021</v>
      </c>
      <c r="B626" s="34">
        <v>2015</v>
      </c>
      <c r="C626" s="40" t="s">
        <v>91</v>
      </c>
      <c r="D626" s="55">
        <v>1175.1946983691003</v>
      </c>
      <c r="E626" s="40" t="s">
        <v>2019</v>
      </c>
      <c r="F626" s="29">
        <v>1</v>
      </c>
      <c r="G626" s="9">
        <v>1</v>
      </c>
      <c r="H626" s="9">
        <v>2</v>
      </c>
      <c r="I626" s="9">
        <v>2</v>
      </c>
      <c r="J626" s="9">
        <v>2</v>
      </c>
      <c r="K626" s="159">
        <f t="shared" si="10"/>
        <v>0.37356464144298934</v>
      </c>
      <c r="L626" s="52"/>
    </row>
    <row r="627" spans="1:12">
      <c r="A627" s="151" t="s">
        <v>2021</v>
      </c>
      <c r="B627" s="34">
        <v>2015</v>
      </c>
      <c r="C627" s="40" t="s">
        <v>93</v>
      </c>
      <c r="D627" s="55">
        <v>143.54856737159724</v>
      </c>
      <c r="E627" s="40" t="s">
        <v>2019</v>
      </c>
      <c r="F627" s="29">
        <v>1</v>
      </c>
      <c r="G627" s="9">
        <v>1</v>
      </c>
      <c r="H627" s="9">
        <v>2</v>
      </c>
      <c r="I627" s="9">
        <v>2</v>
      </c>
      <c r="J627" s="9">
        <v>2</v>
      </c>
      <c r="K627" s="159">
        <f t="shared" si="10"/>
        <v>0.37356464144298934</v>
      </c>
      <c r="L627" s="52"/>
    </row>
    <row r="628" spans="1:12">
      <c r="A628" s="151" t="s">
        <v>2021</v>
      </c>
      <c r="B628" s="34">
        <v>2015</v>
      </c>
      <c r="C628" s="40" t="s">
        <v>90</v>
      </c>
      <c r="D628" s="55">
        <v>92.333783098464409</v>
      </c>
      <c r="E628" s="40" t="s">
        <v>2019</v>
      </c>
      <c r="F628" s="29">
        <v>1</v>
      </c>
      <c r="G628" s="9">
        <v>1</v>
      </c>
      <c r="H628" s="9">
        <v>2</v>
      </c>
      <c r="I628" s="9">
        <v>2</v>
      </c>
      <c r="J628" s="9">
        <v>2</v>
      </c>
      <c r="K628" s="159">
        <f t="shared" si="10"/>
        <v>0.37356464144298934</v>
      </c>
      <c r="L628" s="52"/>
    </row>
    <row r="629" spans="1:12">
      <c r="A629" s="151" t="s">
        <v>2021</v>
      </c>
      <c r="B629" s="34">
        <v>2015</v>
      </c>
      <c r="C629" s="40" t="s">
        <v>92</v>
      </c>
      <c r="D629" s="55">
        <v>190.87933040780692</v>
      </c>
      <c r="E629" s="40" t="s">
        <v>2019</v>
      </c>
      <c r="F629" s="29">
        <v>1</v>
      </c>
      <c r="G629" s="9">
        <v>1</v>
      </c>
      <c r="H629" s="9">
        <v>2</v>
      </c>
      <c r="I629" s="9">
        <v>2</v>
      </c>
      <c r="J629" s="9">
        <v>2</v>
      </c>
      <c r="K629" s="159">
        <f t="shared" si="10"/>
        <v>0.37356464144298934</v>
      </c>
      <c r="L629" s="52"/>
    </row>
    <row r="630" spans="1:12">
      <c r="A630" s="151" t="s">
        <v>2021</v>
      </c>
      <c r="B630" s="34">
        <v>2016</v>
      </c>
      <c r="C630" s="40" t="s">
        <v>99</v>
      </c>
      <c r="D630" s="55">
        <v>111.6723129886563</v>
      </c>
      <c r="E630" s="40" t="s">
        <v>2019</v>
      </c>
      <c r="F630" s="29">
        <v>1</v>
      </c>
      <c r="G630" s="9">
        <v>1</v>
      </c>
      <c r="H630" s="9">
        <v>2</v>
      </c>
      <c r="I630" s="9">
        <v>2</v>
      </c>
      <c r="J630" s="9">
        <v>2</v>
      </c>
      <c r="K630" s="159">
        <f t="shared" si="10"/>
        <v>0.37356464144298934</v>
      </c>
      <c r="L630" s="52"/>
    </row>
    <row r="631" spans="1:12">
      <c r="A631" s="151" t="s">
        <v>2021</v>
      </c>
      <c r="B631" s="34">
        <v>2016</v>
      </c>
      <c r="C631" s="40" t="s">
        <v>98</v>
      </c>
      <c r="D631" s="55">
        <v>172.89598699386963</v>
      </c>
      <c r="E631" s="40" t="s">
        <v>2019</v>
      </c>
      <c r="F631" s="29">
        <v>1</v>
      </c>
      <c r="G631" s="9">
        <v>1</v>
      </c>
      <c r="H631" s="9">
        <v>2</v>
      </c>
      <c r="I631" s="9">
        <v>2</v>
      </c>
      <c r="J631" s="9">
        <v>2</v>
      </c>
      <c r="K631" s="159">
        <f t="shared" si="10"/>
        <v>0.37356464144298934</v>
      </c>
      <c r="L631" s="52"/>
    </row>
    <row r="632" spans="1:12">
      <c r="A632" s="151" t="s">
        <v>2021</v>
      </c>
      <c r="B632" s="34">
        <v>2016</v>
      </c>
      <c r="C632" s="40" t="s">
        <v>95</v>
      </c>
      <c r="D632" s="55">
        <v>230.42517837354072</v>
      </c>
      <c r="E632" s="40" t="s">
        <v>2019</v>
      </c>
      <c r="F632" s="29">
        <v>1</v>
      </c>
      <c r="G632" s="9">
        <v>1</v>
      </c>
      <c r="H632" s="9">
        <v>2</v>
      </c>
      <c r="I632" s="9">
        <v>2</v>
      </c>
      <c r="J632" s="9">
        <v>2</v>
      </c>
      <c r="K632" s="159">
        <f t="shared" si="10"/>
        <v>0.37356464144298934</v>
      </c>
      <c r="L632" s="52"/>
    </row>
    <row r="633" spans="1:12">
      <c r="A633" s="151" t="s">
        <v>2021</v>
      </c>
      <c r="B633" s="34">
        <v>2016</v>
      </c>
      <c r="C633" s="40" t="s">
        <v>91</v>
      </c>
      <c r="D633" s="55">
        <v>1215.7818340634547</v>
      </c>
      <c r="E633" s="40" t="s">
        <v>2019</v>
      </c>
      <c r="F633" s="29">
        <v>1</v>
      </c>
      <c r="G633" s="9">
        <v>1</v>
      </c>
      <c r="H633" s="9">
        <v>2</v>
      </c>
      <c r="I633" s="9">
        <v>2</v>
      </c>
      <c r="J633" s="9">
        <v>2</v>
      </c>
      <c r="K633" s="159">
        <f t="shared" si="10"/>
        <v>0.37356464144298934</v>
      </c>
      <c r="L633" s="52"/>
    </row>
    <row r="634" spans="1:12">
      <c r="A634" s="151" t="s">
        <v>2021</v>
      </c>
      <c r="B634" s="34">
        <v>2016</v>
      </c>
      <c r="C634" s="40" t="s">
        <v>93</v>
      </c>
      <c r="D634" s="55">
        <v>141.48615135444686</v>
      </c>
      <c r="E634" s="40" t="s">
        <v>2019</v>
      </c>
      <c r="F634" s="29">
        <v>1</v>
      </c>
      <c r="G634" s="9">
        <v>1</v>
      </c>
      <c r="H634" s="9">
        <v>2</v>
      </c>
      <c r="I634" s="9">
        <v>2</v>
      </c>
      <c r="J634" s="9">
        <v>2</v>
      </c>
      <c r="K634" s="159">
        <f t="shared" si="10"/>
        <v>0.37356464144298934</v>
      </c>
      <c r="L634" s="52"/>
    </row>
    <row r="635" spans="1:12">
      <c r="A635" s="151" t="s">
        <v>2021</v>
      </c>
      <c r="B635" s="34">
        <v>2016</v>
      </c>
      <c r="C635" s="40" t="s">
        <v>90</v>
      </c>
      <c r="D635" s="55">
        <v>90.958735185302729</v>
      </c>
      <c r="E635" s="40" t="s">
        <v>2019</v>
      </c>
      <c r="F635" s="29">
        <v>1</v>
      </c>
      <c r="G635" s="9">
        <v>1</v>
      </c>
      <c r="H635" s="9">
        <v>2</v>
      </c>
      <c r="I635" s="9">
        <v>2</v>
      </c>
      <c r="J635" s="9">
        <v>2</v>
      </c>
      <c r="K635" s="159">
        <f t="shared" si="10"/>
        <v>0.37356464144298934</v>
      </c>
      <c r="L635" s="52"/>
    </row>
    <row r="636" spans="1:12">
      <c r="A636" s="151" t="s">
        <v>2021</v>
      </c>
      <c r="B636" s="34">
        <v>2016</v>
      </c>
      <c r="C636" s="40" t="s">
        <v>92</v>
      </c>
      <c r="D636" s="55">
        <v>187.48697148510038</v>
      </c>
      <c r="E636" s="40" t="s">
        <v>2019</v>
      </c>
      <c r="F636" s="29">
        <v>1</v>
      </c>
      <c r="G636" s="9">
        <v>1</v>
      </c>
      <c r="H636" s="9">
        <v>2</v>
      </c>
      <c r="I636" s="9">
        <v>2</v>
      </c>
      <c r="J636" s="9">
        <v>2</v>
      </c>
      <c r="K636" s="159">
        <f t="shared" si="10"/>
        <v>0.37356464144298934</v>
      </c>
      <c r="L636" s="52"/>
    </row>
    <row r="637" spans="1:12">
      <c r="A637" s="151" t="s">
        <v>2021</v>
      </c>
      <c r="B637" s="34">
        <v>2017</v>
      </c>
      <c r="C637" s="40" t="s">
        <v>99</v>
      </c>
      <c r="D637" s="55">
        <v>117.21644909596564</v>
      </c>
      <c r="E637" s="40" t="s">
        <v>2019</v>
      </c>
      <c r="F637" s="29">
        <v>1</v>
      </c>
      <c r="G637" s="9">
        <v>1</v>
      </c>
      <c r="H637" s="9">
        <v>2</v>
      </c>
      <c r="I637" s="9">
        <v>2</v>
      </c>
      <c r="J637" s="9">
        <v>2</v>
      </c>
      <c r="K637" s="159">
        <f t="shared" si="10"/>
        <v>0.37356464144298934</v>
      </c>
      <c r="L637" s="52"/>
    </row>
    <row r="638" spans="1:12">
      <c r="A638" s="151" t="s">
        <v>2021</v>
      </c>
      <c r="B638" s="34">
        <v>2017</v>
      </c>
      <c r="C638" s="40" t="s">
        <v>98</v>
      </c>
      <c r="D638" s="55">
        <v>181.5643065133624</v>
      </c>
      <c r="E638" s="40" t="s">
        <v>2019</v>
      </c>
      <c r="F638" s="29">
        <v>1</v>
      </c>
      <c r="G638" s="9">
        <v>1</v>
      </c>
      <c r="H638" s="9">
        <v>2</v>
      </c>
      <c r="I638" s="9">
        <v>2</v>
      </c>
      <c r="J638" s="9">
        <v>2</v>
      </c>
      <c r="K638" s="159">
        <f t="shared" si="10"/>
        <v>0.37356464144298934</v>
      </c>
      <c r="L638" s="52"/>
    </row>
    <row r="639" spans="1:12">
      <c r="A639" s="151" t="s">
        <v>2021</v>
      </c>
      <c r="B639" s="34">
        <v>2017</v>
      </c>
      <c r="C639" s="40" t="s">
        <v>95</v>
      </c>
      <c r="D639" s="55">
        <v>241.68568640267645</v>
      </c>
      <c r="E639" s="40" t="s">
        <v>2019</v>
      </c>
      <c r="F639" s="29">
        <v>1</v>
      </c>
      <c r="G639" s="9">
        <v>1</v>
      </c>
      <c r="H639" s="9">
        <v>2</v>
      </c>
      <c r="I639" s="9">
        <v>2</v>
      </c>
      <c r="J639" s="9">
        <v>2</v>
      </c>
      <c r="K639" s="159">
        <f t="shared" si="10"/>
        <v>0.37356464144298934</v>
      </c>
      <c r="L639" s="52"/>
    </row>
    <row r="640" spans="1:12">
      <c r="A640" s="151" t="s">
        <v>2021</v>
      </c>
      <c r="B640" s="34">
        <v>2017</v>
      </c>
      <c r="C640" s="40" t="s">
        <v>91</v>
      </c>
      <c r="D640" s="55">
        <v>1260.3782346850405</v>
      </c>
      <c r="E640" s="40" t="s">
        <v>2019</v>
      </c>
      <c r="F640" s="29">
        <v>1</v>
      </c>
      <c r="G640" s="9">
        <v>1</v>
      </c>
      <c r="H640" s="9">
        <v>2</v>
      </c>
      <c r="I640" s="9">
        <v>2</v>
      </c>
      <c r="J640" s="9">
        <v>2</v>
      </c>
      <c r="K640" s="159">
        <f t="shared" si="10"/>
        <v>0.37356464144298934</v>
      </c>
      <c r="L640" s="52"/>
    </row>
    <row r="641" spans="1:12">
      <c r="A641" s="151" t="s">
        <v>2021</v>
      </c>
      <c r="B641" s="34">
        <v>2017</v>
      </c>
      <c r="C641" s="40" t="s">
        <v>93</v>
      </c>
      <c r="D641" s="55">
        <v>147.4829835861708</v>
      </c>
      <c r="E641" s="40" t="s">
        <v>2019</v>
      </c>
      <c r="F641" s="29">
        <v>1</v>
      </c>
      <c r="G641" s="9">
        <v>1</v>
      </c>
      <c r="H641" s="9">
        <v>2</v>
      </c>
      <c r="I641" s="9">
        <v>2</v>
      </c>
      <c r="J641" s="9">
        <v>2</v>
      </c>
      <c r="K641" s="159">
        <f t="shared" si="10"/>
        <v>0.37356464144298934</v>
      </c>
      <c r="L641" s="52"/>
    </row>
    <row r="642" spans="1:12">
      <c r="A642" s="151" t="s">
        <v>2021</v>
      </c>
      <c r="B642" s="34">
        <v>2017</v>
      </c>
      <c r="C642" s="40" t="s">
        <v>90</v>
      </c>
      <c r="D642" s="55">
        <v>94.900427986266862</v>
      </c>
      <c r="E642" s="40" t="s">
        <v>2019</v>
      </c>
      <c r="F642" s="29">
        <v>1</v>
      </c>
      <c r="G642" s="9">
        <v>1</v>
      </c>
      <c r="H642" s="9">
        <v>2</v>
      </c>
      <c r="I642" s="9">
        <v>2</v>
      </c>
      <c r="J642" s="9">
        <v>2</v>
      </c>
      <c r="K642" s="159">
        <f t="shared" si="10"/>
        <v>0.37356464144298934</v>
      </c>
      <c r="L642" s="52"/>
    </row>
    <row r="643" spans="1:12">
      <c r="A643" s="151" t="s">
        <v>2021</v>
      </c>
      <c r="B643" s="34">
        <v>2017</v>
      </c>
      <c r="C643" s="40" t="s">
        <v>92</v>
      </c>
      <c r="D643" s="55">
        <v>196.69152581052009</v>
      </c>
      <c r="E643" s="40" t="s">
        <v>2019</v>
      </c>
      <c r="F643" s="29">
        <v>1</v>
      </c>
      <c r="G643" s="9">
        <v>1</v>
      </c>
      <c r="H643" s="9">
        <v>2</v>
      </c>
      <c r="I643" s="9">
        <v>2</v>
      </c>
      <c r="J643" s="9">
        <v>2</v>
      </c>
      <c r="K643" s="159">
        <f t="shared" si="10"/>
        <v>0.37356464144298934</v>
      </c>
      <c r="L643" s="52"/>
    </row>
    <row r="644" spans="1:12">
      <c r="A644" s="151" t="s">
        <v>2021</v>
      </c>
      <c r="B644" s="34">
        <v>2018</v>
      </c>
      <c r="C644" s="40" t="s">
        <v>99</v>
      </c>
      <c r="D644" s="55">
        <v>129.1984027866045</v>
      </c>
      <c r="E644" s="40" t="s">
        <v>2019</v>
      </c>
      <c r="F644" s="29">
        <v>1</v>
      </c>
      <c r="G644" s="9">
        <v>1</v>
      </c>
      <c r="H644" s="9">
        <v>2</v>
      </c>
      <c r="I644" s="9">
        <v>2</v>
      </c>
      <c r="J644" s="9">
        <v>2</v>
      </c>
      <c r="K644" s="159">
        <f t="shared" si="10"/>
        <v>0.37356464144298934</v>
      </c>
      <c r="L644" s="52"/>
    </row>
    <row r="645" spans="1:12">
      <c r="A645" s="151" t="s">
        <v>2021</v>
      </c>
      <c r="B645" s="34">
        <v>2018</v>
      </c>
      <c r="C645" s="40" t="s">
        <v>98</v>
      </c>
      <c r="D645" s="55">
        <v>208.41061381929524</v>
      </c>
      <c r="E645" s="40" t="s">
        <v>2019</v>
      </c>
      <c r="F645" s="29">
        <v>1</v>
      </c>
      <c r="G645" s="9">
        <v>1</v>
      </c>
      <c r="H645" s="9">
        <v>2</v>
      </c>
      <c r="I645" s="9">
        <v>2</v>
      </c>
      <c r="J645" s="9">
        <v>2</v>
      </c>
      <c r="K645" s="159">
        <f t="shared" si="10"/>
        <v>0.37356464144298934</v>
      </c>
      <c r="L645" s="52"/>
    </row>
    <row r="646" spans="1:12">
      <c r="A646" s="151" t="s">
        <v>2021</v>
      </c>
      <c r="B646" s="34">
        <v>2018</v>
      </c>
      <c r="C646" s="40" t="s">
        <v>95</v>
      </c>
      <c r="D646" s="55">
        <v>272.41057670050481</v>
      </c>
      <c r="E646" s="40" t="s">
        <v>2019</v>
      </c>
      <c r="F646" s="29">
        <v>1</v>
      </c>
      <c r="G646" s="9">
        <v>1</v>
      </c>
      <c r="H646" s="9">
        <v>2</v>
      </c>
      <c r="I646" s="9">
        <v>2</v>
      </c>
      <c r="J646" s="9">
        <v>2</v>
      </c>
      <c r="K646" s="159">
        <f t="shared" si="10"/>
        <v>0.37356464144298934</v>
      </c>
      <c r="L646" s="52"/>
    </row>
    <row r="647" spans="1:12">
      <c r="A647" s="151" t="s">
        <v>2021</v>
      </c>
      <c r="B647" s="34">
        <v>2018</v>
      </c>
      <c r="C647" s="40" t="s">
        <v>91</v>
      </c>
      <c r="D647" s="55">
        <v>1396.6419779793355</v>
      </c>
      <c r="E647" s="40" t="s">
        <v>2019</v>
      </c>
      <c r="F647" s="29">
        <v>1</v>
      </c>
      <c r="G647" s="9">
        <v>1</v>
      </c>
      <c r="H647" s="9">
        <v>2</v>
      </c>
      <c r="I647" s="9">
        <v>2</v>
      </c>
      <c r="J647" s="9">
        <v>2</v>
      </c>
      <c r="K647" s="159">
        <f t="shared" si="10"/>
        <v>0.37356464144298934</v>
      </c>
      <c r="L647" s="52"/>
    </row>
    <row r="648" spans="1:12">
      <c r="A648" s="151" t="s">
        <v>2021</v>
      </c>
      <c r="B648" s="34">
        <v>2018</v>
      </c>
      <c r="C648" s="40" t="s">
        <v>93</v>
      </c>
      <c r="D648" s="55">
        <v>156.03206073115211</v>
      </c>
      <c r="E648" s="40" t="s">
        <v>2019</v>
      </c>
      <c r="F648" s="29">
        <v>1</v>
      </c>
      <c r="G648" s="9">
        <v>1</v>
      </c>
      <c r="H648" s="9">
        <v>2</v>
      </c>
      <c r="I648" s="9">
        <v>2</v>
      </c>
      <c r="J648" s="9">
        <v>2</v>
      </c>
      <c r="K648" s="159">
        <f t="shared" si="10"/>
        <v>0.37356464144298934</v>
      </c>
      <c r="L648" s="52"/>
    </row>
    <row r="649" spans="1:12">
      <c r="A649" s="151" t="s">
        <v>2021</v>
      </c>
      <c r="B649" s="34">
        <v>2018</v>
      </c>
      <c r="C649" s="40" t="s">
        <v>90</v>
      </c>
      <c r="D649" s="55">
        <v>101.03765793704395</v>
      </c>
      <c r="E649" s="40" t="s">
        <v>2019</v>
      </c>
      <c r="F649" s="29">
        <v>1</v>
      </c>
      <c r="G649" s="9">
        <v>1</v>
      </c>
      <c r="H649" s="9">
        <v>2</v>
      </c>
      <c r="I649" s="9">
        <v>2</v>
      </c>
      <c r="J649" s="9">
        <v>2</v>
      </c>
      <c r="K649" s="159">
        <f t="shared" si="10"/>
        <v>0.37356464144298934</v>
      </c>
      <c r="L649" s="52"/>
    </row>
    <row r="650" spans="1:12">
      <c r="A650" s="151" t="s">
        <v>2021</v>
      </c>
      <c r="B650" s="34">
        <v>2018</v>
      </c>
      <c r="C650" s="40" t="s">
        <v>92</v>
      </c>
      <c r="D650" s="55">
        <v>216.56189812521248</v>
      </c>
      <c r="E650" s="40" t="s">
        <v>2019</v>
      </c>
      <c r="F650" s="29">
        <v>1</v>
      </c>
      <c r="G650" s="9">
        <v>1</v>
      </c>
      <c r="H650" s="9">
        <v>2</v>
      </c>
      <c r="I650" s="9">
        <v>2</v>
      </c>
      <c r="J650" s="9">
        <v>2</v>
      </c>
      <c r="K650" s="159">
        <f t="shared" si="10"/>
        <v>0.37356464144298934</v>
      </c>
      <c r="L650" s="52"/>
    </row>
    <row r="651" spans="1:12">
      <c r="A651" s="151" t="s">
        <v>2021</v>
      </c>
      <c r="B651" s="34">
        <v>2019</v>
      </c>
      <c r="C651" s="40" t="s">
        <v>99</v>
      </c>
      <c r="D651" s="55">
        <v>124.75484124151612</v>
      </c>
      <c r="E651" s="40" t="s">
        <v>2019</v>
      </c>
      <c r="F651" s="29">
        <v>1</v>
      </c>
      <c r="G651" s="9">
        <v>1</v>
      </c>
      <c r="H651" s="9">
        <v>2</v>
      </c>
      <c r="I651" s="9">
        <v>2</v>
      </c>
      <c r="J651" s="9">
        <v>2</v>
      </c>
      <c r="K651" s="159">
        <f t="shared" si="10"/>
        <v>0.37356464144298934</v>
      </c>
      <c r="L651" s="52"/>
    </row>
    <row r="652" spans="1:12">
      <c r="A652" s="151" t="s">
        <v>2021</v>
      </c>
      <c r="B652" s="34">
        <v>2019</v>
      </c>
      <c r="C652" s="40" t="s">
        <v>98</v>
      </c>
      <c r="D652" s="55">
        <v>204.69046301822823</v>
      </c>
      <c r="E652" s="40" t="s">
        <v>2019</v>
      </c>
      <c r="F652" s="29">
        <v>1</v>
      </c>
      <c r="G652" s="9">
        <v>1</v>
      </c>
      <c r="H652" s="9">
        <v>2</v>
      </c>
      <c r="I652" s="9">
        <v>2</v>
      </c>
      <c r="J652" s="9">
        <v>2</v>
      </c>
      <c r="K652" s="159">
        <f t="shared" si="10"/>
        <v>0.37356464144298934</v>
      </c>
      <c r="L652" s="52"/>
    </row>
    <row r="653" spans="1:12">
      <c r="A653" s="151" t="s">
        <v>2021</v>
      </c>
      <c r="B653" s="34">
        <v>2019</v>
      </c>
      <c r="C653" s="40" t="s">
        <v>95</v>
      </c>
      <c r="D653" s="55">
        <v>264.6248485397233</v>
      </c>
      <c r="E653" s="40" t="s">
        <v>2019</v>
      </c>
      <c r="F653" s="29">
        <v>1</v>
      </c>
      <c r="G653" s="9">
        <v>1</v>
      </c>
      <c r="H653" s="9">
        <v>2</v>
      </c>
      <c r="I653" s="9">
        <v>2</v>
      </c>
      <c r="J653" s="9">
        <v>2</v>
      </c>
      <c r="K653" s="159">
        <f t="shared" si="10"/>
        <v>0.37356464144298934</v>
      </c>
      <c r="L653" s="52"/>
    </row>
    <row r="654" spans="1:12">
      <c r="A654" s="151" t="s">
        <v>2021</v>
      </c>
      <c r="B654" s="34">
        <v>2019</v>
      </c>
      <c r="C654" s="40" t="s">
        <v>91</v>
      </c>
      <c r="D654" s="55">
        <v>1358.6245419214561</v>
      </c>
      <c r="E654" s="40" t="s">
        <v>2019</v>
      </c>
      <c r="F654" s="29">
        <v>1</v>
      </c>
      <c r="G654" s="9">
        <v>1</v>
      </c>
      <c r="H654" s="9">
        <v>2</v>
      </c>
      <c r="I654" s="9">
        <v>2</v>
      </c>
      <c r="J654" s="9">
        <v>2</v>
      </c>
      <c r="K654" s="159">
        <f t="shared" si="10"/>
        <v>0.37356464144298934</v>
      </c>
      <c r="L654" s="52"/>
    </row>
    <row r="655" spans="1:12">
      <c r="A655" s="151" t="s">
        <v>2021</v>
      </c>
      <c r="B655" s="34">
        <v>2019</v>
      </c>
      <c r="C655" s="40" t="s">
        <v>93</v>
      </c>
      <c r="D655" s="55">
        <v>154.02339582210601</v>
      </c>
      <c r="E655" s="40" t="s">
        <v>2019</v>
      </c>
      <c r="F655" s="29">
        <v>1</v>
      </c>
      <c r="G655" s="9">
        <v>1</v>
      </c>
      <c r="H655" s="9">
        <v>2</v>
      </c>
      <c r="I655" s="9">
        <v>2</v>
      </c>
      <c r="J655" s="9">
        <v>2</v>
      </c>
      <c r="K655" s="159">
        <f t="shared" si="10"/>
        <v>0.37356464144298934</v>
      </c>
      <c r="L655" s="52"/>
    </row>
    <row r="656" spans="1:12">
      <c r="A656" s="151" t="s">
        <v>2021</v>
      </c>
      <c r="B656" s="34">
        <v>2019</v>
      </c>
      <c r="C656" s="40" t="s">
        <v>90</v>
      </c>
      <c r="D656" s="55">
        <v>99.579580821781335</v>
      </c>
      <c r="E656" s="40" t="s">
        <v>2019</v>
      </c>
      <c r="F656" s="29">
        <v>1</v>
      </c>
      <c r="G656" s="9">
        <v>1</v>
      </c>
      <c r="H656" s="9">
        <v>2</v>
      </c>
      <c r="I656" s="9">
        <v>2</v>
      </c>
      <c r="J656" s="9">
        <v>2</v>
      </c>
      <c r="K656" s="159">
        <f t="shared" si="10"/>
        <v>0.37356464144298934</v>
      </c>
      <c r="L656" s="52"/>
    </row>
    <row r="657" spans="1:12">
      <c r="A657" s="151" t="s">
        <v>2021</v>
      </c>
      <c r="B657" s="34">
        <v>2019</v>
      </c>
      <c r="C657" s="40" t="s">
        <v>92</v>
      </c>
      <c r="D657" s="55">
        <v>210.78190944042822</v>
      </c>
      <c r="E657" s="40" t="s">
        <v>2019</v>
      </c>
      <c r="F657" s="29">
        <v>1</v>
      </c>
      <c r="G657" s="9">
        <v>1</v>
      </c>
      <c r="H657" s="9">
        <v>2</v>
      </c>
      <c r="I657" s="9">
        <v>2</v>
      </c>
      <c r="J657" s="9">
        <v>2</v>
      </c>
      <c r="K657" s="159">
        <f t="shared" si="10"/>
        <v>0.37356464144298934</v>
      </c>
      <c r="L657" s="52"/>
    </row>
    <row r="658" spans="1:12">
      <c r="A658" s="151" t="s">
        <v>2021</v>
      </c>
      <c r="B658" s="34">
        <v>2020</v>
      </c>
      <c r="C658" s="40" t="s">
        <v>99</v>
      </c>
      <c r="D658" s="55">
        <v>102.37632480198386</v>
      </c>
      <c r="E658" s="40" t="s">
        <v>2019</v>
      </c>
      <c r="F658" s="29">
        <v>1</v>
      </c>
      <c r="G658" s="9">
        <v>1</v>
      </c>
      <c r="H658" s="9">
        <v>2</v>
      </c>
      <c r="I658" s="9">
        <v>2</v>
      </c>
      <c r="J658" s="9">
        <v>2</v>
      </c>
      <c r="K658" s="159">
        <f t="shared" si="10"/>
        <v>0.37356464144298934</v>
      </c>
      <c r="L658" s="52"/>
    </row>
    <row r="659" spans="1:12">
      <c r="A659" s="151" t="s">
        <v>2021</v>
      </c>
      <c r="B659" s="34">
        <v>2020</v>
      </c>
      <c r="C659" s="40" t="s">
        <v>98</v>
      </c>
      <c r="D659" s="55">
        <v>161.33301867575491</v>
      </c>
      <c r="E659" s="40" t="s">
        <v>2019</v>
      </c>
      <c r="F659" s="29">
        <v>1</v>
      </c>
      <c r="G659" s="9">
        <v>1</v>
      </c>
      <c r="H659" s="9">
        <v>2</v>
      </c>
      <c r="I659" s="9">
        <v>2</v>
      </c>
      <c r="J659" s="9">
        <v>2</v>
      </c>
      <c r="K659" s="159">
        <f t="shared" ref="K659:K722" si="11">IF( OR( ISBLANK(F659),ISBLANK(G659), ISBLANK(H659), ISBLANK(I659), ISBLANK(J659) ), "", 1.5*SQRT(   EXP(2.21*(F659-1)) + EXP(2.21*(G659-1)) + EXP(2.21*(H659-1)) + EXP(2.21*(I659-1)) + EXP(2.21*J659)   )/100*2.45 )</f>
        <v>0.37356464144298934</v>
      </c>
      <c r="L659" s="52"/>
    </row>
    <row r="660" spans="1:12">
      <c r="A660" s="151" t="s">
        <v>2021</v>
      </c>
      <c r="B660" s="34">
        <v>2020</v>
      </c>
      <c r="C660" s="40" t="s">
        <v>95</v>
      </c>
      <c r="D660" s="55">
        <v>213.63852657389151</v>
      </c>
      <c r="E660" s="40" t="s">
        <v>2019</v>
      </c>
      <c r="F660" s="29">
        <v>1</v>
      </c>
      <c r="G660" s="9">
        <v>1</v>
      </c>
      <c r="H660" s="9">
        <v>2</v>
      </c>
      <c r="I660" s="9">
        <v>2</v>
      </c>
      <c r="J660" s="9">
        <v>2</v>
      </c>
      <c r="K660" s="159">
        <f t="shared" si="11"/>
        <v>0.37356464144298934</v>
      </c>
      <c r="L660" s="52"/>
    </row>
    <row r="661" spans="1:12">
      <c r="A661" s="151" t="s">
        <v>2021</v>
      </c>
      <c r="B661" s="34">
        <v>2020</v>
      </c>
      <c r="C661" s="40" t="s">
        <v>91</v>
      </c>
      <c r="D661" s="55">
        <v>1075.5216512168049</v>
      </c>
      <c r="E661" s="40" t="s">
        <v>2019</v>
      </c>
      <c r="F661" s="29">
        <v>1</v>
      </c>
      <c r="G661" s="9">
        <v>1</v>
      </c>
      <c r="H661" s="9">
        <v>2</v>
      </c>
      <c r="I661" s="9">
        <v>2</v>
      </c>
      <c r="J661" s="9">
        <v>2</v>
      </c>
      <c r="K661" s="159">
        <f t="shared" si="11"/>
        <v>0.37356464144298934</v>
      </c>
      <c r="L661" s="52"/>
    </row>
    <row r="662" spans="1:12">
      <c r="A662" s="151" t="s">
        <v>2021</v>
      </c>
      <c r="B662" s="34">
        <v>2020</v>
      </c>
      <c r="C662" s="40" t="s">
        <v>93</v>
      </c>
      <c r="D662" s="55">
        <v>123.30334174942438</v>
      </c>
      <c r="E662" s="40" t="s">
        <v>2019</v>
      </c>
      <c r="F662" s="29">
        <v>1</v>
      </c>
      <c r="G662" s="9">
        <v>1</v>
      </c>
      <c r="H662" s="9">
        <v>2</v>
      </c>
      <c r="I662" s="9">
        <v>2</v>
      </c>
      <c r="J662" s="9">
        <v>2</v>
      </c>
      <c r="K662" s="159">
        <f t="shared" si="11"/>
        <v>0.37356464144298934</v>
      </c>
      <c r="L662" s="52"/>
    </row>
    <row r="663" spans="1:12">
      <c r="A663" s="151" t="s">
        <v>2021</v>
      </c>
      <c r="B663" s="34">
        <v>2020</v>
      </c>
      <c r="C663" s="40" t="s">
        <v>90</v>
      </c>
      <c r="D663" s="55">
        <v>79.407485617291172</v>
      </c>
      <c r="E663" s="40" t="s">
        <v>2019</v>
      </c>
      <c r="F663" s="29">
        <v>1</v>
      </c>
      <c r="G663" s="9">
        <v>1</v>
      </c>
      <c r="H663" s="9">
        <v>2</v>
      </c>
      <c r="I663" s="9">
        <v>2</v>
      </c>
      <c r="J663" s="9">
        <v>2</v>
      </c>
      <c r="K663" s="159">
        <f t="shared" si="11"/>
        <v>0.37356464144298934</v>
      </c>
      <c r="L663" s="52"/>
    </row>
    <row r="664" spans="1:12">
      <c r="A664" s="151" t="s">
        <v>2021</v>
      </c>
      <c r="B664" s="34">
        <v>2020</v>
      </c>
      <c r="C664" s="40" t="s">
        <v>92</v>
      </c>
      <c r="D664" s="55">
        <v>163.97255709559889</v>
      </c>
      <c r="E664" s="40" t="s">
        <v>2019</v>
      </c>
      <c r="F664" s="29">
        <v>1</v>
      </c>
      <c r="G664" s="9">
        <v>1</v>
      </c>
      <c r="H664" s="9">
        <v>2</v>
      </c>
      <c r="I664" s="9">
        <v>2</v>
      </c>
      <c r="J664" s="9">
        <v>2</v>
      </c>
      <c r="K664" s="159">
        <f t="shared" si="11"/>
        <v>0.37356464144298934</v>
      </c>
      <c r="L664" s="52"/>
    </row>
    <row r="665" spans="1:12">
      <c r="A665" s="151" t="s">
        <v>2021</v>
      </c>
      <c r="B665" s="34">
        <v>2021</v>
      </c>
      <c r="C665" s="40" t="s">
        <v>99</v>
      </c>
      <c r="D665" s="55">
        <v>113.3251195172403</v>
      </c>
      <c r="E665" s="40" t="s">
        <v>2019</v>
      </c>
      <c r="F665" s="29">
        <v>1</v>
      </c>
      <c r="G665" s="9">
        <v>1</v>
      </c>
      <c r="H665" s="9">
        <v>2</v>
      </c>
      <c r="I665" s="9">
        <v>2</v>
      </c>
      <c r="J665" s="9">
        <v>2</v>
      </c>
      <c r="K665" s="159">
        <f t="shared" si="11"/>
        <v>0.37356464144298934</v>
      </c>
      <c r="L665" s="52"/>
    </row>
    <row r="666" spans="1:12">
      <c r="A666" s="151" t="s">
        <v>2021</v>
      </c>
      <c r="B666" s="34">
        <v>2021</v>
      </c>
      <c r="C666" s="40" t="s">
        <v>98</v>
      </c>
      <c r="D666" s="55">
        <v>169.80710057016137</v>
      </c>
      <c r="E666" s="40" t="s">
        <v>2019</v>
      </c>
      <c r="F666" s="29">
        <v>1</v>
      </c>
      <c r="G666" s="9">
        <v>1</v>
      </c>
      <c r="H666" s="9">
        <v>2</v>
      </c>
      <c r="I666" s="9">
        <v>2</v>
      </c>
      <c r="J666" s="9">
        <v>2</v>
      </c>
      <c r="K666" s="159">
        <f t="shared" si="11"/>
        <v>0.37356464144298934</v>
      </c>
      <c r="L666" s="52"/>
    </row>
    <row r="667" spans="1:12">
      <c r="A667" s="151" t="s">
        <v>2021</v>
      </c>
      <c r="B667" s="34">
        <v>2021</v>
      </c>
      <c r="C667" s="40" t="s">
        <v>95</v>
      </c>
      <c r="D667" s="55">
        <v>235.40868887089127</v>
      </c>
      <c r="E667" s="40" t="s">
        <v>2019</v>
      </c>
      <c r="F667" s="29">
        <v>1</v>
      </c>
      <c r="G667" s="9">
        <v>1</v>
      </c>
      <c r="H667" s="9">
        <v>2</v>
      </c>
      <c r="I667" s="9">
        <v>2</v>
      </c>
      <c r="J667" s="9">
        <v>2</v>
      </c>
      <c r="K667" s="159">
        <f t="shared" si="11"/>
        <v>0.37356464144298934</v>
      </c>
      <c r="L667" s="52"/>
    </row>
    <row r="668" spans="1:12">
      <c r="A668" s="151" t="s">
        <v>2021</v>
      </c>
      <c r="B668" s="34">
        <v>2021</v>
      </c>
      <c r="C668" s="40" t="s">
        <v>91</v>
      </c>
      <c r="D668" s="55">
        <v>1165.0967021865949</v>
      </c>
      <c r="E668" s="40" t="s">
        <v>2019</v>
      </c>
      <c r="F668" s="29">
        <v>1</v>
      </c>
      <c r="G668" s="9">
        <v>1</v>
      </c>
      <c r="H668" s="9">
        <v>2</v>
      </c>
      <c r="I668" s="9">
        <v>2</v>
      </c>
      <c r="J668" s="9">
        <v>2</v>
      </c>
      <c r="K668" s="159">
        <f t="shared" si="11"/>
        <v>0.37356464144298934</v>
      </c>
      <c r="L668" s="52"/>
    </row>
    <row r="669" spans="1:12">
      <c r="A669" s="151" t="s">
        <v>2021</v>
      </c>
      <c r="B669" s="34">
        <v>2021</v>
      </c>
      <c r="C669" s="40" t="s">
        <v>93</v>
      </c>
      <c r="D669" s="55">
        <v>121.49018578342412</v>
      </c>
      <c r="E669" s="40" t="s">
        <v>2019</v>
      </c>
      <c r="F669" s="29">
        <v>1</v>
      </c>
      <c r="G669" s="9">
        <v>1</v>
      </c>
      <c r="H669" s="9">
        <v>2</v>
      </c>
      <c r="I669" s="9">
        <v>2</v>
      </c>
      <c r="J669" s="9">
        <v>2</v>
      </c>
      <c r="K669" s="159">
        <f t="shared" si="11"/>
        <v>0.37356464144298934</v>
      </c>
      <c r="L669" s="52"/>
    </row>
    <row r="670" spans="1:12">
      <c r="A670" s="151" t="s">
        <v>2021</v>
      </c>
      <c r="B670" s="34">
        <v>2021</v>
      </c>
      <c r="C670" s="40" t="s">
        <v>90</v>
      </c>
      <c r="D670" s="55">
        <v>78.395132887155654</v>
      </c>
      <c r="E670" s="40" t="s">
        <v>2019</v>
      </c>
      <c r="F670" s="29">
        <v>1</v>
      </c>
      <c r="G670" s="9">
        <v>1</v>
      </c>
      <c r="H670" s="9">
        <v>2</v>
      </c>
      <c r="I670" s="9">
        <v>2</v>
      </c>
      <c r="J670" s="9">
        <v>2</v>
      </c>
      <c r="K670" s="159">
        <f t="shared" si="11"/>
        <v>0.37356464144298934</v>
      </c>
      <c r="L670" s="52"/>
    </row>
    <row r="671" spans="1:12">
      <c r="A671" s="151" t="s">
        <v>2021</v>
      </c>
      <c r="B671" s="34">
        <v>2021</v>
      </c>
      <c r="C671" s="40" t="s">
        <v>92</v>
      </c>
      <c r="D671" s="55">
        <v>163.59652100912916</v>
      </c>
      <c r="E671" s="40" t="s">
        <v>2019</v>
      </c>
      <c r="F671" s="29">
        <v>1</v>
      </c>
      <c r="G671" s="9">
        <v>1</v>
      </c>
      <c r="H671" s="9">
        <v>2</v>
      </c>
      <c r="I671" s="9">
        <v>2</v>
      </c>
      <c r="J671" s="9">
        <v>2</v>
      </c>
      <c r="K671" s="159">
        <f t="shared" si="11"/>
        <v>0.37356464144298934</v>
      </c>
      <c r="L671" s="52"/>
    </row>
    <row r="672" spans="1:12">
      <c r="A672" s="151" t="s">
        <v>2021</v>
      </c>
      <c r="B672" s="34">
        <v>2022</v>
      </c>
      <c r="C672" s="40" t="s">
        <v>99</v>
      </c>
      <c r="D672" s="55">
        <v>141.02659951072633</v>
      </c>
      <c r="E672" s="40" t="s">
        <v>2019</v>
      </c>
      <c r="F672" s="29">
        <v>1</v>
      </c>
      <c r="G672" s="9">
        <v>1</v>
      </c>
      <c r="H672" s="9">
        <v>2</v>
      </c>
      <c r="I672" s="9">
        <v>2</v>
      </c>
      <c r="J672" s="9">
        <v>2</v>
      </c>
      <c r="K672" s="159">
        <f t="shared" si="11"/>
        <v>0.37356464144298934</v>
      </c>
      <c r="L672" s="52"/>
    </row>
    <row r="673" spans="1:12">
      <c r="A673" s="151" t="s">
        <v>2021</v>
      </c>
      <c r="B673" s="34">
        <v>2022</v>
      </c>
      <c r="C673" s="40" t="s">
        <v>98</v>
      </c>
      <c r="D673" s="55">
        <v>216.28637948109096</v>
      </c>
      <c r="E673" s="40" t="s">
        <v>2019</v>
      </c>
      <c r="F673" s="29">
        <v>1</v>
      </c>
      <c r="G673" s="9">
        <v>1</v>
      </c>
      <c r="H673" s="9">
        <v>2</v>
      </c>
      <c r="I673" s="9">
        <v>2</v>
      </c>
      <c r="J673" s="9">
        <v>2</v>
      </c>
      <c r="K673" s="159">
        <f t="shared" si="11"/>
        <v>0.37356464144298934</v>
      </c>
      <c r="L673" s="52"/>
    </row>
    <row r="674" spans="1:12">
      <c r="A674" s="151" t="s">
        <v>2021</v>
      </c>
      <c r="B674" s="34">
        <v>2022</v>
      </c>
      <c r="C674" s="40" t="s">
        <v>95</v>
      </c>
      <c r="D674" s="55">
        <v>292.25351751807887</v>
      </c>
      <c r="E674" s="40" t="s">
        <v>2019</v>
      </c>
      <c r="F674" s="29">
        <v>1</v>
      </c>
      <c r="G674" s="9">
        <v>1</v>
      </c>
      <c r="H674" s="9">
        <v>2</v>
      </c>
      <c r="I674" s="9">
        <v>2</v>
      </c>
      <c r="J674" s="9">
        <v>2</v>
      </c>
      <c r="K674" s="159">
        <f t="shared" si="11"/>
        <v>0.37356464144298934</v>
      </c>
      <c r="L674" s="52"/>
    </row>
    <row r="675" spans="1:12">
      <c r="A675" s="151" t="s">
        <v>2021</v>
      </c>
      <c r="B675" s="34">
        <v>2022</v>
      </c>
      <c r="C675" s="40" t="s">
        <v>91</v>
      </c>
      <c r="D675" s="55">
        <v>1453.0307605512528</v>
      </c>
      <c r="E675" s="40" t="s">
        <v>2019</v>
      </c>
      <c r="F675" s="29">
        <v>1</v>
      </c>
      <c r="G675" s="9">
        <v>1</v>
      </c>
      <c r="H675" s="9">
        <v>2</v>
      </c>
      <c r="I675" s="9">
        <v>2</v>
      </c>
      <c r="J675" s="9">
        <v>2</v>
      </c>
      <c r="K675" s="159">
        <f t="shared" si="11"/>
        <v>0.37356464144298934</v>
      </c>
      <c r="L675" s="52"/>
    </row>
    <row r="676" spans="1:12">
      <c r="A676" s="151" t="s">
        <v>2021</v>
      </c>
      <c r="B676" s="34">
        <v>2022</v>
      </c>
      <c r="C676" s="40" t="s">
        <v>93</v>
      </c>
      <c r="D676" s="55">
        <v>158.98860370720823</v>
      </c>
      <c r="E676" s="40" t="s">
        <v>2019</v>
      </c>
      <c r="F676" s="29">
        <v>1</v>
      </c>
      <c r="G676" s="9">
        <v>1</v>
      </c>
      <c r="H676" s="9">
        <v>2</v>
      </c>
      <c r="I676" s="9">
        <v>2</v>
      </c>
      <c r="J676" s="9">
        <v>2</v>
      </c>
      <c r="K676" s="159">
        <f t="shared" si="11"/>
        <v>0.37356464144298934</v>
      </c>
      <c r="L676" s="52"/>
    </row>
    <row r="677" spans="1:12">
      <c r="A677" s="151" t="s">
        <v>2021</v>
      </c>
      <c r="B677" s="34">
        <v>2022</v>
      </c>
      <c r="C677" s="40" t="s">
        <v>90</v>
      </c>
      <c r="D677" s="55">
        <v>102.70798337367832</v>
      </c>
      <c r="E677" s="40" t="s">
        <v>2019</v>
      </c>
      <c r="F677" s="29">
        <v>1</v>
      </c>
      <c r="G677" s="9">
        <v>1</v>
      </c>
      <c r="H677" s="9">
        <v>2</v>
      </c>
      <c r="I677" s="9">
        <v>2</v>
      </c>
      <c r="J677" s="9">
        <v>2</v>
      </c>
      <c r="K677" s="159">
        <f t="shared" si="11"/>
        <v>0.37356464144298934</v>
      </c>
      <c r="L677" s="52"/>
    </row>
    <row r="678" spans="1:12">
      <c r="A678" s="151" t="s">
        <v>2021</v>
      </c>
      <c r="B678" s="34">
        <v>2022</v>
      </c>
      <c r="C678" s="40" t="s">
        <v>92</v>
      </c>
      <c r="D678" s="55">
        <v>215.88536511890467</v>
      </c>
      <c r="E678" s="40" t="s">
        <v>2019</v>
      </c>
      <c r="F678" s="29">
        <v>1</v>
      </c>
      <c r="G678" s="9">
        <v>1</v>
      </c>
      <c r="H678" s="9">
        <v>2</v>
      </c>
      <c r="I678" s="9">
        <v>2</v>
      </c>
      <c r="J678" s="9">
        <v>2</v>
      </c>
      <c r="K678" s="159">
        <f t="shared" si="11"/>
        <v>0.37356464144298934</v>
      </c>
      <c r="L678" s="52"/>
    </row>
    <row r="679" spans="1:12">
      <c r="A679" s="151" t="s">
        <v>2021</v>
      </c>
      <c r="B679" s="34">
        <v>2011</v>
      </c>
      <c r="C679" s="40" t="s">
        <v>99</v>
      </c>
      <c r="D679" s="55">
        <v>156.45021115843022</v>
      </c>
      <c r="E679" s="40" t="s">
        <v>2020</v>
      </c>
      <c r="F679" s="29">
        <v>1</v>
      </c>
      <c r="G679" s="9">
        <v>1</v>
      </c>
      <c r="H679" s="9">
        <v>2</v>
      </c>
      <c r="I679" s="9">
        <v>2</v>
      </c>
      <c r="J679" s="9">
        <v>2</v>
      </c>
      <c r="K679" s="159">
        <f t="shared" si="11"/>
        <v>0.37356464144298934</v>
      </c>
      <c r="L679" s="52"/>
    </row>
    <row r="680" spans="1:12">
      <c r="A680" s="151" t="s">
        <v>2021</v>
      </c>
      <c r="B680" s="34">
        <v>2011</v>
      </c>
      <c r="C680" s="40" t="s">
        <v>98</v>
      </c>
      <c r="D680" s="55">
        <v>256.44340767742403</v>
      </c>
      <c r="E680" s="40" t="s">
        <v>2020</v>
      </c>
      <c r="F680" s="29">
        <v>1</v>
      </c>
      <c r="G680" s="9">
        <v>1</v>
      </c>
      <c r="H680" s="9">
        <v>2</v>
      </c>
      <c r="I680" s="9">
        <v>2</v>
      </c>
      <c r="J680" s="9">
        <v>2</v>
      </c>
      <c r="K680" s="159">
        <f t="shared" si="11"/>
        <v>0.37356464144298934</v>
      </c>
      <c r="L680" s="52"/>
    </row>
    <row r="681" spans="1:12">
      <c r="A681" s="151" t="s">
        <v>2021</v>
      </c>
      <c r="B681" s="34">
        <v>2011</v>
      </c>
      <c r="C681" s="40" t="s">
        <v>95</v>
      </c>
      <c r="D681" s="55">
        <v>342.80096639342116</v>
      </c>
      <c r="E681" s="40" t="s">
        <v>2020</v>
      </c>
      <c r="F681" s="29">
        <v>1</v>
      </c>
      <c r="G681" s="9">
        <v>1</v>
      </c>
      <c r="H681" s="9">
        <v>2</v>
      </c>
      <c r="I681" s="9">
        <v>2</v>
      </c>
      <c r="J681" s="9">
        <v>2</v>
      </c>
      <c r="K681" s="159">
        <f t="shared" si="11"/>
        <v>0.37356464144298934</v>
      </c>
      <c r="L681" s="52"/>
    </row>
    <row r="682" spans="1:12">
      <c r="A682" s="151" t="s">
        <v>2021</v>
      </c>
      <c r="B682" s="34">
        <v>2011</v>
      </c>
      <c r="C682" s="40" t="s">
        <v>91</v>
      </c>
      <c r="D682" s="55">
        <v>1534.6343875324412</v>
      </c>
      <c r="E682" s="40" t="s">
        <v>2020</v>
      </c>
      <c r="F682" s="29">
        <v>1</v>
      </c>
      <c r="G682" s="9">
        <v>1</v>
      </c>
      <c r="H682" s="9">
        <v>2</v>
      </c>
      <c r="I682" s="9">
        <v>2</v>
      </c>
      <c r="J682" s="9">
        <v>2</v>
      </c>
      <c r="K682" s="159">
        <f t="shared" si="11"/>
        <v>0.37356464144298934</v>
      </c>
      <c r="L682" s="52"/>
    </row>
    <row r="683" spans="1:12">
      <c r="A683" s="151" t="s">
        <v>2021</v>
      </c>
      <c r="B683" s="34">
        <v>2011</v>
      </c>
      <c r="C683" s="40" t="s">
        <v>93</v>
      </c>
      <c r="D683" s="55">
        <v>186.51740328277091</v>
      </c>
      <c r="E683" s="40" t="s">
        <v>2020</v>
      </c>
      <c r="F683" s="29">
        <v>1</v>
      </c>
      <c r="G683" s="9">
        <v>1</v>
      </c>
      <c r="H683" s="9">
        <v>2</v>
      </c>
      <c r="I683" s="9">
        <v>2</v>
      </c>
      <c r="J683" s="9">
        <v>2</v>
      </c>
      <c r="K683" s="159">
        <f t="shared" si="11"/>
        <v>0.37356464144298934</v>
      </c>
      <c r="L683" s="52"/>
    </row>
    <row r="684" spans="1:12">
      <c r="A684" s="151" t="s">
        <v>2021</v>
      </c>
      <c r="B684" s="34">
        <v>2011</v>
      </c>
      <c r="C684" s="40" t="s">
        <v>90</v>
      </c>
      <c r="D684" s="55">
        <v>121.13184528357107</v>
      </c>
      <c r="E684" s="40" t="s">
        <v>2020</v>
      </c>
      <c r="F684" s="29">
        <v>1</v>
      </c>
      <c r="G684" s="9">
        <v>1</v>
      </c>
      <c r="H684" s="9">
        <v>2</v>
      </c>
      <c r="I684" s="9">
        <v>2</v>
      </c>
      <c r="J684" s="9">
        <v>2</v>
      </c>
      <c r="K684" s="159">
        <f t="shared" si="11"/>
        <v>0.37356464144298934</v>
      </c>
      <c r="L684" s="52"/>
    </row>
    <row r="685" spans="1:12">
      <c r="A685" s="151" t="s">
        <v>2021</v>
      </c>
      <c r="B685" s="34">
        <v>2011</v>
      </c>
      <c r="C685" s="40" t="s">
        <v>92</v>
      </c>
      <c r="D685" s="55">
        <v>263.7602220387023</v>
      </c>
      <c r="E685" s="40" t="s">
        <v>2020</v>
      </c>
      <c r="F685" s="29">
        <v>1</v>
      </c>
      <c r="G685" s="9">
        <v>1</v>
      </c>
      <c r="H685" s="9">
        <v>2</v>
      </c>
      <c r="I685" s="9">
        <v>2</v>
      </c>
      <c r="J685" s="9">
        <v>2</v>
      </c>
      <c r="K685" s="159">
        <f t="shared" si="11"/>
        <v>0.37356464144298934</v>
      </c>
      <c r="L685" s="52"/>
    </row>
    <row r="686" spans="1:12">
      <c r="A686" s="151" t="s">
        <v>2021</v>
      </c>
      <c r="B686" s="34">
        <v>2012</v>
      </c>
      <c r="C686" s="40" t="s">
        <v>99</v>
      </c>
      <c r="D686" s="55">
        <v>116.94158174815253</v>
      </c>
      <c r="E686" s="40" t="s">
        <v>2020</v>
      </c>
      <c r="F686" s="29">
        <v>1</v>
      </c>
      <c r="G686" s="9">
        <v>1</v>
      </c>
      <c r="H686" s="9">
        <v>2</v>
      </c>
      <c r="I686" s="9">
        <v>2</v>
      </c>
      <c r="J686" s="9">
        <v>2</v>
      </c>
      <c r="K686" s="159">
        <f t="shared" si="11"/>
        <v>0.37356464144298934</v>
      </c>
      <c r="L686" s="52"/>
    </row>
    <row r="687" spans="1:12">
      <c r="A687" s="151" t="s">
        <v>2021</v>
      </c>
      <c r="B687" s="34">
        <v>2012</v>
      </c>
      <c r="C687" s="40" t="s">
        <v>98</v>
      </c>
      <c r="D687" s="55">
        <v>202.73636701859166</v>
      </c>
      <c r="E687" s="40" t="s">
        <v>2020</v>
      </c>
      <c r="F687" s="29">
        <v>1</v>
      </c>
      <c r="G687" s="9">
        <v>1</v>
      </c>
      <c r="H687" s="9">
        <v>2</v>
      </c>
      <c r="I687" s="9">
        <v>2</v>
      </c>
      <c r="J687" s="9">
        <v>2</v>
      </c>
      <c r="K687" s="159">
        <f t="shared" si="11"/>
        <v>0.37356464144298934</v>
      </c>
      <c r="L687" s="52"/>
    </row>
    <row r="688" spans="1:12">
      <c r="A688" s="151" t="s">
        <v>2021</v>
      </c>
      <c r="B688" s="34">
        <v>2012</v>
      </c>
      <c r="C688" s="40" t="s">
        <v>95</v>
      </c>
      <c r="D688" s="55">
        <v>249.09332647338607</v>
      </c>
      <c r="E688" s="40" t="s">
        <v>2020</v>
      </c>
      <c r="F688" s="29">
        <v>1</v>
      </c>
      <c r="G688" s="9">
        <v>1</v>
      </c>
      <c r="H688" s="9">
        <v>2</v>
      </c>
      <c r="I688" s="9">
        <v>2</v>
      </c>
      <c r="J688" s="9">
        <v>2</v>
      </c>
      <c r="K688" s="159">
        <f t="shared" si="11"/>
        <v>0.37356464144298934</v>
      </c>
      <c r="L688" s="52"/>
    </row>
    <row r="689" spans="1:12">
      <c r="A689" s="151" t="s">
        <v>2021</v>
      </c>
      <c r="B689" s="34">
        <v>2012</v>
      </c>
      <c r="C689" s="40" t="s">
        <v>91</v>
      </c>
      <c r="D689" s="55">
        <v>1313.4214345278285</v>
      </c>
      <c r="E689" s="40" t="s">
        <v>2020</v>
      </c>
      <c r="F689" s="29">
        <v>1</v>
      </c>
      <c r="G689" s="9">
        <v>1</v>
      </c>
      <c r="H689" s="9">
        <v>2</v>
      </c>
      <c r="I689" s="9">
        <v>2</v>
      </c>
      <c r="J689" s="9">
        <v>2</v>
      </c>
      <c r="K689" s="159">
        <f t="shared" si="11"/>
        <v>0.37356464144298934</v>
      </c>
      <c r="L689" s="52"/>
    </row>
    <row r="690" spans="1:12">
      <c r="A690" s="151" t="s">
        <v>2021</v>
      </c>
      <c r="B690" s="34">
        <v>2012</v>
      </c>
      <c r="C690" s="40" t="s">
        <v>93</v>
      </c>
      <c r="D690" s="55">
        <v>166.22896235871892</v>
      </c>
      <c r="E690" s="40" t="s">
        <v>2020</v>
      </c>
      <c r="F690" s="29">
        <v>1</v>
      </c>
      <c r="G690" s="9">
        <v>1</v>
      </c>
      <c r="H690" s="9">
        <v>2</v>
      </c>
      <c r="I690" s="9">
        <v>2</v>
      </c>
      <c r="J690" s="9">
        <v>2</v>
      </c>
      <c r="K690" s="159">
        <f t="shared" si="11"/>
        <v>0.37356464144298934</v>
      </c>
      <c r="L690" s="52"/>
    </row>
    <row r="691" spans="1:12">
      <c r="A691" s="151" t="s">
        <v>2021</v>
      </c>
      <c r="B691" s="34">
        <v>2012</v>
      </c>
      <c r="C691" s="40" t="s">
        <v>90</v>
      </c>
      <c r="D691" s="55">
        <v>107.33038817312612</v>
      </c>
      <c r="E691" s="40" t="s">
        <v>2020</v>
      </c>
      <c r="F691" s="29">
        <v>1</v>
      </c>
      <c r="G691" s="9">
        <v>1</v>
      </c>
      <c r="H691" s="9">
        <v>2</v>
      </c>
      <c r="I691" s="9">
        <v>2</v>
      </c>
      <c r="J691" s="9">
        <v>2</v>
      </c>
      <c r="K691" s="159">
        <f t="shared" si="11"/>
        <v>0.37356464144298934</v>
      </c>
      <c r="L691" s="52"/>
    </row>
    <row r="692" spans="1:12">
      <c r="A692" s="151" t="s">
        <v>2021</v>
      </c>
      <c r="B692" s="34">
        <v>2012</v>
      </c>
      <c r="C692" s="40" t="s">
        <v>92</v>
      </c>
      <c r="D692" s="55">
        <v>227.36546953549217</v>
      </c>
      <c r="E692" s="40" t="s">
        <v>2020</v>
      </c>
      <c r="F692" s="29">
        <v>1</v>
      </c>
      <c r="G692" s="9">
        <v>1</v>
      </c>
      <c r="H692" s="9">
        <v>2</v>
      </c>
      <c r="I692" s="9">
        <v>2</v>
      </c>
      <c r="J692" s="9">
        <v>2</v>
      </c>
      <c r="K692" s="159">
        <f t="shared" si="11"/>
        <v>0.37356464144298934</v>
      </c>
      <c r="L692" s="52"/>
    </row>
    <row r="693" spans="1:12">
      <c r="A693" s="151" t="s">
        <v>2021</v>
      </c>
      <c r="B693" s="34">
        <v>2013</v>
      </c>
      <c r="C693" s="40" t="s">
        <v>99</v>
      </c>
      <c r="D693" s="55">
        <v>123.89932441250909</v>
      </c>
      <c r="E693" s="40" t="s">
        <v>2020</v>
      </c>
      <c r="F693" s="29">
        <v>1</v>
      </c>
      <c r="G693" s="9">
        <v>1</v>
      </c>
      <c r="H693" s="9">
        <v>2</v>
      </c>
      <c r="I693" s="9">
        <v>2</v>
      </c>
      <c r="J693" s="9">
        <v>2</v>
      </c>
      <c r="K693" s="159">
        <f t="shared" si="11"/>
        <v>0.37356464144298934</v>
      </c>
      <c r="L693" s="52"/>
    </row>
    <row r="694" spans="1:12">
      <c r="A694" s="151" t="s">
        <v>2021</v>
      </c>
      <c r="B694" s="34">
        <v>2013</v>
      </c>
      <c r="C694" s="40" t="s">
        <v>98</v>
      </c>
      <c r="D694" s="55">
        <v>211.1023622199954</v>
      </c>
      <c r="E694" s="40" t="s">
        <v>2020</v>
      </c>
      <c r="F694" s="29">
        <v>1</v>
      </c>
      <c r="G694" s="9">
        <v>1</v>
      </c>
      <c r="H694" s="9">
        <v>2</v>
      </c>
      <c r="I694" s="9">
        <v>2</v>
      </c>
      <c r="J694" s="9">
        <v>2</v>
      </c>
      <c r="K694" s="159">
        <f t="shared" si="11"/>
        <v>0.37356464144298934</v>
      </c>
      <c r="L694" s="52"/>
    </row>
    <row r="695" spans="1:12">
      <c r="A695" s="151" t="s">
        <v>2021</v>
      </c>
      <c r="B695" s="34">
        <v>2013</v>
      </c>
      <c r="C695" s="40" t="s">
        <v>95</v>
      </c>
      <c r="D695" s="55">
        <v>260.35943181244977</v>
      </c>
      <c r="E695" s="40" t="s">
        <v>2020</v>
      </c>
      <c r="F695" s="29">
        <v>1</v>
      </c>
      <c r="G695" s="9">
        <v>1</v>
      </c>
      <c r="H695" s="9">
        <v>2</v>
      </c>
      <c r="I695" s="9">
        <v>2</v>
      </c>
      <c r="J695" s="9">
        <v>2</v>
      </c>
      <c r="K695" s="159">
        <f t="shared" si="11"/>
        <v>0.37356464144298934</v>
      </c>
      <c r="L695" s="52"/>
    </row>
    <row r="696" spans="1:12">
      <c r="A696" s="151" t="s">
        <v>2021</v>
      </c>
      <c r="B696" s="34">
        <v>2013</v>
      </c>
      <c r="C696" s="40" t="s">
        <v>91</v>
      </c>
      <c r="D696" s="55">
        <v>1380.5275678019752</v>
      </c>
      <c r="E696" s="40" t="s">
        <v>2020</v>
      </c>
      <c r="F696" s="29">
        <v>1</v>
      </c>
      <c r="G696" s="9">
        <v>1</v>
      </c>
      <c r="H696" s="9">
        <v>2</v>
      </c>
      <c r="I696" s="9">
        <v>2</v>
      </c>
      <c r="J696" s="9">
        <v>2</v>
      </c>
      <c r="K696" s="159">
        <f t="shared" si="11"/>
        <v>0.37356464144298934</v>
      </c>
      <c r="L696" s="52"/>
    </row>
    <row r="697" spans="1:12">
      <c r="A697" s="151" t="s">
        <v>2021</v>
      </c>
      <c r="B697" s="34">
        <v>2013</v>
      </c>
      <c r="C697" s="40" t="s">
        <v>93</v>
      </c>
      <c r="D697" s="55">
        <v>170.29061393868827</v>
      </c>
      <c r="E697" s="40" t="s">
        <v>2020</v>
      </c>
      <c r="F697" s="29">
        <v>1</v>
      </c>
      <c r="G697" s="9">
        <v>1</v>
      </c>
      <c r="H697" s="9">
        <v>2</v>
      </c>
      <c r="I697" s="9">
        <v>2</v>
      </c>
      <c r="J697" s="9">
        <v>2</v>
      </c>
      <c r="K697" s="159">
        <f t="shared" si="11"/>
        <v>0.37356464144298934</v>
      </c>
      <c r="L697" s="52"/>
    </row>
    <row r="698" spans="1:12">
      <c r="A698" s="151" t="s">
        <v>2021</v>
      </c>
      <c r="B698" s="34">
        <v>2013</v>
      </c>
      <c r="C698" s="40" t="s">
        <v>90</v>
      </c>
      <c r="D698" s="55">
        <v>110.05963082562103</v>
      </c>
      <c r="E698" s="40" t="s">
        <v>2020</v>
      </c>
      <c r="F698" s="29">
        <v>1</v>
      </c>
      <c r="G698" s="9">
        <v>1</v>
      </c>
      <c r="H698" s="9">
        <v>2</v>
      </c>
      <c r="I698" s="9">
        <v>2</v>
      </c>
      <c r="J698" s="9">
        <v>2</v>
      </c>
      <c r="K698" s="159">
        <f t="shared" si="11"/>
        <v>0.37356464144298934</v>
      </c>
      <c r="L698" s="52"/>
    </row>
    <row r="699" spans="1:12">
      <c r="A699" s="151" t="s">
        <v>2021</v>
      </c>
      <c r="B699" s="34">
        <v>2013</v>
      </c>
      <c r="C699" s="40" t="s">
        <v>92</v>
      </c>
      <c r="D699" s="55">
        <v>234.64634938210807</v>
      </c>
      <c r="E699" s="40" t="s">
        <v>2020</v>
      </c>
      <c r="F699" s="29">
        <v>1</v>
      </c>
      <c r="G699" s="9">
        <v>1</v>
      </c>
      <c r="H699" s="9">
        <v>2</v>
      </c>
      <c r="I699" s="9">
        <v>2</v>
      </c>
      <c r="J699" s="9">
        <v>2</v>
      </c>
      <c r="K699" s="159">
        <f t="shared" si="11"/>
        <v>0.37356464144298934</v>
      </c>
      <c r="L699" s="52"/>
    </row>
    <row r="700" spans="1:12">
      <c r="A700" s="151" t="s">
        <v>2021</v>
      </c>
      <c r="B700" s="34">
        <v>2014</v>
      </c>
      <c r="C700" s="40" t="s">
        <v>99</v>
      </c>
      <c r="D700" s="55">
        <v>140.07845872232809</v>
      </c>
      <c r="E700" s="40" t="s">
        <v>2020</v>
      </c>
      <c r="F700" s="29">
        <v>1</v>
      </c>
      <c r="G700" s="9">
        <v>1</v>
      </c>
      <c r="H700" s="9">
        <v>2</v>
      </c>
      <c r="I700" s="9">
        <v>2</v>
      </c>
      <c r="J700" s="9">
        <v>2</v>
      </c>
      <c r="K700" s="159">
        <f t="shared" si="11"/>
        <v>0.37356464144298934</v>
      </c>
      <c r="L700" s="52"/>
    </row>
    <row r="701" spans="1:12">
      <c r="A701" s="151" t="s">
        <v>2021</v>
      </c>
      <c r="B701" s="34">
        <v>2014</v>
      </c>
      <c r="C701" s="40" t="s">
        <v>98</v>
      </c>
      <c r="D701" s="55">
        <v>233.14282356994889</v>
      </c>
      <c r="E701" s="40" t="s">
        <v>2020</v>
      </c>
      <c r="F701" s="29">
        <v>1</v>
      </c>
      <c r="G701" s="9">
        <v>1</v>
      </c>
      <c r="H701" s="9">
        <v>2</v>
      </c>
      <c r="I701" s="9">
        <v>2</v>
      </c>
      <c r="J701" s="9">
        <v>2</v>
      </c>
      <c r="K701" s="159">
        <f t="shared" si="11"/>
        <v>0.37356464144298934</v>
      </c>
      <c r="L701" s="52"/>
    </row>
    <row r="702" spans="1:12">
      <c r="A702" s="151" t="s">
        <v>2021</v>
      </c>
      <c r="B702" s="34">
        <v>2014</v>
      </c>
      <c r="C702" s="40" t="s">
        <v>95</v>
      </c>
      <c r="D702" s="55">
        <v>286.95973398011762</v>
      </c>
      <c r="E702" s="40" t="s">
        <v>2020</v>
      </c>
      <c r="F702" s="29">
        <v>1</v>
      </c>
      <c r="G702" s="9">
        <v>1</v>
      </c>
      <c r="H702" s="9">
        <v>2</v>
      </c>
      <c r="I702" s="9">
        <v>2</v>
      </c>
      <c r="J702" s="9">
        <v>2</v>
      </c>
      <c r="K702" s="159">
        <f t="shared" si="11"/>
        <v>0.37356464144298934</v>
      </c>
      <c r="L702" s="52"/>
    </row>
    <row r="703" spans="1:12">
      <c r="A703" s="151" t="s">
        <v>2021</v>
      </c>
      <c r="B703" s="34">
        <v>2014</v>
      </c>
      <c r="C703" s="40" t="s">
        <v>91</v>
      </c>
      <c r="D703" s="55">
        <v>1512.8690771386498</v>
      </c>
      <c r="E703" s="40" t="s">
        <v>2020</v>
      </c>
      <c r="F703" s="29">
        <v>1</v>
      </c>
      <c r="G703" s="9">
        <v>1</v>
      </c>
      <c r="H703" s="9">
        <v>2</v>
      </c>
      <c r="I703" s="9">
        <v>2</v>
      </c>
      <c r="J703" s="9">
        <v>2</v>
      </c>
      <c r="K703" s="159">
        <f t="shared" si="11"/>
        <v>0.37356464144298934</v>
      </c>
      <c r="L703" s="52"/>
    </row>
    <row r="704" spans="1:12">
      <c r="A704" s="151" t="s">
        <v>2021</v>
      </c>
      <c r="B704" s="34">
        <v>2014</v>
      </c>
      <c r="C704" s="40" t="s">
        <v>93</v>
      </c>
      <c r="D704" s="55">
        <v>185.23747312287455</v>
      </c>
      <c r="E704" s="40" t="s">
        <v>2020</v>
      </c>
      <c r="F704" s="29">
        <v>1</v>
      </c>
      <c r="G704" s="9">
        <v>1</v>
      </c>
      <c r="H704" s="9">
        <v>2</v>
      </c>
      <c r="I704" s="9">
        <v>2</v>
      </c>
      <c r="J704" s="9">
        <v>2</v>
      </c>
      <c r="K704" s="159">
        <f t="shared" si="11"/>
        <v>0.37356464144298934</v>
      </c>
      <c r="L704" s="52"/>
    </row>
    <row r="705" spans="1:12">
      <c r="A705" s="151" t="s">
        <v>2021</v>
      </c>
      <c r="B705" s="34">
        <v>2014</v>
      </c>
      <c r="C705" s="40" t="s">
        <v>90</v>
      </c>
      <c r="D705" s="55">
        <v>119.76298826107833</v>
      </c>
      <c r="E705" s="40" t="s">
        <v>2020</v>
      </c>
      <c r="F705" s="29">
        <v>1</v>
      </c>
      <c r="G705" s="9">
        <v>1</v>
      </c>
      <c r="H705" s="9">
        <v>2</v>
      </c>
      <c r="I705" s="9">
        <v>2</v>
      </c>
      <c r="J705" s="9">
        <v>2</v>
      </c>
      <c r="K705" s="159">
        <f t="shared" si="11"/>
        <v>0.37356464144298934</v>
      </c>
      <c r="L705" s="52"/>
    </row>
    <row r="706" spans="1:12">
      <c r="A706" s="151" t="s">
        <v>2021</v>
      </c>
      <c r="B706" s="34">
        <v>2014</v>
      </c>
      <c r="C706" s="40" t="s">
        <v>92</v>
      </c>
      <c r="D706" s="55">
        <v>254.51440946370624</v>
      </c>
      <c r="E706" s="40" t="s">
        <v>2020</v>
      </c>
      <c r="F706" s="29">
        <v>1</v>
      </c>
      <c r="G706" s="9">
        <v>1</v>
      </c>
      <c r="H706" s="9">
        <v>2</v>
      </c>
      <c r="I706" s="9">
        <v>2</v>
      </c>
      <c r="J706" s="9">
        <v>2</v>
      </c>
      <c r="K706" s="159">
        <f t="shared" si="11"/>
        <v>0.37356464144298934</v>
      </c>
      <c r="L706" s="52"/>
    </row>
    <row r="707" spans="1:12">
      <c r="A707" s="151" t="s">
        <v>2021</v>
      </c>
      <c r="B707" s="34">
        <v>2015</v>
      </c>
      <c r="C707" s="40" t="s">
        <v>99</v>
      </c>
      <c r="D707" s="55">
        <v>130.8154991431883</v>
      </c>
      <c r="E707" s="40" t="s">
        <v>2020</v>
      </c>
      <c r="F707" s="29">
        <v>1</v>
      </c>
      <c r="G707" s="9">
        <v>1</v>
      </c>
      <c r="H707" s="9">
        <v>2</v>
      </c>
      <c r="I707" s="9">
        <v>2</v>
      </c>
      <c r="J707" s="9">
        <v>2</v>
      </c>
      <c r="K707" s="159">
        <f t="shared" si="11"/>
        <v>0.37356464144298934</v>
      </c>
      <c r="L707" s="52"/>
    </row>
    <row r="708" spans="1:12">
      <c r="A708" s="151" t="s">
        <v>2021</v>
      </c>
      <c r="B708" s="34">
        <v>2015</v>
      </c>
      <c r="C708" s="40" t="s">
        <v>98</v>
      </c>
      <c r="D708" s="55">
        <v>210.95335681775504</v>
      </c>
      <c r="E708" s="40" t="s">
        <v>2020</v>
      </c>
      <c r="F708" s="29">
        <v>1</v>
      </c>
      <c r="G708" s="9">
        <v>1</v>
      </c>
      <c r="H708" s="9">
        <v>2</v>
      </c>
      <c r="I708" s="9">
        <v>2</v>
      </c>
      <c r="J708" s="9">
        <v>2</v>
      </c>
      <c r="K708" s="159">
        <f t="shared" si="11"/>
        <v>0.37356464144298934</v>
      </c>
      <c r="L708" s="52"/>
    </row>
    <row r="709" spans="1:12">
      <c r="A709" s="151" t="s">
        <v>2021</v>
      </c>
      <c r="B709" s="34">
        <v>2015</v>
      </c>
      <c r="C709" s="40" t="s">
        <v>95</v>
      </c>
      <c r="D709" s="55">
        <v>270.46445420496957</v>
      </c>
      <c r="E709" s="40" t="s">
        <v>2020</v>
      </c>
      <c r="F709" s="29">
        <v>1</v>
      </c>
      <c r="G709" s="9">
        <v>1</v>
      </c>
      <c r="H709" s="9">
        <v>2</v>
      </c>
      <c r="I709" s="9">
        <v>2</v>
      </c>
      <c r="J709" s="9">
        <v>2</v>
      </c>
      <c r="K709" s="159">
        <f t="shared" si="11"/>
        <v>0.37356464144298934</v>
      </c>
      <c r="L709" s="52"/>
    </row>
    <row r="710" spans="1:12">
      <c r="A710" s="151" t="s">
        <v>2021</v>
      </c>
      <c r="B710" s="34">
        <v>2015</v>
      </c>
      <c r="C710" s="40" t="s">
        <v>91</v>
      </c>
      <c r="D710" s="55">
        <v>1436.3490757844561</v>
      </c>
      <c r="E710" s="40" t="s">
        <v>2020</v>
      </c>
      <c r="F710" s="29">
        <v>1</v>
      </c>
      <c r="G710" s="9">
        <v>1</v>
      </c>
      <c r="H710" s="9">
        <v>2</v>
      </c>
      <c r="I710" s="9">
        <v>2</v>
      </c>
      <c r="J710" s="9">
        <v>2</v>
      </c>
      <c r="K710" s="159">
        <f t="shared" si="11"/>
        <v>0.37356464144298934</v>
      </c>
      <c r="L710" s="52"/>
    </row>
    <row r="711" spans="1:12">
      <c r="A711" s="151" t="s">
        <v>2021</v>
      </c>
      <c r="B711" s="34">
        <v>2015</v>
      </c>
      <c r="C711" s="40" t="s">
        <v>93</v>
      </c>
      <c r="D711" s="55">
        <v>175.44824900972998</v>
      </c>
      <c r="E711" s="40" t="s">
        <v>2020</v>
      </c>
      <c r="F711" s="29">
        <v>1</v>
      </c>
      <c r="G711" s="9">
        <v>1</v>
      </c>
      <c r="H711" s="9">
        <v>2</v>
      </c>
      <c r="I711" s="9">
        <v>2</v>
      </c>
      <c r="J711" s="9">
        <v>2</v>
      </c>
      <c r="K711" s="159">
        <f t="shared" si="11"/>
        <v>0.37356464144298934</v>
      </c>
      <c r="L711" s="52"/>
    </row>
    <row r="712" spans="1:12">
      <c r="A712" s="151" t="s">
        <v>2021</v>
      </c>
      <c r="B712" s="34">
        <v>2015</v>
      </c>
      <c r="C712" s="40" t="s">
        <v>90</v>
      </c>
      <c r="D712" s="55">
        <v>112.85240156478984</v>
      </c>
      <c r="E712" s="40" t="s">
        <v>2020</v>
      </c>
      <c r="F712" s="29">
        <v>1</v>
      </c>
      <c r="G712" s="9">
        <v>1</v>
      </c>
      <c r="H712" s="9">
        <v>2</v>
      </c>
      <c r="I712" s="9">
        <v>2</v>
      </c>
      <c r="J712" s="9">
        <v>2</v>
      </c>
      <c r="K712" s="159">
        <f t="shared" si="11"/>
        <v>0.37356464144298934</v>
      </c>
      <c r="L712" s="52"/>
    </row>
    <row r="713" spans="1:12">
      <c r="A713" s="151" t="s">
        <v>2021</v>
      </c>
      <c r="B713" s="34">
        <v>2015</v>
      </c>
      <c r="C713" s="40" t="s">
        <v>92</v>
      </c>
      <c r="D713" s="55">
        <v>233.29695938731959</v>
      </c>
      <c r="E713" s="40" t="s">
        <v>2020</v>
      </c>
      <c r="F713" s="29">
        <v>1</v>
      </c>
      <c r="G713" s="9">
        <v>1</v>
      </c>
      <c r="H713" s="9">
        <v>2</v>
      </c>
      <c r="I713" s="9">
        <v>2</v>
      </c>
      <c r="J713" s="9">
        <v>2</v>
      </c>
      <c r="K713" s="159">
        <f t="shared" si="11"/>
        <v>0.37356464144298934</v>
      </c>
      <c r="L713" s="52"/>
    </row>
    <row r="714" spans="1:12">
      <c r="A714" s="151" t="s">
        <v>2021</v>
      </c>
      <c r="B714" s="34">
        <v>2016</v>
      </c>
      <c r="C714" s="40" t="s">
        <v>99</v>
      </c>
      <c r="D714" s="55">
        <v>136.48838254169104</v>
      </c>
      <c r="E714" s="40" t="s">
        <v>2020</v>
      </c>
      <c r="F714" s="29">
        <v>1</v>
      </c>
      <c r="G714" s="9">
        <v>1</v>
      </c>
      <c r="H714" s="9">
        <v>2</v>
      </c>
      <c r="I714" s="9">
        <v>2</v>
      </c>
      <c r="J714" s="9">
        <v>2</v>
      </c>
      <c r="K714" s="159">
        <f t="shared" si="11"/>
        <v>0.37356464144298934</v>
      </c>
      <c r="L714" s="52"/>
    </row>
    <row r="715" spans="1:12">
      <c r="A715" s="151" t="s">
        <v>2021</v>
      </c>
      <c r="B715" s="34">
        <v>2016</v>
      </c>
      <c r="C715" s="40" t="s">
        <v>98</v>
      </c>
      <c r="D715" s="55">
        <v>211.31731743695178</v>
      </c>
      <c r="E715" s="40" t="s">
        <v>2020</v>
      </c>
      <c r="F715" s="29">
        <v>1</v>
      </c>
      <c r="G715" s="9">
        <v>1</v>
      </c>
      <c r="H715" s="9">
        <v>2</v>
      </c>
      <c r="I715" s="9">
        <v>2</v>
      </c>
      <c r="J715" s="9">
        <v>2</v>
      </c>
      <c r="K715" s="159">
        <f t="shared" si="11"/>
        <v>0.37356464144298934</v>
      </c>
      <c r="L715" s="52"/>
    </row>
    <row r="716" spans="1:12">
      <c r="A716" s="151" t="s">
        <v>2021</v>
      </c>
      <c r="B716" s="34">
        <v>2016</v>
      </c>
      <c r="C716" s="40" t="s">
        <v>95</v>
      </c>
      <c r="D716" s="55">
        <v>281.63077356766087</v>
      </c>
      <c r="E716" s="40" t="s">
        <v>2020</v>
      </c>
      <c r="F716" s="29">
        <v>1</v>
      </c>
      <c r="G716" s="9">
        <v>1</v>
      </c>
      <c r="H716" s="9">
        <v>2</v>
      </c>
      <c r="I716" s="9">
        <v>2</v>
      </c>
      <c r="J716" s="9">
        <v>2</v>
      </c>
      <c r="K716" s="159">
        <f t="shared" si="11"/>
        <v>0.37356464144298934</v>
      </c>
      <c r="L716" s="52"/>
    </row>
    <row r="717" spans="1:12">
      <c r="A717" s="151" t="s">
        <v>2021</v>
      </c>
      <c r="B717" s="34">
        <v>2016</v>
      </c>
      <c r="C717" s="40" t="s">
        <v>91</v>
      </c>
      <c r="D717" s="55">
        <v>1485.9555749664446</v>
      </c>
      <c r="E717" s="40" t="s">
        <v>2020</v>
      </c>
      <c r="F717" s="29">
        <v>1</v>
      </c>
      <c r="G717" s="9">
        <v>1</v>
      </c>
      <c r="H717" s="9">
        <v>2</v>
      </c>
      <c r="I717" s="9">
        <v>2</v>
      </c>
      <c r="J717" s="9">
        <v>2</v>
      </c>
      <c r="K717" s="159">
        <f t="shared" si="11"/>
        <v>0.37356464144298934</v>
      </c>
      <c r="L717" s="52"/>
    </row>
    <row r="718" spans="1:12">
      <c r="A718" s="151" t="s">
        <v>2021</v>
      </c>
      <c r="B718" s="34">
        <v>2016</v>
      </c>
      <c r="C718" s="40" t="s">
        <v>93</v>
      </c>
      <c r="D718" s="55">
        <v>172.92751832210172</v>
      </c>
      <c r="E718" s="40" t="s">
        <v>2020</v>
      </c>
      <c r="F718" s="29">
        <v>1</v>
      </c>
      <c r="G718" s="9">
        <v>1</v>
      </c>
      <c r="H718" s="9">
        <v>2</v>
      </c>
      <c r="I718" s="9">
        <v>2</v>
      </c>
      <c r="J718" s="9">
        <v>2</v>
      </c>
      <c r="K718" s="159">
        <f t="shared" si="11"/>
        <v>0.37356464144298934</v>
      </c>
      <c r="L718" s="52"/>
    </row>
    <row r="719" spans="1:12">
      <c r="A719" s="151" t="s">
        <v>2021</v>
      </c>
      <c r="B719" s="34">
        <v>2016</v>
      </c>
      <c r="C719" s="40" t="s">
        <v>90</v>
      </c>
      <c r="D719" s="55">
        <v>111.17178744870334</v>
      </c>
      <c r="E719" s="40" t="s">
        <v>2020</v>
      </c>
      <c r="F719" s="29">
        <v>1</v>
      </c>
      <c r="G719" s="9">
        <v>1</v>
      </c>
      <c r="H719" s="9">
        <v>2</v>
      </c>
      <c r="I719" s="9">
        <v>2</v>
      </c>
      <c r="J719" s="9">
        <v>2</v>
      </c>
      <c r="K719" s="159">
        <f t="shared" si="11"/>
        <v>0.37356464144298934</v>
      </c>
      <c r="L719" s="52"/>
    </row>
    <row r="720" spans="1:12">
      <c r="A720" s="151" t="s">
        <v>2021</v>
      </c>
      <c r="B720" s="34">
        <v>2016</v>
      </c>
      <c r="C720" s="40" t="s">
        <v>92</v>
      </c>
      <c r="D720" s="55">
        <v>229.15074292623382</v>
      </c>
      <c r="E720" s="40" t="s">
        <v>2020</v>
      </c>
      <c r="F720" s="29">
        <v>1</v>
      </c>
      <c r="G720" s="9">
        <v>1</v>
      </c>
      <c r="H720" s="9">
        <v>2</v>
      </c>
      <c r="I720" s="9">
        <v>2</v>
      </c>
      <c r="J720" s="9">
        <v>2</v>
      </c>
      <c r="K720" s="159">
        <f t="shared" si="11"/>
        <v>0.37356464144298934</v>
      </c>
      <c r="L720" s="52"/>
    </row>
    <row r="721" spans="1:12">
      <c r="A721" s="151" t="s">
        <v>2021</v>
      </c>
      <c r="B721" s="34">
        <v>2017</v>
      </c>
      <c r="C721" s="40" t="s">
        <v>99</v>
      </c>
      <c r="D721" s="55">
        <v>143.26454889506914</v>
      </c>
      <c r="E721" s="40" t="s">
        <v>2020</v>
      </c>
      <c r="F721" s="29">
        <v>1</v>
      </c>
      <c r="G721" s="9">
        <v>1</v>
      </c>
      <c r="H721" s="9">
        <v>2</v>
      </c>
      <c r="I721" s="9">
        <v>2</v>
      </c>
      <c r="J721" s="9">
        <v>2</v>
      </c>
      <c r="K721" s="159">
        <f t="shared" si="11"/>
        <v>0.37356464144298934</v>
      </c>
      <c r="L721" s="52"/>
    </row>
    <row r="722" spans="1:12">
      <c r="A722" s="151" t="s">
        <v>2021</v>
      </c>
      <c r="B722" s="34">
        <v>2017</v>
      </c>
      <c r="C722" s="40" t="s">
        <v>98</v>
      </c>
      <c r="D722" s="55">
        <v>221.91193018299847</v>
      </c>
      <c r="E722" s="40" t="s">
        <v>2020</v>
      </c>
      <c r="F722" s="29">
        <v>1</v>
      </c>
      <c r="G722" s="9">
        <v>1</v>
      </c>
      <c r="H722" s="9">
        <v>2</v>
      </c>
      <c r="I722" s="9">
        <v>2</v>
      </c>
      <c r="J722" s="9">
        <v>2</v>
      </c>
      <c r="K722" s="159">
        <f t="shared" si="11"/>
        <v>0.37356464144298934</v>
      </c>
      <c r="L722" s="52"/>
    </row>
    <row r="723" spans="1:12">
      <c r="A723" s="151" t="s">
        <v>2021</v>
      </c>
      <c r="B723" s="34">
        <v>2017</v>
      </c>
      <c r="C723" s="40" t="s">
        <v>95</v>
      </c>
      <c r="D723" s="55">
        <v>295.39361671438235</v>
      </c>
      <c r="E723" s="40" t="s">
        <v>2020</v>
      </c>
      <c r="F723" s="29">
        <v>1</v>
      </c>
      <c r="G723" s="9">
        <v>1</v>
      </c>
      <c r="H723" s="9">
        <v>2</v>
      </c>
      <c r="I723" s="9">
        <v>2</v>
      </c>
      <c r="J723" s="9">
        <v>2</v>
      </c>
      <c r="K723" s="159">
        <f t="shared" ref="K723:K786" si="12">IF( OR( ISBLANK(F723),ISBLANK(G723), ISBLANK(H723), ISBLANK(I723), ISBLANK(J723) ), "", 1.5*SQRT(   EXP(2.21*(F723-1)) + EXP(2.21*(G723-1)) + EXP(2.21*(H723-1)) + EXP(2.21*(I723-1)) + EXP(2.21*J723)   )/100*2.45 )</f>
        <v>0.37356464144298934</v>
      </c>
      <c r="L723" s="52"/>
    </row>
    <row r="724" spans="1:12">
      <c r="A724" s="151" t="s">
        <v>2021</v>
      </c>
      <c r="B724" s="34">
        <v>2017</v>
      </c>
      <c r="C724" s="40" t="s">
        <v>91</v>
      </c>
      <c r="D724" s="55">
        <v>1540.4622868372717</v>
      </c>
      <c r="E724" s="40" t="s">
        <v>2020</v>
      </c>
      <c r="F724" s="29">
        <v>1</v>
      </c>
      <c r="G724" s="9">
        <v>1</v>
      </c>
      <c r="H724" s="9">
        <v>2</v>
      </c>
      <c r="I724" s="9">
        <v>2</v>
      </c>
      <c r="J724" s="9">
        <v>2</v>
      </c>
      <c r="K724" s="159">
        <f t="shared" si="12"/>
        <v>0.37356464144298934</v>
      </c>
      <c r="L724" s="52"/>
    </row>
    <row r="725" spans="1:12">
      <c r="A725" s="151" t="s">
        <v>2021</v>
      </c>
      <c r="B725" s="34">
        <v>2017</v>
      </c>
      <c r="C725" s="40" t="s">
        <v>93</v>
      </c>
      <c r="D725" s="55">
        <v>180.25697993865322</v>
      </c>
      <c r="E725" s="40" t="s">
        <v>2020</v>
      </c>
      <c r="F725" s="29">
        <v>1</v>
      </c>
      <c r="G725" s="9">
        <v>1</v>
      </c>
      <c r="H725" s="9">
        <v>2</v>
      </c>
      <c r="I725" s="9">
        <v>2</v>
      </c>
      <c r="J725" s="9">
        <v>2</v>
      </c>
      <c r="K725" s="159">
        <f t="shared" si="12"/>
        <v>0.37356464144298934</v>
      </c>
      <c r="L725" s="52"/>
    </row>
    <row r="726" spans="1:12">
      <c r="A726" s="151" t="s">
        <v>2021</v>
      </c>
      <c r="B726" s="34">
        <v>2017</v>
      </c>
      <c r="C726" s="40" t="s">
        <v>90</v>
      </c>
      <c r="D726" s="55">
        <v>115.98941198321505</v>
      </c>
      <c r="E726" s="40" t="s">
        <v>2020</v>
      </c>
      <c r="F726" s="29">
        <v>1</v>
      </c>
      <c r="G726" s="9">
        <v>1</v>
      </c>
      <c r="H726" s="9">
        <v>2</v>
      </c>
      <c r="I726" s="9">
        <v>2</v>
      </c>
      <c r="J726" s="9">
        <v>2</v>
      </c>
      <c r="K726" s="159">
        <f t="shared" si="12"/>
        <v>0.37356464144298934</v>
      </c>
      <c r="L726" s="52"/>
    </row>
    <row r="727" spans="1:12">
      <c r="A727" s="151" t="s">
        <v>2021</v>
      </c>
      <c r="B727" s="34">
        <v>2017</v>
      </c>
      <c r="C727" s="40" t="s">
        <v>92</v>
      </c>
      <c r="D727" s="55">
        <v>240.40075376841347</v>
      </c>
      <c r="E727" s="40" t="s">
        <v>2020</v>
      </c>
      <c r="F727" s="29">
        <v>1</v>
      </c>
      <c r="G727" s="9">
        <v>1</v>
      </c>
      <c r="H727" s="9">
        <v>2</v>
      </c>
      <c r="I727" s="9">
        <v>2</v>
      </c>
      <c r="J727" s="9">
        <v>2</v>
      </c>
      <c r="K727" s="159">
        <f t="shared" si="12"/>
        <v>0.37356464144298934</v>
      </c>
      <c r="L727" s="52"/>
    </row>
    <row r="728" spans="1:12">
      <c r="A728" s="151" t="s">
        <v>2021</v>
      </c>
      <c r="B728" s="34">
        <v>2018</v>
      </c>
      <c r="C728" s="40" t="s">
        <v>99</v>
      </c>
      <c r="D728" s="55">
        <v>157.9091589614055</v>
      </c>
      <c r="E728" s="40" t="s">
        <v>2020</v>
      </c>
      <c r="F728" s="29">
        <v>1</v>
      </c>
      <c r="G728" s="9">
        <v>1</v>
      </c>
      <c r="H728" s="9">
        <v>2</v>
      </c>
      <c r="I728" s="9">
        <v>2</v>
      </c>
      <c r="J728" s="9">
        <v>2</v>
      </c>
      <c r="K728" s="159">
        <f t="shared" si="12"/>
        <v>0.37356464144298934</v>
      </c>
      <c r="L728" s="52"/>
    </row>
    <row r="729" spans="1:12">
      <c r="A729" s="151" t="s">
        <v>2021</v>
      </c>
      <c r="B729" s="34">
        <v>2018</v>
      </c>
      <c r="C729" s="40" t="s">
        <v>98</v>
      </c>
      <c r="D729" s="55">
        <v>254.72408355691644</v>
      </c>
      <c r="E729" s="40" t="s">
        <v>2020</v>
      </c>
      <c r="F729" s="29">
        <v>1</v>
      </c>
      <c r="G729" s="9">
        <v>1</v>
      </c>
      <c r="H729" s="9">
        <v>2</v>
      </c>
      <c r="I729" s="9">
        <v>2</v>
      </c>
      <c r="J729" s="9">
        <v>2</v>
      </c>
      <c r="K729" s="159">
        <f t="shared" si="12"/>
        <v>0.37356464144298934</v>
      </c>
      <c r="L729" s="52"/>
    </row>
    <row r="730" spans="1:12">
      <c r="A730" s="151" t="s">
        <v>2021</v>
      </c>
      <c r="B730" s="34">
        <v>2018</v>
      </c>
      <c r="C730" s="40" t="s">
        <v>95</v>
      </c>
      <c r="D730" s="55">
        <v>332.94626041172813</v>
      </c>
      <c r="E730" s="40" t="s">
        <v>2020</v>
      </c>
      <c r="F730" s="29">
        <v>1</v>
      </c>
      <c r="G730" s="9">
        <v>1</v>
      </c>
      <c r="H730" s="9">
        <v>2</v>
      </c>
      <c r="I730" s="9">
        <v>2</v>
      </c>
      <c r="J730" s="9">
        <v>2</v>
      </c>
      <c r="K730" s="159">
        <f t="shared" si="12"/>
        <v>0.37356464144298934</v>
      </c>
      <c r="L730" s="52"/>
    </row>
    <row r="731" spans="1:12">
      <c r="A731" s="151" t="s">
        <v>2021</v>
      </c>
      <c r="B731" s="34">
        <v>2018</v>
      </c>
      <c r="C731" s="40" t="s">
        <v>91</v>
      </c>
      <c r="D731" s="55">
        <v>1707.0068619747433</v>
      </c>
      <c r="E731" s="40" t="s">
        <v>2020</v>
      </c>
      <c r="F731" s="29">
        <v>1</v>
      </c>
      <c r="G731" s="9">
        <v>1</v>
      </c>
      <c r="H731" s="9">
        <v>2</v>
      </c>
      <c r="I731" s="9">
        <v>2</v>
      </c>
      <c r="J731" s="9">
        <v>2</v>
      </c>
      <c r="K731" s="159">
        <f t="shared" si="12"/>
        <v>0.37356464144298934</v>
      </c>
      <c r="L731" s="52"/>
    </row>
    <row r="732" spans="1:12">
      <c r="A732" s="151" t="s">
        <v>2021</v>
      </c>
      <c r="B732" s="34">
        <v>2018</v>
      </c>
      <c r="C732" s="40" t="s">
        <v>93</v>
      </c>
      <c r="D732" s="55">
        <v>190.7058520047415</v>
      </c>
      <c r="E732" s="40" t="s">
        <v>2020</v>
      </c>
      <c r="F732" s="29">
        <v>1</v>
      </c>
      <c r="G732" s="9">
        <v>1</v>
      </c>
      <c r="H732" s="9">
        <v>2</v>
      </c>
      <c r="I732" s="9">
        <v>2</v>
      </c>
      <c r="J732" s="9">
        <v>2</v>
      </c>
      <c r="K732" s="159">
        <f t="shared" si="12"/>
        <v>0.37356464144298934</v>
      </c>
      <c r="L732" s="52"/>
    </row>
    <row r="733" spans="1:12">
      <c r="A733" s="151" t="s">
        <v>2021</v>
      </c>
      <c r="B733" s="34">
        <v>2018</v>
      </c>
      <c r="C733" s="40" t="s">
        <v>90</v>
      </c>
      <c r="D733" s="55">
        <v>123.49047081194261</v>
      </c>
      <c r="E733" s="40" t="s">
        <v>2020</v>
      </c>
      <c r="F733" s="29">
        <v>1</v>
      </c>
      <c r="G733" s="9">
        <v>1</v>
      </c>
      <c r="H733" s="9">
        <v>2</v>
      </c>
      <c r="I733" s="9">
        <v>2</v>
      </c>
      <c r="J733" s="9">
        <v>2</v>
      </c>
      <c r="K733" s="159">
        <f t="shared" si="12"/>
        <v>0.37356464144298934</v>
      </c>
      <c r="L733" s="52"/>
    </row>
    <row r="734" spans="1:12">
      <c r="A734" s="151" t="s">
        <v>2021</v>
      </c>
      <c r="B734" s="34">
        <v>2018</v>
      </c>
      <c r="C734" s="40" t="s">
        <v>92</v>
      </c>
      <c r="D734" s="55">
        <v>264.68676437525971</v>
      </c>
      <c r="E734" s="40" t="s">
        <v>2020</v>
      </c>
      <c r="F734" s="29">
        <v>1</v>
      </c>
      <c r="G734" s="9">
        <v>1</v>
      </c>
      <c r="H734" s="9">
        <v>2</v>
      </c>
      <c r="I734" s="9">
        <v>2</v>
      </c>
      <c r="J734" s="9">
        <v>2</v>
      </c>
      <c r="K734" s="159">
        <f t="shared" si="12"/>
        <v>0.37356464144298934</v>
      </c>
      <c r="L734" s="52"/>
    </row>
    <row r="735" spans="1:12">
      <c r="A735" s="151" t="s">
        <v>2021</v>
      </c>
      <c r="B735" s="34">
        <v>2019</v>
      </c>
      <c r="C735" s="40" t="s">
        <v>99</v>
      </c>
      <c r="D735" s="55">
        <v>152.47813929518637</v>
      </c>
      <c r="E735" s="40" t="s">
        <v>2020</v>
      </c>
      <c r="F735" s="29">
        <v>1</v>
      </c>
      <c r="G735" s="9">
        <v>1</v>
      </c>
      <c r="H735" s="9">
        <v>2</v>
      </c>
      <c r="I735" s="9">
        <v>2</v>
      </c>
      <c r="J735" s="9">
        <v>2</v>
      </c>
      <c r="K735" s="159">
        <f t="shared" si="12"/>
        <v>0.37356464144298934</v>
      </c>
      <c r="L735" s="52"/>
    </row>
    <row r="736" spans="1:12">
      <c r="A736" s="151" t="s">
        <v>2021</v>
      </c>
      <c r="B736" s="34">
        <v>2019</v>
      </c>
      <c r="C736" s="40" t="s">
        <v>98</v>
      </c>
      <c r="D736" s="55">
        <v>250.17723257783453</v>
      </c>
      <c r="E736" s="40" t="s">
        <v>2020</v>
      </c>
      <c r="F736" s="29">
        <v>1</v>
      </c>
      <c r="G736" s="9">
        <v>1</v>
      </c>
      <c r="H736" s="9">
        <v>2</v>
      </c>
      <c r="I736" s="9">
        <v>2</v>
      </c>
      <c r="J736" s="9">
        <v>2</v>
      </c>
      <c r="K736" s="159">
        <f t="shared" si="12"/>
        <v>0.37356464144298934</v>
      </c>
      <c r="L736" s="52"/>
    </row>
    <row r="737" spans="1:12">
      <c r="A737" s="151" t="s">
        <v>2021</v>
      </c>
      <c r="B737" s="34">
        <v>2019</v>
      </c>
      <c r="C737" s="40" t="s">
        <v>95</v>
      </c>
      <c r="D737" s="55">
        <v>323.43037043743959</v>
      </c>
      <c r="E737" s="40" t="s">
        <v>2020</v>
      </c>
      <c r="F737" s="29">
        <v>1</v>
      </c>
      <c r="G737" s="9">
        <v>1</v>
      </c>
      <c r="H737" s="9">
        <v>2</v>
      </c>
      <c r="I737" s="9">
        <v>2</v>
      </c>
      <c r="J737" s="9">
        <v>2</v>
      </c>
      <c r="K737" s="159">
        <f t="shared" si="12"/>
        <v>0.37356464144298934</v>
      </c>
      <c r="L737" s="52"/>
    </row>
    <row r="738" spans="1:12">
      <c r="A738" s="151" t="s">
        <v>2021</v>
      </c>
      <c r="B738" s="34">
        <v>2019</v>
      </c>
      <c r="C738" s="40" t="s">
        <v>91</v>
      </c>
      <c r="D738" s="55">
        <v>1660.5411067928908</v>
      </c>
      <c r="E738" s="40" t="s">
        <v>2020</v>
      </c>
      <c r="F738" s="29">
        <v>1</v>
      </c>
      <c r="G738" s="9">
        <v>1</v>
      </c>
      <c r="H738" s="9">
        <v>2</v>
      </c>
      <c r="I738" s="9">
        <v>2</v>
      </c>
      <c r="J738" s="9">
        <v>2</v>
      </c>
      <c r="K738" s="159">
        <f t="shared" si="12"/>
        <v>0.37356464144298934</v>
      </c>
      <c r="L738" s="52"/>
    </row>
    <row r="739" spans="1:12">
      <c r="A739" s="151" t="s">
        <v>2021</v>
      </c>
      <c r="B739" s="34">
        <v>2019</v>
      </c>
      <c r="C739" s="40" t="s">
        <v>93</v>
      </c>
      <c r="D739" s="55">
        <v>188.25081711590735</v>
      </c>
      <c r="E739" s="40" t="s">
        <v>2020</v>
      </c>
      <c r="F739" s="29">
        <v>1</v>
      </c>
      <c r="G739" s="9">
        <v>1</v>
      </c>
      <c r="H739" s="9">
        <v>2</v>
      </c>
      <c r="I739" s="9">
        <v>2</v>
      </c>
      <c r="J739" s="9">
        <v>2</v>
      </c>
      <c r="K739" s="159">
        <f t="shared" si="12"/>
        <v>0.37356464144298934</v>
      </c>
      <c r="L739" s="52"/>
    </row>
    <row r="740" spans="1:12">
      <c r="A740" s="151" t="s">
        <v>2021</v>
      </c>
      <c r="B740" s="34">
        <v>2019</v>
      </c>
      <c r="C740" s="40" t="s">
        <v>90</v>
      </c>
      <c r="D740" s="55">
        <v>121.70837655995497</v>
      </c>
      <c r="E740" s="40" t="s">
        <v>2020</v>
      </c>
      <c r="F740" s="29">
        <v>1</v>
      </c>
      <c r="G740" s="9">
        <v>1</v>
      </c>
      <c r="H740" s="9">
        <v>2</v>
      </c>
      <c r="I740" s="9">
        <v>2</v>
      </c>
      <c r="J740" s="9">
        <v>2</v>
      </c>
      <c r="K740" s="159">
        <f t="shared" si="12"/>
        <v>0.37356464144298934</v>
      </c>
      <c r="L740" s="52"/>
    </row>
    <row r="741" spans="1:12">
      <c r="A741" s="151" t="s">
        <v>2021</v>
      </c>
      <c r="B741" s="34">
        <v>2019</v>
      </c>
      <c r="C741" s="40" t="s">
        <v>92</v>
      </c>
      <c r="D741" s="55">
        <v>257.62233376052342</v>
      </c>
      <c r="E741" s="40" t="s">
        <v>2020</v>
      </c>
      <c r="F741" s="29">
        <v>1</v>
      </c>
      <c r="G741" s="9">
        <v>1</v>
      </c>
      <c r="H741" s="9">
        <v>2</v>
      </c>
      <c r="I741" s="9">
        <v>2</v>
      </c>
      <c r="J741" s="9">
        <v>2</v>
      </c>
      <c r="K741" s="159">
        <f t="shared" si="12"/>
        <v>0.37356464144298934</v>
      </c>
      <c r="L741" s="52"/>
    </row>
    <row r="742" spans="1:12">
      <c r="A742" s="151" t="s">
        <v>2021</v>
      </c>
      <c r="B742" s="34">
        <v>2020</v>
      </c>
      <c r="C742" s="40" t="s">
        <v>99</v>
      </c>
      <c r="D742" s="55">
        <v>125.12661920242472</v>
      </c>
      <c r="E742" s="40" t="s">
        <v>2020</v>
      </c>
      <c r="F742" s="29">
        <v>1</v>
      </c>
      <c r="G742" s="9">
        <v>1</v>
      </c>
      <c r="H742" s="9">
        <v>2</v>
      </c>
      <c r="I742" s="9">
        <v>2</v>
      </c>
      <c r="J742" s="9">
        <v>2</v>
      </c>
      <c r="K742" s="159">
        <f t="shared" si="12"/>
        <v>0.37356464144298934</v>
      </c>
      <c r="L742" s="52"/>
    </row>
    <row r="743" spans="1:12">
      <c r="A743" s="151" t="s">
        <v>2021</v>
      </c>
      <c r="B743" s="34">
        <v>2020</v>
      </c>
      <c r="C743" s="40" t="s">
        <v>98</v>
      </c>
      <c r="D743" s="55">
        <v>197.18480060370047</v>
      </c>
      <c r="E743" s="40" t="s">
        <v>2020</v>
      </c>
      <c r="F743" s="29">
        <v>1</v>
      </c>
      <c r="G743" s="9">
        <v>1</v>
      </c>
      <c r="H743" s="9">
        <v>2</v>
      </c>
      <c r="I743" s="9">
        <v>2</v>
      </c>
      <c r="J743" s="9">
        <v>2</v>
      </c>
      <c r="K743" s="159">
        <f t="shared" si="12"/>
        <v>0.37356464144298934</v>
      </c>
      <c r="L743" s="52"/>
    </row>
    <row r="744" spans="1:12">
      <c r="A744" s="151" t="s">
        <v>2021</v>
      </c>
      <c r="B744" s="34">
        <v>2020</v>
      </c>
      <c r="C744" s="40" t="s">
        <v>95</v>
      </c>
      <c r="D744" s="55">
        <v>261.11375470142298</v>
      </c>
      <c r="E744" s="40" t="s">
        <v>2020</v>
      </c>
      <c r="F744" s="29">
        <v>1</v>
      </c>
      <c r="G744" s="9">
        <v>1</v>
      </c>
      <c r="H744" s="9">
        <v>2</v>
      </c>
      <c r="I744" s="9">
        <v>2</v>
      </c>
      <c r="J744" s="9">
        <v>2</v>
      </c>
      <c r="K744" s="159">
        <f t="shared" si="12"/>
        <v>0.37356464144298934</v>
      </c>
      <c r="L744" s="52"/>
    </row>
    <row r="745" spans="1:12">
      <c r="A745" s="151" t="s">
        <v>2021</v>
      </c>
      <c r="B745" s="34">
        <v>2020</v>
      </c>
      <c r="C745" s="40" t="s">
        <v>91</v>
      </c>
      <c r="D745" s="55">
        <v>1314.526462598317</v>
      </c>
      <c r="E745" s="40" t="s">
        <v>2020</v>
      </c>
      <c r="F745" s="29">
        <v>1</v>
      </c>
      <c r="G745" s="9">
        <v>1</v>
      </c>
      <c r="H745" s="9">
        <v>2</v>
      </c>
      <c r="I745" s="9">
        <v>2</v>
      </c>
      <c r="J745" s="9">
        <v>2</v>
      </c>
      <c r="K745" s="159">
        <f t="shared" si="12"/>
        <v>0.37356464144298934</v>
      </c>
      <c r="L745" s="52"/>
    </row>
    <row r="746" spans="1:12">
      <c r="A746" s="151" t="s">
        <v>2021</v>
      </c>
      <c r="B746" s="34">
        <v>2020</v>
      </c>
      <c r="C746" s="40" t="s">
        <v>93</v>
      </c>
      <c r="D746" s="55">
        <v>150.70408436040759</v>
      </c>
      <c r="E746" s="40" t="s">
        <v>2020</v>
      </c>
      <c r="F746" s="29">
        <v>1</v>
      </c>
      <c r="G746" s="9">
        <v>1</v>
      </c>
      <c r="H746" s="9">
        <v>2</v>
      </c>
      <c r="I746" s="9">
        <v>2</v>
      </c>
      <c r="J746" s="9">
        <v>2</v>
      </c>
      <c r="K746" s="159">
        <f t="shared" si="12"/>
        <v>0.37356464144298934</v>
      </c>
      <c r="L746" s="52"/>
    </row>
    <row r="747" spans="1:12">
      <c r="A747" s="151" t="s">
        <v>2021</v>
      </c>
      <c r="B747" s="34">
        <v>2020</v>
      </c>
      <c r="C747" s="40" t="s">
        <v>90</v>
      </c>
      <c r="D747" s="55">
        <v>97.053593532244761</v>
      </c>
      <c r="E747" s="40" t="s">
        <v>2020</v>
      </c>
      <c r="F747" s="29">
        <v>1</v>
      </c>
      <c r="G747" s="9">
        <v>1</v>
      </c>
      <c r="H747" s="9">
        <v>2</v>
      </c>
      <c r="I747" s="9">
        <v>2</v>
      </c>
      <c r="J747" s="9">
        <v>2</v>
      </c>
      <c r="K747" s="159">
        <f t="shared" si="12"/>
        <v>0.37356464144298934</v>
      </c>
      <c r="L747" s="52"/>
    </row>
    <row r="748" spans="1:12">
      <c r="A748" s="151" t="s">
        <v>2021</v>
      </c>
      <c r="B748" s="34">
        <v>2020</v>
      </c>
      <c r="C748" s="40" t="s">
        <v>92</v>
      </c>
      <c r="D748" s="55">
        <v>200.41090311684309</v>
      </c>
      <c r="E748" s="40" t="s">
        <v>2020</v>
      </c>
      <c r="F748" s="29">
        <v>1</v>
      </c>
      <c r="G748" s="9">
        <v>1</v>
      </c>
      <c r="H748" s="9">
        <v>2</v>
      </c>
      <c r="I748" s="9">
        <v>2</v>
      </c>
      <c r="J748" s="9">
        <v>2</v>
      </c>
      <c r="K748" s="159">
        <f t="shared" si="12"/>
        <v>0.37356464144298934</v>
      </c>
      <c r="L748" s="52"/>
    </row>
    <row r="749" spans="1:12">
      <c r="A749" s="151" t="s">
        <v>2021</v>
      </c>
      <c r="B749" s="34">
        <v>2021</v>
      </c>
      <c r="C749" s="40" t="s">
        <v>99</v>
      </c>
      <c r="D749" s="55">
        <v>138.50847940996036</v>
      </c>
      <c r="E749" s="40" t="s">
        <v>2020</v>
      </c>
      <c r="F749" s="29">
        <v>1</v>
      </c>
      <c r="G749" s="9">
        <v>1</v>
      </c>
      <c r="H749" s="9">
        <v>2</v>
      </c>
      <c r="I749" s="9">
        <v>2</v>
      </c>
      <c r="J749" s="9">
        <v>2</v>
      </c>
      <c r="K749" s="159">
        <f t="shared" si="12"/>
        <v>0.37356464144298934</v>
      </c>
      <c r="L749" s="52"/>
    </row>
    <row r="750" spans="1:12">
      <c r="A750" s="151" t="s">
        <v>2021</v>
      </c>
      <c r="B750" s="34">
        <v>2021</v>
      </c>
      <c r="C750" s="40" t="s">
        <v>98</v>
      </c>
      <c r="D750" s="55">
        <v>207.542011807975</v>
      </c>
      <c r="E750" s="40" t="s">
        <v>2020</v>
      </c>
      <c r="F750" s="29">
        <v>1</v>
      </c>
      <c r="G750" s="9">
        <v>1</v>
      </c>
      <c r="H750" s="9">
        <v>2</v>
      </c>
      <c r="I750" s="9">
        <v>2</v>
      </c>
      <c r="J750" s="9">
        <v>2</v>
      </c>
      <c r="K750" s="159">
        <f t="shared" si="12"/>
        <v>0.37356464144298934</v>
      </c>
      <c r="L750" s="52"/>
    </row>
    <row r="751" spans="1:12">
      <c r="A751" s="151" t="s">
        <v>2021</v>
      </c>
      <c r="B751" s="34">
        <v>2021</v>
      </c>
      <c r="C751" s="40" t="s">
        <v>95</v>
      </c>
      <c r="D751" s="55">
        <v>287.72173084220043</v>
      </c>
      <c r="E751" s="40" t="s">
        <v>2020</v>
      </c>
      <c r="F751" s="29">
        <v>1</v>
      </c>
      <c r="G751" s="9">
        <v>1</v>
      </c>
      <c r="H751" s="9">
        <v>2</v>
      </c>
      <c r="I751" s="9">
        <v>2</v>
      </c>
      <c r="J751" s="9">
        <v>2</v>
      </c>
      <c r="K751" s="159">
        <f t="shared" si="12"/>
        <v>0.37356464144298934</v>
      </c>
      <c r="L751" s="52"/>
    </row>
    <row r="752" spans="1:12">
      <c r="A752" s="151" t="s">
        <v>2021</v>
      </c>
      <c r="B752" s="34">
        <v>2021</v>
      </c>
      <c r="C752" s="40" t="s">
        <v>91</v>
      </c>
      <c r="D752" s="55">
        <v>1424.0070804502827</v>
      </c>
      <c r="E752" s="40" t="s">
        <v>2020</v>
      </c>
      <c r="F752" s="29">
        <v>1</v>
      </c>
      <c r="G752" s="9">
        <v>1</v>
      </c>
      <c r="H752" s="9">
        <v>2</v>
      </c>
      <c r="I752" s="9">
        <v>2</v>
      </c>
      <c r="J752" s="9">
        <v>2</v>
      </c>
      <c r="K752" s="159">
        <f t="shared" si="12"/>
        <v>0.37356464144298934</v>
      </c>
      <c r="L752" s="52"/>
    </row>
    <row r="753" spans="1:12">
      <c r="A753" s="151" t="s">
        <v>2021</v>
      </c>
      <c r="B753" s="34">
        <v>2021</v>
      </c>
      <c r="C753" s="40" t="s">
        <v>93</v>
      </c>
      <c r="D753" s="55">
        <v>148.48800484640728</v>
      </c>
      <c r="E753" s="40" t="s">
        <v>2020</v>
      </c>
      <c r="F753" s="29">
        <v>1</v>
      </c>
      <c r="G753" s="9">
        <v>1</v>
      </c>
      <c r="H753" s="9">
        <v>2</v>
      </c>
      <c r="I753" s="9">
        <v>2</v>
      </c>
      <c r="J753" s="9">
        <v>2</v>
      </c>
      <c r="K753" s="159">
        <f t="shared" si="12"/>
        <v>0.37356464144298934</v>
      </c>
      <c r="L753" s="52"/>
    </row>
    <row r="754" spans="1:12">
      <c r="A754" s="151" t="s">
        <v>2021</v>
      </c>
      <c r="B754" s="34">
        <v>2021</v>
      </c>
      <c r="C754" s="40" t="s">
        <v>90</v>
      </c>
      <c r="D754" s="55">
        <v>95.81627352874581</v>
      </c>
      <c r="E754" s="40" t="s">
        <v>2020</v>
      </c>
      <c r="F754" s="29">
        <v>1</v>
      </c>
      <c r="G754" s="9">
        <v>1</v>
      </c>
      <c r="H754" s="9">
        <v>2</v>
      </c>
      <c r="I754" s="9">
        <v>2</v>
      </c>
      <c r="J754" s="9">
        <v>2</v>
      </c>
      <c r="K754" s="159">
        <f t="shared" si="12"/>
        <v>0.37356464144298934</v>
      </c>
      <c r="L754" s="52"/>
    </row>
    <row r="755" spans="1:12">
      <c r="A755" s="151" t="s">
        <v>2021</v>
      </c>
      <c r="B755" s="34">
        <v>2021</v>
      </c>
      <c r="C755" s="40" t="s">
        <v>92</v>
      </c>
      <c r="D755" s="55">
        <v>199.95130345560233</v>
      </c>
      <c r="E755" s="40" t="s">
        <v>2020</v>
      </c>
      <c r="F755" s="29">
        <v>1</v>
      </c>
      <c r="G755" s="9">
        <v>1</v>
      </c>
      <c r="H755" s="9">
        <v>2</v>
      </c>
      <c r="I755" s="9">
        <v>2</v>
      </c>
      <c r="J755" s="9">
        <v>2</v>
      </c>
      <c r="K755" s="159">
        <f t="shared" si="12"/>
        <v>0.37356464144298934</v>
      </c>
      <c r="L755" s="52"/>
    </row>
    <row r="756" spans="1:12">
      <c r="A756" s="151" t="s">
        <v>2021</v>
      </c>
      <c r="B756" s="34">
        <v>2022</v>
      </c>
      <c r="C756" s="40" t="s">
        <v>99</v>
      </c>
      <c r="D756" s="55">
        <v>172.36584384644331</v>
      </c>
      <c r="E756" s="40" t="s">
        <v>2020</v>
      </c>
      <c r="F756" s="29">
        <v>1</v>
      </c>
      <c r="G756" s="9">
        <v>1</v>
      </c>
      <c r="H756" s="9">
        <v>2</v>
      </c>
      <c r="I756" s="9">
        <v>2</v>
      </c>
      <c r="J756" s="9">
        <v>2</v>
      </c>
      <c r="K756" s="159">
        <f t="shared" si="12"/>
        <v>0.37356464144298934</v>
      </c>
      <c r="L756" s="52"/>
    </row>
    <row r="757" spans="1:12">
      <c r="A757" s="151" t="s">
        <v>2021</v>
      </c>
      <c r="B757" s="34">
        <v>2022</v>
      </c>
      <c r="C757" s="40" t="s">
        <v>98</v>
      </c>
      <c r="D757" s="55">
        <v>264.35001936577788</v>
      </c>
      <c r="E757" s="40" t="s">
        <v>2020</v>
      </c>
      <c r="F757" s="29">
        <v>1</v>
      </c>
      <c r="G757" s="9">
        <v>1</v>
      </c>
      <c r="H757" s="9">
        <v>2</v>
      </c>
      <c r="I757" s="9">
        <v>2</v>
      </c>
      <c r="J757" s="9">
        <v>2</v>
      </c>
      <c r="K757" s="159">
        <f t="shared" si="12"/>
        <v>0.37356464144298934</v>
      </c>
      <c r="L757" s="52"/>
    </row>
    <row r="758" spans="1:12">
      <c r="A758" s="151" t="s">
        <v>2021</v>
      </c>
      <c r="B758" s="34">
        <v>2022</v>
      </c>
      <c r="C758" s="40" t="s">
        <v>95</v>
      </c>
      <c r="D758" s="55">
        <v>357.19874363320753</v>
      </c>
      <c r="E758" s="40" t="s">
        <v>2020</v>
      </c>
      <c r="F758" s="29">
        <v>1</v>
      </c>
      <c r="G758" s="9">
        <v>1</v>
      </c>
      <c r="H758" s="9">
        <v>2</v>
      </c>
      <c r="I758" s="9">
        <v>2</v>
      </c>
      <c r="J758" s="9">
        <v>2</v>
      </c>
      <c r="K758" s="159">
        <f t="shared" si="12"/>
        <v>0.37356464144298934</v>
      </c>
      <c r="L758" s="52"/>
    </row>
    <row r="759" spans="1:12">
      <c r="A759" s="151" t="s">
        <v>2021</v>
      </c>
      <c r="B759" s="34">
        <v>2022</v>
      </c>
      <c r="C759" s="40" t="s">
        <v>91</v>
      </c>
      <c r="D759" s="55">
        <v>1775.9264851181979</v>
      </c>
      <c r="E759" s="40" t="s">
        <v>2020</v>
      </c>
      <c r="F759" s="29">
        <v>1</v>
      </c>
      <c r="G759" s="9">
        <v>1</v>
      </c>
      <c r="H759" s="9">
        <v>2</v>
      </c>
      <c r="I759" s="9">
        <v>2</v>
      </c>
      <c r="J759" s="9">
        <v>2</v>
      </c>
      <c r="K759" s="159">
        <f t="shared" si="12"/>
        <v>0.37356464144298934</v>
      </c>
      <c r="L759" s="52"/>
    </row>
    <row r="760" spans="1:12">
      <c r="A760" s="151" t="s">
        <v>2021</v>
      </c>
      <c r="B760" s="34">
        <v>2022</v>
      </c>
      <c r="C760" s="40" t="s">
        <v>93</v>
      </c>
      <c r="D760" s="55">
        <v>194.31940453103229</v>
      </c>
      <c r="E760" s="40" t="s">
        <v>2020</v>
      </c>
      <c r="F760" s="29">
        <v>1</v>
      </c>
      <c r="G760" s="9">
        <v>1</v>
      </c>
      <c r="H760" s="9">
        <v>2</v>
      </c>
      <c r="I760" s="9">
        <v>2</v>
      </c>
      <c r="J760" s="9">
        <v>2</v>
      </c>
      <c r="K760" s="159">
        <f t="shared" si="12"/>
        <v>0.37356464144298934</v>
      </c>
      <c r="L760" s="52"/>
    </row>
    <row r="761" spans="1:12">
      <c r="A761" s="151" t="s">
        <v>2021</v>
      </c>
      <c r="B761" s="34">
        <v>2022</v>
      </c>
      <c r="C761" s="40" t="s">
        <v>90</v>
      </c>
      <c r="D761" s="55">
        <v>125.53197967894016</v>
      </c>
      <c r="E761" s="40" t="s">
        <v>2020</v>
      </c>
      <c r="F761" s="29">
        <v>1</v>
      </c>
      <c r="G761" s="9">
        <v>1</v>
      </c>
      <c r="H761" s="9">
        <v>2</v>
      </c>
      <c r="I761" s="9">
        <v>2</v>
      </c>
      <c r="J761" s="9">
        <v>2</v>
      </c>
      <c r="K761" s="159">
        <f t="shared" si="12"/>
        <v>0.37356464144298934</v>
      </c>
      <c r="L761" s="52"/>
    </row>
    <row r="762" spans="1:12" ht="15" thickBot="1">
      <c r="A762" s="152" t="s">
        <v>2021</v>
      </c>
      <c r="B762" s="35">
        <v>2022</v>
      </c>
      <c r="C762" s="41" t="s">
        <v>92</v>
      </c>
      <c r="D762" s="56">
        <v>263.85989070088351</v>
      </c>
      <c r="E762" s="41" t="s">
        <v>2020</v>
      </c>
      <c r="F762" s="30">
        <v>1</v>
      </c>
      <c r="G762" s="12">
        <v>1</v>
      </c>
      <c r="H762" s="12">
        <v>2</v>
      </c>
      <c r="I762" s="12">
        <v>2</v>
      </c>
      <c r="J762" s="12">
        <v>2</v>
      </c>
      <c r="K762" s="160">
        <f t="shared" si="12"/>
        <v>0.37356464144298934</v>
      </c>
      <c r="L762" s="53"/>
    </row>
    <row r="763" spans="1:12">
      <c r="A763" s="230" t="str">
        <f>Clothing!A285</f>
        <v>Import of plastic sheets</v>
      </c>
      <c r="B763" s="60">
        <f>Clothing!B285</f>
        <v>2011</v>
      </c>
      <c r="C763" s="161" t="str">
        <f>Clothing!C285</f>
        <v>RUBBER</v>
      </c>
      <c r="D763" s="60">
        <f>Clothing!D285</f>
        <v>54.941331439557288</v>
      </c>
      <c r="E763" s="161" t="str">
        <f>Clothing!E285</f>
        <v>https://ec.europa.eu/eurostat/databrowser/view/DS-056120__custom_15192557/default/table?lang=en - Low estimate</v>
      </c>
      <c r="F763" s="29">
        <f>Clothing!F285</f>
        <v>1</v>
      </c>
      <c r="G763" s="9">
        <f>Clothing!G285</f>
        <v>1</v>
      </c>
      <c r="H763" s="9">
        <f>Clothing!H285</f>
        <v>2</v>
      </c>
      <c r="I763" s="9">
        <f>Clothing!I285</f>
        <v>2</v>
      </c>
      <c r="J763" s="9">
        <f>Clothing!J285</f>
        <v>2</v>
      </c>
      <c r="K763" s="810">
        <f t="shared" si="12"/>
        <v>0.37356464144298934</v>
      </c>
      <c r="L763" s="658"/>
    </row>
    <row r="764" spans="1:12">
      <c r="A764" s="151" t="str">
        <f>Clothing!A286</f>
        <v>Import of plastic sheets</v>
      </c>
      <c r="B764" s="34">
        <f>Clothing!B286</f>
        <v>2012</v>
      </c>
      <c r="C764" s="40" t="str">
        <f>Clothing!C286</f>
        <v>RUBBER</v>
      </c>
      <c r="D764" s="34">
        <f>Clothing!D286</f>
        <v>51.456396462792867</v>
      </c>
      <c r="E764" s="40" t="str">
        <f>Clothing!E286</f>
        <v>https://ec.europa.eu/eurostat/databrowser/view/DS-056120__custom_15192557/default/table?lang=en - Low estimate</v>
      </c>
      <c r="F764" s="29">
        <f>Clothing!F286</f>
        <v>1</v>
      </c>
      <c r="G764" s="9">
        <f>Clothing!G286</f>
        <v>1</v>
      </c>
      <c r="H764" s="9">
        <f>Clothing!H286</f>
        <v>2</v>
      </c>
      <c r="I764" s="9">
        <f>Clothing!I286</f>
        <v>2</v>
      </c>
      <c r="J764" s="9">
        <f>Clothing!J286</f>
        <v>2</v>
      </c>
      <c r="K764" s="159">
        <f t="shared" si="12"/>
        <v>0.37356464144298934</v>
      </c>
      <c r="L764" s="52"/>
    </row>
    <row r="765" spans="1:12">
      <c r="A765" s="151" t="str">
        <f>Clothing!A287</f>
        <v>Import of plastic sheets</v>
      </c>
      <c r="B765" s="34">
        <f>Clothing!B287</f>
        <v>2013</v>
      </c>
      <c r="C765" s="40" t="str">
        <f>Clothing!C287</f>
        <v>RUBBER</v>
      </c>
      <c r="D765" s="34">
        <f>Clothing!D287</f>
        <v>51.662591421562617</v>
      </c>
      <c r="E765" s="40" t="str">
        <f>Clothing!E287</f>
        <v>https://ec.europa.eu/eurostat/databrowser/view/DS-056120__custom_15192557/default/table?lang=en - Low estimate</v>
      </c>
      <c r="F765" s="29">
        <f>Clothing!F287</f>
        <v>1</v>
      </c>
      <c r="G765" s="9">
        <f>Clothing!G287</f>
        <v>1</v>
      </c>
      <c r="H765" s="9">
        <f>Clothing!H287</f>
        <v>2</v>
      </c>
      <c r="I765" s="9">
        <f>Clothing!I287</f>
        <v>2</v>
      </c>
      <c r="J765" s="9">
        <f>Clothing!J287</f>
        <v>2</v>
      </c>
      <c r="K765" s="159">
        <f t="shared" si="12"/>
        <v>0.37356464144298934</v>
      </c>
      <c r="L765" s="52"/>
    </row>
    <row r="766" spans="1:12">
      <c r="A766" s="151" t="str">
        <f>Clothing!A288</f>
        <v>Import of plastic sheets</v>
      </c>
      <c r="B766" s="34">
        <f>Clothing!B288</f>
        <v>2014</v>
      </c>
      <c r="C766" s="40" t="str">
        <f>Clothing!C288</f>
        <v>RUBBER</v>
      </c>
      <c r="D766" s="34">
        <f>Clothing!D288</f>
        <v>56.330009028912002</v>
      </c>
      <c r="E766" s="40" t="str">
        <f>Clothing!E288</f>
        <v>https://ec.europa.eu/eurostat/databrowser/view/DS-056120__custom_15192557/default/table?lang=en - Low estimate</v>
      </c>
      <c r="F766" s="29">
        <f>Clothing!F288</f>
        <v>1</v>
      </c>
      <c r="G766" s="9">
        <f>Clothing!G288</f>
        <v>1</v>
      </c>
      <c r="H766" s="9">
        <f>Clothing!H288</f>
        <v>2</v>
      </c>
      <c r="I766" s="9">
        <f>Clothing!I288</f>
        <v>2</v>
      </c>
      <c r="J766" s="9">
        <f>Clothing!J288</f>
        <v>2</v>
      </c>
      <c r="K766" s="159">
        <f t="shared" si="12"/>
        <v>0.37356464144298934</v>
      </c>
      <c r="L766" s="52"/>
    </row>
    <row r="767" spans="1:12">
      <c r="A767" s="151" t="str">
        <f>Clothing!A289</f>
        <v>Import of plastic sheets</v>
      </c>
      <c r="B767" s="34">
        <f>Clothing!B289</f>
        <v>2015</v>
      </c>
      <c r="C767" s="40" t="str">
        <f>Clothing!C289</f>
        <v>RUBBER</v>
      </c>
      <c r="D767" s="34">
        <f>Clothing!D289</f>
        <v>53.287965603333156</v>
      </c>
      <c r="E767" s="40" t="str">
        <f>Clothing!E289</f>
        <v>https://ec.europa.eu/eurostat/databrowser/view/DS-056120__custom_15192557/default/table?lang=en - Low estimate</v>
      </c>
      <c r="F767" s="29">
        <f>Clothing!F289</f>
        <v>1</v>
      </c>
      <c r="G767" s="9">
        <f>Clothing!G289</f>
        <v>1</v>
      </c>
      <c r="H767" s="9">
        <f>Clothing!H289</f>
        <v>2</v>
      </c>
      <c r="I767" s="9">
        <f>Clothing!I289</f>
        <v>2</v>
      </c>
      <c r="J767" s="9">
        <f>Clothing!J289</f>
        <v>2</v>
      </c>
      <c r="K767" s="159">
        <f t="shared" si="12"/>
        <v>0.37356464144298934</v>
      </c>
      <c r="L767" s="52"/>
    </row>
    <row r="768" spans="1:12">
      <c r="A768" s="151" t="str">
        <f>Clothing!A290</f>
        <v>Import of plastic sheets</v>
      </c>
      <c r="B768" s="34">
        <f>Clothing!B290</f>
        <v>2016</v>
      </c>
      <c r="C768" s="40" t="str">
        <f>Clothing!C290</f>
        <v>RUBBER</v>
      </c>
      <c r="D768" s="34">
        <f>Clothing!D290</f>
        <v>52.381548003255105</v>
      </c>
      <c r="E768" s="40" t="str">
        <f>Clothing!E290</f>
        <v>https://ec.europa.eu/eurostat/databrowser/view/DS-056120__custom_15192557/default/table?lang=en - Low estimate</v>
      </c>
      <c r="F768" s="29">
        <f>Clothing!F290</f>
        <v>1</v>
      </c>
      <c r="G768" s="9">
        <f>Clothing!G290</f>
        <v>1</v>
      </c>
      <c r="H768" s="9">
        <f>Clothing!H290</f>
        <v>2</v>
      </c>
      <c r="I768" s="9">
        <f>Clothing!I290</f>
        <v>2</v>
      </c>
      <c r="J768" s="9">
        <f>Clothing!J290</f>
        <v>2</v>
      </c>
      <c r="K768" s="159">
        <f t="shared" si="12"/>
        <v>0.37356464144298934</v>
      </c>
      <c r="L768" s="52"/>
    </row>
    <row r="769" spans="1:12">
      <c r="A769" s="151" t="str">
        <f>Clothing!A291</f>
        <v>Import of plastic sheets</v>
      </c>
      <c r="B769" s="34">
        <f>Clothing!B291</f>
        <v>2017</v>
      </c>
      <c r="C769" s="40" t="str">
        <f>Clothing!C291</f>
        <v>RUBBER</v>
      </c>
      <c r="D769" s="34">
        <f>Clothing!D291</f>
        <v>54.13374795259152</v>
      </c>
      <c r="E769" s="40" t="str">
        <f>Clothing!E291</f>
        <v>https://ec.europa.eu/eurostat/databrowser/view/DS-056120__custom_15192557/default/table?lang=en - Low estimate</v>
      </c>
      <c r="F769" s="29">
        <f>Clothing!F291</f>
        <v>1</v>
      </c>
      <c r="G769" s="9">
        <f>Clothing!G291</f>
        <v>1</v>
      </c>
      <c r="H769" s="9">
        <f>Clothing!H291</f>
        <v>2</v>
      </c>
      <c r="I769" s="9">
        <f>Clothing!I291</f>
        <v>2</v>
      </c>
      <c r="J769" s="9">
        <f>Clothing!J291</f>
        <v>2</v>
      </c>
      <c r="K769" s="159">
        <f t="shared" si="12"/>
        <v>0.37356464144298934</v>
      </c>
      <c r="L769" s="52"/>
    </row>
    <row r="770" spans="1:12">
      <c r="A770" s="151" t="str">
        <f>Clothing!A292</f>
        <v>Import of plastic sheets</v>
      </c>
      <c r="B770" s="34">
        <f>Clothing!B292</f>
        <v>2018</v>
      </c>
      <c r="C770" s="40" t="str">
        <f>Clothing!C292</f>
        <v>RUBBER</v>
      </c>
      <c r="D770" s="34">
        <f>Clothing!D292</f>
        <v>65.517198060820036</v>
      </c>
      <c r="E770" s="40" t="str">
        <f>Clothing!E292</f>
        <v>https://ec.europa.eu/eurostat/databrowser/view/DS-056120__custom_15192557/default/table?lang=en - Low estimate</v>
      </c>
      <c r="F770" s="29">
        <f>Clothing!F292</f>
        <v>1</v>
      </c>
      <c r="G770" s="9">
        <f>Clothing!G292</f>
        <v>1</v>
      </c>
      <c r="H770" s="9">
        <f>Clothing!H292</f>
        <v>2</v>
      </c>
      <c r="I770" s="9">
        <f>Clothing!I292</f>
        <v>2</v>
      </c>
      <c r="J770" s="9">
        <f>Clothing!J292</f>
        <v>2</v>
      </c>
      <c r="K770" s="159">
        <f t="shared" si="12"/>
        <v>0.37356464144298934</v>
      </c>
      <c r="L770" s="52"/>
    </row>
    <row r="771" spans="1:12">
      <c r="A771" s="151" t="str">
        <f>Clothing!A293</f>
        <v>Import of plastic sheets</v>
      </c>
      <c r="B771" s="34">
        <f>Clothing!B293</f>
        <v>2019</v>
      </c>
      <c r="C771" s="40" t="str">
        <f>Clothing!C293</f>
        <v>RUBBER</v>
      </c>
      <c r="D771" s="34">
        <f>Clothing!D293</f>
        <v>53.855761880466289</v>
      </c>
      <c r="E771" s="40" t="str">
        <f>Clothing!E293</f>
        <v>https://ec.europa.eu/eurostat/databrowser/view/DS-056120__custom_15192557/default/table?lang=en - Low estimate</v>
      </c>
      <c r="F771" s="29">
        <f>Clothing!F293</f>
        <v>1</v>
      </c>
      <c r="G771" s="9">
        <f>Clothing!G293</f>
        <v>1</v>
      </c>
      <c r="H771" s="9">
        <f>Clothing!H293</f>
        <v>2</v>
      </c>
      <c r="I771" s="9">
        <f>Clothing!I293</f>
        <v>2</v>
      </c>
      <c r="J771" s="9">
        <f>Clothing!J293</f>
        <v>2</v>
      </c>
      <c r="K771" s="159">
        <f t="shared" si="12"/>
        <v>0.37356464144298934</v>
      </c>
      <c r="L771" s="52"/>
    </row>
    <row r="772" spans="1:12">
      <c r="A772" s="151" t="str">
        <f>Clothing!A294</f>
        <v>Import of plastic sheets</v>
      </c>
      <c r="B772" s="34">
        <f>Clothing!B294</f>
        <v>2020</v>
      </c>
      <c r="C772" s="40" t="str">
        <f>Clothing!C294</f>
        <v>RUBBER</v>
      </c>
      <c r="D772" s="34">
        <f>Clothing!D294</f>
        <v>41.710144098892762</v>
      </c>
      <c r="E772" s="40" t="str">
        <f>Clothing!E294</f>
        <v>https://ec.europa.eu/eurostat/databrowser/view/DS-056120__custom_15192557/default/table?lang=en - Low estimate</v>
      </c>
      <c r="F772" s="29">
        <f>Clothing!F294</f>
        <v>1</v>
      </c>
      <c r="G772" s="9">
        <f>Clothing!G294</f>
        <v>1</v>
      </c>
      <c r="H772" s="9">
        <f>Clothing!H294</f>
        <v>2</v>
      </c>
      <c r="I772" s="9">
        <f>Clothing!I294</f>
        <v>2</v>
      </c>
      <c r="J772" s="9">
        <f>Clothing!J294</f>
        <v>2</v>
      </c>
      <c r="K772" s="159">
        <f t="shared" si="12"/>
        <v>0.37356464144298934</v>
      </c>
      <c r="L772" s="52"/>
    </row>
    <row r="773" spans="1:12">
      <c r="A773" s="151" t="str">
        <f>Clothing!A295</f>
        <v>Import of plastic sheets</v>
      </c>
      <c r="B773" s="34">
        <f>Clothing!B295</f>
        <v>2021</v>
      </c>
      <c r="C773" s="40" t="str">
        <f>Clothing!C295</f>
        <v>RUBBER</v>
      </c>
      <c r="D773" s="34">
        <f>Clothing!D295</f>
        <v>49.625283597448913</v>
      </c>
      <c r="E773" s="40" t="str">
        <f>Clothing!E295</f>
        <v>https://ec.europa.eu/eurostat/databrowser/view/DS-056120__custom_15192557/default/table?lang=en - Low estimate</v>
      </c>
      <c r="F773" s="29">
        <f>Clothing!F295</f>
        <v>1</v>
      </c>
      <c r="G773" s="9">
        <f>Clothing!G295</f>
        <v>1</v>
      </c>
      <c r="H773" s="9">
        <f>Clothing!H295</f>
        <v>2</v>
      </c>
      <c r="I773" s="9">
        <f>Clothing!I295</f>
        <v>2</v>
      </c>
      <c r="J773" s="9">
        <f>Clothing!J295</f>
        <v>2</v>
      </c>
      <c r="K773" s="159">
        <f t="shared" si="12"/>
        <v>0.37356464144298934</v>
      </c>
      <c r="L773" s="52"/>
    </row>
    <row r="774" spans="1:12">
      <c r="A774" s="151" t="str">
        <f>Clothing!A296</f>
        <v>Import of plastic sheets</v>
      </c>
      <c r="B774" s="34">
        <f>Clothing!B296</f>
        <v>2022</v>
      </c>
      <c r="C774" s="40" t="str">
        <f>Clothing!C296</f>
        <v>RUBBER</v>
      </c>
      <c r="D774" s="34">
        <f>Clothing!D296</f>
        <v>48.128269636147444</v>
      </c>
      <c r="E774" s="40" t="str">
        <f>Clothing!E296</f>
        <v>https://ec.europa.eu/eurostat/databrowser/view/DS-056120__custom_15192557/default/table?lang=en - Low estimate</v>
      </c>
      <c r="F774" s="29">
        <f>Clothing!F296</f>
        <v>1</v>
      </c>
      <c r="G774" s="9">
        <f>Clothing!G296</f>
        <v>1</v>
      </c>
      <c r="H774" s="9">
        <f>Clothing!H296</f>
        <v>2</v>
      </c>
      <c r="I774" s="9">
        <f>Clothing!I296</f>
        <v>2</v>
      </c>
      <c r="J774" s="9">
        <f>Clothing!J296</f>
        <v>2</v>
      </c>
      <c r="K774" s="159">
        <f t="shared" si="12"/>
        <v>0.37356464144298934</v>
      </c>
      <c r="L774" s="52"/>
    </row>
    <row r="775" spans="1:12">
      <c r="A775" s="151" t="str">
        <f>Clothing!A297</f>
        <v>Import of plastic sheets</v>
      </c>
      <c r="B775" s="34">
        <f>Clothing!B297</f>
        <v>2011</v>
      </c>
      <c r="C775" s="40" t="str">
        <f>Clothing!C297</f>
        <v>RUBBER</v>
      </c>
      <c r="D775" s="34">
        <f>Clothing!D297</f>
        <v>64.89264603469897</v>
      </c>
      <c r="E775" s="40" t="str">
        <f>Clothing!E297</f>
        <v>https://ec.europa.eu/eurostat/databrowser/view/DS-056120__custom_15192557/default/table?lang=en - High estimate</v>
      </c>
      <c r="F775" s="29">
        <f>Clothing!F297</f>
        <v>1</v>
      </c>
      <c r="G775" s="9">
        <f>Clothing!G297</f>
        <v>1</v>
      </c>
      <c r="H775" s="9">
        <f>Clothing!H297</f>
        <v>2</v>
      </c>
      <c r="I775" s="9">
        <f>Clothing!I297</f>
        <v>2</v>
      </c>
      <c r="J775" s="9">
        <f>Clothing!J297</f>
        <v>2</v>
      </c>
      <c r="K775" s="159">
        <f t="shared" si="12"/>
        <v>0.37356464144298934</v>
      </c>
      <c r="L775" s="52"/>
    </row>
    <row r="776" spans="1:12">
      <c r="A776" s="151" t="str">
        <f>Clothing!A298</f>
        <v>Import of plastic sheets</v>
      </c>
      <c r="B776" s="34">
        <f>Clothing!B298</f>
        <v>2012</v>
      </c>
      <c r="C776" s="40" t="str">
        <f>Clothing!C298</f>
        <v>RUBBER</v>
      </c>
      <c r="D776" s="34">
        <f>Clothing!D298</f>
        <v>60.776498027803527</v>
      </c>
      <c r="E776" s="40" t="str">
        <f>Clothing!E298</f>
        <v>https://ec.europa.eu/eurostat/databrowser/view/DS-056120__custom_15192557/default/table?lang=en - High estimate</v>
      </c>
      <c r="F776" s="29">
        <f>Clothing!F298</f>
        <v>1</v>
      </c>
      <c r="G776" s="9">
        <f>Clothing!G298</f>
        <v>1</v>
      </c>
      <c r="H776" s="9">
        <f>Clothing!H298</f>
        <v>2</v>
      </c>
      <c r="I776" s="9">
        <f>Clothing!I298</f>
        <v>2</v>
      </c>
      <c r="J776" s="9">
        <f>Clothing!J298</f>
        <v>2</v>
      </c>
      <c r="K776" s="159">
        <f t="shared" si="12"/>
        <v>0.37356464144298934</v>
      </c>
      <c r="L776" s="52"/>
    </row>
    <row r="777" spans="1:12">
      <c r="A777" s="151" t="str">
        <f>Clothing!A299</f>
        <v>Import of plastic sheets</v>
      </c>
      <c r="B777" s="34">
        <f>Clothing!B299</f>
        <v>2013</v>
      </c>
      <c r="C777" s="40" t="str">
        <f>Clothing!C299</f>
        <v>RUBBER</v>
      </c>
      <c r="D777" s="34">
        <f>Clothing!D299</f>
        <v>61.020040295946508</v>
      </c>
      <c r="E777" s="40" t="str">
        <f>Clothing!E299</f>
        <v>https://ec.europa.eu/eurostat/databrowser/view/DS-056120__custom_15192557/default/table?lang=en - High estimate</v>
      </c>
      <c r="F777" s="29">
        <f>Clothing!F299</f>
        <v>1</v>
      </c>
      <c r="G777" s="9">
        <f>Clothing!G299</f>
        <v>1</v>
      </c>
      <c r="H777" s="9">
        <f>Clothing!H299</f>
        <v>2</v>
      </c>
      <c r="I777" s="9">
        <f>Clothing!I299</f>
        <v>2</v>
      </c>
      <c r="J777" s="9">
        <f>Clothing!J299</f>
        <v>2</v>
      </c>
      <c r="K777" s="159">
        <f t="shared" si="12"/>
        <v>0.37356464144298934</v>
      </c>
      <c r="L777" s="52"/>
    </row>
    <row r="778" spans="1:12">
      <c r="A778" s="151" t="str">
        <f>Clothing!A300</f>
        <v>Import of plastic sheets</v>
      </c>
      <c r="B778" s="34">
        <f>Clothing!B300</f>
        <v>2014</v>
      </c>
      <c r="C778" s="40" t="str">
        <f>Clothing!C300</f>
        <v>RUBBER</v>
      </c>
      <c r="D778" s="34">
        <f>Clothing!D300</f>
        <v>66.532849519054878</v>
      </c>
      <c r="E778" s="40" t="str">
        <f>Clothing!E300</f>
        <v>https://ec.europa.eu/eurostat/databrowser/view/DS-056120__custom_15192557/default/table?lang=en - High estimate</v>
      </c>
      <c r="F778" s="29">
        <f>Clothing!F300</f>
        <v>1</v>
      </c>
      <c r="G778" s="9">
        <f>Clothing!G300</f>
        <v>1</v>
      </c>
      <c r="H778" s="9">
        <f>Clothing!H300</f>
        <v>2</v>
      </c>
      <c r="I778" s="9">
        <f>Clothing!I300</f>
        <v>2</v>
      </c>
      <c r="J778" s="9">
        <f>Clothing!J300</f>
        <v>2</v>
      </c>
      <c r="K778" s="159">
        <f t="shared" si="12"/>
        <v>0.37356464144298934</v>
      </c>
      <c r="L778" s="52"/>
    </row>
    <row r="779" spans="1:12">
      <c r="A779" s="151" t="str">
        <f>Clothing!A301</f>
        <v>Import of plastic sheets</v>
      </c>
      <c r="B779" s="34">
        <f>Clothing!B301</f>
        <v>2015</v>
      </c>
      <c r="C779" s="40" t="str">
        <f>Clothing!C301</f>
        <v>RUBBER</v>
      </c>
      <c r="D779" s="34">
        <f>Clothing!D301</f>
        <v>62.939812327092312</v>
      </c>
      <c r="E779" s="40" t="str">
        <f>Clothing!E301</f>
        <v>https://ec.europa.eu/eurostat/databrowser/view/DS-056120__custom_15192557/default/table?lang=en - High estimate</v>
      </c>
      <c r="F779" s="29">
        <f>Clothing!F301</f>
        <v>1</v>
      </c>
      <c r="G779" s="9">
        <f>Clothing!G301</f>
        <v>1</v>
      </c>
      <c r="H779" s="9">
        <f>Clothing!H301</f>
        <v>2</v>
      </c>
      <c r="I779" s="9">
        <f>Clothing!I301</f>
        <v>2</v>
      </c>
      <c r="J779" s="9">
        <f>Clothing!J301</f>
        <v>2</v>
      </c>
      <c r="K779" s="159">
        <f t="shared" si="12"/>
        <v>0.37356464144298934</v>
      </c>
      <c r="L779" s="52"/>
    </row>
    <row r="780" spans="1:12">
      <c r="A780" s="151" t="str">
        <f>Clothing!A302</f>
        <v>Import of plastic sheets</v>
      </c>
      <c r="B780" s="34">
        <f>Clothing!B302</f>
        <v>2016</v>
      </c>
      <c r="C780" s="40" t="str">
        <f>Clothing!C302</f>
        <v>RUBBER</v>
      </c>
      <c r="D780" s="34">
        <f>Clothing!D302</f>
        <v>61.869218751357877</v>
      </c>
      <c r="E780" s="40" t="str">
        <f>Clothing!E302</f>
        <v>https://ec.europa.eu/eurostat/databrowser/view/DS-056120__custom_15192557/default/table?lang=en - High estimate</v>
      </c>
      <c r="F780" s="29">
        <f>Clothing!F302</f>
        <v>1</v>
      </c>
      <c r="G780" s="9">
        <f>Clothing!G302</f>
        <v>1</v>
      </c>
      <c r="H780" s="9">
        <f>Clothing!H302</f>
        <v>2</v>
      </c>
      <c r="I780" s="9">
        <f>Clothing!I302</f>
        <v>2</v>
      </c>
      <c r="J780" s="9">
        <f>Clothing!J302</f>
        <v>2</v>
      </c>
      <c r="K780" s="159">
        <f t="shared" si="12"/>
        <v>0.37356464144298934</v>
      </c>
      <c r="L780" s="52"/>
    </row>
    <row r="781" spans="1:12">
      <c r="A781" s="151" t="str">
        <f>Clothing!A303</f>
        <v>Import of plastic sheets</v>
      </c>
      <c r="B781" s="34">
        <f>Clothing!B303</f>
        <v>2017</v>
      </c>
      <c r="C781" s="40" t="str">
        <f>Clothing!C303</f>
        <v>RUBBER</v>
      </c>
      <c r="D781" s="34">
        <f>Clothing!D303</f>
        <v>63.938788019430596</v>
      </c>
      <c r="E781" s="40" t="str">
        <f>Clothing!E303</f>
        <v>https://ec.europa.eu/eurostat/databrowser/view/DS-056120__custom_15192557/default/table?lang=en - High estimate</v>
      </c>
      <c r="F781" s="29">
        <f>Clothing!F303</f>
        <v>1</v>
      </c>
      <c r="G781" s="9">
        <f>Clothing!G303</f>
        <v>1</v>
      </c>
      <c r="H781" s="9">
        <f>Clothing!H303</f>
        <v>2</v>
      </c>
      <c r="I781" s="9">
        <f>Clothing!I303</f>
        <v>2</v>
      </c>
      <c r="J781" s="9">
        <f>Clothing!J303</f>
        <v>2</v>
      </c>
      <c r="K781" s="159">
        <f t="shared" si="12"/>
        <v>0.37356464144298934</v>
      </c>
      <c r="L781" s="52"/>
    </row>
    <row r="782" spans="1:12">
      <c r="A782" s="151" t="str">
        <f>Clothing!A304</f>
        <v>Import of plastic sheets</v>
      </c>
      <c r="B782" s="34">
        <f>Clothing!B304</f>
        <v>2018</v>
      </c>
      <c r="C782" s="40" t="str">
        <f>Clothing!C304</f>
        <v>RUBBER</v>
      </c>
      <c r="D782" s="34">
        <f>Clothing!D304</f>
        <v>77.384079190424487</v>
      </c>
      <c r="E782" s="40" t="str">
        <f>Clothing!E304</f>
        <v>https://ec.europa.eu/eurostat/databrowser/view/DS-056120__custom_15192557/default/table?lang=en - High estimate</v>
      </c>
      <c r="F782" s="29">
        <f>Clothing!F304</f>
        <v>1</v>
      </c>
      <c r="G782" s="9">
        <f>Clothing!G304</f>
        <v>1</v>
      </c>
      <c r="H782" s="9">
        <f>Clothing!H304</f>
        <v>2</v>
      </c>
      <c r="I782" s="9">
        <f>Clothing!I304</f>
        <v>2</v>
      </c>
      <c r="J782" s="9">
        <f>Clothing!J304</f>
        <v>2</v>
      </c>
      <c r="K782" s="159">
        <f t="shared" si="12"/>
        <v>0.37356464144298934</v>
      </c>
      <c r="L782" s="52"/>
    </row>
    <row r="783" spans="1:12">
      <c r="A783" s="151" t="str">
        <f>Clothing!A305</f>
        <v>Import of plastic sheets</v>
      </c>
      <c r="B783" s="34">
        <f>Clothing!B305</f>
        <v>2019</v>
      </c>
      <c r="C783" s="40" t="str">
        <f>Clothing!C305</f>
        <v>RUBBER</v>
      </c>
      <c r="D783" s="34">
        <f>Clothing!D305</f>
        <v>63.610451386365121</v>
      </c>
      <c r="E783" s="40" t="str">
        <f>Clothing!E305</f>
        <v>https://ec.europa.eu/eurostat/databrowser/view/DS-056120__custom_15192557/default/table?lang=en - High estimate</v>
      </c>
      <c r="F783" s="29">
        <f>Clothing!F305</f>
        <v>1</v>
      </c>
      <c r="G783" s="9">
        <f>Clothing!G305</f>
        <v>1</v>
      </c>
      <c r="H783" s="9">
        <f>Clothing!H305</f>
        <v>2</v>
      </c>
      <c r="I783" s="9">
        <f>Clothing!I305</f>
        <v>2</v>
      </c>
      <c r="J783" s="9">
        <f>Clothing!J305</f>
        <v>2</v>
      </c>
      <c r="K783" s="159">
        <f t="shared" si="12"/>
        <v>0.37356464144298934</v>
      </c>
      <c r="L783" s="52"/>
    </row>
    <row r="784" spans="1:12">
      <c r="A784" s="151" t="str">
        <f>Clothing!A306</f>
        <v>Import of plastic sheets</v>
      </c>
      <c r="B784" s="34">
        <f>Clothing!B306</f>
        <v>2020</v>
      </c>
      <c r="C784" s="40" t="str">
        <f>Clothing!C306</f>
        <v>RUBBER</v>
      </c>
      <c r="D784" s="34">
        <f>Clothing!D306</f>
        <v>49.264944007471733</v>
      </c>
      <c r="E784" s="40" t="str">
        <f>Clothing!E306</f>
        <v>https://ec.europa.eu/eurostat/databrowser/view/DS-056120__custom_15192557/default/table?lang=en - High estimate</v>
      </c>
      <c r="F784" s="29">
        <f>Clothing!F306</f>
        <v>1</v>
      </c>
      <c r="G784" s="9">
        <f>Clothing!G306</f>
        <v>1</v>
      </c>
      <c r="H784" s="9">
        <f>Clothing!H306</f>
        <v>2</v>
      </c>
      <c r="I784" s="9">
        <f>Clothing!I306</f>
        <v>2</v>
      </c>
      <c r="J784" s="9">
        <f>Clothing!J306</f>
        <v>2</v>
      </c>
      <c r="K784" s="159">
        <f t="shared" si="12"/>
        <v>0.37356464144298934</v>
      </c>
      <c r="L784" s="52"/>
    </row>
    <row r="785" spans="1:12">
      <c r="A785" s="151" t="str">
        <f>Clothing!A307</f>
        <v>Import of plastic sheets</v>
      </c>
      <c r="B785" s="34">
        <f>Clothing!B307</f>
        <v>2021</v>
      </c>
      <c r="C785" s="40" t="str">
        <f>Clothing!C307</f>
        <v>RUBBER</v>
      </c>
      <c r="D785" s="34">
        <f>Clothing!D307</f>
        <v>58.613722647103607</v>
      </c>
      <c r="E785" s="40" t="str">
        <f>Clothing!E307</f>
        <v>https://ec.europa.eu/eurostat/databrowser/view/DS-056120__custom_15192557/default/table?lang=en - High estimate</v>
      </c>
      <c r="F785" s="29">
        <f>Clothing!F307</f>
        <v>1</v>
      </c>
      <c r="G785" s="9">
        <f>Clothing!G307</f>
        <v>1</v>
      </c>
      <c r="H785" s="9">
        <f>Clothing!H307</f>
        <v>2</v>
      </c>
      <c r="I785" s="9">
        <f>Clothing!I307</f>
        <v>2</v>
      </c>
      <c r="J785" s="9">
        <f>Clothing!J307</f>
        <v>2</v>
      </c>
      <c r="K785" s="159">
        <f t="shared" si="12"/>
        <v>0.37356464144298934</v>
      </c>
      <c r="L785" s="52"/>
    </row>
    <row r="786" spans="1:12" ht="15" thickBot="1">
      <c r="A786" s="227" t="str">
        <f>Clothing!A308</f>
        <v>Import of plastic sheets</v>
      </c>
      <c r="B786" s="149">
        <f>Clothing!B308</f>
        <v>2022</v>
      </c>
      <c r="C786" s="153" t="str">
        <f>Clothing!C308</f>
        <v>RUBBER</v>
      </c>
      <c r="D786" s="149">
        <f>Clothing!D308</f>
        <v>56.845560235411583</v>
      </c>
      <c r="E786" s="153" t="str">
        <f>Clothing!E308</f>
        <v>https://ec.europa.eu/eurostat/databrowser/view/DS-056120__custom_15192557/default/table?lang=en - High estimate</v>
      </c>
      <c r="F786" s="29">
        <f>Clothing!F308</f>
        <v>1</v>
      </c>
      <c r="G786" s="9">
        <f>Clothing!G308</f>
        <v>1</v>
      </c>
      <c r="H786" s="9">
        <f>Clothing!H308</f>
        <v>2</v>
      </c>
      <c r="I786" s="9">
        <f>Clothing!I308</f>
        <v>2</v>
      </c>
      <c r="J786" s="9">
        <f>Clothing!J308</f>
        <v>2</v>
      </c>
      <c r="K786" s="808">
        <f t="shared" si="12"/>
        <v>0.37356464144298934</v>
      </c>
      <c r="L786" s="61"/>
    </row>
    <row r="787" spans="1:12">
      <c r="A787" s="150" t="str">
        <f>Clothing!A309</f>
        <v>Import of yarn</v>
      </c>
      <c r="B787" s="33">
        <f>Clothing!B309</f>
        <v>2011</v>
      </c>
      <c r="C787" s="39" t="str">
        <f>Clothing!C309</f>
        <v>Acryl</v>
      </c>
      <c r="D787" s="33">
        <f>Clothing!D309</f>
        <v>31.32385605954126</v>
      </c>
      <c r="E787" s="39" t="str">
        <f>Clothing!E309</f>
        <v>https://ec.europa.eu/eurostat/databrowser/view/DS-056120__custom_15192557/default/table?lang=en - Low estimate</v>
      </c>
      <c r="F787" s="29">
        <f>Clothing!F309</f>
        <v>1</v>
      </c>
      <c r="G787" s="9">
        <f>Clothing!G309</f>
        <v>1</v>
      </c>
      <c r="H787" s="9">
        <f>Clothing!H309</f>
        <v>2</v>
      </c>
      <c r="I787" s="9">
        <f>Clothing!I309</f>
        <v>2</v>
      </c>
      <c r="J787" s="9">
        <f>Clothing!J309</f>
        <v>2</v>
      </c>
      <c r="K787" s="158">
        <f t="shared" ref="K787:K810" si="13">IF( OR( ISBLANK(F787),ISBLANK(G787), ISBLANK(H787), ISBLANK(I787), ISBLANK(J787) ), "", 1.5*SQRT(   EXP(2.21*(F787-1)) + EXP(2.21*(G787-1)) + EXP(2.21*(H787-1)) + EXP(2.21*(I787-1)) + EXP(2.21*J787)   )/100*2.45 )</f>
        <v>0.37356464144298934</v>
      </c>
      <c r="L787" s="51"/>
    </row>
    <row r="788" spans="1:12">
      <c r="A788" s="151" t="str">
        <f>Clothing!A310</f>
        <v>Import of yarn</v>
      </c>
      <c r="B788" s="34">
        <f>Clothing!B310</f>
        <v>2012</v>
      </c>
      <c r="C788" s="40" t="str">
        <f>Clothing!C310</f>
        <v>Acryl</v>
      </c>
      <c r="D788" s="34">
        <f>Clothing!D310</f>
        <v>28.939700712527884</v>
      </c>
      <c r="E788" s="40" t="str">
        <f>Clothing!E310</f>
        <v>https://ec.europa.eu/eurostat/databrowser/view/DS-056120__custom_15192557/default/table?lang=en - Low estimate</v>
      </c>
      <c r="F788" s="29">
        <f>Clothing!F310</f>
        <v>1</v>
      </c>
      <c r="G788" s="9">
        <f>Clothing!G310</f>
        <v>1</v>
      </c>
      <c r="H788" s="9">
        <f>Clothing!H310</f>
        <v>2</v>
      </c>
      <c r="I788" s="9">
        <f>Clothing!I310</f>
        <v>2</v>
      </c>
      <c r="J788" s="9">
        <f>Clothing!J310</f>
        <v>2</v>
      </c>
      <c r="K788" s="159">
        <f t="shared" si="13"/>
        <v>0.37356464144298934</v>
      </c>
      <c r="L788" s="52"/>
    </row>
    <row r="789" spans="1:12">
      <c r="A789" s="151" t="str">
        <f>Clothing!A311</f>
        <v>Import of yarn</v>
      </c>
      <c r="B789" s="34">
        <f>Clothing!B311</f>
        <v>2013</v>
      </c>
      <c r="C789" s="40" t="str">
        <f>Clothing!C311</f>
        <v>Acryl</v>
      </c>
      <c r="D789" s="34">
        <f>Clothing!D311</f>
        <v>27.533755281843465</v>
      </c>
      <c r="E789" s="40" t="str">
        <f>Clothing!E311</f>
        <v>https://ec.europa.eu/eurostat/databrowser/view/DS-056120__custom_15192557/default/table?lang=en - Low estimate</v>
      </c>
      <c r="F789" s="29">
        <f>Clothing!F311</f>
        <v>1</v>
      </c>
      <c r="G789" s="9">
        <f>Clothing!G311</f>
        <v>1</v>
      </c>
      <c r="H789" s="9">
        <f>Clothing!H311</f>
        <v>2</v>
      </c>
      <c r="I789" s="9">
        <f>Clothing!I311</f>
        <v>2</v>
      </c>
      <c r="J789" s="9">
        <f>Clothing!J311</f>
        <v>2</v>
      </c>
      <c r="K789" s="159">
        <f t="shared" si="13"/>
        <v>0.37356464144298934</v>
      </c>
      <c r="L789" s="52"/>
    </row>
    <row r="790" spans="1:12">
      <c r="A790" s="151" t="str">
        <f>Clothing!A312</f>
        <v>Import of yarn</v>
      </c>
      <c r="B790" s="34">
        <f>Clothing!B312</f>
        <v>2014</v>
      </c>
      <c r="C790" s="40" t="str">
        <f>Clothing!C312</f>
        <v>Acryl</v>
      </c>
      <c r="D790" s="34">
        <f>Clothing!D312</f>
        <v>26.834825610147327</v>
      </c>
      <c r="E790" s="40" t="str">
        <f>Clothing!E312</f>
        <v>https://ec.europa.eu/eurostat/databrowser/view/DS-056120__custom_15192557/default/table?lang=en - Low estimate</v>
      </c>
      <c r="F790" s="29">
        <f>Clothing!F312</f>
        <v>1</v>
      </c>
      <c r="G790" s="9">
        <f>Clothing!G312</f>
        <v>1</v>
      </c>
      <c r="H790" s="9">
        <f>Clothing!H312</f>
        <v>2</v>
      </c>
      <c r="I790" s="9">
        <f>Clothing!I312</f>
        <v>2</v>
      </c>
      <c r="J790" s="9">
        <f>Clothing!J312</f>
        <v>2</v>
      </c>
      <c r="K790" s="159">
        <f t="shared" si="13"/>
        <v>0.37356464144298934</v>
      </c>
      <c r="L790" s="52"/>
    </row>
    <row r="791" spans="1:12">
      <c r="A791" s="151" t="str">
        <f>Clothing!A313</f>
        <v>Import of yarn</v>
      </c>
      <c r="B791" s="34">
        <f>Clothing!B313</f>
        <v>2015</v>
      </c>
      <c r="C791" s="40" t="str">
        <f>Clothing!C313</f>
        <v>Acryl</v>
      </c>
      <c r="D791" s="34">
        <f>Clothing!D313</f>
        <v>24.139952861315848</v>
      </c>
      <c r="E791" s="40" t="str">
        <f>Clothing!E313</f>
        <v>https://ec.europa.eu/eurostat/databrowser/view/DS-056120__custom_15192557/default/table?lang=en - Low estimate</v>
      </c>
      <c r="F791" s="29">
        <f>Clothing!F313</f>
        <v>1</v>
      </c>
      <c r="G791" s="9">
        <f>Clothing!G313</f>
        <v>1</v>
      </c>
      <c r="H791" s="9">
        <f>Clothing!H313</f>
        <v>2</v>
      </c>
      <c r="I791" s="9">
        <f>Clothing!I313</f>
        <v>2</v>
      </c>
      <c r="J791" s="9">
        <f>Clothing!J313</f>
        <v>2</v>
      </c>
      <c r="K791" s="159">
        <f t="shared" si="13"/>
        <v>0.37356464144298934</v>
      </c>
      <c r="L791" s="52"/>
    </row>
    <row r="792" spans="1:12">
      <c r="A792" s="151" t="str">
        <f>Clothing!A314</f>
        <v>Import of yarn</v>
      </c>
      <c r="B792" s="34">
        <f>Clothing!B314</f>
        <v>2016</v>
      </c>
      <c r="C792" s="40" t="str">
        <f>Clothing!C314</f>
        <v>Acryl</v>
      </c>
      <c r="D792" s="34">
        <f>Clothing!D314</f>
        <v>27.520387154912541</v>
      </c>
      <c r="E792" s="40" t="str">
        <f>Clothing!E314</f>
        <v>https://ec.europa.eu/eurostat/databrowser/view/DS-056120__custom_15192557/default/table?lang=en - Low estimate</v>
      </c>
      <c r="F792" s="29">
        <f>Clothing!F314</f>
        <v>1</v>
      </c>
      <c r="G792" s="9">
        <f>Clothing!G314</f>
        <v>1</v>
      </c>
      <c r="H792" s="9">
        <f>Clothing!H314</f>
        <v>2</v>
      </c>
      <c r="I792" s="9">
        <f>Clothing!I314</f>
        <v>2</v>
      </c>
      <c r="J792" s="9">
        <f>Clothing!J314</f>
        <v>2</v>
      </c>
      <c r="K792" s="159">
        <f t="shared" si="13"/>
        <v>0.37356464144298934</v>
      </c>
      <c r="L792" s="52"/>
    </row>
    <row r="793" spans="1:12">
      <c r="A793" s="151" t="str">
        <f>Clothing!A315</f>
        <v>Import of yarn</v>
      </c>
      <c r="B793" s="34">
        <f>Clothing!B315</f>
        <v>2017</v>
      </c>
      <c r="C793" s="40" t="str">
        <f>Clothing!C315</f>
        <v>Acryl</v>
      </c>
      <c r="D793" s="34">
        <f>Clothing!D315</f>
        <v>22.822083246558794</v>
      </c>
      <c r="E793" s="40" t="str">
        <f>Clothing!E315</f>
        <v>https://ec.europa.eu/eurostat/databrowser/view/DS-056120__custom_15192557/default/table?lang=en - Low estimate</v>
      </c>
      <c r="F793" s="29">
        <f>Clothing!F315</f>
        <v>1</v>
      </c>
      <c r="G793" s="9">
        <f>Clothing!G315</f>
        <v>1</v>
      </c>
      <c r="H793" s="9">
        <f>Clothing!H315</f>
        <v>2</v>
      </c>
      <c r="I793" s="9">
        <f>Clothing!I315</f>
        <v>2</v>
      </c>
      <c r="J793" s="9">
        <f>Clothing!J315</f>
        <v>2</v>
      </c>
      <c r="K793" s="159">
        <f t="shared" si="13"/>
        <v>0.37356464144298934</v>
      </c>
      <c r="L793" s="52"/>
    </row>
    <row r="794" spans="1:12">
      <c r="A794" s="151" t="str">
        <f>Clothing!A316</f>
        <v>Import of yarn</v>
      </c>
      <c r="B794" s="34">
        <f>Clothing!B316</f>
        <v>2018</v>
      </c>
      <c r="C794" s="40" t="str">
        <f>Clothing!C316</f>
        <v>Acryl</v>
      </c>
      <c r="D794" s="34">
        <f>Clothing!D316</f>
        <v>25.958485766822115</v>
      </c>
      <c r="E794" s="40" t="str">
        <f>Clothing!E316</f>
        <v>https://ec.europa.eu/eurostat/databrowser/view/DS-056120__custom_15192557/default/table?lang=en - Low estimate</v>
      </c>
      <c r="F794" s="29">
        <f>Clothing!F316</f>
        <v>1</v>
      </c>
      <c r="G794" s="9">
        <f>Clothing!G316</f>
        <v>1</v>
      </c>
      <c r="H794" s="9">
        <f>Clothing!H316</f>
        <v>2</v>
      </c>
      <c r="I794" s="9">
        <f>Clothing!I316</f>
        <v>2</v>
      </c>
      <c r="J794" s="9">
        <f>Clothing!J316</f>
        <v>2</v>
      </c>
      <c r="K794" s="159">
        <f t="shared" si="13"/>
        <v>0.37356464144298934</v>
      </c>
      <c r="L794" s="52"/>
    </row>
    <row r="795" spans="1:12">
      <c r="A795" s="151" t="str">
        <f>Clothing!A317</f>
        <v>Import of yarn</v>
      </c>
      <c r="B795" s="34">
        <f>Clothing!B317</f>
        <v>2019</v>
      </c>
      <c r="C795" s="40" t="str">
        <f>Clothing!C317</f>
        <v>Acryl</v>
      </c>
      <c r="D795" s="34">
        <f>Clothing!D317</f>
        <v>25.420305249096643</v>
      </c>
      <c r="E795" s="40" t="str">
        <f>Clothing!E317</f>
        <v>https://ec.europa.eu/eurostat/databrowser/view/DS-056120__custom_15192557/default/table?lang=en - Low estimate</v>
      </c>
      <c r="F795" s="29">
        <f>Clothing!F317</f>
        <v>1</v>
      </c>
      <c r="G795" s="9">
        <f>Clothing!G317</f>
        <v>1</v>
      </c>
      <c r="H795" s="9">
        <f>Clothing!H317</f>
        <v>2</v>
      </c>
      <c r="I795" s="9">
        <f>Clothing!I317</f>
        <v>2</v>
      </c>
      <c r="J795" s="9">
        <f>Clothing!J317</f>
        <v>2</v>
      </c>
      <c r="K795" s="159">
        <f t="shared" si="13"/>
        <v>0.37356464144298934</v>
      </c>
      <c r="L795" s="52"/>
    </row>
    <row r="796" spans="1:12">
      <c r="A796" s="151" t="str">
        <f>Clothing!A318</f>
        <v>Import of yarn</v>
      </c>
      <c r="B796" s="34">
        <f>Clothing!B318</f>
        <v>2020</v>
      </c>
      <c r="C796" s="40" t="str">
        <f>Clothing!C318</f>
        <v>Acryl</v>
      </c>
      <c r="D796" s="34">
        <f>Clothing!D318</f>
        <v>19.264682497283751</v>
      </c>
      <c r="E796" s="40" t="str">
        <f>Clothing!E318</f>
        <v>https://ec.europa.eu/eurostat/databrowser/view/DS-056120__custom_15192557/default/table?lang=en - Low estimate</v>
      </c>
      <c r="F796" s="29">
        <f>Clothing!F318</f>
        <v>1</v>
      </c>
      <c r="G796" s="9">
        <f>Clothing!G318</f>
        <v>1</v>
      </c>
      <c r="H796" s="9">
        <f>Clothing!H318</f>
        <v>2</v>
      </c>
      <c r="I796" s="9">
        <f>Clothing!I318</f>
        <v>2</v>
      </c>
      <c r="J796" s="9">
        <f>Clothing!J318</f>
        <v>2</v>
      </c>
      <c r="K796" s="159">
        <f t="shared" si="13"/>
        <v>0.37356464144298934</v>
      </c>
      <c r="L796" s="52"/>
    </row>
    <row r="797" spans="1:12">
      <c r="A797" s="151" t="str">
        <f>Clothing!A319</f>
        <v>Import of yarn</v>
      </c>
      <c r="B797" s="34">
        <f>Clothing!B319</f>
        <v>2021</v>
      </c>
      <c r="C797" s="40" t="str">
        <f>Clothing!C319</f>
        <v>Acryl</v>
      </c>
      <c r="D797" s="34">
        <f>Clothing!D319</f>
        <v>19.718829697359631</v>
      </c>
      <c r="E797" s="40" t="str">
        <f>Clothing!E319</f>
        <v>https://ec.europa.eu/eurostat/databrowser/view/DS-056120__custom_15192557/default/table?lang=en - Low estimate</v>
      </c>
      <c r="F797" s="29">
        <f>Clothing!F319</f>
        <v>1</v>
      </c>
      <c r="G797" s="9">
        <f>Clothing!G319</f>
        <v>1</v>
      </c>
      <c r="H797" s="9">
        <f>Clothing!H319</f>
        <v>2</v>
      </c>
      <c r="I797" s="9">
        <f>Clothing!I319</f>
        <v>2</v>
      </c>
      <c r="J797" s="9">
        <f>Clothing!J319</f>
        <v>2</v>
      </c>
      <c r="K797" s="159">
        <f t="shared" si="13"/>
        <v>0.37356464144298934</v>
      </c>
      <c r="L797" s="52"/>
    </row>
    <row r="798" spans="1:12">
      <c r="A798" s="151" t="str">
        <f>Clothing!A320</f>
        <v>Import of yarn</v>
      </c>
      <c r="B798" s="34">
        <f>Clothing!B320</f>
        <v>2022</v>
      </c>
      <c r="C798" s="40" t="str">
        <f>Clothing!C320</f>
        <v>Acryl</v>
      </c>
      <c r="D798" s="34">
        <f>Clothing!D320</f>
        <v>21.348742392429976</v>
      </c>
      <c r="E798" s="40" t="str">
        <f>Clothing!E320</f>
        <v>https://ec.europa.eu/eurostat/databrowser/view/DS-056120__custom_15192557/default/table?lang=en - Low estimate</v>
      </c>
      <c r="F798" s="29">
        <f>Clothing!F320</f>
        <v>1</v>
      </c>
      <c r="G798" s="9">
        <f>Clothing!G320</f>
        <v>1</v>
      </c>
      <c r="H798" s="9">
        <f>Clothing!H320</f>
        <v>2</v>
      </c>
      <c r="I798" s="9">
        <f>Clothing!I320</f>
        <v>2</v>
      </c>
      <c r="J798" s="9">
        <f>Clothing!J320</f>
        <v>2</v>
      </c>
      <c r="K798" s="159">
        <f t="shared" si="13"/>
        <v>0.37356464144298934</v>
      </c>
      <c r="L798" s="52"/>
    </row>
    <row r="799" spans="1:12">
      <c r="A799" s="151" t="str">
        <f>Clothing!A321</f>
        <v>Import of yarn</v>
      </c>
      <c r="B799" s="34">
        <f>Clothing!B321</f>
        <v>2011</v>
      </c>
      <c r="C799" s="40" t="str">
        <f>Clothing!C321</f>
        <v>Acryl</v>
      </c>
      <c r="D799" s="34">
        <f>Clothing!D321</f>
        <v>36.99742708182994</v>
      </c>
      <c r="E799" s="40" t="str">
        <f>Clothing!E321</f>
        <v>https://ec.europa.eu/eurostat/databrowser/view/DS-056120__custom_15192557/default/table?lang=en - High estimate</v>
      </c>
      <c r="F799" s="29">
        <f>Clothing!F321</f>
        <v>1</v>
      </c>
      <c r="G799" s="9">
        <f>Clothing!G321</f>
        <v>1</v>
      </c>
      <c r="H799" s="9">
        <f>Clothing!H321</f>
        <v>2</v>
      </c>
      <c r="I799" s="9">
        <f>Clothing!I321</f>
        <v>2</v>
      </c>
      <c r="J799" s="9">
        <f>Clothing!J321</f>
        <v>2</v>
      </c>
      <c r="K799" s="159">
        <f t="shared" si="13"/>
        <v>0.37356464144298934</v>
      </c>
      <c r="L799" s="52"/>
    </row>
    <row r="800" spans="1:12">
      <c r="A800" s="151" t="str">
        <f>Clothing!A322</f>
        <v>Import of yarn</v>
      </c>
      <c r="B800" s="34">
        <f>Clothing!B322</f>
        <v>2012</v>
      </c>
      <c r="C800" s="40" t="str">
        <f>Clothing!C322</f>
        <v>Acryl</v>
      </c>
      <c r="D800" s="34">
        <f>Clothing!D322</f>
        <v>34.181438736231144</v>
      </c>
      <c r="E800" s="40" t="str">
        <f>Clothing!E322</f>
        <v>https://ec.europa.eu/eurostat/databrowser/view/DS-056120__custom_15192557/default/table?lang=en - High estimate</v>
      </c>
      <c r="F800" s="29">
        <f>Clothing!F322</f>
        <v>1</v>
      </c>
      <c r="G800" s="9">
        <f>Clothing!G322</f>
        <v>1</v>
      </c>
      <c r="H800" s="9">
        <f>Clothing!H322</f>
        <v>2</v>
      </c>
      <c r="I800" s="9">
        <f>Clothing!I322</f>
        <v>2</v>
      </c>
      <c r="J800" s="9">
        <f>Clothing!J322</f>
        <v>2</v>
      </c>
      <c r="K800" s="159">
        <f t="shared" si="13"/>
        <v>0.37356464144298934</v>
      </c>
      <c r="L800" s="52"/>
    </row>
    <row r="801" spans="1:12">
      <c r="A801" s="151" t="str">
        <f>Clothing!A323</f>
        <v>Import of yarn</v>
      </c>
      <c r="B801" s="34">
        <f>Clothing!B323</f>
        <v>2013</v>
      </c>
      <c r="C801" s="40" t="str">
        <f>Clothing!C323</f>
        <v>Acryl</v>
      </c>
      <c r="D801" s="34">
        <f>Clothing!D323</f>
        <v>32.520839752060596</v>
      </c>
      <c r="E801" s="40" t="str">
        <f>Clothing!E323</f>
        <v>https://ec.europa.eu/eurostat/databrowser/view/DS-056120__custom_15192557/default/table?lang=en - High estimate</v>
      </c>
      <c r="F801" s="29">
        <f>Clothing!F323</f>
        <v>1</v>
      </c>
      <c r="G801" s="9">
        <f>Clothing!G323</f>
        <v>1</v>
      </c>
      <c r="H801" s="9">
        <f>Clothing!H323</f>
        <v>2</v>
      </c>
      <c r="I801" s="9">
        <f>Clothing!I323</f>
        <v>2</v>
      </c>
      <c r="J801" s="9">
        <f>Clothing!J323</f>
        <v>2</v>
      </c>
      <c r="K801" s="159">
        <f t="shared" si="13"/>
        <v>0.37356464144298934</v>
      </c>
      <c r="L801" s="52"/>
    </row>
    <row r="802" spans="1:12">
      <c r="A802" s="151" t="str">
        <f>Clothing!A324</f>
        <v>Import of yarn</v>
      </c>
      <c r="B802" s="34">
        <f>Clothing!B324</f>
        <v>2014</v>
      </c>
      <c r="C802" s="40" t="str">
        <f>Clothing!C324</f>
        <v>Acryl</v>
      </c>
      <c r="D802" s="34">
        <f>Clothing!D324</f>
        <v>31.695315604754061</v>
      </c>
      <c r="E802" s="40" t="str">
        <f>Clothing!E324</f>
        <v>https://ec.europa.eu/eurostat/databrowser/view/DS-056120__custom_15192557/default/table?lang=en - High estimate</v>
      </c>
      <c r="F802" s="29">
        <f>Clothing!F324</f>
        <v>1</v>
      </c>
      <c r="G802" s="9">
        <f>Clothing!G324</f>
        <v>1</v>
      </c>
      <c r="H802" s="9">
        <f>Clothing!H324</f>
        <v>2</v>
      </c>
      <c r="I802" s="9">
        <f>Clothing!I324</f>
        <v>2</v>
      </c>
      <c r="J802" s="9">
        <f>Clothing!J324</f>
        <v>2</v>
      </c>
      <c r="K802" s="159">
        <f t="shared" si="13"/>
        <v>0.37356464144298934</v>
      </c>
      <c r="L802" s="52"/>
    </row>
    <row r="803" spans="1:12">
      <c r="A803" s="151" t="str">
        <f>Clothing!A325</f>
        <v>Import of yarn</v>
      </c>
      <c r="B803" s="34">
        <f>Clothing!B325</f>
        <v>2015</v>
      </c>
      <c r="C803" s="40" t="str">
        <f>Clothing!C325</f>
        <v>Acryl</v>
      </c>
      <c r="D803" s="34">
        <f>Clothing!D325</f>
        <v>28.512330795023608</v>
      </c>
      <c r="E803" s="40" t="str">
        <f>Clothing!E325</f>
        <v>https://ec.europa.eu/eurostat/databrowser/view/DS-056120__custom_15192557/default/table?lang=en - High estimate</v>
      </c>
      <c r="F803" s="29">
        <f>Clothing!F325</f>
        <v>1</v>
      </c>
      <c r="G803" s="9">
        <f>Clothing!G325</f>
        <v>1</v>
      </c>
      <c r="H803" s="9">
        <f>Clothing!H325</f>
        <v>2</v>
      </c>
      <c r="I803" s="9">
        <f>Clothing!I325</f>
        <v>2</v>
      </c>
      <c r="J803" s="9">
        <f>Clothing!J325</f>
        <v>2</v>
      </c>
      <c r="K803" s="159">
        <f t="shared" si="13"/>
        <v>0.37356464144298934</v>
      </c>
      <c r="L803" s="52"/>
    </row>
    <row r="804" spans="1:12">
      <c r="A804" s="151" t="str">
        <f>Clothing!A326</f>
        <v>Import of yarn</v>
      </c>
      <c r="B804" s="34">
        <f>Clothing!B326</f>
        <v>2016</v>
      </c>
      <c r="C804" s="40" t="str">
        <f>Clothing!C326</f>
        <v>Acryl</v>
      </c>
      <c r="D804" s="34">
        <f>Clothing!D326</f>
        <v>32.505050307095466</v>
      </c>
      <c r="E804" s="40" t="str">
        <f>Clothing!E326</f>
        <v>https://ec.europa.eu/eurostat/databrowser/view/DS-056120__custom_15192557/default/table?lang=en - High estimate</v>
      </c>
      <c r="F804" s="29">
        <f>Clothing!F326</f>
        <v>1</v>
      </c>
      <c r="G804" s="9">
        <f>Clothing!G326</f>
        <v>1</v>
      </c>
      <c r="H804" s="9">
        <f>Clothing!H326</f>
        <v>2</v>
      </c>
      <c r="I804" s="9">
        <f>Clothing!I326</f>
        <v>2</v>
      </c>
      <c r="J804" s="9">
        <f>Clothing!J326</f>
        <v>2</v>
      </c>
      <c r="K804" s="159">
        <f t="shared" si="13"/>
        <v>0.37356464144298934</v>
      </c>
      <c r="L804" s="52"/>
    </row>
    <row r="805" spans="1:12">
      <c r="A805" s="151" t="str">
        <f>Clothing!A327</f>
        <v>Import of yarn</v>
      </c>
      <c r="B805" s="34">
        <f>Clothing!B327</f>
        <v>2017</v>
      </c>
      <c r="C805" s="40" t="str">
        <f>Clothing!C327</f>
        <v>Acryl</v>
      </c>
      <c r="D805" s="34">
        <f>Clothing!D327</f>
        <v>26.955760464644953</v>
      </c>
      <c r="E805" s="40" t="str">
        <f>Clothing!E327</f>
        <v>https://ec.europa.eu/eurostat/databrowser/view/DS-056120__custom_15192557/default/table?lang=en - High estimate</v>
      </c>
      <c r="F805" s="29">
        <f>Clothing!F327</f>
        <v>1</v>
      </c>
      <c r="G805" s="9">
        <f>Clothing!G327</f>
        <v>1</v>
      </c>
      <c r="H805" s="9">
        <f>Clothing!H327</f>
        <v>2</v>
      </c>
      <c r="I805" s="9">
        <f>Clothing!I327</f>
        <v>2</v>
      </c>
      <c r="J805" s="9">
        <f>Clothing!J327</f>
        <v>2</v>
      </c>
      <c r="K805" s="159">
        <f t="shared" si="13"/>
        <v>0.37356464144298934</v>
      </c>
      <c r="L805" s="52"/>
    </row>
    <row r="806" spans="1:12">
      <c r="A806" s="151" t="str">
        <f>Clothing!A328</f>
        <v>Import of yarn</v>
      </c>
      <c r="B806" s="34">
        <f>Clothing!B328</f>
        <v>2018</v>
      </c>
      <c r="C806" s="40" t="str">
        <f>Clothing!C328</f>
        <v>Acryl</v>
      </c>
      <c r="D806" s="34">
        <f>Clothing!D328</f>
        <v>30.660247655562316</v>
      </c>
      <c r="E806" s="40" t="str">
        <f>Clothing!E328</f>
        <v>https://ec.europa.eu/eurostat/databrowser/view/DS-056120__custom_15192557/default/table?lang=en - High estimate</v>
      </c>
      <c r="F806" s="29">
        <f>Clothing!F328</f>
        <v>1</v>
      </c>
      <c r="G806" s="9">
        <f>Clothing!G328</f>
        <v>1</v>
      </c>
      <c r="H806" s="9">
        <f>Clothing!H328</f>
        <v>2</v>
      </c>
      <c r="I806" s="9">
        <f>Clothing!I328</f>
        <v>2</v>
      </c>
      <c r="J806" s="9">
        <f>Clothing!J328</f>
        <v>2</v>
      </c>
      <c r="K806" s="159">
        <f t="shared" si="13"/>
        <v>0.37356464144298934</v>
      </c>
      <c r="L806" s="52"/>
    </row>
    <row r="807" spans="1:12">
      <c r="A807" s="151" t="str">
        <f>Clothing!A329</f>
        <v>Import of yarn</v>
      </c>
      <c r="B807" s="34">
        <f>Clothing!B329</f>
        <v>2019</v>
      </c>
      <c r="C807" s="40" t="str">
        <f>Clothing!C329</f>
        <v>Acryl</v>
      </c>
      <c r="D807" s="34">
        <f>Clothing!D329</f>
        <v>30.024588545663409</v>
      </c>
      <c r="E807" s="40" t="str">
        <f>Clothing!E329</f>
        <v>https://ec.europa.eu/eurostat/databrowser/view/DS-056120__custom_15192557/default/table?lang=en - High estimate</v>
      </c>
      <c r="F807" s="29">
        <f>Clothing!F329</f>
        <v>1</v>
      </c>
      <c r="G807" s="9">
        <f>Clothing!G329</f>
        <v>1</v>
      </c>
      <c r="H807" s="9">
        <f>Clothing!H329</f>
        <v>2</v>
      </c>
      <c r="I807" s="9">
        <f>Clothing!I329</f>
        <v>2</v>
      </c>
      <c r="J807" s="9">
        <f>Clothing!J329</f>
        <v>2</v>
      </c>
      <c r="K807" s="159">
        <f t="shared" si="13"/>
        <v>0.37356464144298934</v>
      </c>
      <c r="L807" s="52"/>
    </row>
    <row r="808" spans="1:12">
      <c r="A808" s="151" t="str">
        <f>Clothing!A330</f>
        <v>Import of yarn</v>
      </c>
      <c r="B808" s="34">
        <f>Clothing!B330</f>
        <v>2020</v>
      </c>
      <c r="C808" s="40" t="str">
        <f>Clothing!C330</f>
        <v>Acryl</v>
      </c>
      <c r="D808" s="34">
        <f>Clothing!D330</f>
        <v>22.754021235222702</v>
      </c>
      <c r="E808" s="40" t="str">
        <f>Clothing!E330</f>
        <v>https://ec.europa.eu/eurostat/databrowser/view/DS-056120__custom_15192557/default/table?lang=en - High estimate</v>
      </c>
      <c r="F808" s="29">
        <f>Clothing!F330</f>
        <v>1</v>
      </c>
      <c r="G808" s="9">
        <f>Clothing!G330</f>
        <v>1</v>
      </c>
      <c r="H808" s="9">
        <f>Clothing!H330</f>
        <v>2</v>
      </c>
      <c r="I808" s="9">
        <f>Clothing!I330</f>
        <v>2</v>
      </c>
      <c r="J808" s="9">
        <f>Clothing!J330</f>
        <v>2</v>
      </c>
      <c r="K808" s="159">
        <f t="shared" si="13"/>
        <v>0.37356464144298934</v>
      </c>
      <c r="L808" s="52"/>
    </row>
    <row r="809" spans="1:12">
      <c r="A809" s="151" t="str">
        <f>Clothing!A331</f>
        <v>Import of yarn</v>
      </c>
      <c r="B809" s="34">
        <f>Clothing!B331</f>
        <v>2021</v>
      </c>
      <c r="C809" s="40" t="str">
        <f>Clothing!C331</f>
        <v>Acryl</v>
      </c>
      <c r="D809" s="34">
        <f>Clothing!D331</f>
        <v>23.29042639195967</v>
      </c>
      <c r="E809" s="40" t="str">
        <f>Clothing!E331</f>
        <v>https://ec.europa.eu/eurostat/databrowser/view/DS-056120__custom_15192557/default/table?lang=en - High estimate</v>
      </c>
      <c r="F809" s="29">
        <f>Clothing!F331</f>
        <v>1</v>
      </c>
      <c r="G809" s="9">
        <f>Clothing!G331</f>
        <v>1</v>
      </c>
      <c r="H809" s="9">
        <f>Clothing!H331</f>
        <v>2</v>
      </c>
      <c r="I809" s="9">
        <f>Clothing!I331</f>
        <v>2</v>
      </c>
      <c r="J809" s="9">
        <f>Clothing!J331</f>
        <v>2</v>
      </c>
      <c r="K809" s="159">
        <f t="shared" si="13"/>
        <v>0.37356464144298934</v>
      </c>
      <c r="L809" s="52"/>
    </row>
    <row r="810" spans="1:12" ht="15" thickBot="1">
      <c r="A810" s="152" t="str">
        <f>Clothing!A332</f>
        <v>Import of yarn</v>
      </c>
      <c r="B810" s="35">
        <f>Clothing!B332</f>
        <v>2022</v>
      </c>
      <c r="C810" s="41" t="str">
        <f>Clothing!C332</f>
        <v>Acryl</v>
      </c>
      <c r="D810" s="35">
        <f>Clothing!D332</f>
        <v>25.215558980073638</v>
      </c>
      <c r="E810" s="41" t="str">
        <f>Clothing!E332</f>
        <v>https://ec.europa.eu/eurostat/databrowser/view/DS-056120__custom_15192557/default/table?lang=en - High estimate</v>
      </c>
      <c r="F810" s="30">
        <f>Clothing!F332</f>
        <v>1</v>
      </c>
      <c r="G810" s="12">
        <f>Clothing!G332</f>
        <v>1</v>
      </c>
      <c r="H810" s="12">
        <f>Clothing!H332</f>
        <v>2</v>
      </c>
      <c r="I810" s="12">
        <f>Clothing!I332</f>
        <v>2</v>
      </c>
      <c r="J810" s="12">
        <f>Clothing!J332</f>
        <v>2</v>
      </c>
      <c r="K810" s="160">
        <f t="shared" si="13"/>
        <v>0.37356464144298934</v>
      </c>
      <c r="L810" s="53"/>
    </row>
    <row r="811" spans="1:12">
      <c r="A811" s="7"/>
      <c r="B811" s="7"/>
      <c r="C811" s="7"/>
      <c r="K811" s="1212"/>
    </row>
    <row r="812" spans="1:12">
      <c r="A812" s="7"/>
      <c r="B812" s="7"/>
      <c r="C812" s="7"/>
      <c r="K812" s="1212"/>
    </row>
    <row r="813" spans="1:12">
      <c r="A813" s="7"/>
      <c r="B813" s="7"/>
      <c r="C813" s="7"/>
      <c r="K813" s="1212"/>
    </row>
    <row r="814" spans="1:12">
      <c r="A814" s="7"/>
      <c r="B814" s="7"/>
      <c r="C814" s="7"/>
      <c r="K814" s="1212"/>
    </row>
    <row r="815" spans="1:12">
      <c r="A815" s="7"/>
      <c r="B815" s="7"/>
      <c r="C815" s="7"/>
      <c r="K815" s="1212"/>
    </row>
    <row r="816" spans="1:12">
      <c r="A816" s="7"/>
      <c r="B816" s="7"/>
      <c r="C816" s="7"/>
      <c r="K816" s="1212"/>
    </row>
    <row r="817" spans="1:11">
      <c r="A817" s="7"/>
      <c r="B817" s="7"/>
      <c r="C817" s="7"/>
      <c r="K817" s="1212"/>
    </row>
    <row r="818" spans="1:11">
      <c r="A818" s="7"/>
      <c r="B818" s="7"/>
      <c r="C818" s="7"/>
      <c r="K818" s="1212"/>
    </row>
    <row r="819" spans="1:11">
      <c r="A819" s="7"/>
      <c r="B819" s="7"/>
      <c r="C819" s="7"/>
      <c r="K819" s="1212"/>
    </row>
    <row r="820" spans="1:11">
      <c r="A820" s="7"/>
      <c r="B820" s="7"/>
      <c r="C820" s="7"/>
      <c r="K820" s="1212"/>
    </row>
    <row r="821" spans="1:11">
      <c r="A821" s="7"/>
      <c r="B821" s="7"/>
      <c r="C821" s="7"/>
      <c r="K821" s="1212"/>
    </row>
    <row r="822" spans="1:11">
      <c r="A822" s="7"/>
      <c r="B822" s="7"/>
      <c r="C822" s="7"/>
      <c r="K822" s="1212"/>
    </row>
    <row r="823" spans="1:11">
      <c r="A823" s="7"/>
      <c r="B823" s="7"/>
      <c r="C823" s="7"/>
      <c r="K823" s="1212"/>
    </row>
    <row r="824" spans="1:11">
      <c r="A824" s="7"/>
      <c r="B824" s="7"/>
      <c r="C824" s="7"/>
      <c r="K824" s="1212"/>
    </row>
    <row r="825" spans="1:11">
      <c r="A825" s="7"/>
      <c r="B825" s="7"/>
      <c r="C825" s="7"/>
      <c r="K825" s="1212"/>
    </row>
    <row r="826" spans="1:11">
      <c r="A826" s="7"/>
      <c r="B826" s="7"/>
      <c r="C826" s="7"/>
      <c r="K826" s="1212"/>
    </row>
    <row r="827" spans="1:11">
      <c r="A827" s="7"/>
      <c r="B827" s="7"/>
      <c r="C827" s="7"/>
      <c r="K827" s="1212"/>
    </row>
    <row r="828" spans="1:11">
      <c r="A828" s="7"/>
      <c r="B828" s="7"/>
      <c r="C828" s="7"/>
      <c r="K828" s="1212"/>
    </row>
    <row r="829" spans="1:11">
      <c r="A829" s="7"/>
      <c r="B829" s="7"/>
      <c r="C829" s="7"/>
      <c r="K829" s="1212"/>
    </row>
    <row r="830" spans="1:11">
      <c r="A830" s="7"/>
      <c r="B830" s="7"/>
      <c r="C830" s="7"/>
      <c r="K830" s="1212"/>
    </row>
    <row r="831" spans="1:11">
      <c r="A831" s="7"/>
      <c r="B831" s="7"/>
      <c r="C831" s="7"/>
      <c r="K831" s="1212"/>
    </row>
    <row r="832" spans="1:11">
      <c r="A832" s="7"/>
      <c r="B832" s="7"/>
      <c r="C832" s="7"/>
      <c r="K832" s="1212"/>
    </row>
    <row r="833" spans="1:11">
      <c r="A833" s="7"/>
      <c r="B833" s="7"/>
      <c r="C833" s="7"/>
      <c r="K833" s="1212"/>
    </row>
    <row r="834" spans="1:11">
      <c r="A834" s="7"/>
      <c r="B834" s="7"/>
      <c r="C834" s="7"/>
      <c r="K834" s="1212"/>
    </row>
    <row r="835" spans="1:11">
      <c r="A835" s="7"/>
      <c r="B835" s="7"/>
      <c r="C835" s="7"/>
      <c r="K835" s="1212"/>
    </row>
    <row r="836" spans="1:11">
      <c r="A836" s="7"/>
      <c r="B836" s="7"/>
      <c r="C836" s="7"/>
      <c r="K836" s="1212"/>
    </row>
    <row r="837" spans="1:11">
      <c r="A837" s="7"/>
      <c r="B837" s="7"/>
      <c r="C837" s="7"/>
      <c r="K837" s="1212"/>
    </row>
    <row r="838" spans="1:11">
      <c r="A838" s="7"/>
      <c r="B838" s="7"/>
      <c r="C838" s="7"/>
      <c r="K838" s="1212"/>
    </row>
    <row r="839" spans="1:11">
      <c r="A839" s="7"/>
      <c r="B839" s="7"/>
      <c r="C839" s="7"/>
      <c r="K839" s="1212"/>
    </row>
    <row r="840" spans="1:11">
      <c r="A840" s="7"/>
      <c r="B840" s="7"/>
      <c r="C840" s="7"/>
      <c r="K840" s="1212"/>
    </row>
    <row r="841" spans="1:11">
      <c r="A841" s="7"/>
      <c r="B841" s="7"/>
      <c r="C841" s="7"/>
      <c r="K841" s="1212"/>
    </row>
    <row r="842" spans="1:11">
      <c r="A842" s="7"/>
      <c r="B842" s="7"/>
      <c r="C842" s="7"/>
      <c r="K842" s="1212"/>
    </row>
    <row r="843" spans="1:11">
      <c r="A843" s="7"/>
      <c r="B843" s="7"/>
      <c r="C843" s="7"/>
      <c r="K843" s="1212"/>
    </row>
    <row r="844" spans="1:11">
      <c r="A844" s="7"/>
      <c r="B844" s="7"/>
      <c r="C844" s="7"/>
      <c r="K844" s="1212"/>
    </row>
    <row r="845" spans="1:11">
      <c r="A845" s="7"/>
      <c r="B845" s="7"/>
      <c r="C845" s="7"/>
      <c r="K845" s="1212"/>
    </row>
    <row r="846" spans="1:11">
      <c r="A846" s="7"/>
      <c r="B846" s="7"/>
      <c r="C846" s="7"/>
      <c r="K846" s="1212"/>
    </row>
    <row r="847" spans="1:11">
      <c r="A847" s="7"/>
      <c r="B847" s="7"/>
      <c r="C847" s="7"/>
      <c r="K847" s="1212"/>
    </row>
    <row r="848" spans="1:11">
      <c r="A848" s="7"/>
      <c r="B848" s="7"/>
      <c r="C848" s="7"/>
      <c r="K848" s="1212"/>
    </row>
    <row r="849" spans="1:11">
      <c r="A849" s="7"/>
      <c r="B849" s="7"/>
      <c r="C849" s="7"/>
      <c r="K849" s="1212"/>
    </row>
    <row r="850" spans="1:11">
      <c r="A850" s="7"/>
      <c r="B850" s="7"/>
      <c r="C850" s="7"/>
      <c r="K850" s="1212"/>
    </row>
    <row r="851" spans="1:11">
      <c r="A851" s="7"/>
      <c r="B851" s="7"/>
      <c r="C851" s="7"/>
      <c r="K851" s="1212"/>
    </row>
    <row r="852" spans="1:11">
      <c r="A852" s="7"/>
      <c r="B852" s="7"/>
      <c r="C852" s="7"/>
      <c r="K852" s="1212"/>
    </row>
    <row r="853" spans="1:11">
      <c r="A853" s="7"/>
      <c r="B853" s="7"/>
      <c r="C853" s="7"/>
      <c r="K853" s="1212"/>
    </row>
    <row r="854" spans="1:11">
      <c r="A854" s="7"/>
      <c r="B854" s="7"/>
      <c r="C854" s="7"/>
      <c r="K854" s="1212"/>
    </row>
    <row r="855" spans="1:11">
      <c r="A855" s="7"/>
      <c r="B855" s="7"/>
      <c r="C855" s="7"/>
      <c r="K855" s="1212"/>
    </row>
    <row r="856" spans="1:11">
      <c r="A856" s="7"/>
      <c r="B856" s="7"/>
      <c r="C856" s="7"/>
      <c r="K856" s="1212"/>
    </row>
    <row r="857" spans="1:11">
      <c r="A857" s="7"/>
      <c r="B857" s="7"/>
      <c r="C857" s="7"/>
      <c r="K857" s="1212"/>
    </row>
    <row r="858" spans="1:11">
      <c r="A858" s="7"/>
      <c r="B858" s="7"/>
      <c r="C858" s="7"/>
      <c r="K858" s="1212"/>
    </row>
    <row r="859" spans="1:11">
      <c r="A859" s="7"/>
      <c r="B859" s="7"/>
      <c r="C859" s="7"/>
      <c r="K859" s="1212"/>
    </row>
    <row r="860" spans="1:11">
      <c r="A860" s="7"/>
      <c r="B860" s="7"/>
      <c r="C860" s="7"/>
      <c r="K860" s="1212"/>
    </row>
    <row r="861" spans="1:11">
      <c r="A861" s="7"/>
      <c r="B861" s="7"/>
      <c r="C861" s="7"/>
      <c r="K861" s="1212"/>
    </row>
    <row r="862" spans="1:11">
      <c r="A862" s="7"/>
      <c r="B862" s="7"/>
      <c r="C862" s="7"/>
      <c r="K862" s="1212"/>
    </row>
    <row r="863" spans="1:11">
      <c r="A863" s="7"/>
      <c r="B863" s="7"/>
      <c r="C863" s="7"/>
      <c r="K863" s="1212"/>
    </row>
    <row r="864" spans="1:11">
      <c r="A864" s="7"/>
      <c r="B864" s="7"/>
      <c r="C864" s="7"/>
      <c r="K864" s="1212"/>
    </row>
    <row r="865" spans="1:11">
      <c r="A865" s="7"/>
      <c r="B865" s="7"/>
      <c r="C865" s="7"/>
      <c r="K865" s="1212"/>
    </row>
    <row r="866" spans="1:11">
      <c r="A866" s="7"/>
      <c r="B866" s="7"/>
      <c r="C866" s="7"/>
      <c r="K866" s="1212"/>
    </row>
    <row r="867" spans="1:11">
      <c r="A867" s="7"/>
      <c r="B867" s="7"/>
      <c r="C867" s="7"/>
      <c r="K867" s="1212"/>
    </row>
    <row r="868" spans="1:11">
      <c r="A868" s="7"/>
      <c r="B868" s="7"/>
      <c r="C868" s="7"/>
      <c r="E868" s="194"/>
      <c r="K868" s="1212"/>
    </row>
    <row r="869" spans="1:11">
      <c r="A869" s="7"/>
      <c r="B869" s="7"/>
      <c r="C869" s="7"/>
      <c r="K869" s="1212"/>
    </row>
    <row r="870" spans="1:11">
      <c r="A870" s="7"/>
      <c r="B870" s="7"/>
      <c r="C870" s="7"/>
      <c r="K870" s="1212"/>
    </row>
    <row r="871" spans="1:11">
      <c r="A871" s="7"/>
      <c r="B871" s="7"/>
      <c r="C871" s="7"/>
      <c r="K871" s="1212"/>
    </row>
    <row r="872" spans="1:11">
      <c r="A872" s="7"/>
      <c r="B872" s="7"/>
      <c r="C872" s="7"/>
      <c r="K872" s="1212"/>
    </row>
    <row r="873" spans="1:11">
      <c r="A873" s="7"/>
      <c r="B873" s="7"/>
      <c r="C873" s="7"/>
      <c r="K873" s="1212"/>
    </row>
    <row r="874" spans="1:11">
      <c r="A874" s="7"/>
      <c r="B874" s="7"/>
      <c r="C874" s="7"/>
      <c r="K874" s="1212"/>
    </row>
    <row r="875" spans="1:11">
      <c r="A875" s="7"/>
      <c r="B875" s="7"/>
      <c r="C875" s="7"/>
      <c r="K875" s="1212"/>
    </row>
    <row r="876" spans="1:11">
      <c r="A876" s="7"/>
      <c r="B876" s="7"/>
      <c r="C876" s="7"/>
      <c r="K876" s="1212"/>
    </row>
    <row r="877" spans="1:11">
      <c r="A877" s="7"/>
      <c r="B877" s="7"/>
      <c r="C877" s="7"/>
      <c r="K877" s="1212"/>
    </row>
    <row r="878" spans="1:11">
      <c r="A878" s="7"/>
      <c r="B878" s="7"/>
      <c r="C878" s="7"/>
      <c r="K878" s="1212"/>
    </row>
    <row r="879" spans="1:11">
      <c r="A879" s="7"/>
      <c r="B879" s="7"/>
      <c r="C879" s="7"/>
      <c r="K879" s="1212"/>
    </row>
    <row r="880" spans="1:11">
      <c r="A880" s="7"/>
      <c r="B880" s="7"/>
      <c r="C880" s="7"/>
      <c r="K880" s="1212"/>
    </row>
    <row r="881" spans="1:11">
      <c r="A881" s="7"/>
      <c r="B881" s="7"/>
      <c r="C881" s="7"/>
      <c r="K881" s="1212"/>
    </row>
    <row r="882" spans="1:11">
      <c r="A882" s="7"/>
      <c r="B882" s="7"/>
      <c r="C882" s="7"/>
      <c r="K882" s="1212"/>
    </row>
    <row r="883" spans="1:11">
      <c r="A883" s="7"/>
      <c r="B883" s="7"/>
      <c r="C883" s="7"/>
      <c r="K883" s="1212"/>
    </row>
    <row r="884" spans="1:11">
      <c r="A884" s="7"/>
      <c r="B884" s="7"/>
      <c r="C884" s="7"/>
      <c r="K884" s="1212"/>
    </row>
    <row r="885" spans="1:11">
      <c r="A885" s="7"/>
      <c r="B885" s="7"/>
      <c r="C885" s="7"/>
      <c r="K885" s="1212"/>
    </row>
    <row r="886" spans="1:11">
      <c r="A886" s="7"/>
      <c r="B886" s="7"/>
      <c r="C886" s="7"/>
      <c r="K886" s="1212"/>
    </row>
    <row r="887" spans="1:11">
      <c r="A887" s="7"/>
      <c r="B887" s="7"/>
      <c r="C887" s="7"/>
      <c r="K887" s="1212"/>
    </row>
    <row r="888" spans="1:11">
      <c r="A888" s="7"/>
      <c r="B888" s="7"/>
      <c r="C888" s="7"/>
      <c r="K888" s="1212"/>
    </row>
    <row r="889" spans="1:11">
      <c r="A889" s="7"/>
      <c r="B889" s="7"/>
      <c r="C889" s="7"/>
      <c r="K889" s="1212"/>
    </row>
    <row r="890" spans="1:11">
      <c r="A890" s="7"/>
      <c r="B890" s="7"/>
      <c r="C890" s="7"/>
      <c r="K890" s="1212"/>
    </row>
    <row r="891" spans="1:11">
      <c r="A891" s="7"/>
      <c r="B891" s="7"/>
      <c r="C891" s="7"/>
      <c r="K891" s="1212"/>
    </row>
    <row r="892" spans="1:11">
      <c r="A892" s="7"/>
      <c r="B892" s="7"/>
      <c r="C892" s="7"/>
      <c r="K892" s="1212"/>
    </row>
    <row r="893" spans="1:11">
      <c r="A893" s="7"/>
      <c r="B893" s="7"/>
      <c r="C893" s="7"/>
      <c r="K893" s="1212"/>
    </row>
    <row r="894" spans="1:11">
      <c r="A894" s="7"/>
      <c r="B894" s="7"/>
      <c r="C894" s="7"/>
      <c r="K894" s="1212"/>
    </row>
    <row r="895" spans="1:11">
      <c r="A895" s="7"/>
      <c r="B895" s="7"/>
      <c r="C895" s="7"/>
      <c r="K895" s="1212"/>
    </row>
    <row r="896" spans="1:11">
      <c r="A896" s="7"/>
      <c r="B896" s="7"/>
      <c r="C896" s="7"/>
      <c r="K896" s="1212"/>
    </row>
    <row r="897" spans="1:11">
      <c r="A897" s="7"/>
      <c r="B897" s="7"/>
      <c r="C897" s="7"/>
      <c r="K897" s="1212"/>
    </row>
    <row r="898" spans="1:11">
      <c r="A898" s="7"/>
      <c r="B898" s="7"/>
      <c r="C898" s="7"/>
      <c r="K898" s="1212"/>
    </row>
    <row r="899" spans="1:11">
      <c r="A899" s="7"/>
      <c r="B899" s="7"/>
      <c r="C899" s="7"/>
      <c r="K899" s="1212"/>
    </row>
    <row r="900" spans="1:11">
      <c r="A900" s="7"/>
      <c r="B900" s="7"/>
      <c r="C900" s="7"/>
      <c r="K900" s="1212"/>
    </row>
    <row r="901" spans="1:11">
      <c r="A901" s="7"/>
      <c r="B901" s="7"/>
      <c r="C901" s="7"/>
      <c r="K901" s="1212"/>
    </row>
    <row r="902" spans="1:11">
      <c r="A902" s="7"/>
      <c r="B902" s="7"/>
      <c r="C902" s="7"/>
      <c r="K902" s="1212"/>
    </row>
    <row r="903" spans="1:11">
      <c r="A903" s="7"/>
      <c r="B903" s="7"/>
      <c r="C903" s="7"/>
      <c r="K903" s="1212"/>
    </row>
    <row r="904" spans="1:11">
      <c r="A904" s="7"/>
      <c r="B904" s="7"/>
      <c r="C904" s="7"/>
      <c r="K904" s="1212"/>
    </row>
    <row r="905" spans="1:11">
      <c r="A905" s="7"/>
      <c r="B905" s="7"/>
      <c r="C905" s="7"/>
      <c r="K905" s="1212"/>
    </row>
    <row r="906" spans="1:11">
      <c r="A906" s="7"/>
      <c r="B906" s="7"/>
      <c r="C906" s="7"/>
      <c r="K906" s="1212"/>
    </row>
    <row r="907" spans="1:11">
      <c r="A907" s="7"/>
      <c r="B907" s="7"/>
      <c r="C907" s="7"/>
      <c r="K907" s="1212"/>
    </row>
    <row r="908" spans="1:11">
      <c r="A908" s="7"/>
      <c r="B908" s="7"/>
      <c r="C908" s="7"/>
      <c r="K908" s="1212"/>
    </row>
    <row r="909" spans="1:11">
      <c r="A909" s="7"/>
      <c r="B909" s="7"/>
      <c r="C909" s="7"/>
      <c r="K909" s="1212"/>
    </row>
    <row r="910" spans="1:11">
      <c r="A910" s="7"/>
      <c r="B910" s="7"/>
      <c r="C910" s="7"/>
      <c r="K910" s="1212"/>
    </row>
    <row r="911" spans="1:11">
      <c r="A911" s="7"/>
      <c r="B911" s="7"/>
      <c r="C911" s="7"/>
      <c r="K911" s="1212"/>
    </row>
    <row r="912" spans="1:11">
      <c r="A912" s="7"/>
      <c r="B912" s="7"/>
      <c r="C912" s="7"/>
      <c r="K912" s="1212"/>
    </row>
    <row r="913" spans="1:11">
      <c r="A913" s="7"/>
      <c r="B913" s="7"/>
      <c r="C913" s="7"/>
      <c r="K913" s="1212"/>
    </row>
    <row r="914" spans="1:11">
      <c r="A914" s="7"/>
      <c r="B914" s="7"/>
      <c r="C914" s="7"/>
      <c r="K914" s="1212"/>
    </row>
    <row r="915" spans="1:11">
      <c r="A915" s="7"/>
      <c r="B915" s="7"/>
      <c r="C915" s="7"/>
      <c r="K915" s="1212"/>
    </row>
    <row r="916" spans="1:11">
      <c r="A916" s="7"/>
      <c r="B916" s="7"/>
      <c r="C916" s="7"/>
      <c r="K916" s="1212"/>
    </row>
    <row r="917" spans="1:11">
      <c r="A917" s="7"/>
      <c r="B917" s="7"/>
      <c r="C917" s="7"/>
      <c r="K917" s="1212"/>
    </row>
    <row r="918" spans="1:11">
      <c r="A918" s="7"/>
      <c r="B918" s="7"/>
      <c r="C918" s="7"/>
      <c r="K918" s="1212"/>
    </row>
    <row r="919" spans="1:11">
      <c r="A919" s="7"/>
      <c r="B919" s="7"/>
      <c r="C919" s="7"/>
      <c r="K919" s="1212"/>
    </row>
    <row r="920" spans="1:11">
      <c r="A920" s="7"/>
      <c r="B920" s="7"/>
      <c r="C920" s="7"/>
      <c r="K920" s="1212"/>
    </row>
    <row r="921" spans="1:11">
      <c r="A921" s="7"/>
      <c r="B921" s="7"/>
      <c r="C921" s="7"/>
      <c r="K921" s="1212"/>
    </row>
    <row r="922" spans="1:11">
      <c r="A922" s="7"/>
      <c r="B922" s="7"/>
      <c r="C922" s="7"/>
      <c r="K922" s="1212"/>
    </row>
    <row r="923" spans="1:11">
      <c r="A923" s="7"/>
      <c r="B923" s="7"/>
      <c r="C923" s="7"/>
      <c r="K923" s="1212"/>
    </row>
    <row r="924" spans="1:11">
      <c r="A924" s="7"/>
      <c r="B924" s="7"/>
      <c r="C924" s="7"/>
      <c r="K924" s="1212"/>
    </row>
    <row r="925" spans="1:11">
      <c r="A925" s="7"/>
      <c r="B925" s="7"/>
      <c r="C925" s="7"/>
      <c r="K925" s="1212"/>
    </row>
    <row r="926" spans="1:11">
      <c r="A926" s="7"/>
      <c r="B926" s="7"/>
      <c r="C926" s="7"/>
      <c r="K926" s="1212"/>
    </row>
    <row r="927" spans="1:11">
      <c r="A927" s="7"/>
      <c r="B927" s="7"/>
      <c r="C927" s="7"/>
      <c r="K927" s="1212"/>
    </row>
    <row r="928" spans="1:11">
      <c r="A928" s="7"/>
      <c r="B928" s="7"/>
      <c r="C928" s="7"/>
      <c r="K928" s="1212"/>
    </row>
    <row r="929" spans="1:11">
      <c r="A929" s="7"/>
      <c r="B929" s="7"/>
      <c r="C929" s="7"/>
      <c r="K929" s="1212"/>
    </row>
    <row r="930" spans="1:11">
      <c r="A930" s="7"/>
      <c r="B930" s="7"/>
      <c r="C930" s="7"/>
      <c r="K930" s="1212"/>
    </row>
    <row r="931" spans="1:11">
      <c r="K931" s="1178"/>
    </row>
  </sheetData>
  <autoFilter ref="A1:L810" xr:uid="{E97B31CE-E6BF-4F52-9FA7-52F353BEC4BE}">
    <sortState xmlns:xlrd2="http://schemas.microsoft.com/office/spreadsheetml/2017/richdata2" ref="A2:L594">
      <sortCondition ref="A1:A594"/>
    </sortState>
  </autoFilter>
  <phoneticPr fontId="22" type="noConversion"/>
  <conditionalFormatting sqref="D1 D931:D1048576">
    <cfRule type="cellIs" dxfId="217" priority="67" operator="greaterThan">
      <formula>0</formula>
    </cfRule>
    <cfRule type="cellIs" dxfId="216" priority="68" operator="equal">
      <formula>0</formula>
    </cfRule>
  </conditionalFormatting>
  <conditionalFormatting sqref="F570:F578">
    <cfRule type="dataBar" priority="22">
      <dataBar>
        <cfvo type="min"/>
        <cfvo type="num" val="4"/>
        <color rgb="FFFFC000"/>
      </dataBar>
      <extLst>
        <ext xmlns:x14="http://schemas.microsoft.com/office/spreadsheetml/2009/9/main" uri="{B025F937-C7B1-47D3-B67F-A62EFF666E3E}">
          <x14:id>{A9C58A51-31BA-447F-9AB1-2BF1024BB727}</x14:id>
        </ext>
      </extLst>
    </cfRule>
  </conditionalFormatting>
  <conditionalFormatting sqref="F2:J25">
    <cfRule type="dataBar" priority="7948">
      <dataBar>
        <cfvo type="min"/>
        <cfvo type="num" val="4"/>
        <color rgb="FFFFC000"/>
      </dataBar>
      <extLst>
        <ext xmlns:x14="http://schemas.microsoft.com/office/spreadsheetml/2009/9/main" uri="{B025F937-C7B1-47D3-B67F-A62EFF666E3E}">
          <x14:id>{BC5230D7-989F-4EBA-B737-88A8CF8C9C2D}</x14:id>
        </ext>
      </extLst>
    </cfRule>
  </conditionalFormatting>
  <conditionalFormatting sqref="F26:J41">
    <cfRule type="dataBar" priority="7463">
      <dataBar>
        <cfvo type="min"/>
        <cfvo type="num" val="4"/>
        <color rgb="FFFFC000"/>
      </dataBar>
      <extLst>
        <ext xmlns:x14="http://schemas.microsoft.com/office/spreadsheetml/2009/9/main" uri="{B025F937-C7B1-47D3-B67F-A62EFF666E3E}">
          <x14:id>{BDD5D7A0-5A76-4143-8AC8-88C3D184A7D9}</x14:id>
        </ext>
      </extLst>
    </cfRule>
  </conditionalFormatting>
  <conditionalFormatting sqref="F42:J46">
    <cfRule type="dataBar" priority="7498">
      <dataBar>
        <cfvo type="min"/>
        <cfvo type="num" val="4"/>
        <color rgb="FFFFC000"/>
      </dataBar>
      <extLst>
        <ext xmlns:x14="http://schemas.microsoft.com/office/spreadsheetml/2009/9/main" uri="{B025F937-C7B1-47D3-B67F-A62EFF666E3E}">
          <x14:id>{6621C3A7-CFE1-4625-89B8-FFE407902BE1}</x14:id>
        </ext>
      </extLst>
    </cfRule>
  </conditionalFormatting>
  <conditionalFormatting sqref="F47:J47">
    <cfRule type="cellIs" dxfId="215" priority="7500" stopIfTrue="1" operator="notBetween">
      <formula>1</formula>
      <formula>4</formula>
    </cfRule>
    <cfRule type="dataBar" priority="7501">
      <dataBar>
        <cfvo type="min"/>
        <cfvo type="num" val="4"/>
        <color rgb="FFFFC000"/>
      </dataBar>
      <extLst>
        <ext xmlns:x14="http://schemas.microsoft.com/office/spreadsheetml/2009/9/main" uri="{B025F937-C7B1-47D3-B67F-A62EFF666E3E}">
          <x14:id>{DF17E12F-2C54-4B67-9962-531B7E040F19}</x14:id>
        </ext>
      </extLst>
    </cfRule>
  </conditionalFormatting>
  <conditionalFormatting sqref="F48:J48">
    <cfRule type="dataBar" priority="36">
      <dataBar>
        <cfvo type="min"/>
        <cfvo type="num" val="4"/>
        <color rgb="FFFFC000"/>
      </dataBar>
      <extLst>
        <ext xmlns:x14="http://schemas.microsoft.com/office/spreadsheetml/2009/9/main" uri="{B025F937-C7B1-47D3-B67F-A62EFF666E3E}">
          <x14:id>{728F403B-7C89-487F-B15D-0AEC08C1987B}</x14:id>
        </ext>
      </extLst>
    </cfRule>
  </conditionalFormatting>
  <conditionalFormatting sqref="F49:J248">
    <cfRule type="dataBar" priority="7546">
      <dataBar>
        <cfvo type="min"/>
        <cfvo type="num" val="4"/>
        <color rgb="FFFFC000"/>
      </dataBar>
      <extLst>
        <ext xmlns:x14="http://schemas.microsoft.com/office/spreadsheetml/2009/9/main" uri="{B025F937-C7B1-47D3-B67F-A62EFF666E3E}">
          <x14:id>{02EBBB2B-9AFA-49B3-9DE3-D9FECD7308CA}</x14:id>
        </ext>
      </extLst>
    </cfRule>
  </conditionalFormatting>
  <conditionalFormatting sqref="F579:J594 G570:J578 F249:J569">
    <cfRule type="dataBar" priority="7631">
      <dataBar>
        <cfvo type="min"/>
        <cfvo type="num" val="4"/>
        <color rgb="FFFFC000"/>
      </dataBar>
      <extLst>
        <ext xmlns:x14="http://schemas.microsoft.com/office/spreadsheetml/2009/9/main" uri="{B025F937-C7B1-47D3-B67F-A62EFF666E3E}">
          <x14:id>{2EE27589-4012-4139-AFEA-BDAD27C17E09}</x14:id>
        </ext>
      </extLst>
    </cfRule>
  </conditionalFormatting>
  <conditionalFormatting sqref="F2:K594">
    <cfRule type="containsBlanks" dxfId="214" priority="21">
      <formula>LEN(TRIM(F2))=0</formula>
    </cfRule>
  </conditionalFormatting>
  <conditionalFormatting sqref="K1">
    <cfRule type="containsBlanks" dxfId="213" priority="69">
      <formula>LEN(TRIM(K1))=0</formula>
    </cfRule>
  </conditionalFormatting>
  <conditionalFormatting sqref="K1:K41">
    <cfRule type="dataBar" priority="7954">
      <dataBar>
        <cfvo type="min"/>
        <cfvo type="max"/>
        <color rgb="FF3FCDFF"/>
      </dataBar>
      <extLst>
        <ext xmlns:x14="http://schemas.microsoft.com/office/spreadsheetml/2009/9/main" uri="{B025F937-C7B1-47D3-B67F-A62EFF666E3E}">
          <x14:id>{B5E83B2D-0374-4072-BEDA-E50576C8BB57}</x14:id>
        </ext>
      </extLst>
    </cfRule>
  </conditionalFormatting>
  <conditionalFormatting sqref="K42:K46">
    <cfRule type="dataBar" priority="7499">
      <dataBar>
        <cfvo type="min"/>
        <cfvo type="max"/>
        <color rgb="FF3FCDFF"/>
      </dataBar>
      <extLst>
        <ext xmlns:x14="http://schemas.microsoft.com/office/spreadsheetml/2009/9/main" uri="{B025F937-C7B1-47D3-B67F-A62EFF666E3E}">
          <x14:id>{0C28E83C-6DDC-4A10-B92A-2AC19596BE9B}</x14:id>
        </ext>
      </extLst>
    </cfRule>
  </conditionalFormatting>
  <conditionalFormatting sqref="K47">
    <cfRule type="dataBar" priority="7504">
      <dataBar>
        <cfvo type="min"/>
        <cfvo type="max"/>
        <color rgb="FF3FCDFF"/>
      </dataBar>
      <extLst>
        <ext xmlns:x14="http://schemas.microsoft.com/office/spreadsheetml/2009/9/main" uri="{B025F937-C7B1-47D3-B67F-A62EFF666E3E}">
          <x14:id>{B40B2BE7-8170-4BDF-A0AE-8B1ADCE701F7}</x14:id>
        </ext>
      </extLst>
    </cfRule>
  </conditionalFormatting>
  <conditionalFormatting sqref="K48">
    <cfRule type="dataBar" priority="37">
      <dataBar>
        <cfvo type="min"/>
        <cfvo type="max"/>
        <color rgb="FF3FCDFF"/>
      </dataBar>
      <extLst>
        <ext xmlns:x14="http://schemas.microsoft.com/office/spreadsheetml/2009/9/main" uri="{B025F937-C7B1-47D3-B67F-A62EFF666E3E}">
          <x14:id>{34EBC6F7-E675-4E43-A6CA-E5E42B4B8384}</x14:id>
        </ext>
      </extLst>
    </cfRule>
  </conditionalFormatting>
  <conditionalFormatting sqref="K49:K594">
    <cfRule type="dataBar" priority="7633">
      <dataBar>
        <cfvo type="min"/>
        <cfvo type="max"/>
        <color rgb="FF3FCDFF"/>
      </dataBar>
      <extLst>
        <ext xmlns:x14="http://schemas.microsoft.com/office/spreadsheetml/2009/9/main" uri="{B025F937-C7B1-47D3-B67F-A62EFF666E3E}">
          <x14:id>{D00AEB03-79ED-48E9-9CCA-4045C96D7699}</x14:id>
        </ext>
      </extLst>
    </cfRule>
  </conditionalFormatting>
  <conditionalFormatting sqref="K595:K810">
    <cfRule type="containsBlanks" dxfId="212" priority="13">
      <formula>LEN(TRIM(K595))=0</formula>
    </cfRule>
    <cfRule type="dataBar" priority="14">
      <dataBar>
        <cfvo type="min"/>
        <cfvo type="max"/>
        <color rgb="FF3FCDFF"/>
      </dataBar>
      <extLst>
        <ext xmlns:x14="http://schemas.microsoft.com/office/spreadsheetml/2009/9/main" uri="{B025F937-C7B1-47D3-B67F-A62EFF666E3E}">
          <x14:id>{BC50288A-C672-4A14-9B7B-8DCCFADBE899}</x14:id>
        </ext>
      </extLst>
    </cfRule>
  </conditionalFormatting>
  <conditionalFormatting sqref="F595:J678">
    <cfRule type="dataBar" priority="12">
      <dataBar>
        <cfvo type="min"/>
        <cfvo type="num" val="4"/>
        <color rgb="FFFFC000"/>
      </dataBar>
      <extLst>
        <ext xmlns:x14="http://schemas.microsoft.com/office/spreadsheetml/2009/9/main" uri="{B025F937-C7B1-47D3-B67F-A62EFF666E3E}">
          <x14:id>{E73D8729-A249-45D5-8220-4CB6BAB082BC}</x14:id>
        </ext>
      </extLst>
    </cfRule>
  </conditionalFormatting>
  <conditionalFormatting sqref="F595:J678">
    <cfRule type="containsBlanks" dxfId="211" priority="11">
      <formula>LEN(TRIM(F595))=0</formula>
    </cfRule>
  </conditionalFormatting>
  <conditionalFormatting sqref="F679:J762">
    <cfRule type="dataBar" priority="10">
      <dataBar>
        <cfvo type="min"/>
        <cfvo type="num" val="4"/>
        <color rgb="FFFFC000"/>
      </dataBar>
      <extLst>
        <ext xmlns:x14="http://schemas.microsoft.com/office/spreadsheetml/2009/9/main" uri="{B025F937-C7B1-47D3-B67F-A62EFF666E3E}">
          <x14:id>{B8E7FD96-584F-403B-90EA-1CDA6AB1F65A}</x14:id>
        </ext>
      </extLst>
    </cfRule>
  </conditionalFormatting>
  <conditionalFormatting sqref="F679:J762">
    <cfRule type="containsBlanks" dxfId="210" priority="9">
      <formula>LEN(TRIM(F679))=0</formula>
    </cfRule>
  </conditionalFormatting>
  <conditionalFormatting sqref="F763:J774">
    <cfRule type="dataBar" priority="8">
      <dataBar>
        <cfvo type="min"/>
        <cfvo type="num" val="4"/>
        <color rgb="FFFFC000"/>
      </dataBar>
      <extLst>
        <ext xmlns:x14="http://schemas.microsoft.com/office/spreadsheetml/2009/9/main" uri="{B025F937-C7B1-47D3-B67F-A62EFF666E3E}">
          <x14:id>{16DA9265-163B-4572-8F98-BFA44FDB785B}</x14:id>
        </ext>
      </extLst>
    </cfRule>
  </conditionalFormatting>
  <conditionalFormatting sqref="F763:J774">
    <cfRule type="containsBlanks" dxfId="209" priority="7">
      <formula>LEN(TRIM(F763))=0</formula>
    </cfRule>
  </conditionalFormatting>
  <conditionalFormatting sqref="F775:J786">
    <cfRule type="dataBar" priority="6">
      <dataBar>
        <cfvo type="min"/>
        <cfvo type="num" val="4"/>
        <color rgb="FFFFC000"/>
      </dataBar>
      <extLst>
        <ext xmlns:x14="http://schemas.microsoft.com/office/spreadsheetml/2009/9/main" uri="{B025F937-C7B1-47D3-B67F-A62EFF666E3E}">
          <x14:id>{DB8CE4DC-E798-48E8-95E7-927DA757FC2A}</x14:id>
        </ext>
      </extLst>
    </cfRule>
  </conditionalFormatting>
  <conditionalFormatting sqref="F775:J786">
    <cfRule type="containsBlanks" dxfId="208" priority="5">
      <formula>LEN(TRIM(F775))=0</formula>
    </cfRule>
  </conditionalFormatting>
  <conditionalFormatting sqref="F787:J798">
    <cfRule type="dataBar" priority="4">
      <dataBar>
        <cfvo type="min"/>
        <cfvo type="num" val="4"/>
        <color rgb="FFFFC000"/>
      </dataBar>
      <extLst>
        <ext xmlns:x14="http://schemas.microsoft.com/office/spreadsheetml/2009/9/main" uri="{B025F937-C7B1-47D3-B67F-A62EFF666E3E}">
          <x14:id>{C99A0191-792E-4F8F-B5A5-68D520EB0599}</x14:id>
        </ext>
      </extLst>
    </cfRule>
  </conditionalFormatting>
  <conditionalFormatting sqref="F787:J798">
    <cfRule type="containsBlanks" dxfId="207" priority="3">
      <formula>LEN(TRIM(F787))=0</formula>
    </cfRule>
  </conditionalFormatting>
  <conditionalFormatting sqref="F799:J810">
    <cfRule type="dataBar" priority="2">
      <dataBar>
        <cfvo type="min"/>
        <cfvo type="num" val="4"/>
        <color rgb="FFFFC000"/>
      </dataBar>
      <extLst>
        <ext xmlns:x14="http://schemas.microsoft.com/office/spreadsheetml/2009/9/main" uri="{B025F937-C7B1-47D3-B67F-A62EFF666E3E}">
          <x14:id>{ACB7456E-5BE0-4BC0-9C5A-CE7B83A9831F}</x14:id>
        </ext>
      </extLst>
    </cfRule>
  </conditionalFormatting>
  <conditionalFormatting sqref="F799:J810">
    <cfRule type="containsBlanks" dxfId="206" priority="1">
      <formula>LEN(TRIM(F799))=0</formula>
    </cfRule>
  </conditionalFormatting>
  <hyperlinks>
    <hyperlink ref="E12:E41" r:id="rId1" display="https://ec.europa.eu/eurostat/databrowser/view/DS-056120__custom_6262207/default/table" xr:uid="{FA62216D-99D2-4325-87E7-7BDAC7052D9D}"/>
    <hyperlink ref="E226" r:id="rId2" display="https://ec.europa.eu/eurostat/databrowser/view/DS-056120__custom_6262207/default/table" xr:uid="{F7357E44-0440-4F8F-AA59-0D6F51039446}"/>
    <hyperlink ref="E175" r:id="rId3" display="https://ec.europa.eu/eurostat/databrowser/view/DS-056120__custom_6262207/default/table" xr:uid="{AAA68EE9-3739-4A9D-9979-802B7EF386C7}"/>
    <hyperlink ref="E205" r:id="rId4" display="https://ec.europa.eu/eurostat/databrowser/view/DS-056120__custom_6262207/default/table" xr:uid="{639B3874-B030-45EA-86FE-BFA47173B4CE}"/>
    <hyperlink ref="E83" r:id="rId5" display="https://ec.europa.eu/eurostat/databrowser/view/DS-056120__custom_6262207/default/table" xr:uid="{60C1F36D-F5C0-4A29-B862-8F9746869510}"/>
    <hyperlink ref="E52" r:id="rId6" display="https://ec.europa.eu/eurostat/databrowser/view/DS-056120__custom_6262207/default/table" xr:uid="{48582179-9A5F-4715-93A1-6B9D4613DAE1}"/>
    <hyperlink ref="E189" r:id="rId7" display="https://ec.europa.eu/eurostat/databrowser/view/DS-056120__custom_6262207/default/table" xr:uid="{4AB33007-D0B1-403C-B9DD-B460A3D7091B}"/>
    <hyperlink ref="E122" r:id="rId8" display="https://ec.europa.eu/eurostat/databrowser/view/DS-056120__custom_6262207/default/table" xr:uid="{074B3EF4-6D72-499A-8A6B-3388900B8D87}"/>
    <hyperlink ref="E15" r:id="rId9" display="https://ec.europa.eu/eurostat/databrowser/view/DS-056120__custom_6262207/default/table" xr:uid="{97438B8D-17D0-4DAD-858A-4327B1D754F8}"/>
    <hyperlink ref="E47" r:id="rId10" display="https://ec.europa.eu/eurostat/databrowser/view/DS-056120__custom_6262207/default/table" xr:uid="{04D44AE7-3011-4B0F-981C-D74C28BB82F0}"/>
    <hyperlink ref="E149" r:id="rId11" display="https://ec.europa.eu/eurostat/databrowser/view/DS-056120__custom_6262207/default/table" xr:uid="{2BA3E80F-761D-4AB1-8EAE-CCACF79C721A}"/>
    <hyperlink ref="E96" r:id="rId12" display="https://ec.europa.eu/eurostat/databrowser/view/DS-056120__custom_6262207/default/table" xr:uid="{7D0F81FF-1BAD-4CF0-8836-252003C8B0B9}"/>
    <hyperlink ref="E147" r:id="rId13" display="https://ec.europa.eu/eurostat/databrowser/view/DS-056120__custom_6262207/default/table" xr:uid="{A73BC1B7-93CF-4D11-8028-82B0C5B5E3FA}"/>
    <hyperlink ref="E241" r:id="rId14" display="https://ec.europa.eu/eurostat/databrowser/view/DS-056120__custom_6262207/default/table" xr:uid="{020268D7-9FE8-4116-AFEF-1CAE5D73591C}"/>
    <hyperlink ref="E228" r:id="rId15" display="https://ec.europa.eu/eurostat/databrowser/view/DS-056120__custom_6262207/default/table" xr:uid="{B36B605D-D559-4AE2-86B2-A2F0A966F1A4}"/>
    <hyperlink ref="E170" r:id="rId16" display="https://ec.europa.eu/eurostat/databrowser/view/DS-056120__custom_6262207/default/table" xr:uid="{A76CB40F-875B-437E-BD61-9AE5248A2044}"/>
    <hyperlink ref="E206" r:id="rId17" display="https://ec.europa.eu/eurostat/databrowser/view/DS-056120__custom_6262207/default/table" xr:uid="{BEDD2980-4097-4DFB-8E2C-14E22AD7549E}"/>
    <hyperlink ref="E65" r:id="rId18" display="https://ec.europa.eu/eurostat/databrowser/view/DS-056120__custom_6262207/default/table" xr:uid="{8EBD8975-4ECF-4558-B078-98AB41184F3D}"/>
    <hyperlink ref="E48" r:id="rId19" display="https://ec.europa.eu/eurostat/databrowser/view/DS-056120__custom_6262207/default/table" xr:uid="{815116A1-54CB-496E-9063-93F29A855B88}"/>
    <hyperlink ref="E193" r:id="rId20" display="https://ec.europa.eu/eurostat/databrowser/view/DS-056120__custom_6262207/default/table" xr:uid="{66D58C65-2059-438A-809E-C220A1F74B8D}"/>
    <hyperlink ref="E124" r:id="rId21" display="https://ec.europa.eu/eurostat/databrowser/view/DS-056120__custom_6262207/default/table" xr:uid="{4EB45444-EF2E-4322-BB78-025D78A95475}"/>
    <hyperlink ref="E25" r:id="rId22" display="https://ec.europa.eu/eurostat/databrowser/view/DS-056120__custom_6262207/default/table" xr:uid="{93A74A06-7292-4762-A570-A212C90030A8}"/>
    <hyperlink ref="E37" r:id="rId23" display="https://ec.europa.eu/eurostat/databrowser/view/DS-056120__custom_6262207/default/table" xr:uid="{92C2D562-B036-491F-8A56-29B2FC376A4E}"/>
    <hyperlink ref="E139" r:id="rId24" display="https://ec.europa.eu/eurostat/databrowser/view/DS-056120__custom_6262207/default/table" xr:uid="{75A7F282-ACF9-4222-AEDA-FB5731E0F2DC}"/>
    <hyperlink ref="E88" r:id="rId25" display="https://ec.europa.eu/eurostat/databrowser/view/DS-056120__custom_6262207/default/table" xr:uid="{E5BEB830-CEE8-4BD0-AE68-C0433BE73F26}"/>
    <hyperlink ref="E148" r:id="rId26" display="https://ec.europa.eu/eurostat/databrowser/view/DS-056120__custom_6262207/default/table" xr:uid="{5E6651DA-AFAD-4E0D-8585-BE498BE1D6B1}"/>
    <hyperlink ref="E232" r:id="rId27" display="https://ec.europa.eu/eurostat/databrowser/view/DS-056120__custom_6262207/default/table" xr:uid="{D876076F-3F4A-4E59-8084-D6F2D9A38847}"/>
    <hyperlink ref="E229" r:id="rId28" display="https://ec.europa.eu/eurostat/databrowser/view/DS-056120__custom_6262207/default/table" xr:uid="{BFFC914F-40D9-43E5-AC4C-989869F36B11}"/>
    <hyperlink ref="E169" r:id="rId29" display="https://ec.europa.eu/eurostat/databrowser/view/DS-056120__custom_6262207/default/table" xr:uid="{D7E4D747-87DA-4BAD-9476-8FB47B8F7614}"/>
    <hyperlink ref="E208" r:id="rId30" display="https://ec.europa.eu/eurostat/databrowser/view/DS-056120__custom_6262207/default/table" xr:uid="{BB6000A7-7C1B-49A1-8B91-BCEAC978FE44}"/>
    <hyperlink ref="E67" r:id="rId31" display="https://ec.europa.eu/eurostat/databrowser/view/DS-056120__custom_6262207/default/table" xr:uid="{817F010F-4F15-4A22-A032-F080671C4C90}"/>
    <hyperlink ref="E39" r:id="rId32" display="https://ec.europa.eu/eurostat/databrowser/view/DS-056120__custom_6262207/default/table" xr:uid="{A327A556-88F9-4BBC-A6BA-8241682A6571}"/>
    <hyperlink ref="E190" r:id="rId33" display="https://ec.europa.eu/eurostat/databrowser/view/DS-056120__custom_6262207/default/table" xr:uid="{603CB061-6F91-4CAE-8C1A-F3C033A754C1}"/>
    <hyperlink ref="E163" r:id="rId34" display="https://ec.europa.eu/eurostat/databrowser/view/DS-056120__custom_6262207/default/table" xr:uid="{63178A06-93C6-4D49-9B7D-FE57945DF181}"/>
    <hyperlink ref="E23" r:id="rId35" display="https://ec.europa.eu/eurostat/databrowser/view/DS-056120__custom_6262207/default/table" xr:uid="{81E5B93B-1AC3-40DD-839F-B3BF0727877D}"/>
    <hyperlink ref="E40" r:id="rId36" display="https://ec.europa.eu/eurostat/databrowser/view/DS-056120__custom_6262207/default/table" xr:uid="{620D4A95-D380-49FA-849A-B42D7B524824}"/>
    <hyperlink ref="E156" r:id="rId37" display="https://ec.europa.eu/eurostat/databrowser/view/DS-056120__custom_6262207/default/table" xr:uid="{EAEEB634-65AC-419D-B4FC-9DAC3AE93C1A}"/>
    <hyperlink ref="E106" r:id="rId38" display="https://ec.europa.eu/eurostat/databrowser/view/DS-056120__custom_6262207/default/table" xr:uid="{5CAFF530-DF67-4940-999A-9005C7888439}"/>
    <hyperlink ref="E153" r:id="rId39" display="https://ec.europa.eu/eurostat/databrowser/view/DS-056120__custom_6262207/default/table" xr:uid="{7E33A4D4-EA7A-4C22-A369-5179ABE53654}"/>
    <hyperlink ref="E251" r:id="rId40" display="https://ec.europa.eu/eurostat/databrowser/view/DS-056120__custom_6262207/default/table" xr:uid="{4830C96D-B90D-4F81-9916-61F5FA245942}"/>
    <hyperlink ref="E230" r:id="rId41" display="https://ec.europa.eu/eurostat/databrowser/view/DS-056120__custom_6262207/default/table" xr:uid="{AB40965A-199B-4799-ABCC-CAB19D2ACF73}"/>
    <hyperlink ref="E165" r:id="rId42" display="https://ec.europa.eu/eurostat/databrowser/view/DS-056120__custom_6262207/default/table" xr:uid="{E575B10C-62F8-401F-A60B-3397F0BADDF7}"/>
    <hyperlink ref="E216" r:id="rId43" display="https://ec.europa.eu/eurostat/databrowser/view/DS-056120__custom_6262207/default/table" xr:uid="{BACBAA1B-C0D4-46BF-8073-716CF1BBA59F}"/>
    <hyperlink ref="E97" r:id="rId44" display="https://ec.europa.eu/eurostat/databrowser/view/DS-056120__custom_6262207/default/table" xr:uid="{4343DA6A-605E-4CAD-9D3C-61EE03D179BB}"/>
    <hyperlink ref="E44" r:id="rId45" display="https://ec.europa.eu/eurostat/databrowser/view/DS-056120__custom_6262207/default/table" xr:uid="{445614CE-054B-45CD-AC54-D10697E1D798}"/>
    <hyperlink ref="E188" r:id="rId46" display="https://ec.europa.eu/eurostat/databrowser/view/DS-056120__custom_6262207/default/table" xr:uid="{CF746984-99A4-4749-9DE4-7B7940028D74}"/>
    <hyperlink ref="E138" r:id="rId47" display="https://ec.europa.eu/eurostat/databrowser/view/DS-056120__custom_6262207/default/table" xr:uid="{4041A354-0376-4A2F-B8DC-7D13ECCA8282}"/>
    <hyperlink ref="E26" r:id="rId48" display="https://ec.europa.eu/eurostat/databrowser/view/DS-056120__custom_6262207/default/table" xr:uid="{65E91711-EFEB-44A5-89AF-32745E77207B}"/>
    <hyperlink ref="E36" r:id="rId49" display="https://ec.europa.eu/eurostat/databrowser/view/DS-056120__custom_6262207/default/table" xr:uid="{A3F58618-2E39-4D84-80E1-F8198C8FDE39}"/>
    <hyperlink ref="E151" r:id="rId50" display="https://ec.europa.eu/eurostat/databrowser/view/DS-056120__custom_6262207/default/table" xr:uid="{8757F067-288B-457F-9492-9ECBCF13F6B2}"/>
    <hyperlink ref="E112" r:id="rId51" display="https://ec.europa.eu/eurostat/databrowser/view/DS-056120__custom_6262207/default/table" xr:uid="{83657B03-3C41-400C-AC4A-47BF59FE7E35}"/>
    <hyperlink ref="E154" r:id="rId52" display="https://ec.europa.eu/eurostat/databrowser/view/DS-056120__custom_6262207/default/table" xr:uid="{1E293B25-C409-463E-B500-E63FEE9CA961}"/>
    <hyperlink ref="E258" r:id="rId53" display="https://ec.europa.eu/eurostat/databrowser/view/DS-056120__custom_6262207/default/table" xr:uid="{27C5BE5D-0BD9-4091-A7E9-7F5770DBEC93}"/>
    <hyperlink ref="E257" r:id="rId54" display="https://ec.europa.eu/eurostat/databrowser/view/DS-056120__custom_6262207/default/table" xr:uid="{09A93D8D-7488-4B8C-8422-10AB388F47AC}"/>
    <hyperlink ref="E182" r:id="rId55" display="https://ec.europa.eu/eurostat/databrowser/view/DS-056120__custom_6262207/default/table" xr:uid="{A634397F-CE41-4BA1-B7D3-D8C133A374EE}"/>
    <hyperlink ref="E221" r:id="rId56" display="https://ec.europa.eu/eurostat/databrowser/view/DS-056120__custom_6262207/default/table" xr:uid="{C38FC6CA-EB2B-4C2C-A4CD-DD0E8EE69AD2}"/>
    <hyperlink ref="E85" r:id="rId57" display="https://ec.europa.eu/eurostat/databrowser/view/DS-056120__custom_6262207/default/table" xr:uid="{F98CC72B-AF8F-46AD-BEF3-D6791C0D16C8}"/>
    <hyperlink ref="E55" r:id="rId58" display="https://ec.europa.eu/eurostat/databrowser/view/DS-056120__custom_6262207/default/table" xr:uid="{138F8628-BFD6-4498-913C-9076223E71A7}"/>
    <hyperlink ref="E184" r:id="rId59" display="https://ec.europa.eu/eurostat/databrowser/view/DS-056120__custom_6262207/default/table" xr:uid="{34736F90-A239-4A70-B2BF-3A7AFD504DEF}"/>
    <hyperlink ref="E129" r:id="rId60" display="https://ec.europa.eu/eurostat/databrowser/view/DS-056120__custom_6262207/default/table" xr:uid="{11A1AA83-C59B-4112-BBA2-6AA8D9D0D81A}"/>
    <hyperlink ref="E32" r:id="rId61" display="https://ec.europa.eu/eurostat/databrowser/view/DS-056120__custom_6262207/default/table" xr:uid="{2524089A-72C2-45AB-A78D-1D1DA477B374}"/>
    <hyperlink ref="E51" r:id="rId62" display="https://ec.europa.eu/eurostat/databrowser/view/DS-056120__custom_6262207/default/table" xr:uid="{141C221D-A3F8-43CB-B4A2-6BE91C1B6E60}"/>
    <hyperlink ref="E159" r:id="rId63" display="https://ec.europa.eu/eurostat/databrowser/view/DS-056120__custom_6262207/default/table" xr:uid="{1B7FC9DD-C3D5-4ABA-8B15-CEEA54FBD590}"/>
    <hyperlink ref="E123" r:id="rId64" display="https://ec.europa.eu/eurostat/databrowser/view/DS-056120__custom_6262207/default/table" xr:uid="{EF0B892D-F667-4B93-AE67-D0084B28882A}"/>
    <hyperlink ref="E120" r:id="rId65" display="https://ec.europa.eu/eurostat/databrowser/view/DS-056120__custom_6262207/default/table" xr:uid="{65BD3D2D-9FD4-4C8E-B8E2-DC54D25FBAE6}"/>
    <hyperlink ref="E256" r:id="rId66" display="https://ec.europa.eu/eurostat/databrowser/view/DS-056120__custom_6262207/default/table" xr:uid="{74C423DC-5ABC-4D08-8E67-90D976A30D22}"/>
    <hyperlink ref="E237" r:id="rId67" display="https://ec.europa.eu/eurostat/databrowser/view/DS-056120__custom_6262207/default/table" xr:uid="{DDA2CDF6-3205-42C1-BBA0-9EAFC05826D3}"/>
    <hyperlink ref="E167" r:id="rId68" display="https://ec.europa.eu/eurostat/databrowser/view/DS-056120__custom_6262207/default/table" xr:uid="{E768E35C-6767-40B7-B7AB-FBB4F055AA9A}"/>
    <hyperlink ref="E217" r:id="rId69" display="https://ec.europa.eu/eurostat/databrowser/view/DS-056120__custom_6262207/default/table" xr:uid="{C932BB5A-D2B3-4E59-935F-8172874F8D18}"/>
    <hyperlink ref="E73" r:id="rId70" display="https://ec.europa.eu/eurostat/databrowser/view/DS-056120__custom_6262207/default/table" xr:uid="{1AB979FB-0931-4CE0-8549-91B3653A2FE3}"/>
    <hyperlink ref="E53" r:id="rId71" display="https://ec.europa.eu/eurostat/databrowser/view/DS-056120__custom_6262207/default/table" xr:uid="{5B3FB41A-4937-476E-A6AD-4C3D05421A46}"/>
    <hyperlink ref="E173" r:id="rId72" display="https://ec.europa.eu/eurostat/databrowser/view/DS-056120__custom_6262207/default/table" xr:uid="{E54ACFB7-4579-493E-8EDB-7D2B0C2341D7}"/>
    <hyperlink ref="E143" r:id="rId73" display="https://ec.europa.eu/eurostat/databrowser/view/DS-056120__custom_6262207/default/table" xr:uid="{995642C1-3A46-49C3-9B95-4D7C6E53E27B}"/>
    <hyperlink ref="E30" r:id="rId74" display="https://ec.europa.eu/eurostat/databrowser/view/DS-056120__custom_6262207/default/table" xr:uid="{05B2215F-7DF0-43D9-9D85-0047584BA1D0}"/>
    <hyperlink ref="E50" r:id="rId75" display="https://ec.europa.eu/eurostat/databrowser/view/DS-056120__custom_6262207/default/table" xr:uid="{500620E9-CAFB-44DE-B79B-1365B47B679E}"/>
    <hyperlink ref="E162" r:id="rId76" display="https://ec.europa.eu/eurostat/databrowser/view/DS-056120__custom_6262207/default/table" xr:uid="{1F37E7FA-AA1E-4A6E-8574-2136B38DE981}"/>
    <hyperlink ref="E116" r:id="rId77" display="https://ec.europa.eu/eurostat/databrowser/view/DS-056120__custom_6262207/default/table" xr:uid="{F074E7F0-0C3B-4B2C-9AEB-4678A5B515BE}"/>
    <hyperlink ref="E128" r:id="rId78" display="https://ec.europa.eu/eurostat/databrowser/view/DS-056120__custom_6262207/default/table" xr:uid="{7108A1BA-4F24-4C2C-9E46-25E723A75437}"/>
    <hyperlink ref="E254" r:id="rId79" display="https://ec.europa.eu/eurostat/databrowser/view/DS-056120__custom_6262207/default/table" xr:uid="{11FEC34D-B1EB-470E-A0EF-DA70051A8EDF}"/>
    <hyperlink ref="E222" r:id="rId80" display="https://ec.europa.eu/eurostat/databrowser/view/DS-056120__custom_6262207/default/table" xr:uid="{CF119CE2-4B11-4A73-B391-8347D9C3A28F}"/>
    <hyperlink ref="E164" r:id="rId81" display="https://ec.europa.eu/eurostat/databrowser/view/DS-056120__custom_6262207/default/table" xr:uid="{13AA22AB-9912-40AF-87D6-A950977FDDB1}"/>
    <hyperlink ref="E215" r:id="rId82" display="https://ec.europa.eu/eurostat/databrowser/view/DS-056120__custom_6262207/default/table" xr:uid="{78178A5D-6738-4C6C-B257-2D92EA114902}"/>
    <hyperlink ref="E69" r:id="rId83" display="https://ec.europa.eu/eurostat/databrowser/view/DS-056120__custom_6262207/default/table" xr:uid="{A7D446E4-1D21-4412-9A32-4687A1A7E121}"/>
    <hyperlink ref="E66" r:id="rId84" display="https://ec.europa.eu/eurostat/databrowser/view/DS-056120__custom_6262207/default/table" xr:uid="{21D904F2-444A-4ACF-AFE4-476FFE551049}"/>
    <hyperlink ref="E180" r:id="rId85" display="https://ec.europa.eu/eurostat/databrowser/view/DS-056120__custom_6262207/default/table" xr:uid="{504F8F8D-287E-4D59-8FE6-DDE58B6482A5}"/>
    <hyperlink ref="E137" r:id="rId86" display="https://ec.europa.eu/eurostat/databrowser/view/DS-056120__custom_6262207/default/table" xr:uid="{9B51FA60-21F8-47D9-8FCF-2BAEFB411CFE}"/>
    <hyperlink ref="E22" r:id="rId87" display="https://ec.europa.eu/eurostat/databrowser/view/DS-056120__custom_6262207/default/table" xr:uid="{A6033054-BB49-4524-92EA-B362E4AEDD0A}"/>
    <hyperlink ref="E49" r:id="rId88" display="https://ec.europa.eu/eurostat/databrowser/view/DS-056120__custom_6262207/default/table" xr:uid="{9E99276B-A918-4DE2-A8D1-02B8026C2514}"/>
    <hyperlink ref="E155" r:id="rId89" display="https://ec.europa.eu/eurostat/databrowser/view/DS-056120__custom_6262207/default/table" xr:uid="{A784C047-BB9D-4559-8917-4D2B364C8875}"/>
    <hyperlink ref="E93" r:id="rId90" display="https://ec.europa.eu/eurostat/databrowser/view/DS-056120__custom_6262207/default/table" xr:uid="{B42640E7-4A39-4845-83F1-E498DB161887}"/>
    <hyperlink ref="E105" r:id="rId91" display="https://ec.europa.eu/eurostat/databrowser/view/DS-056120__custom_6262207/default/table" xr:uid="{CFB49543-4C59-45AF-890B-E7CB05720FB4}"/>
    <hyperlink ref="E255" r:id="rId92" display="https://ec.europa.eu/eurostat/databrowser/view/DS-056120__custom_6262207/default/table" xr:uid="{2CF3DE66-7D7F-497D-A511-C8000FF9912B}"/>
    <hyperlink ref="E223" r:id="rId93" display="https://ec.europa.eu/eurostat/databrowser/view/DS-056120__custom_6262207/default/table" xr:uid="{D9D98352-DE59-4738-A846-D3FFEC94DDB4}"/>
    <hyperlink ref="E166" r:id="rId94" display="https://ec.europa.eu/eurostat/databrowser/view/DS-056120__custom_6262207/default/table" xr:uid="{902277A9-D602-4541-855E-C9631499BCF9}"/>
    <hyperlink ref="E207" r:id="rId95" display="https://ec.europa.eu/eurostat/databrowser/view/DS-056120__custom_6262207/default/table" xr:uid="{5A60A697-7F7F-4D5D-B938-FDA5607B6BE9}"/>
    <hyperlink ref="E59" r:id="rId96" display="https://ec.europa.eu/eurostat/databrowser/view/DS-056120__custom_6262207/default/table" xr:uid="{DE31EDA6-2C4C-4856-B36B-46E4FBA335B7}"/>
    <hyperlink ref="E64" r:id="rId97" display="https://ec.europa.eu/eurostat/databrowser/view/DS-056120__custom_6262207/default/table" xr:uid="{715DA212-24D7-4C73-BFB6-834A5B4318E1}"/>
    <hyperlink ref="E174" r:id="rId98" display="https://ec.europa.eu/eurostat/databrowser/view/DS-056120__custom_6262207/default/table" xr:uid="{36F52C0E-F579-4B1F-90FA-572365AFB496}"/>
    <hyperlink ref="E142" r:id="rId99" display="https://ec.europa.eu/eurostat/databrowser/view/DS-056120__custom_6262207/default/table" xr:uid="{E690EC34-B02D-4BA7-B06A-FF2CF798E09F}"/>
    <hyperlink ref="E21" r:id="rId100" display="https://ec.europa.eu/eurostat/databrowser/view/DS-056120__custom_6262207/default/table" xr:uid="{E9D0CD6C-D691-475C-891B-F1D5C45FFC9C}"/>
    <hyperlink ref="E45" r:id="rId101" display="https://ec.europa.eu/eurostat/databrowser/view/DS-056120__custom_6262207/default/table" xr:uid="{70A1D1FA-E23C-4E34-9A93-63DD1EB94737}"/>
    <hyperlink ref="E152" r:id="rId102" display="https://ec.europa.eu/eurostat/databrowser/view/DS-056120__custom_6262207/default/table" xr:uid="{307682E9-0B90-4C04-B1C7-D45499384D49}"/>
    <hyperlink ref="E121" r:id="rId103" display="https://ec.europa.eu/eurostat/databrowser/view/DS-056120__custom_6262207/default/table" xr:uid="{90F40EB5-42F1-46BD-A128-F37F517CE23C}"/>
    <hyperlink ref="E91" r:id="rId104" display="https://ec.europa.eu/eurostat/databrowser/view/DS-056120__custom_6262207/default/table" xr:uid="{9EC112F8-FC7C-493B-9C89-4D2A7F8BED3E}"/>
    <hyperlink ref="E250" r:id="rId105" display="https://ec.europa.eu/eurostat/databrowser/view/DS-056120__custom_6262207/default/table" xr:uid="{AAD5DE0F-BFD9-40FB-A513-741A7CFCD25C}"/>
    <hyperlink ref="E231" r:id="rId106" display="https://ec.europa.eu/eurostat/databrowser/view/DS-056120__custom_6262207/default/table" xr:uid="{EBFF7091-1479-4240-8066-3ADC0BE80F20}"/>
    <hyperlink ref="E172" r:id="rId107" display="https://ec.europa.eu/eurostat/databrowser/view/DS-056120__custom_6262207/default/table" xr:uid="{B00F491A-3977-4456-A317-63F89C4C90C9}"/>
    <hyperlink ref="E219" r:id="rId108" display="https://ec.europa.eu/eurostat/databrowser/view/DS-056120__custom_6262207/default/table" xr:uid="{8B906281-F496-4717-94DB-4F001723AA3D}"/>
    <hyperlink ref="E71" r:id="rId109" display="https://ec.europa.eu/eurostat/databrowser/view/DS-056120__custom_6262207/default/table" xr:uid="{5C0C44E1-1B31-436A-ABED-5BBC7B52318E}"/>
    <hyperlink ref="E56" r:id="rId110" display="https://ec.europa.eu/eurostat/databrowser/view/DS-056120__custom_6262207/default/table" xr:uid="{ACEB88B3-9535-493B-B09B-1CC86288F6F4}"/>
    <hyperlink ref="E183" r:id="rId111" display="https://ec.europa.eu/eurostat/databrowser/view/DS-056120__custom_6262207/default/table" xr:uid="{DEEDE50A-7BA6-4EED-8059-9D8DB4DD0B4D}"/>
    <hyperlink ref="E140" r:id="rId112" display="https://ec.europa.eu/eurostat/databrowser/view/DS-056120__custom_6262207/default/table" xr:uid="{B536EF1A-C96F-4C9C-A953-6EA6D661C572}"/>
    <hyperlink ref="E28" r:id="rId113" display="https://ec.europa.eu/eurostat/databrowser/view/DS-056120__custom_6262207/default/table" xr:uid="{4CCCD603-95C6-440F-9767-7B7C99377AED}"/>
    <hyperlink ref="E54" r:id="rId114" display="https://ec.europa.eu/eurostat/databrowser/view/DS-056120__custom_6262207/default/table" xr:uid="{B1A0AE89-9DBC-4A9C-A14C-760E9F6BCEBA}"/>
    <hyperlink ref="E160" r:id="rId115" display="https://ec.europa.eu/eurostat/databrowser/view/DS-056120__custom_6262207/default/table" xr:uid="{BD4D8A7B-7DBF-4202-BEE2-1404BAB6E88F}"/>
    <hyperlink ref="E103" r:id="rId116" display="https://ec.europa.eu/eurostat/databrowser/view/DS-056120__custom_6262207/default/table" xr:uid="{A37BCB3B-6F35-43E2-A5BC-8C82B61FBAC9}"/>
    <hyperlink ref="E92" r:id="rId117" display="https://ec.europa.eu/eurostat/databrowser/view/DS-056120__custom_6262207/default/table" xr:uid="{5FE2AA9B-0F19-4273-A628-297B46094EC3}"/>
    <hyperlink ref="E252" r:id="rId118" display="https://ec.europa.eu/eurostat/databrowser/view/DS-056120__custom_6262207/default/table" xr:uid="{7A00454C-DB88-4AC5-9A99-5CB9F06C7026}"/>
    <hyperlink ref="E246" r:id="rId119" display="https://ec.europa.eu/eurostat/databrowser/view/DS-056120__custom_6262207/default/table" xr:uid="{31D49310-24D9-47DE-A07D-D10194AE1C3B}"/>
    <hyperlink ref="E186" r:id="rId120" display="https://ec.europa.eu/eurostat/databrowser/view/DS-056120__custom_6262207/default/table" xr:uid="{EBA27910-1B40-484F-A84A-F61052E92A96}"/>
    <hyperlink ref="E212" r:id="rId121" display="https://ec.europa.eu/eurostat/databrowser/view/DS-056120__custom_6262207/default/table" xr:uid="{0FC6CF8F-8541-4113-B429-EA771724E9FF}"/>
    <hyperlink ref="E79" r:id="rId122" display="https://ec.europa.eu/eurostat/databrowser/view/DS-056120__custom_6262207/default/table" xr:uid="{7DBCFCE2-5C62-45E7-8E4F-9B4E94A56706}"/>
    <hyperlink ref="E80" r:id="rId123" display="https://ec.europa.eu/eurostat/databrowser/view/DS-056120__custom_6262207/default/table" xr:uid="{D2C47646-9E51-4425-BAAB-2CF1AE374F58}"/>
    <hyperlink ref="E202" r:id="rId124" display="https://ec.europa.eu/eurostat/databrowser/view/DS-056120__custom_6262207/default/table" xr:uid="{047BB462-ED2A-49A8-9D55-9D3000D4A93B}"/>
    <hyperlink ref="E107" r:id="rId125" display="https://ec.europa.eu/eurostat/databrowser/view/DS-056120__custom_6262207/default/table" xr:uid="{7D73CAC6-F295-42F2-BDD7-84C5D6A47D5E}"/>
    <hyperlink ref="E16" r:id="rId126" display="https://ec.europa.eu/eurostat/databrowser/view/DS-056120__custom_6262207/default/table" xr:uid="{0CD4A6DD-5C60-45B8-AACF-5E4218AFFFFA}"/>
    <hyperlink ref="E31" r:id="rId127" display="https://ec.europa.eu/eurostat/databrowser/view/DS-056120__custom_6262207/default/table" xr:uid="{19ADD158-39F5-411D-849D-F065A434212B}"/>
    <hyperlink ref="E118" r:id="rId128" display="https://ec.europa.eu/eurostat/databrowser/view/DS-056120__custom_6262207/default/table" xr:uid="{18BFB3AF-8892-436D-949F-2AAF6FB1B81A}"/>
    <hyperlink ref="E82" r:id="rId129" display="https://ec.europa.eu/eurostat/databrowser/view/DS-056120__custom_6262207/default/table" xr:uid="{A679FDCA-2AEF-4727-89AB-991D9C83EF62}"/>
    <hyperlink ref="E158" r:id="rId130" display="https://ec.europa.eu/eurostat/databrowser/view/DS-056120__custom_6262207/default/table" xr:uid="{4C932A66-90E3-4848-8998-6E608CBF5494}"/>
    <hyperlink ref="E244" r:id="rId131" display="https://ec.europa.eu/eurostat/databrowser/view/DS-056120__custom_6262207/default/table" xr:uid="{8B86C560-F110-4F71-80DF-00C328ED5605}"/>
    <hyperlink ref="E233" r:id="rId132" display="https://ec.europa.eu/eurostat/databrowser/view/DS-056120__custom_6262207/default/table" xr:uid="{69956A57-3EF4-4625-9642-FAF6880C7B15}"/>
    <hyperlink ref="E187" r:id="rId133" display="https://ec.europa.eu/eurostat/databrowser/view/DS-056120__custom_6262207/default/table" xr:uid="{9F911D22-4C1F-4586-AB49-E984F957705F}"/>
    <hyperlink ref="E214" r:id="rId134" display="https://ec.europa.eu/eurostat/databrowser/view/DS-056120__custom_6262207/default/table" xr:uid="{8E3AC6D3-F372-4A25-AE7F-4D7F7ACAEFC0}"/>
    <hyperlink ref="E70" r:id="rId135" display="https://ec.europa.eu/eurostat/databrowser/view/DS-056120__custom_6262207/default/table" xr:uid="{A696C432-1F1F-4C9E-B46A-2F0974801049}"/>
    <hyperlink ref="E81" r:id="rId136" display="https://ec.europa.eu/eurostat/databrowser/view/DS-056120__custom_6262207/default/table" xr:uid="{84763808-12E5-4E63-81DE-F6EAC32B1D83}"/>
    <hyperlink ref="E192" r:id="rId137" display="https://ec.europa.eu/eurostat/databrowser/view/DS-056120__custom_6262207/default/table" xr:uid="{1E077FB7-A7DC-409D-8F84-45CC902D38CA}"/>
    <hyperlink ref="E108" r:id="rId138" display="https://ec.europa.eu/eurostat/databrowser/view/DS-056120__custom_6262207/default/table" xr:uid="{63C6D533-B6C5-4C6E-B1E3-01826CEB7452}"/>
    <hyperlink ref="E13" r:id="rId139" display="https://ec.europa.eu/eurostat/databrowser/view/DS-056120__custom_6262207/default/table" xr:uid="{8F44FAA1-3048-4B4B-B491-348E5F638BD4}"/>
    <hyperlink ref="E29" r:id="rId140" display="https://ec.europa.eu/eurostat/databrowser/view/DS-056120__custom_6262207/default/table" xr:uid="{4B139865-9758-4D67-AC5A-89913DB22BAD}"/>
    <hyperlink ref="E98" r:id="rId141" display="https://ec.europa.eu/eurostat/databrowser/view/DS-056120__custom_6262207/default/table" xr:uid="{D5F34CBA-8065-4EDA-A429-CA62F3AC76BC}"/>
    <hyperlink ref="E77" r:id="rId142" display="https://ec.europa.eu/eurostat/databrowser/view/DS-056120__custom_6262207/default/table" xr:uid="{BE1EA2DB-9AD6-462D-8494-F8EE1D9A994A}"/>
    <hyperlink ref="E104" r:id="rId143" display="https://ec.europa.eu/eurostat/databrowser/view/DS-056120__custom_6262207/default/table" xr:uid="{0A5CEF3A-0D68-463F-9129-2A42F58DB98D}"/>
    <hyperlink ref="E220" r:id="rId144" display="https://ec.europa.eu/eurostat/databrowser/view/DS-056120__custom_6262207/default/table" xr:uid="{DA0E3320-D8A2-40C9-915B-5FB83EA7C5F9}"/>
    <hyperlink ref="E227" r:id="rId145" display="https://ec.europa.eu/eurostat/databrowser/view/DS-056120__custom_6262207/default/table" xr:uid="{850275B6-3DF8-4B45-ADAD-7BAD55121480}"/>
    <hyperlink ref="E181" r:id="rId146" display="https://ec.europa.eu/eurostat/databrowser/view/DS-056120__custom_6262207/default/table" xr:uid="{44BA45EA-0780-401D-BDCC-2315B011A0BC}"/>
    <hyperlink ref="E204" r:id="rId147" display="https://ec.europa.eu/eurostat/databrowser/view/DS-056120__custom_6262207/default/table" xr:uid="{F685FD71-6158-48E6-A86C-5D93DEC95C94}"/>
    <hyperlink ref="E68" r:id="rId148" display="https://ec.europa.eu/eurostat/databrowser/view/DS-056120__custom_6262207/default/table" xr:uid="{C2921C6C-183E-4310-86AE-98BBEC0888F6}"/>
    <hyperlink ref="E89" r:id="rId149" display="https://ec.europa.eu/eurostat/databrowser/view/DS-056120__custom_6262207/default/table" xr:uid="{5CDAD650-7D7C-431E-820D-49A8642C45FB}"/>
    <hyperlink ref="E198" r:id="rId150" display="https://ec.europa.eu/eurostat/databrowser/view/DS-056120__custom_6262207/default/table" xr:uid="{0D621963-E3C7-4B9B-B926-5BCE5A8D6D77}"/>
    <hyperlink ref="E126" r:id="rId151" display="https://ec.europa.eu/eurostat/databrowser/view/DS-056120__custom_6262207/default/table" xr:uid="{82693FF1-77C1-4D82-9B9B-92E1821C7615}"/>
    <hyperlink ref="E27" r:id="rId152" display="https://ec.europa.eu/eurostat/databrowser/view/DS-056120__custom_6262207/default/table" xr:uid="{D4D8697C-AAF5-44B1-A048-9171EF7B6E4B}"/>
    <hyperlink ref="E34" r:id="rId153" display="https://ec.europa.eu/eurostat/databrowser/view/DS-056120__custom_6262207/default/table" xr:uid="{A6D97456-8E83-4AB6-88A3-5F71D4098ED8}"/>
    <hyperlink ref="E150" r:id="rId154" display="https://ec.europa.eu/eurostat/databrowser/view/DS-056120__custom_6262207/default/table" xr:uid="{E133C31D-C0C5-4F14-B569-065A73D20BE2}"/>
    <hyperlink ref="E115" r:id="rId155" display="https://ec.europa.eu/eurostat/databrowser/view/DS-056120__custom_6262207/default/table" xr:uid="{FE00349D-0653-40B4-B783-B64B1D8A695A}"/>
    <hyperlink ref="E141" r:id="rId156" display="https://ec.europa.eu/eurostat/databrowser/view/DS-056120__custom_6262207/default/table" xr:uid="{F2FEF57D-DE2B-4C43-8108-45BF3C46B09D}"/>
    <hyperlink ref="E240" r:id="rId157" display="https://ec.europa.eu/eurostat/databrowser/view/DS-056120__custom_6262207/default/table" xr:uid="{16B96ACE-53B8-498F-9747-0C847F64ABFE}"/>
    <hyperlink ref="E225" r:id="rId158" display="https://ec.europa.eu/eurostat/databrowser/view/DS-056120__custom_6262207/default/table" xr:uid="{31C7C261-551F-4EAD-BC3B-E46FF0C79C14}"/>
    <hyperlink ref="E171" r:id="rId159" display="https://ec.europa.eu/eurostat/databrowser/view/DS-056120__custom_6262207/default/table" xr:uid="{769E7599-9127-4B8B-9EAF-ABE7DCBD380C}"/>
    <hyperlink ref="E201" r:id="rId160" display="https://ec.europa.eu/eurostat/databrowser/view/DS-056120__custom_6262207/default/table" xr:uid="{68463E13-6E0E-4DFF-ACCB-66F7057491EA}"/>
    <hyperlink ref="E58" r:id="rId161" display="https://ec.europa.eu/eurostat/databrowser/view/DS-056120__custom_6262207/default/table" xr:uid="{B1BAD422-A809-46D7-AA61-90F0BE062EE0}"/>
    <hyperlink ref="E63" r:id="rId162" display="https://ec.europa.eu/eurostat/databrowser/view/DS-056120__custom_6262207/default/table" xr:uid="{CB994268-37AB-410F-B82F-6B516375B137}"/>
    <hyperlink ref="E197" r:id="rId163" display="https://ec.europa.eu/eurostat/databrowser/view/DS-056120__custom_6262207/default/table" xr:uid="{80BE37EE-119E-4B69-9C58-BE0FDE3159B7}"/>
    <hyperlink ref="E133" r:id="rId164" display="https://ec.europa.eu/eurostat/databrowser/view/DS-056120__custom_6262207/default/table" xr:uid="{041C1D80-4F63-4006-A16B-B656D574C575}"/>
    <hyperlink ref="E12" r:id="rId165" display="https://ec.europa.eu/eurostat/databrowser/view/DS-056120__custom_6262207/default/table" xr:uid="{AF1D3306-F2B6-4439-90D1-9E73ACF20B8A}"/>
    <hyperlink ref="E33" r:id="rId166" display="https://ec.europa.eu/eurostat/databrowser/view/DS-056120__custom_6262207/default/table" xr:uid="{92AFF34D-7BC9-49F2-AD78-3C0D20E365DD}"/>
    <hyperlink ref="E99" r:id="rId167" display="https://ec.europa.eu/eurostat/databrowser/view/DS-056120__custom_6262207/default/table" xr:uid="{7ED05963-9324-4F91-B364-C6EC2785AD1B}"/>
    <hyperlink ref="E113" r:id="rId168" display="https://ec.europa.eu/eurostat/databrowser/view/DS-056120__custom_6262207/default/table" xr:uid="{3D317347-D6DD-4EEC-9E03-2DE3F444C134}"/>
    <hyperlink ref="E110" r:id="rId169" display="https://ec.europa.eu/eurostat/databrowser/view/DS-056120__custom_6262207/default/table" xr:uid="{DDDD2028-2C14-4D01-AFCC-1D87571A3696}"/>
    <hyperlink ref="E239" r:id="rId170" display="https://ec.europa.eu/eurostat/databrowser/view/DS-056120__custom_6262207/default/table" xr:uid="{7AE4B0B4-ED3E-425B-8B69-C93BC85A5605}"/>
    <hyperlink ref="E224" r:id="rId171" display="https://ec.europa.eu/eurostat/databrowser/view/DS-056120__custom_6262207/default/table" xr:uid="{C8009921-A7AA-46AD-987D-81DCB09E2301}"/>
    <hyperlink ref="E168" r:id="rId172" display="https://ec.europa.eu/eurostat/databrowser/view/DS-056120__custom_6262207/default/table" xr:uid="{AF8C82B7-10DD-494D-8298-C0ADBC31567C}"/>
    <hyperlink ref="E203" r:id="rId173" display="https://ec.europa.eu/eurostat/databrowser/view/DS-056120__custom_6262207/default/table" xr:uid="{1E619868-110F-4C8A-B3BE-38BDF11C05AB}"/>
    <hyperlink ref="E72" r:id="rId174" display="https://ec.europa.eu/eurostat/databrowser/view/DS-056120__custom_6262207/default/table" xr:uid="{608736EC-F429-4871-AFB2-5ADB95C2CDBD}"/>
    <hyperlink ref="E57" r:id="rId175" display="https://ec.europa.eu/eurostat/databrowser/view/DS-056120__custom_6262207/default/table" xr:uid="{901A35B7-7057-4675-88CC-1307507350CD}"/>
    <hyperlink ref="E176" r:id="rId176" display="https://ec.europa.eu/eurostat/databrowser/view/DS-056120__custom_6262207/default/table" xr:uid="{3D587A61-DCF6-4D5C-BA5A-91A3086604D1}"/>
    <hyperlink ref="E127" r:id="rId177" display="https://ec.europa.eu/eurostat/databrowser/view/DS-056120__custom_6262207/default/table" xr:uid="{6A041EE5-B9A5-4F6F-9F0A-240E2FFABF91}"/>
    <hyperlink ref="E14" r:id="rId178" display="https://ec.europa.eu/eurostat/databrowser/view/DS-056120__custom_6262207/default/table" xr:uid="{4C0D2C55-85E2-484D-8C64-75A10365D645}"/>
    <hyperlink ref="E38" r:id="rId179" display="https://ec.europa.eu/eurostat/databrowser/view/DS-056120__custom_6262207/default/table" xr:uid="{0226B09A-E1CC-474D-B4D6-19C23E76EF19}"/>
    <hyperlink ref="E86" r:id="rId180" display="https://ec.europa.eu/eurostat/databrowser/view/DS-056120__custom_6262207/default/table" xr:uid="{826958D0-927E-41E3-AD64-6720912CC4C0}"/>
    <hyperlink ref="E109" r:id="rId181" display="https://ec.europa.eu/eurostat/databrowser/view/DS-056120__custom_6262207/default/table" xr:uid="{F784F533-D1B4-4218-9FDD-2867F36D7117}"/>
    <hyperlink ref="E111" r:id="rId182" display="https://ec.europa.eu/eurostat/databrowser/view/DS-056120__custom_6262207/default/table" xr:uid="{97F0828C-ED62-4383-8282-5F444E598589}"/>
    <hyperlink ref="E238" r:id="rId183" display="https://ec.europa.eu/eurostat/databrowser/view/DS-056120__custom_6262207/default/table" xr:uid="{20E60270-3DFA-437B-9E1F-44B7C2AA1973}"/>
    <hyperlink ref="E234" r:id="rId184" display="https://ec.europa.eu/eurostat/databrowser/view/DS-056120__custom_6262207/default/table" xr:uid="{72E5A5A9-07B8-43B6-902F-9CD52E4A4CF0}"/>
    <hyperlink ref="E177" r:id="rId185" display="https://ec.europa.eu/eurostat/databrowser/view/DS-056120__custom_6262207/default/table" xr:uid="{C91CF5EE-5BA4-47C5-B331-70DA9126DE93}"/>
    <hyperlink ref="E209" r:id="rId186" display="https://ec.europa.eu/eurostat/databrowser/view/DS-056120__custom_6262207/default/table" xr:uid="{4F0A5CC5-88A4-4E43-900E-0B14E63D07B6}"/>
    <hyperlink ref="E74" r:id="rId187" display="https://ec.europa.eu/eurostat/databrowser/view/DS-056120__custom_6262207/default/table" xr:uid="{8C404125-896C-4532-904A-0D0D1DDD404E}"/>
    <hyperlink ref="E60" r:id="rId188" display="https://ec.europa.eu/eurostat/databrowser/view/DS-056120__custom_6262207/default/table" xr:uid="{D3E36456-205A-4CD9-8511-7681009BC63F}"/>
    <hyperlink ref="E194" r:id="rId189" display="https://ec.europa.eu/eurostat/databrowser/view/DS-056120__custom_6262207/default/table" xr:uid="{8CAA602F-6737-4200-AA82-CA7DF4C6F530}"/>
    <hyperlink ref="E134" r:id="rId190" display="https://ec.europa.eu/eurostat/databrowser/view/DS-056120__custom_6262207/default/table" xr:uid="{26D5C41C-7245-4AF9-97DF-6D2C7EB9D419}"/>
    <hyperlink ref="E18" r:id="rId191" display="https://ec.europa.eu/eurostat/databrowser/view/DS-056120__custom_6262207/default/table" xr:uid="{1C795AD4-2E8B-41B9-A34A-6313F818E873}"/>
    <hyperlink ref="E41" r:id="rId192" display="https://ec.europa.eu/eurostat/databrowser/view/DS-056120__custom_6262207/default/table" xr:uid="{08AEF4D2-53EE-4365-BBFD-0965193F9DB8}"/>
    <hyperlink ref="E144" r:id="rId193" display="https://ec.europa.eu/eurostat/databrowser/view/DS-056120__custom_6262207/default/table" xr:uid="{62DDAD73-F647-4324-8F42-8C9F4E4F6AF7}"/>
    <hyperlink ref="E100" r:id="rId194" display="https://ec.europa.eu/eurostat/databrowser/view/DS-056120__custom_6262207/default/table" xr:uid="{CE8BCEEF-FF81-4BD6-A0DA-BE888F8BB560}"/>
    <hyperlink ref="E130" r:id="rId195" display="https://ec.europa.eu/eurostat/databrowser/view/DS-056120__custom_6262207/default/table" xr:uid="{0AA9ECEA-2640-4F80-9247-5FBC49401508}"/>
    <hyperlink ref="E247" r:id="rId196" display="https://ec.europa.eu/eurostat/databrowser/view/DS-056120__custom_6262207/default/table" xr:uid="{7817AB04-9B50-41FC-9B08-84E8F07D32DF}"/>
    <hyperlink ref="E235" r:id="rId197" display="https://ec.europa.eu/eurostat/databrowser/view/DS-056120__custom_6262207/default/table" xr:uid="{66D6C95F-C0C0-4822-B11B-94CAE02DF53B}"/>
    <hyperlink ref="E178" r:id="rId198" display="https://ec.europa.eu/eurostat/databrowser/view/DS-056120__custom_6262207/default/table" xr:uid="{A171EA28-D68C-4B99-8211-B7B666FBEC36}"/>
    <hyperlink ref="E210" r:id="rId199" display="https://ec.europa.eu/eurostat/databrowser/view/DS-056120__custom_6262207/default/table" xr:uid="{71747C53-B463-4812-9862-EDD76572F0A2}"/>
    <hyperlink ref="E75" r:id="rId200" display="https://ec.europa.eu/eurostat/databrowser/view/DS-056120__custom_6262207/default/table" xr:uid="{CFD62BAB-362F-4FA4-939C-37533F65834B}"/>
    <hyperlink ref="E61" r:id="rId201" display="https://ec.europa.eu/eurostat/databrowser/view/DS-056120__custom_6262207/default/table" xr:uid="{DD67316C-31B0-4B5D-9D6C-6E0D3B4B9515}"/>
    <hyperlink ref="E195" r:id="rId202" display="https://ec.europa.eu/eurostat/databrowser/view/DS-056120__custom_6262207/default/table" xr:uid="{BBA6A314-0531-4EA2-923F-C379BAC91588}"/>
    <hyperlink ref="E135" r:id="rId203" display="https://ec.europa.eu/eurostat/databrowser/view/DS-056120__custom_6262207/default/table" xr:uid="{13566B24-11A3-46A2-91B0-8625F85F1AD6}"/>
    <hyperlink ref="E19" r:id="rId204" display="https://ec.europa.eu/eurostat/databrowser/view/DS-056120__custom_6262207/default/table" xr:uid="{3015EAB3-E040-4E45-8778-25FA498CC468}"/>
    <hyperlink ref="E42" r:id="rId205" display="https://ec.europa.eu/eurostat/databrowser/view/DS-056120__custom_6262207/default/table" xr:uid="{42CCC44D-A66E-44E4-9774-1E9ABB6A3373}"/>
    <hyperlink ref="E145" r:id="rId206" display="https://ec.europa.eu/eurostat/databrowser/view/DS-056120__custom_6262207/default/table" xr:uid="{5EC0482C-DE28-44EB-BBF5-51B9193E7D2C}"/>
    <hyperlink ref="E101" r:id="rId207" display="https://ec.europa.eu/eurostat/databrowser/view/DS-056120__custom_6262207/default/table" xr:uid="{87B01286-2E71-429C-BCA3-FAAD5E278319}"/>
    <hyperlink ref="E131" r:id="rId208" display="https://ec.europa.eu/eurostat/databrowser/view/DS-056120__custom_6262207/default/table" xr:uid="{96D9BF63-E647-4966-8038-65E2C055D15E}"/>
    <hyperlink ref="E248" r:id="rId209" display="https://ec.europa.eu/eurostat/databrowser/view/DS-056120__custom_6262207/default/table" xr:uid="{7FD831EF-1A56-4E1B-BD25-8399B6CD3424}"/>
    <hyperlink ref="E236" r:id="rId210" display="https://ec.europa.eu/eurostat/databrowser/view/DS-056120__custom_6262207/default/table" xr:uid="{BFF6B099-FCBD-4E52-A9C6-9B1D9452977E}"/>
    <hyperlink ref="E179" r:id="rId211" display="https://ec.europa.eu/eurostat/databrowser/view/DS-056120__custom_6262207/default/table" xr:uid="{2F10BC12-6DB5-4C48-8243-2C5794E98216}"/>
    <hyperlink ref="E211" r:id="rId212" display="https://ec.europa.eu/eurostat/databrowser/view/DS-056120__custom_6262207/default/table" xr:uid="{278952B1-18D5-4E14-86DF-6B4C696242FD}"/>
    <hyperlink ref="E76" r:id="rId213" display="https://ec.europa.eu/eurostat/databrowser/view/DS-056120__custom_6262207/default/table" xr:uid="{37873748-E433-417C-A313-285794212AF9}"/>
    <hyperlink ref="E62" r:id="rId214" display="https://ec.europa.eu/eurostat/databrowser/view/DS-056120__custom_6262207/default/table" xr:uid="{B7A47D6C-7043-4C44-B677-9CCD376D12C8}"/>
    <hyperlink ref="E196" r:id="rId215" display="https://ec.europa.eu/eurostat/databrowser/view/DS-056120__custom_6262207/default/table" xr:uid="{51BCA18D-8DCF-4FFE-8E94-9B6820511BC4}"/>
    <hyperlink ref="E136" r:id="rId216" display="https://ec.europa.eu/eurostat/databrowser/view/DS-056120__custom_6262207/default/table" xr:uid="{68D3F1DB-22A9-4DE4-B7D0-5C0B7AAC473A}"/>
    <hyperlink ref="E20" r:id="rId217" display="https://ec.europa.eu/eurostat/databrowser/view/DS-056120__custom_6262207/default/table" xr:uid="{F6D22C49-AFEF-4358-BB45-D3E808DD9F2E}"/>
    <hyperlink ref="E43" r:id="rId218" display="https://ec.europa.eu/eurostat/databrowser/view/DS-056120__custom_6262207/default/table" xr:uid="{CAC95941-05AE-4370-B277-77A7EF016499}"/>
    <hyperlink ref="E146" r:id="rId219" display="https://ec.europa.eu/eurostat/databrowser/view/DS-056120__custom_6262207/default/table" xr:uid="{6DD7905D-FEBB-49BF-8382-7463224C935D}"/>
    <hyperlink ref="E102" r:id="rId220" display="https://ec.europa.eu/eurostat/databrowser/view/DS-056120__custom_6262207/default/table" xr:uid="{9E411710-96EF-437D-B541-9C8F60532D32}"/>
    <hyperlink ref="E132" r:id="rId221" display="https://ec.europa.eu/eurostat/databrowser/view/DS-056120__custom_6262207/default/table" xr:uid="{FEA9DAFD-4875-4A85-8C86-88E7F4383CED}"/>
    <hyperlink ref="E249" r:id="rId222" display="https://ec.europa.eu/eurostat/databrowser/view/DS-056120__custom_6262207/default/table" xr:uid="{9FBC692E-E282-46A3-B785-A0F52CE38BD3}"/>
    <hyperlink ref="E242" r:id="rId223" display="https://ec.europa.eu/eurostat/databrowser/view/DS-056120__custom_6262207/default/table" xr:uid="{5D35F766-3790-4200-8B6D-A39DDA275137}"/>
    <hyperlink ref="E185" r:id="rId224" display="https://ec.europa.eu/eurostat/databrowser/view/DS-056120__custom_6262207/default/table" xr:uid="{F4B2E493-B7AC-4840-AC22-FDCFD1D96DAE}"/>
    <hyperlink ref="E218" r:id="rId225" display="https://ec.europa.eu/eurostat/databrowser/view/DS-056120__custom_6262207/default/table" xr:uid="{F500FA7F-4BDB-48CA-AD66-AE98C43CB65B}"/>
    <hyperlink ref="E87" r:id="rId226" display="https://ec.europa.eu/eurostat/databrowser/view/DS-056120__custom_6262207/default/table" xr:uid="{FFD7EC30-E38C-416B-837A-913A8D1A8146}"/>
    <hyperlink ref="E78" r:id="rId227" display="https://ec.europa.eu/eurostat/databrowser/view/DS-056120__custom_6262207/default/table" xr:uid="{ED219F9F-3726-41DB-8365-4FAC504C3009}"/>
    <hyperlink ref="E200" r:id="rId228" display="https://ec.europa.eu/eurostat/databrowser/view/DS-056120__custom_6262207/default/table" xr:uid="{6BE40070-B095-4ED4-8A1B-FEB4A7ABA7D4}"/>
    <hyperlink ref="E117" r:id="rId229" display="https://ec.europa.eu/eurostat/databrowser/view/DS-056120__custom_6262207/default/table" xr:uid="{5B8B5CDD-CADD-4C9B-8913-3416B92C7BB3}"/>
    <hyperlink ref="E17" r:id="rId230" display="https://ec.europa.eu/eurostat/databrowser/view/DS-056120__custom_6262207/default/table" xr:uid="{977F4B55-93E1-4B7E-AACC-75F9BF5181A3}"/>
    <hyperlink ref="E35" r:id="rId231" display="https://ec.europa.eu/eurostat/databrowser/view/DS-056120__custom_6262207/default/table" xr:uid="{242D98B5-229C-42C4-BEC7-BF5F7C15254E}"/>
    <hyperlink ref="E114" r:id="rId232" display="https://ec.europa.eu/eurostat/databrowser/view/DS-056120__custom_6262207/default/table" xr:uid="{2A450C07-BD51-45C3-9726-7FD67E387665}"/>
    <hyperlink ref="E94" r:id="rId233" display="https://ec.europa.eu/eurostat/databrowser/view/DS-056120__custom_6262207/default/table" xr:uid="{4D597B80-2FEC-47FA-AA46-F39186C3B129}"/>
    <hyperlink ref="E161" r:id="rId234" display="https://ec.europa.eu/eurostat/databrowser/view/DS-056120__custom_6262207/default/table" xr:uid="{2505E8E8-0056-4B1D-B5DB-E4140A89038F}"/>
    <hyperlink ref="E245" r:id="rId235" display="https://ec.europa.eu/eurostat/databrowser/view/DS-056120__custom_6262207/default/table" xr:uid="{DBBCE1BF-CD6F-407B-9712-0E60CB7ED289}"/>
    <hyperlink ref="E243" r:id="rId236" display="https://ec.europa.eu/eurostat/databrowser/view/DS-056120__custom_6262207/default/table" xr:uid="{9E326D87-33FD-49D5-B235-1F28B585F3E0}"/>
    <hyperlink ref="E191" r:id="rId237" display="https://ec.europa.eu/eurostat/databrowser/view/DS-056120__custom_6262207/default/table" xr:uid="{CF7DD899-9958-49F0-BBA0-EDA31521E10B}"/>
    <hyperlink ref="E213" r:id="rId238" display="https://ec.europa.eu/eurostat/databrowser/view/DS-056120__custom_6262207/default/table" xr:uid="{3F164E0F-1342-41CC-B1A5-57536318942B}"/>
    <hyperlink ref="E90" r:id="rId239" display="https://ec.europa.eu/eurostat/databrowser/view/DS-056120__custom_6262207/default/table" xr:uid="{FAFB1296-3EFF-4DE5-85AC-3714939D5AB4}"/>
    <hyperlink ref="E84" r:id="rId240" display="https://ec.europa.eu/eurostat/databrowser/view/DS-056120__custom_6262207/default/table" xr:uid="{44DA203A-4BC5-4CFE-91B2-52BC1C50CD07}"/>
    <hyperlink ref="E199" r:id="rId241" display="https://ec.europa.eu/eurostat/databrowser/view/DS-056120__custom_6262207/default/table" xr:uid="{5068F117-ECA6-420E-B382-A7DC980D70C2}"/>
    <hyperlink ref="E125" r:id="rId242" display="https://ec.europa.eu/eurostat/databrowser/view/DS-056120__custom_6262207/default/table" xr:uid="{723CF9BB-211A-48CB-8EC4-34C2D8304898}"/>
    <hyperlink ref="E24" r:id="rId243" display="https://ec.europa.eu/eurostat/databrowser/view/DS-056120__custom_6262207/default/table" xr:uid="{612A7FA5-9636-4C1A-A489-E877CAA38CEF}"/>
    <hyperlink ref="E46" r:id="rId244" display="https://ec.europa.eu/eurostat/databrowser/view/DS-056120__custom_6262207/default/table" xr:uid="{B2DAF263-42D6-4727-A097-E8C16B2318E0}"/>
    <hyperlink ref="E119" r:id="rId245" display="https://ec.europa.eu/eurostat/databrowser/view/DS-056120__custom_6262207/default/table" xr:uid="{490BD6DC-AD0A-4AF9-96F7-D8A453BE22CF}"/>
    <hyperlink ref="E95" r:id="rId246" display="https://ec.europa.eu/eurostat/databrowser/view/DS-056120__custom_6262207/default/table" xr:uid="{366BAA97-82E2-4E64-8A28-BF3CFA3592E9}"/>
    <hyperlink ref="E157" r:id="rId247" display="https://ec.europa.eu/eurostat/databrowser/view/DS-056120__custom_6262207/default/table" xr:uid="{9842C3D9-E46E-4B6C-A2CB-0C40F70379D2}"/>
    <hyperlink ref="E253" r:id="rId248" display="https://ec.europa.eu/eurostat/databrowser/view/DS-056120__custom_6262207/default/table" xr:uid="{38912661-C5C5-4B6C-B34F-30957ED166C5}"/>
    <hyperlink ref="E268" r:id="rId249" display="https://ec.europa.eu/eurostat/databrowser/view/DS-056120__custom_6262207/default/table" xr:uid="{FD456AA6-4075-434B-BE47-0A0BB17041C6}"/>
    <hyperlink ref="E269" r:id="rId250" display="https://ec.europa.eu/eurostat/databrowser/view/DS-056120__custom_6262207/default/table" xr:uid="{020C4771-6587-492F-9A1F-E93A40818F28}"/>
    <hyperlink ref="E270" r:id="rId251" display="https://ec.europa.eu/eurostat/databrowser/view/DS-056120__custom_6262207/default/table" xr:uid="{6AD4BA07-480E-411E-BB9B-39B8AAEFA58F}"/>
    <hyperlink ref="E271" r:id="rId252" display="https://ec.europa.eu/eurostat/databrowser/view/DS-056120__custom_6262207/default/table" xr:uid="{60444564-C065-4873-BA15-396495078D29}"/>
    <hyperlink ref="E272" r:id="rId253" display="https://ec.europa.eu/eurostat/databrowser/view/DS-056120__custom_6262207/default/table" xr:uid="{E7599506-B1F4-4C91-B49D-631C496140F8}"/>
    <hyperlink ref="E273" r:id="rId254" display="https://ec.europa.eu/eurostat/databrowser/view/DS-056120__custom_6262207/default/table" xr:uid="{D2A47E1F-9604-4319-AFC4-6A0C829059B0}"/>
    <hyperlink ref="E274" r:id="rId255" display="https://ec.europa.eu/eurostat/databrowser/view/DS-056120__custom_6262207/default/table" xr:uid="{1FEC6A75-B13F-4B09-AA99-872C3AF97166}"/>
    <hyperlink ref="E275" r:id="rId256" display="https://ec.europa.eu/eurostat/databrowser/view/DS-056120__custom_6262207/default/table" xr:uid="{7E310A14-5E53-4B2A-B0CD-B61D412A15CE}"/>
    <hyperlink ref="E276" r:id="rId257" display="https://ec.europa.eu/eurostat/databrowser/view/DS-056120__custom_6262207/default/table" xr:uid="{B43F55F6-1088-4304-93BD-5CE3696523D7}"/>
    <hyperlink ref="E277" r:id="rId258" display="https://ec.europa.eu/eurostat/databrowser/view/DS-056120__custom_6262207/default/table" xr:uid="{188D2D3A-C29E-474D-AFF7-1776EAE5A660}"/>
    <hyperlink ref="E278" r:id="rId259" display="https://ec.europa.eu/eurostat/databrowser/view/DS-056120__custom_6262207/default/table" xr:uid="{B5D053B4-7633-4E46-9322-C623BBA98846}"/>
    <hyperlink ref="E279" r:id="rId260" display="https://ec.europa.eu/eurostat/databrowser/view/DS-056120__custom_6262207/default/table" xr:uid="{36A56383-3EC2-4D98-A155-00C2A54D7A1F}"/>
    <hyperlink ref="E280" r:id="rId261" display="https://ec.europa.eu/eurostat/databrowser/view/DS-056120__custom_6262207/default/table" xr:uid="{2231A592-FA55-4770-AD97-6F58FB88558B}"/>
    <hyperlink ref="E281" r:id="rId262" display="https://ec.europa.eu/eurostat/databrowser/view/DS-056120__custom_6262207/default/table" xr:uid="{328DA63B-104A-4F4D-AE6F-82F452AEF556}"/>
    <hyperlink ref="E282" r:id="rId263" display="https://ec.europa.eu/eurostat/databrowser/view/DS-056120__custom_6262207/default/table" xr:uid="{0C8ED762-59A5-42AA-A8E5-B7443175F15C}"/>
    <hyperlink ref="E283" r:id="rId264" display="https://ec.europa.eu/eurostat/databrowser/view/DS-056120__custom_6262207/default/table" xr:uid="{0D7727EB-D181-4A2E-8F91-51E204126989}"/>
    <hyperlink ref="E284" r:id="rId265" display="https://ec.europa.eu/eurostat/databrowser/view/DS-056120__custom_6262207/default/table" xr:uid="{3B4419CC-34F6-4132-AAC9-2924BF9B79A6}"/>
    <hyperlink ref="E285" r:id="rId266" display="https://ec.europa.eu/eurostat/databrowser/view/DS-056120__custom_6262207/default/table" xr:uid="{D243E669-05ED-4A45-B555-E083ED95E3BA}"/>
    <hyperlink ref="E286" r:id="rId267" display="https://ec.europa.eu/eurostat/databrowser/view/DS-056120__custom_6262207/default/table" xr:uid="{748B6E5B-8D71-4F10-8B08-97F027A7F388}"/>
    <hyperlink ref="E287" r:id="rId268" display="https://ec.europa.eu/eurostat/databrowser/view/DS-056120__custom_6262207/default/table" xr:uid="{19331325-648D-4600-9C4F-D84AFDD48970}"/>
    <hyperlink ref="E288" r:id="rId269" display="https://ec.europa.eu/eurostat/databrowser/view/DS-056120__custom_6262207/default/table" xr:uid="{2E767DF8-7D5E-437E-8928-0B9C74451E53}"/>
    <hyperlink ref="E289" r:id="rId270" display="https://ec.europa.eu/eurostat/databrowser/view/DS-056120__custom_6262207/default/table" xr:uid="{3B33F15E-98C6-4CCD-A23C-817ED8C35E3C}"/>
    <hyperlink ref="E290" r:id="rId271" display="https://ec.europa.eu/eurostat/databrowser/view/DS-056120__custom_6262207/default/table" xr:uid="{B253F8D4-25EB-4797-A35E-99CAC56AD666}"/>
    <hyperlink ref="E291" r:id="rId272" display="https://ec.europa.eu/eurostat/databrowser/view/DS-056120__custom_6262207/default/table" xr:uid="{B6123721-E6B4-4DD4-8FBA-EBF9261E9950}"/>
    <hyperlink ref="E292" r:id="rId273" display="https://ec.europa.eu/eurostat/databrowser/view/DS-056120__custom_6262207/default/table" xr:uid="{BC21A54F-1627-492C-8B53-BA4B51E50AAA}"/>
    <hyperlink ref="E293" r:id="rId274" display="https://ec.europa.eu/eurostat/databrowser/view/DS-056120__custom_6262207/default/table" xr:uid="{4748E617-9739-4FD3-9824-42393325AB20}"/>
    <hyperlink ref="E294" r:id="rId275" display="https://ec.europa.eu/eurostat/databrowser/view/DS-056120__custom_6262207/default/table" xr:uid="{F7B82879-D75D-4937-BD8C-E5BBF30D312D}"/>
    <hyperlink ref="E295" r:id="rId276" display="https://ec.europa.eu/eurostat/databrowser/view/DS-056120__custom_6262207/default/table" xr:uid="{467DC69E-D477-4126-89B6-71F2758FB875}"/>
    <hyperlink ref="E296" r:id="rId277" display="https://ec.europa.eu/eurostat/databrowser/view/DS-056120__custom_6262207/default/table" xr:uid="{888E0D74-E5F1-4AD8-9D09-3A3129A8AA6D}"/>
    <hyperlink ref="E297" r:id="rId278" display="https://ec.europa.eu/eurostat/databrowser/view/DS-056120__custom_6262207/default/table" xr:uid="{335DA9B8-586F-49B3-A8D4-514FECF9C18C}"/>
    <hyperlink ref="E298" r:id="rId279" display="https://ec.europa.eu/eurostat/databrowser/view/DS-056120__custom_6262207/default/table" xr:uid="{29396490-C53A-454A-ACDE-043ABEF349B0}"/>
    <hyperlink ref="E299" r:id="rId280" display="https://ec.europa.eu/eurostat/databrowser/view/DS-056120__custom_6262207/default/table" xr:uid="{86C4C7B8-3150-4442-86F3-B70D1C36D78A}"/>
    <hyperlink ref="E300" r:id="rId281" display="https://ec.europa.eu/eurostat/databrowser/view/DS-056120__custom_6262207/default/table" xr:uid="{BA494505-CFC6-4BD3-BD3B-94A93B14EEA3}"/>
    <hyperlink ref="E301" r:id="rId282" display="https://ec.europa.eu/eurostat/databrowser/view/DS-056120__custom_6262207/default/table" xr:uid="{6BA730FC-EB5D-43C4-8036-83F73006B519}"/>
    <hyperlink ref="E302" r:id="rId283" display="https://ec.europa.eu/eurostat/databrowser/view/DS-056120__custom_6262207/default/table" xr:uid="{AEC8D50F-E31F-4BEB-A5B3-2BDC5A2D2608}"/>
    <hyperlink ref="E303" r:id="rId284" display="https://ec.europa.eu/eurostat/databrowser/view/DS-056120__custom_6262207/default/table" xr:uid="{7B996ECB-0C4F-4534-A4AD-230A9ABC77D7}"/>
    <hyperlink ref="E304" r:id="rId285" display="https://ec.europa.eu/eurostat/databrowser/view/DS-056120__custom_6262207/default/table" xr:uid="{57725F6F-B365-428D-8C9A-7750ABE66BEC}"/>
    <hyperlink ref="E305" r:id="rId286" display="https://ec.europa.eu/eurostat/databrowser/view/DS-056120__custom_6262207/default/table" xr:uid="{694DCA1D-5B6F-421A-9AE5-569A46815DC6}"/>
    <hyperlink ref="E306" r:id="rId287" display="https://ec.europa.eu/eurostat/databrowser/view/DS-056120__custom_6262207/default/table" xr:uid="{BE3C8F56-9CC7-4E17-9258-C0736AD4FE66}"/>
    <hyperlink ref="E307" r:id="rId288" display="https://ec.europa.eu/eurostat/databrowser/view/DS-056120__custom_6262207/default/table" xr:uid="{D67FAD9B-0F95-4DD5-B9FB-47091AF6BCD3}"/>
    <hyperlink ref="E308" r:id="rId289" display="https://ec.europa.eu/eurostat/databrowser/view/DS-056120__custom_6262207/default/table" xr:uid="{C3A8AC9C-1F34-49E8-873A-B0620FD4CD83}"/>
    <hyperlink ref="E309" r:id="rId290" display="https://ec.europa.eu/eurostat/databrowser/view/DS-056120__custom_6262207/default/table" xr:uid="{A2946427-4055-40E3-8990-98109A3FA1EC}"/>
    <hyperlink ref="E310" r:id="rId291" display="https://ec.europa.eu/eurostat/databrowser/view/DS-056120__custom_6262207/default/table" xr:uid="{DB2CB828-A340-4E51-AC42-C90C8E733357}"/>
    <hyperlink ref="E311" r:id="rId292" display="https://ec.europa.eu/eurostat/databrowser/view/DS-056120__custom_6262207/default/table" xr:uid="{A87FE6C0-6C90-4A1A-98B5-2D6D308E7109}"/>
    <hyperlink ref="E312" r:id="rId293" display="https://ec.europa.eu/eurostat/databrowser/view/DS-056120__custom_6262207/default/table" xr:uid="{DE295E71-9957-4927-A0FE-ADE4E1057798}"/>
    <hyperlink ref="E313" r:id="rId294" display="https://ec.europa.eu/eurostat/databrowser/view/DS-056120__custom_6262207/default/table" xr:uid="{D101FBF4-87B3-4E80-8DD6-E0A934E4D7B5}"/>
    <hyperlink ref="E314" r:id="rId295" display="https://ec.europa.eu/eurostat/databrowser/view/DS-056120__custom_6262207/default/table" xr:uid="{F9F9A612-82CD-46DC-8CF0-0562F4F60294}"/>
    <hyperlink ref="E315" r:id="rId296" display="https://ec.europa.eu/eurostat/databrowser/view/DS-056120__custom_6262207/default/table" xr:uid="{1BBC47DB-AAED-45D2-BD23-21BCEE1456B6}"/>
    <hyperlink ref="E316" r:id="rId297" display="https://ec.europa.eu/eurostat/databrowser/view/DS-056120__custom_6262207/default/table" xr:uid="{D6777486-355E-4470-93D0-68361F9C484B}"/>
    <hyperlink ref="E317" r:id="rId298" display="https://ec.europa.eu/eurostat/databrowser/view/DS-056120__custom_6262207/default/table" xr:uid="{941A825D-7C25-4120-A283-A654B1565D7C}"/>
    <hyperlink ref="E318" r:id="rId299" display="https://ec.europa.eu/eurostat/databrowser/view/DS-056120__custom_6262207/default/table" xr:uid="{2839BAC2-EBAF-4CD3-B52C-B0D3C4B06F6F}"/>
    <hyperlink ref="E319" r:id="rId300" display="https://ec.europa.eu/eurostat/databrowser/view/DS-056120__custom_6262207/default/table" xr:uid="{0E657644-3434-4A0F-BEF1-231B442B134F}"/>
    <hyperlink ref="E320" r:id="rId301" display="https://ec.europa.eu/eurostat/databrowser/view/DS-056120__custom_6262207/default/table" xr:uid="{1761A52B-FEFD-4F65-AC3C-527DE7BA3526}"/>
    <hyperlink ref="E321" r:id="rId302" display="https://ec.europa.eu/eurostat/databrowser/view/DS-056120__custom_6262207/default/table" xr:uid="{62E8DD83-5E53-4E00-84DC-3F8B21EF0F67}"/>
    <hyperlink ref="E322" r:id="rId303" display="https://ec.europa.eu/eurostat/databrowser/view/DS-056120__custom_6262207/default/table" xr:uid="{E6BBAE81-747C-4A28-9C8D-06EFCAC7423B}"/>
    <hyperlink ref="E323" r:id="rId304" display="https://ec.europa.eu/eurostat/databrowser/view/DS-056120__custom_6262207/default/table" xr:uid="{F6A2E8EF-A65C-4F3C-86F3-E9C8655DFEC9}"/>
    <hyperlink ref="E324" r:id="rId305" display="https://ec.europa.eu/eurostat/databrowser/view/DS-056120__custom_6262207/default/table" xr:uid="{216B16AF-19AE-4944-86A6-172210239A88}"/>
    <hyperlink ref="E325" r:id="rId306" display="https://ec.europa.eu/eurostat/databrowser/view/DS-056120__custom_6262207/default/table" xr:uid="{7618D355-2289-45D6-A092-56241BFE5BBF}"/>
    <hyperlink ref="E326" r:id="rId307" display="https://ec.europa.eu/eurostat/databrowser/view/DS-056120__custom_6262207/default/table" xr:uid="{8A69762C-8898-48FF-99B1-317B3833FF60}"/>
    <hyperlink ref="E327" r:id="rId308" display="https://ec.europa.eu/eurostat/databrowser/view/DS-056120__custom_6262207/default/table" xr:uid="{A37BEB00-93EF-4F48-97DE-38C071C09668}"/>
    <hyperlink ref="E328" r:id="rId309" display="https://ec.europa.eu/eurostat/databrowser/view/DS-056120__custom_6262207/default/table" xr:uid="{DE5CA885-051A-424C-99D9-CAB1B9B39634}"/>
    <hyperlink ref="E329" r:id="rId310" display="https://ec.europa.eu/eurostat/databrowser/view/DS-056120__custom_6262207/default/table" xr:uid="{8A68680D-C358-4845-A251-5AFD3CDE7835}"/>
    <hyperlink ref="E330" r:id="rId311" display="https://ec.europa.eu/eurostat/databrowser/view/DS-056120__custom_6262207/default/table" xr:uid="{627CF42F-5EB5-478F-B288-DCAA33C6F988}"/>
    <hyperlink ref="E331" r:id="rId312" display="https://ec.europa.eu/eurostat/databrowser/view/DS-056120__custom_6262207/default/table" xr:uid="{F0AD6AA6-17CC-4B75-9C55-E754B7D28ED4}"/>
    <hyperlink ref="E332" r:id="rId313" display="https://ec.europa.eu/eurostat/databrowser/view/DS-056120__custom_6262207/default/table" xr:uid="{EA0D1B95-3E17-421E-94B2-875D7A225ECA}"/>
    <hyperlink ref="E333" r:id="rId314" display="https://ec.europa.eu/eurostat/databrowser/view/DS-056120__custom_6262207/default/table" xr:uid="{E02FCFAD-986A-4B11-975E-271D10ABA757}"/>
    <hyperlink ref="E334" r:id="rId315" display="https://ec.europa.eu/eurostat/databrowser/view/DS-056120__custom_6262207/default/table" xr:uid="{8EE7A8C6-A17E-4B19-B7F2-A02AFA628768}"/>
    <hyperlink ref="E335" r:id="rId316" display="https://ec.europa.eu/eurostat/databrowser/view/DS-056120__custom_6262207/default/table" xr:uid="{E59C1D46-1BE9-4F1A-AAD7-6088FE6560E8}"/>
    <hyperlink ref="E336" r:id="rId317" display="https://ec.europa.eu/eurostat/databrowser/view/DS-056120__custom_6262207/default/table" xr:uid="{897CEA97-6190-4948-B5DC-D6CF4E398DA8}"/>
    <hyperlink ref="E337" r:id="rId318" display="https://ec.europa.eu/eurostat/databrowser/view/DS-056120__custom_6262207/default/table" xr:uid="{EE8BC9B2-069F-4B84-A0B3-75508AEB1A07}"/>
    <hyperlink ref="E338" r:id="rId319" display="https://ec.europa.eu/eurostat/databrowser/view/DS-056120__custom_6262207/default/table" xr:uid="{AC501496-0581-4806-808A-5A8E307619A2}"/>
    <hyperlink ref="E339" r:id="rId320" display="https://ec.europa.eu/eurostat/databrowser/view/DS-056120__custom_6262207/default/table" xr:uid="{1EB845C1-000B-46F4-9748-8AA752B74191}"/>
    <hyperlink ref="E340" r:id="rId321" display="https://ec.europa.eu/eurostat/databrowser/view/DS-056120__custom_6262207/default/table" xr:uid="{1BACADC9-DD38-4386-9EC6-79DBB266CDE4}"/>
    <hyperlink ref="E341" r:id="rId322" display="https://ec.europa.eu/eurostat/databrowser/view/DS-056120__custom_6262207/default/table" xr:uid="{8559CD28-3949-487A-945F-D1E8DEDEF70E}"/>
    <hyperlink ref="E342" r:id="rId323" display="https://ec.europa.eu/eurostat/databrowser/view/DS-056120__custom_6262207/default/table" xr:uid="{DBE54B43-6EF0-43B8-A577-B226AE859BCC}"/>
    <hyperlink ref="E343" r:id="rId324" display="https://ec.europa.eu/eurostat/databrowser/view/DS-056120__custom_6262207/default/table" xr:uid="{E8DFDC9C-7BBC-49D4-9608-9476210D4145}"/>
    <hyperlink ref="E344" r:id="rId325" display="https://ec.europa.eu/eurostat/databrowser/view/DS-056120__custom_6262207/default/table" xr:uid="{1055A378-CAD7-4221-BE08-971BB34B5CF1}"/>
    <hyperlink ref="E345" r:id="rId326" display="https://ec.europa.eu/eurostat/databrowser/view/DS-056120__custom_6262207/default/table" xr:uid="{1EAC1F75-E41A-4354-9175-8FF7F8D0D56C}"/>
    <hyperlink ref="E346" r:id="rId327" display="https://ec.europa.eu/eurostat/databrowser/view/DS-056120__custom_6262207/default/table" xr:uid="{DF6B9E93-7DBF-441D-A8EE-D17DB8356B9C}"/>
    <hyperlink ref="E347" r:id="rId328" display="https://ec.europa.eu/eurostat/databrowser/view/DS-056120__custom_6262207/default/table" xr:uid="{206E3BD4-E837-4ED7-BC10-6D52C476F272}"/>
    <hyperlink ref="E348" r:id="rId329" display="https://ec.europa.eu/eurostat/databrowser/view/DS-056120__custom_6262207/default/table" xr:uid="{68C98B2C-4938-46DC-A296-B43BE2E327CF}"/>
    <hyperlink ref="E349" r:id="rId330" display="https://ec.europa.eu/eurostat/databrowser/view/DS-056120__custom_6262207/default/table" xr:uid="{D71D3ECC-DB09-4F55-B15C-4658AC6EF7CB}"/>
    <hyperlink ref="E350" r:id="rId331" display="https://ec.europa.eu/eurostat/databrowser/view/DS-056120__custom_6262207/default/table" xr:uid="{45087012-3213-4431-AE79-15D92F00956E}"/>
    <hyperlink ref="E351" r:id="rId332" display="https://ec.europa.eu/eurostat/databrowser/view/DS-056120__custom_6262207/default/table" xr:uid="{3C2AE8DA-560E-41E8-A693-84AFA50DBEA0}"/>
    <hyperlink ref="E352" r:id="rId333" display="https://ec.europa.eu/eurostat/databrowser/view/DS-056120__custom_6262207/default/table" xr:uid="{14828EF1-CA5A-446B-B040-7CCBB10A2407}"/>
    <hyperlink ref="E353" r:id="rId334" display="https://ec.europa.eu/eurostat/databrowser/view/DS-056120__custom_6262207/default/table" xr:uid="{F4A12B08-7A8E-4C03-9814-7A5A178786C1}"/>
    <hyperlink ref="E354" r:id="rId335" display="https://ec.europa.eu/eurostat/databrowser/view/DS-056120__custom_6262207/default/table" xr:uid="{CCF77E7D-399C-430A-9702-95857EC069C3}"/>
    <hyperlink ref="E355" r:id="rId336" display="https://ec.europa.eu/eurostat/databrowser/view/DS-056120__custom_6262207/default/table" xr:uid="{7CA28300-2912-4B54-BEC0-6247419DE455}"/>
    <hyperlink ref="E356" r:id="rId337" display="https://ec.europa.eu/eurostat/databrowser/view/DS-056120__custom_6262207/default/table" xr:uid="{F1481316-3B65-4ADE-8420-92FF7B9434A8}"/>
    <hyperlink ref="E357" r:id="rId338" display="https://ec.europa.eu/eurostat/databrowser/view/DS-056120__custom_6262207/default/table" xr:uid="{26CA70B9-0B7E-464A-9BC2-05AD0FC40D35}"/>
    <hyperlink ref="E358" r:id="rId339" display="https://ec.europa.eu/eurostat/databrowser/view/DS-056120__custom_6262207/default/table" xr:uid="{CC4E1054-E141-4245-A5B4-F70B7B5F2754}"/>
    <hyperlink ref="E359" r:id="rId340" display="https://ec.europa.eu/eurostat/databrowser/view/DS-056120__custom_6262207/default/table" xr:uid="{1E783DD0-D910-4135-8638-C8023589AF3D}"/>
    <hyperlink ref="E360" r:id="rId341" display="https://ec.europa.eu/eurostat/databrowser/view/DS-056120__custom_6262207/default/table" xr:uid="{D2BCD5D5-3303-474D-9D2E-ABB617BF3705}"/>
    <hyperlink ref="E361" r:id="rId342" display="https://ec.europa.eu/eurostat/databrowser/view/DS-056120__custom_6262207/default/table" xr:uid="{F7EC44C1-A438-4D0C-A3F8-7F73965FA836}"/>
    <hyperlink ref="E362" r:id="rId343" display="https://ec.europa.eu/eurostat/databrowser/view/DS-056120__custom_6262207/default/table" xr:uid="{C186F1A9-3C55-4EC3-B89B-601D672E1442}"/>
    <hyperlink ref="E363" r:id="rId344" display="https://ec.europa.eu/eurostat/databrowser/view/DS-056120__custom_6262207/default/table" xr:uid="{01C92469-34E8-49C1-947A-CABE649CC2DB}"/>
    <hyperlink ref="E364" r:id="rId345" display="https://ec.europa.eu/eurostat/databrowser/view/DS-056120__custom_6262207/default/table" xr:uid="{A4367C36-2B01-41BE-B8AF-8EFA6258763E}"/>
    <hyperlink ref="E365" r:id="rId346" display="https://ec.europa.eu/eurostat/databrowser/view/DS-056120__custom_6262207/default/table" xr:uid="{19264F4D-A132-40D7-B87F-DE1FD0E27975}"/>
    <hyperlink ref="E366" r:id="rId347" display="https://ec.europa.eu/eurostat/databrowser/view/DS-056120__custom_6262207/default/table" xr:uid="{996D332C-D388-4C55-8FC8-F9A9580E5794}"/>
    <hyperlink ref="E367" r:id="rId348" display="https://ec.europa.eu/eurostat/databrowser/view/DS-056120__custom_6262207/default/table" xr:uid="{FE65A306-F659-4E2A-8DD1-90B83F04033D}"/>
    <hyperlink ref="E368" r:id="rId349" display="https://ec.europa.eu/eurostat/databrowser/view/DS-056120__custom_6262207/default/table" xr:uid="{6455DDE7-EA90-47C3-A772-550AE24E47B5}"/>
    <hyperlink ref="E369" r:id="rId350" display="https://ec.europa.eu/eurostat/databrowser/view/DS-056120__custom_6262207/default/table" xr:uid="{471A2C1A-282F-4626-83FA-5BACD7817F06}"/>
    <hyperlink ref="E370" r:id="rId351" display="https://ec.europa.eu/eurostat/databrowser/view/DS-056120__custom_6262207/default/table" xr:uid="{0587D274-CF51-4092-A048-28BCAE644A6E}"/>
    <hyperlink ref="E371" r:id="rId352" display="https://ec.europa.eu/eurostat/databrowser/view/DS-056120__custom_6262207/default/table" xr:uid="{BC9A317D-A37B-4500-9405-E92509D906D2}"/>
    <hyperlink ref="E372" r:id="rId353" display="https://ec.europa.eu/eurostat/databrowser/view/DS-056120__custom_6262207/default/table" xr:uid="{0D51FED6-50A7-403D-8392-04EE62DA41F7}"/>
    <hyperlink ref="E373" r:id="rId354" display="https://ec.europa.eu/eurostat/databrowser/view/DS-056120__custom_6262207/default/table" xr:uid="{7CD24EE9-1A52-488B-8CC9-F695F8BDA3FA}"/>
    <hyperlink ref="E374" r:id="rId355" display="https://ec.europa.eu/eurostat/databrowser/view/DS-056120__custom_6262207/default/table" xr:uid="{1C6EB0DF-B35E-4FAB-9C9F-C8867DAD612D}"/>
    <hyperlink ref="E375" r:id="rId356" display="https://ec.europa.eu/eurostat/databrowser/view/DS-056120__custom_6262207/default/table" xr:uid="{5AFF0967-8B13-437E-B90E-89A3E97E3738}"/>
    <hyperlink ref="E376" r:id="rId357" display="https://ec.europa.eu/eurostat/databrowser/view/DS-056120__custom_6262207/default/table" xr:uid="{0346C3EF-542C-47C6-8D2E-71AD5AF87B4C}"/>
    <hyperlink ref="E377" r:id="rId358" display="https://ec.europa.eu/eurostat/databrowser/view/DS-056120__custom_6262207/default/table" xr:uid="{46F4391F-1291-4A74-A9A5-23AF18A0A0ED}"/>
    <hyperlink ref="E378" r:id="rId359" display="https://ec.europa.eu/eurostat/databrowser/view/DS-056120__custom_6262207/default/table" xr:uid="{AED78288-CF1C-436B-B5FE-8AE928B41157}"/>
    <hyperlink ref="E379" r:id="rId360" display="https://ec.europa.eu/eurostat/databrowser/view/DS-056120__custom_6262207/default/table" xr:uid="{F94AF190-4E49-4AAF-8437-CB11B5BA9A67}"/>
    <hyperlink ref="E380" r:id="rId361" display="https://ec.europa.eu/eurostat/databrowser/view/DS-056120__custom_6262207/default/table" xr:uid="{C0A905F5-6829-4BFB-8F6D-953075EAE791}"/>
    <hyperlink ref="E381" r:id="rId362" display="https://ec.europa.eu/eurostat/databrowser/view/DS-056120__custom_6262207/default/table" xr:uid="{E366385D-BE75-4B69-8D02-CF013D565B1A}"/>
    <hyperlink ref="E382" r:id="rId363" display="https://ec.europa.eu/eurostat/databrowser/view/DS-056120__custom_6262207/default/table" xr:uid="{86A8F9A8-78CF-4251-B010-05FF1C81A5F3}"/>
    <hyperlink ref="E383" r:id="rId364" display="https://ec.europa.eu/eurostat/databrowser/view/DS-056120__custom_6262207/default/table" xr:uid="{A665A25C-3981-4BE8-A7CB-75C6C42F8585}"/>
    <hyperlink ref="E384" r:id="rId365" display="https://ec.europa.eu/eurostat/databrowser/view/DS-056120__custom_6262207/default/table" xr:uid="{957166C7-227A-44E0-9E28-2933878C423F}"/>
    <hyperlink ref="E385" r:id="rId366" display="https://ec.europa.eu/eurostat/databrowser/view/DS-056120__custom_6262207/default/table" xr:uid="{3E79005F-0018-44EB-9A05-15EA78A23614}"/>
    <hyperlink ref="E386" r:id="rId367" display="https://ec.europa.eu/eurostat/databrowser/view/DS-056120__custom_6262207/default/table" xr:uid="{CE630E70-1CCB-41AD-87E8-69D7F018A97D}"/>
    <hyperlink ref="E387" r:id="rId368" display="https://ec.europa.eu/eurostat/databrowser/view/DS-056120__custom_6262207/default/table" xr:uid="{91F374CF-A94E-4AD5-A160-CE519274C4B6}"/>
    <hyperlink ref="E388" r:id="rId369" display="https://ec.europa.eu/eurostat/databrowser/view/DS-056120__custom_6262207/default/table" xr:uid="{315A5A73-53B4-4934-A090-0738B5E074CC}"/>
    <hyperlink ref="E389" r:id="rId370" display="https://ec.europa.eu/eurostat/databrowser/view/DS-056120__custom_6262207/default/table" xr:uid="{76E1C768-F2C7-425F-AA00-9147B050D564}"/>
    <hyperlink ref="E390" r:id="rId371" display="https://ec.europa.eu/eurostat/databrowser/view/DS-056120__custom_6262207/default/table" xr:uid="{5AB8B5D3-9DDA-4037-AEBF-55A0A922AA85}"/>
    <hyperlink ref="E391" r:id="rId372" display="https://ec.europa.eu/eurostat/databrowser/view/DS-056120__custom_6262207/default/table" xr:uid="{42C60B84-AC98-49CB-8D13-08F133F6974E}"/>
    <hyperlink ref="E392" r:id="rId373" display="https://ec.europa.eu/eurostat/databrowser/view/DS-056120__custom_6262207/default/table" xr:uid="{DF4AEA55-06B8-4806-B163-A51BFB8E7DDE}"/>
    <hyperlink ref="E393" r:id="rId374" display="https://ec.europa.eu/eurostat/databrowser/view/DS-056120__custom_6262207/default/table" xr:uid="{886756E9-6A2A-4E23-814B-02485008EDEE}"/>
    <hyperlink ref="E394" r:id="rId375" display="https://ec.europa.eu/eurostat/databrowser/view/DS-056120__custom_6262207/default/table" xr:uid="{3393F6AB-9266-4C2E-9F4F-7314436D1A8C}"/>
    <hyperlink ref="E395" r:id="rId376" display="https://ec.europa.eu/eurostat/databrowser/view/DS-056120__custom_6262207/default/table" xr:uid="{6DD1DA8B-B42F-44E2-9894-15483ACFDC83}"/>
    <hyperlink ref="E396" r:id="rId377" display="https://ec.europa.eu/eurostat/databrowser/view/DS-056120__custom_6262207/default/table" xr:uid="{F883FC44-4811-4AFC-9BDB-6C89F403B6FF}"/>
    <hyperlink ref="E397" r:id="rId378" display="https://ec.europa.eu/eurostat/databrowser/view/DS-056120__custom_6262207/default/table" xr:uid="{859E775F-1D71-4C61-AE24-D7328B475905}"/>
    <hyperlink ref="E398" r:id="rId379" display="https://ec.europa.eu/eurostat/databrowser/view/DS-056120__custom_6262207/default/table" xr:uid="{CA86FAF2-1FAA-45F2-9E46-7524255FED0A}"/>
    <hyperlink ref="E399" r:id="rId380" display="https://ec.europa.eu/eurostat/databrowser/view/DS-056120__custom_6262207/default/table" xr:uid="{2F79D13D-A2CE-4920-9648-F584F9DD34AD}"/>
    <hyperlink ref="E400" r:id="rId381" display="https://ec.europa.eu/eurostat/databrowser/view/DS-056120__custom_6262207/default/table" xr:uid="{0697BF63-5808-484A-AAAD-FE9789243DC5}"/>
    <hyperlink ref="E401" r:id="rId382" display="https://ec.europa.eu/eurostat/databrowser/view/DS-056120__custom_6262207/default/table" xr:uid="{22546579-2F0D-42FA-87F1-7D0D7FA494CB}"/>
    <hyperlink ref="E402" r:id="rId383" display="https://ec.europa.eu/eurostat/databrowser/view/DS-056120__custom_6262207/default/table" xr:uid="{18037198-8DE5-463C-ABFC-3AF04EAF4B36}"/>
    <hyperlink ref="E403" r:id="rId384" display="https://ec.europa.eu/eurostat/databrowser/view/DS-056120__custom_6262207/default/table" xr:uid="{59FDB143-C66D-4428-AD4E-BC5C03335901}"/>
    <hyperlink ref="E404" r:id="rId385" display="https://ec.europa.eu/eurostat/databrowser/view/DS-056120__custom_6262207/default/table" xr:uid="{C70AF2CA-EECF-49B4-B3DE-A51FB34E74C4}"/>
    <hyperlink ref="E405" r:id="rId386" display="https://ec.europa.eu/eurostat/databrowser/view/DS-056120__custom_6262207/default/table" xr:uid="{7A5F78DD-5D39-4700-B757-863F0CF7C2BC}"/>
    <hyperlink ref="E406" r:id="rId387" display="https://ec.europa.eu/eurostat/databrowser/view/DS-056120__custom_6262207/default/table" xr:uid="{DA2B2313-76FB-4E5D-B7CF-E1171615F308}"/>
    <hyperlink ref="E407" r:id="rId388" display="https://ec.europa.eu/eurostat/databrowser/view/DS-056120__custom_6262207/default/table" xr:uid="{E967951B-1582-419C-8AF8-EF42CBC3311D}"/>
    <hyperlink ref="E408" r:id="rId389" display="https://ec.europa.eu/eurostat/databrowser/view/DS-056120__custom_6262207/default/table" xr:uid="{91886F20-BE0E-4186-A64D-B5BC9FA1BBD0}"/>
    <hyperlink ref="E409" r:id="rId390" display="https://ec.europa.eu/eurostat/databrowser/view/DS-056120__custom_6262207/default/table" xr:uid="{050F24CF-3BC4-4642-8B6D-F79004E26C95}"/>
    <hyperlink ref="E410" r:id="rId391" display="https://ec.europa.eu/eurostat/databrowser/view/DS-056120__custom_6262207/default/table" xr:uid="{974853DA-A944-4C27-804E-50549E2C9A6D}"/>
    <hyperlink ref="E411" r:id="rId392" display="https://ec.europa.eu/eurostat/databrowser/view/DS-056120__custom_6262207/default/table" xr:uid="{33EBC6C0-5C32-41DE-84BF-90FF24EB5EA8}"/>
    <hyperlink ref="E412" r:id="rId393" display="https://ec.europa.eu/eurostat/databrowser/view/DS-056120__custom_6262207/default/table" xr:uid="{2C03853D-E138-44B0-A909-E9701F39CE81}"/>
    <hyperlink ref="E413" r:id="rId394" display="https://ec.europa.eu/eurostat/databrowser/view/DS-056120__custom_6262207/default/table" xr:uid="{D0B9F5D3-F7BF-4A38-AA26-EF5A6077C87D}"/>
    <hyperlink ref="E414" r:id="rId395" display="https://ec.europa.eu/eurostat/databrowser/view/DS-056120__custom_6262207/default/table" xr:uid="{0DCDBB2A-F132-430B-AFFA-8745649F68D3}"/>
    <hyperlink ref="E415" r:id="rId396" display="https://ec.europa.eu/eurostat/databrowser/view/DS-056120__custom_6262207/default/table" xr:uid="{480556B7-B5C0-4073-A7B1-1D4D652C6AAE}"/>
    <hyperlink ref="E416" r:id="rId397" display="https://ec.europa.eu/eurostat/databrowser/view/DS-056120__custom_6262207/default/table" xr:uid="{21EB8D5F-0720-4D4C-9888-71D71BAB9243}"/>
    <hyperlink ref="E417" r:id="rId398" display="https://ec.europa.eu/eurostat/databrowser/view/DS-056120__custom_6262207/default/table" xr:uid="{5D9270FC-F0F4-41FB-B986-D819D33FE668}"/>
    <hyperlink ref="E418" r:id="rId399" display="https://ec.europa.eu/eurostat/databrowser/view/DS-056120__custom_6262207/default/table" xr:uid="{3C758D74-33A0-4934-9B58-77D533F0B813}"/>
    <hyperlink ref="E419" r:id="rId400" display="https://ec.europa.eu/eurostat/databrowser/view/DS-056120__custom_6262207/default/table" xr:uid="{FB0E678B-8C92-4112-A215-7B200577A4A2}"/>
    <hyperlink ref="E420" r:id="rId401" display="https://ec.europa.eu/eurostat/databrowser/view/DS-056120__custom_6262207/default/table" xr:uid="{A73071EF-86D3-4C89-9B5B-44000F466B2C}"/>
    <hyperlink ref="E421" r:id="rId402" display="https://ec.europa.eu/eurostat/databrowser/view/DS-056120__custom_6262207/default/table" xr:uid="{99C4D422-2364-4290-B4C8-31AC8704B37E}"/>
    <hyperlink ref="E422" r:id="rId403" display="https://ec.europa.eu/eurostat/databrowser/view/DS-056120__custom_6262207/default/table" xr:uid="{E72B2A1D-F944-440F-84F1-2D90ACFAF80D}"/>
    <hyperlink ref="E423" r:id="rId404" display="https://ec.europa.eu/eurostat/databrowser/view/DS-056120__custom_6262207/default/table" xr:uid="{60C82F5A-2DF2-4545-816D-F136719A1D15}"/>
    <hyperlink ref="E424" r:id="rId405" display="https://ec.europa.eu/eurostat/databrowser/view/DS-056120__custom_6262207/default/table" xr:uid="{4CC8C237-0802-439E-9E3C-D44A7482CD48}"/>
    <hyperlink ref="E425" r:id="rId406" display="https://ec.europa.eu/eurostat/databrowser/view/DS-056120__custom_6262207/default/table" xr:uid="{B2C24E22-70F4-4227-8940-2C43E5AFA686}"/>
    <hyperlink ref="E426" r:id="rId407" display="https://ec.europa.eu/eurostat/databrowser/view/DS-056120__custom_6262207/default/table" xr:uid="{88655300-226F-481F-A98B-54E8E581BF3F}"/>
    <hyperlink ref="E427" r:id="rId408" display="https://ec.europa.eu/eurostat/databrowser/view/DS-056120__custom_6262207/default/table" xr:uid="{5CA94A91-101A-4227-9819-CAACCF7C7B57}"/>
    <hyperlink ref="E428" r:id="rId409" display="https://ec.europa.eu/eurostat/databrowser/view/DS-056120__custom_6262207/default/table" xr:uid="{6768D8A5-CA8D-4B04-9513-AF45365EA152}"/>
    <hyperlink ref="E429" r:id="rId410" display="https://ec.europa.eu/eurostat/databrowser/view/DS-056120__custom_6262207/default/table" xr:uid="{976EA528-93AD-443E-8D1D-A5FD41B1D795}"/>
    <hyperlink ref="E430" r:id="rId411" display="https://ec.europa.eu/eurostat/databrowser/view/DS-056120__custom_6262207/default/table" xr:uid="{4898097F-284F-4B62-A34B-0B98DA679506}"/>
    <hyperlink ref="E431" r:id="rId412" display="https://ec.europa.eu/eurostat/databrowser/view/DS-056120__custom_6262207/default/table" xr:uid="{590C7802-D88E-4870-8F76-6032691F2859}"/>
    <hyperlink ref="E432" r:id="rId413" display="https://ec.europa.eu/eurostat/databrowser/view/DS-056120__custom_6262207/default/table" xr:uid="{D54F5F5C-E9D6-4FCF-A818-32FACFAC7197}"/>
    <hyperlink ref="E433" r:id="rId414" display="https://ec.europa.eu/eurostat/databrowser/view/DS-056120__custom_6262207/default/table" xr:uid="{80305AA0-3271-4EAE-A6F1-8F7B099BB85E}"/>
    <hyperlink ref="E434" r:id="rId415" display="https://ec.europa.eu/eurostat/databrowser/view/DS-056120__custom_6262207/default/table" xr:uid="{CFA833BD-3DAF-4BCC-B7BF-FDF04330AE02}"/>
    <hyperlink ref="E435" r:id="rId416" display="https://ec.europa.eu/eurostat/databrowser/view/DS-056120__custom_6262207/default/table" xr:uid="{021626CE-42EF-4BEA-AE7D-79431959A687}"/>
    <hyperlink ref="E436" r:id="rId417" display="https://ec.europa.eu/eurostat/databrowser/view/DS-056120__custom_6262207/default/table" xr:uid="{8B51069B-7543-48A7-81EE-0579D23FB2B1}"/>
    <hyperlink ref="E437" r:id="rId418" display="https://ec.europa.eu/eurostat/databrowser/view/DS-056120__custom_6262207/default/table" xr:uid="{772F328F-C5D1-41F8-8306-95882F06994C}"/>
    <hyperlink ref="E438" r:id="rId419" display="https://ec.europa.eu/eurostat/databrowser/view/DS-056120__custom_6262207/default/table" xr:uid="{114085F5-176F-4321-BBEA-828042503FB2}"/>
    <hyperlink ref="E439" r:id="rId420" display="https://ec.europa.eu/eurostat/databrowser/view/DS-056120__custom_6262207/default/table" xr:uid="{935AEB98-C4E6-429C-86E6-F279B9FD54A3}"/>
    <hyperlink ref="E440" r:id="rId421" display="https://ec.europa.eu/eurostat/databrowser/view/DS-056120__custom_6262207/default/table" xr:uid="{F3ED4718-9E91-40CB-A392-561AA03C42C8}"/>
    <hyperlink ref="E441" r:id="rId422" display="https://ec.europa.eu/eurostat/databrowser/view/DS-056120__custom_6262207/default/table" xr:uid="{273951AF-80B4-4226-8E29-39864265D70E}"/>
    <hyperlink ref="E442" r:id="rId423" display="https://ec.europa.eu/eurostat/databrowser/view/DS-056120__custom_6262207/default/table" xr:uid="{375F225A-A62F-4168-B2EC-FF2F6A1A76D5}"/>
    <hyperlink ref="E443" r:id="rId424" display="https://ec.europa.eu/eurostat/databrowser/view/DS-056120__custom_6262207/default/table" xr:uid="{44617B4F-D001-4FA3-B733-53219D4422C6}"/>
    <hyperlink ref="E444" r:id="rId425" display="https://ec.europa.eu/eurostat/databrowser/view/DS-056120__custom_6262207/default/table" xr:uid="{29E48C65-1C53-4FAB-87F5-D5A9B9704AEF}"/>
    <hyperlink ref="E445" r:id="rId426" display="https://ec.europa.eu/eurostat/databrowser/view/DS-056120__custom_6262207/default/table" xr:uid="{802C9CA2-FAAB-4553-ABB2-3AB3EBE3C4B7}"/>
    <hyperlink ref="E446" r:id="rId427" display="https://ec.europa.eu/eurostat/databrowser/view/DS-056120__custom_6262207/default/table" xr:uid="{E03AF577-8F6E-42C1-8C38-4187CDD70751}"/>
    <hyperlink ref="E447" r:id="rId428" display="https://ec.europa.eu/eurostat/databrowser/view/DS-056120__custom_6262207/default/table" xr:uid="{422BFBB5-A558-4674-9F37-C1D078C89AC4}"/>
    <hyperlink ref="E448" r:id="rId429" display="https://ec.europa.eu/eurostat/databrowser/view/DS-056120__custom_6262207/default/table" xr:uid="{ED375519-9B13-4F0B-A2C7-74B6D178F6ED}"/>
    <hyperlink ref="E449" r:id="rId430" display="https://ec.europa.eu/eurostat/databrowser/view/DS-056120__custom_6262207/default/table" xr:uid="{217E6867-0200-4FA7-8144-8E33B5215EFD}"/>
    <hyperlink ref="E450" r:id="rId431" display="https://ec.europa.eu/eurostat/databrowser/view/DS-056120__custom_6262207/default/table" xr:uid="{0F8926BD-940B-44D0-91E4-D4CAB6A9F7E4}"/>
    <hyperlink ref="E451" r:id="rId432" display="https://ec.europa.eu/eurostat/databrowser/view/DS-056120__custom_6262207/default/table" xr:uid="{6CD6BC4D-2002-453F-A2A4-28544B0AF7EE}"/>
    <hyperlink ref="E452" r:id="rId433" display="https://ec.europa.eu/eurostat/databrowser/view/DS-056120__custom_6262207/default/table" xr:uid="{F0B02E4B-14F8-4C3B-9E4F-EBB2DD3B8BDB}"/>
    <hyperlink ref="E453" r:id="rId434" display="https://ec.europa.eu/eurostat/databrowser/view/DS-056120__custom_6262207/default/table" xr:uid="{48E879A2-0D3B-4935-847B-2E67528E2A1C}"/>
    <hyperlink ref="E454" r:id="rId435" display="https://ec.europa.eu/eurostat/databrowser/view/DS-056120__custom_6262207/default/table" xr:uid="{CE98B3EC-01C0-4C1B-83C0-73C9439E1661}"/>
    <hyperlink ref="E455" r:id="rId436" display="https://ec.europa.eu/eurostat/databrowser/view/DS-056120__custom_6262207/default/table" xr:uid="{609FA6DE-EE4C-467B-8C7E-0F5203720D2B}"/>
    <hyperlink ref="E456" r:id="rId437" display="https://ec.europa.eu/eurostat/databrowser/view/DS-056120__custom_6262207/default/table" xr:uid="{DBD2E213-AF7F-4302-A212-8659DD80B3DC}"/>
    <hyperlink ref="E457" r:id="rId438" display="https://ec.europa.eu/eurostat/databrowser/view/DS-056120__custom_6262207/default/table" xr:uid="{F36BA05D-9B95-4317-AF04-AC8E04333046}"/>
    <hyperlink ref="E458" r:id="rId439" display="https://ec.europa.eu/eurostat/databrowser/view/DS-056120__custom_6262207/default/table" xr:uid="{9418125E-5DBB-4C44-B7D8-F8D88EC4894A}"/>
    <hyperlink ref="E459" r:id="rId440" display="https://ec.europa.eu/eurostat/databrowser/view/DS-056120__custom_6262207/default/table" xr:uid="{3B7B20EC-C5F8-4D75-A29E-FC7868152515}"/>
    <hyperlink ref="E460" r:id="rId441" display="https://ec.europa.eu/eurostat/databrowser/view/DS-056120__custom_6262207/default/table" xr:uid="{F4DB5DDB-3D1F-4C7F-930B-6A98DF32171B}"/>
    <hyperlink ref="E461" r:id="rId442" display="https://ec.europa.eu/eurostat/databrowser/view/DS-056120__custom_6262207/default/table" xr:uid="{F827E7ED-AC2B-4C21-90DF-9C6D44429DF7}"/>
    <hyperlink ref="E462" r:id="rId443" display="https://ec.europa.eu/eurostat/databrowser/view/DS-056120__custom_6262207/default/table" xr:uid="{6971E499-AE8A-45D7-9D74-E6AD9CCB89FF}"/>
    <hyperlink ref="E463" r:id="rId444" display="https://ec.europa.eu/eurostat/databrowser/view/DS-056120__custom_6262207/default/table" xr:uid="{D336E3E7-EB08-4474-9CFA-230D721887AD}"/>
    <hyperlink ref="E464" r:id="rId445" display="https://ec.europa.eu/eurostat/databrowser/view/DS-056120__custom_6262207/default/table" xr:uid="{B80DD698-908C-4E63-8095-AEE357AAEF06}"/>
    <hyperlink ref="E465" r:id="rId446" display="https://ec.europa.eu/eurostat/databrowser/view/DS-056120__custom_6262207/default/table" xr:uid="{D774DCE3-3DE9-449C-B8D8-7445E3781507}"/>
    <hyperlink ref="E466" r:id="rId447" display="https://ec.europa.eu/eurostat/databrowser/view/DS-056120__custom_6262207/default/table" xr:uid="{E0C1559A-948E-4A1F-85C0-4A553324CE5C}"/>
    <hyperlink ref="E467" r:id="rId448" display="https://ec.europa.eu/eurostat/databrowser/view/DS-056120__custom_6262207/default/table" xr:uid="{19711C98-B808-4309-BFFF-7AFEB1768EC9}"/>
    <hyperlink ref="E468" r:id="rId449" display="https://ec.europa.eu/eurostat/databrowser/view/DS-056120__custom_6262207/default/table" xr:uid="{83AC6CC6-00B4-4638-B77B-DC5F733C7FC5}"/>
    <hyperlink ref="E469" r:id="rId450" display="https://ec.europa.eu/eurostat/databrowser/view/DS-056120__custom_6262207/default/table" xr:uid="{BC026CD7-95FA-4827-A1DA-056256755374}"/>
    <hyperlink ref="E470" r:id="rId451" display="https://ec.europa.eu/eurostat/databrowser/view/DS-056120__custom_6262207/default/table" xr:uid="{4B746491-8A9A-4AAA-9FF6-E981411546D4}"/>
    <hyperlink ref="E471" r:id="rId452" display="https://ec.europa.eu/eurostat/databrowser/view/DS-056120__custom_6262207/default/table" xr:uid="{516ABAA2-FA16-487B-A3F6-001076FB8DCE}"/>
    <hyperlink ref="E472" r:id="rId453" display="https://ec.europa.eu/eurostat/databrowser/view/DS-056120__custom_6262207/default/table" xr:uid="{68470EAB-063C-4B4A-9A14-8CC9A5516C34}"/>
    <hyperlink ref="E473" r:id="rId454" display="https://ec.europa.eu/eurostat/databrowser/view/DS-056120__custom_6262207/default/table" xr:uid="{AA8A5821-B4BB-4927-ABF6-927170F03F37}"/>
    <hyperlink ref="E474" r:id="rId455" display="https://ec.europa.eu/eurostat/databrowser/view/DS-056120__custom_6262207/default/table" xr:uid="{F85E70ED-7BD4-4053-B35C-D587B7791DD2}"/>
    <hyperlink ref="E475" r:id="rId456" display="https://ec.europa.eu/eurostat/databrowser/view/DS-056120__custom_6262207/default/table" xr:uid="{5207847A-09BE-4D6D-A9F1-633EBFA8DBA6}"/>
    <hyperlink ref="E476" r:id="rId457" display="https://ec.europa.eu/eurostat/databrowser/view/DS-056120__custom_6262207/default/table" xr:uid="{8C0CD1F9-64D9-4E4F-83EA-F4BA1A470BAA}"/>
    <hyperlink ref="E477" r:id="rId458" display="https://ec.europa.eu/eurostat/databrowser/view/DS-056120__custom_6262207/default/table" xr:uid="{B5FB34D9-4AE6-4137-BCD9-363C43216B9E}"/>
    <hyperlink ref="E478" r:id="rId459" display="https://ec.europa.eu/eurostat/databrowser/view/DS-056120__custom_6262207/default/table" xr:uid="{CD5739A7-DA9D-4009-A554-E45FCB20E3FD}"/>
    <hyperlink ref="E479" r:id="rId460" display="https://ec.europa.eu/eurostat/databrowser/view/DS-056120__custom_6262207/default/table" xr:uid="{63A67072-4368-4EB4-85BC-7FCDBD5652D7}"/>
    <hyperlink ref="E480" r:id="rId461" display="https://ec.europa.eu/eurostat/databrowser/view/DS-056120__custom_6262207/default/table" xr:uid="{78BFDCF2-715D-4FEE-829C-EFE6760E4BF5}"/>
    <hyperlink ref="E481" r:id="rId462" display="https://ec.europa.eu/eurostat/databrowser/view/DS-056120__custom_6262207/default/table" xr:uid="{A48C456B-8E7F-48AE-A2A2-2D6C4F089254}"/>
    <hyperlink ref="E482" r:id="rId463" display="https://ec.europa.eu/eurostat/databrowser/view/DS-056120__custom_6262207/default/table" xr:uid="{7E91A45B-5428-4136-94A2-273445108B10}"/>
    <hyperlink ref="E483" r:id="rId464" display="https://ec.europa.eu/eurostat/databrowser/view/DS-056120__custom_6262207/default/table" xr:uid="{2E7DDBDE-B4F7-45C3-B5D3-26067F3C4997}"/>
    <hyperlink ref="E484" r:id="rId465" display="https://ec.europa.eu/eurostat/databrowser/view/DS-056120__custom_6262207/default/table" xr:uid="{141F43C0-E3D0-4DA8-9C8E-BF189E40A765}"/>
    <hyperlink ref="E485" r:id="rId466" display="https://ec.europa.eu/eurostat/databrowser/view/DS-056120__custom_6262207/default/table" xr:uid="{3B1D81F7-3C32-4C88-B952-A98454DE9760}"/>
    <hyperlink ref="E486" r:id="rId467" display="https://ec.europa.eu/eurostat/databrowser/view/DS-056120__custom_6262207/default/table" xr:uid="{922777D4-3402-419B-B18E-5BAF376E0844}"/>
    <hyperlink ref="E487" r:id="rId468" display="https://ec.europa.eu/eurostat/databrowser/view/DS-056120__custom_6262207/default/table" xr:uid="{E637F234-4FF8-40CD-99A2-31675659A46A}"/>
    <hyperlink ref="E488" r:id="rId469" display="https://ec.europa.eu/eurostat/databrowser/view/DS-056120__custom_6262207/default/table" xr:uid="{D752E5F6-2287-4D82-AD6B-1D116C997C7D}"/>
    <hyperlink ref="E489" r:id="rId470" display="https://ec.europa.eu/eurostat/databrowser/view/DS-056120__custom_6262207/default/table" xr:uid="{6E8D8114-8EC6-4D2E-885A-193514459308}"/>
    <hyperlink ref="E490" r:id="rId471" display="https://ec.europa.eu/eurostat/databrowser/view/DS-056120__custom_6262207/default/table" xr:uid="{F70617CC-E0F3-4152-89DA-660E69A389C0}"/>
    <hyperlink ref="E491" r:id="rId472" display="https://ec.europa.eu/eurostat/databrowser/view/DS-056120__custom_6262207/default/table" xr:uid="{257129FF-C0B3-482B-8704-F8A7602E1F9B}"/>
    <hyperlink ref="E492" r:id="rId473" display="https://ec.europa.eu/eurostat/databrowser/view/DS-056120__custom_6262207/default/table" xr:uid="{094EE2A9-4AF5-4D22-BEEF-544E1FC72537}"/>
    <hyperlink ref="E493" r:id="rId474" display="https://ec.europa.eu/eurostat/databrowser/view/DS-056120__custom_6262207/default/table" xr:uid="{F121A529-CF53-4B33-8861-DF0FC0935B4C}"/>
    <hyperlink ref="E494" r:id="rId475" display="https://ec.europa.eu/eurostat/databrowser/view/DS-056120__custom_6262207/default/table" xr:uid="{7A4F57C8-7F1D-4779-A441-31D5D7DA2FC9}"/>
    <hyperlink ref="E495" r:id="rId476" display="https://ec.europa.eu/eurostat/databrowser/view/DS-056120__custom_6262207/default/table" xr:uid="{15BBE6D2-6658-44B3-BBBF-E914CD961C30}"/>
    <hyperlink ref="E496" r:id="rId477" display="https://ec.europa.eu/eurostat/databrowser/view/DS-056120__custom_6262207/default/table" xr:uid="{1B11DDD2-399D-4133-BBF7-4515EC46562A}"/>
    <hyperlink ref="E497" r:id="rId478" display="https://ec.europa.eu/eurostat/databrowser/view/DS-056120__custom_6262207/default/table" xr:uid="{749095D2-63AD-48E9-9935-549DC06ABA19}"/>
    <hyperlink ref="E498" r:id="rId479" display="https://ec.europa.eu/eurostat/databrowser/view/DS-056120__custom_6262207/default/table" xr:uid="{785F566B-6034-4701-BE87-795174069FF3}"/>
    <hyperlink ref="E499" r:id="rId480" display="https://ec.europa.eu/eurostat/databrowser/view/DS-056120__custom_6262207/default/table" xr:uid="{069027AF-710C-4FF4-9B09-0074B3EFB867}"/>
    <hyperlink ref="E500" r:id="rId481" display="https://ec.europa.eu/eurostat/databrowser/view/DS-056120__custom_6262207/default/table" xr:uid="{FED59DB3-9513-42AA-885A-EF5EC540525D}"/>
    <hyperlink ref="E501" r:id="rId482" display="https://ec.europa.eu/eurostat/databrowser/view/DS-056120__custom_6262207/default/table" xr:uid="{868290AA-4C4B-40D7-A559-CD5EEFE7D040}"/>
    <hyperlink ref="E502" r:id="rId483" display="https://ec.europa.eu/eurostat/databrowser/view/DS-056120__custom_6262207/default/table" xr:uid="{CAB0958D-3EE2-40CF-B772-DDFF49F0D461}"/>
    <hyperlink ref="E503" r:id="rId484" display="https://ec.europa.eu/eurostat/databrowser/view/DS-056120__custom_6262207/default/table" xr:uid="{2425609E-B8CB-4494-BAEC-029207551F9B}"/>
    <hyperlink ref="E504" r:id="rId485" display="https://ec.europa.eu/eurostat/databrowser/view/DS-056120__custom_6262207/default/table" xr:uid="{D7BFD267-807C-42D2-B0BE-C3D69CB6C39C}"/>
    <hyperlink ref="E505" r:id="rId486" display="https://ec.europa.eu/eurostat/databrowser/view/DS-056120__custom_6262207/default/table" xr:uid="{C1710B67-E7EB-4F58-9621-FC35574EC290}"/>
    <hyperlink ref="E506" r:id="rId487" display="https://ec.europa.eu/eurostat/databrowser/view/DS-056120__custom_6262207/default/table" xr:uid="{81B3E971-8EF2-40CA-A0BD-F4F80B4A3CA3}"/>
    <hyperlink ref="E507" r:id="rId488" display="https://ec.europa.eu/eurostat/databrowser/view/DS-056120__custom_6262207/default/table" xr:uid="{D565F81C-EEAB-47EA-97BA-7B52EBB330B7}"/>
    <hyperlink ref="E508" r:id="rId489" display="https://ec.europa.eu/eurostat/databrowser/view/DS-056120__custom_6262207/default/table" xr:uid="{5F302535-CC56-4CA7-AF5C-EBBA2E7A8865}"/>
    <hyperlink ref="E509" r:id="rId490" display="https://ec.europa.eu/eurostat/databrowser/view/DS-056120__custom_6262207/default/table" xr:uid="{BAFDA03F-6A76-47B0-9606-E7FD5560A411}"/>
    <hyperlink ref="E510" r:id="rId491" display="https://ec.europa.eu/eurostat/databrowser/view/DS-056120__custom_6262207/default/table" xr:uid="{A327D4F0-4F27-4F7A-A4E8-130F4D0F25E7}"/>
    <hyperlink ref="E511" r:id="rId492" display="https://ec.europa.eu/eurostat/databrowser/view/DS-056120__custom_6262207/default/table" xr:uid="{DE5F6BC5-9389-4300-850D-77C8645704E3}"/>
    <hyperlink ref="E512" r:id="rId493" display="https://ec.europa.eu/eurostat/databrowser/view/DS-056120__custom_6262207/default/table" xr:uid="{1CDAFCF8-CD26-4257-BBEA-3D64253A033C}"/>
    <hyperlink ref="E513" r:id="rId494" display="https://ec.europa.eu/eurostat/databrowser/view/DS-056120__custom_6262207/default/table" xr:uid="{2788C008-BFBB-4EEC-A463-5E7CF6C0832D}"/>
    <hyperlink ref="E514" r:id="rId495" display="https://ec.europa.eu/eurostat/databrowser/view/DS-056120__custom_6262207/default/table" xr:uid="{788D249D-8A00-4FA2-84F8-6D64B7E4CA40}"/>
  </hyperlinks>
  <pageMargins left="0.7" right="0.7" top="0.75" bottom="0.75" header="0.3" footer="0.3"/>
  <pageSetup paperSize="9" orientation="portrait" r:id="rId496"/>
  <extLst>
    <ext xmlns:x14="http://schemas.microsoft.com/office/spreadsheetml/2009/9/main" uri="{78C0D931-6437-407d-A8EE-F0AAD7539E65}">
      <x14:conditionalFormattings>
        <x14:conditionalFormatting xmlns:xm="http://schemas.microsoft.com/office/excel/2006/main">
          <x14:cfRule type="dataBar" id="{A9C58A51-31BA-447F-9AB1-2BF1024BB727}">
            <x14:dataBar minLength="0" maxLength="100" gradient="0">
              <x14:cfvo type="autoMin"/>
              <x14:cfvo type="num">
                <xm:f>4</xm:f>
              </x14:cfvo>
              <x14:negativeFillColor rgb="FFFF0000"/>
              <x14:axisColor rgb="FF000000"/>
            </x14:dataBar>
          </x14:cfRule>
          <xm:sqref>F570:F578</xm:sqref>
        </x14:conditionalFormatting>
        <x14:conditionalFormatting xmlns:xm="http://schemas.microsoft.com/office/excel/2006/main">
          <x14:cfRule type="dataBar" id="{BC5230D7-989F-4EBA-B737-88A8CF8C9C2D}">
            <x14:dataBar minLength="0" maxLength="100" gradient="0">
              <x14:cfvo type="autoMin"/>
              <x14:cfvo type="num">
                <xm:f>4</xm:f>
              </x14:cfvo>
              <x14:negativeFillColor rgb="FFFF0000"/>
              <x14:axisColor rgb="FF000000"/>
            </x14:dataBar>
          </x14:cfRule>
          <xm:sqref>F2:J25</xm:sqref>
        </x14:conditionalFormatting>
        <x14:conditionalFormatting xmlns:xm="http://schemas.microsoft.com/office/excel/2006/main">
          <x14:cfRule type="dataBar" id="{BDD5D7A0-5A76-4143-8AC8-88C3D184A7D9}">
            <x14:dataBar minLength="0" maxLength="100" gradient="0">
              <x14:cfvo type="autoMin"/>
              <x14:cfvo type="num">
                <xm:f>4</xm:f>
              </x14:cfvo>
              <x14:negativeFillColor rgb="FFFF0000"/>
              <x14:axisColor rgb="FF000000"/>
            </x14:dataBar>
          </x14:cfRule>
          <xm:sqref>F26:J41</xm:sqref>
        </x14:conditionalFormatting>
        <x14:conditionalFormatting xmlns:xm="http://schemas.microsoft.com/office/excel/2006/main">
          <x14:cfRule type="dataBar" id="{6621C3A7-CFE1-4625-89B8-FFE407902BE1}">
            <x14:dataBar minLength="0" maxLength="100" gradient="0">
              <x14:cfvo type="autoMin"/>
              <x14:cfvo type="num">
                <xm:f>4</xm:f>
              </x14:cfvo>
              <x14:negativeFillColor rgb="FFFF0000"/>
              <x14:axisColor rgb="FF000000"/>
            </x14:dataBar>
          </x14:cfRule>
          <xm:sqref>F42:J46</xm:sqref>
        </x14:conditionalFormatting>
        <x14:conditionalFormatting xmlns:xm="http://schemas.microsoft.com/office/excel/2006/main">
          <x14:cfRule type="dataBar" id="{DF17E12F-2C54-4B67-9962-531B7E040F19}">
            <x14:dataBar minLength="0" maxLength="100" gradient="0">
              <x14:cfvo type="autoMin"/>
              <x14:cfvo type="num">
                <xm:f>4</xm:f>
              </x14:cfvo>
              <x14:negativeFillColor rgb="FFFF0000"/>
              <x14:axisColor rgb="FF000000"/>
            </x14:dataBar>
          </x14:cfRule>
          <xm:sqref>F47:J47</xm:sqref>
        </x14:conditionalFormatting>
        <x14:conditionalFormatting xmlns:xm="http://schemas.microsoft.com/office/excel/2006/main">
          <x14:cfRule type="dataBar" id="{728F403B-7C89-487F-B15D-0AEC08C1987B}">
            <x14:dataBar minLength="0" maxLength="100" gradient="0">
              <x14:cfvo type="autoMin"/>
              <x14:cfvo type="num">
                <xm:f>4</xm:f>
              </x14:cfvo>
              <x14:negativeFillColor rgb="FFFF0000"/>
              <x14:axisColor rgb="FF000000"/>
            </x14:dataBar>
          </x14:cfRule>
          <xm:sqref>F48:J48</xm:sqref>
        </x14:conditionalFormatting>
        <x14:conditionalFormatting xmlns:xm="http://schemas.microsoft.com/office/excel/2006/main">
          <x14:cfRule type="dataBar" id="{02EBBB2B-9AFA-49B3-9DE3-D9FECD7308CA}">
            <x14:dataBar minLength="0" maxLength="100" gradient="0">
              <x14:cfvo type="autoMin"/>
              <x14:cfvo type="num">
                <xm:f>4</xm:f>
              </x14:cfvo>
              <x14:negativeFillColor rgb="FFFF0000"/>
              <x14:axisColor rgb="FF000000"/>
            </x14:dataBar>
          </x14:cfRule>
          <xm:sqref>F49:J248</xm:sqref>
        </x14:conditionalFormatting>
        <x14:conditionalFormatting xmlns:xm="http://schemas.microsoft.com/office/excel/2006/main">
          <x14:cfRule type="dataBar" id="{2EE27589-4012-4139-AFEA-BDAD27C17E09}">
            <x14:dataBar minLength="0" maxLength="100" gradient="0">
              <x14:cfvo type="autoMin"/>
              <x14:cfvo type="num">
                <xm:f>4</xm:f>
              </x14:cfvo>
              <x14:negativeFillColor rgb="FFFF0000"/>
              <x14:axisColor rgb="FF000000"/>
            </x14:dataBar>
          </x14:cfRule>
          <xm:sqref>F579:J594 G570:J578 F249:J569</xm:sqref>
        </x14:conditionalFormatting>
        <x14:conditionalFormatting xmlns:xm="http://schemas.microsoft.com/office/excel/2006/main">
          <x14:cfRule type="dataBar" id="{B5E83B2D-0374-4072-BEDA-E50576C8BB57}">
            <x14:dataBar minLength="0" maxLength="100" gradient="0">
              <x14:cfvo type="autoMin"/>
              <x14:cfvo type="autoMax"/>
              <x14:negativeFillColor rgb="FFFF0000"/>
              <x14:axisColor rgb="FF000000"/>
            </x14:dataBar>
          </x14:cfRule>
          <xm:sqref>K1:K41</xm:sqref>
        </x14:conditionalFormatting>
        <x14:conditionalFormatting xmlns:xm="http://schemas.microsoft.com/office/excel/2006/main">
          <x14:cfRule type="dataBar" id="{0C28E83C-6DDC-4A10-B92A-2AC19596BE9B}">
            <x14:dataBar minLength="0" maxLength="100" gradient="0">
              <x14:cfvo type="autoMin"/>
              <x14:cfvo type="autoMax"/>
              <x14:negativeFillColor rgb="FFFF0000"/>
              <x14:axisColor rgb="FF000000"/>
            </x14:dataBar>
          </x14:cfRule>
          <xm:sqref>K42:K46</xm:sqref>
        </x14:conditionalFormatting>
        <x14:conditionalFormatting xmlns:xm="http://schemas.microsoft.com/office/excel/2006/main">
          <x14:cfRule type="dataBar" id="{B40B2BE7-8170-4BDF-A0AE-8B1ADCE701F7}">
            <x14:dataBar minLength="0" maxLength="100" gradient="0">
              <x14:cfvo type="autoMin"/>
              <x14:cfvo type="autoMax"/>
              <x14:negativeFillColor rgb="FFFF0000"/>
              <x14:axisColor rgb="FF000000"/>
            </x14:dataBar>
          </x14:cfRule>
          <xm:sqref>K47</xm:sqref>
        </x14:conditionalFormatting>
        <x14:conditionalFormatting xmlns:xm="http://schemas.microsoft.com/office/excel/2006/main">
          <x14:cfRule type="dataBar" id="{34EBC6F7-E675-4E43-A6CA-E5E42B4B8384}">
            <x14:dataBar minLength="0" maxLength="100" gradient="0">
              <x14:cfvo type="autoMin"/>
              <x14:cfvo type="autoMax"/>
              <x14:negativeFillColor rgb="FFFF0000"/>
              <x14:axisColor rgb="FF000000"/>
            </x14:dataBar>
          </x14:cfRule>
          <xm:sqref>K48</xm:sqref>
        </x14:conditionalFormatting>
        <x14:conditionalFormatting xmlns:xm="http://schemas.microsoft.com/office/excel/2006/main">
          <x14:cfRule type="dataBar" id="{D00AEB03-79ED-48E9-9CCA-4045C96D7699}">
            <x14:dataBar minLength="0" maxLength="100" gradient="0">
              <x14:cfvo type="autoMin"/>
              <x14:cfvo type="autoMax"/>
              <x14:negativeFillColor rgb="FFFF0000"/>
              <x14:axisColor rgb="FF000000"/>
            </x14:dataBar>
          </x14:cfRule>
          <xm:sqref>K49:K594</xm:sqref>
        </x14:conditionalFormatting>
        <x14:conditionalFormatting xmlns:xm="http://schemas.microsoft.com/office/excel/2006/main">
          <x14:cfRule type="dataBar" id="{BC50288A-C672-4A14-9B7B-8DCCFADBE899}">
            <x14:dataBar minLength="0" maxLength="100" gradient="0">
              <x14:cfvo type="autoMin"/>
              <x14:cfvo type="autoMax"/>
              <x14:negativeFillColor rgb="FFFF0000"/>
              <x14:axisColor rgb="FF000000"/>
            </x14:dataBar>
          </x14:cfRule>
          <xm:sqref>K595:K810</xm:sqref>
        </x14:conditionalFormatting>
        <x14:conditionalFormatting xmlns:xm="http://schemas.microsoft.com/office/excel/2006/main">
          <x14:cfRule type="dataBar" id="{E73D8729-A249-45D5-8220-4CB6BAB082BC}">
            <x14:dataBar minLength="0" maxLength="100" gradient="0">
              <x14:cfvo type="autoMin"/>
              <x14:cfvo type="num">
                <xm:f>4</xm:f>
              </x14:cfvo>
              <x14:negativeFillColor rgb="FFFF0000"/>
              <x14:axisColor rgb="FF000000"/>
            </x14:dataBar>
          </x14:cfRule>
          <xm:sqref>F595:J678</xm:sqref>
        </x14:conditionalFormatting>
        <x14:conditionalFormatting xmlns:xm="http://schemas.microsoft.com/office/excel/2006/main">
          <x14:cfRule type="dataBar" id="{B8E7FD96-584F-403B-90EA-1CDA6AB1F65A}">
            <x14:dataBar minLength="0" maxLength="100" gradient="0">
              <x14:cfvo type="autoMin"/>
              <x14:cfvo type="num">
                <xm:f>4</xm:f>
              </x14:cfvo>
              <x14:negativeFillColor rgb="FFFF0000"/>
              <x14:axisColor rgb="FF000000"/>
            </x14:dataBar>
          </x14:cfRule>
          <xm:sqref>F679:J762</xm:sqref>
        </x14:conditionalFormatting>
        <x14:conditionalFormatting xmlns:xm="http://schemas.microsoft.com/office/excel/2006/main">
          <x14:cfRule type="dataBar" id="{16DA9265-163B-4572-8F98-BFA44FDB785B}">
            <x14:dataBar minLength="0" maxLength="100" gradient="0">
              <x14:cfvo type="autoMin"/>
              <x14:cfvo type="num">
                <xm:f>4</xm:f>
              </x14:cfvo>
              <x14:negativeFillColor rgb="FFFF0000"/>
              <x14:axisColor rgb="FF000000"/>
            </x14:dataBar>
          </x14:cfRule>
          <xm:sqref>F763:J774</xm:sqref>
        </x14:conditionalFormatting>
        <x14:conditionalFormatting xmlns:xm="http://schemas.microsoft.com/office/excel/2006/main">
          <x14:cfRule type="dataBar" id="{DB8CE4DC-E798-48E8-95E7-927DA757FC2A}">
            <x14:dataBar minLength="0" maxLength="100" gradient="0">
              <x14:cfvo type="autoMin"/>
              <x14:cfvo type="num">
                <xm:f>4</xm:f>
              </x14:cfvo>
              <x14:negativeFillColor rgb="FFFF0000"/>
              <x14:axisColor rgb="FF000000"/>
            </x14:dataBar>
          </x14:cfRule>
          <xm:sqref>F775:J786</xm:sqref>
        </x14:conditionalFormatting>
        <x14:conditionalFormatting xmlns:xm="http://schemas.microsoft.com/office/excel/2006/main">
          <x14:cfRule type="dataBar" id="{C99A0191-792E-4F8F-B5A5-68D520EB0599}">
            <x14:dataBar minLength="0" maxLength="100" gradient="0">
              <x14:cfvo type="autoMin"/>
              <x14:cfvo type="num">
                <xm:f>4</xm:f>
              </x14:cfvo>
              <x14:negativeFillColor rgb="FFFF0000"/>
              <x14:axisColor rgb="FF000000"/>
            </x14:dataBar>
          </x14:cfRule>
          <xm:sqref>F787:J798</xm:sqref>
        </x14:conditionalFormatting>
        <x14:conditionalFormatting xmlns:xm="http://schemas.microsoft.com/office/excel/2006/main">
          <x14:cfRule type="dataBar" id="{ACB7456E-5BE0-4BC0-9C5A-CE7B83A9831F}">
            <x14:dataBar minLength="0" maxLength="100" gradient="0">
              <x14:cfvo type="autoMin"/>
              <x14:cfvo type="num">
                <xm:f>4</xm:f>
              </x14:cfvo>
              <x14:negativeFillColor rgb="FFFF0000"/>
              <x14:axisColor rgb="FF000000"/>
            </x14:dataBar>
          </x14:cfRule>
          <xm:sqref>F799:J810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F49C5-045C-4C41-8133-90E2E1555C53}">
  <sheetPr>
    <tabColor rgb="FF00B0F0"/>
  </sheetPr>
  <dimension ref="A1:AGJ1988"/>
  <sheetViews>
    <sheetView tabSelected="1" zoomScale="90" zoomScaleNormal="85" workbookViewId="0">
      <pane ySplit="1" topLeftCell="A1304" activePane="bottomLeft" state="frozen"/>
      <selection pane="bottomLeft" activeCell="G1426" sqref="G1426"/>
    </sheetView>
  </sheetViews>
  <sheetFormatPr defaultColWidth="9.33203125" defaultRowHeight="14.4"/>
  <cols>
    <col min="1" max="1" width="56.109375" style="7" customWidth="1"/>
    <col min="2" max="2" width="57.88671875" style="7" bestFit="1" customWidth="1"/>
    <col min="3" max="3" width="7.88671875" style="7" bestFit="1" customWidth="1"/>
    <col min="4" max="4" width="11" style="7" bestFit="1" customWidth="1"/>
    <col min="5" max="5" width="13.33203125" style="120" bestFit="1" customWidth="1"/>
    <col min="6" max="6" width="10.109375" style="7" bestFit="1" customWidth="1"/>
    <col min="7" max="7" width="66.109375" style="7" customWidth="1"/>
    <col min="8" max="13" width="6.88671875" style="7" customWidth="1"/>
    <col min="14" max="14" width="9.33203125" style="64" customWidth="1"/>
    <col min="15" max="15" width="8.33203125" style="64" customWidth="1"/>
    <col min="16" max="16" width="255.77734375" style="573" bestFit="1" customWidth="1"/>
    <col min="17" max="868" width="9.33203125" style="16"/>
    <col min="869" max="16384" width="9.33203125" style="6"/>
  </cols>
  <sheetData>
    <row r="1" spans="1:868" ht="30" customHeight="1" thickBot="1">
      <c r="A1" s="58" t="s">
        <v>129</v>
      </c>
      <c r="B1" s="1183" t="s">
        <v>130</v>
      </c>
      <c r="C1" s="1184" t="s">
        <v>131</v>
      </c>
      <c r="D1" s="1185" t="s">
        <v>102</v>
      </c>
      <c r="E1" s="125" t="s">
        <v>132</v>
      </c>
      <c r="F1" s="1185" t="s">
        <v>133</v>
      </c>
      <c r="G1" s="1184" t="s">
        <v>104</v>
      </c>
      <c r="H1" s="45" t="s">
        <v>134</v>
      </c>
      <c r="I1" s="46" t="s">
        <v>135</v>
      </c>
      <c r="J1" s="46" t="s">
        <v>65</v>
      </c>
      <c r="K1" s="46" t="s">
        <v>67</v>
      </c>
      <c r="L1" s="46" t="s">
        <v>73</v>
      </c>
      <c r="M1" s="47" t="s">
        <v>79</v>
      </c>
      <c r="N1" s="1280" t="s">
        <v>136</v>
      </c>
      <c r="O1" s="1280" t="s">
        <v>137</v>
      </c>
      <c r="P1" s="1186" t="s">
        <v>123</v>
      </c>
    </row>
    <row r="2" spans="1:868">
      <c r="A2" s="33" t="str">
        <f>Agriculture!A135</f>
        <v>Agricultural greenhouse films (discarded)</v>
      </c>
      <c r="B2" s="161" t="str">
        <f>Agriculture!B135</f>
        <v>Agricultural waste collection</v>
      </c>
      <c r="C2" s="60" t="str">
        <f>Agriculture!C135</f>
        <v>any</v>
      </c>
      <c r="D2" s="161" t="str">
        <f>Agriculture!D135</f>
        <v>any</v>
      </c>
      <c r="E2" s="488" t="str">
        <f>Agriculture!E135</f>
        <v>rest</v>
      </c>
      <c r="F2" s="415">
        <f>Agriculture!F135</f>
        <v>1</v>
      </c>
      <c r="G2" s="60">
        <f>Agriculture!G135</f>
        <v>0</v>
      </c>
      <c r="H2" s="656"/>
      <c r="I2" s="118"/>
      <c r="J2" s="118"/>
      <c r="K2" s="118"/>
      <c r="L2" s="118"/>
      <c r="M2" s="118"/>
      <c r="N2" s="1281" t="str">
        <f>IF( OR( ISBLANK(H2),ISBLANK(J2), ISBLANK(K2), ISBLANK(L2), ISBLANK(M2) ), "", 1.5*SQRT(   EXP(2.21*(H2-1)) + EXP(2.21*(J2-1)) + EXP(2.21*(K2-1)) + EXP(2.21*(L2-1)) + EXP(2.21*M2)   )/100*2.45 )</f>
        <v/>
      </c>
      <c r="O2" s="810" t="str">
        <f>IF( OR( ISBLANK(I2),ISBLANK(J2), ISBLANK(K2), ISBLANK(L2), ISBLANK(M2) ), "", 1.5*SQRT( EXP(2.21*(I2-1)) + EXP(2.21*(J2-1)) + EXP(2.21*(K2-1)) + EXP(2.21*(L2-1)) + EXP(2.21*M2)   )/100*2.45 )</f>
        <v/>
      </c>
      <c r="P2" s="60"/>
    </row>
    <row r="3" spans="1:868">
      <c r="A3" s="34" t="str">
        <f>Agriculture!A134</f>
        <v>Agricultural greenhouse films (discarded)</v>
      </c>
      <c r="B3" s="40" t="str">
        <f>Agriculture!B134</f>
        <v>Dumping</v>
      </c>
      <c r="C3" s="34" t="str">
        <f>Agriculture!C134</f>
        <v>any</v>
      </c>
      <c r="D3" s="40" t="str">
        <f>Agriculture!D134</f>
        <v>any</v>
      </c>
      <c r="E3" s="216">
        <f>Agriculture!E134</f>
        <v>2.9735682819383261E-4</v>
      </c>
      <c r="F3" s="168">
        <f>Agriculture!F134</f>
        <v>2</v>
      </c>
      <c r="G3" s="34" t="str">
        <f>Agriculture!G134</f>
        <v>SI Kawecki and Nowack, 2019</v>
      </c>
      <c r="H3" s="29">
        <v>2</v>
      </c>
      <c r="I3" s="9">
        <v>2</v>
      </c>
      <c r="J3" s="9">
        <v>1</v>
      </c>
      <c r="K3" s="9">
        <v>3</v>
      </c>
      <c r="L3" s="9">
        <v>3</v>
      </c>
      <c r="M3" s="9">
        <v>3</v>
      </c>
      <c r="N3" s="185">
        <f>IF( OR( ISBLANK(H3),ISBLANK(J3), ISBLANK(K3), ISBLANK(L3), ISBLANK(M3) ), "", 1.5*SQRT(   EXP(2.21*(H3-1)) + EXP(2.21*(J3-1)) + EXP(2.21*(K3-1)) + EXP(2.21*(L3-1)) + EXP(2.21*M3)   )/100*2.45 )</f>
        <v>1.123005955058592</v>
      </c>
      <c r="O3" s="159">
        <f>IF( OR( ISBLANK(I3),ISBLANK(J3), ISBLANK(K3), ISBLANK(L3), ISBLANK(M3) ), "", 1.5*SQRT( EXP(2.21*(I3-1)) + EXP(2.21*(J3-1)) + EXP(2.21*(K3-1)) + EXP(2.21*(L3-1)) + EXP(2.21*M3)   )/100*2.45 )</f>
        <v>1.123005955058592</v>
      </c>
      <c r="P3" s="34" t="str">
        <f>Agriculture!P134</f>
        <v>Normalized (See Agriculture sheet)</v>
      </c>
    </row>
    <row r="4" spans="1:868">
      <c r="A4" s="34" t="str">
        <f>Agriculture!A129</f>
        <v>Agricultural greenhouse films (in use)</v>
      </c>
      <c r="B4" s="40" t="str">
        <f>Agriculture!B129</f>
        <v>Agricultural soil (macro)</v>
      </c>
      <c r="C4" s="34" t="str">
        <f>Agriculture!C129</f>
        <v>any</v>
      </c>
      <c r="D4" s="40" t="str">
        <f>Agriculture!D129</f>
        <v>any</v>
      </c>
      <c r="E4" s="216">
        <f>Agriculture!E129</f>
        <v>0</v>
      </c>
      <c r="F4" s="168">
        <f>Agriculture!F129</f>
        <v>2</v>
      </c>
      <c r="G4" s="34" t="str">
        <f>Agriculture!G129</f>
        <v>Best case scenario</v>
      </c>
      <c r="H4" s="29"/>
      <c r="I4" s="9"/>
      <c r="J4" s="9"/>
      <c r="K4" s="9"/>
      <c r="L4" s="9"/>
      <c r="M4" s="9"/>
      <c r="N4" s="185" t="str">
        <f>IF( OR( ISBLANK(H4),ISBLANK(J4), ISBLANK(K4), ISBLANK(L4), ISBLANK(M4) ), "", 1.5*SQRT(   EXP(2.21*(H4-1)) + EXP(2.21*(J4-1)) + EXP(2.21*(K4-1)) + EXP(2.21*(L4-1)) + EXP(2.21*M4)   )/100*2.45 )</f>
        <v/>
      </c>
      <c r="O4" s="159" t="str">
        <f>IF( OR( ISBLANK(I4),ISBLANK(J4), ISBLANK(K4), ISBLANK(L4), ISBLANK(M4) ), "", 1.5*SQRT( EXP(2.21*(I4-1)) + EXP(2.21*(J4-1)) + EXP(2.21*(K4-1)) + EXP(2.21*(L4-1)) + EXP(2.21*M4)   )/100*2.45 )</f>
        <v/>
      </c>
      <c r="P4" s="34" t="str">
        <f>Agriculture!P129</f>
        <v>Normalized (See Agriculture sheet)</v>
      </c>
    </row>
    <row r="5" spans="1:868">
      <c r="A5" s="34" t="str">
        <f>Agriculture!A130</f>
        <v>Agricultural greenhouse films (in use)</v>
      </c>
      <c r="B5" s="40" t="str">
        <f>Agriculture!B130</f>
        <v>Agricultural soil (macro)</v>
      </c>
      <c r="C5" s="34" t="str">
        <f>Agriculture!C130</f>
        <v>any</v>
      </c>
      <c r="D5" s="40" t="str">
        <f>Agriculture!D130</f>
        <v>any</v>
      </c>
      <c r="E5" s="216">
        <f>Agriculture!E130</f>
        <v>0.40217391304347827</v>
      </c>
      <c r="F5" s="168">
        <f>Agriculture!F130</f>
        <v>2</v>
      </c>
      <c r="G5" s="34" t="str">
        <f>Agriculture!G130</f>
        <v>Based on Agreste. Chiffres-Clés : 61 Hectares En Moyenne Par Exploitation; 2017</v>
      </c>
      <c r="H5" s="29">
        <v>2</v>
      </c>
      <c r="I5" s="9">
        <v>2</v>
      </c>
      <c r="J5" s="9">
        <v>2</v>
      </c>
      <c r="K5" s="9">
        <v>1</v>
      </c>
      <c r="L5" s="9">
        <v>1</v>
      </c>
      <c r="M5" s="9">
        <v>3</v>
      </c>
      <c r="N5" s="185">
        <f>IF( OR( ISBLANK(H5),ISBLANK(J5), ISBLANK(K5), ISBLANK(L5), ISBLANK(M5) ), "", 1.5*SQRT(   EXP(2.21*(H5-1)) + EXP(2.21*(J5-1)) + EXP(2.21*(K5-1)) + EXP(2.21*(L5-1)) + EXP(2.21*M5)   )/100*2.45 )</f>
        <v>1.0248662490928169</v>
      </c>
      <c r="O5" s="159">
        <f>IF( OR( ISBLANK(I5),ISBLANK(J5), ISBLANK(K5), ISBLANK(L5), ISBLANK(M5) ), "", 1.5*SQRT( EXP(2.21*(I5-1)) + EXP(2.21*(J5-1)) + EXP(2.21*(K5-1)) + EXP(2.21*(L5-1)) + EXP(2.21*M5)   )/100*2.45 )</f>
        <v>1.0248662490928169</v>
      </c>
      <c r="P5" s="34" t="str">
        <f>Agriculture!P130</f>
        <v>Normalized (See Agriculture sheet)</v>
      </c>
    </row>
    <row r="6" spans="1:868" s="814" customFormat="1">
      <c r="A6" s="34" t="str">
        <f>Agriculture!A128</f>
        <v>Agricultural greenhouse films (in use)</v>
      </c>
      <c r="B6" s="40" t="str">
        <f>Agriculture!B128</f>
        <v>Agricultural soil (micro)</v>
      </c>
      <c r="C6" s="34" t="str">
        <f>Agriculture!C128</f>
        <v>any</v>
      </c>
      <c r="D6" s="40" t="str">
        <f>Agriculture!D128</f>
        <v>any</v>
      </c>
      <c r="E6" s="216" t="str">
        <f>Agriculture!E128</f>
        <v>rest</v>
      </c>
      <c r="F6" s="168">
        <f>Agriculture!F128</f>
        <v>1</v>
      </c>
      <c r="G6" s="34" t="str">
        <f>Agriculture!G128</f>
        <v>Assumption by Kawecki and Nowack (explained on page 38 of the SI)</v>
      </c>
      <c r="H6" s="29">
        <v>2</v>
      </c>
      <c r="I6" s="9">
        <v>2</v>
      </c>
      <c r="J6" s="9">
        <v>1</v>
      </c>
      <c r="K6" s="9">
        <v>1</v>
      </c>
      <c r="L6" s="9">
        <v>1</v>
      </c>
      <c r="M6" s="9">
        <v>3</v>
      </c>
      <c r="N6" s="185">
        <f>IF( OR( ISBLANK(H6),ISBLANK(J6), ISBLANK(K6), ISBLANK(L6), ISBLANK(M6) ), "", 1.5*SQRT(   EXP(2.21*(H6-1)) + EXP(2.21*(J6-1)) + EXP(2.21*(K6-1)) + EXP(2.21*(L6-1)) + EXP(2.21*M6)   )/100*2.45 )</f>
        <v>1.0195048044558224</v>
      </c>
      <c r="O6" s="159">
        <f>IF( OR( ISBLANK(I6),ISBLANK(J6), ISBLANK(K6), ISBLANK(L6), ISBLANK(M6) ), "", 1.5*SQRT( EXP(2.21*(I6-1)) + EXP(2.21*(J6-1)) + EXP(2.21*(K6-1)) + EXP(2.21*(L6-1)) + EXP(2.21*M6)   )/100*2.45 )</f>
        <v>1.0195048044558224</v>
      </c>
      <c r="P6" s="34"/>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c r="IX6" s="16"/>
      <c r="IY6" s="16"/>
      <c r="IZ6" s="16"/>
      <c r="JA6" s="16"/>
      <c r="JB6" s="16"/>
      <c r="JC6" s="16"/>
      <c r="JD6" s="16"/>
      <c r="JE6" s="16"/>
      <c r="JF6" s="16"/>
      <c r="JG6" s="16"/>
      <c r="JH6" s="16"/>
      <c r="JI6" s="16"/>
      <c r="JJ6" s="16"/>
      <c r="JK6" s="16"/>
      <c r="JL6" s="16"/>
      <c r="JM6" s="16"/>
      <c r="JN6" s="16"/>
      <c r="JO6" s="16"/>
      <c r="JP6" s="16"/>
      <c r="JQ6" s="16"/>
      <c r="JR6" s="16"/>
      <c r="JS6" s="16"/>
      <c r="JT6" s="16"/>
      <c r="JU6" s="16"/>
      <c r="JV6" s="16"/>
      <c r="JW6" s="16"/>
      <c r="JX6" s="16"/>
      <c r="JY6" s="16"/>
      <c r="JZ6" s="16"/>
      <c r="KA6" s="16"/>
      <c r="KB6" s="16"/>
      <c r="KC6" s="16"/>
      <c r="KD6" s="16"/>
      <c r="KE6" s="16"/>
      <c r="KF6" s="16"/>
      <c r="KG6" s="16"/>
      <c r="KH6" s="16"/>
      <c r="KI6" s="16"/>
      <c r="KJ6" s="16"/>
      <c r="KK6" s="16"/>
      <c r="KL6" s="16"/>
      <c r="KM6" s="16"/>
      <c r="KN6" s="16"/>
      <c r="KO6" s="16"/>
      <c r="KP6" s="16"/>
      <c r="KQ6" s="16"/>
      <c r="KR6" s="16"/>
      <c r="KS6" s="16"/>
      <c r="KT6" s="16"/>
      <c r="KU6" s="16"/>
      <c r="KV6" s="16"/>
      <c r="KW6" s="16"/>
      <c r="KX6" s="16"/>
      <c r="KY6" s="16"/>
      <c r="KZ6" s="16"/>
      <c r="LA6" s="16"/>
      <c r="LB6" s="16"/>
      <c r="LC6" s="16"/>
      <c r="LD6" s="16"/>
      <c r="LE6" s="16"/>
      <c r="LF6" s="16"/>
      <c r="LG6" s="16"/>
      <c r="LH6" s="16"/>
      <c r="LI6" s="16"/>
      <c r="LJ6" s="16"/>
      <c r="LK6" s="16"/>
      <c r="LL6" s="16"/>
      <c r="LM6" s="16"/>
      <c r="LN6" s="16"/>
      <c r="LO6" s="16"/>
      <c r="LP6" s="16"/>
      <c r="LQ6" s="16"/>
      <c r="LR6" s="16"/>
      <c r="LS6" s="16"/>
      <c r="LT6" s="16"/>
      <c r="LU6" s="16"/>
      <c r="LV6" s="16"/>
      <c r="LW6" s="16"/>
      <c r="LX6" s="16"/>
      <c r="LY6" s="16"/>
      <c r="LZ6" s="16"/>
      <c r="MA6" s="16"/>
      <c r="MB6" s="16"/>
      <c r="MC6" s="16"/>
      <c r="MD6" s="16"/>
      <c r="ME6" s="16"/>
      <c r="MF6" s="16"/>
      <c r="MG6" s="16"/>
      <c r="MH6" s="16"/>
      <c r="MI6" s="16"/>
      <c r="MJ6" s="16"/>
      <c r="MK6" s="16"/>
      <c r="ML6" s="16"/>
      <c r="MM6" s="16"/>
      <c r="MN6" s="16"/>
      <c r="MO6" s="16"/>
      <c r="MP6" s="16"/>
      <c r="MQ6" s="16"/>
      <c r="MR6" s="16"/>
      <c r="MS6" s="16"/>
      <c r="MT6" s="16"/>
      <c r="MU6" s="16"/>
      <c r="MV6" s="16"/>
      <c r="MW6" s="16"/>
      <c r="MX6" s="16"/>
      <c r="MY6" s="16"/>
      <c r="MZ6" s="16"/>
      <c r="NA6" s="16"/>
      <c r="NB6" s="16"/>
      <c r="NC6" s="16"/>
      <c r="ND6" s="16"/>
      <c r="NE6" s="16"/>
      <c r="NF6" s="16"/>
      <c r="NG6" s="16"/>
      <c r="NH6" s="16"/>
      <c r="NI6" s="16"/>
      <c r="NJ6" s="16"/>
      <c r="NK6" s="16"/>
      <c r="NL6" s="16"/>
      <c r="NM6" s="16"/>
      <c r="NN6" s="16"/>
      <c r="NO6" s="16"/>
      <c r="NP6" s="16"/>
      <c r="NQ6" s="16"/>
      <c r="NR6" s="16"/>
      <c r="NS6" s="16"/>
      <c r="NT6" s="16"/>
      <c r="NU6" s="16"/>
      <c r="NV6" s="16"/>
      <c r="NW6" s="16"/>
      <c r="NX6" s="16"/>
      <c r="NY6" s="16"/>
      <c r="NZ6" s="16"/>
      <c r="OA6" s="16"/>
      <c r="OB6" s="16"/>
      <c r="OC6" s="16"/>
      <c r="OD6" s="16"/>
      <c r="OE6" s="16"/>
      <c r="OF6" s="16"/>
      <c r="OG6" s="16"/>
      <c r="OH6" s="16"/>
      <c r="OI6" s="16"/>
      <c r="OJ6" s="16"/>
      <c r="OK6" s="16"/>
      <c r="OL6" s="16"/>
      <c r="OM6" s="16"/>
      <c r="ON6" s="16"/>
      <c r="OO6" s="16"/>
      <c r="OP6" s="16"/>
      <c r="OQ6" s="16"/>
      <c r="OR6" s="16"/>
      <c r="OS6" s="16"/>
      <c r="OT6" s="16"/>
      <c r="OU6" s="16"/>
      <c r="OV6" s="16"/>
      <c r="OW6" s="16"/>
      <c r="OX6" s="16"/>
      <c r="OY6" s="16"/>
      <c r="OZ6" s="16"/>
      <c r="PA6" s="16"/>
      <c r="PB6" s="16"/>
      <c r="PC6" s="16"/>
      <c r="PD6" s="16"/>
      <c r="PE6" s="16"/>
      <c r="PF6" s="16"/>
      <c r="PG6" s="16"/>
      <c r="PH6" s="16"/>
      <c r="PI6" s="16"/>
      <c r="PJ6" s="16"/>
      <c r="PK6" s="16"/>
      <c r="PL6" s="16"/>
      <c r="PM6" s="16"/>
      <c r="PN6" s="16"/>
      <c r="PO6" s="16"/>
      <c r="PP6" s="16"/>
      <c r="PQ6" s="16"/>
      <c r="PR6" s="16"/>
      <c r="PS6" s="16"/>
      <c r="PT6" s="16"/>
      <c r="PU6" s="16"/>
      <c r="PV6" s="16"/>
      <c r="PW6" s="16"/>
      <c r="PX6" s="16"/>
      <c r="PY6" s="16"/>
      <c r="PZ6" s="16"/>
      <c r="QA6" s="16"/>
      <c r="QB6" s="16"/>
      <c r="QC6" s="16"/>
      <c r="QD6" s="16"/>
      <c r="QE6" s="16"/>
      <c r="QF6" s="16"/>
      <c r="QG6" s="16"/>
      <c r="QH6" s="16"/>
      <c r="QI6" s="16"/>
      <c r="QJ6" s="16"/>
      <c r="QK6" s="16"/>
      <c r="QL6" s="16"/>
      <c r="QM6" s="16"/>
      <c r="QN6" s="16"/>
      <c r="QO6" s="16"/>
      <c r="QP6" s="16"/>
      <c r="QQ6" s="16"/>
      <c r="QR6" s="16"/>
      <c r="QS6" s="16"/>
      <c r="QT6" s="16"/>
      <c r="QU6" s="16"/>
      <c r="QV6" s="16"/>
      <c r="QW6" s="16"/>
      <c r="QX6" s="16"/>
      <c r="QY6" s="16"/>
      <c r="QZ6" s="16"/>
      <c r="RA6" s="16"/>
      <c r="RB6" s="16"/>
      <c r="RC6" s="16"/>
      <c r="RD6" s="16"/>
      <c r="RE6" s="16"/>
      <c r="RF6" s="16"/>
      <c r="RG6" s="16"/>
      <c r="RH6" s="16"/>
      <c r="RI6" s="16"/>
      <c r="RJ6" s="16"/>
      <c r="RK6" s="16"/>
      <c r="RL6" s="16"/>
      <c r="RM6" s="16"/>
      <c r="RN6" s="16"/>
      <c r="RO6" s="16"/>
      <c r="RP6" s="16"/>
      <c r="RQ6" s="16"/>
      <c r="RR6" s="16"/>
      <c r="RS6" s="16"/>
      <c r="RT6" s="16"/>
      <c r="RU6" s="16"/>
      <c r="RV6" s="16"/>
      <c r="RW6" s="16"/>
      <c r="RX6" s="16"/>
      <c r="RY6" s="16"/>
      <c r="RZ6" s="16"/>
      <c r="SA6" s="16"/>
      <c r="SB6" s="16"/>
      <c r="SC6" s="16"/>
      <c r="SD6" s="16"/>
      <c r="SE6" s="16"/>
      <c r="SF6" s="16"/>
      <c r="SG6" s="16"/>
      <c r="SH6" s="16"/>
      <c r="SI6" s="16"/>
      <c r="SJ6" s="16"/>
      <c r="SK6" s="16"/>
      <c r="SL6" s="16"/>
      <c r="SM6" s="16"/>
      <c r="SN6" s="16"/>
      <c r="SO6" s="16"/>
      <c r="SP6" s="16"/>
      <c r="SQ6" s="16"/>
      <c r="SR6" s="16"/>
      <c r="SS6" s="16"/>
      <c r="ST6" s="16"/>
      <c r="SU6" s="16"/>
      <c r="SV6" s="16"/>
      <c r="SW6" s="16"/>
      <c r="SX6" s="16"/>
      <c r="SY6" s="16"/>
      <c r="SZ6" s="16"/>
      <c r="TA6" s="16"/>
      <c r="TB6" s="16"/>
      <c r="TC6" s="16"/>
      <c r="TD6" s="16"/>
      <c r="TE6" s="16"/>
      <c r="TF6" s="16"/>
      <c r="TG6" s="16"/>
      <c r="TH6" s="16"/>
      <c r="TI6" s="16"/>
      <c r="TJ6" s="16"/>
      <c r="TK6" s="16"/>
      <c r="TL6" s="16"/>
      <c r="TM6" s="16"/>
      <c r="TN6" s="16"/>
      <c r="TO6" s="16"/>
      <c r="TP6" s="16"/>
      <c r="TQ6" s="16"/>
      <c r="TR6" s="16"/>
      <c r="TS6" s="16"/>
      <c r="TT6" s="16"/>
      <c r="TU6" s="16"/>
      <c r="TV6" s="16"/>
      <c r="TW6" s="16"/>
      <c r="TX6" s="16"/>
      <c r="TY6" s="16"/>
      <c r="TZ6" s="16"/>
      <c r="UA6" s="16"/>
      <c r="UB6" s="16"/>
      <c r="UC6" s="16"/>
      <c r="UD6" s="16"/>
      <c r="UE6" s="16"/>
      <c r="UF6" s="16"/>
      <c r="UG6" s="16"/>
      <c r="UH6" s="16"/>
      <c r="UI6" s="16"/>
      <c r="UJ6" s="16"/>
      <c r="UK6" s="16"/>
      <c r="UL6" s="16"/>
      <c r="UM6" s="16"/>
      <c r="UN6" s="16"/>
      <c r="UO6" s="16"/>
      <c r="UP6" s="16"/>
      <c r="UQ6" s="16"/>
      <c r="UR6" s="16"/>
      <c r="US6" s="16"/>
      <c r="UT6" s="16"/>
      <c r="UU6" s="16"/>
      <c r="UV6" s="16"/>
      <c r="UW6" s="16"/>
      <c r="UX6" s="16"/>
      <c r="UY6" s="16"/>
      <c r="UZ6" s="16"/>
      <c r="VA6" s="16"/>
      <c r="VB6" s="16"/>
      <c r="VC6" s="16"/>
      <c r="VD6" s="16"/>
      <c r="VE6" s="16"/>
      <c r="VF6" s="16"/>
      <c r="VG6" s="16"/>
      <c r="VH6" s="16"/>
      <c r="VI6" s="16"/>
      <c r="VJ6" s="16"/>
      <c r="VK6" s="16"/>
      <c r="VL6" s="16"/>
      <c r="VM6" s="16"/>
      <c r="VN6" s="16"/>
      <c r="VO6" s="16"/>
      <c r="VP6" s="16"/>
      <c r="VQ6" s="16"/>
      <c r="VR6" s="16"/>
      <c r="VS6" s="16"/>
      <c r="VT6" s="16"/>
      <c r="VU6" s="16"/>
      <c r="VV6" s="16"/>
      <c r="VW6" s="16"/>
      <c r="VX6" s="16"/>
      <c r="VY6" s="16"/>
      <c r="VZ6" s="16"/>
      <c r="WA6" s="16"/>
      <c r="WB6" s="16"/>
      <c r="WC6" s="16"/>
      <c r="WD6" s="16"/>
      <c r="WE6" s="16"/>
      <c r="WF6" s="16"/>
      <c r="WG6" s="16"/>
      <c r="WH6" s="16"/>
      <c r="WI6" s="16"/>
      <c r="WJ6" s="16"/>
      <c r="WK6" s="16"/>
      <c r="WL6" s="16"/>
      <c r="WM6" s="16"/>
      <c r="WN6" s="16"/>
      <c r="WO6" s="16"/>
      <c r="WP6" s="16"/>
      <c r="WQ6" s="16"/>
      <c r="WR6" s="16"/>
      <c r="WS6" s="16"/>
      <c r="WT6" s="16"/>
      <c r="WU6" s="16"/>
      <c r="WV6" s="16"/>
      <c r="WW6" s="16"/>
      <c r="WX6" s="16"/>
      <c r="WY6" s="16"/>
      <c r="WZ6" s="16"/>
      <c r="XA6" s="16"/>
      <c r="XB6" s="16"/>
      <c r="XC6" s="16"/>
      <c r="XD6" s="16"/>
      <c r="XE6" s="16"/>
      <c r="XF6" s="16"/>
      <c r="XG6" s="16"/>
      <c r="XH6" s="16"/>
      <c r="XI6" s="16"/>
      <c r="XJ6" s="16"/>
      <c r="XK6" s="16"/>
      <c r="XL6" s="16"/>
      <c r="XM6" s="16"/>
      <c r="XN6" s="16"/>
      <c r="XO6" s="16"/>
      <c r="XP6" s="16"/>
      <c r="XQ6" s="16"/>
      <c r="XR6" s="16"/>
      <c r="XS6" s="16"/>
      <c r="XT6" s="16"/>
      <c r="XU6" s="16"/>
      <c r="XV6" s="16"/>
      <c r="XW6" s="16"/>
      <c r="XX6" s="16"/>
      <c r="XY6" s="16"/>
      <c r="XZ6" s="16"/>
      <c r="YA6" s="16"/>
      <c r="YB6" s="16"/>
      <c r="YC6" s="16"/>
      <c r="YD6" s="16"/>
      <c r="YE6" s="16"/>
      <c r="YF6" s="16"/>
      <c r="YG6" s="16"/>
      <c r="YH6" s="16"/>
      <c r="YI6" s="16"/>
      <c r="YJ6" s="16"/>
      <c r="YK6" s="16"/>
      <c r="YL6" s="16"/>
      <c r="YM6" s="16"/>
      <c r="YN6" s="16"/>
      <c r="YO6" s="16"/>
      <c r="YP6" s="16"/>
      <c r="YQ6" s="16"/>
      <c r="YR6" s="16"/>
      <c r="YS6" s="16"/>
      <c r="YT6" s="16"/>
      <c r="YU6" s="16"/>
      <c r="YV6" s="16"/>
      <c r="YW6" s="16"/>
      <c r="YX6" s="16"/>
      <c r="YY6" s="16"/>
      <c r="YZ6" s="16"/>
      <c r="ZA6" s="16"/>
      <c r="ZB6" s="16"/>
      <c r="ZC6" s="16"/>
      <c r="ZD6" s="16"/>
      <c r="ZE6" s="16"/>
      <c r="ZF6" s="16"/>
      <c r="ZG6" s="16"/>
      <c r="ZH6" s="16"/>
      <c r="ZI6" s="16"/>
      <c r="ZJ6" s="16"/>
      <c r="ZK6" s="16"/>
      <c r="ZL6" s="16"/>
      <c r="ZM6" s="16"/>
      <c r="ZN6" s="16"/>
      <c r="ZO6" s="16"/>
      <c r="ZP6" s="16"/>
      <c r="ZQ6" s="16"/>
      <c r="ZR6" s="16"/>
      <c r="ZS6" s="16"/>
      <c r="ZT6" s="16"/>
      <c r="ZU6" s="16"/>
      <c r="ZV6" s="16"/>
      <c r="ZW6" s="16"/>
      <c r="ZX6" s="16"/>
      <c r="ZY6" s="16"/>
      <c r="ZZ6" s="16"/>
      <c r="AAA6" s="16"/>
      <c r="AAB6" s="16"/>
      <c r="AAC6" s="16"/>
      <c r="AAD6" s="16"/>
      <c r="AAE6" s="16"/>
      <c r="AAF6" s="16"/>
      <c r="AAG6" s="16"/>
      <c r="AAH6" s="16"/>
      <c r="AAI6" s="16"/>
      <c r="AAJ6" s="16"/>
      <c r="AAK6" s="16"/>
      <c r="AAL6" s="16"/>
      <c r="AAM6" s="16"/>
      <c r="AAN6" s="16"/>
      <c r="AAO6" s="16"/>
      <c r="AAP6" s="16"/>
      <c r="AAQ6" s="16"/>
      <c r="AAR6" s="16"/>
      <c r="AAS6" s="16"/>
      <c r="AAT6" s="16"/>
      <c r="AAU6" s="16"/>
      <c r="AAV6" s="16"/>
      <c r="AAW6" s="16"/>
      <c r="AAX6" s="16"/>
      <c r="AAY6" s="16"/>
      <c r="AAZ6" s="16"/>
      <c r="ABA6" s="16"/>
      <c r="ABB6" s="16"/>
      <c r="ABC6" s="16"/>
      <c r="ABD6" s="16"/>
      <c r="ABE6" s="16"/>
      <c r="ABF6" s="16"/>
      <c r="ABG6" s="16"/>
      <c r="ABH6" s="16"/>
      <c r="ABI6" s="16"/>
      <c r="ABJ6" s="16"/>
      <c r="ABK6" s="16"/>
      <c r="ABL6" s="16"/>
      <c r="ABM6" s="16"/>
      <c r="ABN6" s="16"/>
      <c r="ABO6" s="16"/>
      <c r="ABP6" s="16"/>
      <c r="ABQ6" s="16"/>
      <c r="ABR6" s="16"/>
      <c r="ABS6" s="16"/>
      <c r="ABT6" s="16"/>
      <c r="ABU6" s="16"/>
      <c r="ABV6" s="16"/>
      <c r="ABW6" s="16"/>
      <c r="ABX6" s="16"/>
      <c r="ABY6" s="16"/>
      <c r="ABZ6" s="16"/>
      <c r="ACA6" s="16"/>
      <c r="ACB6" s="16"/>
      <c r="ACC6" s="16"/>
      <c r="ACD6" s="16"/>
      <c r="ACE6" s="16"/>
      <c r="ACF6" s="16"/>
      <c r="ACG6" s="16"/>
      <c r="ACH6" s="16"/>
      <c r="ACI6" s="16"/>
      <c r="ACJ6" s="16"/>
      <c r="ACK6" s="16"/>
      <c r="ACL6" s="16"/>
      <c r="ACM6" s="16"/>
      <c r="ACN6" s="16"/>
      <c r="ACO6" s="16"/>
      <c r="ACP6" s="16"/>
      <c r="ACQ6" s="16"/>
      <c r="ACR6" s="16"/>
      <c r="ACS6" s="16"/>
      <c r="ACT6" s="16"/>
      <c r="ACU6" s="16"/>
      <c r="ACV6" s="16"/>
      <c r="ACW6" s="16"/>
      <c r="ACX6" s="16"/>
      <c r="ACY6" s="16"/>
      <c r="ACZ6" s="16"/>
      <c r="ADA6" s="16"/>
      <c r="ADB6" s="16"/>
      <c r="ADC6" s="16"/>
      <c r="ADD6" s="16"/>
      <c r="ADE6" s="16"/>
      <c r="ADF6" s="16"/>
      <c r="ADG6" s="16"/>
      <c r="ADH6" s="16"/>
      <c r="ADI6" s="16"/>
      <c r="ADJ6" s="16"/>
      <c r="ADK6" s="16"/>
      <c r="ADL6" s="16"/>
      <c r="ADM6" s="16"/>
      <c r="ADN6" s="16"/>
      <c r="ADO6" s="16"/>
      <c r="ADP6" s="16"/>
      <c r="ADQ6" s="16"/>
      <c r="ADR6" s="16"/>
      <c r="ADS6" s="16"/>
      <c r="ADT6" s="16"/>
      <c r="ADU6" s="16"/>
      <c r="ADV6" s="16"/>
      <c r="ADW6" s="16"/>
      <c r="ADX6" s="16"/>
      <c r="ADY6" s="16"/>
      <c r="ADZ6" s="16"/>
      <c r="AEA6" s="16"/>
      <c r="AEB6" s="16"/>
      <c r="AEC6" s="16"/>
      <c r="AED6" s="16"/>
      <c r="AEE6" s="16"/>
      <c r="AEF6" s="16"/>
      <c r="AEG6" s="16"/>
      <c r="AEH6" s="16"/>
      <c r="AEI6" s="16"/>
      <c r="AEJ6" s="16"/>
      <c r="AEK6" s="16"/>
      <c r="AEL6" s="16"/>
      <c r="AEM6" s="16"/>
      <c r="AEN6" s="16"/>
      <c r="AEO6" s="16"/>
      <c r="AEP6" s="16"/>
      <c r="AEQ6" s="16"/>
      <c r="AER6" s="16"/>
      <c r="AES6" s="16"/>
      <c r="AET6" s="16"/>
      <c r="AEU6" s="16"/>
      <c r="AEV6" s="16"/>
      <c r="AEW6" s="16"/>
      <c r="AEX6" s="16"/>
      <c r="AEY6" s="16"/>
      <c r="AEZ6" s="16"/>
      <c r="AFA6" s="16"/>
      <c r="AFB6" s="16"/>
      <c r="AFC6" s="16"/>
      <c r="AFD6" s="16"/>
      <c r="AFE6" s="16"/>
      <c r="AFF6" s="16"/>
      <c r="AFG6" s="16"/>
      <c r="AFH6" s="16"/>
      <c r="AFI6" s="16"/>
      <c r="AFJ6" s="16"/>
      <c r="AFK6" s="16"/>
      <c r="AFL6" s="16"/>
      <c r="AFM6" s="16"/>
      <c r="AFN6" s="16"/>
      <c r="AFO6" s="16"/>
      <c r="AFP6" s="16"/>
      <c r="AFQ6" s="16"/>
      <c r="AFR6" s="16"/>
      <c r="AFS6" s="16"/>
      <c r="AFT6" s="16"/>
      <c r="AFU6" s="16"/>
      <c r="AFV6" s="16"/>
      <c r="AFW6" s="16"/>
      <c r="AFX6" s="16"/>
      <c r="AFY6" s="16"/>
      <c r="AFZ6" s="16"/>
      <c r="AGA6" s="16"/>
      <c r="AGB6" s="16"/>
      <c r="AGC6" s="16"/>
      <c r="AGD6" s="16"/>
      <c r="AGE6" s="16"/>
      <c r="AGF6" s="16"/>
      <c r="AGG6" s="16"/>
      <c r="AGH6" s="16"/>
      <c r="AGI6" s="16"/>
      <c r="AGJ6" s="16"/>
    </row>
    <row r="7" spans="1:868">
      <c r="A7" s="34" t="str">
        <f>Agriculture!A131</f>
        <v>Agricultural greenhouse films (in use)</v>
      </c>
      <c r="B7" s="40" t="str">
        <f>Agriculture!B131</f>
        <v>Collected organic waste</v>
      </c>
      <c r="C7" s="34" t="str">
        <f>Agriculture!C131</f>
        <v>any</v>
      </c>
      <c r="D7" s="40" t="str">
        <f>Agriculture!D131</f>
        <v>any</v>
      </c>
      <c r="E7" s="216">
        <f>Agriculture!E131</f>
        <v>0.38043478260869568</v>
      </c>
      <c r="F7" s="168">
        <f>Agriculture!F131</f>
        <v>2</v>
      </c>
      <c r="G7" s="34" t="str">
        <f>Agriculture!G131</f>
        <v>See calculation in Compost sheet</v>
      </c>
      <c r="H7" s="29">
        <v>1</v>
      </c>
      <c r="I7" s="9">
        <v>2</v>
      </c>
      <c r="J7" s="9">
        <v>3</v>
      </c>
      <c r="K7" s="9">
        <v>3</v>
      </c>
      <c r="L7" s="9">
        <v>3</v>
      </c>
      <c r="M7" s="9">
        <v>2</v>
      </c>
      <c r="N7" s="185">
        <f>IF( OR( ISBLANK(H7),ISBLANK(J7), ISBLANK(K7), ISBLANK(L7), ISBLANK(M7) ), "", 1.5*SQRT(   EXP(2.21*(H7-1)) + EXP(2.21*(J7-1)) + EXP(2.21*(K7-1)) + EXP(2.21*(L7-1)) + EXP(2.21*M7)   )/100*2.45 )</f>
        <v>0.67101227267249941</v>
      </c>
      <c r="O7" s="159">
        <f>IF( OR( ISBLANK(I7),ISBLANK(J7), ISBLANK(K7), ISBLANK(L7), ISBLANK(M7) ), "", 1.5*SQRT( EXP(2.21*(I7-1)) + EXP(2.21*(J7-1)) + EXP(2.21*(K7-1)) + EXP(2.21*(L7-1)) + EXP(2.21*M7)   )/100*2.45 )</f>
        <v>0.67913051197703389</v>
      </c>
      <c r="P7" s="34" t="str">
        <f>Agriculture!P131</f>
        <v>Normalized (See Agriculture sheet)</v>
      </c>
    </row>
    <row r="8" spans="1:868">
      <c r="A8" s="34" t="str">
        <f>Agriculture!A115</f>
        <v>Agricultural mulching films</v>
      </c>
      <c r="B8" s="40" t="str">
        <f>Agriculture!B115</f>
        <v>Agricultural soil (macro)</v>
      </c>
      <c r="C8" s="34" t="str">
        <f>Agriculture!C115</f>
        <v>any</v>
      </c>
      <c r="D8" s="40" t="str">
        <f>Agriculture!D115</f>
        <v>any</v>
      </c>
      <c r="E8" s="216">
        <f>Agriculture!E115</f>
        <v>0</v>
      </c>
      <c r="F8" s="168">
        <f>Agriculture!F115</f>
        <v>2</v>
      </c>
      <c r="G8" s="34" t="str">
        <f>Agriculture!G115</f>
        <v>Best case scenario</v>
      </c>
      <c r="H8" s="29"/>
      <c r="I8" s="9"/>
      <c r="J8" s="9"/>
      <c r="K8" s="9"/>
      <c r="L8" s="9"/>
      <c r="M8" s="9"/>
      <c r="N8" s="185" t="str">
        <f>IF( OR( ISBLANK(H8),ISBLANK(J8), ISBLANK(K8), ISBLANK(L8), ISBLANK(M8) ), "", 1.5*SQRT(   EXP(2.21*(H8-1)) + EXP(2.21*(J8-1)) + EXP(2.21*(K8-1)) + EXP(2.21*(L8-1)) + EXP(2.21*M8)   )/100*2.45 )</f>
        <v/>
      </c>
      <c r="O8" s="159" t="str">
        <f>IF( OR( ISBLANK(I8),ISBLANK(J8), ISBLANK(K8), ISBLANK(L8), ISBLANK(M8) ), "", 1.5*SQRT( EXP(2.21*(I8-1)) + EXP(2.21*(J8-1)) + EXP(2.21*(K8-1)) + EXP(2.21*(L8-1)) + EXP(2.21*M8)   )/100*2.45 )</f>
        <v/>
      </c>
      <c r="P8" s="34"/>
    </row>
    <row r="9" spans="1:868">
      <c r="A9" s="34" t="str">
        <f>Agriculture!A116</f>
        <v>Agricultural mulching films</v>
      </c>
      <c r="B9" s="40" t="str">
        <f>Agriculture!B116</f>
        <v>Agricultural soil (macro)</v>
      </c>
      <c r="C9" s="34" t="str">
        <f>Agriculture!C116</f>
        <v>any</v>
      </c>
      <c r="D9" s="40" t="str">
        <f>Agriculture!D116</f>
        <v>any</v>
      </c>
      <c r="E9" s="216">
        <f>Agriculture!E116</f>
        <v>3.6999999999999998E-2</v>
      </c>
      <c r="F9" s="168">
        <f>Agriculture!F116</f>
        <v>2</v>
      </c>
      <c r="G9" s="34" t="str">
        <f>Agriculture!G116</f>
        <v>Based on Agreste. Chiffres-Clés : 61 Hectares En Moyenne Par Exploitation; 2017</v>
      </c>
      <c r="H9" s="29">
        <v>2</v>
      </c>
      <c r="I9" s="9">
        <v>2</v>
      </c>
      <c r="J9" s="9">
        <v>2</v>
      </c>
      <c r="K9" s="9">
        <v>1</v>
      </c>
      <c r="L9" s="9">
        <v>1</v>
      </c>
      <c r="M9" s="9">
        <v>3</v>
      </c>
      <c r="N9" s="185">
        <f>IF( OR( ISBLANK(H9),ISBLANK(J9), ISBLANK(K9), ISBLANK(L9), ISBLANK(M9) ), "", 1.5*SQRT(   EXP(2.21*(H9-1)) + EXP(2.21*(J9-1)) + EXP(2.21*(K9-1)) + EXP(2.21*(L9-1)) + EXP(2.21*M9)   )/100*2.45 )</f>
        <v>1.0248662490928169</v>
      </c>
      <c r="O9" s="159">
        <f>IF( OR( ISBLANK(I9),ISBLANK(J9), ISBLANK(K9), ISBLANK(L9), ISBLANK(M9) ), "", 1.5*SQRT( EXP(2.21*(I9-1)) + EXP(2.21*(J9-1)) + EXP(2.21*(K9-1)) + EXP(2.21*(L9-1)) + EXP(2.21*M9)   )/100*2.45 )</f>
        <v>1.0248662490928169</v>
      </c>
      <c r="P9" s="34"/>
    </row>
    <row r="10" spans="1:868">
      <c r="A10" s="34" t="str">
        <f>Agriculture!A114</f>
        <v>Agricultural mulching films</v>
      </c>
      <c r="B10" s="40" t="str">
        <f>Agriculture!B114</f>
        <v>Agricultural soil (micro)</v>
      </c>
      <c r="C10" s="34" t="str">
        <f>Agriculture!C114</f>
        <v>any</v>
      </c>
      <c r="D10" s="40" t="str">
        <f>Agriculture!D114</f>
        <v>any</v>
      </c>
      <c r="E10" s="216">
        <f>Agriculture!E114</f>
        <v>0.02</v>
      </c>
      <c r="F10" s="168">
        <f>Agriculture!F114</f>
        <v>2</v>
      </c>
      <c r="G10" s="34" t="str">
        <f>Agriculture!G114</f>
        <v>Assumption by Kawecki and Nowack (explained on page 38 of the SI)</v>
      </c>
      <c r="H10" s="29">
        <v>2</v>
      </c>
      <c r="I10" s="9">
        <v>2</v>
      </c>
      <c r="J10" s="9">
        <v>2</v>
      </c>
      <c r="K10" s="9">
        <v>1</v>
      </c>
      <c r="L10" s="9">
        <v>1</v>
      </c>
      <c r="M10" s="9">
        <v>3</v>
      </c>
      <c r="N10" s="185">
        <f>IF( OR( ISBLANK(H10),ISBLANK(J10), ISBLANK(K10), ISBLANK(L10), ISBLANK(M10) ), "", 1.5*SQRT(   EXP(2.21*(H10-1)) + EXP(2.21*(J10-1)) + EXP(2.21*(K10-1)) + EXP(2.21*(L10-1)) + EXP(2.21*M10)   )/100*2.45 )</f>
        <v>1.0248662490928169</v>
      </c>
      <c r="O10" s="159">
        <f>IF( OR( ISBLANK(I10),ISBLANK(J10), ISBLANK(K10), ISBLANK(L10), ISBLANK(M10) ), "", 1.5*SQRT( EXP(2.21*(I10-1)) + EXP(2.21*(J10-1)) + EXP(2.21*(K10-1)) + EXP(2.21*(L10-1)) + EXP(2.21*M10)   )/100*2.45 )</f>
        <v>1.0248662490928169</v>
      </c>
      <c r="P10" s="34" t="str">
        <f>Agriculture!P114</f>
        <v>Assume that for a film with 1m width, 1cm is lost on both sides when removing. This results in a total loss of 2% of plastic.</v>
      </c>
    </row>
    <row r="11" spans="1:868" s="814" customFormat="1">
      <c r="A11" s="34" t="str">
        <f>Agriculture!A113</f>
        <v>Agricultural mulching films</v>
      </c>
      <c r="B11" s="40" t="str">
        <f>Agriculture!B113</f>
        <v>Agricultural waste collection</v>
      </c>
      <c r="C11" s="34" t="str">
        <f>Agriculture!C113</f>
        <v>any</v>
      </c>
      <c r="D11" s="40" t="str">
        <f>Agriculture!D113</f>
        <v>any</v>
      </c>
      <c r="E11" s="216" t="str">
        <f>Agriculture!E113</f>
        <v>rest</v>
      </c>
      <c r="F11" s="168">
        <f>Agriculture!F113</f>
        <v>1</v>
      </c>
      <c r="G11" s="34">
        <f>Agriculture!G113</f>
        <v>0</v>
      </c>
      <c r="H11" s="29"/>
      <c r="I11" s="9"/>
      <c r="J11" s="9"/>
      <c r="K11" s="9"/>
      <c r="L11" s="9"/>
      <c r="M11" s="9"/>
      <c r="N11" s="185" t="str">
        <f>IF( OR( ISBLANK(H11),ISBLANK(J11), ISBLANK(K11), ISBLANK(L11), ISBLANK(M11) ), "", 1.5*SQRT(   EXP(2.21*(H11-1)) + EXP(2.21*(J11-1)) + EXP(2.21*(K11-1)) + EXP(2.21*(L11-1)) + EXP(2.21*M11)   )/100*2.45 )</f>
        <v/>
      </c>
      <c r="O11" s="159" t="str">
        <f>IF( OR( ISBLANK(I11),ISBLANK(J11), ISBLANK(K11), ISBLANK(L11), ISBLANK(M11) ), "", 1.5*SQRT( EXP(2.21*(I11-1)) + EXP(2.21*(J11-1)) + EXP(2.21*(K11-1)) + EXP(2.21*(L11-1)) + EXP(2.21*M11)   )/100*2.45 )</f>
        <v/>
      </c>
      <c r="P11" s="34"/>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c r="FH11" s="16"/>
      <c r="FI11" s="16"/>
      <c r="FJ11" s="16"/>
      <c r="FK11" s="16"/>
      <c r="FL11" s="16"/>
      <c r="FM11" s="16"/>
      <c r="FN11" s="16"/>
      <c r="FO11" s="16"/>
      <c r="FP11" s="16"/>
      <c r="FQ11" s="16"/>
      <c r="FR11" s="16"/>
      <c r="FS11" s="16"/>
      <c r="FT11" s="16"/>
      <c r="FU11" s="16"/>
      <c r="FV11" s="16"/>
      <c r="FW11" s="16"/>
      <c r="FX11" s="16"/>
      <c r="FY11" s="16"/>
      <c r="FZ11" s="16"/>
      <c r="GA11" s="16"/>
      <c r="GB11" s="16"/>
      <c r="GC11" s="16"/>
      <c r="GD11" s="16"/>
      <c r="GE11" s="16"/>
      <c r="GF11" s="16"/>
      <c r="GG11" s="16"/>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c r="HH11" s="16"/>
      <c r="HI11" s="16"/>
      <c r="HJ11" s="16"/>
      <c r="HK11" s="16"/>
      <c r="HL11" s="16"/>
      <c r="HM11" s="16"/>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c r="IX11" s="16"/>
      <c r="IY11" s="16"/>
      <c r="IZ11" s="16"/>
      <c r="JA11" s="16"/>
      <c r="JB11" s="16"/>
      <c r="JC11" s="16"/>
      <c r="JD11" s="16"/>
      <c r="JE11" s="16"/>
      <c r="JF11" s="16"/>
      <c r="JG11" s="16"/>
      <c r="JH11" s="16"/>
      <c r="JI11" s="16"/>
      <c r="JJ11" s="16"/>
      <c r="JK11" s="16"/>
      <c r="JL11" s="16"/>
      <c r="JM11" s="16"/>
      <c r="JN11" s="16"/>
      <c r="JO11" s="16"/>
      <c r="JP11" s="16"/>
      <c r="JQ11" s="16"/>
      <c r="JR11" s="16"/>
      <c r="JS11" s="16"/>
      <c r="JT11" s="16"/>
      <c r="JU11" s="16"/>
      <c r="JV11" s="16"/>
      <c r="JW11" s="16"/>
      <c r="JX11" s="16"/>
      <c r="JY11" s="16"/>
      <c r="JZ11" s="16"/>
      <c r="KA11" s="16"/>
      <c r="KB11" s="16"/>
      <c r="KC11" s="16"/>
      <c r="KD11" s="16"/>
      <c r="KE11" s="16"/>
      <c r="KF11" s="16"/>
      <c r="KG11" s="16"/>
      <c r="KH11" s="16"/>
      <c r="KI11" s="16"/>
      <c r="KJ11" s="16"/>
      <c r="KK11" s="16"/>
      <c r="KL11" s="16"/>
      <c r="KM11" s="16"/>
      <c r="KN11" s="16"/>
      <c r="KO11" s="16"/>
      <c r="KP11" s="16"/>
      <c r="KQ11" s="16"/>
      <c r="KR11" s="16"/>
      <c r="KS11" s="16"/>
      <c r="KT11" s="16"/>
      <c r="KU11" s="16"/>
      <c r="KV11" s="16"/>
      <c r="KW11" s="16"/>
      <c r="KX11" s="16"/>
      <c r="KY11" s="16"/>
      <c r="KZ11" s="16"/>
      <c r="LA11" s="16"/>
      <c r="LB11" s="16"/>
      <c r="LC11" s="16"/>
      <c r="LD11" s="16"/>
      <c r="LE11" s="16"/>
      <c r="LF11" s="16"/>
      <c r="LG11" s="16"/>
      <c r="LH11" s="16"/>
      <c r="LI11" s="16"/>
      <c r="LJ11" s="16"/>
      <c r="LK11" s="16"/>
      <c r="LL11" s="16"/>
      <c r="LM11" s="16"/>
      <c r="LN11" s="16"/>
      <c r="LO11" s="16"/>
      <c r="LP11" s="16"/>
      <c r="LQ11" s="16"/>
      <c r="LR11" s="16"/>
      <c r="LS11" s="16"/>
      <c r="LT11" s="16"/>
      <c r="LU11" s="16"/>
      <c r="LV11" s="16"/>
      <c r="LW11" s="16"/>
      <c r="LX11" s="16"/>
      <c r="LY11" s="16"/>
      <c r="LZ11" s="16"/>
      <c r="MA11" s="16"/>
      <c r="MB11" s="16"/>
      <c r="MC11" s="16"/>
      <c r="MD11" s="16"/>
      <c r="ME11" s="16"/>
      <c r="MF11" s="16"/>
      <c r="MG11" s="16"/>
      <c r="MH11" s="16"/>
      <c r="MI11" s="16"/>
      <c r="MJ11" s="16"/>
      <c r="MK11" s="16"/>
      <c r="ML11" s="16"/>
      <c r="MM11" s="16"/>
      <c r="MN11" s="16"/>
      <c r="MO11" s="16"/>
      <c r="MP11" s="16"/>
      <c r="MQ11" s="16"/>
      <c r="MR11" s="16"/>
      <c r="MS11" s="16"/>
      <c r="MT11" s="16"/>
      <c r="MU11" s="16"/>
      <c r="MV11" s="16"/>
      <c r="MW11" s="16"/>
      <c r="MX11" s="16"/>
      <c r="MY11" s="16"/>
      <c r="MZ11" s="16"/>
      <c r="NA11" s="16"/>
      <c r="NB11" s="16"/>
      <c r="NC11" s="16"/>
      <c r="ND11" s="16"/>
      <c r="NE11" s="16"/>
      <c r="NF11" s="16"/>
      <c r="NG11" s="16"/>
      <c r="NH11" s="16"/>
      <c r="NI11" s="16"/>
      <c r="NJ11" s="16"/>
      <c r="NK11" s="16"/>
      <c r="NL11" s="16"/>
      <c r="NM11" s="16"/>
      <c r="NN11" s="16"/>
      <c r="NO11" s="16"/>
      <c r="NP11" s="16"/>
      <c r="NQ11" s="16"/>
      <c r="NR11" s="16"/>
      <c r="NS11" s="16"/>
      <c r="NT11" s="16"/>
      <c r="NU11" s="16"/>
      <c r="NV11" s="16"/>
      <c r="NW11" s="16"/>
      <c r="NX11" s="16"/>
      <c r="NY11" s="16"/>
      <c r="NZ11" s="16"/>
      <c r="OA11" s="16"/>
      <c r="OB11" s="16"/>
      <c r="OC11" s="16"/>
      <c r="OD11" s="16"/>
      <c r="OE11" s="16"/>
      <c r="OF11" s="16"/>
      <c r="OG11" s="16"/>
      <c r="OH11" s="16"/>
      <c r="OI11" s="16"/>
      <c r="OJ11" s="16"/>
      <c r="OK11" s="16"/>
      <c r="OL11" s="16"/>
      <c r="OM11" s="16"/>
      <c r="ON11" s="16"/>
      <c r="OO11" s="16"/>
      <c r="OP11" s="16"/>
      <c r="OQ11" s="16"/>
      <c r="OR11" s="16"/>
      <c r="OS11" s="16"/>
      <c r="OT11" s="16"/>
      <c r="OU11" s="16"/>
      <c r="OV11" s="16"/>
      <c r="OW11" s="16"/>
      <c r="OX11" s="16"/>
      <c r="OY11" s="16"/>
      <c r="OZ11" s="16"/>
      <c r="PA11" s="16"/>
      <c r="PB11" s="16"/>
      <c r="PC11" s="16"/>
      <c r="PD11" s="16"/>
      <c r="PE11" s="16"/>
      <c r="PF11" s="16"/>
      <c r="PG11" s="16"/>
      <c r="PH11" s="16"/>
      <c r="PI11" s="16"/>
      <c r="PJ11" s="16"/>
      <c r="PK11" s="16"/>
      <c r="PL11" s="16"/>
      <c r="PM11" s="16"/>
      <c r="PN11" s="16"/>
      <c r="PO11" s="16"/>
      <c r="PP11" s="16"/>
      <c r="PQ11" s="16"/>
      <c r="PR11" s="16"/>
      <c r="PS11" s="16"/>
      <c r="PT11" s="16"/>
      <c r="PU11" s="16"/>
      <c r="PV11" s="16"/>
      <c r="PW11" s="16"/>
      <c r="PX11" s="16"/>
      <c r="PY11" s="16"/>
      <c r="PZ11" s="16"/>
      <c r="QA11" s="16"/>
      <c r="QB11" s="16"/>
      <c r="QC11" s="16"/>
      <c r="QD11" s="16"/>
      <c r="QE11" s="16"/>
      <c r="QF11" s="16"/>
      <c r="QG11" s="16"/>
      <c r="QH11" s="16"/>
      <c r="QI11" s="16"/>
      <c r="QJ11" s="16"/>
      <c r="QK11" s="16"/>
      <c r="QL11" s="16"/>
      <c r="QM11" s="16"/>
      <c r="QN11" s="16"/>
      <c r="QO11" s="16"/>
      <c r="QP11" s="16"/>
      <c r="QQ11" s="16"/>
      <c r="QR11" s="16"/>
      <c r="QS11" s="16"/>
      <c r="QT11" s="16"/>
      <c r="QU11" s="16"/>
      <c r="QV11" s="16"/>
      <c r="QW11" s="16"/>
      <c r="QX11" s="16"/>
      <c r="QY11" s="16"/>
      <c r="QZ11" s="16"/>
      <c r="RA11" s="16"/>
      <c r="RB11" s="16"/>
      <c r="RC11" s="16"/>
      <c r="RD11" s="16"/>
      <c r="RE11" s="16"/>
      <c r="RF11" s="16"/>
      <c r="RG11" s="16"/>
      <c r="RH11" s="16"/>
      <c r="RI11" s="16"/>
      <c r="RJ11" s="16"/>
      <c r="RK11" s="16"/>
      <c r="RL11" s="16"/>
      <c r="RM11" s="16"/>
      <c r="RN11" s="16"/>
      <c r="RO11" s="16"/>
      <c r="RP11" s="16"/>
      <c r="RQ11" s="16"/>
      <c r="RR11" s="16"/>
      <c r="RS11" s="16"/>
      <c r="RT11" s="16"/>
      <c r="RU11" s="16"/>
      <c r="RV11" s="16"/>
      <c r="RW11" s="16"/>
      <c r="RX11" s="16"/>
      <c r="RY11" s="16"/>
      <c r="RZ11" s="16"/>
      <c r="SA11" s="16"/>
      <c r="SB11" s="16"/>
      <c r="SC11" s="16"/>
      <c r="SD11" s="16"/>
      <c r="SE11" s="16"/>
      <c r="SF11" s="16"/>
      <c r="SG11" s="16"/>
      <c r="SH11" s="16"/>
      <c r="SI11" s="16"/>
      <c r="SJ11" s="16"/>
      <c r="SK11" s="16"/>
      <c r="SL11" s="16"/>
      <c r="SM11" s="16"/>
      <c r="SN11" s="16"/>
      <c r="SO11" s="16"/>
      <c r="SP11" s="16"/>
      <c r="SQ11" s="16"/>
      <c r="SR11" s="16"/>
      <c r="SS11" s="16"/>
      <c r="ST11" s="16"/>
      <c r="SU11" s="16"/>
      <c r="SV11" s="16"/>
      <c r="SW11" s="16"/>
      <c r="SX11" s="16"/>
      <c r="SY11" s="16"/>
      <c r="SZ11" s="16"/>
      <c r="TA11" s="16"/>
      <c r="TB11" s="16"/>
      <c r="TC11" s="16"/>
      <c r="TD11" s="16"/>
      <c r="TE11" s="16"/>
      <c r="TF11" s="16"/>
      <c r="TG11" s="16"/>
      <c r="TH11" s="16"/>
      <c r="TI11" s="16"/>
      <c r="TJ11" s="16"/>
      <c r="TK11" s="16"/>
      <c r="TL11" s="16"/>
      <c r="TM11" s="16"/>
      <c r="TN11" s="16"/>
      <c r="TO11" s="16"/>
      <c r="TP11" s="16"/>
      <c r="TQ11" s="16"/>
      <c r="TR11" s="16"/>
      <c r="TS11" s="16"/>
      <c r="TT11" s="16"/>
      <c r="TU11" s="16"/>
      <c r="TV11" s="16"/>
      <c r="TW11" s="16"/>
      <c r="TX11" s="16"/>
      <c r="TY11" s="16"/>
      <c r="TZ11" s="16"/>
      <c r="UA11" s="16"/>
      <c r="UB11" s="16"/>
      <c r="UC11" s="16"/>
      <c r="UD11" s="16"/>
      <c r="UE11" s="16"/>
      <c r="UF11" s="16"/>
      <c r="UG11" s="16"/>
      <c r="UH11" s="16"/>
      <c r="UI11" s="16"/>
      <c r="UJ11" s="16"/>
      <c r="UK11" s="16"/>
      <c r="UL11" s="16"/>
      <c r="UM11" s="16"/>
      <c r="UN11" s="16"/>
      <c r="UO11" s="16"/>
      <c r="UP11" s="16"/>
      <c r="UQ11" s="16"/>
      <c r="UR11" s="16"/>
      <c r="US11" s="16"/>
      <c r="UT11" s="16"/>
      <c r="UU11" s="16"/>
      <c r="UV11" s="16"/>
      <c r="UW11" s="16"/>
      <c r="UX11" s="16"/>
      <c r="UY11" s="16"/>
      <c r="UZ11" s="16"/>
      <c r="VA11" s="16"/>
      <c r="VB11" s="16"/>
      <c r="VC11" s="16"/>
      <c r="VD11" s="16"/>
      <c r="VE11" s="16"/>
      <c r="VF11" s="16"/>
      <c r="VG11" s="16"/>
      <c r="VH11" s="16"/>
      <c r="VI11" s="16"/>
      <c r="VJ11" s="16"/>
      <c r="VK11" s="16"/>
      <c r="VL11" s="16"/>
      <c r="VM11" s="16"/>
      <c r="VN11" s="16"/>
      <c r="VO11" s="16"/>
      <c r="VP11" s="16"/>
      <c r="VQ11" s="16"/>
      <c r="VR11" s="16"/>
      <c r="VS11" s="16"/>
      <c r="VT11" s="16"/>
      <c r="VU11" s="16"/>
      <c r="VV11" s="16"/>
      <c r="VW11" s="16"/>
      <c r="VX11" s="16"/>
      <c r="VY11" s="16"/>
      <c r="VZ11" s="16"/>
      <c r="WA11" s="16"/>
      <c r="WB11" s="16"/>
      <c r="WC11" s="16"/>
      <c r="WD11" s="16"/>
      <c r="WE11" s="16"/>
      <c r="WF11" s="16"/>
      <c r="WG11" s="16"/>
      <c r="WH11" s="16"/>
      <c r="WI11" s="16"/>
      <c r="WJ11" s="16"/>
      <c r="WK11" s="16"/>
      <c r="WL11" s="16"/>
      <c r="WM11" s="16"/>
      <c r="WN11" s="16"/>
      <c r="WO11" s="16"/>
      <c r="WP11" s="16"/>
      <c r="WQ11" s="16"/>
      <c r="WR11" s="16"/>
      <c r="WS11" s="16"/>
      <c r="WT11" s="16"/>
      <c r="WU11" s="16"/>
      <c r="WV11" s="16"/>
      <c r="WW11" s="16"/>
      <c r="WX11" s="16"/>
      <c r="WY11" s="16"/>
      <c r="WZ11" s="16"/>
      <c r="XA11" s="16"/>
      <c r="XB11" s="16"/>
      <c r="XC11" s="16"/>
      <c r="XD11" s="16"/>
      <c r="XE11" s="16"/>
      <c r="XF11" s="16"/>
      <c r="XG11" s="16"/>
      <c r="XH11" s="16"/>
      <c r="XI11" s="16"/>
      <c r="XJ11" s="16"/>
      <c r="XK11" s="16"/>
      <c r="XL11" s="16"/>
      <c r="XM11" s="16"/>
      <c r="XN11" s="16"/>
      <c r="XO11" s="16"/>
      <c r="XP11" s="16"/>
      <c r="XQ11" s="16"/>
      <c r="XR11" s="16"/>
      <c r="XS11" s="16"/>
      <c r="XT11" s="16"/>
      <c r="XU11" s="16"/>
      <c r="XV11" s="16"/>
      <c r="XW11" s="16"/>
      <c r="XX11" s="16"/>
      <c r="XY11" s="16"/>
      <c r="XZ11" s="16"/>
      <c r="YA11" s="16"/>
      <c r="YB11" s="16"/>
      <c r="YC11" s="16"/>
      <c r="YD11" s="16"/>
      <c r="YE11" s="16"/>
      <c r="YF11" s="16"/>
      <c r="YG11" s="16"/>
      <c r="YH11" s="16"/>
      <c r="YI11" s="16"/>
      <c r="YJ11" s="16"/>
      <c r="YK11" s="16"/>
      <c r="YL11" s="16"/>
      <c r="YM11" s="16"/>
      <c r="YN11" s="16"/>
      <c r="YO11" s="16"/>
      <c r="YP11" s="16"/>
      <c r="YQ11" s="16"/>
      <c r="YR11" s="16"/>
      <c r="YS11" s="16"/>
      <c r="YT11" s="16"/>
      <c r="YU11" s="16"/>
      <c r="YV11" s="16"/>
      <c r="YW11" s="16"/>
      <c r="YX11" s="16"/>
      <c r="YY11" s="16"/>
      <c r="YZ11" s="16"/>
      <c r="ZA11" s="16"/>
      <c r="ZB11" s="16"/>
      <c r="ZC11" s="16"/>
      <c r="ZD11" s="16"/>
      <c r="ZE11" s="16"/>
      <c r="ZF11" s="16"/>
      <c r="ZG11" s="16"/>
      <c r="ZH11" s="16"/>
      <c r="ZI11" s="16"/>
      <c r="ZJ11" s="16"/>
      <c r="ZK11" s="16"/>
      <c r="ZL11" s="16"/>
      <c r="ZM11" s="16"/>
      <c r="ZN11" s="16"/>
      <c r="ZO11" s="16"/>
      <c r="ZP11" s="16"/>
      <c r="ZQ11" s="16"/>
      <c r="ZR11" s="16"/>
      <c r="ZS11" s="16"/>
      <c r="ZT11" s="16"/>
      <c r="ZU11" s="16"/>
      <c r="ZV11" s="16"/>
      <c r="ZW11" s="16"/>
      <c r="ZX11" s="16"/>
      <c r="ZY11" s="16"/>
      <c r="ZZ11" s="16"/>
      <c r="AAA11" s="16"/>
      <c r="AAB11" s="16"/>
      <c r="AAC11" s="16"/>
      <c r="AAD11" s="16"/>
      <c r="AAE11" s="16"/>
      <c r="AAF11" s="16"/>
      <c r="AAG11" s="16"/>
      <c r="AAH11" s="16"/>
      <c r="AAI11" s="16"/>
      <c r="AAJ11" s="16"/>
      <c r="AAK11" s="16"/>
      <c r="AAL11" s="16"/>
      <c r="AAM11" s="16"/>
      <c r="AAN11" s="16"/>
      <c r="AAO11" s="16"/>
      <c r="AAP11" s="16"/>
      <c r="AAQ11" s="16"/>
      <c r="AAR11" s="16"/>
      <c r="AAS11" s="16"/>
      <c r="AAT11" s="16"/>
      <c r="AAU11" s="16"/>
      <c r="AAV11" s="16"/>
      <c r="AAW11" s="16"/>
      <c r="AAX11" s="16"/>
      <c r="AAY11" s="16"/>
      <c r="AAZ11" s="16"/>
      <c r="ABA11" s="16"/>
      <c r="ABB11" s="16"/>
      <c r="ABC11" s="16"/>
      <c r="ABD11" s="16"/>
      <c r="ABE11" s="16"/>
      <c r="ABF11" s="16"/>
      <c r="ABG11" s="16"/>
      <c r="ABH11" s="16"/>
      <c r="ABI11" s="16"/>
      <c r="ABJ11" s="16"/>
      <c r="ABK11" s="16"/>
      <c r="ABL11" s="16"/>
      <c r="ABM11" s="16"/>
      <c r="ABN11" s="16"/>
      <c r="ABO11" s="16"/>
      <c r="ABP11" s="16"/>
      <c r="ABQ11" s="16"/>
      <c r="ABR11" s="16"/>
      <c r="ABS11" s="16"/>
      <c r="ABT11" s="16"/>
      <c r="ABU11" s="16"/>
      <c r="ABV11" s="16"/>
      <c r="ABW11" s="16"/>
      <c r="ABX11" s="16"/>
      <c r="ABY11" s="16"/>
      <c r="ABZ11" s="16"/>
      <c r="ACA11" s="16"/>
      <c r="ACB11" s="16"/>
      <c r="ACC11" s="16"/>
      <c r="ACD11" s="16"/>
      <c r="ACE11" s="16"/>
      <c r="ACF11" s="16"/>
      <c r="ACG11" s="16"/>
      <c r="ACH11" s="16"/>
      <c r="ACI11" s="16"/>
      <c r="ACJ11" s="16"/>
      <c r="ACK11" s="16"/>
      <c r="ACL11" s="16"/>
      <c r="ACM11" s="16"/>
      <c r="ACN11" s="16"/>
      <c r="ACO11" s="16"/>
      <c r="ACP11" s="16"/>
      <c r="ACQ11" s="16"/>
      <c r="ACR11" s="16"/>
      <c r="ACS11" s="16"/>
      <c r="ACT11" s="16"/>
      <c r="ACU11" s="16"/>
      <c r="ACV11" s="16"/>
      <c r="ACW11" s="16"/>
      <c r="ACX11" s="16"/>
      <c r="ACY11" s="16"/>
      <c r="ACZ11" s="16"/>
      <c r="ADA11" s="16"/>
      <c r="ADB11" s="16"/>
      <c r="ADC11" s="16"/>
      <c r="ADD11" s="16"/>
      <c r="ADE11" s="16"/>
      <c r="ADF11" s="16"/>
      <c r="ADG11" s="16"/>
      <c r="ADH11" s="16"/>
      <c r="ADI11" s="16"/>
      <c r="ADJ11" s="16"/>
      <c r="ADK11" s="16"/>
      <c r="ADL11" s="16"/>
      <c r="ADM11" s="16"/>
      <c r="ADN11" s="16"/>
      <c r="ADO11" s="16"/>
      <c r="ADP11" s="16"/>
      <c r="ADQ11" s="16"/>
      <c r="ADR11" s="16"/>
      <c r="ADS11" s="16"/>
      <c r="ADT11" s="16"/>
      <c r="ADU11" s="16"/>
      <c r="ADV11" s="16"/>
      <c r="ADW11" s="16"/>
      <c r="ADX11" s="16"/>
      <c r="ADY11" s="16"/>
      <c r="ADZ11" s="16"/>
      <c r="AEA11" s="16"/>
      <c r="AEB11" s="16"/>
      <c r="AEC11" s="16"/>
      <c r="AED11" s="16"/>
      <c r="AEE11" s="16"/>
      <c r="AEF11" s="16"/>
      <c r="AEG11" s="16"/>
      <c r="AEH11" s="16"/>
      <c r="AEI11" s="16"/>
      <c r="AEJ11" s="16"/>
      <c r="AEK11" s="16"/>
      <c r="AEL11" s="16"/>
      <c r="AEM11" s="16"/>
      <c r="AEN11" s="16"/>
      <c r="AEO11" s="16"/>
      <c r="AEP11" s="16"/>
      <c r="AEQ11" s="16"/>
      <c r="AER11" s="16"/>
      <c r="AES11" s="16"/>
      <c r="AET11" s="16"/>
      <c r="AEU11" s="16"/>
      <c r="AEV11" s="16"/>
      <c r="AEW11" s="16"/>
      <c r="AEX11" s="16"/>
      <c r="AEY11" s="16"/>
      <c r="AEZ11" s="16"/>
      <c r="AFA11" s="16"/>
      <c r="AFB11" s="16"/>
      <c r="AFC11" s="16"/>
      <c r="AFD11" s="16"/>
      <c r="AFE11" s="16"/>
      <c r="AFF11" s="16"/>
      <c r="AFG11" s="16"/>
      <c r="AFH11" s="16"/>
      <c r="AFI11" s="16"/>
      <c r="AFJ11" s="16"/>
      <c r="AFK11" s="16"/>
      <c r="AFL11" s="16"/>
      <c r="AFM11" s="16"/>
      <c r="AFN11" s="16"/>
      <c r="AFO11" s="16"/>
      <c r="AFP11" s="16"/>
      <c r="AFQ11" s="16"/>
      <c r="AFR11" s="16"/>
      <c r="AFS11" s="16"/>
      <c r="AFT11" s="16"/>
      <c r="AFU11" s="16"/>
      <c r="AFV11" s="16"/>
      <c r="AFW11" s="16"/>
      <c r="AFX11" s="16"/>
      <c r="AFY11" s="16"/>
      <c r="AFZ11" s="16"/>
      <c r="AGA11" s="16"/>
      <c r="AGB11" s="16"/>
      <c r="AGC11" s="16"/>
      <c r="AGD11" s="16"/>
      <c r="AGE11" s="16"/>
      <c r="AGF11" s="16"/>
      <c r="AGG11" s="16"/>
      <c r="AGH11" s="16"/>
      <c r="AGI11" s="16"/>
      <c r="AGJ11" s="16"/>
    </row>
    <row r="12" spans="1:868">
      <c r="A12" s="34" t="str">
        <f>Agriculture!A112</f>
        <v>Agricultural mulching films</v>
      </c>
      <c r="B12" s="40" t="str">
        <f>Agriculture!B112</f>
        <v>Dumping</v>
      </c>
      <c r="C12" s="34" t="str">
        <f>Agriculture!C112</f>
        <v>any</v>
      </c>
      <c r="D12" s="40" t="str">
        <f>Agriculture!D112</f>
        <v>any</v>
      </c>
      <c r="E12" s="216">
        <f>Agriculture!E112</f>
        <v>2.7E-4</v>
      </c>
      <c r="F12" s="168">
        <f>Agriculture!F112</f>
        <v>2</v>
      </c>
      <c r="G12" s="34" t="str">
        <f>Agriculture!G112</f>
        <v>SI Kawecki and Nowack, 2019</v>
      </c>
      <c r="H12" s="29">
        <v>2</v>
      </c>
      <c r="I12" s="9">
        <v>2</v>
      </c>
      <c r="J12" s="9">
        <v>2</v>
      </c>
      <c r="K12" s="9">
        <v>3</v>
      </c>
      <c r="L12" s="9">
        <v>3</v>
      </c>
      <c r="M12" s="9">
        <v>3</v>
      </c>
      <c r="N12" s="185">
        <f>IF( OR( ISBLANK(H12),ISBLANK(J12), ISBLANK(K12), ISBLANK(L12), ISBLANK(M12) ), "", 1.5*SQRT(   EXP(2.21*(H12-1)) + EXP(2.21*(J12-1)) + EXP(2.21*(K12-1)) + EXP(2.21*(L12-1)) + EXP(2.21*M12)   )/100*2.45 )</f>
        <v>1.1278755061256258</v>
      </c>
      <c r="O12" s="159">
        <f>IF( OR( ISBLANK(I12),ISBLANK(J12), ISBLANK(K12), ISBLANK(L12), ISBLANK(M12) ), "", 1.5*SQRT( EXP(2.21*(I12-1)) + EXP(2.21*(J12-1)) + EXP(2.21*(K12-1)) + EXP(2.21*(L12-1)) + EXP(2.21*M12)   )/100*2.45 )</f>
        <v>1.1278755061256258</v>
      </c>
      <c r="P12" s="34"/>
    </row>
    <row r="13" spans="1:868">
      <c r="A13" s="34" t="str">
        <f>Agriculture!A117</f>
        <v>Agricultural mulching films</v>
      </c>
      <c r="B13" s="40" t="str">
        <f>Agriculture!B117</f>
        <v>Collected organic waste</v>
      </c>
      <c r="C13" s="34" t="str">
        <f>Agriculture!C117</f>
        <v>any</v>
      </c>
      <c r="D13" s="40" t="str">
        <f>Agriculture!D117</f>
        <v>any</v>
      </c>
      <c r="E13" s="216">
        <f>Agriculture!E117</f>
        <v>3.5000000000000003E-2</v>
      </c>
      <c r="F13" s="168">
        <f>Agriculture!F117</f>
        <v>2</v>
      </c>
      <c r="G13" s="34" t="str">
        <f>Agriculture!G117</f>
        <v>See calculation in Compost sheet</v>
      </c>
      <c r="H13" s="29">
        <v>1</v>
      </c>
      <c r="I13" s="9">
        <v>2</v>
      </c>
      <c r="J13" s="9">
        <v>3</v>
      </c>
      <c r="K13" s="9">
        <v>3</v>
      </c>
      <c r="L13" s="9">
        <v>3</v>
      </c>
      <c r="M13" s="9">
        <v>2</v>
      </c>
      <c r="N13" s="185">
        <f>IF( OR( ISBLANK(H13),ISBLANK(J13), ISBLANK(K13), ISBLANK(L13), ISBLANK(M13) ), "", 1.5*SQRT(   EXP(2.21*(H13-1)) + EXP(2.21*(J13-1)) + EXP(2.21*(K13-1)) + EXP(2.21*(L13-1)) + EXP(2.21*M13)   )/100*2.45 )</f>
        <v>0.67101227267249941</v>
      </c>
      <c r="O13" s="159">
        <f>IF( OR( ISBLANK(I13),ISBLANK(J13), ISBLANK(K13), ISBLANK(L13), ISBLANK(M13) ), "", 1.5*SQRT( EXP(2.21*(I13-1)) + EXP(2.21*(J13-1)) + EXP(2.21*(K13-1)) + EXP(2.21*(L13-1)) + EXP(2.21*M13)   )/100*2.45 )</f>
        <v>0.67913051197703389</v>
      </c>
      <c r="P13" s="34"/>
    </row>
    <row r="14" spans="1:868">
      <c r="A14" s="34" t="str">
        <f>Agriculture!A121</f>
        <v>Agricultural other</v>
      </c>
      <c r="B14" s="40" t="str">
        <f>Agriculture!B121</f>
        <v>Agricultural soil (macro)</v>
      </c>
      <c r="C14" s="34" t="str">
        <f>Agriculture!C121</f>
        <v>any</v>
      </c>
      <c r="D14" s="40" t="str">
        <f>Agriculture!D121</f>
        <v>any</v>
      </c>
      <c r="E14" s="216">
        <f>Agriculture!E121</f>
        <v>0</v>
      </c>
      <c r="F14" s="168">
        <f>Agriculture!F121</f>
        <v>2</v>
      </c>
      <c r="G14" s="34" t="str">
        <f>Agriculture!G121</f>
        <v>Best case scenario</v>
      </c>
      <c r="H14" s="29"/>
      <c r="I14" s="9"/>
      <c r="J14" s="9"/>
      <c r="K14" s="9"/>
      <c r="L14" s="9"/>
      <c r="M14" s="9"/>
      <c r="N14" s="185" t="str">
        <f>IF( OR( ISBLANK(H14),ISBLANK(J14), ISBLANK(K14), ISBLANK(L14), ISBLANK(M14) ), "", 1.5*SQRT(   EXP(2.21*(H14-1)) + EXP(2.21*(J14-1)) + EXP(2.21*(K14-1)) + EXP(2.21*(L14-1)) + EXP(2.21*M14)   )/100*2.45 )</f>
        <v/>
      </c>
      <c r="O14" s="159" t="str">
        <f>IF( OR( ISBLANK(I14),ISBLANK(J14), ISBLANK(K14), ISBLANK(L14), ISBLANK(M14) ), "", 1.5*SQRT( EXP(2.21*(I14-1)) + EXP(2.21*(J14-1)) + EXP(2.21*(K14-1)) + EXP(2.21*(L14-1)) + EXP(2.21*M14)   )/100*2.45 )</f>
        <v/>
      </c>
      <c r="P14" s="34"/>
    </row>
    <row r="15" spans="1:868">
      <c r="A15" s="34" t="str">
        <f>Agriculture!A122</f>
        <v>Agricultural other</v>
      </c>
      <c r="B15" s="40" t="str">
        <f>Agriculture!B122</f>
        <v>Agricultural soil (macro)</v>
      </c>
      <c r="C15" s="34" t="str">
        <f>Agriculture!C122</f>
        <v>any</v>
      </c>
      <c r="D15" s="40" t="str">
        <f>Agriculture!D122</f>
        <v>any</v>
      </c>
      <c r="E15" s="216">
        <f>Agriculture!E122</f>
        <v>3.7999999999999999E-2</v>
      </c>
      <c r="F15" s="168">
        <f>Agriculture!F122</f>
        <v>2</v>
      </c>
      <c r="G15" s="34" t="str">
        <f>Agriculture!G122</f>
        <v>Based on Agreste. Chiffres-Clés : 61 Hectares En Moyenne Par Exploitation; 2017</v>
      </c>
      <c r="H15" s="29">
        <v>2</v>
      </c>
      <c r="I15" s="9">
        <v>2</v>
      </c>
      <c r="J15" s="9">
        <v>2</v>
      </c>
      <c r="K15" s="9">
        <v>1</v>
      </c>
      <c r="L15" s="9">
        <v>1</v>
      </c>
      <c r="M15" s="9">
        <v>3</v>
      </c>
      <c r="N15" s="185">
        <f>IF( OR( ISBLANK(H15),ISBLANK(J15), ISBLANK(K15), ISBLANK(L15), ISBLANK(M15) ), "", 1.5*SQRT(   EXP(2.21*(H15-1)) + EXP(2.21*(J15-1)) + EXP(2.21*(K15-1)) + EXP(2.21*(L15-1)) + EXP(2.21*M15)   )/100*2.45 )</f>
        <v>1.0248662490928169</v>
      </c>
      <c r="O15" s="159">
        <f>IF( OR( ISBLANK(I15),ISBLANK(J15), ISBLANK(K15), ISBLANK(L15), ISBLANK(M15) ), "", 1.5*SQRT( EXP(2.21*(I15-1)) + EXP(2.21*(J15-1)) + EXP(2.21*(K15-1)) + EXP(2.21*(L15-1)) + EXP(2.21*M15)   )/100*2.45 )</f>
        <v>1.0248662490928169</v>
      </c>
      <c r="P15" s="34"/>
    </row>
    <row r="16" spans="1:868">
      <c r="A16" s="34" t="str">
        <f>Agriculture!A120</f>
        <v>Agricultural other</v>
      </c>
      <c r="B16" s="40" t="str">
        <f>Agriculture!B120</f>
        <v>Agricultural soil (micro)</v>
      </c>
      <c r="C16" s="34" t="str">
        <f>Agriculture!C120</f>
        <v>any</v>
      </c>
      <c r="D16" s="40" t="str">
        <f>Agriculture!D120</f>
        <v>any</v>
      </c>
      <c r="E16" s="216">
        <f>Agriculture!E120</f>
        <v>1E-3</v>
      </c>
      <c r="F16" s="168">
        <f>Agriculture!F120</f>
        <v>2</v>
      </c>
      <c r="G16" s="34" t="str">
        <f>Agriculture!G120</f>
        <v>Assumption</v>
      </c>
      <c r="H16" s="29">
        <v>1</v>
      </c>
      <c r="I16" s="9">
        <v>1</v>
      </c>
      <c r="J16" s="9">
        <v>1</v>
      </c>
      <c r="K16" s="9">
        <v>1</v>
      </c>
      <c r="L16" s="9">
        <v>1</v>
      </c>
      <c r="M16" s="9">
        <v>3</v>
      </c>
      <c r="N16" s="185">
        <f>IF( OR( ISBLANK(H16),ISBLANK(J16), ISBLANK(K16), ISBLANK(L16), ISBLANK(M16) ), "", 1.5*SQRT(   EXP(2.21*(H16-1)) + EXP(2.21*(J16-1)) + EXP(2.21*(K16-1)) + EXP(2.21*(L16-1)) + EXP(2.21*M16)   )/100*2.45 )</f>
        <v>1.0141150152164344</v>
      </c>
      <c r="O16" s="159">
        <f>IF( OR( ISBLANK(I16),ISBLANK(J16), ISBLANK(K16), ISBLANK(L16), ISBLANK(M16) ), "", 1.5*SQRT( EXP(2.21*(I16-1)) + EXP(2.21*(J16-1)) + EXP(2.21*(K16-1)) + EXP(2.21*(L16-1)) + EXP(2.21*M16)   )/100*2.45 )</f>
        <v>1.0141150152164344</v>
      </c>
      <c r="P16" s="34"/>
    </row>
    <row r="17" spans="1:16">
      <c r="A17" s="34" t="str">
        <f>Agriculture!A119</f>
        <v>Agricultural other</v>
      </c>
      <c r="B17" s="40" t="str">
        <f>Agriculture!B119</f>
        <v>Agricultural waste collection</v>
      </c>
      <c r="C17" s="34" t="str">
        <f>Agriculture!C119</f>
        <v>any</v>
      </c>
      <c r="D17" s="40" t="str">
        <f>Agriculture!D119</f>
        <v>any</v>
      </c>
      <c r="E17" s="216" t="str">
        <f>Agriculture!E119</f>
        <v>rest</v>
      </c>
      <c r="F17" s="168">
        <f>Agriculture!F119</f>
        <v>1</v>
      </c>
      <c r="G17" s="34">
        <f>Agriculture!G119</f>
        <v>0</v>
      </c>
      <c r="H17" s="29"/>
      <c r="I17" s="9"/>
      <c r="J17" s="9"/>
      <c r="K17" s="9"/>
      <c r="L17" s="9"/>
      <c r="M17" s="9"/>
      <c r="N17" s="185"/>
      <c r="O17" s="159" t="str">
        <f>IF( OR( ISBLANK(I17),ISBLANK(J17), ISBLANK(K17), ISBLANK(L17), ISBLANK(M17) ), "", 1.5*SQRT( EXP(2.21*(I17-1)) + EXP(2.21*(J17-1)) + EXP(2.21*(K17-1)) + EXP(2.21*(L17-1)) + EXP(2.21*M17)   )/100*2.45 )</f>
        <v/>
      </c>
      <c r="P17" s="34"/>
    </row>
    <row r="18" spans="1:16">
      <c r="A18" s="34" t="str">
        <f>Agriculture!A118</f>
        <v>Agricultural other</v>
      </c>
      <c r="B18" s="40" t="str">
        <f>Agriculture!B118</f>
        <v>Dumping</v>
      </c>
      <c r="C18" s="34" t="str">
        <f>Agriculture!C118</f>
        <v>any</v>
      </c>
      <c r="D18" s="40" t="str">
        <f>Agriculture!D118</f>
        <v>any</v>
      </c>
      <c r="E18" s="216">
        <f>Agriculture!E118</f>
        <v>2.7E-4</v>
      </c>
      <c r="F18" s="168">
        <f>Agriculture!F118</f>
        <v>2</v>
      </c>
      <c r="G18" s="34" t="str">
        <f>Agriculture!G118</f>
        <v>SI Kawecki and Nowack, 2019</v>
      </c>
      <c r="H18" s="29">
        <v>2</v>
      </c>
      <c r="I18" s="9">
        <v>2</v>
      </c>
      <c r="J18" s="9">
        <v>2</v>
      </c>
      <c r="K18" s="9">
        <v>3</v>
      </c>
      <c r="L18" s="9">
        <v>3</v>
      </c>
      <c r="M18" s="9">
        <v>3</v>
      </c>
      <c r="N18" s="185">
        <f>IF( OR( ISBLANK(H18),ISBLANK(J18), ISBLANK(K18), ISBLANK(L18), ISBLANK(M18) ), "", 1.5*SQRT(   EXP(2.21*(H18-1)) + EXP(2.21*(J18-1)) + EXP(2.21*(K18-1)) + EXP(2.21*(L18-1)) + EXP(2.21*M18)   )/100*2.45 )</f>
        <v>1.1278755061256258</v>
      </c>
      <c r="O18" s="159">
        <f>IF( OR( ISBLANK(I18),ISBLANK(J18), ISBLANK(K18), ISBLANK(L18), ISBLANK(M18) ), "", 1.5*SQRT( EXP(2.21*(I18-1)) + EXP(2.21*(J18-1)) + EXP(2.21*(K18-1)) + EXP(2.21*(L18-1)) + EXP(2.21*M18)   )/100*2.45 )</f>
        <v>1.1278755061256258</v>
      </c>
      <c r="P18" s="34"/>
    </row>
    <row r="19" spans="1:16">
      <c r="A19" s="34" t="str">
        <f>Agriculture!A123</f>
        <v>Agricultural other</v>
      </c>
      <c r="B19" s="40" t="str">
        <f>Agriculture!B123</f>
        <v>Collected organic waste</v>
      </c>
      <c r="C19" s="34" t="str">
        <f>Agriculture!C123</f>
        <v>any</v>
      </c>
      <c r="D19" s="40" t="str">
        <f>Agriculture!D123</f>
        <v>any</v>
      </c>
      <c r="E19" s="216">
        <f>Agriculture!E123</f>
        <v>3.5000000000000003E-2</v>
      </c>
      <c r="F19" s="168">
        <f>Agriculture!F123</f>
        <v>2</v>
      </c>
      <c r="G19" s="34" t="str">
        <f>Agriculture!G123</f>
        <v>See calculation in Compost sheet</v>
      </c>
      <c r="H19" s="29">
        <v>1</v>
      </c>
      <c r="I19" s="9">
        <v>2</v>
      </c>
      <c r="J19" s="9">
        <v>3</v>
      </c>
      <c r="K19" s="9">
        <v>3</v>
      </c>
      <c r="L19" s="9">
        <v>3</v>
      </c>
      <c r="M19" s="9">
        <v>2</v>
      </c>
      <c r="N19" s="185">
        <f>IF( OR( ISBLANK(H19),ISBLANK(J19), ISBLANK(K19), ISBLANK(L19), ISBLANK(M19) ), "", 1.5*SQRT(   EXP(2.21*(H19-1)) + EXP(2.21*(J19-1)) + EXP(2.21*(K19-1)) + EXP(2.21*(L19-1)) + EXP(2.21*M19)   )/100*2.45 )</f>
        <v>0.67101227267249941</v>
      </c>
      <c r="O19" s="159">
        <f>IF( OR( ISBLANK(I19),ISBLANK(J19), ISBLANK(K19), ISBLANK(L19), ISBLANK(M19) ), "", 1.5*SQRT( EXP(2.21*(I19-1)) + EXP(2.21*(J19-1)) + EXP(2.21*(K19-1)) + EXP(2.21*(L19-1)) + EXP(2.21*M19)   )/100*2.45 )</f>
        <v>0.67913051197703389</v>
      </c>
      <c r="P19" s="34"/>
    </row>
    <row r="20" spans="1:16">
      <c r="A20" s="34" t="s">
        <v>138</v>
      </c>
      <c r="B20" s="40" t="s">
        <v>146</v>
      </c>
      <c r="C20" s="34" t="s">
        <v>139</v>
      </c>
      <c r="D20" s="40" t="s">
        <v>139</v>
      </c>
      <c r="E20" s="237">
        <v>0</v>
      </c>
      <c r="F20" s="168">
        <v>2</v>
      </c>
      <c r="G20" s="34" t="s">
        <v>147</v>
      </c>
      <c r="H20" s="29"/>
      <c r="I20" s="9"/>
      <c r="J20" s="9"/>
      <c r="K20" s="9"/>
      <c r="L20" s="9"/>
      <c r="M20" s="9"/>
      <c r="N20" s="185" t="str">
        <f>IF( OR( ISBLANK(H20),ISBLANK(J20), ISBLANK(K20), ISBLANK(L20), ISBLANK(M20) ), "", 1.5*SQRT(   EXP(2.21*(H20-1)) + EXP(2.21*(J20-1)) + EXP(2.21*(K20-1)) + EXP(2.21*(L20-1)) + EXP(2.21*M20)   )/100*2.45 )</f>
        <v/>
      </c>
      <c r="O20" s="159" t="str">
        <f>IF( OR( ISBLANK(I20),ISBLANK(J20), ISBLANK(K20), ISBLANK(L20), ISBLANK(M20) ), "", 1.5*SQRT( EXP(2.21*(I20-1)) + EXP(2.21*(J20-1)) + EXP(2.21*(K20-1)) + EXP(2.21*(L20-1)) + EXP(2.21*M20)   )/100*2.45 )</f>
        <v/>
      </c>
      <c r="P20" s="34"/>
    </row>
    <row r="21" spans="1:16">
      <c r="A21" s="34" t="s">
        <v>138</v>
      </c>
      <c r="B21" s="40" t="s">
        <v>146</v>
      </c>
      <c r="C21" s="34" t="s">
        <v>139</v>
      </c>
      <c r="D21" s="40" t="s">
        <v>139</v>
      </c>
      <c r="E21" s="237">
        <v>1.6E-2</v>
      </c>
      <c r="F21" s="168">
        <v>2</v>
      </c>
      <c r="G21" s="34" t="s">
        <v>148</v>
      </c>
      <c r="H21" s="29">
        <v>1</v>
      </c>
      <c r="I21" s="9"/>
      <c r="J21" s="9">
        <v>1</v>
      </c>
      <c r="K21" s="9">
        <v>1</v>
      </c>
      <c r="L21" s="9">
        <v>1</v>
      </c>
      <c r="M21" s="9">
        <v>3</v>
      </c>
      <c r="N21" s="185">
        <f>IF( OR( ISBLANK(H21),ISBLANK(J21), ISBLANK(K21), ISBLANK(L21), ISBLANK(M21) ), "", 1.5*SQRT(   EXP(2.21*(H21-1)) + EXP(2.21*(J21-1)) + EXP(2.21*(K21-1)) + EXP(2.21*(L21-1)) + EXP(2.21*M21)   )/100*2.45 )</f>
        <v>1.0141150152164344</v>
      </c>
      <c r="O21" s="159" t="str">
        <f>IF( OR( ISBLANK(I21),ISBLANK(J21), ISBLANK(K21), ISBLANK(L21), ISBLANK(M21) ), "", 1.5*SQRT( EXP(2.21*(I21-1)) + EXP(2.21*(J21-1)) + EXP(2.21*(K21-1)) + EXP(2.21*(L21-1)) + EXP(2.21*M21)   )/100*2.45 )</f>
        <v/>
      </c>
      <c r="P21" s="34"/>
    </row>
    <row r="22" spans="1:16">
      <c r="A22" s="34" t="s">
        <v>138</v>
      </c>
      <c r="B22" s="40" t="s">
        <v>165</v>
      </c>
      <c r="C22" s="34" t="s">
        <v>139</v>
      </c>
      <c r="D22" s="40" t="s">
        <v>139</v>
      </c>
      <c r="E22" s="237" t="s">
        <v>150</v>
      </c>
      <c r="F22" s="168">
        <v>1</v>
      </c>
      <c r="G22" s="34"/>
      <c r="H22" s="29"/>
      <c r="I22" s="9"/>
      <c r="J22" s="9"/>
      <c r="K22" s="9"/>
      <c r="L22" s="9"/>
      <c r="M22" s="9"/>
      <c r="N22" s="185" t="str">
        <f>IF( OR( ISBLANK(H22),ISBLANK(J22), ISBLANK(K22), ISBLANK(L22), ISBLANK(M22) ), "", 1.5*SQRT(   EXP(2.21*(H22-1)) + EXP(2.21*(J22-1)) + EXP(2.21*(K22-1)) + EXP(2.21*(L22-1)) + EXP(2.21*M22)   )/100*2.45 )</f>
        <v/>
      </c>
      <c r="O22" s="159" t="str">
        <f>IF( OR( ISBLANK(I22),ISBLANK(J22), ISBLANK(K22), ISBLANK(L22), ISBLANK(M22) ), "", 1.5*SQRT( EXP(2.21*(I22-1)) + EXP(2.21*(J22-1)) + EXP(2.21*(K22-1)) + EXP(2.21*(L22-1)) + EXP(2.21*M22)   )/100*2.45 )</f>
        <v/>
      </c>
      <c r="P22" s="34"/>
    </row>
    <row r="23" spans="1:16">
      <c r="A23" s="34" t="s">
        <v>138</v>
      </c>
      <c r="B23" s="40" t="s">
        <v>167</v>
      </c>
      <c r="C23" s="34" t="s">
        <v>139</v>
      </c>
      <c r="D23" s="40" t="s">
        <v>139</v>
      </c>
      <c r="E23" s="237">
        <v>3.5000000000000003E-2</v>
      </c>
      <c r="F23" s="168">
        <v>2</v>
      </c>
      <c r="G23" s="34" t="s">
        <v>199</v>
      </c>
      <c r="H23" s="29">
        <v>1</v>
      </c>
      <c r="I23" s="9"/>
      <c r="J23" s="9">
        <v>3</v>
      </c>
      <c r="K23" s="9">
        <v>3</v>
      </c>
      <c r="L23" s="9">
        <v>3</v>
      </c>
      <c r="M23" s="9">
        <v>2</v>
      </c>
      <c r="N23" s="185">
        <f>IF( OR( ISBLANK(H23),ISBLANK(J23), ISBLANK(K23), ISBLANK(L23), ISBLANK(M23) ), "", 1.5*SQRT(   EXP(2.21*(H23-1)) + EXP(2.21*(J23-1)) + EXP(2.21*(K23-1)) + EXP(2.21*(L23-1)) + EXP(2.21*M23)   )/100*2.45 )</f>
        <v>0.67101227267249941</v>
      </c>
      <c r="O23" s="159" t="str">
        <f>IF( OR( ISBLANK(I23),ISBLANK(J23), ISBLANK(K23), ISBLANK(L23), ISBLANK(M23) ), "", 1.5*SQRT( EXP(2.21*(I23-1)) + EXP(2.21*(J23-1)) + EXP(2.21*(K23-1)) + EXP(2.21*(L23-1)) + EXP(2.21*M23)   )/100*2.45 )</f>
        <v/>
      </c>
      <c r="P23" s="34"/>
    </row>
    <row r="24" spans="1:16">
      <c r="A24" s="34" t="s">
        <v>138</v>
      </c>
      <c r="B24" s="40" t="s">
        <v>204</v>
      </c>
      <c r="C24" s="34" t="s">
        <v>139</v>
      </c>
      <c r="D24" s="40" t="s">
        <v>139</v>
      </c>
      <c r="E24" s="237">
        <v>2.7E-4</v>
      </c>
      <c r="F24" s="168">
        <v>2</v>
      </c>
      <c r="G24" s="34" t="s">
        <v>205</v>
      </c>
      <c r="H24" s="29">
        <v>1</v>
      </c>
      <c r="I24" s="9"/>
      <c r="J24" s="9">
        <v>1</v>
      </c>
      <c r="K24" s="9">
        <v>3</v>
      </c>
      <c r="L24" s="9">
        <v>3</v>
      </c>
      <c r="M24" s="9">
        <v>3</v>
      </c>
      <c r="N24" s="185">
        <f>IF( OR( ISBLANK(H24),ISBLANK(J24), ISBLANK(K24), ISBLANK(L24), ISBLANK(M24) ), "", 1.5*SQRT(   EXP(2.21*(H24-1)) + EXP(2.21*(J24-1)) + EXP(2.21*(K24-1)) + EXP(2.21*(L24-1)) + EXP(2.21*M24)   )/100*2.45 )</f>
        <v>1.1181151966036349</v>
      </c>
      <c r="O24" s="159" t="str">
        <f>IF( OR( ISBLANK(I24),ISBLANK(J24), ISBLANK(K24), ISBLANK(L24), ISBLANK(M24) ), "", 1.5*SQRT( EXP(2.21*(I24-1)) + EXP(2.21*(J24-1)) + EXP(2.21*(K24-1)) + EXP(2.21*(L24-1)) + EXP(2.21*M24)   )/100*2.45 )</f>
        <v/>
      </c>
      <c r="P24" s="34"/>
    </row>
    <row r="25" spans="1:16">
      <c r="A25" s="34" t="s">
        <v>142</v>
      </c>
      <c r="B25" s="40" t="s">
        <v>146</v>
      </c>
      <c r="C25" s="34" t="s">
        <v>139</v>
      </c>
      <c r="D25" s="40" t="s">
        <v>139</v>
      </c>
      <c r="E25" s="237">
        <v>0</v>
      </c>
      <c r="F25" s="168">
        <v>2</v>
      </c>
      <c r="G25" s="34" t="s">
        <v>147</v>
      </c>
      <c r="H25" s="29"/>
      <c r="I25" s="9"/>
      <c r="J25" s="9"/>
      <c r="K25" s="9"/>
      <c r="L25" s="9"/>
      <c r="M25" s="9"/>
      <c r="N25" s="185" t="str">
        <f>IF( OR( ISBLANK(H25),ISBLANK(J25), ISBLANK(K25), ISBLANK(L25), ISBLANK(M25) ), "", 1.5*SQRT(   EXP(2.21*(H25-1)) + EXP(2.21*(J25-1)) + EXP(2.21*(K25-1)) + EXP(2.21*(L25-1)) + EXP(2.21*M25)   )/100*2.45 )</f>
        <v/>
      </c>
      <c r="O25" s="159" t="str">
        <f>IF( OR( ISBLANK(I25),ISBLANK(J25), ISBLANK(K25), ISBLANK(L25), ISBLANK(M25) ), "", 1.5*SQRT( EXP(2.21*(I25-1)) + EXP(2.21*(J25-1)) + EXP(2.21*(K25-1)) + EXP(2.21*(L25-1)) + EXP(2.21*M25)   )/100*2.45 )</f>
        <v/>
      </c>
      <c r="P25" s="34"/>
    </row>
    <row r="26" spans="1:16">
      <c r="A26" s="34" t="s">
        <v>142</v>
      </c>
      <c r="B26" s="40" t="s">
        <v>146</v>
      </c>
      <c r="C26" s="34" t="s">
        <v>139</v>
      </c>
      <c r="D26" s="40" t="s">
        <v>139</v>
      </c>
      <c r="E26" s="237">
        <v>5.8999999999999997E-2</v>
      </c>
      <c r="F26" s="168">
        <v>2</v>
      </c>
      <c r="G26" s="34" t="s">
        <v>148</v>
      </c>
      <c r="H26" s="29">
        <v>1</v>
      </c>
      <c r="I26" s="9"/>
      <c r="J26" s="9">
        <v>1</v>
      </c>
      <c r="K26" s="9">
        <v>1</v>
      </c>
      <c r="L26" s="9">
        <v>1</v>
      </c>
      <c r="M26" s="9">
        <v>3</v>
      </c>
      <c r="N26" s="185">
        <f>IF( OR( ISBLANK(H26),ISBLANK(J26), ISBLANK(K26), ISBLANK(L26), ISBLANK(M26) ), "", 1.5*SQRT(   EXP(2.21*(H26-1)) + EXP(2.21*(J26-1)) + EXP(2.21*(K26-1)) + EXP(2.21*(L26-1)) + EXP(2.21*M26)   )/100*2.45 )</f>
        <v>1.0141150152164344</v>
      </c>
      <c r="O26" s="159" t="str">
        <f>IF( OR( ISBLANK(I26),ISBLANK(J26), ISBLANK(K26), ISBLANK(L26), ISBLANK(M26) ), "", 1.5*SQRT( EXP(2.21*(I26-1)) + EXP(2.21*(J26-1)) + EXP(2.21*(K26-1)) + EXP(2.21*(L26-1)) + EXP(2.21*M26)   )/100*2.45 )</f>
        <v/>
      </c>
      <c r="P26" s="34"/>
    </row>
    <row r="27" spans="1:16">
      <c r="A27" s="34" t="s">
        <v>142</v>
      </c>
      <c r="B27" s="40" t="s">
        <v>165</v>
      </c>
      <c r="C27" s="34" t="s">
        <v>139</v>
      </c>
      <c r="D27" s="40" t="s">
        <v>139</v>
      </c>
      <c r="E27" s="237" t="s">
        <v>150</v>
      </c>
      <c r="F27" s="168">
        <v>1</v>
      </c>
      <c r="G27" s="34"/>
      <c r="H27" s="29"/>
      <c r="I27" s="9"/>
      <c r="J27" s="9"/>
      <c r="K27" s="9"/>
      <c r="L27" s="9"/>
      <c r="M27" s="9"/>
      <c r="N27" s="185" t="str">
        <f>IF( OR( ISBLANK(H27),ISBLANK(J27), ISBLANK(K27), ISBLANK(L27), ISBLANK(M27) ), "", 1.5*SQRT(   EXP(2.21*(H27-1)) + EXP(2.21*(J27-1)) + EXP(2.21*(K27-1)) + EXP(2.21*(L27-1)) + EXP(2.21*M27)   )/100*2.45 )</f>
        <v/>
      </c>
      <c r="O27" s="159" t="str">
        <f>IF( OR( ISBLANK(I27),ISBLANK(J27), ISBLANK(K27), ISBLANK(L27), ISBLANK(M27) ), "", 1.5*SQRT( EXP(2.21*(I27-1)) + EXP(2.21*(J27-1)) + EXP(2.21*(K27-1)) + EXP(2.21*(L27-1)) + EXP(2.21*M27)   )/100*2.45 )</f>
        <v/>
      </c>
      <c r="P27" s="34"/>
    </row>
    <row r="28" spans="1:16">
      <c r="A28" s="34" t="s">
        <v>142</v>
      </c>
      <c r="B28" s="40" t="s">
        <v>167</v>
      </c>
      <c r="C28" s="34" t="s">
        <v>139</v>
      </c>
      <c r="D28" s="40" t="s">
        <v>139</v>
      </c>
      <c r="E28" s="237">
        <v>3.5000000000000003E-2</v>
      </c>
      <c r="F28" s="168">
        <v>2</v>
      </c>
      <c r="G28" s="34" t="s">
        <v>199</v>
      </c>
      <c r="H28" s="29">
        <v>1</v>
      </c>
      <c r="I28" s="9"/>
      <c r="J28" s="9">
        <v>3</v>
      </c>
      <c r="K28" s="9">
        <v>3</v>
      </c>
      <c r="L28" s="9">
        <v>3</v>
      </c>
      <c r="M28" s="9">
        <v>2</v>
      </c>
      <c r="N28" s="185">
        <f>IF( OR( ISBLANK(H28),ISBLANK(J28), ISBLANK(K28), ISBLANK(L28), ISBLANK(M28) ), "", 1.5*SQRT(   EXP(2.21*(H28-1)) + EXP(2.21*(J28-1)) + EXP(2.21*(K28-1)) + EXP(2.21*(L28-1)) + EXP(2.21*M28)   )/100*2.45 )</f>
        <v>0.67101227267249941</v>
      </c>
      <c r="O28" s="159" t="str">
        <f>IF( OR( ISBLANK(I28),ISBLANK(J28), ISBLANK(K28), ISBLANK(L28), ISBLANK(M28) ), "", 1.5*SQRT( EXP(2.21*(I28-1)) + EXP(2.21*(J28-1)) + EXP(2.21*(K28-1)) + EXP(2.21*(L28-1)) + EXP(2.21*M28)   )/100*2.45 )</f>
        <v/>
      </c>
      <c r="P28" s="34"/>
    </row>
    <row r="29" spans="1:16">
      <c r="A29" s="34" t="s">
        <v>142</v>
      </c>
      <c r="B29" s="40" t="s">
        <v>204</v>
      </c>
      <c r="C29" s="34" t="s">
        <v>139</v>
      </c>
      <c r="D29" s="40" t="s">
        <v>139</v>
      </c>
      <c r="E29" s="237">
        <v>2.7E-4</v>
      </c>
      <c r="F29" s="168">
        <v>2</v>
      </c>
      <c r="G29" s="34" t="s">
        <v>205</v>
      </c>
      <c r="H29" s="29">
        <v>1</v>
      </c>
      <c r="I29" s="9"/>
      <c r="J29" s="9">
        <v>1</v>
      </c>
      <c r="K29" s="9">
        <v>3</v>
      </c>
      <c r="L29" s="9">
        <v>3</v>
      </c>
      <c r="M29" s="9">
        <v>3</v>
      </c>
      <c r="N29" s="185">
        <f>IF( OR( ISBLANK(H29),ISBLANK(J29), ISBLANK(K29), ISBLANK(L29), ISBLANK(M29) ), "", 1.5*SQRT(   EXP(2.21*(H29-1)) + EXP(2.21*(J29-1)) + EXP(2.21*(K29-1)) + EXP(2.21*(L29-1)) + EXP(2.21*M29)   )/100*2.45 )</f>
        <v>1.1181151966036349</v>
      </c>
      <c r="O29" s="159" t="str">
        <f>IF( OR( ISBLANK(I29),ISBLANK(J29), ISBLANK(K29), ISBLANK(L29), ISBLANK(M29) ), "", 1.5*SQRT( EXP(2.21*(I29-1)) + EXP(2.21*(J29-1)) + EXP(2.21*(K29-1)) + EXP(2.21*(L29-1)) + EXP(2.21*M29)   )/100*2.45 )</f>
        <v/>
      </c>
      <c r="P29" s="34"/>
    </row>
    <row r="30" spans="1:16">
      <c r="A30" s="34" t="str">
        <f>Agriculture!A133</f>
        <v>Agricultural pipes (discarded)</v>
      </c>
      <c r="B30" s="40" t="str">
        <f>Agriculture!B133</f>
        <v>Agricultural waste collection</v>
      </c>
      <c r="C30" s="34" t="str">
        <f>Agriculture!C133</f>
        <v>any</v>
      </c>
      <c r="D30" s="40" t="str">
        <f>Agriculture!D133</f>
        <v>any</v>
      </c>
      <c r="E30" s="216" t="str">
        <f>Agriculture!E133</f>
        <v>rest</v>
      </c>
      <c r="F30" s="168">
        <f>Agriculture!F133</f>
        <v>1</v>
      </c>
      <c r="G30" s="34">
        <f>Agriculture!G133</f>
        <v>0</v>
      </c>
      <c r="H30" s="29"/>
      <c r="I30" s="9"/>
      <c r="J30" s="9"/>
      <c r="K30" s="9"/>
      <c r="L30" s="9"/>
      <c r="M30" s="9"/>
      <c r="N30" s="185" t="str">
        <f>IF( OR( ISBLANK(H30),ISBLANK(J30), ISBLANK(K30), ISBLANK(L30), ISBLANK(M30) ), "", 1.5*SQRT(   EXP(2.21*(H30-1)) + EXP(2.21*(J30-1)) + EXP(2.21*(K30-1)) + EXP(2.21*(L30-1)) + EXP(2.21*M30)   )/100*2.45 )</f>
        <v/>
      </c>
      <c r="O30" s="159" t="str">
        <f>IF( OR( ISBLANK(I30),ISBLANK(J30), ISBLANK(K30), ISBLANK(L30), ISBLANK(M30) ), "", 1.5*SQRT( EXP(2.21*(I30-1)) + EXP(2.21*(J30-1)) + EXP(2.21*(K30-1)) + EXP(2.21*(L30-1)) + EXP(2.21*M30)   )/100*2.45 )</f>
        <v/>
      </c>
      <c r="P30" s="34"/>
    </row>
    <row r="31" spans="1:16">
      <c r="A31" s="34" t="str">
        <f>Agriculture!A132</f>
        <v>Agricultural pipes (discarded)</v>
      </c>
      <c r="B31" s="40" t="str">
        <f>Agriculture!B132</f>
        <v>Dumping</v>
      </c>
      <c r="C31" s="34" t="str">
        <f>Agriculture!C132</f>
        <v>any</v>
      </c>
      <c r="D31" s="40" t="str">
        <f>Agriculture!D132</f>
        <v>any</v>
      </c>
      <c r="E31" s="216">
        <f>Agriculture!E132</f>
        <v>2.9157667386609074E-4</v>
      </c>
      <c r="F31" s="168">
        <f>Agriculture!F132</f>
        <v>2</v>
      </c>
      <c r="G31" s="34" t="str">
        <f>Agriculture!G132</f>
        <v>SI Kawecki and Nowack, 2019</v>
      </c>
      <c r="H31" s="29">
        <v>2</v>
      </c>
      <c r="I31" s="9">
        <v>2</v>
      </c>
      <c r="J31" s="9">
        <v>1</v>
      </c>
      <c r="K31" s="9">
        <v>3</v>
      </c>
      <c r="L31" s="9">
        <v>3</v>
      </c>
      <c r="M31" s="9">
        <v>3</v>
      </c>
      <c r="N31" s="185">
        <f>IF( OR( ISBLANK(H31),ISBLANK(J31), ISBLANK(K31), ISBLANK(L31), ISBLANK(M31) ), "", 1.5*SQRT(   EXP(2.21*(H31-1)) + EXP(2.21*(J31-1)) + EXP(2.21*(K31-1)) + EXP(2.21*(L31-1)) + EXP(2.21*M31)   )/100*2.45 )</f>
        <v>1.123005955058592</v>
      </c>
      <c r="O31" s="159">
        <f>IF( OR( ISBLANK(I31),ISBLANK(J31), ISBLANK(K31), ISBLANK(L31), ISBLANK(M31) ), "", 1.5*SQRT( EXP(2.21*(I31-1)) + EXP(2.21*(J31-1)) + EXP(2.21*(K31-1)) + EXP(2.21*(L31-1)) + EXP(2.21*M31)   )/100*2.45 )</f>
        <v>1.123005955058592</v>
      </c>
      <c r="P31" s="34" t="str">
        <f>Agriculture!P132</f>
        <v>Normalized (See Agriculture sheet)</v>
      </c>
    </row>
    <row r="32" spans="1:16">
      <c r="A32" s="34" t="str">
        <f>Agriculture!A125</f>
        <v>Agricultural pipes (in use)</v>
      </c>
      <c r="B32" s="40" t="str">
        <f>Agriculture!B125</f>
        <v>Agricultural soil (macro)</v>
      </c>
      <c r="C32" s="34" t="str">
        <f>Agriculture!C125</f>
        <v>any</v>
      </c>
      <c r="D32" s="40" t="str">
        <f>Agriculture!D125</f>
        <v>any</v>
      </c>
      <c r="E32" s="216">
        <f>Agriculture!E125</f>
        <v>0</v>
      </c>
      <c r="F32" s="168">
        <f>Agriculture!F125</f>
        <v>2</v>
      </c>
      <c r="G32" s="34" t="str">
        <f>Agriculture!G125</f>
        <v>Best case scenario</v>
      </c>
      <c r="H32" s="29"/>
      <c r="I32" s="9"/>
      <c r="J32" s="9"/>
      <c r="K32" s="9"/>
      <c r="L32" s="9"/>
      <c r="M32" s="9"/>
      <c r="N32" s="185" t="str">
        <f>IF( OR( ISBLANK(H32),ISBLANK(J32), ISBLANK(K32), ISBLANK(L32), ISBLANK(M32) ), "", 1.5*SQRT(   EXP(2.21*(H32-1)) + EXP(2.21*(J32-1)) + EXP(2.21*(K32-1)) + EXP(2.21*(L32-1)) + EXP(2.21*M32)   )/100*2.45 )</f>
        <v/>
      </c>
      <c r="O32" s="159" t="str">
        <f>IF( OR( ISBLANK(I32),ISBLANK(J32), ISBLANK(K32), ISBLANK(L32), ISBLANK(M32) ), "", 1.5*SQRT( EXP(2.21*(I32-1)) + EXP(2.21*(J32-1)) + EXP(2.21*(K32-1)) + EXP(2.21*(L32-1)) + EXP(2.21*M32)   )/100*2.45 )</f>
        <v/>
      </c>
      <c r="P32" s="34" t="str">
        <f>Agriculture!P125</f>
        <v>Normalized (See Agriculture sheet)</v>
      </c>
    </row>
    <row r="33" spans="1:16">
      <c r="A33" s="34" t="str">
        <f>Agriculture!A126</f>
        <v>Agricultural pipes (in use)</v>
      </c>
      <c r="B33" s="40" t="str">
        <f>Agriculture!B126</f>
        <v>Agricultural soil (macro)</v>
      </c>
      <c r="C33" s="34" t="str">
        <f>Agriculture!C126</f>
        <v>any</v>
      </c>
      <c r="D33" s="40" t="str">
        <f>Agriculture!D126</f>
        <v>any</v>
      </c>
      <c r="E33" s="216">
        <f>Agriculture!E126</f>
        <v>0.51351351351351338</v>
      </c>
      <c r="F33" s="168">
        <f>Agriculture!F126</f>
        <v>2</v>
      </c>
      <c r="G33" s="34" t="str">
        <f>Agriculture!G126</f>
        <v>Based on Agreste. Chiffres-Clés : 61 Hectares En Moyenne Par Exploitation; 2017</v>
      </c>
      <c r="H33" s="29">
        <v>2</v>
      </c>
      <c r="I33" s="9">
        <v>2</v>
      </c>
      <c r="J33" s="9">
        <v>2</v>
      </c>
      <c r="K33" s="9">
        <v>1</v>
      </c>
      <c r="L33" s="9">
        <v>1</v>
      </c>
      <c r="M33" s="9">
        <v>3</v>
      </c>
      <c r="N33" s="185">
        <f>IF( OR( ISBLANK(H33),ISBLANK(J33), ISBLANK(K33), ISBLANK(L33), ISBLANK(M33) ), "", 1.5*SQRT(   EXP(2.21*(H33-1)) + EXP(2.21*(J33-1)) + EXP(2.21*(K33-1)) + EXP(2.21*(L33-1)) + EXP(2.21*M33)   )/100*2.45 )</f>
        <v>1.0248662490928169</v>
      </c>
      <c r="O33" s="159">
        <f>IF( OR( ISBLANK(I33),ISBLANK(J33), ISBLANK(K33), ISBLANK(L33), ISBLANK(M33) ), "", 1.5*SQRT( EXP(2.21*(I33-1)) + EXP(2.21*(J33-1)) + EXP(2.21*(K33-1)) + EXP(2.21*(L33-1)) + EXP(2.21*M33)   )/100*2.45 )</f>
        <v>1.0248662490928169</v>
      </c>
      <c r="P33" s="34" t="str">
        <f>Agriculture!P126</f>
        <v>Normalized (See Agriculture sheet)</v>
      </c>
    </row>
    <row r="34" spans="1:16">
      <c r="A34" s="34" t="str">
        <f>Agriculture!A124</f>
        <v>Agricultural pipes (in use)</v>
      </c>
      <c r="B34" s="40" t="str">
        <f>Agriculture!B124</f>
        <v>Agricultural soil (micro)</v>
      </c>
      <c r="C34" s="34" t="str">
        <f>Agriculture!C124</f>
        <v>any</v>
      </c>
      <c r="D34" s="40" t="str">
        <f>Agriculture!D124</f>
        <v>any</v>
      </c>
      <c r="E34" s="216" t="str">
        <f>Agriculture!E124</f>
        <v>rest</v>
      </c>
      <c r="F34" s="168">
        <f>Agriculture!F124</f>
        <v>2</v>
      </c>
      <c r="G34" s="34" t="str">
        <f>Agriculture!G124</f>
        <v>Assumption</v>
      </c>
      <c r="H34" s="29">
        <v>1</v>
      </c>
      <c r="I34" s="9">
        <v>1</v>
      </c>
      <c r="J34" s="9">
        <v>1</v>
      </c>
      <c r="K34" s="9">
        <v>1</v>
      </c>
      <c r="L34" s="9">
        <v>1</v>
      </c>
      <c r="M34" s="9">
        <v>3</v>
      </c>
      <c r="N34" s="185">
        <f>IF( OR( ISBLANK(H34),ISBLANK(J34), ISBLANK(K34), ISBLANK(L34), ISBLANK(M34) ), "", 1.5*SQRT(   EXP(2.21*(H34-1)) + EXP(2.21*(J34-1)) + EXP(2.21*(K34-1)) + EXP(2.21*(L34-1)) + EXP(2.21*M34)   )/100*2.45 )</f>
        <v>1.0141150152164344</v>
      </c>
      <c r="O34" s="159">
        <f>IF( OR( ISBLANK(I34),ISBLANK(J34), ISBLANK(K34), ISBLANK(L34), ISBLANK(M34) ), "", 1.5*SQRT( EXP(2.21*(I34-1)) + EXP(2.21*(J34-1)) + EXP(2.21*(K34-1)) + EXP(2.21*(L34-1)) + EXP(2.21*M34)   )/100*2.45 )</f>
        <v>1.0141150152164344</v>
      </c>
      <c r="P34" s="34" t="str">
        <f>Agriculture!P124</f>
        <v>Assume that for a film with 1m width, 1cm is lost on both sides when removing. This results in a total loss of 2% of plastic.</v>
      </c>
    </row>
    <row r="35" spans="1:16">
      <c r="A35" s="34" t="str">
        <f>Agriculture!A127</f>
        <v>Agricultural pipes (in use)</v>
      </c>
      <c r="B35" s="40" t="str">
        <f>Agriculture!B127</f>
        <v>Collected organic waste</v>
      </c>
      <c r="C35" s="34" t="str">
        <f>Agriculture!C127</f>
        <v>any</v>
      </c>
      <c r="D35" s="40" t="str">
        <f>Agriculture!D127</f>
        <v>any</v>
      </c>
      <c r="E35" s="216">
        <f>Agriculture!E127</f>
        <v>0.47297297297297297</v>
      </c>
      <c r="F35" s="168">
        <f>Agriculture!F127</f>
        <v>2</v>
      </c>
      <c r="G35" s="34" t="str">
        <f>Agriculture!G127</f>
        <v>See calculation in Compost sheet</v>
      </c>
      <c r="H35" s="29">
        <v>1</v>
      </c>
      <c r="I35" s="9">
        <v>2</v>
      </c>
      <c r="J35" s="9">
        <v>3</v>
      </c>
      <c r="K35" s="9">
        <v>3</v>
      </c>
      <c r="L35" s="9">
        <v>3</v>
      </c>
      <c r="M35" s="9">
        <v>2</v>
      </c>
      <c r="N35" s="185">
        <f>IF( OR( ISBLANK(H35),ISBLANK(J35), ISBLANK(K35), ISBLANK(L35), ISBLANK(M35) ), "", 1.5*SQRT(   EXP(2.21*(H35-1)) + EXP(2.21*(J35-1)) + EXP(2.21*(K35-1)) + EXP(2.21*(L35-1)) + EXP(2.21*M35)   )/100*2.45 )</f>
        <v>0.67101227267249941</v>
      </c>
      <c r="O35" s="159">
        <f>IF( OR( ISBLANK(I35),ISBLANK(J35), ISBLANK(K35), ISBLANK(L35), ISBLANK(M35) ), "", 1.5*SQRT( EXP(2.21*(I35-1)) + EXP(2.21*(J35-1)) + EXP(2.21*(K35-1)) + EXP(2.21*(L35-1)) + EXP(2.21*M35)   )/100*2.45 )</f>
        <v>0.67913051197703389</v>
      </c>
      <c r="P35" s="34" t="str">
        <f>Agriculture!P127</f>
        <v>Normalized (See Agriculture sheet)</v>
      </c>
    </row>
    <row r="36" spans="1:16">
      <c r="A36" s="69" t="s">
        <v>144</v>
      </c>
      <c r="B36" s="823" t="s">
        <v>179</v>
      </c>
      <c r="C36" s="34" t="s">
        <v>139</v>
      </c>
      <c r="D36" s="40" t="s">
        <v>139</v>
      </c>
      <c r="E36" s="1193">
        <v>0.1</v>
      </c>
      <c r="F36" s="1190">
        <v>1</v>
      </c>
      <c r="G36" s="69" t="s">
        <v>255</v>
      </c>
      <c r="H36" s="29">
        <v>2</v>
      </c>
      <c r="I36" s="9">
        <v>2</v>
      </c>
      <c r="J36" s="9">
        <v>2</v>
      </c>
      <c r="K36" s="9">
        <v>3</v>
      </c>
      <c r="L36" s="9">
        <v>1</v>
      </c>
      <c r="M36" s="9">
        <v>1</v>
      </c>
      <c r="N36" s="185">
        <v>0.38795788889711302</v>
      </c>
      <c r="O36" s="159">
        <v>0.38795788889711302</v>
      </c>
      <c r="P36" s="34"/>
    </row>
    <row r="37" spans="1:16">
      <c r="A37" s="69" t="s">
        <v>144</v>
      </c>
      <c r="B37" s="823" t="s">
        <v>248</v>
      </c>
      <c r="C37" s="69" t="s">
        <v>139</v>
      </c>
      <c r="D37" s="40" t="s">
        <v>139</v>
      </c>
      <c r="E37" s="1193" t="s">
        <v>150</v>
      </c>
      <c r="F37" s="1190">
        <v>1</v>
      </c>
      <c r="G37" s="69"/>
      <c r="H37" s="29"/>
      <c r="I37" s="9"/>
      <c r="J37" s="9"/>
      <c r="K37" s="9"/>
      <c r="L37" s="9"/>
      <c r="M37" s="9"/>
      <c r="N37" s="185" t="s">
        <v>249</v>
      </c>
      <c r="O37" s="159" t="s">
        <v>249</v>
      </c>
      <c r="P37" s="34" t="s">
        <v>250</v>
      </c>
    </row>
    <row r="38" spans="1:16">
      <c r="A38" s="69" t="s">
        <v>144</v>
      </c>
      <c r="B38" s="40" t="s">
        <v>251</v>
      </c>
      <c r="C38" s="34" t="s">
        <v>139</v>
      </c>
      <c r="D38" s="40" t="s">
        <v>139</v>
      </c>
      <c r="E38" s="69">
        <f>(1-0.004)*0.0001/100</f>
        <v>9.9600000000000008E-7</v>
      </c>
      <c r="F38" s="823">
        <v>2</v>
      </c>
      <c r="G38" s="69" t="s">
        <v>252</v>
      </c>
      <c r="H38" s="29">
        <v>2</v>
      </c>
      <c r="I38" s="9">
        <v>1</v>
      </c>
      <c r="J38" s="9">
        <v>2</v>
      </c>
      <c r="K38" s="9">
        <v>3</v>
      </c>
      <c r="L38" s="9">
        <v>3</v>
      </c>
      <c r="M38" s="9">
        <v>1</v>
      </c>
      <c r="N38" s="185">
        <v>0.60108474454521421</v>
      </c>
      <c r="O38" s="159">
        <v>0.60108474454521421</v>
      </c>
      <c r="P38" s="34"/>
    </row>
    <row r="39" spans="1:16">
      <c r="A39" s="69" t="s">
        <v>144</v>
      </c>
      <c r="B39" s="40" t="s">
        <v>251</v>
      </c>
      <c r="C39" s="34" t="s">
        <v>139</v>
      </c>
      <c r="D39" s="40" t="s">
        <v>139</v>
      </c>
      <c r="E39" s="69">
        <f>(1-0.004)*0.04/100</f>
        <v>3.9839999999999998E-4</v>
      </c>
      <c r="F39" s="823">
        <v>2</v>
      </c>
      <c r="G39" s="69" t="s">
        <v>252</v>
      </c>
      <c r="H39" s="29">
        <v>2</v>
      </c>
      <c r="I39" s="9">
        <v>1</v>
      </c>
      <c r="J39" s="9">
        <v>2</v>
      </c>
      <c r="K39" s="9">
        <v>3</v>
      </c>
      <c r="L39" s="9">
        <v>3</v>
      </c>
      <c r="M39" s="9">
        <v>1</v>
      </c>
      <c r="N39" s="185">
        <v>0.60108474454521421</v>
      </c>
      <c r="O39" s="159">
        <v>0.60108474454521421</v>
      </c>
      <c r="P39" s="34"/>
    </row>
    <row r="40" spans="1:16">
      <c r="A40" s="69" t="s">
        <v>144</v>
      </c>
      <c r="B40" s="823" t="s">
        <v>184</v>
      </c>
      <c r="C40" s="34" t="s">
        <v>139</v>
      </c>
      <c r="D40" s="40" t="s">
        <v>139</v>
      </c>
      <c r="E40" s="1193">
        <v>0</v>
      </c>
      <c r="F40" s="1190">
        <v>1</v>
      </c>
      <c r="G40" s="69" t="s">
        <v>253</v>
      </c>
      <c r="H40" s="29"/>
      <c r="I40" s="9"/>
      <c r="J40" s="9"/>
      <c r="K40" s="9"/>
      <c r="L40" s="9"/>
      <c r="M40" s="9"/>
      <c r="N40" s="185" t="s">
        <v>249</v>
      </c>
      <c r="O40" s="159" t="s">
        <v>249</v>
      </c>
      <c r="P40" s="34"/>
    </row>
    <row r="41" spans="1:16">
      <c r="A41" s="69" t="s">
        <v>144</v>
      </c>
      <c r="B41" s="40" t="s">
        <v>254</v>
      </c>
      <c r="C41" s="34" t="s">
        <v>139</v>
      </c>
      <c r="D41" s="40" t="s">
        <v>139</v>
      </c>
      <c r="E41" s="69">
        <f>0.004*0.0001/100</f>
        <v>4.0000000000000002E-9</v>
      </c>
      <c r="F41" s="823">
        <v>2</v>
      </c>
      <c r="G41" s="69" t="s">
        <v>252</v>
      </c>
      <c r="H41" s="29">
        <v>2</v>
      </c>
      <c r="I41" s="9">
        <v>1</v>
      </c>
      <c r="J41" s="9">
        <v>2</v>
      </c>
      <c r="K41" s="9">
        <v>3</v>
      </c>
      <c r="L41" s="9">
        <v>3</v>
      </c>
      <c r="M41" s="9">
        <v>1</v>
      </c>
      <c r="N41" s="185">
        <v>0.60108474454521421</v>
      </c>
      <c r="O41" s="159">
        <v>0.60108474454521421</v>
      </c>
      <c r="P41" s="34"/>
    </row>
    <row r="42" spans="1:16">
      <c r="A42" s="69" t="s">
        <v>144</v>
      </c>
      <c r="B42" s="40" t="s">
        <v>254</v>
      </c>
      <c r="C42" s="34" t="s">
        <v>139</v>
      </c>
      <c r="D42" s="40" t="s">
        <v>139</v>
      </c>
      <c r="E42" s="69">
        <f>0.004*0.04/100</f>
        <v>1.6000000000000001E-6</v>
      </c>
      <c r="F42" s="823">
        <v>2</v>
      </c>
      <c r="G42" s="69" t="s">
        <v>252</v>
      </c>
      <c r="H42" s="29">
        <v>2</v>
      </c>
      <c r="I42" s="9">
        <v>1</v>
      </c>
      <c r="J42" s="9">
        <v>2</v>
      </c>
      <c r="K42" s="9">
        <v>3</v>
      </c>
      <c r="L42" s="9">
        <v>3</v>
      </c>
      <c r="M42" s="9">
        <v>1</v>
      </c>
      <c r="N42" s="185">
        <v>0.60108474454521421</v>
      </c>
      <c r="O42" s="159">
        <v>0.60108474454521421</v>
      </c>
      <c r="P42" s="34"/>
    </row>
    <row r="43" spans="1:16">
      <c r="A43" s="34" t="str">
        <f>Agriculture!A146</f>
        <v>Agricultural waste collection</v>
      </c>
      <c r="B43" s="40" t="str">
        <f>Agriculture!B146</f>
        <v>Agricultural plastic recycling</v>
      </c>
      <c r="C43" s="34" t="str">
        <f>Agriculture!C146</f>
        <v>any</v>
      </c>
      <c r="D43" s="40" t="str">
        <f>Agriculture!D146</f>
        <v>any</v>
      </c>
      <c r="E43" s="55">
        <f>Agriculture!E146</f>
        <v>0.12</v>
      </c>
      <c r="F43" s="168">
        <f>Agriculture!F146</f>
        <v>1</v>
      </c>
      <c r="G43" s="34" t="str">
        <f>Agriculture!G146</f>
        <v>Schelker, Raymond, and Patrik Geisselhardt, Welche Fraktionen - Hauptkunststoffe, 2011</v>
      </c>
      <c r="H43" s="29">
        <v>2</v>
      </c>
      <c r="I43" s="9">
        <v>2</v>
      </c>
      <c r="J43" s="9">
        <v>2</v>
      </c>
      <c r="K43" s="9">
        <v>3</v>
      </c>
      <c r="L43" s="9">
        <v>1</v>
      </c>
      <c r="M43" s="9">
        <v>2</v>
      </c>
      <c r="N43" s="185">
        <f>IF( OR( ISBLANK(H43),ISBLANK(J43), ISBLANK(K43), ISBLANK(L43), ISBLANK(M43) ), "", 1.5*SQRT(   EXP(2.21*(H43-1)) + EXP(2.21*(J43-1)) + EXP(2.21*(K43-1)) + EXP(2.21*(L43-1)) + EXP(2.21*M43)   )/100*2.45 )</f>
        <v>0.50042652380814845</v>
      </c>
      <c r="O43" s="159">
        <f>IF( OR( ISBLANK(I43),ISBLANK(J43), ISBLANK(K43), ISBLANK(L43), ISBLANK(M43) ), "", 1.5*SQRT( EXP(2.21*(I43-1)) + EXP(2.21*(J43-1)) + EXP(2.21*(K43-1)) + EXP(2.21*(L43-1)) + EXP(2.21*M43)   )/100*2.45 )</f>
        <v>0.50042652380814845</v>
      </c>
      <c r="P43" s="34"/>
    </row>
    <row r="44" spans="1:16">
      <c r="A44" s="34" t="str">
        <f>Agriculture!A147</f>
        <v>Agricultural waste collection</v>
      </c>
      <c r="B44" s="40" t="str">
        <f>Agriculture!B147</f>
        <v>Agricultural plastic recycling</v>
      </c>
      <c r="C44" s="34" t="str">
        <f>Agriculture!C147</f>
        <v>any</v>
      </c>
      <c r="D44" s="40" t="str">
        <f>Agriculture!D147</f>
        <v>any</v>
      </c>
      <c r="E44" s="55">
        <f>Agriculture!E147</f>
        <v>0.1333</v>
      </c>
      <c r="F44" s="168">
        <f>Agriculture!F147</f>
        <v>1</v>
      </c>
      <c r="G44" s="34" t="str">
        <f>Agriculture!G147</f>
        <v>Müller Andreas, 2016</v>
      </c>
      <c r="H44" s="29">
        <v>2</v>
      </c>
      <c r="I44" s="9">
        <v>2</v>
      </c>
      <c r="J44" s="9">
        <v>2</v>
      </c>
      <c r="K44" s="9">
        <v>3</v>
      </c>
      <c r="L44" s="9">
        <v>1</v>
      </c>
      <c r="M44" s="9">
        <v>2</v>
      </c>
      <c r="N44" s="185">
        <f>IF( OR( ISBLANK(H44),ISBLANK(J44), ISBLANK(K44), ISBLANK(L44), ISBLANK(M44) ), "", 1.5*SQRT(   EXP(2.21*(H44-1)) + EXP(2.21*(J44-1)) + EXP(2.21*(K44-1)) + EXP(2.21*(L44-1)) + EXP(2.21*M44)   )/100*2.45 )</f>
        <v>0.50042652380814845</v>
      </c>
      <c r="O44" s="159">
        <f>IF( OR( ISBLANK(I44),ISBLANK(J44), ISBLANK(K44), ISBLANK(L44), ISBLANK(M44) ), "", 1.5*SQRT( EXP(2.21*(I44-1)) + EXP(2.21*(J44-1)) + EXP(2.21*(K44-1)) + EXP(2.21*(L44-1)) + EXP(2.21*M44)   )/100*2.45 )</f>
        <v>0.50042652380814845</v>
      </c>
      <c r="P44" s="34"/>
    </row>
    <row r="45" spans="1:16">
      <c r="A45" s="34" t="str">
        <f>Agriculture!A148</f>
        <v>Agricultural waste collection</v>
      </c>
      <c r="B45" s="40" t="str">
        <f>Agriculture!B148</f>
        <v>Agricultural plastic recycling</v>
      </c>
      <c r="C45" s="34" t="str">
        <f>Agriculture!C148</f>
        <v>any</v>
      </c>
      <c r="D45" s="40" t="str">
        <f>Agriculture!D148</f>
        <v>any</v>
      </c>
      <c r="E45" s="55">
        <f>Agriculture!E148</f>
        <v>0.26669999999999999</v>
      </c>
      <c r="F45" s="168">
        <f>Agriculture!F148</f>
        <v>1</v>
      </c>
      <c r="G45" s="34" t="str">
        <f>Agriculture!G148</f>
        <v>Müller Andreas, 2016</v>
      </c>
      <c r="H45" s="29">
        <v>2</v>
      </c>
      <c r="I45" s="9">
        <v>2</v>
      </c>
      <c r="J45" s="9">
        <v>2</v>
      </c>
      <c r="K45" s="9">
        <v>3</v>
      </c>
      <c r="L45" s="9">
        <v>1</v>
      </c>
      <c r="M45" s="9">
        <v>2</v>
      </c>
      <c r="N45" s="185">
        <f>IF( OR( ISBLANK(H45),ISBLANK(J45), ISBLANK(K45), ISBLANK(L45), ISBLANK(M45) ), "", 1.5*SQRT(   EXP(2.21*(H45-1)) + EXP(2.21*(J45-1)) + EXP(2.21*(K45-1)) + EXP(2.21*(L45-1)) + EXP(2.21*M45)   )/100*2.45 )</f>
        <v>0.50042652380814845</v>
      </c>
      <c r="O45" s="159">
        <f>IF( OR( ISBLANK(I45),ISBLANK(J45), ISBLANK(K45), ISBLANK(L45), ISBLANK(M45) ), "", 1.5*SQRT( EXP(2.21*(I45-1)) + EXP(2.21*(J45-1)) + EXP(2.21*(K45-1)) + EXP(2.21*(L45-1)) + EXP(2.21*M45)   )/100*2.45 )</f>
        <v>0.50042652380814845</v>
      </c>
      <c r="P45" s="34"/>
    </row>
    <row r="46" spans="1:16">
      <c r="A46" s="34" t="str">
        <f>Agriculture!A149</f>
        <v>Agricultural waste collection</v>
      </c>
      <c r="B46" s="40" t="str">
        <f>Agriculture!B149</f>
        <v>Agricultural plastic recycling</v>
      </c>
      <c r="C46" s="34" t="str">
        <f>Agriculture!C149</f>
        <v>any</v>
      </c>
      <c r="D46" s="40" t="str">
        <f>Agriculture!D149</f>
        <v>any</v>
      </c>
      <c r="E46" s="55">
        <f>Agriculture!E149</f>
        <v>0.2</v>
      </c>
      <c r="F46" s="168">
        <f>Agriculture!F149</f>
        <v>1</v>
      </c>
      <c r="G46" s="34" t="str">
        <f>Agriculture!G149</f>
        <v>Schelker, Raymond, and Patrik Geisselhardt, Projekt „ Kunststoff-Verwertung Schweiz “: Bericht Module 1 Und 2, 2011</v>
      </c>
      <c r="H46" s="29">
        <v>2</v>
      </c>
      <c r="I46" s="9">
        <v>2</v>
      </c>
      <c r="J46" s="9">
        <v>2</v>
      </c>
      <c r="K46" s="9">
        <v>3</v>
      </c>
      <c r="L46" s="9">
        <v>1</v>
      </c>
      <c r="M46" s="9">
        <v>2</v>
      </c>
      <c r="N46" s="185">
        <f>IF( OR( ISBLANK(H46),ISBLANK(J46), ISBLANK(K46), ISBLANK(L46), ISBLANK(M46) ), "", 1.5*SQRT(   EXP(2.21*(H46-1)) + EXP(2.21*(J46-1)) + EXP(2.21*(K46-1)) + EXP(2.21*(L46-1)) + EXP(2.21*M46)   )/100*2.45 )</f>
        <v>0.50042652380814845</v>
      </c>
      <c r="O46" s="159">
        <f>IF( OR( ISBLANK(I46),ISBLANK(J46), ISBLANK(K46), ISBLANK(L46), ISBLANK(M46) ), "", 1.5*SQRT( EXP(2.21*(I46-1)) + EXP(2.21*(J46-1)) + EXP(2.21*(K46-1)) + EXP(2.21*(L46-1)) + EXP(2.21*M46)   )/100*2.45 )</f>
        <v>0.50042652380814845</v>
      </c>
      <c r="P46" s="34" t="str">
        <f>Agriculture!P149</f>
        <v>Value for films</v>
      </c>
    </row>
    <row r="47" spans="1:16">
      <c r="A47" s="34" t="str">
        <f>Agriculture!A144</f>
        <v>Agricultural waste collection</v>
      </c>
      <c r="B47" s="40" t="str">
        <f>Agriculture!B144</f>
        <v>Landfill</v>
      </c>
      <c r="C47" s="34" t="str">
        <f>Agriculture!C144</f>
        <v>any</v>
      </c>
      <c r="D47" s="40" t="str">
        <f>Agriculture!D144</f>
        <v>any</v>
      </c>
      <c r="E47" s="55">
        <f>Agriculture!E144</f>
        <v>0</v>
      </c>
      <c r="F47" s="168">
        <f>Agriculture!F144</f>
        <v>1</v>
      </c>
      <c r="G47" s="34">
        <f>Agriculture!G144</f>
        <v>0</v>
      </c>
      <c r="H47" s="29"/>
      <c r="I47" s="9"/>
      <c r="J47" s="9"/>
      <c r="K47" s="9"/>
      <c r="L47" s="9"/>
      <c r="M47" s="9"/>
      <c r="N47" s="185" t="str">
        <f>IF( OR( ISBLANK(H47),ISBLANK(J47), ISBLANK(K47), ISBLANK(L47), ISBLANK(M47) ), "", 1.5*SQRT(   EXP(2.21*(H47-1)) + EXP(2.21*(J47-1)) + EXP(2.21*(K47-1)) + EXP(2.21*(L47-1)) + EXP(2.21*M47)   )/100*2.45 )</f>
        <v/>
      </c>
      <c r="O47" s="159" t="str">
        <f>IF( OR( ISBLANK(I47),ISBLANK(J47), ISBLANK(K47), ISBLANK(L47), ISBLANK(M47) ), "", 1.5*SQRT( EXP(2.21*(I47-1)) + EXP(2.21*(J47-1)) + EXP(2.21*(K47-1)) + EXP(2.21*(L47-1)) + EXP(2.21*M47)   )/100*2.45 )</f>
        <v/>
      </c>
      <c r="P47" s="34"/>
    </row>
    <row r="48" spans="1:16">
      <c r="A48" s="34" t="str">
        <f>Agriculture!A143</f>
        <v>Agricultural waste collection</v>
      </c>
      <c r="B48" s="40" t="str">
        <f>Agriculture!B143</f>
        <v>Residential soil (macro)</v>
      </c>
      <c r="C48" s="34" t="str">
        <f>Agriculture!C143</f>
        <v>any</v>
      </c>
      <c r="D48" s="40" t="str">
        <f>Agriculture!D143</f>
        <v>any</v>
      </c>
      <c r="E48" s="55">
        <f>Agriculture!E143</f>
        <v>1E-4</v>
      </c>
      <c r="F48" s="168">
        <f>Agriculture!F143</f>
        <v>2</v>
      </c>
      <c r="G48" s="34" t="str">
        <f>Agriculture!G143</f>
        <v>Assumption</v>
      </c>
      <c r="H48" s="29">
        <v>1</v>
      </c>
      <c r="I48" s="9">
        <v>2</v>
      </c>
      <c r="J48" s="9">
        <v>1</v>
      </c>
      <c r="K48" s="9">
        <v>1</v>
      </c>
      <c r="L48" s="9">
        <v>1</v>
      </c>
      <c r="M48" s="9">
        <v>3</v>
      </c>
      <c r="N48" s="185">
        <f>IF( OR( ISBLANK(H48),ISBLANK(J48), ISBLANK(K48), ISBLANK(L48), ISBLANK(M48) ), "", 1.5*SQRT(   EXP(2.21*(H48-1)) + EXP(2.21*(J48-1)) + EXP(2.21*(K48-1)) + EXP(2.21*(L48-1)) + EXP(2.21*M48)   )/100*2.45 )</f>
        <v>1.0141150152164344</v>
      </c>
      <c r="O48" s="159">
        <f>IF( OR( ISBLANK(I48),ISBLANK(J48), ISBLANK(K48), ISBLANK(L48), ISBLANK(M48) ), "", 1.5*SQRT( EXP(2.21*(I48-1)) + EXP(2.21*(J48-1)) + EXP(2.21*(K48-1)) + EXP(2.21*(L48-1)) + EXP(2.21*M48)   )/100*2.45 )</f>
        <v>1.0195048044558224</v>
      </c>
      <c r="P48" s="34"/>
    </row>
    <row r="49" spans="1:16">
      <c r="A49" s="34" t="str">
        <f>Agriculture!A145</f>
        <v>Agricultural waste collection</v>
      </c>
      <c r="B49" s="40" t="str">
        <f>Agriculture!B145</f>
        <v>Incineration</v>
      </c>
      <c r="C49" s="34" t="str">
        <f>Agriculture!C145</f>
        <v>any</v>
      </c>
      <c r="D49" s="40" t="str">
        <f>Agriculture!D145</f>
        <v>any</v>
      </c>
      <c r="E49" s="55" t="str">
        <f>Agriculture!E145</f>
        <v>rest</v>
      </c>
      <c r="F49" s="168">
        <f>Agriculture!F145</f>
        <v>1</v>
      </c>
      <c r="G49" s="34">
        <f>Agriculture!G145</f>
        <v>0</v>
      </c>
      <c r="H49" s="29"/>
      <c r="I49" s="9"/>
      <c r="J49" s="9"/>
      <c r="K49" s="9"/>
      <c r="L49" s="9"/>
      <c r="M49" s="9"/>
      <c r="N49" s="185" t="str">
        <f>IF( OR( ISBLANK(H49),ISBLANK(J49), ISBLANK(K49), ISBLANK(L49), ISBLANK(M49) ), "", 1.5*SQRT(   EXP(2.21*(H49-1)) + EXP(2.21*(J49-1)) + EXP(2.21*(K49-1)) + EXP(2.21*(L49-1)) + EXP(2.21*M49)   )/100*2.45 )</f>
        <v/>
      </c>
      <c r="O49" s="159" t="str">
        <f>IF( OR( ISBLANK(I49),ISBLANK(J49), ISBLANK(K49), ISBLANK(L49), ISBLANK(M49) ), "", 1.5*SQRT( EXP(2.21*(I49-1)) + EXP(2.21*(J49-1)) + EXP(2.21*(K49-1)) + EXP(2.21*(L49-1)) + EXP(2.21*M49)   )/100*2.45 )</f>
        <v/>
      </c>
      <c r="P49" s="34"/>
    </row>
    <row r="50" spans="1:16">
      <c r="A50" s="34" t="s">
        <v>143</v>
      </c>
      <c r="B50" s="40" t="s">
        <v>144</v>
      </c>
      <c r="C50" s="34" t="s">
        <v>139</v>
      </c>
      <c r="D50" s="40" t="s">
        <v>139</v>
      </c>
      <c r="E50" s="55">
        <v>0.12</v>
      </c>
      <c r="F50" s="168">
        <v>1</v>
      </c>
      <c r="G50" s="34" t="s">
        <v>145</v>
      </c>
      <c r="H50" s="29">
        <v>2</v>
      </c>
      <c r="I50" s="9">
        <v>2</v>
      </c>
      <c r="J50" s="9">
        <v>2</v>
      </c>
      <c r="K50" s="9">
        <v>3</v>
      </c>
      <c r="L50" s="9">
        <v>1</v>
      </c>
      <c r="M50" s="9">
        <v>2</v>
      </c>
      <c r="N50" s="185">
        <v>0.50042652380814845</v>
      </c>
      <c r="O50" s="159">
        <v>0.50042652380814845</v>
      </c>
      <c r="P50" s="34"/>
    </row>
    <row r="51" spans="1:16">
      <c r="A51" s="34" t="s">
        <v>143</v>
      </c>
      <c r="B51" s="40" t="s">
        <v>179</v>
      </c>
      <c r="C51" s="34" t="s">
        <v>139</v>
      </c>
      <c r="D51" s="40" t="s">
        <v>139</v>
      </c>
      <c r="E51" s="55" t="s">
        <v>150</v>
      </c>
      <c r="F51" s="168">
        <v>1</v>
      </c>
      <c r="G51" s="34">
        <v>0</v>
      </c>
      <c r="H51" s="29"/>
      <c r="I51" s="9"/>
      <c r="J51" s="9"/>
      <c r="K51" s="9"/>
      <c r="L51" s="9"/>
      <c r="M51" s="9"/>
      <c r="N51" s="185" t="s">
        <v>249</v>
      </c>
      <c r="O51" s="159" t="s">
        <v>249</v>
      </c>
      <c r="P51" s="34"/>
    </row>
    <row r="52" spans="1:16">
      <c r="A52" s="34" t="s">
        <v>143</v>
      </c>
      <c r="B52" s="40" t="s">
        <v>144</v>
      </c>
      <c r="C52" s="34" t="s">
        <v>139</v>
      </c>
      <c r="D52" s="40" t="s">
        <v>139</v>
      </c>
      <c r="E52" s="55">
        <v>0.1333</v>
      </c>
      <c r="F52" s="168">
        <v>1</v>
      </c>
      <c r="G52" s="34" t="s">
        <v>278</v>
      </c>
      <c r="H52" s="29">
        <v>2</v>
      </c>
      <c r="I52" s="9">
        <v>2</v>
      </c>
      <c r="J52" s="9">
        <v>2</v>
      </c>
      <c r="K52" s="9">
        <v>3</v>
      </c>
      <c r="L52" s="9">
        <v>1</v>
      </c>
      <c r="M52" s="9">
        <v>2</v>
      </c>
      <c r="N52" s="185">
        <v>0.50042652380814845</v>
      </c>
      <c r="O52" s="159">
        <v>0.50042652380814845</v>
      </c>
      <c r="P52" s="34"/>
    </row>
    <row r="53" spans="1:16">
      <c r="A53" s="34" t="s">
        <v>143</v>
      </c>
      <c r="B53" s="40" t="s">
        <v>144</v>
      </c>
      <c r="C53" s="34" t="s">
        <v>139</v>
      </c>
      <c r="D53" s="40" t="s">
        <v>139</v>
      </c>
      <c r="E53" s="55">
        <v>0.26669999999999999</v>
      </c>
      <c r="F53" s="168">
        <v>1</v>
      </c>
      <c r="G53" s="34" t="s">
        <v>278</v>
      </c>
      <c r="H53" s="29">
        <v>2</v>
      </c>
      <c r="I53" s="9">
        <v>2</v>
      </c>
      <c r="J53" s="9">
        <v>2</v>
      </c>
      <c r="K53" s="9">
        <v>3</v>
      </c>
      <c r="L53" s="9">
        <v>1</v>
      </c>
      <c r="M53" s="9">
        <v>2</v>
      </c>
      <c r="N53" s="185">
        <v>0.50042652380814845</v>
      </c>
      <c r="O53" s="159">
        <v>0.50042652380814845</v>
      </c>
      <c r="P53" s="34"/>
    </row>
    <row r="54" spans="1:16">
      <c r="A54" s="34" t="s">
        <v>143</v>
      </c>
      <c r="B54" s="40" t="s">
        <v>144</v>
      </c>
      <c r="C54" s="34" t="s">
        <v>139</v>
      </c>
      <c r="D54" s="40" t="s">
        <v>139</v>
      </c>
      <c r="E54" s="55">
        <v>0.2</v>
      </c>
      <c r="F54" s="168">
        <v>1</v>
      </c>
      <c r="G54" s="34" t="s">
        <v>279</v>
      </c>
      <c r="H54" s="29">
        <v>2</v>
      </c>
      <c r="I54" s="9">
        <v>2</v>
      </c>
      <c r="J54" s="9">
        <v>2</v>
      </c>
      <c r="K54" s="9">
        <v>3</v>
      </c>
      <c r="L54" s="9">
        <v>1</v>
      </c>
      <c r="M54" s="9">
        <v>2</v>
      </c>
      <c r="N54" s="185">
        <v>0.50042652380814845</v>
      </c>
      <c r="O54" s="159">
        <v>0.50042652380814845</v>
      </c>
      <c r="P54" s="34" t="s">
        <v>280</v>
      </c>
    </row>
    <row r="55" spans="1:16">
      <c r="A55" s="34" t="s">
        <v>143</v>
      </c>
      <c r="B55" s="40" t="s">
        <v>184</v>
      </c>
      <c r="C55" s="34" t="s">
        <v>139</v>
      </c>
      <c r="D55" s="40" t="s">
        <v>139</v>
      </c>
      <c r="E55" s="55">
        <v>0</v>
      </c>
      <c r="F55" s="168">
        <v>1</v>
      </c>
      <c r="G55" s="34">
        <v>0</v>
      </c>
      <c r="H55" s="29"/>
      <c r="I55" s="9"/>
      <c r="J55" s="9"/>
      <c r="K55" s="9"/>
      <c r="L55" s="9"/>
      <c r="M55" s="9"/>
      <c r="N55" s="185" t="s">
        <v>249</v>
      </c>
      <c r="O55" s="159" t="s">
        <v>249</v>
      </c>
      <c r="P55" s="34"/>
    </row>
    <row r="56" spans="1:16">
      <c r="A56" s="34" t="s">
        <v>143</v>
      </c>
      <c r="B56" s="40" t="s">
        <v>251</v>
      </c>
      <c r="C56" s="34" t="s">
        <v>139</v>
      </c>
      <c r="D56" s="40" t="s">
        <v>139</v>
      </c>
      <c r="E56" s="55">
        <v>1E-4</v>
      </c>
      <c r="F56" s="168">
        <v>2</v>
      </c>
      <c r="G56" s="34" t="s">
        <v>157</v>
      </c>
      <c r="H56" s="29">
        <v>1</v>
      </c>
      <c r="I56" s="9">
        <v>2</v>
      </c>
      <c r="J56" s="9">
        <v>1</v>
      </c>
      <c r="K56" s="9">
        <v>1</v>
      </c>
      <c r="L56" s="9">
        <v>1</v>
      </c>
      <c r="M56" s="9">
        <v>3</v>
      </c>
      <c r="N56" s="185">
        <v>1.0141150152164344</v>
      </c>
      <c r="O56" s="159">
        <v>1.0195048044558224</v>
      </c>
      <c r="P56" s="34"/>
    </row>
    <row r="57" spans="1:16">
      <c r="A57" s="34" t="str">
        <f>Agriculture!A92</f>
        <v>Agriculture</v>
      </c>
      <c r="B57" s="40" t="str">
        <f>Agriculture!B92</f>
        <v>Agricultural greenhouse films (discarded)</v>
      </c>
      <c r="C57" s="34" t="str">
        <f>Agriculture!C92</f>
        <v>NL</v>
      </c>
      <c r="D57" s="40" t="str">
        <f>Agriculture!D92</f>
        <v>PVC</v>
      </c>
      <c r="E57" s="1182">
        <f>Agriculture!E92</f>
        <v>6.2695657834368257E-2</v>
      </c>
      <c r="F57" s="168">
        <f>Agriculture!F92</f>
        <v>1</v>
      </c>
      <c r="G57" s="34" t="str">
        <f>Agriculture!G92</f>
        <v>Urbanus, J.H., Brunner, A., Boersma, A., Henke, S., Kooter, I., Lensen, S., Parker, L., Schwarz, A., Imhof, P., Dortmans, A., Wijngaard, M., 2022. Autobanden, verpakkingen en landbouwfolie zijn in Nederland de grootste bronnen van microplastics. TNO.</v>
      </c>
      <c r="H57" s="29">
        <v>1</v>
      </c>
      <c r="I57" s="9"/>
      <c r="J57" s="9">
        <v>2</v>
      </c>
      <c r="K57" s="9">
        <v>1</v>
      </c>
      <c r="L57" s="9">
        <v>1</v>
      </c>
      <c r="M57" s="9">
        <v>2</v>
      </c>
      <c r="N57" s="185">
        <f>IF( OR( ISBLANK(H57),ISBLANK(J57), ISBLANK(K57), ISBLANK(L57), ISBLANK(M57) ), "", 1.5*SQRT(   EXP(2.21*(H57-1)) + EXP(2.21*(J57-1)) + EXP(2.21*(K57-1)) + EXP(2.21*(L57-1)) + EXP(2.21*M57)   )/100*2.45 )</f>
        <v>0.35859414261160716</v>
      </c>
      <c r="O57" s="159" t="str">
        <f>IF( OR( ISBLANK(I57),ISBLANK(J57), ISBLANK(K57), ISBLANK(L57), ISBLANK(M57) ), "", 1.5*SQRT( EXP(2.21*(I57-1)) + EXP(2.21*(J57-1)) + EXP(2.21*(K57-1)) + EXP(2.21*(L57-1)) + EXP(2.21*M57)   )/100*2.45 )</f>
        <v/>
      </c>
      <c r="P57" s="34"/>
    </row>
    <row r="58" spans="1:16">
      <c r="A58" s="34" t="str">
        <f>Agriculture!A93</f>
        <v>Agriculture</v>
      </c>
      <c r="B58" s="40" t="str">
        <f>Agriculture!B93</f>
        <v>Agricultural greenhouse films (discarded)</v>
      </c>
      <c r="C58" s="34" t="str">
        <f>Agriculture!C93</f>
        <v>NL</v>
      </c>
      <c r="D58" s="40" t="str">
        <f>Agriculture!D93</f>
        <v>PS</v>
      </c>
      <c r="E58" s="1182">
        <f>Agriculture!E93</f>
        <v>0</v>
      </c>
      <c r="F58" s="168">
        <f>Agriculture!F93</f>
        <v>1</v>
      </c>
      <c r="G58" s="34" t="str">
        <f>Agriculture!G93</f>
        <v>Urbanus, J.H., Brunner, A., Boersma, A., Henke, S., Kooter, I., Lensen, S., Parker, L., Schwarz, A., Imhof, P., Dortmans, A., Wijngaard, M., 2022. Autobanden, verpakkingen en landbouwfolie zijn in Nederland de grootste bronnen van microplastics. TNO.</v>
      </c>
      <c r="H58" s="29">
        <v>1</v>
      </c>
      <c r="I58" s="9"/>
      <c r="J58" s="9">
        <v>2</v>
      </c>
      <c r="K58" s="9">
        <v>1</v>
      </c>
      <c r="L58" s="9">
        <v>1</v>
      </c>
      <c r="M58" s="9">
        <v>2</v>
      </c>
      <c r="N58" s="185">
        <f>IF( OR( ISBLANK(H58),ISBLANK(J58), ISBLANK(K58), ISBLANK(L58), ISBLANK(M58) ), "", 1.5*SQRT(   EXP(2.21*(H58-1)) + EXP(2.21*(J58-1)) + EXP(2.21*(K58-1)) + EXP(2.21*(L58-1)) + EXP(2.21*M58)   )/100*2.45 )</f>
        <v>0.35859414261160716</v>
      </c>
      <c r="O58" s="159" t="str">
        <f>IF( OR( ISBLANK(I58),ISBLANK(J58), ISBLANK(K58), ISBLANK(L58), ISBLANK(M58) ), "", 1.5*SQRT( EXP(2.21*(I58-1)) + EXP(2.21*(J58-1)) + EXP(2.21*(K58-1)) + EXP(2.21*(L58-1)) + EXP(2.21*M58)   )/100*2.45 )</f>
        <v/>
      </c>
      <c r="P58" s="34"/>
    </row>
    <row r="59" spans="1:16">
      <c r="A59" s="34" t="str">
        <f>Agriculture!A94</f>
        <v>Agriculture</v>
      </c>
      <c r="B59" s="40" t="str">
        <f>Agriculture!B94</f>
        <v>Agricultural greenhouse films (discarded)</v>
      </c>
      <c r="C59" s="34" t="str">
        <f>Agriculture!C94</f>
        <v>NL</v>
      </c>
      <c r="D59" s="40" t="str">
        <f>Agriculture!D94</f>
        <v>PP</v>
      </c>
      <c r="E59" s="1182">
        <f>Agriculture!E94</f>
        <v>0</v>
      </c>
      <c r="F59" s="168">
        <f>Agriculture!F94</f>
        <v>1</v>
      </c>
      <c r="G59" s="34" t="str">
        <f>Agriculture!G94</f>
        <v>Urbanus, J.H., Brunner, A., Boersma, A., Henke, S., Kooter, I., Lensen, S., Parker, L., Schwarz, A., Imhof, P., Dortmans, A., Wijngaard, M., 2022. Autobanden, verpakkingen en landbouwfolie zijn in Nederland de grootste bronnen van microplastics. TNO.</v>
      </c>
      <c r="H59" s="29">
        <v>1</v>
      </c>
      <c r="I59" s="9"/>
      <c r="J59" s="9">
        <v>2</v>
      </c>
      <c r="K59" s="9">
        <v>1</v>
      </c>
      <c r="L59" s="9">
        <v>1</v>
      </c>
      <c r="M59" s="9">
        <v>2</v>
      </c>
      <c r="N59" s="185">
        <f>IF( OR( ISBLANK(H59),ISBLANK(J59), ISBLANK(K59), ISBLANK(L59), ISBLANK(M59) ), "", 1.5*SQRT(   EXP(2.21*(H59-1)) + EXP(2.21*(J59-1)) + EXP(2.21*(K59-1)) + EXP(2.21*(L59-1)) + EXP(2.21*M59)   )/100*2.45 )</f>
        <v>0.35859414261160716</v>
      </c>
      <c r="O59" s="159" t="str">
        <f>IF( OR( ISBLANK(I59),ISBLANK(J59), ISBLANK(K59), ISBLANK(L59), ISBLANK(M59) ), "", 1.5*SQRT( EXP(2.21*(I59-1)) + EXP(2.21*(J59-1)) + EXP(2.21*(K59-1)) + EXP(2.21*(L59-1)) + EXP(2.21*M59)   )/100*2.45 )</f>
        <v/>
      </c>
      <c r="P59" s="34"/>
    </row>
    <row r="60" spans="1:16">
      <c r="A60" s="34" t="str">
        <f>Agriculture!A95</f>
        <v>Agriculture</v>
      </c>
      <c r="B60" s="40" t="str">
        <f>Agriculture!B95</f>
        <v>Agricultural greenhouse films (discarded)</v>
      </c>
      <c r="C60" s="34" t="str">
        <f>Agriculture!C95</f>
        <v>NL</v>
      </c>
      <c r="D60" s="40" t="str">
        <f>Agriculture!D95</f>
        <v>LDPE</v>
      </c>
      <c r="E60" s="1182">
        <f>Agriculture!E95</f>
        <v>0.13959893420941549</v>
      </c>
      <c r="F60" s="168">
        <f>Agriculture!F95</f>
        <v>1</v>
      </c>
      <c r="G60" s="34" t="str">
        <f>Agriculture!G95</f>
        <v>Urbanus, J.H., Brunner, A., Boersma, A., Henke, S., Kooter, I., Lensen, S., Parker, L., Schwarz, A., Imhof, P., Dortmans, A., Wijngaard, M., 2022. Autobanden, verpakkingen en landbouwfolie zijn in Nederland de grootste bronnen van microplastics. TNO.</v>
      </c>
      <c r="H60" s="29">
        <v>1</v>
      </c>
      <c r="I60" s="9"/>
      <c r="J60" s="9">
        <v>2</v>
      </c>
      <c r="K60" s="9">
        <v>1</v>
      </c>
      <c r="L60" s="9">
        <v>1</v>
      </c>
      <c r="M60" s="9">
        <v>2</v>
      </c>
      <c r="N60" s="185">
        <f>IF( OR( ISBLANK(H60),ISBLANK(J60), ISBLANK(K60), ISBLANK(L60), ISBLANK(M60) ), "", 1.5*SQRT(   EXP(2.21*(H60-1)) + EXP(2.21*(J60-1)) + EXP(2.21*(K60-1)) + EXP(2.21*(L60-1)) + EXP(2.21*M60)   )/100*2.45 )</f>
        <v>0.35859414261160716</v>
      </c>
      <c r="O60" s="159" t="str">
        <f>IF( OR( ISBLANK(I60),ISBLANK(J60), ISBLANK(K60), ISBLANK(L60), ISBLANK(M60) ), "", 1.5*SQRT( EXP(2.21*(I60-1)) + EXP(2.21*(J60-1)) + EXP(2.21*(K60-1)) + EXP(2.21*(L60-1)) + EXP(2.21*M60)   )/100*2.45 )</f>
        <v/>
      </c>
      <c r="P60" s="34"/>
    </row>
    <row r="61" spans="1:16">
      <c r="A61" s="34" t="str">
        <f>Agriculture!A96</f>
        <v>Agriculture</v>
      </c>
      <c r="B61" s="40" t="str">
        <f>Agriculture!B96</f>
        <v>Agricultural greenhouse films (discarded)</v>
      </c>
      <c r="C61" s="34" t="str">
        <f>Agriculture!C96</f>
        <v>NL</v>
      </c>
      <c r="D61" s="40" t="str">
        <f>Agriculture!D96</f>
        <v>HDPE</v>
      </c>
      <c r="E61" s="1182">
        <f>Agriculture!E96</f>
        <v>0</v>
      </c>
      <c r="F61" s="168">
        <f>Agriculture!F96</f>
        <v>1</v>
      </c>
      <c r="G61" s="34" t="str">
        <f>Agriculture!G96</f>
        <v>Urbanus, J.H., Brunner, A., Boersma, A., Henke, S., Kooter, I., Lensen, S., Parker, L., Schwarz, A., Imhof, P., Dortmans, A., Wijngaard, M., 2022. Autobanden, verpakkingen en landbouwfolie zijn in Nederland de grootste bronnen van microplastics. TNO.</v>
      </c>
      <c r="H61" s="29">
        <v>1</v>
      </c>
      <c r="I61" s="9"/>
      <c r="J61" s="9">
        <v>2</v>
      </c>
      <c r="K61" s="9">
        <v>1</v>
      </c>
      <c r="L61" s="9">
        <v>1</v>
      </c>
      <c r="M61" s="9">
        <v>2</v>
      </c>
      <c r="N61" s="185">
        <f>IF( OR( ISBLANK(H61),ISBLANK(J61), ISBLANK(K61), ISBLANK(L61), ISBLANK(M61) ), "", 1.5*SQRT(   EXP(2.21*(H61-1)) + EXP(2.21*(J61-1)) + EXP(2.21*(K61-1)) + EXP(2.21*(L61-1)) + EXP(2.21*M61)   )/100*2.45 )</f>
        <v>0.35859414261160716</v>
      </c>
      <c r="O61" s="159" t="str">
        <f>IF( OR( ISBLANK(I61),ISBLANK(J61), ISBLANK(K61), ISBLANK(L61), ISBLANK(M61) ), "", 1.5*SQRT( EXP(2.21*(I61-1)) + EXP(2.21*(J61-1)) + EXP(2.21*(K61-1)) + EXP(2.21*(L61-1)) + EXP(2.21*M61)   )/100*2.45 )</f>
        <v/>
      </c>
      <c r="P61" s="34"/>
    </row>
    <row r="62" spans="1:16">
      <c r="A62" s="34" t="str">
        <f>Agriculture!A97</f>
        <v>Agriculture</v>
      </c>
      <c r="B62" s="40" t="str">
        <f>Agriculture!B97</f>
        <v>Agricultural greenhouse films (discarded)</v>
      </c>
      <c r="C62" s="34" t="str">
        <f>Agriculture!C97</f>
        <v>EU</v>
      </c>
      <c r="D62" s="40" t="str">
        <f>Agriculture!D97</f>
        <v>PVC</v>
      </c>
      <c r="E62" s="1182">
        <f>Agriculture!E97</f>
        <v>9.1158630137710292E-2</v>
      </c>
      <c r="F62" s="168">
        <f>Agriculture!F97</f>
        <v>1</v>
      </c>
      <c r="G62" s="34" t="str">
        <f>Agriculture!G97</f>
        <v>Assessment of agricultural plastics and their sustainability: A call for action, 2021. . FAO. https://doi.org/10.4060/cb7856en</v>
      </c>
      <c r="H62" s="29"/>
      <c r="I62" s="9">
        <v>1</v>
      </c>
      <c r="J62" s="9">
        <v>2</v>
      </c>
      <c r="K62" s="9">
        <v>1</v>
      </c>
      <c r="L62" s="9">
        <v>1</v>
      </c>
      <c r="M62" s="9">
        <v>2</v>
      </c>
      <c r="N62" s="185" t="str">
        <f>IF( OR( ISBLANK(H62),ISBLANK(J62), ISBLANK(K62), ISBLANK(L62), ISBLANK(M62) ), "", 1.5*SQRT(   EXP(2.21*(H62-1)) + EXP(2.21*(J62-1)) + EXP(2.21*(K62-1)) + EXP(2.21*(L62-1)) + EXP(2.21*M62)   )/100*2.45 )</f>
        <v/>
      </c>
      <c r="O62" s="159">
        <f>IF( OR( ISBLANK(I62),ISBLANK(J62), ISBLANK(K62), ISBLANK(L62), ISBLANK(M62) ), "", 1.5*SQRT( EXP(2.21*(I62-1)) + EXP(2.21*(J62-1)) + EXP(2.21*(K62-1)) + EXP(2.21*(L62-1)) + EXP(2.21*M62)   )/100*2.45 )</f>
        <v>0.35859414261160716</v>
      </c>
      <c r="P62" s="34"/>
    </row>
    <row r="63" spans="1:16">
      <c r="A63" s="34" t="str">
        <f>Agriculture!A98</f>
        <v>Agriculture</v>
      </c>
      <c r="B63" s="40" t="str">
        <f>Agriculture!B98</f>
        <v>Agricultural greenhouse films (discarded)</v>
      </c>
      <c r="C63" s="34" t="str">
        <f>Agriculture!C98</f>
        <v>EU</v>
      </c>
      <c r="D63" s="40" t="str">
        <f>Agriculture!D98</f>
        <v>PS</v>
      </c>
      <c r="E63" s="1182">
        <f>Agriculture!E98</f>
        <v>0</v>
      </c>
      <c r="F63" s="168">
        <f>Agriculture!F98</f>
        <v>1</v>
      </c>
      <c r="G63" s="34" t="str">
        <f>Agriculture!G98</f>
        <v>Assessment of agricultural plastics and their sustainability: A call for action, 2021. . FAO. https://doi.org/10.4060/cb7856en</v>
      </c>
      <c r="H63" s="29"/>
      <c r="I63" s="9">
        <v>1</v>
      </c>
      <c r="J63" s="9">
        <v>2</v>
      </c>
      <c r="K63" s="9">
        <v>1</v>
      </c>
      <c r="L63" s="9">
        <v>1</v>
      </c>
      <c r="M63" s="9">
        <v>2</v>
      </c>
      <c r="N63" s="185" t="str">
        <f>IF( OR( ISBLANK(H63),ISBLANK(J63), ISBLANK(K63), ISBLANK(L63), ISBLANK(M63) ), "", 1.5*SQRT(   EXP(2.21*(H63-1)) + EXP(2.21*(J63-1)) + EXP(2.21*(K63-1)) + EXP(2.21*(L63-1)) + EXP(2.21*M63)   )/100*2.45 )</f>
        <v/>
      </c>
      <c r="O63" s="159">
        <f>IF( OR( ISBLANK(I63),ISBLANK(J63), ISBLANK(K63), ISBLANK(L63), ISBLANK(M63) ), "", 1.5*SQRT( EXP(2.21*(I63-1)) + EXP(2.21*(J63-1)) + EXP(2.21*(K63-1)) + EXP(2.21*(L63-1)) + EXP(2.21*M63)   )/100*2.45 )</f>
        <v>0.35859414261160716</v>
      </c>
      <c r="P63" s="34"/>
    </row>
    <row r="64" spans="1:16">
      <c r="A64" s="34" t="str">
        <f>Agriculture!A99</f>
        <v>Agriculture</v>
      </c>
      <c r="B64" s="40" t="str">
        <f>Agriculture!B99</f>
        <v>Agricultural greenhouse films (discarded)</v>
      </c>
      <c r="C64" s="34" t="str">
        <f>Agriculture!C99</f>
        <v>EU</v>
      </c>
      <c r="D64" s="40" t="str">
        <f>Agriculture!D99</f>
        <v>PP</v>
      </c>
      <c r="E64" s="1182">
        <f>Agriculture!E99</f>
        <v>0</v>
      </c>
      <c r="F64" s="168">
        <f>Agriculture!F99</f>
        <v>1</v>
      </c>
      <c r="G64" s="34" t="str">
        <f>Agriculture!G99</f>
        <v>Assessment of agricultural plastics and their sustainability: A call for action, 2021. . FAO. https://doi.org/10.4060/cb7856en</v>
      </c>
      <c r="H64" s="29"/>
      <c r="I64" s="9">
        <v>1</v>
      </c>
      <c r="J64" s="9">
        <v>2</v>
      </c>
      <c r="K64" s="9">
        <v>1</v>
      </c>
      <c r="L64" s="9">
        <v>1</v>
      </c>
      <c r="M64" s="9">
        <v>2</v>
      </c>
      <c r="N64" s="185" t="str">
        <f>IF( OR( ISBLANK(H64),ISBLANK(J64), ISBLANK(K64), ISBLANK(L64), ISBLANK(M64) ), "", 1.5*SQRT(   EXP(2.21*(H64-1)) + EXP(2.21*(J64-1)) + EXP(2.21*(K64-1)) + EXP(2.21*(L64-1)) + EXP(2.21*M64)   )/100*2.45 )</f>
        <v/>
      </c>
      <c r="O64" s="159">
        <f>IF( OR( ISBLANK(I64),ISBLANK(J64), ISBLANK(K64), ISBLANK(L64), ISBLANK(M64) ), "", 1.5*SQRT( EXP(2.21*(I64-1)) + EXP(2.21*(J64-1)) + EXP(2.21*(K64-1)) + EXP(2.21*(L64-1)) + EXP(2.21*M64)   )/100*2.45 )</f>
        <v>0.35859414261160716</v>
      </c>
      <c r="P64" s="34"/>
    </row>
    <row r="65" spans="1:16">
      <c r="A65" s="34" t="str">
        <f>Agriculture!A100</f>
        <v>Agriculture</v>
      </c>
      <c r="B65" s="40" t="str">
        <f>Agriculture!B100</f>
        <v>Agricultural greenhouse films (discarded)</v>
      </c>
      <c r="C65" s="34" t="str">
        <f>Agriculture!C100</f>
        <v>EU</v>
      </c>
      <c r="D65" s="40" t="str">
        <f>Agriculture!D100</f>
        <v>LDPE</v>
      </c>
      <c r="E65" s="1182">
        <f>Agriculture!E100</f>
        <v>0.15678950022134661</v>
      </c>
      <c r="F65" s="168">
        <f>Agriculture!F100</f>
        <v>1</v>
      </c>
      <c r="G65" s="34" t="str">
        <f>Agriculture!G100</f>
        <v>Assessment of agricultural plastics and their sustainability: A call for action, 2021. . FAO. https://doi.org/10.4060/cb7856en</v>
      </c>
      <c r="H65" s="29"/>
      <c r="I65" s="9">
        <v>1</v>
      </c>
      <c r="J65" s="9">
        <v>2</v>
      </c>
      <c r="K65" s="9">
        <v>1</v>
      </c>
      <c r="L65" s="9">
        <v>1</v>
      </c>
      <c r="M65" s="9">
        <v>2</v>
      </c>
      <c r="N65" s="185" t="str">
        <f>IF( OR( ISBLANK(H65),ISBLANK(J65), ISBLANK(K65), ISBLANK(L65), ISBLANK(M65) ), "", 1.5*SQRT(   EXP(2.21*(H65-1)) + EXP(2.21*(J65-1)) + EXP(2.21*(K65-1)) + EXP(2.21*(L65-1)) + EXP(2.21*M65)   )/100*2.45 )</f>
        <v/>
      </c>
      <c r="O65" s="159">
        <f>IF( OR( ISBLANK(I65),ISBLANK(J65), ISBLANK(K65), ISBLANK(L65), ISBLANK(M65) ), "", 1.5*SQRT( EXP(2.21*(I65-1)) + EXP(2.21*(J65-1)) + EXP(2.21*(K65-1)) + EXP(2.21*(L65-1)) + EXP(2.21*M65)   )/100*2.45 )</f>
        <v>0.35859414261160716</v>
      </c>
      <c r="P65" s="34"/>
    </row>
    <row r="66" spans="1:16">
      <c r="A66" s="34" t="str">
        <f>Agriculture!A101</f>
        <v>Agriculture</v>
      </c>
      <c r="B66" s="40" t="str">
        <f>Agriculture!B101</f>
        <v>Agricultural greenhouse films (discarded)</v>
      </c>
      <c r="C66" s="34" t="str">
        <f>Agriculture!C101</f>
        <v>EU</v>
      </c>
      <c r="D66" s="40" t="str">
        <f>Agriculture!D101</f>
        <v>HDPE</v>
      </c>
      <c r="E66" s="1182">
        <f>Agriculture!E101</f>
        <v>0</v>
      </c>
      <c r="F66" s="168">
        <f>Agriculture!F101</f>
        <v>1</v>
      </c>
      <c r="G66" s="34" t="str">
        <f>Agriculture!G101</f>
        <v>Assessment of agricultural plastics and their sustainability: A call for action, 2021. . FAO. https://doi.org/10.4060/cb7856en</v>
      </c>
      <c r="H66" s="29"/>
      <c r="I66" s="9">
        <v>1</v>
      </c>
      <c r="J66" s="9">
        <v>2</v>
      </c>
      <c r="K66" s="9">
        <v>1</v>
      </c>
      <c r="L66" s="9">
        <v>1</v>
      </c>
      <c r="M66" s="9">
        <v>2</v>
      </c>
      <c r="N66" s="185" t="str">
        <f>IF( OR( ISBLANK(H66),ISBLANK(J66), ISBLANK(K66), ISBLANK(L66), ISBLANK(M66) ), "", 1.5*SQRT(   EXP(2.21*(H66-1)) + EXP(2.21*(J66-1)) + EXP(2.21*(K66-1)) + EXP(2.21*(L66-1)) + EXP(2.21*M66)   )/100*2.45 )</f>
        <v/>
      </c>
      <c r="O66" s="159">
        <f>IF( OR( ISBLANK(I66),ISBLANK(J66), ISBLANK(K66), ISBLANK(L66), ISBLANK(M66) ), "", 1.5*SQRT( EXP(2.21*(I66-1)) + EXP(2.21*(J66-1)) + EXP(2.21*(K66-1)) + EXP(2.21*(L66-1)) + EXP(2.21*M66)   )/100*2.45 )</f>
        <v>0.35859414261160716</v>
      </c>
      <c r="P66" s="34"/>
    </row>
    <row r="67" spans="1:16">
      <c r="A67" s="34" t="str">
        <f>Agriculture!A72</f>
        <v>Agriculture</v>
      </c>
      <c r="B67" s="40" t="str">
        <f>Agriculture!B72</f>
        <v>Agricultural greenhouse films (in use)</v>
      </c>
      <c r="C67" s="34" t="str">
        <f>Agriculture!C72</f>
        <v>NL</v>
      </c>
      <c r="D67" s="40" t="str">
        <f>Agriculture!D72</f>
        <v>PVC</v>
      </c>
      <c r="E67" s="1182">
        <f>Agriculture!E72</f>
        <v>6.3729615065902419E-3</v>
      </c>
      <c r="F67" s="168">
        <f>Agriculture!F72</f>
        <v>2</v>
      </c>
      <c r="G67" s="34" t="str">
        <f>Agriculture!G72</f>
        <v>Urbanus, J.H., Brunner, A., Boersma, A., Henke, S., Kooter, I., Lensen, S., Parker, L., Schwarz, A., Imhof, P., Dortmans, A., Wijngaard, M., 2022. Autobanden, verpakkingen en landbouwfolie zijn in Nederland de grootste bronnen van microplastics. TNO.</v>
      </c>
      <c r="H67" s="806">
        <v>1</v>
      </c>
      <c r="I67" s="617"/>
      <c r="J67" s="9">
        <v>2</v>
      </c>
      <c r="K67" s="617">
        <v>1</v>
      </c>
      <c r="L67" s="617">
        <v>1</v>
      </c>
      <c r="M67" s="9">
        <v>2</v>
      </c>
      <c r="N67" s="185">
        <f>IF( OR( ISBLANK(H67),ISBLANK(J67), ISBLANK(K67), ISBLANK(L67), ISBLANK(M67) ), "", 1.5*SQRT(   EXP(2.21*(H67-1)) + EXP(2.21*(J67-1)) + EXP(2.21*(K67-1)) + EXP(2.21*(L67-1)) + EXP(2.21*M67)   )/100*2.45 )</f>
        <v>0.35859414261160716</v>
      </c>
      <c r="O67" s="159" t="str">
        <f>IF( OR( ISBLANK(I67),ISBLANK(J67), ISBLANK(K67), ISBLANK(L67), ISBLANK(M67) ), "", 1.5*SQRT( EXP(2.21*(I67-1)) + EXP(2.21*(J67-1)) + EXP(2.21*(K67-1)) + EXP(2.21*(L67-1)) + EXP(2.21*M67)   )/100*2.45 )</f>
        <v/>
      </c>
      <c r="P67" s="34"/>
    </row>
    <row r="68" spans="1:16">
      <c r="A68" s="34" t="str">
        <f>Agriculture!A73</f>
        <v>Agriculture</v>
      </c>
      <c r="B68" s="40" t="str">
        <f>Agriculture!B73</f>
        <v>Agricultural greenhouse films (in use)</v>
      </c>
      <c r="C68" s="34" t="str">
        <f>Agriculture!C73</f>
        <v>NL</v>
      </c>
      <c r="D68" s="40" t="str">
        <f>Agriculture!D73</f>
        <v>PS</v>
      </c>
      <c r="E68" s="1182">
        <f>Agriculture!E73</f>
        <v>0</v>
      </c>
      <c r="F68" s="168">
        <f>Agriculture!F73</f>
        <v>2</v>
      </c>
      <c r="G68" s="34" t="str">
        <f>Agriculture!G73</f>
        <v>Urbanus, J.H., Brunner, A., Boersma, A., Henke, S., Kooter, I., Lensen, S., Parker, L., Schwarz, A., Imhof, P., Dortmans, A., Wijngaard, M., 2022. Autobanden, verpakkingen en landbouwfolie zijn in Nederland de grootste bronnen van microplastics. TNO.</v>
      </c>
      <c r="H68" s="806">
        <v>1</v>
      </c>
      <c r="I68" s="617"/>
      <c r="J68" s="9">
        <v>2</v>
      </c>
      <c r="K68" s="617">
        <v>1</v>
      </c>
      <c r="L68" s="617">
        <v>1</v>
      </c>
      <c r="M68" s="9">
        <v>2</v>
      </c>
      <c r="N68" s="185">
        <f>IF( OR( ISBLANK(H68),ISBLANK(J68), ISBLANK(K68), ISBLANK(L68), ISBLANK(M68) ), "", 1.5*SQRT(   EXP(2.21*(H68-1)) + EXP(2.21*(J68-1)) + EXP(2.21*(K68-1)) + EXP(2.21*(L68-1)) + EXP(2.21*M68)   )/100*2.45 )</f>
        <v>0.35859414261160716</v>
      </c>
      <c r="O68" s="159" t="str">
        <f>IF( OR( ISBLANK(I68),ISBLANK(J68), ISBLANK(K68), ISBLANK(L68), ISBLANK(M68) ), "", 1.5*SQRT( EXP(2.21*(I68-1)) + EXP(2.21*(J68-1)) + EXP(2.21*(K68-1)) + EXP(2.21*(L68-1)) + EXP(2.21*M68)   )/100*2.45 )</f>
        <v/>
      </c>
      <c r="P68" s="34"/>
    </row>
    <row r="69" spans="1:16">
      <c r="A69" s="34" t="str">
        <f>Agriculture!A74</f>
        <v>Agriculture</v>
      </c>
      <c r="B69" s="40" t="str">
        <f>Agriculture!B74</f>
        <v>Agricultural greenhouse films (in use)</v>
      </c>
      <c r="C69" s="34" t="str">
        <f>Agriculture!C74</f>
        <v>NL</v>
      </c>
      <c r="D69" s="40" t="str">
        <f>Agriculture!D74</f>
        <v>PP</v>
      </c>
      <c r="E69" s="1182">
        <f>Agriculture!E74</f>
        <v>0</v>
      </c>
      <c r="F69" s="168">
        <f>Agriculture!F74</f>
        <v>2</v>
      </c>
      <c r="G69" s="34" t="str">
        <f>Agriculture!G74</f>
        <v>Urbanus, J.H., Brunner, A., Boersma, A., Henke, S., Kooter, I., Lensen, S., Parker, L., Schwarz, A., Imhof, P., Dortmans, A., Wijngaard, M., 2022. Autobanden, verpakkingen en landbouwfolie zijn in Nederland de grootste bronnen van microplastics. TNO.</v>
      </c>
      <c r="H69" s="806">
        <v>1</v>
      </c>
      <c r="I69" s="617"/>
      <c r="J69" s="9">
        <v>2</v>
      </c>
      <c r="K69" s="617">
        <v>1</v>
      </c>
      <c r="L69" s="617">
        <v>1</v>
      </c>
      <c r="M69" s="9">
        <v>2</v>
      </c>
      <c r="N69" s="185">
        <f>IF( OR( ISBLANK(H69),ISBLANK(J69), ISBLANK(K69), ISBLANK(L69), ISBLANK(M69) ), "", 1.5*SQRT(   EXP(2.21*(H69-1)) + EXP(2.21*(J69-1)) + EXP(2.21*(K69-1)) + EXP(2.21*(L69-1)) + EXP(2.21*M69)   )/100*2.45 )</f>
        <v>0.35859414261160716</v>
      </c>
      <c r="O69" s="159" t="str">
        <f>IF( OR( ISBLANK(I69),ISBLANK(J69), ISBLANK(K69), ISBLANK(L69), ISBLANK(M69) ), "", 1.5*SQRT( EXP(2.21*(I69-1)) + EXP(2.21*(J69-1)) + EXP(2.21*(K69-1)) + EXP(2.21*(L69-1)) + EXP(2.21*M69)   )/100*2.45 )</f>
        <v/>
      </c>
      <c r="P69" s="34"/>
    </row>
    <row r="70" spans="1:16">
      <c r="A70" s="34" t="str">
        <f>Agriculture!A75</f>
        <v>Agriculture</v>
      </c>
      <c r="B70" s="40" t="str">
        <f>Agriculture!B75</f>
        <v>Agricultural greenhouse films (in use)</v>
      </c>
      <c r="C70" s="34" t="str">
        <f>Agriculture!C75</f>
        <v>NL</v>
      </c>
      <c r="D70" s="40" t="str">
        <f>Agriculture!D75</f>
        <v>LDPE</v>
      </c>
      <c r="E70" s="1182">
        <f>Agriculture!E75</f>
        <v>1.4190115628548983E-2</v>
      </c>
      <c r="F70" s="168">
        <f>Agriculture!F75</f>
        <v>2</v>
      </c>
      <c r="G70" s="34" t="str">
        <f>Agriculture!G75</f>
        <v>Urbanus, J.H., Brunner, A., Boersma, A., Henke, S., Kooter, I., Lensen, S., Parker, L., Schwarz, A., Imhof, P., Dortmans, A., Wijngaard, M., 2022. Autobanden, verpakkingen en landbouwfolie zijn in Nederland de grootste bronnen van microplastics. TNO.</v>
      </c>
      <c r="H70" s="806">
        <v>1</v>
      </c>
      <c r="I70" s="617"/>
      <c r="J70" s="9">
        <v>2</v>
      </c>
      <c r="K70" s="617">
        <v>1</v>
      </c>
      <c r="L70" s="617">
        <v>1</v>
      </c>
      <c r="M70" s="9">
        <v>2</v>
      </c>
      <c r="N70" s="185">
        <f>IF( OR( ISBLANK(H70),ISBLANK(J70), ISBLANK(K70), ISBLANK(L70), ISBLANK(M70) ), "", 1.5*SQRT(   EXP(2.21*(H70-1)) + EXP(2.21*(J70-1)) + EXP(2.21*(K70-1)) + EXP(2.21*(L70-1)) + EXP(2.21*M70)   )/100*2.45 )</f>
        <v>0.35859414261160716</v>
      </c>
      <c r="O70" s="159" t="str">
        <f>IF( OR( ISBLANK(I70),ISBLANK(J70), ISBLANK(K70), ISBLANK(L70), ISBLANK(M70) ), "", 1.5*SQRT( EXP(2.21*(I70-1)) + EXP(2.21*(J70-1)) + EXP(2.21*(K70-1)) + EXP(2.21*(L70-1)) + EXP(2.21*M70)   )/100*2.45 )</f>
        <v/>
      </c>
      <c r="P70" s="34"/>
    </row>
    <row r="71" spans="1:16">
      <c r="A71" s="34" t="str">
        <f>Agriculture!A76</f>
        <v>Agriculture</v>
      </c>
      <c r="B71" s="40" t="str">
        <f>Agriculture!B76</f>
        <v>Agricultural greenhouse films (in use)</v>
      </c>
      <c r="C71" s="34" t="str">
        <f>Agriculture!C76</f>
        <v>NL</v>
      </c>
      <c r="D71" s="40" t="str">
        <f>Agriculture!D76</f>
        <v>HDPE</v>
      </c>
      <c r="E71" s="1182">
        <f>Agriculture!E76</f>
        <v>0</v>
      </c>
      <c r="F71" s="168">
        <f>Agriculture!F76</f>
        <v>2</v>
      </c>
      <c r="G71" s="34" t="str">
        <f>Agriculture!G76</f>
        <v>Urbanus, J.H., Brunner, A., Boersma, A., Henke, S., Kooter, I., Lensen, S., Parker, L., Schwarz, A., Imhof, P., Dortmans, A., Wijngaard, M., 2022. Autobanden, verpakkingen en landbouwfolie zijn in Nederland de grootste bronnen van microplastics. TNO.</v>
      </c>
      <c r="H71" s="806">
        <v>1</v>
      </c>
      <c r="I71" s="617"/>
      <c r="J71" s="9">
        <v>2</v>
      </c>
      <c r="K71" s="617">
        <v>1</v>
      </c>
      <c r="L71" s="617">
        <v>1</v>
      </c>
      <c r="M71" s="9">
        <v>2</v>
      </c>
      <c r="N71" s="185">
        <f>IF( OR( ISBLANK(H71),ISBLANK(J71), ISBLANK(K71), ISBLANK(L71), ISBLANK(M71) ), "", 1.5*SQRT(   EXP(2.21*(H71-1)) + EXP(2.21*(J71-1)) + EXP(2.21*(K71-1)) + EXP(2.21*(L71-1)) + EXP(2.21*M71)   )/100*2.45 )</f>
        <v>0.35859414261160716</v>
      </c>
      <c r="O71" s="159" t="str">
        <f>IF( OR( ISBLANK(I71),ISBLANK(J71), ISBLANK(K71), ISBLANK(L71), ISBLANK(M71) ), "", 1.5*SQRT( EXP(2.21*(I71-1)) + EXP(2.21*(J71-1)) + EXP(2.21*(K71-1)) + EXP(2.21*(L71-1)) + EXP(2.21*M71)   )/100*2.45 )</f>
        <v/>
      </c>
      <c r="P71" s="34"/>
    </row>
    <row r="72" spans="1:16">
      <c r="A72" s="34" t="str">
        <f>Agriculture!A77</f>
        <v>Agriculture</v>
      </c>
      <c r="B72" s="40" t="str">
        <f>Agriculture!B77</f>
        <v>Agricultural greenhouse films (in use)</v>
      </c>
      <c r="C72" s="34" t="str">
        <f>Agriculture!C77</f>
        <v>EU</v>
      </c>
      <c r="D72" s="40" t="str">
        <f>Agriculture!D77</f>
        <v>PVC</v>
      </c>
      <c r="E72" s="1182">
        <f>Agriculture!E77</f>
        <v>9.2661989829646799E-3</v>
      </c>
      <c r="F72" s="168">
        <f>Agriculture!F77</f>
        <v>2</v>
      </c>
      <c r="G72" s="34" t="str">
        <f>Agriculture!G77</f>
        <v>Assessment of agricultural plastics and their sustainability: A call for action, 2021. . FAO. https://doi.org/10.4060/cb7856en</v>
      </c>
      <c r="H72" s="806"/>
      <c r="I72" s="617">
        <v>1</v>
      </c>
      <c r="J72" s="9">
        <v>2</v>
      </c>
      <c r="K72" s="617">
        <v>1</v>
      </c>
      <c r="L72" s="617">
        <v>1</v>
      </c>
      <c r="M72" s="9">
        <v>2</v>
      </c>
      <c r="N72" s="185" t="str">
        <f>IF( OR( ISBLANK(H72),ISBLANK(J72), ISBLANK(K72), ISBLANK(L72), ISBLANK(M72) ), "", 1.5*SQRT(   EXP(2.21*(H72-1)) + EXP(2.21*(J72-1)) + EXP(2.21*(K72-1)) + EXP(2.21*(L72-1)) + EXP(2.21*M72)   )/100*2.45 )</f>
        <v/>
      </c>
      <c r="O72" s="159">
        <f>IF( OR( ISBLANK(I72),ISBLANK(J72), ISBLANK(K72), ISBLANK(L72), ISBLANK(M72) ), "", 1.5*SQRT( EXP(2.21*(I72-1)) + EXP(2.21*(J72-1)) + EXP(2.21*(K72-1)) + EXP(2.21*(L72-1)) + EXP(2.21*M72)   )/100*2.45 )</f>
        <v>0.35859414261160716</v>
      </c>
      <c r="P72" s="34"/>
    </row>
    <row r="73" spans="1:16">
      <c r="A73" s="34" t="str">
        <f>Agriculture!A78</f>
        <v>Agriculture</v>
      </c>
      <c r="B73" s="40" t="str">
        <f>Agriculture!B78</f>
        <v>Agricultural greenhouse films (in use)</v>
      </c>
      <c r="C73" s="34" t="str">
        <f>Agriculture!C78</f>
        <v>EU</v>
      </c>
      <c r="D73" s="40" t="str">
        <f>Agriculture!D78</f>
        <v>PS</v>
      </c>
      <c r="E73" s="1182">
        <f>Agriculture!E78</f>
        <v>0</v>
      </c>
      <c r="F73" s="168">
        <f>Agriculture!F78</f>
        <v>2</v>
      </c>
      <c r="G73" s="34" t="str">
        <f>Agriculture!G78</f>
        <v>Assessment of agricultural plastics and their sustainability: A call for action, 2021. . FAO. https://doi.org/10.4060/cb7856en</v>
      </c>
      <c r="H73" s="806"/>
      <c r="I73" s="617">
        <v>1</v>
      </c>
      <c r="J73" s="9">
        <v>2</v>
      </c>
      <c r="K73" s="617">
        <v>1</v>
      </c>
      <c r="L73" s="617">
        <v>1</v>
      </c>
      <c r="M73" s="9">
        <v>2</v>
      </c>
      <c r="N73" s="185" t="str">
        <f>IF( OR( ISBLANK(H73),ISBLANK(J73), ISBLANK(K73), ISBLANK(L73), ISBLANK(M73) ), "", 1.5*SQRT(   EXP(2.21*(H73-1)) + EXP(2.21*(J73-1)) + EXP(2.21*(K73-1)) + EXP(2.21*(L73-1)) + EXP(2.21*M73)   )/100*2.45 )</f>
        <v/>
      </c>
      <c r="O73" s="159">
        <f>IF( OR( ISBLANK(I73),ISBLANK(J73), ISBLANK(K73), ISBLANK(L73), ISBLANK(M73) ), "", 1.5*SQRT( EXP(2.21*(I73-1)) + EXP(2.21*(J73-1)) + EXP(2.21*(K73-1)) + EXP(2.21*(L73-1)) + EXP(2.21*M73)   )/100*2.45 )</f>
        <v>0.35859414261160716</v>
      </c>
      <c r="P73" s="34"/>
    </row>
    <row r="74" spans="1:16">
      <c r="A74" s="34" t="str">
        <f>Agriculture!A79</f>
        <v>Agriculture</v>
      </c>
      <c r="B74" s="40" t="str">
        <f>Agriculture!B79</f>
        <v>Agricultural greenhouse films (in use)</v>
      </c>
      <c r="C74" s="34" t="str">
        <f>Agriculture!C79</f>
        <v>EU</v>
      </c>
      <c r="D74" s="40" t="str">
        <f>Agriculture!D79</f>
        <v>PP</v>
      </c>
      <c r="E74" s="1182">
        <f>Agriculture!E79</f>
        <v>0</v>
      </c>
      <c r="F74" s="168">
        <f>Agriculture!F79</f>
        <v>2</v>
      </c>
      <c r="G74" s="34" t="str">
        <f>Agriculture!G79</f>
        <v>Assessment of agricultural plastics and their sustainability: A call for action, 2021. . FAO. https://doi.org/10.4060/cb7856en</v>
      </c>
      <c r="H74" s="806"/>
      <c r="I74" s="617">
        <v>1</v>
      </c>
      <c r="J74" s="9">
        <v>2</v>
      </c>
      <c r="K74" s="617">
        <v>1</v>
      </c>
      <c r="L74" s="617">
        <v>1</v>
      </c>
      <c r="M74" s="9">
        <v>2</v>
      </c>
      <c r="N74" s="185" t="str">
        <f>IF( OR( ISBLANK(H74),ISBLANK(J74), ISBLANK(K74), ISBLANK(L74), ISBLANK(M74) ), "", 1.5*SQRT(   EXP(2.21*(H74-1)) + EXP(2.21*(J74-1)) + EXP(2.21*(K74-1)) + EXP(2.21*(L74-1)) + EXP(2.21*M74)   )/100*2.45 )</f>
        <v/>
      </c>
      <c r="O74" s="159">
        <f>IF( OR( ISBLANK(I74),ISBLANK(J74), ISBLANK(K74), ISBLANK(L74), ISBLANK(M74) ), "", 1.5*SQRT( EXP(2.21*(I74-1)) + EXP(2.21*(J74-1)) + EXP(2.21*(K74-1)) + EXP(2.21*(L74-1)) + EXP(2.21*M74)   )/100*2.45 )</f>
        <v>0.35859414261160716</v>
      </c>
      <c r="P74" s="34"/>
    </row>
    <row r="75" spans="1:16">
      <c r="A75" s="34" t="str">
        <f>Agriculture!A80</f>
        <v>Agriculture</v>
      </c>
      <c r="B75" s="40" t="str">
        <f>Agriculture!B80</f>
        <v>Agricultural greenhouse films (in use)</v>
      </c>
      <c r="C75" s="34" t="str">
        <f>Agriculture!C80</f>
        <v>EU</v>
      </c>
      <c r="D75" s="40" t="str">
        <f>Agriculture!D80</f>
        <v>LDPE</v>
      </c>
      <c r="E75" s="1182">
        <f>Agriculture!E80</f>
        <v>1.5937522374961335E-2</v>
      </c>
      <c r="F75" s="168">
        <f>Agriculture!F80</f>
        <v>2</v>
      </c>
      <c r="G75" s="34" t="str">
        <f>Agriculture!G80</f>
        <v>Assessment of agricultural plastics and their sustainability: A call for action, 2021. . FAO. https://doi.org/10.4060/cb7856en</v>
      </c>
      <c r="H75" s="806"/>
      <c r="I75" s="617">
        <v>1</v>
      </c>
      <c r="J75" s="9">
        <v>2</v>
      </c>
      <c r="K75" s="617">
        <v>1</v>
      </c>
      <c r="L75" s="617">
        <v>1</v>
      </c>
      <c r="M75" s="9">
        <v>2</v>
      </c>
      <c r="N75" s="185" t="str">
        <f>IF( OR( ISBLANK(H75),ISBLANK(J75), ISBLANK(K75), ISBLANK(L75), ISBLANK(M75) ), "", 1.5*SQRT(   EXP(2.21*(H75-1)) + EXP(2.21*(J75-1)) + EXP(2.21*(K75-1)) + EXP(2.21*(L75-1)) + EXP(2.21*M75)   )/100*2.45 )</f>
        <v/>
      </c>
      <c r="O75" s="159">
        <f>IF( OR( ISBLANK(I75),ISBLANK(J75), ISBLANK(K75), ISBLANK(L75), ISBLANK(M75) ), "", 1.5*SQRT( EXP(2.21*(I75-1)) + EXP(2.21*(J75-1)) + EXP(2.21*(K75-1)) + EXP(2.21*(L75-1)) + EXP(2.21*M75)   )/100*2.45 )</f>
        <v>0.35859414261160716</v>
      </c>
      <c r="P75" s="34"/>
    </row>
    <row r="76" spans="1:16" s="16" customFormat="1">
      <c r="A76" s="34" t="str">
        <f>Agriculture!A81</f>
        <v>Agriculture</v>
      </c>
      <c r="B76" s="40" t="str">
        <f>Agriculture!B81</f>
        <v>Agricultural greenhouse films (in use)</v>
      </c>
      <c r="C76" s="34" t="str">
        <f>Agriculture!C81</f>
        <v>EU</v>
      </c>
      <c r="D76" s="40" t="str">
        <f>Agriculture!D81</f>
        <v>HDPE</v>
      </c>
      <c r="E76" s="1182">
        <f>Agriculture!E81</f>
        <v>0</v>
      </c>
      <c r="F76" s="168">
        <f>Agriculture!F81</f>
        <v>2</v>
      </c>
      <c r="G76" s="34" t="str">
        <f>Agriculture!G81</f>
        <v>Assessment of agricultural plastics and their sustainability: A call for action, 2021. . FAO. https://doi.org/10.4060/cb7856en</v>
      </c>
      <c r="H76" s="806"/>
      <c r="I76" s="617">
        <v>1</v>
      </c>
      <c r="J76" s="9">
        <v>2</v>
      </c>
      <c r="K76" s="617">
        <v>1</v>
      </c>
      <c r="L76" s="617">
        <v>1</v>
      </c>
      <c r="M76" s="9">
        <v>2</v>
      </c>
      <c r="N76" s="185" t="str">
        <f>IF( OR( ISBLANK(H76),ISBLANK(J76), ISBLANK(K76), ISBLANK(L76), ISBLANK(M76) ), "", 1.5*SQRT(   EXP(2.21*(H76-1)) + EXP(2.21*(J76-1)) + EXP(2.21*(K76-1)) + EXP(2.21*(L76-1)) + EXP(2.21*M76)   )/100*2.45 )</f>
        <v/>
      </c>
      <c r="O76" s="159">
        <f>IF( OR( ISBLANK(I76),ISBLANK(J76), ISBLANK(K76), ISBLANK(L76), ISBLANK(M76) ), "", 1.5*SQRT( EXP(2.21*(I76-1)) + EXP(2.21*(J76-1)) + EXP(2.21*(K76-1)) + EXP(2.21*(L76-1)) + EXP(2.21*M76)   )/100*2.45 )</f>
        <v>0.35859414261160716</v>
      </c>
      <c r="P76" s="34"/>
    </row>
    <row r="77" spans="1:16" s="16" customFormat="1">
      <c r="A77" s="34" t="str">
        <f>Agriculture!A102</f>
        <v>Agriculture</v>
      </c>
      <c r="B77" s="40" t="str">
        <f>Agriculture!B102</f>
        <v>Agricultural mulching films</v>
      </c>
      <c r="C77" s="34" t="str">
        <f>Agriculture!C102</f>
        <v>NL</v>
      </c>
      <c r="D77" s="40" t="str">
        <f>Agriculture!D102</f>
        <v>PVC</v>
      </c>
      <c r="E77" s="1182">
        <f>Agriculture!E102</f>
        <v>0.27195768865502412</v>
      </c>
      <c r="F77" s="168">
        <f>Agriculture!F102</f>
        <v>1</v>
      </c>
      <c r="G77" s="34" t="str">
        <f>Agriculture!G102</f>
        <v>Urbanus, J.H., Brunner, A., Boersma, A., Henke, S., Kooter, I., Lensen, S., Parker, L., Schwarz, A., Imhof, P., Dortmans, A., Wijngaard, M., 2022. Autobanden, verpakkingen en landbouwfolie zijn in Nederland de grootste bronnen van microplastics. TNO.</v>
      </c>
      <c r="H77" s="29">
        <v>1</v>
      </c>
      <c r="I77" s="9"/>
      <c r="J77" s="9">
        <v>2</v>
      </c>
      <c r="K77" s="9">
        <v>1</v>
      </c>
      <c r="L77" s="9">
        <v>1</v>
      </c>
      <c r="M77" s="9">
        <v>2</v>
      </c>
      <c r="N77" s="185">
        <f>IF( OR( ISBLANK(H77),ISBLANK(J77), ISBLANK(K77), ISBLANK(L77), ISBLANK(M77) ), "", 1.5*SQRT(   EXP(2.21*(H77-1)) + EXP(2.21*(J77-1)) + EXP(2.21*(K77-1)) + EXP(2.21*(L77-1)) + EXP(2.21*M77)   )/100*2.45 )</f>
        <v>0.35859414261160716</v>
      </c>
      <c r="O77" s="159" t="str">
        <f>IF( OR( ISBLANK(I77),ISBLANK(J77), ISBLANK(K77), ISBLANK(L77), ISBLANK(M77) ), "", 1.5*SQRT( EXP(2.21*(I77-1)) + EXP(2.21*(J77-1)) + EXP(2.21*(K77-1)) + EXP(2.21*(L77-1)) + EXP(2.21*M77)   )/100*2.45 )</f>
        <v/>
      </c>
      <c r="P77" s="34"/>
    </row>
    <row r="78" spans="1:16" s="16" customFormat="1">
      <c r="A78" s="34" t="str">
        <f>Agriculture!A103</f>
        <v>Agriculture</v>
      </c>
      <c r="B78" s="40" t="str">
        <f>Agriculture!B103</f>
        <v>Agricultural mulching films</v>
      </c>
      <c r="C78" s="34" t="str">
        <f>Agriculture!C103</f>
        <v>NL</v>
      </c>
      <c r="D78" s="40" t="str">
        <f>Agriculture!D103</f>
        <v>PS</v>
      </c>
      <c r="E78" s="1182">
        <f>Agriculture!E103</f>
        <v>0</v>
      </c>
      <c r="F78" s="168">
        <f>Agriculture!F103</f>
        <v>1</v>
      </c>
      <c r="G78" s="34" t="str">
        <f>Agriculture!G103</f>
        <v>Urbanus, J.H., Brunner, A., Boersma, A., Henke, S., Kooter, I., Lensen, S., Parker, L., Schwarz, A., Imhof, P., Dortmans, A., Wijngaard, M., 2022. Autobanden, verpakkingen en landbouwfolie zijn in Nederland de grootste bronnen van microplastics. TNO.</v>
      </c>
      <c r="H78" s="29">
        <v>1</v>
      </c>
      <c r="I78" s="9"/>
      <c r="J78" s="9">
        <v>2</v>
      </c>
      <c r="K78" s="9">
        <v>1</v>
      </c>
      <c r="L78" s="9">
        <v>1</v>
      </c>
      <c r="M78" s="9">
        <v>2</v>
      </c>
      <c r="N78" s="185">
        <f>IF( OR( ISBLANK(H78),ISBLANK(J78), ISBLANK(K78), ISBLANK(L78), ISBLANK(M78) ), "", 1.5*SQRT(   EXP(2.21*(H78-1)) + EXP(2.21*(J78-1)) + EXP(2.21*(K78-1)) + EXP(2.21*(L78-1)) + EXP(2.21*M78)   )/100*2.45 )</f>
        <v>0.35859414261160716</v>
      </c>
      <c r="O78" s="159" t="str">
        <f>IF( OR( ISBLANK(I78),ISBLANK(J78), ISBLANK(K78), ISBLANK(L78), ISBLANK(M78) ), "", 1.5*SQRT( EXP(2.21*(I78-1)) + EXP(2.21*(J78-1)) + EXP(2.21*(K78-1)) + EXP(2.21*(L78-1)) + EXP(2.21*M78)   )/100*2.45 )</f>
        <v/>
      </c>
      <c r="P78" s="34"/>
    </row>
    <row r="79" spans="1:16" s="16" customFormat="1">
      <c r="A79" s="34" t="str">
        <f>Agriculture!A104</f>
        <v>Agriculture</v>
      </c>
      <c r="B79" s="40" t="str">
        <f>Agriculture!B104</f>
        <v>Agricultural mulching films</v>
      </c>
      <c r="C79" s="34" t="str">
        <f>Agriculture!C104</f>
        <v>NL</v>
      </c>
      <c r="D79" s="40" t="str">
        <f>Agriculture!D104</f>
        <v>PP</v>
      </c>
      <c r="E79" s="1182">
        <f>Agriculture!E104</f>
        <v>0</v>
      </c>
      <c r="F79" s="168">
        <f>Agriculture!F104</f>
        <v>1</v>
      </c>
      <c r="G79" s="34" t="str">
        <f>Agriculture!G104</f>
        <v>Urbanus, J.H., Brunner, A., Boersma, A., Henke, S., Kooter, I., Lensen, S., Parker, L., Schwarz, A., Imhof, P., Dortmans, A., Wijngaard, M., 2022. Autobanden, verpakkingen en landbouwfolie zijn in Nederland de grootste bronnen van microplastics. TNO.</v>
      </c>
      <c r="H79" s="29">
        <v>1</v>
      </c>
      <c r="I79" s="9"/>
      <c r="J79" s="9">
        <v>2</v>
      </c>
      <c r="K79" s="9">
        <v>1</v>
      </c>
      <c r="L79" s="9">
        <v>1</v>
      </c>
      <c r="M79" s="9">
        <v>2</v>
      </c>
      <c r="N79" s="185">
        <f>IF( OR( ISBLANK(H79),ISBLANK(J79), ISBLANK(K79), ISBLANK(L79), ISBLANK(M79) ), "", 1.5*SQRT(   EXP(2.21*(H79-1)) + EXP(2.21*(J79-1)) + EXP(2.21*(K79-1)) + EXP(2.21*(L79-1)) + EXP(2.21*M79)   )/100*2.45 )</f>
        <v>0.35859414261160716</v>
      </c>
      <c r="O79" s="159" t="str">
        <f>IF( OR( ISBLANK(I79),ISBLANK(J79), ISBLANK(K79), ISBLANK(L79), ISBLANK(M79) ), "", 1.5*SQRT( EXP(2.21*(I79-1)) + EXP(2.21*(J79-1)) + EXP(2.21*(K79-1)) + EXP(2.21*(L79-1)) + EXP(2.21*M79)   )/100*2.45 )</f>
        <v/>
      </c>
      <c r="P79" s="34"/>
    </row>
    <row r="80" spans="1:16" s="16" customFormat="1">
      <c r="A80" s="34" t="str">
        <f>Agriculture!A105</f>
        <v>Agriculture</v>
      </c>
      <c r="B80" s="40" t="str">
        <f>Agriculture!B105</f>
        <v>Agricultural mulching films</v>
      </c>
      <c r="C80" s="34" t="str">
        <f>Agriculture!C105</f>
        <v>NL</v>
      </c>
      <c r="D80" s="40" t="str">
        <f>Agriculture!D105</f>
        <v>LDPE</v>
      </c>
      <c r="E80" s="1182">
        <f>Agriculture!E105</f>
        <v>0.60554438373698527</v>
      </c>
      <c r="F80" s="168">
        <f>Agriculture!F105</f>
        <v>1</v>
      </c>
      <c r="G80" s="34" t="str">
        <f>Agriculture!G105</f>
        <v>Urbanus, J.H., Brunner, A., Boersma, A., Henke, S., Kooter, I., Lensen, S., Parker, L., Schwarz, A., Imhof, P., Dortmans, A., Wijngaard, M., 2022. Autobanden, verpakkingen en landbouwfolie zijn in Nederland de grootste bronnen van microplastics. TNO.</v>
      </c>
      <c r="H80" s="29">
        <v>1</v>
      </c>
      <c r="I80" s="9"/>
      <c r="J80" s="9">
        <v>2</v>
      </c>
      <c r="K80" s="9">
        <v>1</v>
      </c>
      <c r="L80" s="9">
        <v>1</v>
      </c>
      <c r="M80" s="9">
        <v>2</v>
      </c>
      <c r="N80" s="185">
        <f>IF( OR( ISBLANK(H80),ISBLANK(J80), ISBLANK(K80), ISBLANK(L80), ISBLANK(M80) ), "", 1.5*SQRT(   EXP(2.21*(H80-1)) + EXP(2.21*(J80-1)) + EXP(2.21*(K80-1)) + EXP(2.21*(L80-1)) + EXP(2.21*M80)   )/100*2.45 )</f>
        <v>0.35859414261160716</v>
      </c>
      <c r="O80" s="159" t="str">
        <f>IF( OR( ISBLANK(I80),ISBLANK(J80), ISBLANK(K80), ISBLANK(L80), ISBLANK(M80) ), "", 1.5*SQRT( EXP(2.21*(I80-1)) + EXP(2.21*(J80-1)) + EXP(2.21*(K80-1)) + EXP(2.21*(L80-1)) + EXP(2.21*M80)   )/100*2.45 )</f>
        <v/>
      </c>
      <c r="P80" s="34"/>
    </row>
    <row r="81" spans="1:16" s="16" customFormat="1">
      <c r="A81" s="34" t="str">
        <f>Agriculture!A106</f>
        <v>Agriculture</v>
      </c>
      <c r="B81" s="40" t="str">
        <f>Agriculture!B106</f>
        <v>Agricultural mulching films</v>
      </c>
      <c r="C81" s="34" t="str">
        <f>Agriculture!C106</f>
        <v>NL</v>
      </c>
      <c r="D81" s="40" t="str">
        <f>Agriculture!D106</f>
        <v>HDPE</v>
      </c>
      <c r="E81" s="1182">
        <f>Agriculture!E106</f>
        <v>0</v>
      </c>
      <c r="F81" s="168">
        <f>Agriculture!F106</f>
        <v>1</v>
      </c>
      <c r="G81" s="34" t="str">
        <f>Agriculture!G106</f>
        <v>Urbanus, J.H., Brunner, A., Boersma, A., Henke, S., Kooter, I., Lensen, S., Parker, L., Schwarz, A., Imhof, P., Dortmans, A., Wijngaard, M., 2022. Autobanden, verpakkingen en landbouwfolie zijn in Nederland de grootste bronnen van microplastics. TNO.</v>
      </c>
      <c r="H81" s="29">
        <v>1</v>
      </c>
      <c r="I81" s="9"/>
      <c r="J81" s="9">
        <v>2</v>
      </c>
      <c r="K81" s="9">
        <v>1</v>
      </c>
      <c r="L81" s="9">
        <v>1</v>
      </c>
      <c r="M81" s="9">
        <v>2</v>
      </c>
      <c r="N81" s="185">
        <f>IF( OR( ISBLANK(H81),ISBLANK(J81), ISBLANK(K81), ISBLANK(L81), ISBLANK(M81) ), "", 1.5*SQRT(   EXP(2.21*(H81-1)) + EXP(2.21*(J81-1)) + EXP(2.21*(K81-1)) + EXP(2.21*(L81-1)) + EXP(2.21*M81)   )/100*2.45 )</f>
        <v>0.35859414261160716</v>
      </c>
      <c r="O81" s="159" t="str">
        <f>IF( OR( ISBLANK(I81),ISBLANK(J81), ISBLANK(K81), ISBLANK(L81), ISBLANK(M81) ), "", 1.5*SQRT( EXP(2.21*(I81-1)) + EXP(2.21*(J81-1)) + EXP(2.21*(K81-1)) + EXP(2.21*(L81-1)) + EXP(2.21*M81)   )/100*2.45 )</f>
        <v/>
      </c>
      <c r="P81" s="34"/>
    </row>
    <row r="82" spans="1:16" s="16" customFormat="1">
      <c r="A82" s="34" t="str">
        <f>Agriculture!A107</f>
        <v>Agriculture</v>
      </c>
      <c r="B82" s="40" t="str">
        <f>Agriculture!B107</f>
        <v>Agricultural mulching films</v>
      </c>
      <c r="C82" s="34" t="str">
        <f>Agriculture!C107</f>
        <v>EU</v>
      </c>
      <c r="D82" s="40" t="str">
        <f>Agriculture!D107</f>
        <v>PVC</v>
      </c>
      <c r="E82" s="1182">
        <f>Agriculture!E107</f>
        <v>0.39542276466265769</v>
      </c>
      <c r="F82" s="168">
        <f>Agriculture!F107</f>
        <v>1</v>
      </c>
      <c r="G82" s="34" t="str">
        <f>Agriculture!G107</f>
        <v>Assessment of agricultural plastics and their sustainability: A call for action, 2021. . FAO. https://doi.org/10.4060/cb7856en</v>
      </c>
      <c r="H82" s="29"/>
      <c r="I82" s="9">
        <v>1</v>
      </c>
      <c r="J82" s="9">
        <v>2</v>
      </c>
      <c r="K82" s="9">
        <v>1</v>
      </c>
      <c r="L82" s="9">
        <v>1</v>
      </c>
      <c r="M82" s="9">
        <v>2</v>
      </c>
      <c r="N82" s="185" t="str">
        <f>IF( OR( ISBLANK(H82),ISBLANK(J82), ISBLANK(K82), ISBLANK(L82), ISBLANK(M82) ), "", 1.5*SQRT(   EXP(2.21*(H82-1)) + EXP(2.21*(J82-1)) + EXP(2.21*(K82-1)) + EXP(2.21*(L82-1)) + EXP(2.21*M82)   )/100*2.45 )</f>
        <v/>
      </c>
      <c r="O82" s="159">
        <f>IF( OR( ISBLANK(I82),ISBLANK(J82), ISBLANK(K82), ISBLANK(L82), ISBLANK(M82) ), "", 1.5*SQRT( EXP(2.21*(I82-1)) + EXP(2.21*(J82-1)) + EXP(2.21*(K82-1)) + EXP(2.21*(L82-1)) + EXP(2.21*M82)   )/100*2.45 )</f>
        <v>0.35859414261160716</v>
      </c>
      <c r="P82" s="34"/>
    </row>
    <row r="83" spans="1:16">
      <c r="A83" s="34" t="str">
        <f>Agriculture!A108</f>
        <v>Agriculture</v>
      </c>
      <c r="B83" s="40" t="str">
        <f>Agriculture!B108</f>
        <v>Agricultural mulching films</v>
      </c>
      <c r="C83" s="34" t="str">
        <f>Agriculture!C108</f>
        <v>EU</v>
      </c>
      <c r="D83" s="40" t="str">
        <f>Agriculture!D108</f>
        <v>PS</v>
      </c>
      <c r="E83" s="1182">
        <f>Agriculture!E108</f>
        <v>0</v>
      </c>
      <c r="F83" s="168">
        <f>Agriculture!F108</f>
        <v>1</v>
      </c>
      <c r="G83" s="34" t="str">
        <f>Agriculture!G108</f>
        <v>Assessment of agricultural plastics and their sustainability: A call for action, 2021. . FAO. https://doi.org/10.4060/cb7856en</v>
      </c>
      <c r="H83" s="29"/>
      <c r="I83" s="9">
        <v>1</v>
      </c>
      <c r="J83" s="9">
        <v>2</v>
      </c>
      <c r="K83" s="9">
        <v>1</v>
      </c>
      <c r="L83" s="9">
        <v>1</v>
      </c>
      <c r="M83" s="9">
        <v>2</v>
      </c>
      <c r="N83" s="185" t="str">
        <f>IF( OR( ISBLANK(H83),ISBLANK(J83), ISBLANK(K83), ISBLANK(L83), ISBLANK(M83) ), "", 1.5*SQRT(   EXP(2.21*(H83-1)) + EXP(2.21*(J83-1)) + EXP(2.21*(K83-1)) + EXP(2.21*(L83-1)) + EXP(2.21*M83)   )/100*2.45 )</f>
        <v/>
      </c>
      <c r="O83" s="159">
        <f>IF( OR( ISBLANK(I83),ISBLANK(J83), ISBLANK(K83), ISBLANK(L83), ISBLANK(M83) ), "", 1.5*SQRT( EXP(2.21*(I83-1)) + EXP(2.21*(J83-1)) + EXP(2.21*(K83-1)) + EXP(2.21*(L83-1)) + EXP(2.21*M83)   )/100*2.45 )</f>
        <v>0.35859414261160716</v>
      </c>
      <c r="P83" s="34"/>
    </row>
    <row r="84" spans="1:16">
      <c r="A84" s="34" t="str">
        <f>Agriculture!A109</f>
        <v>Agriculture</v>
      </c>
      <c r="B84" s="40" t="str">
        <f>Agriculture!B109</f>
        <v>Agricultural mulching films</v>
      </c>
      <c r="C84" s="34" t="str">
        <f>Agriculture!C109</f>
        <v>EU</v>
      </c>
      <c r="D84" s="40" t="str">
        <f>Agriculture!D109</f>
        <v>PP</v>
      </c>
      <c r="E84" s="1182">
        <f>Agriculture!E109</f>
        <v>0</v>
      </c>
      <c r="F84" s="168">
        <f>Agriculture!F109</f>
        <v>1</v>
      </c>
      <c r="G84" s="34" t="str">
        <f>Agriculture!G109</f>
        <v>Assessment of agricultural plastics and their sustainability: A call for action, 2021. . FAO. https://doi.org/10.4060/cb7856en</v>
      </c>
      <c r="H84" s="29"/>
      <c r="I84" s="9">
        <v>1</v>
      </c>
      <c r="J84" s="9">
        <v>2</v>
      </c>
      <c r="K84" s="9">
        <v>1</v>
      </c>
      <c r="L84" s="9">
        <v>1</v>
      </c>
      <c r="M84" s="9">
        <v>2</v>
      </c>
      <c r="N84" s="185" t="str">
        <f>IF( OR( ISBLANK(H84),ISBLANK(J84), ISBLANK(K84), ISBLANK(L84), ISBLANK(M84) ), "", 1.5*SQRT(   EXP(2.21*(H84-1)) + EXP(2.21*(J84-1)) + EXP(2.21*(K84-1)) + EXP(2.21*(L84-1)) + EXP(2.21*M84)   )/100*2.45 )</f>
        <v/>
      </c>
      <c r="O84" s="159">
        <f>IF( OR( ISBLANK(I84),ISBLANK(J84), ISBLANK(K84), ISBLANK(L84), ISBLANK(M84) ), "", 1.5*SQRT( EXP(2.21*(I84-1)) + EXP(2.21*(J84-1)) + EXP(2.21*(K84-1)) + EXP(2.21*(L84-1)) + EXP(2.21*M84)   )/100*2.45 )</f>
        <v>0.35859414261160716</v>
      </c>
      <c r="P84" s="34"/>
    </row>
    <row r="85" spans="1:16">
      <c r="A85" s="34" t="str">
        <f>Agriculture!A110</f>
        <v>Agriculture</v>
      </c>
      <c r="B85" s="40" t="str">
        <f>Agriculture!B110</f>
        <v>Agricultural mulching films</v>
      </c>
      <c r="C85" s="34" t="str">
        <f>Agriculture!C110</f>
        <v>EU</v>
      </c>
      <c r="D85" s="40" t="str">
        <f>Agriculture!D110</f>
        <v>LDPE</v>
      </c>
      <c r="E85" s="1182">
        <f>Agriculture!E110</f>
        <v>0.68011265147296251</v>
      </c>
      <c r="F85" s="168">
        <f>Agriculture!F110</f>
        <v>1</v>
      </c>
      <c r="G85" s="34" t="str">
        <f>Agriculture!G110</f>
        <v>Assessment of agricultural plastics and their sustainability: A call for action, 2021. . FAO. https://doi.org/10.4060/cb7856en</v>
      </c>
      <c r="H85" s="29"/>
      <c r="I85" s="9">
        <v>1</v>
      </c>
      <c r="J85" s="9">
        <v>2</v>
      </c>
      <c r="K85" s="9">
        <v>1</v>
      </c>
      <c r="L85" s="9">
        <v>1</v>
      </c>
      <c r="M85" s="9">
        <v>2</v>
      </c>
      <c r="N85" s="185" t="str">
        <f>IF( OR( ISBLANK(H85),ISBLANK(J85), ISBLANK(K85), ISBLANK(L85), ISBLANK(M85) ), "", 1.5*SQRT(   EXP(2.21*(H85-1)) + EXP(2.21*(J85-1)) + EXP(2.21*(K85-1)) + EXP(2.21*(L85-1)) + EXP(2.21*M85)   )/100*2.45 )</f>
        <v/>
      </c>
      <c r="O85" s="159">
        <f>IF( OR( ISBLANK(I85),ISBLANK(J85), ISBLANK(K85), ISBLANK(L85), ISBLANK(M85) ), "", 1.5*SQRT( EXP(2.21*(I85-1)) + EXP(2.21*(J85-1)) + EXP(2.21*(K85-1)) + EXP(2.21*(L85-1)) + EXP(2.21*M85)   )/100*2.45 )</f>
        <v>0.35859414261160716</v>
      </c>
      <c r="P85" s="34"/>
    </row>
    <row r="86" spans="1:16">
      <c r="A86" s="34" t="str">
        <f>Agriculture!A111</f>
        <v>Agriculture</v>
      </c>
      <c r="B86" s="40" t="str">
        <f>Agriculture!B111</f>
        <v>Agricultural mulching films</v>
      </c>
      <c r="C86" s="34" t="str">
        <f>Agriculture!C111</f>
        <v>EU</v>
      </c>
      <c r="D86" s="40" t="str">
        <f>Agriculture!D111</f>
        <v>HDPE</v>
      </c>
      <c r="E86" s="1182">
        <f>Agriculture!E111</f>
        <v>0</v>
      </c>
      <c r="F86" s="168">
        <f>Agriculture!F111</f>
        <v>1</v>
      </c>
      <c r="G86" s="34" t="str">
        <f>Agriculture!G111</f>
        <v>Assessment of agricultural plastics and their sustainability: A call for action, 2021. . FAO. https://doi.org/10.4060/cb7856en</v>
      </c>
      <c r="H86" s="29"/>
      <c r="I86" s="9">
        <v>1</v>
      </c>
      <c r="J86" s="9">
        <v>2</v>
      </c>
      <c r="K86" s="9">
        <v>1</v>
      </c>
      <c r="L86" s="9">
        <v>1</v>
      </c>
      <c r="M86" s="9">
        <v>2</v>
      </c>
      <c r="N86" s="185" t="str">
        <f>IF( OR( ISBLANK(H86),ISBLANK(J86), ISBLANK(K86), ISBLANK(L86), ISBLANK(M86) ), "", 1.5*SQRT(   EXP(2.21*(H86-1)) + EXP(2.21*(J86-1)) + EXP(2.21*(K86-1)) + EXP(2.21*(L86-1)) + EXP(2.21*M86)   )/100*2.45 )</f>
        <v/>
      </c>
      <c r="O86" s="159">
        <f>IF( OR( ISBLANK(I86),ISBLANK(J86), ISBLANK(K86), ISBLANK(L86), ISBLANK(M86) ), "", 1.5*SQRT( EXP(2.21*(I86-1)) + EXP(2.21*(J86-1)) + EXP(2.21*(K86-1)) + EXP(2.21*(L86-1)) + EXP(2.21*M86)   )/100*2.45 )</f>
        <v>0.35859414261160716</v>
      </c>
      <c r="P86" s="34"/>
    </row>
    <row r="87" spans="1:16">
      <c r="A87" s="34" t="str">
        <f>Agriculture!A62</f>
        <v>Agriculture</v>
      </c>
      <c r="B87" s="40" t="str">
        <f>Agriculture!B62</f>
        <v>Agricultural other</v>
      </c>
      <c r="C87" s="34" t="str">
        <f>Agriculture!C62</f>
        <v>NL</v>
      </c>
      <c r="D87" s="40" t="str">
        <f>Agriculture!D62</f>
        <v>PVC</v>
      </c>
      <c r="E87" s="1182">
        <f>Agriculture!E62</f>
        <v>0.2192024530360637</v>
      </c>
      <c r="F87" s="168">
        <f>Agriculture!F62</f>
        <v>2</v>
      </c>
      <c r="G87" s="34" t="str">
        <f>Agriculture!G62</f>
        <v>Urbanus, J.H., Brunner, A., Boersma, A., Henke, S., Kooter, I., Lensen, S., Parker, L., Schwarz, A., Imhof, P., Dortmans, A., Wijngaard, M., 2022. Autobanden, verpakkingen en landbouwfolie zijn in Nederland de grootste bronnen van microplastics. TNO.</v>
      </c>
      <c r="H87" s="29">
        <v>1</v>
      </c>
      <c r="I87" s="9"/>
      <c r="J87" s="9">
        <v>2</v>
      </c>
      <c r="K87" s="9">
        <v>1</v>
      </c>
      <c r="L87" s="9">
        <v>1</v>
      </c>
      <c r="M87" s="9">
        <v>2</v>
      </c>
      <c r="N87" s="185">
        <f>IF( OR( ISBLANK(H87),ISBLANK(J87), ISBLANK(K87), ISBLANK(L87), ISBLANK(M87) ), "", 1.5*SQRT(   EXP(2.21*(H87-1)) + EXP(2.21*(J87-1)) + EXP(2.21*(K87-1)) + EXP(2.21*(L87-1)) + EXP(2.21*M87)   )/100*2.45 )</f>
        <v>0.35859414261160716</v>
      </c>
      <c r="O87" s="159" t="str">
        <f>IF( OR( ISBLANK(I87),ISBLANK(J87), ISBLANK(K87), ISBLANK(L87), ISBLANK(M87) ), "", 1.5*SQRT( EXP(2.21*(I87-1)) + EXP(2.21*(J87-1)) + EXP(2.21*(K87-1)) + EXP(2.21*(L87-1)) + EXP(2.21*M87)   )/100*2.45 )</f>
        <v/>
      </c>
      <c r="P87" s="34"/>
    </row>
    <row r="88" spans="1:16">
      <c r="A88" s="34" t="str">
        <f>Agriculture!A63</f>
        <v>Agriculture</v>
      </c>
      <c r="B88" s="40" t="str">
        <f>Agriculture!B63</f>
        <v>Agricultural other</v>
      </c>
      <c r="C88" s="34" t="str">
        <f>Agriculture!C63</f>
        <v>NL</v>
      </c>
      <c r="D88" s="40" t="str">
        <f>Agriculture!D63</f>
        <v>PS</v>
      </c>
      <c r="E88" s="1182">
        <f>Agriculture!E63</f>
        <v>1</v>
      </c>
      <c r="F88" s="168">
        <f>Agriculture!F63</f>
        <v>2</v>
      </c>
      <c r="G88" s="34" t="str">
        <f>Agriculture!G63</f>
        <v>Urbanus, J.H., Brunner, A., Boersma, A., Henke, S., Kooter, I., Lensen, S., Parker, L., Schwarz, A., Imhof, P., Dortmans, A., Wijngaard, M., 2022. Autobanden, verpakkingen en landbouwfolie zijn in Nederland de grootste bronnen van microplastics. TNO.</v>
      </c>
      <c r="H88" s="29">
        <v>1</v>
      </c>
      <c r="I88" s="9"/>
      <c r="J88" s="9">
        <v>2</v>
      </c>
      <c r="K88" s="9">
        <v>1</v>
      </c>
      <c r="L88" s="9">
        <v>1</v>
      </c>
      <c r="M88" s="9">
        <v>2</v>
      </c>
      <c r="N88" s="185">
        <f>IF( OR( ISBLANK(H88),ISBLANK(J88), ISBLANK(K88), ISBLANK(L88), ISBLANK(M88) ), "", 1.5*SQRT(   EXP(2.21*(H88-1)) + EXP(2.21*(J88-1)) + EXP(2.21*(K88-1)) + EXP(2.21*(L88-1)) + EXP(2.21*M88)   )/100*2.45 )</f>
        <v>0.35859414261160716</v>
      </c>
      <c r="O88" s="159" t="str">
        <f>IF( OR( ISBLANK(I88),ISBLANK(J88), ISBLANK(K88), ISBLANK(L88), ISBLANK(M88) ), "", 1.5*SQRT( EXP(2.21*(I88-1)) + EXP(2.21*(J88-1)) + EXP(2.21*(K88-1)) + EXP(2.21*(L88-1)) + EXP(2.21*M88)   )/100*2.45 )</f>
        <v/>
      </c>
      <c r="P88" s="34"/>
    </row>
    <row r="89" spans="1:16">
      <c r="A89" s="34" t="str">
        <f>Agriculture!A64</f>
        <v>Agriculture</v>
      </c>
      <c r="B89" s="40" t="str">
        <f>Agriculture!B64</f>
        <v>Agricultural other</v>
      </c>
      <c r="C89" s="34" t="str">
        <f>Agriculture!C64</f>
        <v>NL</v>
      </c>
      <c r="D89" s="40" t="str">
        <f>Agriculture!D64</f>
        <v>PP</v>
      </c>
      <c r="E89" s="1182">
        <f>Agriculture!E64</f>
        <v>1</v>
      </c>
      <c r="F89" s="168">
        <f>Agriculture!F64</f>
        <v>2</v>
      </c>
      <c r="G89" s="34" t="str">
        <f>Agriculture!G64</f>
        <v>Urbanus, J.H., Brunner, A., Boersma, A., Henke, S., Kooter, I., Lensen, S., Parker, L., Schwarz, A., Imhof, P., Dortmans, A., Wijngaard, M., 2022. Autobanden, verpakkingen en landbouwfolie zijn in Nederland de grootste bronnen van microplastics. TNO.</v>
      </c>
      <c r="H89" s="29">
        <v>1</v>
      </c>
      <c r="I89" s="9"/>
      <c r="J89" s="9">
        <v>2</v>
      </c>
      <c r="K89" s="9">
        <v>1</v>
      </c>
      <c r="L89" s="9">
        <v>1</v>
      </c>
      <c r="M89" s="9">
        <v>2</v>
      </c>
      <c r="N89" s="185">
        <f>IF( OR( ISBLANK(H89),ISBLANK(J89), ISBLANK(K89), ISBLANK(L89), ISBLANK(M89) ), "", 1.5*SQRT(   EXP(2.21*(H89-1)) + EXP(2.21*(J89-1)) + EXP(2.21*(K89-1)) + EXP(2.21*(L89-1)) + EXP(2.21*M89)   )/100*2.45 )</f>
        <v>0.35859414261160716</v>
      </c>
      <c r="O89" s="159" t="str">
        <f>IF( OR( ISBLANK(I89),ISBLANK(J89), ISBLANK(K89), ISBLANK(L89), ISBLANK(M89) ), "", 1.5*SQRT( EXP(2.21*(I89-1)) + EXP(2.21*(J89-1)) + EXP(2.21*(K89-1)) + EXP(2.21*(L89-1)) + EXP(2.21*M89)   )/100*2.45 )</f>
        <v/>
      </c>
      <c r="P89" s="34"/>
    </row>
    <row r="90" spans="1:16">
      <c r="A90" s="34" t="str">
        <f>Agriculture!A65</f>
        <v>Agriculture</v>
      </c>
      <c r="B90" s="40" t="str">
        <f>Agriculture!B65</f>
        <v>Agricultural other</v>
      </c>
      <c r="C90" s="34" t="str">
        <f>Agriculture!C65</f>
        <v>NL</v>
      </c>
      <c r="D90" s="40" t="str">
        <f>Agriculture!D65</f>
        <v>LDPE</v>
      </c>
      <c r="E90" s="1182">
        <f>Agriculture!E65</f>
        <v>8.6056019698713113E-2</v>
      </c>
      <c r="F90" s="168">
        <f>Agriculture!F65</f>
        <v>2</v>
      </c>
      <c r="G90" s="34" t="str">
        <f>Agriculture!G65</f>
        <v>Urbanus, J.H., Brunner, A., Boersma, A., Henke, S., Kooter, I., Lensen, S., Parker, L., Schwarz, A., Imhof, P., Dortmans, A., Wijngaard, M., 2022. Autobanden, verpakkingen en landbouwfolie zijn in Nederland de grootste bronnen van microplastics. TNO.</v>
      </c>
      <c r="H90" s="29">
        <v>1</v>
      </c>
      <c r="I90" s="9"/>
      <c r="J90" s="9">
        <v>2</v>
      </c>
      <c r="K90" s="9">
        <v>1</v>
      </c>
      <c r="L90" s="9">
        <v>1</v>
      </c>
      <c r="M90" s="9">
        <v>2</v>
      </c>
      <c r="N90" s="185">
        <f>IF( OR( ISBLANK(H90),ISBLANK(J90), ISBLANK(K90), ISBLANK(L90), ISBLANK(M90) ), "", 1.5*SQRT(   EXP(2.21*(H90-1)) + EXP(2.21*(J90-1)) + EXP(2.21*(K90-1)) + EXP(2.21*(L90-1)) + EXP(2.21*M90)   )/100*2.45 )</f>
        <v>0.35859414261160716</v>
      </c>
      <c r="O90" s="159" t="str">
        <f>IF( OR( ISBLANK(I90),ISBLANK(J90), ISBLANK(K90), ISBLANK(L90), ISBLANK(M90) ), "", 1.5*SQRT( EXP(2.21*(I90-1)) + EXP(2.21*(J90-1)) + EXP(2.21*(K90-1)) + EXP(2.21*(L90-1)) + EXP(2.21*M90)   )/100*2.45 )</f>
        <v/>
      </c>
      <c r="P90" s="34"/>
    </row>
    <row r="91" spans="1:16">
      <c r="A91" s="34" t="str">
        <f>Agriculture!A66</f>
        <v>Agriculture</v>
      </c>
      <c r="B91" s="40" t="str">
        <f>Agriculture!B66</f>
        <v>Agricultural other</v>
      </c>
      <c r="C91" s="34" t="str">
        <f>Agriculture!C66</f>
        <v>NL</v>
      </c>
      <c r="D91" s="40" t="str">
        <f>Agriculture!D66</f>
        <v>HDPE</v>
      </c>
      <c r="E91" s="1182">
        <f>Agriculture!E66</f>
        <v>0.39319670484919866</v>
      </c>
      <c r="F91" s="168">
        <f>Agriculture!F66</f>
        <v>2</v>
      </c>
      <c r="G91" s="34" t="str">
        <f>Agriculture!G66</f>
        <v>Urbanus, J.H., Brunner, A., Boersma, A., Henke, S., Kooter, I., Lensen, S., Parker, L., Schwarz, A., Imhof, P., Dortmans, A., Wijngaard, M., 2022. Autobanden, verpakkingen en landbouwfolie zijn in Nederland de grootste bronnen van microplastics. TNO.</v>
      </c>
      <c r="H91" s="29">
        <v>1</v>
      </c>
      <c r="I91" s="9"/>
      <c r="J91" s="9">
        <v>2</v>
      </c>
      <c r="K91" s="9">
        <v>1</v>
      </c>
      <c r="L91" s="9">
        <v>1</v>
      </c>
      <c r="M91" s="9">
        <v>2</v>
      </c>
      <c r="N91" s="185">
        <f>IF( OR( ISBLANK(H91),ISBLANK(J91), ISBLANK(K91), ISBLANK(L91), ISBLANK(M91) ), "", 1.5*SQRT(   EXP(2.21*(H91-1)) + EXP(2.21*(J91-1)) + EXP(2.21*(K91-1)) + EXP(2.21*(L91-1)) + EXP(2.21*M91)   )/100*2.45 )</f>
        <v>0.35859414261160716</v>
      </c>
      <c r="O91" s="159" t="str">
        <f>IF( OR( ISBLANK(I91),ISBLANK(J91), ISBLANK(K91), ISBLANK(L91), ISBLANK(M91) ), "", 1.5*SQRT( EXP(2.21*(I91-1)) + EXP(2.21*(J91-1)) + EXP(2.21*(K91-1)) + EXP(2.21*(L91-1)) + EXP(2.21*M91)   )/100*2.45 )</f>
        <v/>
      </c>
      <c r="P91" s="34"/>
    </row>
    <row r="92" spans="1:16">
      <c r="A92" s="34" t="str">
        <f>Agriculture!A67</f>
        <v>Agriculture</v>
      </c>
      <c r="B92" s="40" t="str">
        <f>Agriculture!B67</f>
        <v>Agricultural other</v>
      </c>
      <c r="C92" s="34" t="str">
        <f>Agriculture!C67</f>
        <v>EU</v>
      </c>
      <c r="D92" s="40" t="str">
        <f>Agriculture!D67</f>
        <v>PVC</v>
      </c>
      <c r="E92" s="1182">
        <f>Agriculture!E67</f>
        <v>0.32338771379945241</v>
      </c>
      <c r="F92" s="168">
        <f>Agriculture!F67</f>
        <v>2</v>
      </c>
      <c r="G92" s="34" t="str">
        <f>Agriculture!G67</f>
        <v>Assessment of agricultural plastics and their sustainability: A call for action, 2021. . FAO. https://doi.org/10.4060/cb7856en</v>
      </c>
      <c r="H92" s="29"/>
      <c r="I92" s="9">
        <v>1</v>
      </c>
      <c r="J92" s="9">
        <v>2</v>
      </c>
      <c r="K92" s="9">
        <v>1</v>
      </c>
      <c r="L92" s="9">
        <v>1</v>
      </c>
      <c r="M92" s="9">
        <v>2</v>
      </c>
      <c r="N92" s="185" t="str">
        <f>IF( OR( ISBLANK(H92),ISBLANK(J92), ISBLANK(K92), ISBLANK(L92), ISBLANK(M92) ), "", 1.5*SQRT(   EXP(2.21*(H92-1)) + EXP(2.21*(J92-1)) + EXP(2.21*(K92-1)) + EXP(2.21*(L92-1)) + EXP(2.21*M92)   )/100*2.45 )</f>
        <v/>
      </c>
      <c r="O92" s="159">
        <f>IF( OR( ISBLANK(I92),ISBLANK(J92), ISBLANK(K92), ISBLANK(L92), ISBLANK(M92) ), "", 1.5*SQRT( EXP(2.21*(I92-1)) + EXP(2.21*(J92-1)) + EXP(2.21*(K92-1)) + EXP(2.21*(L92-1)) + EXP(2.21*M92)   )/100*2.45 )</f>
        <v>0.35859414261160716</v>
      </c>
      <c r="P92" s="34"/>
    </row>
    <row r="93" spans="1:16">
      <c r="A93" s="34" t="str">
        <f>Agriculture!A68</f>
        <v>Agriculture</v>
      </c>
      <c r="B93" s="40" t="str">
        <f>Agriculture!B68</f>
        <v>Agricultural other</v>
      </c>
      <c r="C93" s="34" t="str">
        <f>Agriculture!C68</f>
        <v>EU</v>
      </c>
      <c r="D93" s="40" t="str">
        <f>Agriculture!D68</f>
        <v>PS</v>
      </c>
      <c r="E93" s="1182">
        <f>Agriculture!E68</f>
        <v>1</v>
      </c>
      <c r="F93" s="168">
        <f>Agriculture!F68</f>
        <v>2</v>
      </c>
      <c r="G93" s="34" t="str">
        <f>Agriculture!G68</f>
        <v>Assessment of agricultural plastics and their sustainability: A call for action, 2021. . FAO. https://doi.org/10.4060/cb7856en</v>
      </c>
      <c r="H93" s="29"/>
      <c r="I93" s="9">
        <v>1</v>
      </c>
      <c r="J93" s="9">
        <v>2</v>
      </c>
      <c r="K93" s="9">
        <v>1</v>
      </c>
      <c r="L93" s="9">
        <v>1</v>
      </c>
      <c r="M93" s="9">
        <v>2</v>
      </c>
      <c r="N93" s="185" t="str">
        <f>IF( OR( ISBLANK(H93),ISBLANK(J93), ISBLANK(K93), ISBLANK(L93), ISBLANK(M93) ), "", 1.5*SQRT(   EXP(2.21*(H93-1)) + EXP(2.21*(J93-1)) + EXP(2.21*(K93-1)) + EXP(2.21*(L93-1)) + EXP(2.21*M93)   )/100*2.45 )</f>
        <v/>
      </c>
      <c r="O93" s="159">
        <f>IF( OR( ISBLANK(I93),ISBLANK(J93), ISBLANK(K93), ISBLANK(L93), ISBLANK(M93) ), "", 1.5*SQRT( EXP(2.21*(I93-1)) + EXP(2.21*(J93-1)) + EXP(2.21*(K93-1)) + EXP(2.21*(L93-1)) + EXP(2.21*M93)   )/100*2.45 )</f>
        <v>0.35859414261160716</v>
      </c>
      <c r="P93" s="34"/>
    </row>
    <row r="94" spans="1:16">
      <c r="A94" s="34" t="str">
        <f>Agriculture!A69</f>
        <v>Agriculture</v>
      </c>
      <c r="B94" s="40" t="str">
        <f>Agriculture!B69</f>
        <v>Agricultural other</v>
      </c>
      <c r="C94" s="34" t="str">
        <f>Agriculture!C69</f>
        <v>EU</v>
      </c>
      <c r="D94" s="40" t="str">
        <f>Agriculture!D69</f>
        <v>PP</v>
      </c>
      <c r="E94" s="1182">
        <f>Agriculture!E69</f>
        <v>1</v>
      </c>
      <c r="F94" s="168">
        <f>Agriculture!F69</f>
        <v>2</v>
      </c>
      <c r="G94" s="34" t="str">
        <f>Agriculture!G69</f>
        <v>Assessment of agricultural plastics and their sustainability: A call for action, 2021. . FAO. https://doi.org/10.4060/cb7856en</v>
      </c>
      <c r="H94" s="29"/>
      <c r="I94" s="9">
        <v>1</v>
      </c>
      <c r="J94" s="9">
        <v>2</v>
      </c>
      <c r="K94" s="9">
        <v>1</v>
      </c>
      <c r="L94" s="9">
        <v>1</v>
      </c>
      <c r="M94" s="9">
        <v>2</v>
      </c>
      <c r="N94" s="185" t="str">
        <f>IF( OR( ISBLANK(H94),ISBLANK(J94), ISBLANK(K94), ISBLANK(L94), ISBLANK(M94) ), "", 1.5*SQRT(   EXP(2.21*(H94-1)) + EXP(2.21*(J94-1)) + EXP(2.21*(K94-1)) + EXP(2.21*(L94-1)) + EXP(2.21*M94)   )/100*2.45 )</f>
        <v/>
      </c>
      <c r="O94" s="159">
        <f>IF( OR( ISBLANK(I94),ISBLANK(J94), ISBLANK(K94), ISBLANK(L94), ISBLANK(M94) ), "", 1.5*SQRT( EXP(2.21*(I94-1)) + EXP(2.21*(J94-1)) + EXP(2.21*(K94-1)) + EXP(2.21*(L94-1)) + EXP(2.21*M94)   )/100*2.45 )</f>
        <v>0.35859414261160716</v>
      </c>
      <c r="P94" s="34"/>
    </row>
    <row r="95" spans="1:16">
      <c r="A95" s="34" t="str">
        <f>Agriculture!A70</f>
        <v>Agriculture</v>
      </c>
      <c r="B95" s="40" t="str">
        <f>Agriculture!B70</f>
        <v>Agricultural other</v>
      </c>
      <c r="C95" s="34" t="str">
        <f>Agriculture!C70</f>
        <v>EU</v>
      </c>
      <c r="D95" s="40" t="str">
        <f>Agriculture!D70</f>
        <v>LDPE</v>
      </c>
      <c r="E95" s="1182">
        <f>Agriculture!E70</f>
        <v>9.8069487929673418E-2</v>
      </c>
      <c r="F95" s="168">
        <f>Agriculture!F70</f>
        <v>2</v>
      </c>
      <c r="G95" s="34" t="str">
        <f>Agriculture!G70</f>
        <v>Assessment of agricultural plastics and their sustainability: A call for action, 2021. . FAO. https://doi.org/10.4060/cb7856en</v>
      </c>
      <c r="H95" s="29"/>
      <c r="I95" s="9">
        <v>1</v>
      </c>
      <c r="J95" s="9">
        <v>2</v>
      </c>
      <c r="K95" s="9">
        <v>1</v>
      </c>
      <c r="L95" s="9">
        <v>1</v>
      </c>
      <c r="M95" s="9">
        <v>2</v>
      </c>
      <c r="N95" s="185" t="str">
        <f>IF( OR( ISBLANK(H95),ISBLANK(J95), ISBLANK(K95), ISBLANK(L95), ISBLANK(M95) ), "", 1.5*SQRT(   EXP(2.21*(H95-1)) + EXP(2.21*(J95-1)) + EXP(2.21*(K95-1)) + EXP(2.21*(L95-1)) + EXP(2.21*M95)   )/100*2.45 )</f>
        <v/>
      </c>
      <c r="O95" s="159">
        <f>IF( OR( ISBLANK(I95),ISBLANK(J95), ISBLANK(K95), ISBLANK(L95), ISBLANK(M95) ), "", 1.5*SQRT( EXP(2.21*(I95-1)) + EXP(2.21*(J95-1)) + EXP(2.21*(K95-1)) + EXP(2.21*(L95-1)) + EXP(2.21*M95)   )/100*2.45 )</f>
        <v>0.35859414261160716</v>
      </c>
      <c r="P95" s="34"/>
    </row>
    <row r="96" spans="1:16">
      <c r="A96" s="34" t="str">
        <f>Agriculture!A71</f>
        <v>Agriculture</v>
      </c>
      <c r="B96" s="40" t="str">
        <f>Agriculture!B71</f>
        <v>Agricultural other</v>
      </c>
      <c r="C96" s="34" t="str">
        <f>Agriculture!C71</f>
        <v>EU</v>
      </c>
      <c r="D96" s="40" t="str">
        <f>Agriculture!D71</f>
        <v>HDPE</v>
      </c>
      <c r="E96" s="1182">
        <f>Agriculture!E71</f>
        <v>0.6993112144789928</v>
      </c>
      <c r="F96" s="168">
        <f>Agriculture!F71</f>
        <v>2</v>
      </c>
      <c r="G96" s="34" t="str">
        <f>Agriculture!G71</f>
        <v>Assessment of agricultural plastics and their sustainability: A call for action, 2021. . FAO. https://doi.org/10.4060/cb7856en</v>
      </c>
      <c r="H96" s="29"/>
      <c r="I96" s="9">
        <v>1</v>
      </c>
      <c r="J96" s="9">
        <v>2</v>
      </c>
      <c r="K96" s="9">
        <v>1</v>
      </c>
      <c r="L96" s="9">
        <v>1</v>
      </c>
      <c r="M96" s="9">
        <v>2</v>
      </c>
      <c r="N96" s="185" t="str">
        <f>IF( OR( ISBLANK(H96),ISBLANK(J96), ISBLANK(K96), ISBLANK(L96), ISBLANK(M96) ), "", 1.5*SQRT(   EXP(2.21*(H96-1)) + EXP(2.21*(J96-1)) + EXP(2.21*(K96-1)) + EXP(2.21*(L96-1)) + EXP(2.21*M96)   )/100*2.45 )</f>
        <v/>
      </c>
      <c r="O96" s="159">
        <f>IF( OR( ISBLANK(I96),ISBLANK(J96), ISBLANK(K96), ISBLANK(L96), ISBLANK(M96) ), "", 1.5*SQRT( EXP(2.21*(I96-1)) + EXP(2.21*(J96-1)) + EXP(2.21*(K96-1)) + EXP(2.21*(L96-1)) + EXP(2.21*M96)   )/100*2.45 )</f>
        <v>0.35859414261160716</v>
      </c>
      <c r="P96" s="34"/>
    </row>
    <row r="97" spans="1:16">
      <c r="A97" s="34" t="str">
        <f>Agriculture!A52</f>
        <v>Agriculture</v>
      </c>
      <c r="B97" s="40" t="str">
        <f>Agriculture!B52</f>
        <v>Agricultural pipes (discarded)</v>
      </c>
      <c r="C97" s="34" t="str">
        <f>Agriculture!C52</f>
        <v>NL</v>
      </c>
      <c r="D97" s="40" t="str">
        <f>Agriculture!D52</f>
        <v>PVC</v>
      </c>
      <c r="E97" s="1182">
        <f>Agriculture!E52</f>
        <v>0.40710942904980374</v>
      </c>
      <c r="F97" s="168">
        <f>Agriculture!F52</f>
        <v>2</v>
      </c>
      <c r="G97" s="34" t="str">
        <f>Agriculture!G52</f>
        <v>Urbanus, J.H., Brunner, A., Boersma, A., Henke, S., Kooter, I., Lensen, S., Parker, L., Schwarz, A., Imhof, P., Dortmans, A., Wijngaard, M., 2022. Autobanden, verpakkingen en landbouwfolie zijn in Nederland de grootste bronnen van microplastics. TNO.</v>
      </c>
      <c r="H97" s="29">
        <v>1</v>
      </c>
      <c r="I97" s="9"/>
      <c r="J97" s="9">
        <v>2</v>
      </c>
      <c r="K97" s="9">
        <v>1</v>
      </c>
      <c r="L97" s="9">
        <v>1</v>
      </c>
      <c r="M97" s="9">
        <v>2</v>
      </c>
      <c r="N97" s="185">
        <f>IF( OR( ISBLANK(H97),ISBLANK(J97), ISBLANK(K97), ISBLANK(L97), ISBLANK(M97) ), "", 1.5*SQRT(   EXP(2.21*(H97-1)) + EXP(2.21*(J97-1)) + EXP(2.21*(K97-1)) + EXP(2.21*(L97-1)) + EXP(2.21*M97)   )/100*2.45 )</f>
        <v>0.35859414261160716</v>
      </c>
      <c r="O97" s="159" t="str">
        <f>IF( OR( ISBLANK(I97),ISBLANK(J97), ISBLANK(K97), ISBLANK(L97), ISBLANK(M97) ), "", 1.5*SQRT( EXP(2.21*(I97-1)) + EXP(2.21*(J97-1)) + EXP(2.21*(K97-1)) + EXP(2.21*(L97-1)) + EXP(2.21*M97)   )/100*2.45 )</f>
        <v/>
      </c>
      <c r="P97" s="34"/>
    </row>
    <row r="98" spans="1:16">
      <c r="A98" s="34" t="str">
        <f>Agriculture!A53</f>
        <v>Agriculture</v>
      </c>
      <c r="B98" s="40" t="str">
        <f>Agriculture!B53</f>
        <v>Agricultural pipes (discarded)</v>
      </c>
      <c r="C98" s="34" t="str">
        <f>Agriculture!C53</f>
        <v>NL</v>
      </c>
      <c r="D98" s="40" t="str">
        <f>Agriculture!D53</f>
        <v>PS</v>
      </c>
      <c r="E98" s="1182">
        <f>Agriculture!E53</f>
        <v>0</v>
      </c>
      <c r="F98" s="168">
        <f>Agriculture!F53</f>
        <v>2</v>
      </c>
      <c r="G98" s="34" t="str">
        <f>Agriculture!G53</f>
        <v>Urbanus, J.H., Brunner, A., Boersma, A., Henke, S., Kooter, I., Lensen, S., Parker, L., Schwarz, A., Imhof, P., Dortmans, A., Wijngaard, M., 2022. Autobanden, verpakkingen en landbouwfolie zijn in Nederland de grootste bronnen van microplastics. TNO.</v>
      </c>
      <c r="H98" s="29">
        <v>1</v>
      </c>
      <c r="I98" s="9"/>
      <c r="J98" s="9">
        <v>2</v>
      </c>
      <c r="K98" s="9">
        <v>1</v>
      </c>
      <c r="L98" s="9">
        <v>1</v>
      </c>
      <c r="M98" s="9">
        <v>2</v>
      </c>
      <c r="N98" s="185">
        <f>IF( OR( ISBLANK(H98),ISBLANK(J98), ISBLANK(K98), ISBLANK(L98), ISBLANK(M98) ), "", 1.5*SQRT(   EXP(2.21*(H98-1)) + EXP(2.21*(J98-1)) + EXP(2.21*(K98-1)) + EXP(2.21*(L98-1)) + EXP(2.21*M98)   )/100*2.45 )</f>
        <v>0.35859414261160716</v>
      </c>
      <c r="O98" s="159" t="str">
        <f>IF( OR( ISBLANK(I98),ISBLANK(J98), ISBLANK(K98), ISBLANK(L98), ISBLANK(M98) ), "", 1.5*SQRT( EXP(2.21*(I98-1)) + EXP(2.21*(J98-1)) + EXP(2.21*(K98-1)) + EXP(2.21*(L98-1)) + EXP(2.21*M98)   )/100*2.45 )</f>
        <v/>
      </c>
      <c r="P98" s="34"/>
    </row>
    <row r="99" spans="1:16">
      <c r="A99" s="34" t="str">
        <f>Agriculture!A54</f>
        <v>Agriculture</v>
      </c>
      <c r="B99" s="40" t="str">
        <f>Agriculture!B54</f>
        <v>Agricultural pipes (discarded)</v>
      </c>
      <c r="C99" s="34" t="str">
        <f>Agriculture!C54</f>
        <v>NL</v>
      </c>
      <c r="D99" s="40" t="str">
        <f>Agriculture!D54</f>
        <v>PP</v>
      </c>
      <c r="E99" s="1182">
        <f>Agriculture!E54</f>
        <v>0</v>
      </c>
      <c r="F99" s="168">
        <f>Agriculture!F54</f>
        <v>2</v>
      </c>
      <c r="G99" s="34" t="str">
        <f>Agriculture!G54</f>
        <v>Urbanus, J.H., Brunner, A., Boersma, A., Henke, S., Kooter, I., Lensen, S., Parker, L., Schwarz, A., Imhof, P., Dortmans, A., Wijngaard, M., 2022. Autobanden, verpakkingen en landbouwfolie zijn in Nederland de grootste bronnen van microplastics. TNO.</v>
      </c>
      <c r="H99" s="29">
        <v>1</v>
      </c>
      <c r="I99" s="9"/>
      <c r="J99" s="9">
        <v>2</v>
      </c>
      <c r="K99" s="9">
        <v>1</v>
      </c>
      <c r="L99" s="9">
        <v>1</v>
      </c>
      <c r="M99" s="9">
        <v>2</v>
      </c>
      <c r="N99" s="185">
        <f>IF( OR( ISBLANK(H99),ISBLANK(J99), ISBLANK(K99), ISBLANK(L99), ISBLANK(M99) ), "", 1.5*SQRT(   EXP(2.21*(H99-1)) + EXP(2.21*(J99-1)) + EXP(2.21*(K99-1)) + EXP(2.21*(L99-1)) + EXP(2.21*M99)   )/100*2.45 )</f>
        <v>0.35859414261160716</v>
      </c>
      <c r="O99" s="159" t="str">
        <f>IF( OR( ISBLANK(I99),ISBLANK(J99), ISBLANK(K99), ISBLANK(L99), ISBLANK(M99) ), "", 1.5*SQRT( EXP(2.21*(I99-1)) + EXP(2.21*(J99-1)) + EXP(2.21*(K99-1)) + EXP(2.21*(L99-1)) + EXP(2.21*M99)   )/100*2.45 )</f>
        <v/>
      </c>
      <c r="P99" s="34"/>
    </row>
    <row r="100" spans="1:16">
      <c r="A100" s="34" t="str">
        <f>Agriculture!A55</f>
        <v>Agriculture</v>
      </c>
      <c r="B100" s="40" t="str">
        <f>Agriculture!B55</f>
        <v>Agricultural pipes (discarded)</v>
      </c>
      <c r="C100" s="34" t="str">
        <f>Agriculture!C55</f>
        <v>NL</v>
      </c>
      <c r="D100" s="40" t="str">
        <f>Agriculture!D55</f>
        <v>LDPE</v>
      </c>
      <c r="E100" s="1182">
        <f>Agriculture!E55</f>
        <v>0.14312762142097193</v>
      </c>
      <c r="F100" s="168">
        <f>Agriculture!F55</f>
        <v>2</v>
      </c>
      <c r="G100" s="34" t="str">
        <f>Agriculture!G55</f>
        <v>Urbanus, J.H., Brunner, A., Boersma, A., Henke, S., Kooter, I., Lensen, S., Parker, L., Schwarz, A., Imhof, P., Dortmans, A., Wijngaard, M., 2022. Autobanden, verpakkingen en landbouwfolie zijn in Nederland de grootste bronnen van microplastics. TNO.</v>
      </c>
      <c r="H100" s="29">
        <v>1</v>
      </c>
      <c r="I100" s="9"/>
      <c r="J100" s="9">
        <v>2</v>
      </c>
      <c r="K100" s="9">
        <v>1</v>
      </c>
      <c r="L100" s="9">
        <v>1</v>
      </c>
      <c r="M100" s="9">
        <v>2</v>
      </c>
      <c r="N100" s="185">
        <f>IF( OR( ISBLANK(H100),ISBLANK(J100), ISBLANK(K100), ISBLANK(L100), ISBLANK(M100) ), "", 1.5*SQRT(   EXP(2.21*(H100-1)) + EXP(2.21*(J100-1)) + EXP(2.21*(K100-1)) + EXP(2.21*(L100-1)) + EXP(2.21*M100)   )/100*2.45 )</f>
        <v>0.35859414261160716</v>
      </c>
      <c r="O100" s="159" t="str">
        <f>IF( OR( ISBLANK(I100),ISBLANK(J100), ISBLANK(K100), ISBLANK(L100), ISBLANK(M100) ), "", 1.5*SQRT( EXP(2.21*(I100-1)) + EXP(2.21*(J100-1)) + EXP(2.21*(K100-1)) + EXP(2.21*(L100-1)) + EXP(2.21*M100)   )/100*2.45 )</f>
        <v/>
      </c>
      <c r="P100" s="34"/>
    </row>
    <row r="101" spans="1:16">
      <c r="A101" s="34" t="str">
        <f>Agriculture!A56</f>
        <v>Agriculture</v>
      </c>
      <c r="B101" s="40" t="str">
        <f>Agriculture!B56</f>
        <v>Agricultural pipes (discarded)</v>
      </c>
      <c r="C101" s="34" t="str">
        <f>Agriculture!C56</f>
        <v>NL</v>
      </c>
      <c r="D101" s="40" t="str">
        <f>Agriculture!D56</f>
        <v>HDPE</v>
      </c>
      <c r="E101" s="1182">
        <f>Agriculture!E56</f>
        <v>0.56173601441995114</v>
      </c>
      <c r="F101" s="168">
        <f>Agriculture!F56</f>
        <v>2</v>
      </c>
      <c r="G101" s="34" t="str">
        <f>Agriculture!G56</f>
        <v>Urbanus, J.H., Brunner, A., Boersma, A., Henke, S., Kooter, I., Lensen, S., Parker, L., Schwarz, A., Imhof, P., Dortmans, A., Wijngaard, M., 2022. Autobanden, verpakkingen en landbouwfolie zijn in Nederland de grootste bronnen van microplastics. TNO.</v>
      </c>
      <c r="H101" s="29">
        <v>1</v>
      </c>
      <c r="I101" s="9"/>
      <c r="J101" s="9">
        <v>2</v>
      </c>
      <c r="K101" s="9">
        <v>1</v>
      </c>
      <c r="L101" s="9">
        <v>1</v>
      </c>
      <c r="M101" s="9">
        <v>2</v>
      </c>
      <c r="N101" s="185">
        <f>IF( OR( ISBLANK(H101),ISBLANK(J101), ISBLANK(K101), ISBLANK(L101), ISBLANK(M101) ), "", 1.5*SQRT(   EXP(2.21*(H101-1)) + EXP(2.21*(J101-1)) + EXP(2.21*(K101-1)) + EXP(2.21*(L101-1)) + EXP(2.21*M101)   )/100*2.45 )</f>
        <v>0.35859414261160716</v>
      </c>
      <c r="O101" s="159" t="str">
        <f>IF( OR( ISBLANK(I101),ISBLANK(J101), ISBLANK(K101), ISBLANK(L101), ISBLANK(M101) ), "", 1.5*SQRT( EXP(2.21*(I101-1)) + EXP(2.21*(J101-1)) + EXP(2.21*(K101-1)) + EXP(2.21*(L101-1)) + EXP(2.21*M101)   )/100*2.45 )</f>
        <v/>
      </c>
      <c r="P101" s="34"/>
    </row>
    <row r="102" spans="1:16">
      <c r="A102" s="34" t="str">
        <f>Agriculture!A57</f>
        <v>Agriculture</v>
      </c>
      <c r="B102" s="40" t="str">
        <f>Agriculture!B57</f>
        <v>Agricultural pipes (discarded)</v>
      </c>
      <c r="C102" s="34" t="str">
        <f>Agriculture!C57</f>
        <v>EU</v>
      </c>
      <c r="D102" s="40" t="str">
        <f>Agriculture!D57</f>
        <v>PVC</v>
      </c>
      <c r="E102" s="1182">
        <f>Agriculture!E57</f>
        <v>0.16733929871138836</v>
      </c>
      <c r="F102" s="168">
        <f>Agriculture!F57</f>
        <v>2</v>
      </c>
      <c r="G102" s="34" t="str">
        <f>Agriculture!G57</f>
        <v>Assessment of agricultural plastics and their sustainability: A call for action, 2021. . FAO. https://doi.org/10.4060/cb7856en</v>
      </c>
      <c r="H102" s="29"/>
      <c r="I102" s="9">
        <v>1</v>
      </c>
      <c r="J102" s="9">
        <v>2</v>
      </c>
      <c r="K102" s="9">
        <v>1</v>
      </c>
      <c r="L102" s="9">
        <v>1</v>
      </c>
      <c r="M102" s="9">
        <v>2</v>
      </c>
      <c r="N102" s="185" t="str">
        <f>IF( OR( ISBLANK(H102),ISBLANK(J102), ISBLANK(K102), ISBLANK(L102), ISBLANK(M102) ), "", 1.5*SQRT(   EXP(2.21*(H102-1)) + EXP(2.21*(J102-1)) + EXP(2.21*(K102-1)) + EXP(2.21*(L102-1)) + EXP(2.21*M102)   )/100*2.45 )</f>
        <v/>
      </c>
      <c r="O102" s="159">
        <f>IF( OR( ISBLANK(I102),ISBLANK(J102), ISBLANK(K102), ISBLANK(L102), ISBLANK(M102) ), "", 1.5*SQRT( EXP(2.21*(I102-1)) + EXP(2.21*(J102-1)) + EXP(2.21*(K102-1)) + EXP(2.21*(L102-1)) + EXP(2.21*M102)   )/100*2.45 )</f>
        <v>0.35859414261160716</v>
      </c>
      <c r="P102" s="34"/>
    </row>
    <row r="103" spans="1:16">
      <c r="A103" s="34" t="str">
        <f>Agriculture!A58</f>
        <v>Agriculture</v>
      </c>
      <c r="B103" s="40" t="str">
        <f>Agriculture!B58</f>
        <v>Agricultural pipes (discarded)</v>
      </c>
      <c r="C103" s="34" t="str">
        <f>Agriculture!C58</f>
        <v>EU</v>
      </c>
      <c r="D103" s="40" t="str">
        <f>Agriculture!D58</f>
        <v>PS</v>
      </c>
      <c r="E103" s="1182">
        <f>Agriculture!E58</f>
        <v>0</v>
      </c>
      <c r="F103" s="168">
        <f>Agriculture!F58</f>
        <v>2</v>
      </c>
      <c r="G103" s="34" t="str">
        <f>Agriculture!G58</f>
        <v>Assessment of agricultural plastics and their sustainability: A call for action, 2021. . FAO. https://doi.org/10.4060/cb7856en</v>
      </c>
      <c r="H103" s="29"/>
      <c r="I103" s="9">
        <v>1</v>
      </c>
      <c r="J103" s="9">
        <v>2</v>
      </c>
      <c r="K103" s="9">
        <v>1</v>
      </c>
      <c r="L103" s="9">
        <v>1</v>
      </c>
      <c r="M103" s="9">
        <v>2</v>
      </c>
      <c r="N103" s="185" t="str">
        <f>IF( OR( ISBLANK(H103),ISBLANK(J103), ISBLANK(K103), ISBLANK(L103), ISBLANK(M103) ), "", 1.5*SQRT(   EXP(2.21*(H103-1)) + EXP(2.21*(J103-1)) + EXP(2.21*(K103-1)) + EXP(2.21*(L103-1)) + EXP(2.21*M103)   )/100*2.45 )</f>
        <v/>
      </c>
      <c r="O103" s="159">
        <f>IF( OR( ISBLANK(I103),ISBLANK(J103), ISBLANK(K103), ISBLANK(L103), ISBLANK(M103) ), "", 1.5*SQRT( EXP(2.21*(I103-1)) + EXP(2.21*(J103-1)) + EXP(2.21*(K103-1)) + EXP(2.21*(L103-1)) + EXP(2.21*M103)   )/100*2.45 )</f>
        <v>0.35859414261160716</v>
      </c>
      <c r="P103" s="34"/>
    </row>
    <row r="104" spans="1:16">
      <c r="A104" s="34" t="str">
        <f>Agriculture!A59</f>
        <v>Agriculture</v>
      </c>
      <c r="B104" s="40" t="str">
        <f>Agriculture!B59</f>
        <v>Agricultural pipes (discarded)</v>
      </c>
      <c r="C104" s="34" t="str">
        <f>Agriculture!C59</f>
        <v>EU</v>
      </c>
      <c r="D104" s="40" t="str">
        <f>Agriculture!D59</f>
        <v>PP</v>
      </c>
      <c r="E104" s="1182">
        <f>Agriculture!E59</f>
        <v>0</v>
      </c>
      <c r="F104" s="168">
        <f>Agriculture!F59</f>
        <v>2</v>
      </c>
      <c r="G104" s="34" t="str">
        <f>Agriculture!G59</f>
        <v>Assessment of agricultural plastics and their sustainability: A call for action, 2021. . FAO. https://doi.org/10.4060/cb7856en</v>
      </c>
      <c r="H104" s="29"/>
      <c r="I104" s="9">
        <v>1</v>
      </c>
      <c r="J104" s="9">
        <v>2</v>
      </c>
      <c r="K104" s="9">
        <v>1</v>
      </c>
      <c r="L104" s="9">
        <v>1</v>
      </c>
      <c r="M104" s="9">
        <v>2</v>
      </c>
      <c r="N104" s="185" t="str">
        <f>IF( OR( ISBLANK(H104),ISBLANK(J104), ISBLANK(K104), ISBLANK(L104), ISBLANK(M104) ), "", 1.5*SQRT(   EXP(2.21*(H104-1)) + EXP(2.21*(J104-1)) + EXP(2.21*(K104-1)) + EXP(2.21*(L104-1)) + EXP(2.21*M104)   )/100*2.45 )</f>
        <v/>
      </c>
      <c r="O104" s="159">
        <f>IF( OR( ISBLANK(I104),ISBLANK(J104), ISBLANK(K104), ISBLANK(L104), ISBLANK(M104) ), "", 1.5*SQRT( EXP(2.21*(I104-1)) + EXP(2.21*(J104-1)) + EXP(2.21*(K104-1)) + EXP(2.21*(L104-1)) + EXP(2.21*M104)   )/100*2.45 )</f>
        <v>0.35859414261160716</v>
      </c>
      <c r="P104" s="34"/>
    </row>
    <row r="105" spans="1:16">
      <c r="A105" s="34" t="str">
        <f>Agriculture!A60</f>
        <v>Agriculture</v>
      </c>
      <c r="B105" s="40" t="str">
        <f>Agriculture!B60</f>
        <v>Agricultural pipes (discarded)</v>
      </c>
      <c r="C105" s="34" t="str">
        <f>Agriculture!C60</f>
        <v>EU</v>
      </c>
      <c r="D105" s="40" t="str">
        <f>Agriculture!D60</f>
        <v>LDPE</v>
      </c>
      <c r="E105" s="1182">
        <f>Agriculture!E60</f>
        <v>4.5444861462717513E-2</v>
      </c>
      <c r="F105" s="168">
        <f>Agriculture!F60</f>
        <v>2</v>
      </c>
      <c r="G105" s="34" t="str">
        <f>Agriculture!G60</f>
        <v>Assessment of agricultural plastics and their sustainability: A call for action, 2021. . FAO. https://doi.org/10.4060/cb7856en</v>
      </c>
      <c r="H105" s="29"/>
      <c r="I105" s="9">
        <v>1</v>
      </c>
      <c r="J105" s="9">
        <v>2</v>
      </c>
      <c r="K105" s="9">
        <v>1</v>
      </c>
      <c r="L105" s="9">
        <v>1</v>
      </c>
      <c r="M105" s="9">
        <v>2</v>
      </c>
      <c r="N105" s="185" t="str">
        <f>IF( OR( ISBLANK(H105),ISBLANK(J105), ISBLANK(K105), ISBLANK(L105), ISBLANK(M105) ), "", 1.5*SQRT(   EXP(2.21*(H105-1)) + EXP(2.21*(J105-1)) + EXP(2.21*(K105-1)) + EXP(2.21*(L105-1)) + EXP(2.21*M105)   )/100*2.45 )</f>
        <v/>
      </c>
      <c r="O105" s="159">
        <f>IF( OR( ISBLANK(I105),ISBLANK(J105), ISBLANK(K105), ISBLANK(L105), ISBLANK(M105) ), "", 1.5*SQRT( EXP(2.21*(I105-1)) + EXP(2.21*(J105-1)) + EXP(2.21*(K105-1)) + EXP(2.21*(L105-1)) + EXP(2.21*M105)   )/100*2.45 )</f>
        <v>0.35859414261160716</v>
      </c>
      <c r="P105" s="34"/>
    </row>
    <row r="106" spans="1:16">
      <c r="A106" s="34" t="str">
        <f>Agriculture!A61</f>
        <v>Agriculture</v>
      </c>
      <c r="B106" s="40" t="str">
        <f>Agriculture!B61</f>
        <v>Agricultural pipes (discarded)</v>
      </c>
      <c r="C106" s="34" t="str">
        <f>Agriculture!C61</f>
        <v>EU</v>
      </c>
      <c r="D106" s="40" t="str">
        <f>Agriculture!D61</f>
        <v>HDPE</v>
      </c>
      <c r="E106" s="1182">
        <f>Agriculture!E61</f>
        <v>0.27835662942036199</v>
      </c>
      <c r="F106" s="168">
        <f>Agriculture!F61</f>
        <v>2</v>
      </c>
      <c r="G106" s="34" t="str">
        <f>Agriculture!G61</f>
        <v>Assessment of agricultural plastics and their sustainability: A call for action, 2021. . FAO. https://doi.org/10.4060/cb7856en</v>
      </c>
      <c r="H106" s="29"/>
      <c r="I106" s="9">
        <v>1</v>
      </c>
      <c r="J106" s="9">
        <v>2</v>
      </c>
      <c r="K106" s="9">
        <v>1</v>
      </c>
      <c r="L106" s="9">
        <v>1</v>
      </c>
      <c r="M106" s="9">
        <v>2</v>
      </c>
      <c r="N106" s="185" t="str">
        <f>IF( OR( ISBLANK(H106),ISBLANK(J106), ISBLANK(K106), ISBLANK(L106), ISBLANK(M106) ), "", 1.5*SQRT(   EXP(2.21*(H106-1)) + EXP(2.21*(J106-1)) + EXP(2.21*(K106-1)) + EXP(2.21*(L106-1)) + EXP(2.21*M106)   )/100*2.45 )</f>
        <v/>
      </c>
      <c r="O106" s="159">
        <f>IF( OR( ISBLANK(I106),ISBLANK(J106), ISBLANK(K106), ISBLANK(L106), ISBLANK(M106) ), "", 1.5*SQRT( EXP(2.21*(I106-1)) + EXP(2.21*(J106-1)) + EXP(2.21*(K106-1)) + EXP(2.21*(L106-1)) + EXP(2.21*M106)   )/100*2.45 )</f>
        <v>0.35859414261160716</v>
      </c>
      <c r="P106" s="34"/>
    </row>
    <row r="107" spans="1:16">
      <c r="A107" s="34" t="str">
        <f>Agriculture!A82</f>
        <v>Agriculture</v>
      </c>
      <c r="B107" s="40" t="str">
        <f>Agriculture!B82</f>
        <v>Agricultural pipes (in use)</v>
      </c>
      <c r="C107" s="34" t="str">
        <f>Agriculture!C82</f>
        <v>NL</v>
      </c>
      <c r="D107" s="40" t="str">
        <f>Agriculture!D82</f>
        <v>PVC</v>
      </c>
      <c r="E107" s="1182">
        <f>Agriculture!E82</f>
        <v>3.2661809918149924E-2</v>
      </c>
      <c r="F107" s="168">
        <f>Agriculture!F82</f>
        <v>2</v>
      </c>
      <c r="G107" s="34" t="str">
        <f>Agriculture!G82</f>
        <v>Urbanus, J.H., Brunner, A., Boersma, A., Henke, S., Kooter, I., Lensen, S., Parker, L., Schwarz, A., Imhof, P., Dortmans, A., Wijngaard, M., 2022. Autobanden, verpakkingen en landbouwfolie zijn in Nederland de grootste bronnen van microplastics. TNO.</v>
      </c>
      <c r="H107" s="806">
        <v>1</v>
      </c>
      <c r="I107" s="617"/>
      <c r="J107" s="9">
        <v>2</v>
      </c>
      <c r="K107" s="617">
        <v>1</v>
      </c>
      <c r="L107" s="617">
        <v>1</v>
      </c>
      <c r="M107" s="9">
        <v>2</v>
      </c>
      <c r="N107" s="185">
        <f>IF( OR( ISBLANK(H107),ISBLANK(J107), ISBLANK(K107), ISBLANK(L107), ISBLANK(M107) ), "", 1.5*SQRT(   EXP(2.21*(H107-1)) + EXP(2.21*(J107-1)) + EXP(2.21*(K107-1)) + EXP(2.21*(L107-1)) + EXP(2.21*M107)   )/100*2.45 )</f>
        <v>0.35859414261160716</v>
      </c>
      <c r="O107" s="159" t="str">
        <f>IF( OR( ISBLANK(I107),ISBLANK(J107), ISBLANK(K107), ISBLANK(L107), ISBLANK(M107) ), "", 1.5*SQRT( EXP(2.21*(I107-1)) + EXP(2.21*(J107-1)) + EXP(2.21*(K107-1)) + EXP(2.21*(L107-1)) + EXP(2.21*M107)   )/100*2.45 )</f>
        <v/>
      </c>
      <c r="P107" s="34"/>
    </row>
    <row r="108" spans="1:16">
      <c r="A108" s="34" t="str">
        <f>Agriculture!A83</f>
        <v>Agriculture</v>
      </c>
      <c r="B108" s="40" t="str">
        <f>Agriculture!B83</f>
        <v>Agricultural pipes (in use)</v>
      </c>
      <c r="C108" s="34" t="str">
        <f>Agriculture!C83</f>
        <v>NL</v>
      </c>
      <c r="D108" s="40" t="str">
        <f>Agriculture!D83</f>
        <v>PS</v>
      </c>
      <c r="E108" s="1182">
        <f>Agriculture!E83</f>
        <v>0</v>
      </c>
      <c r="F108" s="168">
        <f>Agriculture!F83</f>
        <v>2</v>
      </c>
      <c r="G108" s="34" t="str">
        <f>Agriculture!G83</f>
        <v>Urbanus, J.H., Brunner, A., Boersma, A., Henke, S., Kooter, I., Lensen, S., Parker, L., Schwarz, A., Imhof, P., Dortmans, A., Wijngaard, M., 2022. Autobanden, verpakkingen en landbouwfolie zijn in Nederland de grootste bronnen van microplastics. TNO.</v>
      </c>
      <c r="H108" s="806">
        <v>1</v>
      </c>
      <c r="I108" s="617"/>
      <c r="J108" s="9">
        <v>2</v>
      </c>
      <c r="K108" s="617">
        <v>1</v>
      </c>
      <c r="L108" s="617">
        <v>1</v>
      </c>
      <c r="M108" s="9">
        <v>2</v>
      </c>
      <c r="N108" s="185">
        <f>IF( OR( ISBLANK(H108),ISBLANK(J108), ISBLANK(K108), ISBLANK(L108), ISBLANK(M108) ), "", 1.5*SQRT(   EXP(2.21*(H108-1)) + EXP(2.21*(J108-1)) + EXP(2.21*(K108-1)) + EXP(2.21*(L108-1)) + EXP(2.21*M108)   )/100*2.45 )</f>
        <v>0.35859414261160716</v>
      </c>
      <c r="O108" s="159" t="str">
        <f>IF( OR( ISBLANK(I108),ISBLANK(J108), ISBLANK(K108), ISBLANK(L108), ISBLANK(M108) ), "", 1.5*SQRT( EXP(2.21*(I108-1)) + EXP(2.21*(J108-1)) + EXP(2.21*(K108-1)) + EXP(2.21*(L108-1)) + EXP(2.21*M108)   )/100*2.45 )</f>
        <v/>
      </c>
      <c r="P108" s="34"/>
    </row>
    <row r="109" spans="1:16">
      <c r="A109" s="34" t="str">
        <f>Agriculture!A84</f>
        <v>Agriculture</v>
      </c>
      <c r="B109" s="40" t="str">
        <f>Agriculture!B84</f>
        <v>Agricultural pipes (in use)</v>
      </c>
      <c r="C109" s="34" t="str">
        <f>Agriculture!C84</f>
        <v>NL</v>
      </c>
      <c r="D109" s="40" t="str">
        <f>Agriculture!D84</f>
        <v>PP</v>
      </c>
      <c r="E109" s="1182">
        <f>Agriculture!E84</f>
        <v>0</v>
      </c>
      <c r="F109" s="168">
        <f>Agriculture!F84</f>
        <v>2</v>
      </c>
      <c r="G109" s="34" t="str">
        <f>Agriculture!G84</f>
        <v>Urbanus, J.H., Brunner, A., Boersma, A., Henke, S., Kooter, I., Lensen, S., Parker, L., Schwarz, A., Imhof, P., Dortmans, A., Wijngaard, M., 2022. Autobanden, verpakkingen en landbouwfolie zijn in Nederland de grootste bronnen van microplastics. TNO.</v>
      </c>
      <c r="H109" s="806">
        <v>1</v>
      </c>
      <c r="I109" s="617"/>
      <c r="J109" s="9">
        <v>2</v>
      </c>
      <c r="K109" s="617">
        <v>1</v>
      </c>
      <c r="L109" s="617">
        <v>1</v>
      </c>
      <c r="M109" s="9">
        <v>2</v>
      </c>
      <c r="N109" s="185">
        <f>IF( OR( ISBLANK(H109),ISBLANK(J109), ISBLANK(K109), ISBLANK(L109), ISBLANK(M109) ), "", 1.5*SQRT(   EXP(2.21*(H109-1)) + EXP(2.21*(J109-1)) + EXP(2.21*(K109-1)) + EXP(2.21*(L109-1)) + EXP(2.21*M109)   )/100*2.45 )</f>
        <v>0.35859414261160716</v>
      </c>
      <c r="O109" s="159" t="str">
        <f>IF( OR( ISBLANK(I109),ISBLANK(J109), ISBLANK(K109), ISBLANK(L109), ISBLANK(M109) ), "", 1.5*SQRT( EXP(2.21*(I109-1)) + EXP(2.21*(J109-1)) + EXP(2.21*(K109-1)) + EXP(2.21*(L109-1)) + EXP(2.21*M109)   )/100*2.45 )</f>
        <v/>
      </c>
      <c r="P109" s="34"/>
    </row>
    <row r="110" spans="1:16">
      <c r="A110" s="34" t="str">
        <f>Agriculture!A85</f>
        <v>Agriculture</v>
      </c>
      <c r="B110" s="40" t="str">
        <f>Agriculture!B85</f>
        <v>Agricultural pipes (in use)</v>
      </c>
      <c r="C110" s="34" t="str">
        <f>Agriculture!C85</f>
        <v>NL</v>
      </c>
      <c r="D110" s="40" t="str">
        <f>Agriculture!D85</f>
        <v>LDPE</v>
      </c>
      <c r="E110" s="1182">
        <f>Agriculture!E85</f>
        <v>1.1482925305365051E-2</v>
      </c>
      <c r="F110" s="168">
        <f>Agriculture!F85</f>
        <v>2</v>
      </c>
      <c r="G110" s="34" t="str">
        <f>Agriculture!G85</f>
        <v>Urbanus, J.H., Brunner, A., Boersma, A., Henke, S., Kooter, I., Lensen, S., Parker, L., Schwarz, A., Imhof, P., Dortmans, A., Wijngaard, M., 2022. Autobanden, verpakkingen en landbouwfolie zijn in Nederland de grootste bronnen van microplastics. TNO.</v>
      </c>
      <c r="H110" s="806">
        <v>1</v>
      </c>
      <c r="I110" s="617"/>
      <c r="J110" s="9">
        <v>2</v>
      </c>
      <c r="K110" s="617">
        <v>1</v>
      </c>
      <c r="L110" s="617">
        <v>1</v>
      </c>
      <c r="M110" s="9">
        <v>2</v>
      </c>
      <c r="N110" s="185">
        <f>IF( OR( ISBLANK(H110),ISBLANK(J110), ISBLANK(K110), ISBLANK(L110), ISBLANK(M110) ), "", 1.5*SQRT(   EXP(2.21*(H110-1)) + EXP(2.21*(J110-1)) + EXP(2.21*(K110-1)) + EXP(2.21*(L110-1)) + EXP(2.21*M110)   )/100*2.45 )</f>
        <v>0.35859414261160716</v>
      </c>
      <c r="O110" s="159" t="str">
        <f>IF( OR( ISBLANK(I110),ISBLANK(J110), ISBLANK(K110), ISBLANK(L110), ISBLANK(M110) ), "", 1.5*SQRT( EXP(2.21*(I110-1)) + EXP(2.21*(J110-1)) + EXP(2.21*(K110-1)) + EXP(2.21*(L110-1)) + EXP(2.21*M110)   )/100*2.45 )</f>
        <v/>
      </c>
      <c r="P110" s="34"/>
    </row>
    <row r="111" spans="1:16">
      <c r="A111" s="34" t="str">
        <f>Agriculture!A86</f>
        <v>Agriculture</v>
      </c>
      <c r="B111" s="40" t="str">
        <f>Agriculture!B86</f>
        <v>Agricultural pipes (in use)</v>
      </c>
      <c r="C111" s="34" t="str">
        <f>Agriculture!C86</f>
        <v>NL</v>
      </c>
      <c r="D111" s="40" t="str">
        <f>Agriculture!D86</f>
        <v>HDPE</v>
      </c>
      <c r="E111" s="1182">
        <f>Agriculture!E86</f>
        <v>4.5067280730850014E-2</v>
      </c>
      <c r="F111" s="168">
        <f>Agriculture!F86</f>
        <v>2</v>
      </c>
      <c r="G111" s="34" t="str">
        <f>Agriculture!G86</f>
        <v>Urbanus, J.H., Brunner, A., Boersma, A., Henke, S., Kooter, I., Lensen, S., Parker, L., Schwarz, A., Imhof, P., Dortmans, A., Wijngaard, M., 2022. Autobanden, verpakkingen en landbouwfolie zijn in Nederland de grootste bronnen van microplastics. TNO.</v>
      </c>
      <c r="H111" s="806">
        <v>1</v>
      </c>
      <c r="I111" s="617"/>
      <c r="J111" s="9">
        <v>2</v>
      </c>
      <c r="K111" s="617">
        <v>1</v>
      </c>
      <c r="L111" s="617">
        <v>1</v>
      </c>
      <c r="M111" s="9">
        <v>2</v>
      </c>
      <c r="N111" s="185">
        <f>IF( OR( ISBLANK(H111),ISBLANK(J111), ISBLANK(K111), ISBLANK(L111), ISBLANK(M111) ), "", 1.5*SQRT(   EXP(2.21*(H111-1)) + EXP(2.21*(J111-1)) + EXP(2.21*(K111-1)) + EXP(2.21*(L111-1)) + EXP(2.21*M111)   )/100*2.45 )</f>
        <v>0.35859414261160716</v>
      </c>
      <c r="O111" s="159" t="str">
        <f>IF( OR( ISBLANK(I111),ISBLANK(J111), ISBLANK(K111), ISBLANK(L111), ISBLANK(M111) ), "", 1.5*SQRT( EXP(2.21*(I111-1)) + EXP(2.21*(J111-1)) + EXP(2.21*(K111-1)) + EXP(2.21*(L111-1)) + EXP(2.21*M111)   )/100*2.45 )</f>
        <v/>
      </c>
      <c r="P111" s="34"/>
    </row>
    <row r="112" spans="1:16">
      <c r="A112" s="34" t="str">
        <f>Agriculture!A87</f>
        <v>Agriculture</v>
      </c>
      <c r="B112" s="40" t="str">
        <f>Agriculture!B87</f>
        <v>Agricultural pipes (in use)</v>
      </c>
      <c r="C112" s="34" t="str">
        <f>Agriculture!C87</f>
        <v>EU</v>
      </c>
      <c r="D112" s="40" t="str">
        <f>Agriculture!D87</f>
        <v>PVC</v>
      </c>
      <c r="E112" s="1182">
        <f>Agriculture!E87</f>
        <v>1.3425393705826556E-2</v>
      </c>
      <c r="F112" s="168">
        <f>Agriculture!F87</f>
        <v>2</v>
      </c>
      <c r="G112" s="34" t="str">
        <f>Agriculture!G87</f>
        <v>Assessment of agricultural plastics and their sustainability: A call for action, 2021. . FAO. https://doi.org/10.4060/cb7856en</v>
      </c>
      <c r="H112" s="806"/>
      <c r="I112" s="617">
        <v>1</v>
      </c>
      <c r="J112" s="9">
        <v>2</v>
      </c>
      <c r="K112" s="617">
        <v>1</v>
      </c>
      <c r="L112" s="617">
        <v>1</v>
      </c>
      <c r="M112" s="9">
        <v>2</v>
      </c>
      <c r="N112" s="185" t="str">
        <f>IF( OR( ISBLANK(H112),ISBLANK(J112), ISBLANK(K112), ISBLANK(L112), ISBLANK(M112) ), "", 1.5*SQRT(   EXP(2.21*(H112-1)) + EXP(2.21*(J112-1)) + EXP(2.21*(K112-1)) + EXP(2.21*(L112-1)) + EXP(2.21*M112)   )/100*2.45 )</f>
        <v/>
      </c>
      <c r="O112" s="159">
        <f>IF( OR( ISBLANK(I112),ISBLANK(J112), ISBLANK(K112), ISBLANK(L112), ISBLANK(M112) ), "", 1.5*SQRT( EXP(2.21*(I112-1)) + EXP(2.21*(J112-1)) + EXP(2.21*(K112-1)) + EXP(2.21*(L112-1)) + EXP(2.21*M112)   )/100*2.45 )</f>
        <v>0.35859414261160716</v>
      </c>
      <c r="P112" s="34"/>
    </row>
    <row r="113" spans="1:16">
      <c r="A113" s="34" t="str">
        <f>Agriculture!A88</f>
        <v>Agriculture</v>
      </c>
      <c r="B113" s="40" t="str">
        <f>Agriculture!B88</f>
        <v>Agricultural pipes (in use)</v>
      </c>
      <c r="C113" s="34" t="str">
        <f>Agriculture!C88</f>
        <v>EU</v>
      </c>
      <c r="D113" s="40" t="str">
        <f>Agriculture!D88</f>
        <v>PS</v>
      </c>
      <c r="E113" s="1182">
        <f>Agriculture!E88</f>
        <v>0</v>
      </c>
      <c r="F113" s="168">
        <f>Agriculture!F88</f>
        <v>2</v>
      </c>
      <c r="G113" s="34" t="str">
        <f>Agriculture!G88</f>
        <v>Assessment of agricultural plastics and their sustainability: A call for action, 2021. . FAO. https://doi.org/10.4060/cb7856en</v>
      </c>
      <c r="H113" s="806"/>
      <c r="I113" s="617">
        <v>1</v>
      </c>
      <c r="J113" s="9">
        <v>2</v>
      </c>
      <c r="K113" s="617">
        <v>1</v>
      </c>
      <c r="L113" s="617">
        <v>1</v>
      </c>
      <c r="M113" s="9">
        <v>2</v>
      </c>
      <c r="N113" s="185" t="str">
        <f>IF( OR( ISBLANK(H113),ISBLANK(J113), ISBLANK(K113), ISBLANK(L113), ISBLANK(M113) ), "", 1.5*SQRT(   EXP(2.21*(H113-1)) + EXP(2.21*(J113-1)) + EXP(2.21*(K113-1)) + EXP(2.21*(L113-1)) + EXP(2.21*M113)   )/100*2.45 )</f>
        <v/>
      </c>
      <c r="O113" s="159">
        <f>IF( OR( ISBLANK(I113),ISBLANK(J113), ISBLANK(K113), ISBLANK(L113), ISBLANK(M113) ), "", 1.5*SQRT( EXP(2.21*(I113-1)) + EXP(2.21*(J113-1)) + EXP(2.21*(K113-1)) + EXP(2.21*(L113-1)) + EXP(2.21*M113)   )/100*2.45 )</f>
        <v>0.35859414261160716</v>
      </c>
      <c r="P113" s="34"/>
    </row>
    <row r="114" spans="1:16">
      <c r="A114" s="34" t="str">
        <f>Agriculture!A89</f>
        <v>Agriculture</v>
      </c>
      <c r="B114" s="40" t="str">
        <f>Agriculture!B89</f>
        <v>Agricultural pipes (in use)</v>
      </c>
      <c r="C114" s="34" t="str">
        <f>Agriculture!C89</f>
        <v>EU</v>
      </c>
      <c r="D114" s="40" t="str">
        <f>Agriculture!D89</f>
        <v>PP</v>
      </c>
      <c r="E114" s="1182">
        <f>Agriculture!E89</f>
        <v>0</v>
      </c>
      <c r="F114" s="168">
        <f>Agriculture!F89</f>
        <v>2</v>
      </c>
      <c r="G114" s="34" t="str">
        <f>Agriculture!G89</f>
        <v>Assessment of agricultural plastics and their sustainability: A call for action, 2021. . FAO. https://doi.org/10.4060/cb7856en</v>
      </c>
      <c r="H114" s="806"/>
      <c r="I114" s="617">
        <v>1</v>
      </c>
      <c r="J114" s="9">
        <v>2</v>
      </c>
      <c r="K114" s="617">
        <v>1</v>
      </c>
      <c r="L114" s="617">
        <v>1</v>
      </c>
      <c r="M114" s="9">
        <v>2</v>
      </c>
      <c r="N114" s="185" t="str">
        <f>IF( OR( ISBLANK(H114),ISBLANK(J114), ISBLANK(K114), ISBLANK(L114), ISBLANK(M114) ), "", 1.5*SQRT(   EXP(2.21*(H114-1)) + EXP(2.21*(J114-1)) + EXP(2.21*(K114-1)) + EXP(2.21*(L114-1)) + EXP(2.21*M114)   )/100*2.45 )</f>
        <v/>
      </c>
      <c r="O114" s="159">
        <f>IF( OR( ISBLANK(I114),ISBLANK(J114), ISBLANK(K114), ISBLANK(L114), ISBLANK(M114) ), "", 1.5*SQRT( EXP(2.21*(I114-1)) + EXP(2.21*(J114-1)) + EXP(2.21*(K114-1)) + EXP(2.21*(L114-1)) + EXP(2.21*M114)   )/100*2.45 )</f>
        <v>0.35859414261160716</v>
      </c>
      <c r="P114" s="34"/>
    </row>
    <row r="115" spans="1:16">
      <c r="A115" s="34" t="str">
        <f>Agriculture!A90</f>
        <v>Agriculture</v>
      </c>
      <c r="B115" s="40" t="str">
        <f>Agriculture!B90</f>
        <v>Agricultural pipes (in use)</v>
      </c>
      <c r="C115" s="34" t="str">
        <f>Agriculture!C90</f>
        <v>EU</v>
      </c>
      <c r="D115" s="40" t="str">
        <f>Agriculture!D90</f>
        <v>LDPE</v>
      </c>
      <c r="E115" s="1182">
        <f>Agriculture!E90</f>
        <v>3.6459765383384255E-3</v>
      </c>
      <c r="F115" s="168">
        <f>Agriculture!F90</f>
        <v>2</v>
      </c>
      <c r="G115" s="34" t="str">
        <f>Agriculture!G90</f>
        <v>Assessment of agricultural plastics and their sustainability: A call for action, 2021. . FAO. https://doi.org/10.4060/cb7856en</v>
      </c>
      <c r="H115" s="806"/>
      <c r="I115" s="617">
        <v>1</v>
      </c>
      <c r="J115" s="9">
        <v>2</v>
      </c>
      <c r="K115" s="617">
        <v>1</v>
      </c>
      <c r="L115" s="617">
        <v>1</v>
      </c>
      <c r="M115" s="9">
        <v>2</v>
      </c>
      <c r="N115" s="185" t="str">
        <f>IF( OR( ISBLANK(H115),ISBLANK(J115), ISBLANK(K115), ISBLANK(L115), ISBLANK(M115) ), "", 1.5*SQRT(   EXP(2.21*(H115-1)) + EXP(2.21*(J115-1)) + EXP(2.21*(K115-1)) + EXP(2.21*(L115-1)) + EXP(2.21*M115)   )/100*2.45 )</f>
        <v/>
      </c>
      <c r="O115" s="159">
        <f>IF( OR( ISBLANK(I115),ISBLANK(J115), ISBLANK(K115), ISBLANK(L115), ISBLANK(M115) ), "", 1.5*SQRT( EXP(2.21*(I115-1)) + EXP(2.21*(J115-1)) + EXP(2.21*(K115-1)) + EXP(2.21*(L115-1)) + EXP(2.21*M115)   )/100*2.45 )</f>
        <v>0.35859414261160716</v>
      </c>
      <c r="P115" s="34"/>
    </row>
    <row r="116" spans="1:16">
      <c r="A116" s="34" t="str">
        <f>Agriculture!A91</f>
        <v>Agriculture</v>
      </c>
      <c r="B116" s="40" t="str">
        <f>Agriculture!B91</f>
        <v>Agricultural pipes (in use)</v>
      </c>
      <c r="C116" s="34" t="str">
        <f>Agriculture!C91</f>
        <v>EU</v>
      </c>
      <c r="D116" s="40" t="str">
        <f>Agriculture!D91</f>
        <v>HDPE</v>
      </c>
      <c r="E116" s="1182">
        <f>Agriculture!E91</f>
        <v>2.233215610064521E-2</v>
      </c>
      <c r="F116" s="168">
        <f>Agriculture!F91</f>
        <v>2</v>
      </c>
      <c r="G116" s="34" t="str">
        <f>Agriculture!G91</f>
        <v>Assessment of agricultural plastics and their sustainability: A call for action, 2021. . FAO. https://doi.org/10.4060/cb7856en</v>
      </c>
      <c r="H116" s="806"/>
      <c r="I116" s="617">
        <v>1</v>
      </c>
      <c r="J116" s="9">
        <v>2</v>
      </c>
      <c r="K116" s="617">
        <v>1</v>
      </c>
      <c r="L116" s="617">
        <v>1</v>
      </c>
      <c r="M116" s="9">
        <v>2</v>
      </c>
      <c r="N116" s="185" t="str">
        <f>IF( OR( ISBLANK(H116),ISBLANK(J116), ISBLANK(K116), ISBLANK(L116), ISBLANK(M116) ), "", 1.5*SQRT(   EXP(2.21*(H116-1)) + EXP(2.21*(J116-1)) + EXP(2.21*(K116-1)) + EXP(2.21*(L116-1)) + EXP(2.21*M116)   )/100*2.45 )</f>
        <v/>
      </c>
      <c r="O116" s="159">
        <f>IF( OR( ISBLANK(I116),ISBLANK(J116), ISBLANK(K116), ISBLANK(L116), ISBLANK(M116) ), "", 1.5*SQRT( EXP(2.21*(I116-1)) + EXP(2.21*(J116-1)) + EXP(2.21*(K116-1)) + EXP(2.21*(L116-1)) + EXP(2.21*M116)   )/100*2.45 )</f>
        <v>0.35859414261160716</v>
      </c>
      <c r="P116" s="34"/>
    </row>
    <row r="117" spans="1:16">
      <c r="A117" s="55" t="s">
        <v>152</v>
      </c>
      <c r="B117" s="260" t="s">
        <v>153</v>
      </c>
      <c r="C117" s="55" t="s">
        <v>139</v>
      </c>
      <c r="D117" s="260" t="s">
        <v>139</v>
      </c>
      <c r="E117" s="237" t="s">
        <v>150</v>
      </c>
      <c r="F117" s="168">
        <v>1</v>
      </c>
      <c r="G117" s="55"/>
      <c r="H117" s="29"/>
      <c r="I117" s="9"/>
      <c r="J117" s="9"/>
      <c r="K117" s="9"/>
      <c r="L117" s="9"/>
      <c r="M117" s="9"/>
      <c r="N117" s="185" t="str">
        <f>IF( OR( ISBLANK(H117),ISBLANK(J117), ISBLANK(K117), ISBLANK(L117), ISBLANK(M117) ), "", 1.5*SQRT(   EXP(2.21*(H117-1)) + EXP(2.21*(J117-1)) + EXP(2.21*(K117-1)) + EXP(2.21*(L117-1)) + EXP(2.21*M117)   )/100*2.45 )</f>
        <v/>
      </c>
      <c r="O117" s="159" t="str">
        <f>IF( OR( ISBLANK(I117),ISBLANK(J117), ISBLANK(K117), ISBLANK(L117), ISBLANK(M117) ), "", 1.5*SQRT( EXP(2.21*(I117-1)) + EXP(2.21*(J117-1)) + EXP(2.21*(K117-1)) + EXP(2.21*(L117-1)) + EXP(2.21*M117)   )/100*2.45 )</f>
        <v/>
      </c>
      <c r="P117" s="34"/>
    </row>
    <row r="118" spans="1:16">
      <c r="A118" s="55" t="s">
        <v>152</v>
      </c>
      <c r="B118" s="260" t="s">
        <v>162</v>
      </c>
      <c r="C118" s="55" t="s">
        <v>139</v>
      </c>
      <c r="D118" s="260" t="s">
        <v>139</v>
      </c>
      <c r="E118" s="237">
        <v>9.8000000000000004E-2</v>
      </c>
      <c r="F118" s="168">
        <v>2</v>
      </c>
      <c r="G118" s="55" t="s">
        <v>163</v>
      </c>
      <c r="H118" s="29">
        <v>2</v>
      </c>
      <c r="I118" s="9">
        <v>2</v>
      </c>
      <c r="J118" s="9">
        <v>1</v>
      </c>
      <c r="K118" s="9">
        <v>1</v>
      </c>
      <c r="L118" s="9">
        <v>1</v>
      </c>
      <c r="M118" s="9">
        <v>3</v>
      </c>
      <c r="N118" s="185">
        <f>IF( OR( ISBLANK(H118),ISBLANK(J118), ISBLANK(K118), ISBLANK(L118), ISBLANK(M118) ), "", 1.5*SQRT(   EXP(2.21*(H118-1)) + EXP(2.21*(J118-1)) + EXP(2.21*(K118-1)) + EXP(2.21*(L118-1)) + EXP(2.21*M118)   )/100*2.45 )</f>
        <v>1.0195048044558224</v>
      </c>
      <c r="O118" s="159">
        <f>IF( OR( ISBLANK(I118),ISBLANK(J118), ISBLANK(K118), ISBLANK(L118), ISBLANK(M118) ), "", 1.5*SQRT( EXP(2.21*(I118-1)) + EXP(2.21*(J118-1)) + EXP(2.21*(K118-1)) + EXP(2.21*(L118-1)) + EXP(2.21*M118)   )/100*2.45 )</f>
        <v>1.0195048044558224</v>
      </c>
      <c r="P118" s="34" t="s">
        <v>164</v>
      </c>
    </row>
    <row r="119" spans="1:16">
      <c r="A119" s="55" t="s">
        <v>153</v>
      </c>
      <c r="B119" s="260" t="s">
        <v>165</v>
      </c>
      <c r="C119" s="55" t="s">
        <v>139</v>
      </c>
      <c r="D119" s="260" t="s">
        <v>139</v>
      </c>
      <c r="E119" s="237" t="s">
        <v>150</v>
      </c>
      <c r="F119" s="168">
        <v>1</v>
      </c>
      <c r="G119" s="55"/>
      <c r="H119" s="29"/>
      <c r="I119" s="9"/>
      <c r="J119" s="9"/>
      <c r="K119" s="9"/>
      <c r="L119" s="9"/>
      <c r="M119" s="9"/>
      <c r="N119" s="185" t="str">
        <f>IF( OR( ISBLANK(H119),ISBLANK(J119), ISBLANK(K119), ISBLANK(L119), ISBLANK(M119) ), "", 1.5*SQRT(   EXP(2.21*(H119-1)) + EXP(2.21*(J119-1)) + EXP(2.21*(K119-1)) + EXP(2.21*(L119-1)) + EXP(2.21*M119)   )/100*2.45 )</f>
        <v/>
      </c>
      <c r="O119" s="159" t="str">
        <f>IF( OR( ISBLANK(I119),ISBLANK(J119), ISBLANK(K119), ISBLANK(L119), ISBLANK(M119) ), "", 1.5*SQRT( EXP(2.21*(I119-1)) + EXP(2.21*(J119-1)) + EXP(2.21*(K119-1)) + EXP(2.21*(L119-1)) + EXP(2.21*M119)   )/100*2.45 )</f>
        <v/>
      </c>
      <c r="P119" s="34"/>
    </row>
    <row r="120" spans="1:16">
      <c r="A120" s="55" t="s">
        <v>153</v>
      </c>
      <c r="B120" s="260" t="s">
        <v>167</v>
      </c>
      <c r="C120" s="55" t="s">
        <v>139</v>
      </c>
      <c r="D120" s="260" t="s">
        <v>139</v>
      </c>
      <c r="E120" s="237">
        <v>3.7999999999999999E-2</v>
      </c>
      <c r="F120" s="168">
        <v>2</v>
      </c>
      <c r="G120" s="55" t="s">
        <v>168</v>
      </c>
      <c r="H120" s="29">
        <v>1</v>
      </c>
      <c r="I120" s="9">
        <v>2</v>
      </c>
      <c r="J120" s="9">
        <v>2</v>
      </c>
      <c r="K120" s="9">
        <v>3</v>
      </c>
      <c r="L120" s="9">
        <v>2</v>
      </c>
      <c r="M120" s="9">
        <v>2</v>
      </c>
      <c r="N120" s="185">
        <f>IF( OR( ISBLANK(H120),ISBLANK(J120), ISBLANK(K120), ISBLANK(L120), ISBLANK(M120) ), "", 1.5*SQRT(   EXP(2.21*(H120-1)) + EXP(2.21*(J120-1)) + EXP(2.21*(K120-1)) + EXP(2.21*(L120-1)) + EXP(2.21*M120)   )/100*2.45 )</f>
        <v>0.50042652380814845</v>
      </c>
      <c r="O120" s="159">
        <f>IF( OR( ISBLANK(I120),ISBLANK(J120), ISBLANK(K120), ISBLANK(L120), ISBLANK(M120) ), "", 1.5*SQRT( EXP(2.21*(I120-1)) + EXP(2.21*(J120-1)) + EXP(2.21*(K120-1)) + EXP(2.21*(L120-1)) + EXP(2.21*M120)   )/100*2.45 )</f>
        <v>0.51126068492676302</v>
      </c>
      <c r="P120" s="34" t="s">
        <v>169</v>
      </c>
    </row>
    <row r="121" spans="1:16">
      <c r="A121" s="55" t="s">
        <v>153</v>
      </c>
      <c r="B121" s="260" t="s">
        <v>204</v>
      </c>
      <c r="C121" s="55" t="s">
        <v>139</v>
      </c>
      <c r="D121" s="260" t="s">
        <v>139</v>
      </c>
      <c r="E121" s="237">
        <v>2.7E-4</v>
      </c>
      <c r="F121" s="168">
        <v>2</v>
      </c>
      <c r="G121" s="55"/>
      <c r="H121" s="29">
        <v>2</v>
      </c>
      <c r="I121" s="9">
        <v>2</v>
      </c>
      <c r="J121" s="9">
        <v>2</v>
      </c>
      <c r="K121" s="9">
        <v>3</v>
      </c>
      <c r="L121" s="9">
        <v>3</v>
      </c>
      <c r="M121" s="9">
        <v>3</v>
      </c>
      <c r="N121" s="185">
        <f>IF( OR( ISBLANK(H121),ISBLANK(J121), ISBLANK(K121), ISBLANK(L121), ISBLANK(M121) ), "", 1.5*SQRT(   EXP(2.21*(H121-1)) + EXP(2.21*(J121-1)) + EXP(2.21*(K121-1)) + EXP(2.21*(L121-1)) + EXP(2.21*M121)   )/100*2.45 )</f>
        <v>1.1278755061256258</v>
      </c>
      <c r="O121" s="159">
        <f>IF( OR( ISBLANK(I121),ISBLANK(J121), ISBLANK(K121), ISBLANK(L121), ISBLANK(M121) ), "", 1.5*SQRT( EXP(2.21*(I121-1)) + EXP(2.21*(J121-1)) + EXP(2.21*(K121-1)) + EXP(2.21*(L121-1)) + EXP(2.21*M121)   )/100*2.45 )</f>
        <v>1.1278755061256258</v>
      </c>
      <c r="P121" s="34"/>
    </row>
    <row r="122" spans="1:16">
      <c r="A122" s="55" t="s">
        <v>162</v>
      </c>
      <c r="B122" s="260" t="s">
        <v>146</v>
      </c>
      <c r="C122" s="55" t="s">
        <v>139</v>
      </c>
      <c r="D122" s="260" t="s">
        <v>139</v>
      </c>
      <c r="E122" s="237">
        <v>0.86734693877551028</v>
      </c>
      <c r="F122" s="168">
        <v>2</v>
      </c>
      <c r="G122" s="55" t="s">
        <v>163</v>
      </c>
      <c r="H122" s="29">
        <v>2</v>
      </c>
      <c r="I122" s="9">
        <v>2</v>
      </c>
      <c r="J122" s="9">
        <v>1</v>
      </c>
      <c r="K122" s="9">
        <v>1</v>
      </c>
      <c r="L122" s="9">
        <v>1</v>
      </c>
      <c r="M122" s="9">
        <v>3</v>
      </c>
      <c r="N122" s="185">
        <f>IF( OR( ISBLANK(H122),ISBLANK(J122), ISBLANK(K122), ISBLANK(L122), ISBLANK(M122) ), "", 1.5*SQRT(   EXP(2.21*(H122-1)) + EXP(2.21*(J122-1)) + EXP(2.21*(K122-1)) + EXP(2.21*(L122-1)) + EXP(2.21*M122)   )/100*2.45 )</f>
        <v>1.0195048044558224</v>
      </c>
      <c r="O122" s="159">
        <f>IF( OR( ISBLANK(I122),ISBLANK(J122), ISBLANK(K122), ISBLANK(L122), ISBLANK(M122) ), "", 1.5*SQRT( EXP(2.21*(I122-1)) + EXP(2.21*(J122-1)) + EXP(2.21*(K122-1)) + EXP(2.21*(L122-1)) + EXP(2.21*M122)   )/100*2.45 )</f>
        <v>1.0195048044558224</v>
      </c>
      <c r="P122" s="34" t="s">
        <v>148</v>
      </c>
    </row>
    <row r="123" spans="1:16">
      <c r="A123" s="55" t="s">
        <v>162</v>
      </c>
      <c r="B123" s="260" t="s">
        <v>155</v>
      </c>
      <c r="C123" s="55" t="s">
        <v>139</v>
      </c>
      <c r="D123" s="260" t="s">
        <v>139</v>
      </c>
      <c r="E123" s="237" t="s">
        <v>150</v>
      </c>
      <c r="F123" s="168">
        <v>1</v>
      </c>
      <c r="G123" s="55"/>
      <c r="H123" s="29"/>
      <c r="I123" s="9"/>
      <c r="J123" s="9"/>
      <c r="K123" s="9"/>
      <c r="L123" s="9"/>
      <c r="M123" s="9"/>
      <c r="N123" s="185" t="str">
        <f>IF( OR( ISBLANK(H123),ISBLANK(J123), ISBLANK(K123), ISBLANK(L123), ISBLANK(M123) ), "", 1.5*SQRT(   EXP(2.21*(H123-1)) + EXP(2.21*(J123-1)) + EXP(2.21*(K123-1)) + EXP(2.21*(L123-1)) + EXP(2.21*M123)   )/100*2.45 )</f>
        <v/>
      </c>
      <c r="O123" s="159" t="str">
        <f>IF( OR( ISBLANK(I123),ISBLANK(J123), ISBLANK(K123), ISBLANK(L123), ISBLANK(M123) ), "", 1.5*SQRT( EXP(2.21*(I123-1)) + EXP(2.21*(J123-1)) + EXP(2.21*(K123-1)) + EXP(2.21*(L123-1)) + EXP(2.21*M123)   )/100*2.45 )</f>
        <v/>
      </c>
      <c r="P123" s="34"/>
    </row>
    <row r="124" spans="1:16">
      <c r="A124" s="34" t="str">
        <f>Clothing!A483</f>
        <v>Apparel accessories</v>
      </c>
      <c r="B124" s="40" t="str">
        <f>Clothing!B483</f>
        <v>Clothing not washed (in use)</v>
      </c>
      <c r="C124" s="34" t="str">
        <f>Clothing!C483</f>
        <v>any</v>
      </c>
      <c r="D124" s="40" t="str">
        <f>Clothing!D483</f>
        <v>any</v>
      </c>
      <c r="E124" s="34">
        <f>Clothing!E483</f>
        <v>3.0249999999999999E-3</v>
      </c>
      <c r="F124" s="40">
        <f>Clothing!F483</f>
        <v>2</v>
      </c>
      <c r="G124" s="34" t="str">
        <f>Clothing!G483</f>
        <v>Average loss during wear, Kawecki et al. 2019, SI table 17</v>
      </c>
      <c r="H124" s="1188">
        <f>Clothing!H483</f>
        <v>2</v>
      </c>
      <c r="I124" s="307">
        <f>Clothing!I483</f>
        <v>2</v>
      </c>
      <c r="J124" s="307">
        <f>Clothing!J483</f>
        <v>2</v>
      </c>
      <c r="K124" s="307">
        <f>Clothing!K483</f>
        <v>2</v>
      </c>
      <c r="L124" s="307">
        <f>Clothing!L483</f>
        <v>2</v>
      </c>
      <c r="M124" s="307">
        <f>Clothing!M483</f>
        <v>2</v>
      </c>
      <c r="N124" s="185">
        <f>IF( OR( ISBLANK(H124),ISBLANK(J124), ISBLANK(K124), ISBLANK(L124), ISBLANK(M124) ), "", 1.5*SQRT(   EXP(2.21*(H124-1)) + EXP(2.21*(J124-1)) + EXP(2.21*(K124-1)) + EXP(2.21*(L124-1)) + EXP(2.21*M124)   )/100*2.45 )</f>
        <v>0.40183591897512122</v>
      </c>
      <c r="O124" s="159">
        <f>IF( OR( ISBLANK(I124),ISBLANK(J124), ISBLANK(K124), ISBLANK(L124), ISBLANK(M124) ), "", 1.5*SQRT( EXP(2.21*(I124-1)) + EXP(2.21*(J124-1)) + EXP(2.21*(K124-1)) + EXP(2.21*(L124-1)) + EXP(2.21*M124)   )/100*2.45 )</f>
        <v>0.40183591897512122</v>
      </c>
      <c r="P124" s="973"/>
    </row>
    <row r="125" spans="1:16">
      <c r="A125" s="34" t="str">
        <f>Clothing!A484</f>
        <v>Apparel accessories</v>
      </c>
      <c r="B125" s="40" t="str">
        <f>Clothing!B484</f>
        <v>Clothing not washed (discarded)</v>
      </c>
      <c r="C125" s="34" t="str">
        <f>Clothing!C484</f>
        <v>any</v>
      </c>
      <c r="D125" s="40" t="str">
        <f>Clothing!D484</f>
        <v>any</v>
      </c>
      <c r="E125" s="34" t="str">
        <f>Clothing!E484</f>
        <v>rest</v>
      </c>
      <c r="F125" s="40">
        <f>Clothing!F484</f>
        <v>1</v>
      </c>
      <c r="G125" s="34"/>
      <c r="H125" s="1188"/>
      <c r="I125" s="307"/>
      <c r="J125" s="307"/>
      <c r="K125" s="307"/>
      <c r="L125" s="307"/>
      <c r="M125" s="307"/>
      <c r="N125" s="185" t="str">
        <f>IF( OR( ISBLANK(H125),ISBLANK(J125), ISBLANK(K125), ISBLANK(L125), ISBLANK(M125) ), "", 1.5*SQRT(   EXP(2.21*(H125-1)) + EXP(2.21*(J125-1)) + EXP(2.21*(K125-1)) + EXP(2.21*(L125-1)) + EXP(2.21*M125)   )/100*2.45 )</f>
        <v/>
      </c>
      <c r="O125" s="159" t="str">
        <f>IF( OR( ISBLANK(I125),ISBLANK(J125), ISBLANK(K125), ISBLANK(L125), ISBLANK(M125) ), "", 1.5*SQRT( EXP(2.21*(I125-1)) + EXP(2.21*(J125-1)) + EXP(2.21*(K125-1)) + EXP(2.21*(L125-1)) + EXP(2.21*M125)   )/100*2.45 )</f>
        <v/>
      </c>
      <c r="P125" s="973"/>
    </row>
    <row r="126" spans="1:16">
      <c r="A126" s="34" t="str">
        <f>Clothing!A524</f>
        <v>Boots</v>
      </c>
      <c r="B126" s="40" t="str">
        <f>Clothing!B524</f>
        <v>Mixed waste collection</v>
      </c>
      <c r="C126" s="34" t="str">
        <f>Clothing!C524</f>
        <v>any</v>
      </c>
      <c r="D126" s="40" t="str">
        <f>Clothing!D524</f>
        <v>any</v>
      </c>
      <c r="E126" s="34" t="str">
        <f>Clothing!E524</f>
        <v>rest</v>
      </c>
      <c r="F126" s="40">
        <f>Clothing!F524</f>
        <v>1</v>
      </c>
      <c r="G126" s="34"/>
      <c r="H126" s="1188"/>
      <c r="I126" s="307"/>
      <c r="J126" s="307"/>
      <c r="K126" s="307"/>
      <c r="L126" s="307"/>
      <c r="M126" s="307"/>
      <c r="N126" s="185" t="str">
        <f>IF( OR( ISBLANK(H126),ISBLANK(J126), ISBLANK(K126), ISBLANK(L126), ISBLANK(M126) ), "", 1.5*SQRT(   EXP(2.21*(H126-1)) + EXP(2.21*(J126-1)) + EXP(2.21*(K126-1)) + EXP(2.21*(L126-1)) + EXP(2.21*M126)   )/100*2.45 )</f>
        <v/>
      </c>
      <c r="O126" s="159" t="str">
        <f>IF( OR( ISBLANK(I126),ISBLANK(J126), ISBLANK(K126), ISBLANK(L126), ISBLANK(M126) ), "", 1.5*SQRT( EXP(2.21*(I126-1)) + EXP(2.21*(J126-1)) + EXP(2.21*(K126-1)) + EXP(2.21*(L126-1)) + EXP(2.21*M126)   )/100*2.45 )</f>
        <v/>
      </c>
      <c r="P126" s="973"/>
    </row>
    <row r="127" spans="1:16">
      <c r="A127" s="34" t="str">
        <f>Clothing!A523</f>
        <v>Boots</v>
      </c>
      <c r="B127" s="40" t="str">
        <f>Clothing!B523</f>
        <v>Footwear waste collection</v>
      </c>
      <c r="C127" s="34" t="str">
        <f>Clothing!C523</f>
        <v>any</v>
      </c>
      <c r="D127" s="40" t="str">
        <f>Clothing!D523</f>
        <v>any</v>
      </c>
      <c r="E127" s="34">
        <f>Clothing!E523</f>
        <v>0.25</v>
      </c>
      <c r="F127" s="40">
        <f>Clothing!F523</f>
        <v>2</v>
      </c>
      <c r="G127" s="34" t="str">
        <f>Clothing!G523</f>
        <v>(de Waart et al., 2023)</v>
      </c>
      <c r="H127" s="1188">
        <f>Clothing!H523</f>
        <v>2</v>
      </c>
      <c r="I127" s="307">
        <f>Clothing!I523</f>
        <v>2</v>
      </c>
      <c r="J127" s="307">
        <f>Clothing!J523</f>
        <v>2</v>
      </c>
      <c r="K127" s="307">
        <f>Clothing!K523</f>
        <v>3</v>
      </c>
      <c r="L127" s="307">
        <f>Clothing!L523</f>
        <v>2</v>
      </c>
      <c r="M127" s="307">
        <f>Clothing!M523</f>
        <v>2</v>
      </c>
      <c r="N127" s="185">
        <f>IF( OR( ISBLANK(H127),ISBLANK(J127), ISBLANK(K127), ISBLANK(L127), ISBLANK(M127) ), "", 1.5*SQRT(   EXP(2.21*(H127-1)) + EXP(2.21*(J127-1)) + EXP(2.21*(K127-1)) + EXP(2.21*(L127-1)) + EXP(2.21*M127)   )/100*2.45 )</f>
        <v>0.51126068492676302</v>
      </c>
      <c r="O127" s="159">
        <f>IF( OR( ISBLANK(I127),ISBLANK(J127), ISBLANK(K127), ISBLANK(L127), ISBLANK(M127) ), "", 1.5*SQRT( EXP(2.21*(I127-1)) + EXP(2.21*(J127-1)) + EXP(2.21*(K127-1)) + EXP(2.21*(L127-1)) + EXP(2.21*M127)   )/100*2.45 )</f>
        <v>0.51126068492676302</v>
      </c>
      <c r="P127" s="973"/>
    </row>
    <row r="128" spans="1:16">
      <c r="A128" s="34" t="str">
        <f>Clothing!A525</f>
        <v>Boots</v>
      </c>
      <c r="B128" s="40" t="str">
        <f>Clothing!B525</f>
        <v>Dumping</v>
      </c>
      <c r="C128" s="34" t="str">
        <f>Clothing!C525</f>
        <v>any</v>
      </c>
      <c r="D128" s="40" t="str">
        <f>Clothing!D525</f>
        <v>any</v>
      </c>
      <c r="E128" s="34">
        <f>Clothing!E525</f>
        <v>2.6918324999999996E-4</v>
      </c>
      <c r="F128" s="40">
        <f>Clothing!F525</f>
        <v>2</v>
      </c>
      <c r="G128" s="34" t="str">
        <f>Clothing!G525</f>
        <v>Kawecki &amp; Nowack (2019)</v>
      </c>
      <c r="H128" s="1188">
        <f>Clothing!H525</f>
        <v>2</v>
      </c>
      <c r="I128" s="307">
        <f>Clothing!I525</f>
        <v>2</v>
      </c>
      <c r="J128" s="307">
        <f>Clothing!J525</f>
        <v>2</v>
      </c>
      <c r="K128" s="307">
        <f>Clothing!K525</f>
        <v>3</v>
      </c>
      <c r="L128" s="307">
        <f>Clothing!L525</f>
        <v>3</v>
      </c>
      <c r="M128" s="307">
        <f>Clothing!M525</f>
        <v>3</v>
      </c>
      <c r="N128" s="185">
        <f>IF( OR( ISBLANK(H128),ISBLANK(J128), ISBLANK(K128), ISBLANK(L128), ISBLANK(M128) ), "", 1.5*SQRT(   EXP(2.21*(H128-1)) + EXP(2.21*(J128-1)) + EXP(2.21*(K128-1)) + EXP(2.21*(L128-1)) + EXP(2.21*M128)   )/100*2.45 )</f>
        <v>1.1278755061256258</v>
      </c>
      <c r="O128" s="159">
        <f>IF( OR( ISBLANK(I128),ISBLANK(J128), ISBLANK(K128), ISBLANK(L128), ISBLANK(M128) ), "", 1.5*SQRT( EXP(2.21*(I128-1)) + EXP(2.21*(J128-1)) + EXP(2.21*(K128-1)) + EXP(2.21*(L128-1)) + EXP(2.21*M128)   )/100*2.45 )</f>
        <v>1.1278755061256258</v>
      </c>
      <c r="P128" s="973"/>
    </row>
    <row r="129" spans="1:16">
      <c r="A129" s="34" t="str">
        <f>Clothing!A526</f>
        <v>Boots</v>
      </c>
      <c r="B129" s="40" t="str">
        <f>Clothing!B526</f>
        <v>Footwear wearing (soles)</v>
      </c>
      <c r="C129" s="34" t="str">
        <f>Clothing!C526</f>
        <v>any</v>
      </c>
      <c r="D129" s="40" t="str">
        <f>Clothing!D526</f>
        <v>RUBBER</v>
      </c>
      <c r="E129" s="34">
        <f>Clothing!E526</f>
        <v>5.7712387375211246E-3</v>
      </c>
      <c r="F129" s="40">
        <f>Clothing!F526</f>
        <v>3</v>
      </c>
      <c r="G129" s="34" t="str">
        <f>Clothing!G526</f>
        <v>See shoesole wear calculation in clothing calculations tab of MainInputFile (low estimate)</v>
      </c>
      <c r="H129" s="1188">
        <f>Clothing!H526</f>
        <v>1</v>
      </c>
      <c r="I129" s="307">
        <f>Clothing!I526</f>
        <v>2</v>
      </c>
      <c r="J129" s="307">
        <f>Clothing!J526</f>
        <v>2</v>
      </c>
      <c r="K129" s="307">
        <f>Clothing!K526</f>
        <v>2</v>
      </c>
      <c r="L129" s="307">
        <f>Clothing!L526</f>
        <v>2</v>
      </c>
      <c r="M129" s="307">
        <f>Clothing!M526</f>
        <v>3</v>
      </c>
      <c r="N129" s="185">
        <f>IF( OR( ISBLANK(H129),ISBLANK(J129), ISBLANK(K129), ISBLANK(L129), ISBLANK(M129) ), "", 1.5*SQRT(   EXP(2.21*(H129-1)) + EXP(2.21*(J129-1)) + EXP(2.21*(K129-1)) + EXP(2.21*(L129-1)) + EXP(2.21*M129)   )/100*2.45 )</f>
        <v>1.0301997916669636</v>
      </c>
      <c r="O129" s="159">
        <f>IF( OR( ISBLANK(I129),ISBLANK(J129), ISBLANK(K129), ISBLANK(L129), ISBLANK(M129) ), "", 1.5*SQRT( EXP(2.21*(I129-1)) + EXP(2.21*(J129-1)) + EXP(2.21*(K129-1)) + EXP(2.21*(L129-1)) + EXP(2.21*M129)   )/100*2.45 )</f>
        <v>1.0355058633207881</v>
      </c>
      <c r="P129" s="973"/>
    </row>
    <row r="130" spans="1:16">
      <c r="A130" s="34" t="str">
        <f>Clothing!A527</f>
        <v>Boots</v>
      </c>
      <c r="B130" s="40" t="str">
        <f>Clothing!B527</f>
        <v>Footwear wearing (soles)</v>
      </c>
      <c r="C130" s="34" t="str">
        <f>Clothing!C527</f>
        <v>any</v>
      </c>
      <c r="D130" s="40" t="str">
        <f>Clothing!D527</f>
        <v>RUBBER</v>
      </c>
      <c r="E130" s="34">
        <f>Clothing!E527</f>
        <v>1.1542477475042249E-2</v>
      </c>
      <c r="F130" s="40">
        <f>Clothing!F527</f>
        <v>3</v>
      </c>
      <c r="G130" s="34" t="str">
        <f>Clothing!G527</f>
        <v>See shoesole wear calculation in clothing calculations tab of MainInputFile (high estimate)</v>
      </c>
      <c r="H130" s="1188">
        <f>Clothing!H527</f>
        <v>1</v>
      </c>
      <c r="I130" s="307">
        <f>Clothing!I527</f>
        <v>2</v>
      </c>
      <c r="J130" s="307">
        <f>Clothing!J527</f>
        <v>2</v>
      </c>
      <c r="K130" s="307">
        <f>Clothing!K527</f>
        <v>2</v>
      </c>
      <c r="L130" s="307">
        <f>Clothing!L527</f>
        <v>2</v>
      </c>
      <c r="M130" s="307">
        <f>Clothing!M527</f>
        <v>3</v>
      </c>
      <c r="N130" s="185">
        <f>IF( OR( ISBLANK(H130),ISBLANK(J130), ISBLANK(K130), ISBLANK(L130), ISBLANK(M130) ), "", 1.5*SQRT(   EXP(2.21*(H130-1)) + EXP(2.21*(J130-1)) + EXP(2.21*(K130-1)) + EXP(2.21*(L130-1)) + EXP(2.21*M130)   )/100*2.45 )</f>
        <v>1.0301997916669636</v>
      </c>
      <c r="O130" s="159">
        <f>IF( OR( ISBLANK(I130),ISBLANK(J130), ISBLANK(K130), ISBLANK(L130), ISBLANK(M130) ), "", 1.5*SQRT( EXP(2.21*(I130-1)) + EXP(2.21*(J130-1)) + EXP(2.21*(K130-1)) + EXP(2.21*(L130-1)) + EXP(2.21*M130)   )/100*2.45 )</f>
        <v>1.0355058633207881</v>
      </c>
      <c r="P130" s="973"/>
    </row>
    <row r="131" spans="1:16">
      <c r="A131" s="34" t="str">
        <f>Clothing!A528</f>
        <v>Boots</v>
      </c>
      <c r="B131" s="40" t="str">
        <f>Clothing!B528</f>
        <v>Footwear wearing (soles)</v>
      </c>
      <c r="C131" s="34" t="str">
        <f>Clothing!C528</f>
        <v>any</v>
      </c>
      <c r="D131" s="40" t="str">
        <f>Clothing!D528</f>
        <v>PUR</v>
      </c>
      <c r="E131" s="34">
        <f>Clothing!E528</f>
        <v>2.5413504031689942E-3</v>
      </c>
      <c r="F131" s="40">
        <f>Clothing!F528</f>
        <v>3</v>
      </c>
      <c r="G131" s="34" t="str">
        <f>Clothing!G528</f>
        <v>See shoesole wear calculation in clothing calculations tab of MainInputFile (low estimate)</v>
      </c>
      <c r="H131" s="1188">
        <f>Clothing!H528</f>
        <v>1</v>
      </c>
      <c r="I131" s="307">
        <f>Clothing!I528</f>
        <v>2</v>
      </c>
      <c r="J131" s="307">
        <f>Clothing!J528</f>
        <v>2</v>
      </c>
      <c r="K131" s="307">
        <f>Clothing!K528</f>
        <v>2</v>
      </c>
      <c r="L131" s="307">
        <f>Clothing!L528</f>
        <v>2</v>
      </c>
      <c r="M131" s="307">
        <f>Clothing!M528</f>
        <v>3</v>
      </c>
      <c r="N131" s="185">
        <f>IF( OR( ISBLANK(H131),ISBLANK(J131), ISBLANK(K131), ISBLANK(L131), ISBLANK(M131) ), "", 1.5*SQRT(   EXP(2.21*(H131-1)) + EXP(2.21*(J131-1)) + EXP(2.21*(K131-1)) + EXP(2.21*(L131-1)) + EXP(2.21*M131)   )/100*2.45 )</f>
        <v>1.0301997916669636</v>
      </c>
      <c r="O131" s="159">
        <f>IF( OR( ISBLANK(I131),ISBLANK(J131), ISBLANK(K131), ISBLANK(L131), ISBLANK(M131) ), "", 1.5*SQRT( EXP(2.21*(I131-1)) + EXP(2.21*(J131-1)) + EXP(2.21*(K131-1)) + EXP(2.21*(L131-1)) + EXP(2.21*M131)   )/100*2.45 )</f>
        <v>1.0355058633207881</v>
      </c>
      <c r="P131" s="973"/>
    </row>
    <row r="132" spans="1:16">
      <c r="A132" s="34" t="str">
        <f>Clothing!A529</f>
        <v>Boots</v>
      </c>
      <c r="B132" s="40" t="str">
        <f>Clothing!B529</f>
        <v>Footwear wearing (soles)</v>
      </c>
      <c r="C132" s="34" t="str">
        <f>Clothing!C529</f>
        <v>any</v>
      </c>
      <c r="D132" s="40" t="str">
        <f>Clothing!D529</f>
        <v>PUR</v>
      </c>
      <c r="E132" s="34">
        <f>Clothing!E529</f>
        <v>5.0827008063379885E-3</v>
      </c>
      <c r="F132" s="40">
        <f>Clothing!F529</f>
        <v>3</v>
      </c>
      <c r="G132" s="34" t="str">
        <f>Clothing!G529</f>
        <v>See shoesole wear calculation in clothing calculations tab of MainInputFile (high estimate)</v>
      </c>
      <c r="H132" s="1188">
        <f>Clothing!H529</f>
        <v>1</v>
      </c>
      <c r="I132" s="307">
        <f>Clothing!I529</f>
        <v>2</v>
      </c>
      <c r="J132" s="307">
        <f>Clothing!J529</f>
        <v>2</v>
      </c>
      <c r="K132" s="307">
        <f>Clothing!K529</f>
        <v>2</v>
      </c>
      <c r="L132" s="307">
        <f>Clothing!L529</f>
        <v>2</v>
      </c>
      <c r="M132" s="307">
        <f>Clothing!M529</f>
        <v>3</v>
      </c>
      <c r="N132" s="185">
        <f>IF( OR( ISBLANK(H132),ISBLANK(J132), ISBLANK(K132), ISBLANK(L132), ISBLANK(M132) ), "", 1.5*SQRT(   EXP(2.21*(H132-1)) + EXP(2.21*(J132-1)) + EXP(2.21*(K132-1)) + EXP(2.21*(L132-1)) + EXP(2.21*M132)   )/100*2.45 )</f>
        <v>1.0301997916669636</v>
      </c>
      <c r="O132" s="159">
        <f>IF( OR( ISBLANK(I132),ISBLANK(J132), ISBLANK(K132), ISBLANK(L132), ISBLANK(M132) ), "", 1.5*SQRT( EXP(2.21*(I132-1)) + EXP(2.21*(J132-1)) + EXP(2.21*(K132-1)) + EXP(2.21*(L132-1)) + EXP(2.21*M132)   )/100*2.45 )</f>
        <v>1.0355058633207881</v>
      </c>
      <c r="P132" s="973"/>
    </row>
    <row r="133" spans="1:16">
      <c r="A133" s="34" t="str">
        <f>Clothing!A530</f>
        <v>Boots</v>
      </c>
      <c r="B133" s="40" t="str">
        <f>Clothing!B530</f>
        <v>Footwear wearing (soles)</v>
      </c>
      <c r="C133" s="34" t="str">
        <f>Clothing!C530</f>
        <v>any</v>
      </c>
      <c r="D133" s="40" t="str">
        <f>Clothing!D530</f>
        <v>EVA</v>
      </c>
      <c r="E133" s="34">
        <f>Clothing!E530</f>
        <v>2.6370870403593857E-3</v>
      </c>
      <c r="F133" s="40">
        <f>Clothing!F530</f>
        <v>3</v>
      </c>
      <c r="G133" s="34" t="str">
        <f>Clothing!G530</f>
        <v>See shoesole wear calculation in clothing calculations tab of MainInputFile (low estimate)</v>
      </c>
      <c r="H133" s="1188">
        <f>Clothing!H530</f>
        <v>1</v>
      </c>
      <c r="I133" s="307">
        <f>Clothing!I530</f>
        <v>2</v>
      </c>
      <c r="J133" s="307">
        <f>Clothing!J530</f>
        <v>2</v>
      </c>
      <c r="K133" s="307">
        <f>Clothing!K530</f>
        <v>2</v>
      </c>
      <c r="L133" s="307">
        <f>Clothing!L530</f>
        <v>2</v>
      </c>
      <c r="M133" s="307">
        <f>Clothing!M530</f>
        <v>3</v>
      </c>
      <c r="N133" s="185">
        <f>IF( OR( ISBLANK(H133),ISBLANK(J133), ISBLANK(K133), ISBLANK(L133), ISBLANK(M133) ), "", 1.5*SQRT(   EXP(2.21*(H133-1)) + EXP(2.21*(J133-1)) + EXP(2.21*(K133-1)) + EXP(2.21*(L133-1)) + EXP(2.21*M133)   )/100*2.45 )</f>
        <v>1.0301997916669636</v>
      </c>
      <c r="O133" s="159">
        <f>IF( OR( ISBLANK(I133),ISBLANK(J133), ISBLANK(K133), ISBLANK(L133), ISBLANK(M133) ), "", 1.5*SQRT( EXP(2.21*(I133-1)) + EXP(2.21*(J133-1)) + EXP(2.21*(K133-1)) + EXP(2.21*(L133-1)) + EXP(2.21*M133)   )/100*2.45 )</f>
        <v>1.0355058633207881</v>
      </c>
      <c r="P133" s="973"/>
    </row>
    <row r="134" spans="1:16">
      <c r="A134" s="34" t="str">
        <f>Clothing!A531</f>
        <v>Boots</v>
      </c>
      <c r="B134" s="40" t="str">
        <f>Clothing!B531</f>
        <v>Footwear wearing (soles)</v>
      </c>
      <c r="C134" s="34" t="str">
        <f>Clothing!C531</f>
        <v>any</v>
      </c>
      <c r="D134" s="40" t="str">
        <f>Clothing!D531</f>
        <v>EVA</v>
      </c>
      <c r="E134" s="34">
        <f>Clothing!E531</f>
        <v>5.2741740807187715E-3</v>
      </c>
      <c r="F134" s="40">
        <f>Clothing!F531</f>
        <v>3</v>
      </c>
      <c r="G134" s="34" t="str">
        <f>Clothing!G531</f>
        <v>See shoesole wear calculation in clothing calculations tab of MainInputFile (high estimate)</v>
      </c>
      <c r="H134" s="1188">
        <f>Clothing!H531</f>
        <v>1</v>
      </c>
      <c r="I134" s="307">
        <f>Clothing!I531</f>
        <v>2</v>
      </c>
      <c r="J134" s="307">
        <f>Clothing!J531</f>
        <v>2</v>
      </c>
      <c r="K134" s="307">
        <f>Clothing!K531</f>
        <v>2</v>
      </c>
      <c r="L134" s="307">
        <f>Clothing!L531</f>
        <v>2</v>
      </c>
      <c r="M134" s="307">
        <f>Clothing!M531</f>
        <v>3</v>
      </c>
      <c r="N134" s="185">
        <f>IF( OR( ISBLANK(H134),ISBLANK(J134), ISBLANK(K134), ISBLANK(L134), ISBLANK(M134) ), "", 1.5*SQRT(   EXP(2.21*(H134-1)) + EXP(2.21*(J134-1)) + EXP(2.21*(K134-1)) + EXP(2.21*(L134-1)) + EXP(2.21*M134)   )/100*2.45 )</f>
        <v>1.0301997916669636</v>
      </c>
      <c r="O134" s="159">
        <f>IF( OR( ISBLANK(I134),ISBLANK(J134), ISBLANK(K134), ISBLANK(L134), ISBLANK(M134) ), "", 1.5*SQRT( EXP(2.21*(I134-1)) + EXP(2.21*(J134-1)) + EXP(2.21*(K134-1)) + EXP(2.21*(L134-1)) + EXP(2.21*M134)   )/100*2.45 )</f>
        <v>1.0355058633207881</v>
      </c>
      <c r="P134" s="973"/>
    </row>
    <row r="135" spans="1:16">
      <c r="A135" s="34" t="str">
        <f>Clothing!A532</f>
        <v>Boots</v>
      </c>
      <c r="B135" s="40" t="str">
        <f>Clothing!B532</f>
        <v>Footwear wearing (soles)</v>
      </c>
      <c r="C135" s="34" t="str">
        <f>Clothing!C532</f>
        <v>any</v>
      </c>
      <c r="D135" s="40" t="str">
        <f>Clothing!D532</f>
        <v>PVC</v>
      </c>
      <c r="E135" s="34">
        <f>Clothing!E532</f>
        <v>3.2506855134566658E-3</v>
      </c>
      <c r="F135" s="40">
        <f>Clothing!F532</f>
        <v>3</v>
      </c>
      <c r="G135" s="34" t="str">
        <f>Clothing!G532</f>
        <v>See shoesole wear calculation in clothing calculations tab of MainInputFile (low estimate)</v>
      </c>
      <c r="H135" s="1188">
        <f>Clothing!H532</f>
        <v>1</v>
      </c>
      <c r="I135" s="307">
        <f>Clothing!I532</f>
        <v>2</v>
      </c>
      <c r="J135" s="307">
        <f>Clothing!J532</f>
        <v>2</v>
      </c>
      <c r="K135" s="307">
        <f>Clothing!K532</f>
        <v>2</v>
      </c>
      <c r="L135" s="307">
        <f>Clothing!L532</f>
        <v>2</v>
      </c>
      <c r="M135" s="307">
        <f>Clothing!M532</f>
        <v>3</v>
      </c>
      <c r="N135" s="185">
        <f>IF( OR( ISBLANK(H135),ISBLANK(J135), ISBLANK(K135), ISBLANK(L135), ISBLANK(M135) ), "", 1.5*SQRT(   EXP(2.21*(H135-1)) + EXP(2.21*(J135-1)) + EXP(2.21*(K135-1)) + EXP(2.21*(L135-1)) + EXP(2.21*M135)   )/100*2.45 )</f>
        <v>1.0301997916669636</v>
      </c>
      <c r="O135" s="159">
        <f>IF( OR( ISBLANK(I135),ISBLANK(J135), ISBLANK(K135), ISBLANK(L135), ISBLANK(M135) ), "", 1.5*SQRT( EXP(2.21*(I135-1)) + EXP(2.21*(J135-1)) + EXP(2.21*(K135-1)) + EXP(2.21*(L135-1)) + EXP(2.21*M135)   )/100*2.45 )</f>
        <v>1.0355058633207881</v>
      </c>
      <c r="P135" s="973"/>
    </row>
    <row r="136" spans="1:16">
      <c r="A136" s="34" t="str">
        <f>Clothing!A533</f>
        <v>Boots</v>
      </c>
      <c r="B136" s="40" t="str">
        <f>Clothing!B533</f>
        <v>Footwear wearing (soles)</v>
      </c>
      <c r="C136" s="34" t="str">
        <f>Clothing!C533</f>
        <v>any</v>
      </c>
      <c r="D136" s="40" t="str">
        <f>Clothing!D533</f>
        <v>PVC</v>
      </c>
      <c r="E136" s="34">
        <f>Clothing!E533</f>
        <v>6.5013710269133315E-3</v>
      </c>
      <c r="F136" s="40">
        <f>Clothing!F533</f>
        <v>3</v>
      </c>
      <c r="G136" s="34" t="str">
        <f>Clothing!G533</f>
        <v>See shoesole wear calculation in clothing calculations tab of MainInputFile (high estimate)</v>
      </c>
      <c r="H136" s="1188">
        <f>Clothing!H533</f>
        <v>1</v>
      </c>
      <c r="I136" s="307">
        <f>Clothing!I533</f>
        <v>2</v>
      </c>
      <c r="J136" s="307">
        <f>Clothing!J533</f>
        <v>2</v>
      </c>
      <c r="K136" s="307">
        <f>Clothing!K533</f>
        <v>2</v>
      </c>
      <c r="L136" s="307">
        <f>Clothing!L533</f>
        <v>2</v>
      </c>
      <c r="M136" s="307">
        <f>Clothing!M533</f>
        <v>3</v>
      </c>
      <c r="N136" s="185">
        <f>IF( OR( ISBLANK(H136),ISBLANK(J136), ISBLANK(K136), ISBLANK(L136), ISBLANK(M136) ), "", 1.5*SQRT(   EXP(2.21*(H136-1)) + EXP(2.21*(J136-1)) + EXP(2.21*(K136-1)) + EXP(2.21*(L136-1)) + EXP(2.21*M136)   )/100*2.45 )</f>
        <v>1.0301997916669636</v>
      </c>
      <c r="O136" s="159">
        <f>IF( OR( ISBLANK(I136),ISBLANK(J136), ISBLANK(K136), ISBLANK(L136), ISBLANK(M136) ), "", 1.5*SQRT( EXP(2.21*(I136-1)) + EXP(2.21*(J136-1)) + EXP(2.21*(K136-1)) + EXP(2.21*(L136-1)) + EXP(2.21*M136)   )/100*2.45 )</f>
        <v>1.0355058633207881</v>
      </c>
      <c r="P136" s="973"/>
    </row>
    <row r="137" spans="1:16">
      <c r="A137" s="34" t="str">
        <f>Clothing!A534</f>
        <v>Boots</v>
      </c>
      <c r="B137" s="40" t="str">
        <f>Clothing!B534</f>
        <v>Footwear wearing (uppers)</v>
      </c>
      <c r="C137" s="34" t="str">
        <f>Clothing!C534</f>
        <v>any</v>
      </c>
      <c r="D137" s="40" t="str">
        <f>Clothing!D534</f>
        <v>PA</v>
      </c>
      <c r="E137" s="34">
        <f>Clothing!E534</f>
        <v>3.0249999999999999E-3</v>
      </c>
      <c r="F137" s="40">
        <f>Clothing!F534</f>
        <v>3</v>
      </c>
      <c r="G137" s="34" t="str">
        <f>Clothing!G534</f>
        <v>Average loss during wear, Kawecki et al. 2019, SI table 17</v>
      </c>
      <c r="H137" s="1188">
        <f>Clothing!H534</f>
        <v>2</v>
      </c>
      <c r="I137" s="307">
        <f>Clothing!I534</f>
        <v>2</v>
      </c>
      <c r="J137" s="307">
        <f>Clothing!J534</f>
        <v>2</v>
      </c>
      <c r="K137" s="307">
        <f>Clothing!K534</f>
        <v>2</v>
      </c>
      <c r="L137" s="307">
        <f>Clothing!L534</f>
        <v>2</v>
      </c>
      <c r="M137" s="307">
        <f>Clothing!M534</f>
        <v>2</v>
      </c>
      <c r="N137" s="185">
        <f>IF( OR( ISBLANK(H137),ISBLANK(J137), ISBLANK(K137), ISBLANK(L137), ISBLANK(M137) ), "", 1.5*SQRT(   EXP(2.21*(H137-1)) + EXP(2.21*(J137-1)) + EXP(2.21*(K137-1)) + EXP(2.21*(L137-1)) + EXP(2.21*M137)   )/100*2.45 )</f>
        <v>0.40183591897512122</v>
      </c>
      <c r="O137" s="159">
        <f>IF( OR( ISBLANK(I137),ISBLANK(J137), ISBLANK(K137), ISBLANK(L137), ISBLANK(M137) ), "", 1.5*SQRT( EXP(2.21*(I137-1)) + EXP(2.21*(J137-1)) + EXP(2.21*(K137-1)) + EXP(2.21*(L137-1)) + EXP(2.21*M137)   )/100*2.45 )</f>
        <v>0.40183591897512122</v>
      </c>
      <c r="P137" s="973"/>
    </row>
    <row r="138" spans="1:16">
      <c r="A138" s="34" t="str">
        <f>Clothing!A535</f>
        <v>Boots</v>
      </c>
      <c r="B138" s="40" t="str">
        <f>Clothing!B535</f>
        <v>Footwear wearing (uppers)</v>
      </c>
      <c r="C138" s="34" t="str">
        <f>Clothing!C535</f>
        <v>any</v>
      </c>
      <c r="D138" s="40" t="str">
        <f>Clothing!D535</f>
        <v>PET</v>
      </c>
      <c r="E138" s="34">
        <f>Clothing!E535</f>
        <v>3.0249999999999999E-3</v>
      </c>
      <c r="F138" s="40">
        <f>Clothing!F535</f>
        <v>3</v>
      </c>
      <c r="G138" s="34" t="str">
        <f>Clothing!G535</f>
        <v>Average loss during wear, Kawecki et al. 2019, SI table 17</v>
      </c>
      <c r="H138" s="1188">
        <f>Clothing!H535</f>
        <v>2</v>
      </c>
      <c r="I138" s="307">
        <f>Clothing!I535</f>
        <v>2</v>
      </c>
      <c r="J138" s="307">
        <f>Clothing!J535</f>
        <v>2</v>
      </c>
      <c r="K138" s="307">
        <f>Clothing!K535</f>
        <v>2</v>
      </c>
      <c r="L138" s="307">
        <f>Clothing!L535</f>
        <v>2</v>
      </c>
      <c r="M138" s="307">
        <f>Clothing!M535</f>
        <v>2</v>
      </c>
      <c r="N138" s="185">
        <f>IF( OR( ISBLANK(H138),ISBLANK(J138), ISBLANK(K138), ISBLANK(L138), ISBLANK(M138) ), "", 1.5*SQRT(   EXP(2.21*(H138-1)) + EXP(2.21*(J138-1)) + EXP(2.21*(K138-1)) + EXP(2.21*(L138-1)) + EXP(2.21*M138)   )/100*2.45 )</f>
        <v>0.40183591897512122</v>
      </c>
      <c r="O138" s="159">
        <f>IF( OR( ISBLANK(I138),ISBLANK(J138), ISBLANK(K138), ISBLANK(L138), ISBLANK(M138) ), "", 1.5*SQRT( EXP(2.21*(I138-1)) + EXP(2.21*(J138-1)) + EXP(2.21*(K138-1)) + EXP(2.21*(L138-1)) + EXP(2.21*M138)   )/100*2.45 )</f>
        <v>0.40183591897512122</v>
      </c>
      <c r="P138" s="973"/>
    </row>
    <row r="139" spans="1:16">
      <c r="A139" s="34" t="s">
        <v>183</v>
      </c>
      <c r="B139" s="40" t="s">
        <v>175</v>
      </c>
      <c r="C139" s="34" t="s">
        <v>139</v>
      </c>
      <c r="D139" s="40" t="s">
        <v>139</v>
      </c>
      <c r="E139" s="34">
        <v>1</v>
      </c>
      <c r="F139" s="168">
        <v>1</v>
      </c>
      <c r="G139" s="34"/>
      <c r="H139" s="29"/>
      <c r="I139" s="9"/>
      <c r="J139" s="9"/>
      <c r="K139" s="9"/>
      <c r="L139" s="9"/>
      <c r="M139" s="9"/>
      <c r="N139" s="185" t="str">
        <f>IF( OR( ISBLANK(H139),ISBLANK(J139), ISBLANK(K139), ISBLANK(L139), ISBLANK(M139) ), "", 1.5*SQRT(   EXP(2.21*(H139-1)) + EXP(2.21*(J139-1)) + EXP(2.21*(K139-1)) + EXP(2.21*(L139-1)) + EXP(2.21*M139)   )/100*2.45 )</f>
        <v/>
      </c>
      <c r="O139" s="159" t="str">
        <f>IF( OR( ISBLANK(I139),ISBLANK(J139), ISBLANK(K139), ISBLANK(L139), ISBLANK(M139) ), "", 1.5*SQRT( EXP(2.21*(I139-1)) + EXP(2.21*(J139-1)) + EXP(2.21*(K139-1)) + EXP(2.21*(L139-1)) + EXP(2.21*M139)   )/100*2.45 )</f>
        <v/>
      </c>
      <c r="P139" s="973"/>
    </row>
    <row r="140" spans="1:16">
      <c r="A140" s="34" t="s">
        <v>183</v>
      </c>
      <c r="B140" s="40" t="s">
        <v>204</v>
      </c>
      <c r="C140" s="34" t="s">
        <v>139</v>
      </c>
      <c r="D140" s="40" t="s">
        <v>139</v>
      </c>
      <c r="E140" s="34">
        <v>2.7E-4</v>
      </c>
      <c r="F140" s="168">
        <v>2</v>
      </c>
      <c r="G140" s="34" t="s">
        <v>205</v>
      </c>
      <c r="H140" s="29">
        <v>1</v>
      </c>
      <c r="I140" s="9"/>
      <c r="J140" s="9">
        <v>1</v>
      </c>
      <c r="K140" s="9">
        <v>3</v>
      </c>
      <c r="L140" s="9">
        <v>3</v>
      </c>
      <c r="M140" s="9">
        <v>3</v>
      </c>
      <c r="N140" s="185">
        <f>IF( OR( ISBLANK(H140),ISBLANK(J140), ISBLANK(K140), ISBLANK(L140), ISBLANK(M140) ), "", 1.5*SQRT(   EXP(2.21*(H140-1)) + EXP(2.21*(J140-1)) + EXP(2.21*(K140-1)) + EXP(2.21*(L140-1)) + EXP(2.21*M140)   )/100*2.45 )</f>
        <v>1.1181151966036349</v>
      </c>
      <c r="O140" s="159" t="str">
        <f>IF( OR( ISBLANK(I140),ISBLANK(J140), ISBLANK(K140), ISBLANK(L140), ISBLANK(M140) ), "", 1.5*SQRT( EXP(2.21*(I140-1)) + EXP(2.21*(J140-1)) + EXP(2.21*(K140-1)) + EXP(2.21*(L140-1)) + EXP(2.21*M140)   )/100*2.45 )</f>
        <v/>
      </c>
      <c r="P140" s="973"/>
    </row>
    <row r="141" spans="1:16">
      <c r="A141" s="34" t="s">
        <v>183</v>
      </c>
      <c r="B141" s="40" t="s">
        <v>319</v>
      </c>
      <c r="C141" s="34" t="s">
        <v>139</v>
      </c>
      <c r="D141" s="40" t="s">
        <v>139</v>
      </c>
      <c r="E141" s="34">
        <v>1.2999999999999999E-3</v>
      </c>
      <c r="F141" s="168">
        <v>2</v>
      </c>
      <c r="G141" s="34" t="s">
        <v>311</v>
      </c>
      <c r="H141" s="29">
        <v>2</v>
      </c>
      <c r="I141" s="9"/>
      <c r="J141" s="9">
        <v>2</v>
      </c>
      <c r="K141" s="9">
        <v>3</v>
      </c>
      <c r="L141" s="9">
        <v>2</v>
      </c>
      <c r="M141" s="9">
        <v>2</v>
      </c>
      <c r="N141" s="185">
        <f>IF( OR( ISBLANK(H141),ISBLANK(J141), ISBLANK(K141), ISBLANK(L141), ISBLANK(M141) ), "", 1.5*SQRT(   EXP(2.21*(H141-1)) + EXP(2.21*(J141-1)) + EXP(2.21*(K141-1)) + EXP(2.21*(L141-1)) + EXP(2.21*M141)   )/100*2.45 )</f>
        <v>0.51126068492676302</v>
      </c>
      <c r="O141" s="159" t="str">
        <f>IF( OR( ISBLANK(I141),ISBLANK(J141), ISBLANK(K141), ISBLANK(L141), ISBLANK(M141) ), "", 1.5*SQRT( EXP(2.21*(I141-1)) + EXP(2.21*(J141-1)) + EXP(2.21*(K141-1)) + EXP(2.21*(L141-1)) + EXP(2.21*M141)   )/100*2.45 )</f>
        <v/>
      </c>
      <c r="P141" s="973"/>
    </row>
    <row r="142" spans="1:16">
      <c r="A142" s="34" t="s">
        <v>183</v>
      </c>
      <c r="B142" s="40" t="s">
        <v>319</v>
      </c>
      <c r="C142" s="34" t="s">
        <v>139</v>
      </c>
      <c r="D142" s="40" t="s">
        <v>139</v>
      </c>
      <c r="E142" s="34">
        <v>1.47E-2</v>
      </c>
      <c r="F142" s="168">
        <v>2</v>
      </c>
      <c r="G142" s="34" t="s">
        <v>312</v>
      </c>
      <c r="H142" s="29">
        <v>2</v>
      </c>
      <c r="I142" s="9"/>
      <c r="J142" s="9">
        <v>2</v>
      </c>
      <c r="K142" s="9">
        <v>3</v>
      </c>
      <c r="L142" s="9">
        <v>2</v>
      </c>
      <c r="M142" s="9">
        <v>2</v>
      </c>
      <c r="N142" s="185">
        <f>IF( OR( ISBLANK(H142),ISBLANK(J142), ISBLANK(K142), ISBLANK(L142), ISBLANK(M142) ), "", 1.5*SQRT(   EXP(2.21*(H142-1)) + EXP(2.21*(J142-1)) + EXP(2.21*(K142-1)) + EXP(2.21*(L142-1)) + EXP(2.21*M142)   )/100*2.45 )</f>
        <v>0.51126068492676302</v>
      </c>
      <c r="O142" s="159" t="str">
        <f>IF( OR( ISBLANK(I142),ISBLANK(J142), ISBLANK(K142), ISBLANK(L142), ISBLANK(M142) ), "", 1.5*SQRT( EXP(2.21*(I142-1)) + EXP(2.21*(J142-1)) + EXP(2.21*(K142-1)) + EXP(2.21*(L142-1)) + EXP(2.21*M142)   )/100*2.45 )</f>
        <v/>
      </c>
      <c r="P142" s="973"/>
    </row>
    <row r="143" spans="1:16">
      <c r="A143" s="55" t="s">
        <v>170</v>
      </c>
      <c r="B143" s="260" t="s">
        <v>171</v>
      </c>
      <c r="C143" s="55" t="s">
        <v>139</v>
      </c>
      <c r="D143" s="260" t="s">
        <v>139</v>
      </c>
      <c r="E143" s="237" t="s">
        <v>150</v>
      </c>
      <c r="F143" s="168">
        <v>1</v>
      </c>
      <c r="G143" s="55"/>
      <c r="H143" s="29"/>
      <c r="I143" s="9"/>
      <c r="J143" s="9"/>
      <c r="K143" s="9"/>
      <c r="L143" s="9"/>
      <c r="M143" s="9"/>
      <c r="N143" s="185" t="str">
        <f>IF( OR( ISBLANK(H143),ISBLANK(J143), ISBLANK(K143), ISBLANK(L143), ISBLANK(M143) ), "", 1.5*SQRT(   EXP(2.21*(H143-1)) + EXP(2.21*(J143-1)) + EXP(2.21*(K143-1)) + EXP(2.21*(L143-1)) + EXP(2.21*M143)   )/100*2.45 )</f>
        <v/>
      </c>
      <c r="O143" s="159" t="str">
        <f>IF( OR( ISBLANK(I143),ISBLANK(J143), ISBLANK(K143), ISBLANK(L143), ISBLANK(M143) ), "", 1.5*SQRT( EXP(2.21*(I143-1)) + EXP(2.21*(J143-1)) + EXP(2.21*(K143-1)) + EXP(2.21*(L143-1)) + EXP(2.21*M143)   )/100*2.45 )</f>
        <v/>
      </c>
      <c r="P143" s="34"/>
    </row>
    <row r="144" spans="1:16">
      <c r="A144" s="55" t="s">
        <v>170</v>
      </c>
      <c r="B144" s="260" t="s">
        <v>172</v>
      </c>
      <c r="C144" s="55" t="s">
        <v>139</v>
      </c>
      <c r="D144" s="260" t="s">
        <v>139</v>
      </c>
      <c r="E144" s="237">
        <v>1.2999999999999999E-3</v>
      </c>
      <c r="F144" s="168">
        <v>2</v>
      </c>
      <c r="G144" s="55" t="s">
        <v>163</v>
      </c>
      <c r="H144" s="29">
        <v>2</v>
      </c>
      <c r="I144" s="9">
        <v>2</v>
      </c>
      <c r="J144" s="9">
        <v>2</v>
      </c>
      <c r="K144" s="9">
        <v>3</v>
      </c>
      <c r="L144" s="9">
        <v>2</v>
      </c>
      <c r="M144" s="9">
        <v>2</v>
      </c>
      <c r="N144" s="185">
        <f>IF( OR( ISBLANK(H144),ISBLANK(J144), ISBLANK(K144), ISBLANK(L144), ISBLANK(M144) ), "", 1.5*SQRT(   EXP(2.21*(H144-1)) + EXP(2.21*(J144-1)) + EXP(2.21*(K144-1)) + EXP(2.21*(L144-1)) + EXP(2.21*M144)   )/100*2.45 )</f>
        <v>0.51126068492676302</v>
      </c>
      <c r="O144" s="159">
        <f>IF( OR( ISBLANK(I144),ISBLANK(J144), ISBLANK(K144), ISBLANK(L144), ISBLANK(M144) ), "", 1.5*SQRT( EXP(2.21*(I144-1)) + EXP(2.21*(J144-1)) + EXP(2.21*(K144-1)) + EXP(2.21*(L144-1)) + EXP(2.21*M144)   )/100*2.45 )</f>
        <v>0.51126068492676302</v>
      </c>
      <c r="P144" s="34" t="s">
        <v>173</v>
      </c>
    </row>
    <row r="145" spans="1:16">
      <c r="A145" s="55" t="s">
        <v>170</v>
      </c>
      <c r="B145" s="260" t="s">
        <v>172</v>
      </c>
      <c r="C145" s="55" t="s">
        <v>139</v>
      </c>
      <c r="D145" s="260" t="s">
        <v>139</v>
      </c>
      <c r="E145" s="237">
        <v>1.47E-2</v>
      </c>
      <c r="F145" s="168">
        <v>2</v>
      </c>
      <c r="G145" s="55" t="s">
        <v>163</v>
      </c>
      <c r="H145" s="29">
        <v>2</v>
      </c>
      <c r="I145" s="9">
        <v>2</v>
      </c>
      <c r="J145" s="9">
        <v>2</v>
      </c>
      <c r="K145" s="9">
        <v>3</v>
      </c>
      <c r="L145" s="9">
        <v>2</v>
      </c>
      <c r="M145" s="9">
        <v>2</v>
      </c>
      <c r="N145" s="185">
        <f>IF( OR( ISBLANK(H145),ISBLANK(J145), ISBLANK(K145), ISBLANK(L145), ISBLANK(M145) ), "", 1.5*SQRT(   EXP(2.21*(H145-1)) + EXP(2.21*(J145-1)) + EXP(2.21*(K145-1)) + EXP(2.21*(L145-1)) + EXP(2.21*M145)   )/100*2.45 )</f>
        <v>0.51126068492676302</v>
      </c>
      <c r="O145" s="159">
        <f>IF( OR( ISBLANK(I145),ISBLANK(J145), ISBLANK(K145), ISBLANK(L145), ISBLANK(M145) ), "", 1.5*SQRT( EXP(2.21*(I145-1)) + EXP(2.21*(J145-1)) + EXP(2.21*(K145-1)) + EXP(2.21*(L145-1)) + EXP(2.21*M145)   )/100*2.45 )</f>
        <v>0.51126068492676302</v>
      </c>
      <c r="P145" s="34" t="s">
        <v>174</v>
      </c>
    </row>
    <row r="146" spans="1:16">
      <c r="A146" s="55" t="s">
        <v>171</v>
      </c>
      <c r="B146" s="260" t="s">
        <v>175</v>
      </c>
      <c r="C146" s="55" t="s">
        <v>139</v>
      </c>
      <c r="D146" s="260" t="s">
        <v>139</v>
      </c>
      <c r="E146" s="237" t="s">
        <v>150</v>
      </c>
      <c r="F146" s="168">
        <v>1</v>
      </c>
      <c r="G146" s="55" t="s">
        <v>163</v>
      </c>
      <c r="H146" s="29"/>
      <c r="I146" s="9"/>
      <c r="J146" s="9"/>
      <c r="K146" s="9"/>
      <c r="L146" s="9"/>
      <c r="M146" s="9"/>
      <c r="N146" s="185" t="str">
        <f>IF( OR( ISBLANK(H146),ISBLANK(J146), ISBLANK(K146), ISBLANK(L146), ISBLANK(M146) ), "", 1.5*SQRT(   EXP(2.21*(H146-1)) + EXP(2.21*(J146-1)) + EXP(2.21*(K146-1)) + EXP(2.21*(L146-1)) + EXP(2.21*M146)   )/100*2.45 )</f>
        <v/>
      </c>
      <c r="O146" s="159" t="str">
        <f>IF( OR( ISBLANK(I146),ISBLANK(J146), ISBLANK(K146), ISBLANK(L146), ISBLANK(M146) ), "", 1.5*SQRT( EXP(2.21*(I146-1)) + EXP(2.21*(J146-1)) + EXP(2.21*(K146-1)) + EXP(2.21*(L146-1)) + EXP(2.21*M146)   )/100*2.45 )</f>
        <v/>
      </c>
      <c r="P146" s="34"/>
    </row>
    <row r="147" spans="1:16">
      <c r="A147" s="55" t="s">
        <v>171</v>
      </c>
      <c r="B147" s="260" t="s">
        <v>204</v>
      </c>
      <c r="C147" s="55" t="s">
        <v>139</v>
      </c>
      <c r="D147" s="260" t="s">
        <v>139</v>
      </c>
      <c r="E147" s="237">
        <v>2.7E-4</v>
      </c>
      <c r="F147" s="168">
        <v>2</v>
      </c>
      <c r="G147" s="55" t="s">
        <v>163</v>
      </c>
      <c r="H147" s="29">
        <v>2</v>
      </c>
      <c r="I147" s="9">
        <v>2</v>
      </c>
      <c r="J147" s="9">
        <v>2</v>
      </c>
      <c r="K147" s="9">
        <v>3</v>
      </c>
      <c r="L147" s="9">
        <v>3</v>
      </c>
      <c r="M147" s="9">
        <v>3</v>
      </c>
      <c r="N147" s="185">
        <f>IF( OR( ISBLANK(H147),ISBLANK(J147), ISBLANK(K147), ISBLANK(L147), ISBLANK(M147) ), "", 1.5*SQRT(   EXP(2.21*(H147-1)) + EXP(2.21*(J147-1)) + EXP(2.21*(K147-1)) + EXP(2.21*(L147-1)) + EXP(2.21*M147)   )/100*2.45 )</f>
        <v>1.1278755061256258</v>
      </c>
      <c r="O147" s="159">
        <f>IF( OR( ISBLANK(I147),ISBLANK(J147), ISBLANK(K147), ISBLANK(L147), ISBLANK(M147) ), "", 1.5*SQRT( EXP(2.21*(I147-1)) + EXP(2.21*(J147-1)) + EXP(2.21*(K147-1)) + EXP(2.21*(L147-1)) + EXP(2.21*M147)   )/100*2.45 )</f>
        <v>1.1278755061256258</v>
      </c>
      <c r="P147" s="34"/>
    </row>
    <row r="148" spans="1:16">
      <c r="A148" s="55" t="s">
        <v>172</v>
      </c>
      <c r="B148" s="260" t="s">
        <v>176</v>
      </c>
      <c r="C148" s="55" t="s">
        <v>139</v>
      </c>
      <c r="D148" s="260" t="s">
        <v>139</v>
      </c>
      <c r="E148" s="237">
        <v>1</v>
      </c>
      <c r="F148" s="168">
        <v>1</v>
      </c>
      <c r="G148" s="55"/>
      <c r="H148" s="29"/>
      <c r="I148" s="9"/>
      <c r="J148" s="9"/>
      <c r="K148" s="9"/>
      <c r="L148" s="9"/>
      <c r="M148" s="9"/>
      <c r="N148" s="185" t="str">
        <f>IF( OR( ISBLANK(H148),ISBLANK(J148), ISBLANK(K148), ISBLANK(L148), ISBLANK(M148) ), "", 1.5*SQRT(   EXP(2.21*(H148-1)) + EXP(2.21*(J148-1)) + EXP(2.21*(K148-1)) + EXP(2.21*(L148-1)) + EXP(2.21*M148)   )/100*2.45 )</f>
        <v/>
      </c>
      <c r="O148" s="159" t="str">
        <f>IF( OR( ISBLANK(I148),ISBLANK(J148), ISBLANK(K148), ISBLANK(L148), ISBLANK(M148) ), "", 1.5*SQRT( EXP(2.21*(I148-1)) + EXP(2.21*(J148-1)) + EXP(2.21*(K148-1)) + EXP(2.21*(L148-1)) + EXP(2.21*M148)   )/100*2.45 )</f>
        <v/>
      </c>
      <c r="P148" s="34" t="s">
        <v>177</v>
      </c>
    </row>
    <row r="149" spans="1:16">
      <c r="A149" s="68" t="str">
        <f>Clothing!A605</f>
        <v>Clean lint filter by hand</v>
      </c>
      <c r="B149" s="304" t="str">
        <f>Clothing!B605</f>
        <v>Mixed waste collection (micro)</v>
      </c>
      <c r="C149" s="69" t="str">
        <f>Clothing!C605</f>
        <v>any</v>
      </c>
      <c r="D149" s="823" t="str">
        <f>Clothing!D605</f>
        <v>any</v>
      </c>
      <c r="E149" s="69" t="str">
        <f>Clothing!E605</f>
        <v>rest</v>
      </c>
      <c r="F149" s="823">
        <f>Clothing!F605</f>
        <v>1</v>
      </c>
      <c r="G149" s="69"/>
      <c r="H149" s="1188"/>
      <c r="I149" s="307"/>
      <c r="J149" s="307"/>
      <c r="K149" s="307"/>
      <c r="L149" s="307"/>
      <c r="M149" s="307"/>
      <c r="N149" s="616" t="str">
        <f>IF( OR( ISBLANK(H149),ISBLANK(J149), ISBLANK(K149), ISBLANK(L149), ISBLANK(M149) ), "", 1.5*SQRT(   EXP(2.21*(H149-1)) + EXP(2.21*(J149-1)) + EXP(2.21*(K149-1)) + EXP(2.21*(L149-1)) + EXP(2.21*M149)   )/100*2.45 )</f>
        <v/>
      </c>
      <c r="O149" s="1282" t="str">
        <f>IF( OR( ISBLANK(I149),ISBLANK(J149), ISBLANK(K149), ISBLANK(L149), ISBLANK(M149) ), "", 1.5*SQRT( EXP(2.21*(I149-1)) + EXP(2.21*(J149-1)) + EXP(2.21*(K149-1)) + EXP(2.21*(L149-1)) + EXP(2.21*M149)   )/100*2.45 )</f>
        <v/>
      </c>
      <c r="P149" s="68"/>
    </row>
    <row r="150" spans="1:16">
      <c r="A150" s="68" t="str">
        <f>Clothing!A604</f>
        <v>Clean lint filter by hand</v>
      </c>
      <c r="B150" s="304" t="str">
        <f>Clothing!B604</f>
        <v>Indoor air (micro)</v>
      </c>
      <c r="C150" s="69" t="str">
        <f>Clothing!C604</f>
        <v>any</v>
      </c>
      <c r="D150" s="823" t="str">
        <f>Clothing!D604</f>
        <v>any</v>
      </c>
      <c r="E150" s="69">
        <f>Clothing!E604</f>
        <v>0.01</v>
      </c>
      <c r="F150" s="823">
        <f>Clothing!F604</f>
        <v>2</v>
      </c>
      <c r="G150" s="69" t="str">
        <f>Clothing!G604</f>
        <v>Kawecki &amp; Nowack (2019)</v>
      </c>
      <c r="H150" s="1188">
        <f>Clothing!H604</f>
        <v>3</v>
      </c>
      <c r="I150" s="307">
        <f>Clothing!I604</f>
        <v>3</v>
      </c>
      <c r="J150" s="307">
        <f>Clothing!J604</f>
        <v>3</v>
      </c>
      <c r="K150" s="307">
        <f>Clothing!K604</f>
        <v>3</v>
      </c>
      <c r="L150" s="307">
        <f>Clothing!L604</f>
        <v>3</v>
      </c>
      <c r="M150" s="307">
        <f>Clothing!M604</f>
        <v>3</v>
      </c>
      <c r="N150" s="616">
        <f>IF( OR( ISBLANK(H150),ISBLANK(J150), ISBLANK(K150), ISBLANK(L150), ISBLANK(M150) ), "", 1.5*SQRT(   EXP(2.21*(H150-1)) + EXP(2.21*(J150-1)) + EXP(2.21*(K150-1)) + EXP(2.21*(L150-1)) + EXP(2.21*M150)   )/100*2.45 )</f>
        <v>1.2132328390150593</v>
      </c>
      <c r="O150" s="1282">
        <f>IF( OR( ISBLANK(I150),ISBLANK(J150), ISBLANK(K150), ISBLANK(L150), ISBLANK(M150) ), "", 1.5*SQRT( EXP(2.21*(I150-1)) + EXP(2.21*(J150-1)) + EXP(2.21*(K150-1)) + EXP(2.21*(L150-1)) + EXP(2.21*M150)   )/100*2.45 )</f>
        <v>1.2132328390150593</v>
      </c>
      <c r="P150" s="68"/>
    </row>
    <row r="151" spans="1:16">
      <c r="A151" s="68" t="str">
        <f>Clothing!A606</f>
        <v>Clean lint filter under running water</v>
      </c>
      <c r="B151" s="304" t="str">
        <f>Clothing!B606</f>
        <v>Indoor air (micro)</v>
      </c>
      <c r="C151" s="69" t="str">
        <f>Clothing!C606</f>
        <v>any</v>
      </c>
      <c r="D151" s="823" t="str">
        <f>Clothing!D606</f>
        <v>any</v>
      </c>
      <c r="E151" s="69">
        <f>Clothing!E606</f>
        <v>0.01</v>
      </c>
      <c r="F151" s="823">
        <f>Clothing!F606</f>
        <v>2</v>
      </c>
      <c r="G151" s="69" t="str">
        <f>Clothing!G606</f>
        <v>Kawecki &amp; Nowack (2019)</v>
      </c>
      <c r="H151" s="1188">
        <f>Clothing!H606</f>
        <v>3</v>
      </c>
      <c r="I151" s="307">
        <f>Clothing!I606</f>
        <v>3</v>
      </c>
      <c r="J151" s="307">
        <f>Clothing!J606</f>
        <v>3</v>
      </c>
      <c r="K151" s="307">
        <f>Clothing!K606</f>
        <v>3</v>
      </c>
      <c r="L151" s="307">
        <f>Clothing!L606</f>
        <v>3</v>
      </c>
      <c r="M151" s="307">
        <f>Clothing!M606</f>
        <v>3</v>
      </c>
      <c r="N151" s="616">
        <f>IF( OR( ISBLANK(H151),ISBLANK(J151), ISBLANK(K151), ISBLANK(L151), ISBLANK(M151) ), "", 1.5*SQRT(   EXP(2.21*(H151-1)) + EXP(2.21*(J151-1)) + EXP(2.21*(K151-1)) + EXP(2.21*(L151-1)) + EXP(2.21*M151)   )/100*2.45 )</f>
        <v>1.2132328390150593</v>
      </c>
      <c r="O151" s="1282">
        <f>IF( OR( ISBLANK(I151),ISBLANK(J151), ISBLANK(K151), ISBLANK(L151), ISBLANK(M151) ), "", 1.5*SQRT( EXP(2.21*(I151-1)) + EXP(2.21*(J151-1)) + EXP(2.21*(K151-1)) + EXP(2.21*(L151-1)) + EXP(2.21*M151)   )/100*2.45 )</f>
        <v>1.2132328390150593</v>
      </c>
      <c r="P151" s="68"/>
    </row>
    <row r="152" spans="1:16">
      <c r="A152" s="68" t="str">
        <f>Clothing!A607</f>
        <v>Clean lint filter under running water</v>
      </c>
      <c r="B152" s="304" t="str">
        <f>Clothing!B607</f>
        <v>Wastewater (micro)</v>
      </c>
      <c r="C152" s="69" t="str">
        <f>Clothing!C607</f>
        <v>any</v>
      </c>
      <c r="D152" s="823" t="str">
        <f>Clothing!D607</f>
        <v>any</v>
      </c>
      <c r="E152" s="69" t="str">
        <f>Clothing!E607</f>
        <v>rest</v>
      </c>
      <c r="F152" s="823">
        <f>Clothing!F607</f>
        <v>1</v>
      </c>
      <c r="G152" s="69"/>
      <c r="H152" s="1188"/>
      <c r="I152" s="307"/>
      <c r="J152" s="307"/>
      <c r="K152" s="307"/>
      <c r="L152" s="307"/>
      <c r="M152" s="307"/>
      <c r="N152" s="616" t="str">
        <f>IF( OR( ISBLANK(H152),ISBLANK(J152), ISBLANK(K152), ISBLANK(L152), ISBLANK(M152) ), "", 1.5*SQRT(   EXP(2.21*(H152-1)) + EXP(2.21*(J152-1)) + EXP(2.21*(K152-1)) + EXP(2.21*(L152-1)) + EXP(2.21*M152)   )/100*2.45 )</f>
        <v/>
      </c>
      <c r="O152" s="1282" t="str">
        <f>IF( OR( ISBLANK(I152),ISBLANK(J152), ISBLANK(K152), ISBLANK(L152), ISBLANK(M152) ), "", 1.5*SQRT( EXP(2.21*(I152-1)) + EXP(2.21*(J152-1)) + EXP(2.21*(K152-1)) + EXP(2.21*(L152-1)) + EXP(2.21*M152)   )/100*2.45 )</f>
        <v/>
      </c>
      <c r="P152" s="68"/>
    </row>
    <row r="153" spans="1:16">
      <c r="A153" s="34" t="str">
        <f>Clothing!A537</f>
        <v>Closed-toed shoes</v>
      </c>
      <c r="B153" s="40" t="str">
        <f>Clothing!B537</f>
        <v>Mixed waste collection</v>
      </c>
      <c r="C153" s="34" t="str">
        <f>Clothing!C537</f>
        <v>any</v>
      </c>
      <c r="D153" s="40" t="str">
        <f>Clothing!D537</f>
        <v>any</v>
      </c>
      <c r="E153" s="34" t="str">
        <f>Clothing!E537</f>
        <v>rest</v>
      </c>
      <c r="F153" s="40">
        <f>Clothing!F537</f>
        <v>1</v>
      </c>
      <c r="G153" s="34"/>
      <c r="H153" s="1188"/>
      <c r="I153" s="307"/>
      <c r="J153" s="307"/>
      <c r="K153" s="307"/>
      <c r="L153" s="307"/>
      <c r="M153" s="307"/>
      <c r="N153" s="185"/>
      <c r="O153" s="159"/>
      <c r="P153" s="973"/>
    </row>
    <row r="154" spans="1:16">
      <c r="A154" s="34" t="str">
        <f>Clothing!A536</f>
        <v>Closed-toed shoes</v>
      </c>
      <c r="B154" s="40" t="str">
        <f>Clothing!B536</f>
        <v>Footwear waste collection</v>
      </c>
      <c r="C154" s="34" t="str">
        <f>Clothing!C536</f>
        <v>any</v>
      </c>
      <c r="D154" s="40" t="str">
        <f>Clothing!D536</f>
        <v>any</v>
      </c>
      <c r="E154" s="34">
        <f>Clothing!E536</f>
        <v>0.25</v>
      </c>
      <c r="F154" s="40">
        <f>Clothing!F536</f>
        <v>2</v>
      </c>
      <c r="G154" s="34" t="str">
        <f>Clothing!G536</f>
        <v>(de Waart et al., 2023)</v>
      </c>
      <c r="H154" s="1188">
        <f>Clothing!H536</f>
        <v>2</v>
      </c>
      <c r="I154" s="307">
        <f>Clothing!I536</f>
        <v>2</v>
      </c>
      <c r="J154" s="307">
        <f>Clothing!J536</f>
        <v>2</v>
      </c>
      <c r="K154" s="307">
        <f>Clothing!K536</f>
        <v>3</v>
      </c>
      <c r="L154" s="307">
        <f>Clothing!L536</f>
        <v>2</v>
      </c>
      <c r="M154" s="307">
        <f>Clothing!M536</f>
        <v>2</v>
      </c>
      <c r="N154" s="185">
        <f>IF( OR( ISBLANK(H154),ISBLANK(J154), ISBLANK(K154), ISBLANK(L154), ISBLANK(M154) ), "", 1.5*SQRT(   EXP(2.21*(H154-1)) + EXP(2.21*(J154-1)) + EXP(2.21*(K154-1)) + EXP(2.21*(L154-1)) + EXP(2.21*M154)   )/100*2.45 )</f>
        <v>0.51126068492676302</v>
      </c>
      <c r="O154" s="159">
        <f>IF( OR( ISBLANK(I154),ISBLANK(J154), ISBLANK(K154), ISBLANK(L154), ISBLANK(M154) ), "", 1.5*SQRT( EXP(2.21*(I154-1)) + EXP(2.21*(J154-1)) + EXP(2.21*(K154-1)) + EXP(2.21*(L154-1)) + EXP(2.21*M154)   )/100*2.45 )</f>
        <v>0.51126068492676302</v>
      </c>
      <c r="P154" s="973"/>
    </row>
    <row r="155" spans="1:16">
      <c r="A155" s="34" t="str">
        <f>Clothing!A538</f>
        <v>Closed-toed shoes</v>
      </c>
      <c r="B155" s="40" t="str">
        <f>Clothing!B538</f>
        <v>Dumping</v>
      </c>
      <c r="C155" s="34" t="str">
        <f>Clothing!C538</f>
        <v>any</v>
      </c>
      <c r="D155" s="40" t="str">
        <f>Clothing!D538</f>
        <v>any</v>
      </c>
      <c r="E155" s="34">
        <f>Clothing!E538</f>
        <v>2.6918324999999996E-4</v>
      </c>
      <c r="F155" s="40">
        <f>Clothing!F538</f>
        <v>2</v>
      </c>
      <c r="G155" s="34" t="str">
        <f>Clothing!G538</f>
        <v>Kawecki &amp; Nowack (2019)</v>
      </c>
      <c r="H155" s="1188">
        <f>Clothing!H538</f>
        <v>2</v>
      </c>
      <c r="I155" s="307">
        <f>Clothing!I538</f>
        <v>2</v>
      </c>
      <c r="J155" s="307">
        <f>Clothing!J538</f>
        <v>2</v>
      </c>
      <c r="K155" s="307">
        <f>Clothing!K538</f>
        <v>3</v>
      </c>
      <c r="L155" s="307">
        <f>Clothing!L538</f>
        <v>3</v>
      </c>
      <c r="M155" s="307">
        <f>Clothing!M538</f>
        <v>3</v>
      </c>
      <c r="N155" s="185">
        <f>IF( OR( ISBLANK(H155),ISBLANK(J155), ISBLANK(K155), ISBLANK(L155), ISBLANK(M155) ), "", 1.5*SQRT(   EXP(2.21*(H155-1)) + EXP(2.21*(J155-1)) + EXP(2.21*(K155-1)) + EXP(2.21*(L155-1)) + EXP(2.21*M155)   )/100*2.45 )</f>
        <v>1.1278755061256258</v>
      </c>
      <c r="O155" s="159">
        <f>IF( OR( ISBLANK(I155),ISBLANK(J155), ISBLANK(K155), ISBLANK(L155), ISBLANK(M155) ), "", 1.5*SQRT( EXP(2.21*(I155-1)) + EXP(2.21*(J155-1)) + EXP(2.21*(K155-1)) + EXP(2.21*(L155-1)) + EXP(2.21*M155)   )/100*2.45 )</f>
        <v>1.1278755061256258</v>
      </c>
      <c r="P155" s="973"/>
    </row>
    <row r="156" spans="1:16">
      <c r="A156" s="34" t="str">
        <f>Clothing!A539</f>
        <v>Closed-toed shoes</v>
      </c>
      <c r="B156" s="40" t="str">
        <f>Clothing!B539</f>
        <v>Footwear wearing (soles)</v>
      </c>
      <c r="C156" s="34" t="str">
        <f>Clothing!C539</f>
        <v>any</v>
      </c>
      <c r="D156" s="40" t="str">
        <f>Clothing!D539</f>
        <v>RUBBER</v>
      </c>
      <c r="E156" s="34">
        <f>Clothing!E539</f>
        <v>5.7712387375211246E-3</v>
      </c>
      <c r="F156" s="40">
        <f>Clothing!F539</f>
        <v>3</v>
      </c>
      <c r="G156" s="34" t="str">
        <f>Clothing!G539</f>
        <v>See shoesole wear calculation in clothing calculations tab of MainInputFile (low estimate)</v>
      </c>
      <c r="H156" s="1188">
        <f>Clothing!H539</f>
        <v>1</v>
      </c>
      <c r="I156" s="307">
        <f>Clothing!I539</f>
        <v>2</v>
      </c>
      <c r="J156" s="307">
        <f>Clothing!J539</f>
        <v>2</v>
      </c>
      <c r="K156" s="307">
        <f>Clothing!K539</f>
        <v>2</v>
      </c>
      <c r="L156" s="307">
        <f>Clothing!L539</f>
        <v>2</v>
      </c>
      <c r="M156" s="307">
        <f>Clothing!M539</f>
        <v>3</v>
      </c>
      <c r="N156" s="185">
        <f>IF( OR( ISBLANK(H156),ISBLANK(J156), ISBLANK(K156), ISBLANK(L156), ISBLANK(M156) ), "", 1.5*SQRT(   EXP(2.21*(H156-1)) + EXP(2.21*(J156-1)) + EXP(2.21*(K156-1)) + EXP(2.21*(L156-1)) + EXP(2.21*M156)   )/100*2.45 )</f>
        <v>1.0301997916669636</v>
      </c>
      <c r="O156" s="159">
        <f>IF( OR( ISBLANK(I156),ISBLANK(J156), ISBLANK(K156), ISBLANK(L156), ISBLANK(M156) ), "", 1.5*SQRT( EXP(2.21*(I156-1)) + EXP(2.21*(J156-1)) + EXP(2.21*(K156-1)) + EXP(2.21*(L156-1)) + EXP(2.21*M156)   )/100*2.45 )</f>
        <v>1.0355058633207881</v>
      </c>
      <c r="P156" s="973"/>
    </row>
    <row r="157" spans="1:16">
      <c r="A157" s="34" t="str">
        <f>Clothing!A540</f>
        <v>Closed-toed shoes</v>
      </c>
      <c r="B157" s="40" t="str">
        <f>Clothing!B540</f>
        <v>Footwear wearing (soles)</v>
      </c>
      <c r="C157" s="34" t="str">
        <f>Clothing!C540</f>
        <v>any</v>
      </c>
      <c r="D157" s="40" t="str">
        <f>Clothing!D540</f>
        <v>RUBBER</v>
      </c>
      <c r="E157" s="34">
        <f>Clothing!E540</f>
        <v>1.1542477475042249E-2</v>
      </c>
      <c r="F157" s="40">
        <f>Clothing!F540</f>
        <v>3</v>
      </c>
      <c r="G157" s="34" t="str">
        <f>Clothing!G540</f>
        <v>See shoesole wear calculation in clothing calculations tab of MainInputFile (high estimate)</v>
      </c>
      <c r="H157" s="1188">
        <f>Clothing!H540</f>
        <v>1</v>
      </c>
      <c r="I157" s="307">
        <f>Clothing!I540</f>
        <v>2</v>
      </c>
      <c r="J157" s="307">
        <f>Clothing!J540</f>
        <v>2</v>
      </c>
      <c r="K157" s="307">
        <f>Clothing!K540</f>
        <v>2</v>
      </c>
      <c r="L157" s="307">
        <f>Clothing!L540</f>
        <v>2</v>
      </c>
      <c r="M157" s="307">
        <f>Clothing!M540</f>
        <v>3</v>
      </c>
      <c r="N157" s="185">
        <f>IF( OR( ISBLANK(H157),ISBLANK(J157), ISBLANK(K157), ISBLANK(L157), ISBLANK(M157) ), "", 1.5*SQRT(   EXP(2.21*(H157-1)) + EXP(2.21*(J157-1)) + EXP(2.21*(K157-1)) + EXP(2.21*(L157-1)) + EXP(2.21*M157)   )/100*2.45 )</f>
        <v>1.0301997916669636</v>
      </c>
      <c r="O157" s="159">
        <f>IF( OR( ISBLANK(I157),ISBLANK(J157), ISBLANK(K157), ISBLANK(L157), ISBLANK(M157) ), "", 1.5*SQRT( EXP(2.21*(I157-1)) + EXP(2.21*(J157-1)) + EXP(2.21*(K157-1)) + EXP(2.21*(L157-1)) + EXP(2.21*M157)   )/100*2.45 )</f>
        <v>1.0355058633207881</v>
      </c>
      <c r="P157" s="973"/>
    </row>
    <row r="158" spans="1:16">
      <c r="A158" s="34" t="str">
        <f>Clothing!A541</f>
        <v>Closed-toed shoes</v>
      </c>
      <c r="B158" s="40" t="str">
        <f>Clothing!B541</f>
        <v>Footwear wearing (soles)</v>
      </c>
      <c r="C158" s="34" t="str">
        <f>Clothing!C541</f>
        <v>any</v>
      </c>
      <c r="D158" s="40" t="str">
        <f>Clothing!D541</f>
        <v>PUR</v>
      </c>
      <c r="E158" s="34">
        <f>Clothing!E541</f>
        <v>2.5413504031689942E-3</v>
      </c>
      <c r="F158" s="40">
        <f>Clothing!F541</f>
        <v>3</v>
      </c>
      <c r="G158" s="34" t="str">
        <f>Clothing!G541</f>
        <v>See shoesole wear calculation in clothing calculations tab of MainInputFile (low estimate)</v>
      </c>
      <c r="H158" s="1188">
        <f>Clothing!H541</f>
        <v>1</v>
      </c>
      <c r="I158" s="307">
        <f>Clothing!I541</f>
        <v>2</v>
      </c>
      <c r="J158" s="307">
        <f>Clothing!J541</f>
        <v>2</v>
      </c>
      <c r="K158" s="307">
        <f>Clothing!K541</f>
        <v>2</v>
      </c>
      <c r="L158" s="307">
        <f>Clothing!L541</f>
        <v>2</v>
      </c>
      <c r="M158" s="307">
        <f>Clothing!M541</f>
        <v>3</v>
      </c>
      <c r="N158" s="185">
        <f>IF( OR( ISBLANK(H158),ISBLANK(J158), ISBLANK(K158), ISBLANK(L158), ISBLANK(M158) ), "", 1.5*SQRT(   EXP(2.21*(H158-1)) + EXP(2.21*(J158-1)) + EXP(2.21*(K158-1)) + EXP(2.21*(L158-1)) + EXP(2.21*M158)   )/100*2.45 )</f>
        <v>1.0301997916669636</v>
      </c>
      <c r="O158" s="159">
        <f>IF( OR( ISBLANK(I158),ISBLANK(J158), ISBLANK(K158), ISBLANK(L158), ISBLANK(M158) ), "", 1.5*SQRT( EXP(2.21*(I158-1)) + EXP(2.21*(J158-1)) + EXP(2.21*(K158-1)) + EXP(2.21*(L158-1)) + EXP(2.21*M158)   )/100*2.45 )</f>
        <v>1.0355058633207881</v>
      </c>
      <c r="P158" s="973"/>
    </row>
    <row r="159" spans="1:16">
      <c r="A159" s="34" t="str">
        <f>Clothing!A542</f>
        <v>Closed-toed shoes</v>
      </c>
      <c r="B159" s="40" t="str">
        <f>Clothing!B542</f>
        <v>Footwear wearing (soles)</v>
      </c>
      <c r="C159" s="34" t="str">
        <f>Clothing!C542</f>
        <v>any</v>
      </c>
      <c r="D159" s="40" t="str">
        <f>Clothing!D542</f>
        <v>PUR</v>
      </c>
      <c r="E159" s="34">
        <f>Clothing!E542</f>
        <v>5.0827008063379885E-3</v>
      </c>
      <c r="F159" s="40">
        <f>Clothing!F542</f>
        <v>3</v>
      </c>
      <c r="G159" s="34" t="str">
        <f>Clothing!G542</f>
        <v>See shoesole wear calculation in clothing calculations tab of MainInputFile (high estimate)</v>
      </c>
      <c r="H159" s="1188">
        <f>Clothing!H542</f>
        <v>1</v>
      </c>
      <c r="I159" s="307">
        <f>Clothing!I542</f>
        <v>2</v>
      </c>
      <c r="J159" s="307">
        <f>Clothing!J542</f>
        <v>2</v>
      </c>
      <c r="K159" s="307">
        <f>Clothing!K542</f>
        <v>2</v>
      </c>
      <c r="L159" s="307">
        <f>Clothing!L542</f>
        <v>2</v>
      </c>
      <c r="M159" s="307">
        <f>Clothing!M542</f>
        <v>3</v>
      </c>
      <c r="N159" s="185">
        <f>IF( OR( ISBLANK(H159),ISBLANK(J159), ISBLANK(K159), ISBLANK(L159), ISBLANK(M159) ), "", 1.5*SQRT(   EXP(2.21*(H159-1)) + EXP(2.21*(J159-1)) + EXP(2.21*(K159-1)) + EXP(2.21*(L159-1)) + EXP(2.21*M159)   )/100*2.45 )</f>
        <v>1.0301997916669636</v>
      </c>
      <c r="O159" s="159">
        <f>IF( OR( ISBLANK(I159),ISBLANK(J159), ISBLANK(K159), ISBLANK(L159), ISBLANK(M159) ), "", 1.5*SQRT( EXP(2.21*(I159-1)) + EXP(2.21*(J159-1)) + EXP(2.21*(K159-1)) + EXP(2.21*(L159-1)) + EXP(2.21*M159)   )/100*2.45 )</f>
        <v>1.0355058633207881</v>
      </c>
      <c r="P159" s="973"/>
    </row>
    <row r="160" spans="1:16">
      <c r="A160" s="34" t="str">
        <f>Clothing!A543</f>
        <v>Closed-toed shoes</v>
      </c>
      <c r="B160" s="40" t="str">
        <f>Clothing!B543</f>
        <v>Footwear wearing (soles)</v>
      </c>
      <c r="C160" s="34" t="str">
        <f>Clothing!C543</f>
        <v>any</v>
      </c>
      <c r="D160" s="40" t="str">
        <f>Clothing!D543</f>
        <v>EVA</v>
      </c>
      <c r="E160" s="34">
        <f>Clothing!E543</f>
        <v>2.6370870403593857E-3</v>
      </c>
      <c r="F160" s="40">
        <f>Clothing!F543</f>
        <v>3</v>
      </c>
      <c r="G160" s="34" t="str">
        <f>Clothing!G543</f>
        <v>See shoesole wear calculation in clothing calculations tab of MainInputFile (low estimate)</v>
      </c>
      <c r="H160" s="1188">
        <f>Clothing!H543</f>
        <v>1</v>
      </c>
      <c r="I160" s="307">
        <f>Clothing!I543</f>
        <v>2</v>
      </c>
      <c r="J160" s="307">
        <f>Clothing!J543</f>
        <v>2</v>
      </c>
      <c r="K160" s="307">
        <f>Clothing!K543</f>
        <v>2</v>
      </c>
      <c r="L160" s="307">
        <f>Clothing!L543</f>
        <v>2</v>
      </c>
      <c r="M160" s="307">
        <f>Clothing!M543</f>
        <v>3</v>
      </c>
      <c r="N160" s="185">
        <f>IF( OR( ISBLANK(H160),ISBLANK(J160), ISBLANK(K160), ISBLANK(L160), ISBLANK(M160) ), "", 1.5*SQRT(   EXP(2.21*(H160-1)) + EXP(2.21*(J160-1)) + EXP(2.21*(K160-1)) + EXP(2.21*(L160-1)) + EXP(2.21*M160)   )/100*2.45 )</f>
        <v>1.0301997916669636</v>
      </c>
      <c r="O160" s="159">
        <f>IF( OR( ISBLANK(I160),ISBLANK(J160), ISBLANK(K160), ISBLANK(L160), ISBLANK(M160) ), "", 1.5*SQRT( EXP(2.21*(I160-1)) + EXP(2.21*(J160-1)) + EXP(2.21*(K160-1)) + EXP(2.21*(L160-1)) + EXP(2.21*M160)   )/100*2.45 )</f>
        <v>1.0355058633207881</v>
      </c>
      <c r="P160" s="973"/>
    </row>
    <row r="161" spans="1:16">
      <c r="A161" s="34" t="str">
        <f>Clothing!A544</f>
        <v>Closed-toed shoes</v>
      </c>
      <c r="B161" s="40" t="str">
        <f>Clothing!B544</f>
        <v>Footwear wearing (soles)</v>
      </c>
      <c r="C161" s="34" t="str">
        <f>Clothing!C544</f>
        <v>any</v>
      </c>
      <c r="D161" s="40" t="str">
        <f>Clothing!D544</f>
        <v>EVA</v>
      </c>
      <c r="E161" s="34">
        <f>Clothing!E544</f>
        <v>5.2741740807187715E-3</v>
      </c>
      <c r="F161" s="40">
        <f>Clothing!F544</f>
        <v>3</v>
      </c>
      <c r="G161" s="34" t="str">
        <f>Clothing!G544</f>
        <v>See shoesole wear calculation in clothing calculations tab of MainInputFile (high estimate)</v>
      </c>
      <c r="H161" s="1188">
        <f>Clothing!H544</f>
        <v>1</v>
      </c>
      <c r="I161" s="307">
        <f>Clothing!I544</f>
        <v>2</v>
      </c>
      <c r="J161" s="307">
        <f>Clothing!J544</f>
        <v>2</v>
      </c>
      <c r="K161" s="307">
        <f>Clothing!K544</f>
        <v>2</v>
      </c>
      <c r="L161" s="307">
        <f>Clothing!L544</f>
        <v>2</v>
      </c>
      <c r="M161" s="307">
        <f>Clothing!M544</f>
        <v>3</v>
      </c>
      <c r="N161" s="185">
        <f>IF( OR( ISBLANK(H161),ISBLANK(J161), ISBLANK(K161), ISBLANK(L161), ISBLANK(M161) ), "", 1.5*SQRT(   EXP(2.21*(H161-1)) + EXP(2.21*(J161-1)) + EXP(2.21*(K161-1)) + EXP(2.21*(L161-1)) + EXP(2.21*M161)   )/100*2.45 )</f>
        <v>1.0301997916669636</v>
      </c>
      <c r="O161" s="159">
        <f>IF( OR( ISBLANK(I161),ISBLANK(J161), ISBLANK(K161), ISBLANK(L161), ISBLANK(M161) ), "", 1.5*SQRT( EXP(2.21*(I161-1)) + EXP(2.21*(J161-1)) + EXP(2.21*(K161-1)) + EXP(2.21*(L161-1)) + EXP(2.21*M161)   )/100*2.45 )</f>
        <v>1.0355058633207881</v>
      </c>
      <c r="P161" s="973"/>
    </row>
    <row r="162" spans="1:16">
      <c r="A162" s="34" t="str">
        <f>Clothing!A545</f>
        <v>Closed-toed shoes</v>
      </c>
      <c r="B162" s="40" t="str">
        <f>Clothing!B545</f>
        <v>Footwear wearing (soles)</v>
      </c>
      <c r="C162" s="34" t="str">
        <f>Clothing!C545</f>
        <v>any</v>
      </c>
      <c r="D162" s="40" t="str">
        <f>Clothing!D545</f>
        <v>PVC</v>
      </c>
      <c r="E162" s="34">
        <f>Clothing!E545</f>
        <v>3.2506855134566658E-3</v>
      </c>
      <c r="F162" s="40">
        <f>Clothing!F545</f>
        <v>3</v>
      </c>
      <c r="G162" s="34" t="str">
        <f>Clothing!G545</f>
        <v>See shoesole wear calculation in clothing calculations tab of MainInputFile (low estimate)</v>
      </c>
      <c r="H162" s="1188">
        <f>Clothing!H545</f>
        <v>1</v>
      </c>
      <c r="I162" s="307">
        <f>Clothing!I545</f>
        <v>2</v>
      </c>
      <c r="J162" s="307">
        <f>Clothing!J545</f>
        <v>2</v>
      </c>
      <c r="K162" s="307">
        <f>Clothing!K545</f>
        <v>2</v>
      </c>
      <c r="L162" s="307">
        <f>Clothing!L545</f>
        <v>2</v>
      </c>
      <c r="M162" s="307">
        <f>Clothing!M545</f>
        <v>3</v>
      </c>
      <c r="N162" s="185">
        <f>IF( OR( ISBLANK(H162),ISBLANK(J162), ISBLANK(K162), ISBLANK(L162), ISBLANK(M162) ), "", 1.5*SQRT(   EXP(2.21*(H162-1)) + EXP(2.21*(J162-1)) + EXP(2.21*(K162-1)) + EXP(2.21*(L162-1)) + EXP(2.21*M162)   )/100*2.45 )</f>
        <v>1.0301997916669636</v>
      </c>
      <c r="O162" s="159">
        <f>IF( OR( ISBLANK(I162),ISBLANK(J162), ISBLANK(K162), ISBLANK(L162), ISBLANK(M162) ), "", 1.5*SQRT( EXP(2.21*(I162-1)) + EXP(2.21*(J162-1)) + EXP(2.21*(K162-1)) + EXP(2.21*(L162-1)) + EXP(2.21*M162)   )/100*2.45 )</f>
        <v>1.0355058633207881</v>
      </c>
      <c r="P162" s="973"/>
    </row>
    <row r="163" spans="1:16">
      <c r="A163" s="34" t="str">
        <f>Clothing!A546</f>
        <v>Closed-toed shoes</v>
      </c>
      <c r="B163" s="40" t="str">
        <f>Clothing!B546</f>
        <v>Footwear wearing (soles)</v>
      </c>
      <c r="C163" s="34" t="str">
        <f>Clothing!C546</f>
        <v>any</v>
      </c>
      <c r="D163" s="40" t="str">
        <f>Clothing!D546</f>
        <v>PVC</v>
      </c>
      <c r="E163" s="34">
        <f>Clothing!E546</f>
        <v>6.5013710269133315E-3</v>
      </c>
      <c r="F163" s="40">
        <f>Clothing!F546</f>
        <v>3</v>
      </c>
      <c r="G163" s="34" t="str">
        <f>Clothing!G546</f>
        <v>See shoesole wear calculation in clothing calculations tab of MainInputFile (high estimate)</v>
      </c>
      <c r="H163" s="1188">
        <f>Clothing!H546</f>
        <v>1</v>
      </c>
      <c r="I163" s="307">
        <f>Clothing!I546</f>
        <v>2</v>
      </c>
      <c r="J163" s="307">
        <f>Clothing!J546</f>
        <v>2</v>
      </c>
      <c r="K163" s="307">
        <f>Clothing!K546</f>
        <v>2</v>
      </c>
      <c r="L163" s="307">
        <f>Clothing!L546</f>
        <v>2</v>
      </c>
      <c r="M163" s="307">
        <f>Clothing!M546</f>
        <v>3</v>
      </c>
      <c r="N163" s="185">
        <f>IF( OR( ISBLANK(H163),ISBLANK(J163), ISBLANK(K163), ISBLANK(L163), ISBLANK(M163) ), "", 1.5*SQRT(   EXP(2.21*(H163-1)) + EXP(2.21*(J163-1)) + EXP(2.21*(K163-1)) + EXP(2.21*(L163-1)) + EXP(2.21*M163)   )/100*2.45 )</f>
        <v>1.0301997916669636</v>
      </c>
      <c r="O163" s="159">
        <f>IF( OR( ISBLANK(I163),ISBLANK(J163), ISBLANK(K163), ISBLANK(L163), ISBLANK(M163) ), "", 1.5*SQRT( EXP(2.21*(I163-1)) + EXP(2.21*(J163-1)) + EXP(2.21*(K163-1)) + EXP(2.21*(L163-1)) + EXP(2.21*M163)   )/100*2.45 )</f>
        <v>1.0355058633207881</v>
      </c>
      <c r="P163" s="973"/>
    </row>
    <row r="164" spans="1:16">
      <c r="A164" s="34" t="str">
        <f>Clothing!A547</f>
        <v>Closed-toed shoes</v>
      </c>
      <c r="B164" s="40" t="str">
        <f>Clothing!B547</f>
        <v>Footwear wearing (uppers)</v>
      </c>
      <c r="C164" s="34" t="str">
        <f>Clothing!C547</f>
        <v>any</v>
      </c>
      <c r="D164" s="40" t="str">
        <f>Clothing!D547</f>
        <v>PA</v>
      </c>
      <c r="E164" s="34">
        <f>Clothing!E547</f>
        <v>3.0249999999999999E-3</v>
      </c>
      <c r="F164" s="40">
        <f>Clothing!F547</f>
        <v>3</v>
      </c>
      <c r="G164" s="34" t="str">
        <f>Clothing!G547</f>
        <v>Average loss during wear, Kawecki et al. 2019, SI table 17</v>
      </c>
      <c r="H164" s="1188">
        <f>Clothing!H547</f>
        <v>2</v>
      </c>
      <c r="I164" s="307">
        <f>Clothing!I547</f>
        <v>2</v>
      </c>
      <c r="J164" s="307">
        <f>Clothing!J547</f>
        <v>2</v>
      </c>
      <c r="K164" s="307">
        <f>Clothing!K547</f>
        <v>2</v>
      </c>
      <c r="L164" s="307">
        <f>Clothing!L547</f>
        <v>2</v>
      </c>
      <c r="M164" s="307">
        <f>Clothing!M547</f>
        <v>2</v>
      </c>
      <c r="N164" s="185">
        <f>IF( OR( ISBLANK(H164),ISBLANK(J164), ISBLANK(K164), ISBLANK(L164), ISBLANK(M164) ), "", 1.5*SQRT(   EXP(2.21*(H164-1)) + EXP(2.21*(J164-1)) + EXP(2.21*(K164-1)) + EXP(2.21*(L164-1)) + EXP(2.21*M164)   )/100*2.45 )</f>
        <v>0.40183591897512122</v>
      </c>
      <c r="O164" s="159">
        <f>IF( OR( ISBLANK(I164),ISBLANK(J164), ISBLANK(K164), ISBLANK(L164), ISBLANK(M164) ), "", 1.5*SQRT( EXP(2.21*(I164-1)) + EXP(2.21*(J164-1)) + EXP(2.21*(K164-1)) + EXP(2.21*(L164-1)) + EXP(2.21*M164)   )/100*2.45 )</f>
        <v>0.40183591897512122</v>
      </c>
      <c r="P164" s="973"/>
    </row>
    <row r="165" spans="1:16">
      <c r="A165" s="34" t="str">
        <f>Clothing!A548</f>
        <v>Closed-toed shoes</v>
      </c>
      <c r="B165" s="40" t="str">
        <f>Clothing!B548</f>
        <v>Footwear wearing (uppers)</v>
      </c>
      <c r="C165" s="34" t="str">
        <f>Clothing!C548</f>
        <v>any</v>
      </c>
      <c r="D165" s="40" t="str">
        <f>Clothing!D548</f>
        <v>PET</v>
      </c>
      <c r="E165" s="34">
        <f>Clothing!E548</f>
        <v>3.4544305000000009E-4</v>
      </c>
      <c r="F165" s="40">
        <f>Clothing!F548</f>
        <v>3</v>
      </c>
      <c r="G165" s="34" t="str">
        <f>Clothing!G548</f>
        <v>Average loss during wear, Kawecki et al. 2019, SI table 17</v>
      </c>
      <c r="H165" s="1188">
        <f>Clothing!H548</f>
        <v>2</v>
      </c>
      <c r="I165" s="307">
        <f>Clothing!I548</f>
        <v>2</v>
      </c>
      <c r="J165" s="307">
        <f>Clothing!J548</f>
        <v>2</v>
      </c>
      <c r="K165" s="307">
        <f>Clothing!K548</f>
        <v>2</v>
      </c>
      <c r="L165" s="307">
        <f>Clothing!L548</f>
        <v>2</v>
      </c>
      <c r="M165" s="307">
        <f>Clothing!M548</f>
        <v>2</v>
      </c>
      <c r="N165" s="185">
        <f>IF( OR( ISBLANK(H165),ISBLANK(J165), ISBLANK(K165), ISBLANK(L165), ISBLANK(M165) ), "", 1.5*SQRT(   EXP(2.21*(H165-1)) + EXP(2.21*(J165-1)) + EXP(2.21*(K165-1)) + EXP(2.21*(L165-1)) + EXP(2.21*M165)   )/100*2.45 )</f>
        <v>0.40183591897512122</v>
      </c>
      <c r="O165" s="159">
        <f>IF( OR( ISBLANK(I165),ISBLANK(J165), ISBLANK(K165), ISBLANK(L165), ISBLANK(M165) ), "", 1.5*SQRT( EXP(2.21*(I165-1)) + EXP(2.21*(J165-1)) + EXP(2.21*(K165-1)) + EXP(2.21*(L165-1)) + EXP(2.21*M165)   )/100*2.45 )</f>
        <v>0.40183591897512122</v>
      </c>
      <c r="P165" s="973"/>
    </row>
    <row r="166" spans="1:16">
      <c r="A166" s="34" t="str">
        <f>Clothing!A549</f>
        <v>Closed-toed shoes</v>
      </c>
      <c r="B166" s="40" t="str">
        <f>Clothing!B549</f>
        <v>Clothing washing</v>
      </c>
      <c r="C166" s="34" t="str">
        <f>Clothing!C549</f>
        <v>any</v>
      </c>
      <c r="D166" s="40" t="str">
        <f>Clothing!D549</f>
        <v>any</v>
      </c>
      <c r="E166" s="34">
        <f>Clothing!E549</f>
        <v>3.4544305000000009E-4</v>
      </c>
      <c r="F166" s="40">
        <f>Clothing!F549</f>
        <v>2</v>
      </c>
      <c r="G166" s="34" t="str">
        <f>Clothing!G549</f>
        <v>Computed from available data from Kawecki et al. (2019) and CBS (2022)</v>
      </c>
      <c r="H166" s="1188">
        <f>Clothing!H549</f>
        <v>2</v>
      </c>
      <c r="I166" s="307">
        <f>Clothing!I549</f>
        <v>2</v>
      </c>
      <c r="J166" s="307">
        <f>Clothing!J549</f>
        <v>2</v>
      </c>
      <c r="K166" s="307">
        <f>Clothing!K549</f>
        <v>2</v>
      </c>
      <c r="L166" s="307">
        <f>Clothing!L549</f>
        <v>2</v>
      </c>
      <c r="M166" s="307">
        <f>Clothing!M549</f>
        <v>2</v>
      </c>
      <c r="N166" s="185">
        <f>IF( OR( ISBLANK(H166),ISBLANK(J166), ISBLANK(K166), ISBLANK(L166), ISBLANK(M166) ), "", 1.5*SQRT(   EXP(2.21*(H166-1)) + EXP(2.21*(J166-1)) + EXP(2.21*(K166-1)) + EXP(2.21*(L166-1)) + EXP(2.21*M166)   )/100*2.45 )</f>
        <v>0.40183591897512122</v>
      </c>
      <c r="O166" s="159">
        <f>IF( OR( ISBLANK(I166),ISBLANK(J166), ISBLANK(K166), ISBLANK(L166), ISBLANK(M166) ), "", 1.5*SQRT( EXP(2.21*(I166-1)) + EXP(2.21*(J166-1)) + EXP(2.21*(K166-1)) + EXP(2.21*(L166-1)) + EXP(2.21*M166)   )/100*2.45 )</f>
        <v>0.40183591897512122</v>
      </c>
      <c r="P166" s="973"/>
    </row>
    <row r="167" spans="1:16">
      <c r="A167" s="68" t="str">
        <f>Clothing!A351</f>
        <v>Clothing (product sector)</v>
      </c>
      <c r="B167" s="304" t="str">
        <f>Clothing!B351</f>
        <v>Apparel accessories</v>
      </c>
      <c r="C167" s="69" t="str">
        <f>Clothing!C351</f>
        <v>NL</v>
      </c>
      <c r="D167" s="823" t="str">
        <f>Clothing!D351</f>
        <v>Acryl</v>
      </c>
      <c r="E167" s="69">
        <f>Clothing!E351</f>
        <v>0.17880344000000001</v>
      </c>
      <c r="F167" s="823">
        <f>Clothing!F351</f>
        <v>1</v>
      </c>
      <c r="G167" s="69" t="str">
        <f>Clothing!G351</f>
        <v>https://eeb.org/library/draft-product-environmental-footprint-category-rules-pefcr-apparel-and-footwear/</v>
      </c>
      <c r="H167" s="1188">
        <f>Clothing!H351</f>
        <v>2</v>
      </c>
      <c r="I167" s="307"/>
      <c r="J167" s="307">
        <f>Clothing!J351</f>
        <v>2</v>
      </c>
      <c r="K167" s="307">
        <f>Clothing!K351</f>
        <v>1</v>
      </c>
      <c r="L167" s="307">
        <f>Clothing!L351</f>
        <v>2</v>
      </c>
      <c r="M167" s="307">
        <f>Clothing!M351</f>
        <v>2</v>
      </c>
      <c r="N167" s="616">
        <f>IF( OR( ISBLANK(H167),ISBLANK(J167), ISBLANK(K167), ISBLANK(L167), ISBLANK(M167) ), "", 1.5*SQRT(   EXP(2.21*(H167-1)) + EXP(2.21*(J167-1)) + EXP(2.21*(K167-1)) + EXP(2.21*(L167-1)) + EXP(2.21*M167)   )/100*2.45 )</f>
        <v>0.38795788889711302</v>
      </c>
      <c r="O167" s="1282" t="str">
        <f>IF( OR( ISBLANK(I167),ISBLANK(J167), ISBLANK(K167), ISBLANK(L167), ISBLANK(M167) ), "", 1.5*SQRT( EXP(2.21*(I167-1)) + EXP(2.21*(J167-1)) + EXP(2.21*(K167-1)) + EXP(2.21*(L167-1)) + EXP(2.21*M167)   )/100*2.45 )</f>
        <v/>
      </c>
      <c r="P167" s="68"/>
    </row>
    <row r="168" spans="1:16">
      <c r="A168" s="68" t="str">
        <f>Clothing!A352</f>
        <v>Clothing (product sector)</v>
      </c>
      <c r="B168" s="304" t="str">
        <f>Clothing!B352</f>
        <v>Apparel accessories</v>
      </c>
      <c r="C168" s="69" t="str">
        <f>Clothing!C352</f>
        <v>NL</v>
      </c>
      <c r="D168" s="823" t="str">
        <f>Clothing!D352</f>
        <v>OTHER</v>
      </c>
      <c r="E168" s="69">
        <f>Clothing!E352</f>
        <v>1.463661E-3</v>
      </c>
      <c r="F168" s="823">
        <f>Clothing!F352</f>
        <v>1</v>
      </c>
      <c r="G168" s="69" t="str">
        <f>Clothing!G352</f>
        <v>https://eeb.org/library/draft-product-environmental-footprint-category-rules-pefcr-apparel-and-footwear/</v>
      </c>
      <c r="H168" s="1188">
        <f>Clothing!H352</f>
        <v>2</v>
      </c>
      <c r="I168" s="307"/>
      <c r="J168" s="307">
        <f>Clothing!J352</f>
        <v>2</v>
      </c>
      <c r="K168" s="307">
        <f>Clothing!K352</f>
        <v>1</v>
      </c>
      <c r="L168" s="307">
        <f>Clothing!L352</f>
        <v>2</v>
      </c>
      <c r="M168" s="307">
        <f>Clothing!M352</f>
        <v>2</v>
      </c>
      <c r="N168" s="616">
        <f>IF( OR( ISBLANK(H168),ISBLANK(J168), ISBLANK(K168), ISBLANK(L168), ISBLANK(M168) ), "", 1.5*SQRT(   EXP(2.21*(H168-1)) + EXP(2.21*(J168-1)) + EXP(2.21*(K168-1)) + EXP(2.21*(L168-1)) + EXP(2.21*M168)   )/100*2.45 )</f>
        <v>0.38795788889711302</v>
      </c>
      <c r="O168" s="1282" t="str">
        <f>IF( OR( ISBLANK(I168),ISBLANK(J168), ISBLANK(K168), ISBLANK(L168), ISBLANK(M168) ), "", 1.5*SQRT( EXP(2.21*(I168-1)) + EXP(2.21*(J168-1)) + EXP(2.21*(K168-1)) + EXP(2.21*(L168-1)) + EXP(2.21*M168)   )/100*2.45 )</f>
        <v/>
      </c>
      <c r="P168" s="68"/>
    </row>
    <row r="169" spans="1:16">
      <c r="A169" s="68" t="str">
        <f>Clothing!A353</f>
        <v>Clothing (product sector)</v>
      </c>
      <c r="B169" s="304" t="str">
        <f>Clothing!B353</f>
        <v>Apparel accessories</v>
      </c>
      <c r="C169" s="69" t="str">
        <f>Clothing!C353</f>
        <v>NL</v>
      </c>
      <c r="D169" s="823" t="str">
        <f>Clothing!D353</f>
        <v>PA</v>
      </c>
      <c r="E169" s="69">
        <f>Clothing!E353</f>
        <v>1.9180867000000001E-2</v>
      </c>
      <c r="F169" s="823">
        <f>Clothing!F353</f>
        <v>1</v>
      </c>
      <c r="G169" s="69" t="str">
        <f>Clothing!G353</f>
        <v>https://eeb.org/library/draft-product-environmental-footprint-category-rules-pefcr-apparel-and-footwear/</v>
      </c>
      <c r="H169" s="1188">
        <f>Clothing!H353</f>
        <v>2</v>
      </c>
      <c r="I169" s="307"/>
      <c r="J169" s="307">
        <f>Clothing!J353</f>
        <v>2</v>
      </c>
      <c r="K169" s="307">
        <f>Clothing!K353</f>
        <v>1</v>
      </c>
      <c r="L169" s="307">
        <f>Clothing!L353</f>
        <v>2</v>
      </c>
      <c r="M169" s="307">
        <f>Clothing!M353</f>
        <v>2</v>
      </c>
      <c r="N169" s="616">
        <f>IF( OR( ISBLANK(H169),ISBLANK(J169), ISBLANK(K169), ISBLANK(L169), ISBLANK(M169) ), "", 1.5*SQRT(   EXP(2.21*(H169-1)) + EXP(2.21*(J169-1)) + EXP(2.21*(K169-1)) + EXP(2.21*(L169-1)) + EXP(2.21*M169)   )/100*2.45 )</f>
        <v>0.38795788889711302</v>
      </c>
      <c r="O169" s="1282" t="str">
        <f>IF( OR( ISBLANK(I169),ISBLANK(J169), ISBLANK(K169), ISBLANK(L169), ISBLANK(M169) ), "", 1.5*SQRT( EXP(2.21*(I169-1)) + EXP(2.21*(J169-1)) + EXP(2.21*(K169-1)) + EXP(2.21*(L169-1)) + EXP(2.21*M169)   )/100*2.45 )</f>
        <v/>
      </c>
      <c r="P169" s="68"/>
    </row>
    <row r="170" spans="1:16">
      <c r="A170" s="68" t="str">
        <f>Clothing!A354</f>
        <v>Clothing (product sector)</v>
      </c>
      <c r="B170" s="304" t="str">
        <f>Clothing!B354</f>
        <v>Apparel accessories</v>
      </c>
      <c r="C170" s="69" t="str">
        <f>Clothing!C354</f>
        <v>NL</v>
      </c>
      <c r="D170" s="823" t="str">
        <f>Clothing!D354</f>
        <v>PET</v>
      </c>
      <c r="E170" s="69">
        <f>Clothing!E354</f>
        <v>3.0492526999999998E-2</v>
      </c>
      <c r="F170" s="823">
        <f>Clothing!F354</f>
        <v>1</v>
      </c>
      <c r="G170" s="69" t="str">
        <f>Clothing!G354</f>
        <v>https://eeb.org/library/draft-product-environmental-footprint-category-rules-pefcr-apparel-and-footwear/</v>
      </c>
      <c r="H170" s="1188">
        <f>Clothing!H354</f>
        <v>2</v>
      </c>
      <c r="I170" s="307"/>
      <c r="J170" s="307">
        <f>Clothing!J354</f>
        <v>2</v>
      </c>
      <c r="K170" s="307">
        <f>Clothing!K354</f>
        <v>1</v>
      </c>
      <c r="L170" s="307">
        <f>Clothing!L354</f>
        <v>2</v>
      </c>
      <c r="M170" s="307">
        <f>Clothing!M354</f>
        <v>2</v>
      </c>
      <c r="N170" s="616">
        <f>IF( OR( ISBLANK(H170),ISBLANK(J170), ISBLANK(K170), ISBLANK(L170), ISBLANK(M170) ), "", 1.5*SQRT(   EXP(2.21*(H170-1)) + EXP(2.21*(J170-1)) + EXP(2.21*(K170-1)) + EXP(2.21*(L170-1)) + EXP(2.21*M170)   )/100*2.45 )</f>
        <v>0.38795788889711302</v>
      </c>
      <c r="O170" s="1282" t="str">
        <f>IF( OR( ISBLANK(I170),ISBLANK(J170), ISBLANK(K170), ISBLANK(L170), ISBLANK(M170) ), "", 1.5*SQRT( EXP(2.21*(I170-1)) + EXP(2.21*(J170-1)) + EXP(2.21*(K170-1)) + EXP(2.21*(L170-1)) + EXP(2.21*M170)   )/100*2.45 )</f>
        <v/>
      </c>
      <c r="P170" s="68"/>
    </row>
    <row r="171" spans="1:16">
      <c r="A171" s="68" t="str">
        <f>Clothing!A355</f>
        <v>Clothing (product sector)</v>
      </c>
      <c r="B171" s="304" t="str">
        <f>Clothing!B355</f>
        <v>Boots</v>
      </c>
      <c r="C171" s="69" t="str">
        <f>Clothing!C355</f>
        <v>NL</v>
      </c>
      <c r="D171" s="823" t="str">
        <f>Clothing!D355</f>
        <v>OTHER</v>
      </c>
      <c r="E171" s="69">
        <f>Clothing!E355</f>
        <v>1.5850409999999999E-2</v>
      </c>
      <c r="F171" s="823">
        <f>Clothing!F355</f>
        <v>1</v>
      </c>
      <c r="G171" s="69" t="str">
        <f>Clothing!G355</f>
        <v>https://eeb.org/library/draft-product-environmental-footprint-category-rules-pefcr-apparel-and-footwear/</v>
      </c>
      <c r="H171" s="1188">
        <f>Clothing!H355</f>
        <v>2</v>
      </c>
      <c r="I171" s="307"/>
      <c r="J171" s="307">
        <f>Clothing!J355</f>
        <v>2</v>
      </c>
      <c r="K171" s="307">
        <f>Clothing!K355</f>
        <v>1</v>
      </c>
      <c r="L171" s="307">
        <f>Clothing!L355</f>
        <v>2</v>
      </c>
      <c r="M171" s="307">
        <f>Clothing!M355</f>
        <v>2</v>
      </c>
      <c r="N171" s="616">
        <f>IF( OR( ISBLANK(H171),ISBLANK(J171), ISBLANK(K171), ISBLANK(L171), ISBLANK(M171) ), "", 1.5*SQRT(   EXP(2.21*(H171-1)) + EXP(2.21*(J171-1)) + EXP(2.21*(K171-1)) + EXP(2.21*(L171-1)) + EXP(2.21*M171)   )/100*2.45 )</f>
        <v>0.38795788889711302</v>
      </c>
      <c r="O171" s="1282" t="str">
        <f>IF( OR( ISBLANK(I171),ISBLANK(J171), ISBLANK(K171), ISBLANK(L171), ISBLANK(M171) ), "", 1.5*SQRT( EXP(2.21*(I171-1)) + EXP(2.21*(J171-1)) + EXP(2.21*(K171-1)) + EXP(2.21*(L171-1)) + EXP(2.21*M171)   )/100*2.45 )</f>
        <v/>
      </c>
      <c r="P171" s="68"/>
    </row>
    <row r="172" spans="1:16">
      <c r="A172" s="68" t="str">
        <f>Clothing!A356</f>
        <v>Clothing (product sector)</v>
      </c>
      <c r="B172" s="304" t="str">
        <f>Clothing!B356</f>
        <v>Boots</v>
      </c>
      <c r="C172" s="69" t="str">
        <f>Clothing!C356</f>
        <v>NL</v>
      </c>
      <c r="D172" s="823" t="str">
        <f>Clothing!D356</f>
        <v>PA</v>
      </c>
      <c r="E172" s="69">
        <f>Clothing!E356</f>
        <v>3.6350166000000003E-2</v>
      </c>
      <c r="F172" s="823">
        <f>Clothing!F356</f>
        <v>1</v>
      </c>
      <c r="G172" s="69" t="str">
        <f>Clothing!G356</f>
        <v>https://eeb.org/library/draft-product-environmental-footprint-category-rules-pefcr-apparel-and-footwear/</v>
      </c>
      <c r="H172" s="1188">
        <f>Clothing!H356</f>
        <v>2</v>
      </c>
      <c r="I172" s="307"/>
      <c r="J172" s="307">
        <f>Clothing!J356</f>
        <v>2</v>
      </c>
      <c r="K172" s="307">
        <f>Clothing!K356</f>
        <v>1</v>
      </c>
      <c r="L172" s="307">
        <f>Clothing!L356</f>
        <v>2</v>
      </c>
      <c r="M172" s="307">
        <f>Clothing!M356</f>
        <v>2</v>
      </c>
      <c r="N172" s="616">
        <f>IF( OR( ISBLANK(H172),ISBLANK(J172), ISBLANK(K172), ISBLANK(L172), ISBLANK(M172) ), "", 1.5*SQRT(   EXP(2.21*(H172-1)) + EXP(2.21*(J172-1)) + EXP(2.21*(K172-1)) + EXP(2.21*(L172-1)) + EXP(2.21*M172)   )/100*2.45 )</f>
        <v>0.38795788889711302</v>
      </c>
      <c r="O172" s="1282" t="str">
        <f>IF( OR( ISBLANK(I172),ISBLANK(J172), ISBLANK(K172), ISBLANK(L172), ISBLANK(M172) ), "", 1.5*SQRT( EXP(2.21*(I172-1)) + EXP(2.21*(J172-1)) + EXP(2.21*(K172-1)) + EXP(2.21*(L172-1)) + EXP(2.21*M172)   )/100*2.45 )</f>
        <v/>
      </c>
      <c r="P172" s="68"/>
    </row>
    <row r="173" spans="1:16">
      <c r="A173" s="68" t="str">
        <f>Clothing!A357</f>
        <v>Clothing (product sector)</v>
      </c>
      <c r="B173" s="304" t="str">
        <f>Clothing!B357</f>
        <v>Boots</v>
      </c>
      <c r="C173" s="69" t="str">
        <f>Clothing!C357</f>
        <v>NL</v>
      </c>
      <c r="D173" s="823" t="str">
        <f>Clothing!D357</f>
        <v>PET</v>
      </c>
      <c r="E173" s="69">
        <f>Clothing!E357</f>
        <v>4.0375331E-2</v>
      </c>
      <c r="F173" s="823">
        <f>Clothing!F357</f>
        <v>1</v>
      </c>
      <c r="G173" s="69" t="str">
        <f>Clothing!G357</f>
        <v>https://eeb.org/library/draft-product-environmental-footprint-category-rules-pefcr-apparel-and-footwear/</v>
      </c>
      <c r="H173" s="1188">
        <f>Clothing!H357</f>
        <v>2</v>
      </c>
      <c r="I173" s="307"/>
      <c r="J173" s="307">
        <f>Clothing!J357</f>
        <v>2</v>
      </c>
      <c r="K173" s="307">
        <f>Clothing!K357</f>
        <v>1</v>
      </c>
      <c r="L173" s="307">
        <f>Clothing!L357</f>
        <v>2</v>
      </c>
      <c r="M173" s="307">
        <f>Clothing!M357</f>
        <v>2</v>
      </c>
      <c r="N173" s="616">
        <f>IF( OR( ISBLANK(H173),ISBLANK(J173), ISBLANK(K173), ISBLANK(L173), ISBLANK(M173) ), "", 1.5*SQRT(   EXP(2.21*(H173-1)) + EXP(2.21*(J173-1)) + EXP(2.21*(K173-1)) + EXP(2.21*(L173-1)) + EXP(2.21*M173)   )/100*2.45 )</f>
        <v>0.38795788889711302</v>
      </c>
      <c r="O173" s="1282" t="str">
        <f>IF( OR( ISBLANK(I173),ISBLANK(J173), ISBLANK(K173), ISBLANK(L173), ISBLANK(M173) ), "", 1.5*SQRT( EXP(2.21*(I173-1)) + EXP(2.21*(J173-1)) + EXP(2.21*(K173-1)) + EXP(2.21*(L173-1)) + EXP(2.21*M173)   )/100*2.45 )</f>
        <v/>
      </c>
      <c r="P173" s="68"/>
    </row>
    <row r="174" spans="1:16">
      <c r="A174" s="68" t="str">
        <f>Clothing!A358</f>
        <v>Clothing (product sector)</v>
      </c>
      <c r="B174" s="304" t="str">
        <f>Clothing!B358</f>
        <v>Boots</v>
      </c>
      <c r="C174" s="69" t="str">
        <f>Clothing!C358</f>
        <v>NL</v>
      </c>
      <c r="D174" s="823" t="str">
        <f>Clothing!D358</f>
        <v>PUR</v>
      </c>
      <c r="E174" s="69">
        <f>Clothing!E358</f>
        <v>0.49830867699999998</v>
      </c>
      <c r="F174" s="823">
        <f>Clothing!F358</f>
        <v>1</v>
      </c>
      <c r="G174" s="69" t="str">
        <f>Clothing!G358</f>
        <v>https://eeb.org/library/draft-product-environmental-footprint-category-rules-pefcr-apparel-and-footwear/</v>
      </c>
      <c r="H174" s="1188">
        <f>Clothing!H358</f>
        <v>2</v>
      </c>
      <c r="I174" s="307"/>
      <c r="J174" s="307">
        <f>Clothing!J358</f>
        <v>2</v>
      </c>
      <c r="K174" s="307">
        <f>Clothing!K358</f>
        <v>1</v>
      </c>
      <c r="L174" s="307">
        <f>Clothing!L358</f>
        <v>2</v>
      </c>
      <c r="M174" s="307">
        <f>Clothing!M358</f>
        <v>2</v>
      </c>
      <c r="N174" s="616">
        <f>IF( OR( ISBLANK(H174),ISBLANK(J174), ISBLANK(K174), ISBLANK(L174), ISBLANK(M174) ), "", 1.5*SQRT(   EXP(2.21*(H174-1)) + EXP(2.21*(J174-1)) + EXP(2.21*(K174-1)) + EXP(2.21*(L174-1)) + EXP(2.21*M174)   )/100*2.45 )</f>
        <v>0.38795788889711302</v>
      </c>
      <c r="O174" s="1282" t="str">
        <f>IF( OR( ISBLANK(I174),ISBLANK(J174), ISBLANK(K174), ISBLANK(L174), ISBLANK(M174) ), "", 1.5*SQRT( EXP(2.21*(I174-1)) + EXP(2.21*(J174-1)) + EXP(2.21*(K174-1)) + EXP(2.21*(L174-1)) + EXP(2.21*M174)   )/100*2.45 )</f>
        <v/>
      </c>
      <c r="P174" s="68"/>
    </row>
    <row r="175" spans="1:16">
      <c r="A175" s="68" t="str">
        <f>Clothing!A359</f>
        <v>Clothing (product sector)</v>
      </c>
      <c r="B175" s="304" t="str">
        <f>Clothing!B359</f>
        <v>Boots</v>
      </c>
      <c r="C175" s="69" t="str">
        <f>Clothing!C359</f>
        <v>NL</v>
      </c>
      <c r="D175" s="823" t="str">
        <f>Clothing!D359</f>
        <v>PVC</v>
      </c>
      <c r="E175" s="69">
        <f>Clothing!E359</f>
        <v>0.45898524299999999</v>
      </c>
      <c r="F175" s="823">
        <f>Clothing!F359</f>
        <v>1</v>
      </c>
      <c r="G175" s="69" t="str">
        <f>Clothing!G359</f>
        <v>https://eeb.org/library/draft-product-environmental-footprint-category-rules-pefcr-apparel-and-footwear/</v>
      </c>
      <c r="H175" s="1188">
        <f>Clothing!H359</f>
        <v>2</v>
      </c>
      <c r="I175" s="307"/>
      <c r="J175" s="307">
        <f>Clothing!J359</f>
        <v>2</v>
      </c>
      <c r="K175" s="307">
        <f>Clothing!K359</f>
        <v>1</v>
      </c>
      <c r="L175" s="307">
        <f>Clothing!L359</f>
        <v>2</v>
      </c>
      <c r="M175" s="307">
        <f>Clothing!M359</f>
        <v>2</v>
      </c>
      <c r="N175" s="616">
        <f>IF( OR( ISBLANK(H175),ISBLANK(J175), ISBLANK(K175), ISBLANK(L175), ISBLANK(M175) ), "", 1.5*SQRT(   EXP(2.21*(H175-1)) + EXP(2.21*(J175-1)) + EXP(2.21*(K175-1)) + EXP(2.21*(L175-1)) + EXP(2.21*M175)   )/100*2.45 )</f>
        <v>0.38795788889711302</v>
      </c>
      <c r="O175" s="1282" t="str">
        <f>IF( OR( ISBLANK(I175),ISBLANK(J175), ISBLANK(K175), ISBLANK(L175), ISBLANK(M175) ), "", 1.5*SQRT( EXP(2.21*(I175-1)) + EXP(2.21*(J175-1)) + EXP(2.21*(K175-1)) + EXP(2.21*(L175-1)) + EXP(2.21*M175)   )/100*2.45 )</f>
        <v/>
      </c>
      <c r="P175" s="68"/>
    </row>
    <row r="176" spans="1:16">
      <c r="A176" s="68" t="str">
        <f>Clothing!A360</f>
        <v>Clothing (product sector)</v>
      </c>
      <c r="B176" s="304" t="str">
        <f>Clothing!B360</f>
        <v>Boots</v>
      </c>
      <c r="C176" s="69" t="str">
        <f>Clothing!C360</f>
        <v>NL</v>
      </c>
      <c r="D176" s="823" t="str">
        <f>Clothing!D360</f>
        <v>RUBBER</v>
      </c>
      <c r="E176" s="69">
        <f>Clothing!E360</f>
        <v>0.19374356000000001</v>
      </c>
      <c r="F176" s="823">
        <f>Clothing!F360</f>
        <v>1</v>
      </c>
      <c r="G176" s="69" t="str">
        <f>Clothing!G360</f>
        <v>https://eeb.org/library/draft-product-environmental-footprint-category-rules-pefcr-apparel-and-footwear/</v>
      </c>
      <c r="H176" s="1188">
        <f>Clothing!H360</f>
        <v>2</v>
      </c>
      <c r="I176" s="307"/>
      <c r="J176" s="307">
        <f>Clothing!J360</f>
        <v>2</v>
      </c>
      <c r="K176" s="307">
        <f>Clothing!K360</f>
        <v>1</v>
      </c>
      <c r="L176" s="307">
        <f>Clothing!L360</f>
        <v>2</v>
      </c>
      <c r="M176" s="307">
        <f>Clothing!M360</f>
        <v>2</v>
      </c>
      <c r="N176" s="616">
        <f>IF( OR( ISBLANK(H176),ISBLANK(J176), ISBLANK(K176), ISBLANK(L176), ISBLANK(M176) ), "", 1.5*SQRT(   EXP(2.21*(H176-1)) + EXP(2.21*(J176-1)) + EXP(2.21*(K176-1)) + EXP(2.21*(L176-1)) + EXP(2.21*M176)   )/100*2.45 )</f>
        <v>0.38795788889711302</v>
      </c>
      <c r="O176" s="1282" t="str">
        <f>IF( OR( ISBLANK(I176),ISBLANK(J176), ISBLANK(K176), ISBLANK(L176), ISBLANK(M176) ), "", 1.5*SQRT( EXP(2.21*(I176-1)) + EXP(2.21*(J176-1)) + EXP(2.21*(K176-1)) + EXP(2.21*(L176-1)) + EXP(2.21*M176)   )/100*2.45 )</f>
        <v/>
      </c>
      <c r="P176" s="68"/>
    </row>
    <row r="177" spans="1:16">
      <c r="A177" s="68" t="str">
        <f>Clothing!A361</f>
        <v>Clothing (product sector)</v>
      </c>
      <c r="B177" s="304" t="str">
        <f>Clothing!B361</f>
        <v>Closed-toed shoes</v>
      </c>
      <c r="C177" s="69" t="str">
        <f>Clothing!C361</f>
        <v>NL</v>
      </c>
      <c r="D177" s="823" t="str">
        <f>Clothing!D361</f>
        <v>OTHER</v>
      </c>
      <c r="E177" s="69">
        <f>Clothing!E361</f>
        <v>0.26250200600000001</v>
      </c>
      <c r="F177" s="823">
        <f>Clothing!F361</f>
        <v>1</v>
      </c>
      <c r="G177" s="69" t="str">
        <f>Clothing!G361</f>
        <v>https://eeb.org/library/draft-product-environmental-footprint-category-rules-pefcr-apparel-and-footwear/</v>
      </c>
      <c r="H177" s="1188">
        <f>Clothing!H361</f>
        <v>2</v>
      </c>
      <c r="I177" s="307"/>
      <c r="J177" s="307">
        <f>Clothing!J361</f>
        <v>2</v>
      </c>
      <c r="K177" s="307">
        <f>Clothing!K361</f>
        <v>1</v>
      </c>
      <c r="L177" s="307">
        <f>Clothing!L361</f>
        <v>2</v>
      </c>
      <c r="M177" s="307">
        <f>Clothing!M361</f>
        <v>2</v>
      </c>
      <c r="N177" s="616">
        <f>IF( OR( ISBLANK(H177),ISBLANK(J177), ISBLANK(K177), ISBLANK(L177), ISBLANK(M177) ), "", 1.5*SQRT(   EXP(2.21*(H177-1)) + EXP(2.21*(J177-1)) + EXP(2.21*(K177-1)) + EXP(2.21*(L177-1)) + EXP(2.21*M177)   )/100*2.45 )</f>
        <v>0.38795788889711302</v>
      </c>
      <c r="O177" s="1282" t="str">
        <f>IF( OR( ISBLANK(I177),ISBLANK(J177), ISBLANK(K177), ISBLANK(L177), ISBLANK(M177) ), "", 1.5*SQRT( EXP(2.21*(I177-1)) + EXP(2.21*(J177-1)) + EXP(2.21*(K177-1)) + EXP(2.21*(L177-1)) + EXP(2.21*M177)   )/100*2.45 )</f>
        <v/>
      </c>
      <c r="P177" s="68"/>
    </row>
    <row r="178" spans="1:16">
      <c r="A178" s="68" t="str">
        <f>Clothing!A362</f>
        <v>Clothing (product sector)</v>
      </c>
      <c r="B178" s="304" t="str">
        <f>Clothing!B362</f>
        <v>Closed-toed shoes</v>
      </c>
      <c r="C178" s="69" t="str">
        <f>Clothing!C362</f>
        <v>NL</v>
      </c>
      <c r="D178" s="823" t="str">
        <f>Clothing!D362</f>
        <v>PA</v>
      </c>
      <c r="E178" s="69">
        <f>Clothing!E362</f>
        <v>7.8522105999999994E-2</v>
      </c>
      <c r="F178" s="823">
        <f>Clothing!F362</f>
        <v>1</v>
      </c>
      <c r="G178" s="69" t="str">
        <f>Clothing!G362</f>
        <v>https://eeb.org/library/draft-product-environmental-footprint-category-rules-pefcr-apparel-and-footwear/</v>
      </c>
      <c r="H178" s="1188">
        <f>Clothing!H362</f>
        <v>2</v>
      </c>
      <c r="I178" s="307"/>
      <c r="J178" s="307">
        <f>Clothing!J362</f>
        <v>2</v>
      </c>
      <c r="K178" s="307">
        <f>Clothing!K362</f>
        <v>1</v>
      </c>
      <c r="L178" s="307">
        <f>Clothing!L362</f>
        <v>2</v>
      </c>
      <c r="M178" s="307">
        <f>Clothing!M362</f>
        <v>2</v>
      </c>
      <c r="N178" s="616">
        <f>IF( OR( ISBLANK(H178),ISBLANK(J178), ISBLANK(K178), ISBLANK(L178), ISBLANK(M178) ), "", 1.5*SQRT(   EXP(2.21*(H178-1)) + EXP(2.21*(J178-1)) + EXP(2.21*(K178-1)) + EXP(2.21*(L178-1)) + EXP(2.21*M178)   )/100*2.45 )</f>
        <v>0.38795788889711302</v>
      </c>
      <c r="O178" s="1282" t="str">
        <f>IF( OR( ISBLANK(I178),ISBLANK(J178), ISBLANK(K178), ISBLANK(L178), ISBLANK(M178) ), "", 1.5*SQRT( EXP(2.21*(I178-1)) + EXP(2.21*(J178-1)) + EXP(2.21*(K178-1)) + EXP(2.21*(L178-1)) + EXP(2.21*M178)   )/100*2.45 )</f>
        <v/>
      </c>
      <c r="P178" s="68"/>
    </row>
    <row r="179" spans="1:16">
      <c r="A179" s="68" t="str">
        <f>Clothing!A363</f>
        <v>Clothing (product sector)</v>
      </c>
      <c r="B179" s="304" t="str">
        <f>Clothing!B363</f>
        <v>Closed-toed shoes</v>
      </c>
      <c r="C179" s="69" t="str">
        <f>Clothing!C363</f>
        <v>NL</v>
      </c>
      <c r="D179" s="823" t="str">
        <f>Clothing!D363</f>
        <v>PET</v>
      </c>
      <c r="E179" s="69">
        <f>Clothing!E363</f>
        <v>0.16171503700000001</v>
      </c>
      <c r="F179" s="823">
        <f>Clothing!F363</f>
        <v>1</v>
      </c>
      <c r="G179" s="69" t="str">
        <f>Clothing!G363</f>
        <v>https://eeb.org/library/draft-product-environmental-footprint-category-rules-pefcr-apparel-and-footwear/</v>
      </c>
      <c r="H179" s="1188">
        <f>Clothing!H363</f>
        <v>2</v>
      </c>
      <c r="I179" s="307"/>
      <c r="J179" s="307">
        <f>Clothing!J363</f>
        <v>2</v>
      </c>
      <c r="K179" s="307">
        <f>Clothing!K363</f>
        <v>1</v>
      </c>
      <c r="L179" s="307">
        <f>Clothing!L363</f>
        <v>2</v>
      </c>
      <c r="M179" s="307">
        <f>Clothing!M363</f>
        <v>2</v>
      </c>
      <c r="N179" s="616">
        <f>IF( OR( ISBLANK(H179),ISBLANK(J179), ISBLANK(K179), ISBLANK(L179), ISBLANK(M179) ), "", 1.5*SQRT(   EXP(2.21*(H179-1)) + EXP(2.21*(J179-1)) + EXP(2.21*(K179-1)) + EXP(2.21*(L179-1)) + EXP(2.21*M179)   )/100*2.45 )</f>
        <v>0.38795788889711302</v>
      </c>
      <c r="O179" s="1282" t="str">
        <f>IF( OR( ISBLANK(I179),ISBLANK(J179), ISBLANK(K179), ISBLANK(L179), ISBLANK(M179) ), "", 1.5*SQRT( EXP(2.21*(I179-1)) + EXP(2.21*(J179-1)) + EXP(2.21*(K179-1)) + EXP(2.21*(L179-1)) + EXP(2.21*M179)   )/100*2.45 )</f>
        <v/>
      </c>
      <c r="P179" s="68"/>
    </row>
    <row r="180" spans="1:16">
      <c r="A180" s="68" t="str">
        <f>Clothing!A364</f>
        <v>Clothing (product sector)</v>
      </c>
      <c r="B180" s="304" t="str">
        <f>Clothing!B364</f>
        <v>Closed-toed shoes</v>
      </c>
      <c r="C180" s="69" t="str">
        <f>Clothing!C364</f>
        <v>NL</v>
      </c>
      <c r="D180" s="823" t="str">
        <f>Clothing!D364</f>
        <v>PUR</v>
      </c>
      <c r="E180" s="69">
        <f>Clothing!E364</f>
        <v>0.40365957699999999</v>
      </c>
      <c r="F180" s="823">
        <f>Clothing!F364</f>
        <v>1</v>
      </c>
      <c r="G180" s="69" t="str">
        <f>Clothing!G364</f>
        <v>https://eeb.org/library/draft-product-environmental-footprint-category-rules-pefcr-apparel-and-footwear/</v>
      </c>
      <c r="H180" s="1188">
        <f>Clothing!H364</f>
        <v>2</v>
      </c>
      <c r="I180" s="307"/>
      <c r="J180" s="307">
        <f>Clothing!J364</f>
        <v>2</v>
      </c>
      <c r="K180" s="307">
        <f>Clothing!K364</f>
        <v>1</v>
      </c>
      <c r="L180" s="307">
        <f>Clothing!L364</f>
        <v>2</v>
      </c>
      <c r="M180" s="307">
        <f>Clothing!M364</f>
        <v>2</v>
      </c>
      <c r="N180" s="616">
        <f>IF( OR( ISBLANK(H180),ISBLANK(J180), ISBLANK(K180), ISBLANK(L180), ISBLANK(M180) ), "", 1.5*SQRT(   EXP(2.21*(H180-1)) + EXP(2.21*(J180-1)) + EXP(2.21*(K180-1)) + EXP(2.21*(L180-1)) + EXP(2.21*M180)   )/100*2.45 )</f>
        <v>0.38795788889711302</v>
      </c>
      <c r="O180" s="1282" t="str">
        <f>IF( OR( ISBLANK(I180),ISBLANK(J180), ISBLANK(K180), ISBLANK(L180), ISBLANK(M180) ), "", 1.5*SQRT( EXP(2.21*(I180-1)) + EXP(2.21*(J180-1)) + EXP(2.21*(K180-1)) + EXP(2.21*(L180-1)) + EXP(2.21*M180)   )/100*2.45 )</f>
        <v/>
      </c>
      <c r="P180" s="68"/>
    </row>
    <row r="181" spans="1:16">
      <c r="A181" s="68" t="str">
        <f>Clothing!A365</f>
        <v>Clothing (product sector)</v>
      </c>
      <c r="B181" s="304" t="str">
        <f>Clothing!B365</f>
        <v>Closed-toed shoes</v>
      </c>
      <c r="C181" s="69" t="str">
        <f>Clothing!C365</f>
        <v>NL</v>
      </c>
      <c r="D181" s="823" t="str">
        <f>Clothing!D365</f>
        <v>PVC</v>
      </c>
      <c r="E181" s="69">
        <f>Clothing!E365</f>
        <v>0.424920301</v>
      </c>
      <c r="F181" s="823">
        <f>Clothing!F365</f>
        <v>1</v>
      </c>
      <c r="G181" s="69" t="str">
        <f>Clothing!G365</f>
        <v>https://eeb.org/library/draft-product-environmental-footprint-category-rules-pefcr-apparel-and-footwear/</v>
      </c>
      <c r="H181" s="1188">
        <f>Clothing!H365</f>
        <v>2</v>
      </c>
      <c r="I181" s="307"/>
      <c r="J181" s="307">
        <f>Clothing!J365</f>
        <v>2</v>
      </c>
      <c r="K181" s="307">
        <f>Clothing!K365</f>
        <v>1</v>
      </c>
      <c r="L181" s="307">
        <f>Clothing!L365</f>
        <v>2</v>
      </c>
      <c r="M181" s="307">
        <f>Clothing!M365</f>
        <v>2</v>
      </c>
      <c r="N181" s="616">
        <f>IF( OR( ISBLANK(H181),ISBLANK(J181), ISBLANK(K181), ISBLANK(L181), ISBLANK(M181) ), "", 1.5*SQRT(   EXP(2.21*(H181-1)) + EXP(2.21*(J181-1)) + EXP(2.21*(K181-1)) + EXP(2.21*(L181-1)) + EXP(2.21*M181)   )/100*2.45 )</f>
        <v>0.38795788889711302</v>
      </c>
      <c r="O181" s="1282" t="str">
        <f>IF( OR( ISBLANK(I181),ISBLANK(J181), ISBLANK(K181), ISBLANK(L181), ISBLANK(M181) ), "", 1.5*SQRT( EXP(2.21*(I181-1)) + EXP(2.21*(J181-1)) + EXP(2.21*(K181-1)) + EXP(2.21*(L181-1)) + EXP(2.21*M181)   )/100*2.45 )</f>
        <v/>
      </c>
      <c r="P181" s="68"/>
    </row>
    <row r="182" spans="1:16">
      <c r="A182" s="68" t="str">
        <f>Clothing!A366</f>
        <v>Clothing (product sector)</v>
      </c>
      <c r="B182" s="304" t="str">
        <f>Clothing!B366</f>
        <v>Closed-toed shoes</v>
      </c>
      <c r="C182" s="69" t="str">
        <f>Clothing!C366</f>
        <v>NL</v>
      </c>
      <c r="D182" s="823" t="str">
        <f>Clothing!D366</f>
        <v>RUBBER</v>
      </c>
      <c r="E182" s="69">
        <f>Clothing!E366</f>
        <v>0.608751602</v>
      </c>
      <c r="F182" s="823">
        <f>Clothing!F366</f>
        <v>1</v>
      </c>
      <c r="G182" s="69" t="str">
        <f>Clothing!G366</f>
        <v>https://eeb.org/library/draft-product-environmental-footprint-category-rules-pefcr-apparel-and-footwear/</v>
      </c>
      <c r="H182" s="1188">
        <f>Clothing!H366</f>
        <v>2</v>
      </c>
      <c r="I182" s="307"/>
      <c r="J182" s="307">
        <f>Clothing!J366</f>
        <v>2</v>
      </c>
      <c r="K182" s="307">
        <f>Clothing!K366</f>
        <v>1</v>
      </c>
      <c r="L182" s="307">
        <f>Clothing!L366</f>
        <v>2</v>
      </c>
      <c r="M182" s="307">
        <f>Clothing!M366</f>
        <v>2</v>
      </c>
      <c r="N182" s="616">
        <f>IF( OR( ISBLANK(H182),ISBLANK(J182), ISBLANK(K182), ISBLANK(L182), ISBLANK(M182) ), "", 1.5*SQRT(   EXP(2.21*(H182-1)) + EXP(2.21*(J182-1)) + EXP(2.21*(K182-1)) + EXP(2.21*(L182-1)) + EXP(2.21*M182)   )/100*2.45 )</f>
        <v>0.38795788889711302</v>
      </c>
      <c r="O182" s="1282" t="str">
        <f>IF( OR( ISBLANK(I182),ISBLANK(J182), ISBLANK(K182), ISBLANK(L182), ISBLANK(M182) ), "", 1.5*SQRT( EXP(2.21*(I182-1)) + EXP(2.21*(J182-1)) + EXP(2.21*(K182-1)) + EXP(2.21*(L182-1)) + EXP(2.21*M182)   )/100*2.45 )</f>
        <v/>
      </c>
      <c r="P182" s="68"/>
    </row>
    <row r="183" spans="1:16">
      <c r="A183" s="68" t="str">
        <f>Clothing!A367</f>
        <v>Clothing (product sector)</v>
      </c>
      <c r="B183" s="304" t="str">
        <f>Clothing!B367</f>
        <v>Dresses skirts and jumpsuits</v>
      </c>
      <c r="C183" s="69" t="str">
        <f>Clothing!C367</f>
        <v>NL</v>
      </c>
      <c r="D183" s="823" t="str">
        <f>Clothing!D367</f>
        <v>Acryl</v>
      </c>
      <c r="E183" s="69">
        <f>Clothing!E367</f>
        <v>0</v>
      </c>
      <c r="F183" s="823">
        <f>Clothing!F367</f>
        <v>1</v>
      </c>
      <c r="G183" s="69" t="str">
        <f>Clothing!G367</f>
        <v>https://eeb.org/library/draft-product-environmental-footprint-category-rules-pefcr-apparel-and-footwear/</v>
      </c>
      <c r="H183" s="1188">
        <f>Clothing!H367</f>
        <v>2</v>
      </c>
      <c r="I183" s="307"/>
      <c r="J183" s="307">
        <f>Clothing!J367</f>
        <v>2</v>
      </c>
      <c r="K183" s="307">
        <f>Clothing!K367</f>
        <v>1</v>
      </c>
      <c r="L183" s="307">
        <f>Clothing!L367</f>
        <v>2</v>
      </c>
      <c r="M183" s="307">
        <f>Clothing!M367</f>
        <v>2</v>
      </c>
      <c r="N183" s="616">
        <f>IF( OR( ISBLANK(H183),ISBLANK(J183), ISBLANK(K183), ISBLANK(L183), ISBLANK(M183) ), "", 1.5*SQRT(   EXP(2.21*(H183-1)) + EXP(2.21*(J183-1)) + EXP(2.21*(K183-1)) + EXP(2.21*(L183-1)) + EXP(2.21*M183)   )/100*2.45 )</f>
        <v>0.38795788889711302</v>
      </c>
      <c r="O183" s="1282" t="str">
        <f>IF( OR( ISBLANK(I183),ISBLANK(J183), ISBLANK(K183), ISBLANK(L183), ISBLANK(M183) ), "", 1.5*SQRT( EXP(2.21*(I183-1)) + EXP(2.21*(J183-1)) + EXP(2.21*(K183-1)) + EXP(2.21*(L183-1)) + EXP(2.21*M183)   )/100*2.45 )</f>
        <v/>
      </c>
      <c r="P183" s="68"/>
    </row>
    <row r="184" spans="1:16">
      <c r="A184" s="68" t="str">
        <f>Clothing!A368</f>
        <v>Clothing (product sector)</v>
      </c>
      <c r="B184" s="304" t="str">
        <f>Clothing!B368</f>
        <v>Dresses skirts and jumpsuits</v>
      </c>
      <c r="C184" s="69" t="str">
        <f>Clothing!C368</f>
        <v>NL</v>
      </c>
      <c r="D184" s="823" t="str">
        <f>Clothing!D368</f>
        <v>OTHER</v>
      </c>
      <c r="E184" s="69">
        <f>Clothing!E368</f>
        <v>1.459066E-3</v>
      </c>
      <c r="F184" s="823">
        <f>Clothing!F368</f>
        <v>1</v>
      </c>
      <c r="G184" s="69" t="str">
        <f>Clothing!G368</f>
        <v>https://eeb.org/library/draft-product-environmental-footprint-category-rules-pefcr-apparel-and-footwear/</v>
      </c>
      <c r="H184" s="1188">
        <f>Clothing!H368</f>
        <v>2</v>
      </c>
      <c r="I184" s="307"/>
      <c r="J184" s="307">
        <f>Clothing!J368</f>
        <v>2</v>
      </c>
      <c r="K184" s="307">
        <f>Clothing!K368</f>
        <v>1</v>
      </c>
      <c r="L184" s="307">
        <f>Clothing!L368</f>
        <v>2</v>
      </c>
      <c r="M184" s="307">
        <f>Clothing!M368</f>
        <v>2</v>
      </c>
      <c r="N184" s="616">
        <f>IF( OR( ISBLANK(H184),ISBLANK(J184), ISBLANK(K184), ISBLANK(L184), ISBLANK(M184) ), "", 1.5*SQRT(   EXP(2.21*(H184-1)) + EXP(2.21*(J184-1)) + EXP(2.21*(K184-1)) + EXP(2.21*(L184-1)) + EXP(2.21*M184)   )/100*2.45 )</f>
        <v>0.38795788889711302</v>
      </c>
      <c r="O184" s="1282" t="str">
        <f>IF( OR( ISBLANK(I184),ISBLANK(J184), ISBLANK(K184), ISBLANK(L184), ISBLANK(M184) ), "", 1.5*SQRT( EXP(2.21*(I184-1)) + EXP(2.21*(J184-1)) + EXP(2.21*(K184-1)) + EXP(2.21*(L184-1)) + EXP(2.21*M184)   )/100*2.45 )</f>
        <v/>
      </c>
      <c r="P184" s="68"/>
    </row>
    <row r="185" spans="1:16">
      <c r="A185" s="68" t="str">
        <f>Clothing!A369</f>
        <v>Clothing (product sector)</v>
      </c>
      <c r="B185" s="304" t="str">
        <f>Clothing!B369</f>
        <v>Dresses skirts and jumpsuits</v>
      </c>
      <c r="C185" s="69" t="str">
        <f>Clothing!C369</f>
        <v>NL</v>
      </c>
      <c r="D185" s="823" t="str">
        <f>Clothing!D369</f>
        <v>PA</v>
      </c>
      <c r="E185" s="69">
        <f>Clothing!E369</f>
        <v>2.6768923999999999E-2</v>
      </c>
      <c r="F185" s="823">
        <f>Clothing!F369</f>
        <v>1</v>
      </c>
      <c r="G185" s="69" t="str">
        <f>Clothing!G369</f>
        <v>https://eeb.org/library/draft-product-environmental-footprint-category-rules-pefcr-apparel-and-footwear/</v>
      </c>
      <c r="H185" s="1188">
        <f>Clothing!H369</f>
        <v>2</v>
      </c>
      <c r="I185" s="307"/>
      <c r="J185" s="307">
        <f>Clothing!J369</f>
        <v>2</v>
      </c>
      <c r="K185" s="307">
        <f>Clothing!K369</f>
        <v>1</v>
      </c>
      <c r="L185" s="307">
        <f>Clothing!L369</f>
        <v>2</v>
      </c>
      <c r="M185" s="307">
        <f>Clothing!M369</f>
        <v>2</v>
      </c>
      <c r="N185" s="616">
        <f>IF( OR( ISBLANK(H185),ISBLANK(J185), ISBLANK(K185), ISBLANK(L185), ISBLANK(M185) ), "", 1.5*SQRT(   EXP(2.21*(H185-1)) + EXP(2.21*(J185-1)) + EXP(2.21*(K185-1)) + EXP(2.21*(L185-1)) + EXP(2.21*M185)   )/100*2.45 )</f>
        <v>0.38795788889711302</v>
      </c>
      <c r="O185" s="1282" t="str">
        <f>IF( OR( ISBLANK(I185),ISBLANK(J185), ISBLANK(K185), ISBLANK(L185), ISBLANK(M185) ), "", 1.5*SQRT( EXP(2.21*(I185-1)) + EXP(2.21*(J185-1)) + EXP(2.21*(K185-1)) + EXP(2.21*(L185-1)) + EXP(2.21*M185)   )/100*2.45 )</f>
        <v/>
      </c>
      <c r="P185" s="68"/>
    </row>
    <row r="186" spans="1:16">
      <c r="A186" s="68" t="str">
        <f>Clothing!A370</f>
        <v>Clothing (product sector)</v>
      </c>
      <c r="B186" s="304" t="str">
        <f>Clothing!B370</f>
        <v>Dresses skirts and jumpsuits</v>
      </c>
      <c r="C186" s="69" t="str">
        <f>Clothing!C370</f>
        <v>NL</v>
      </c>
      <c r="D186" s="823" t="str">
        <f>Clothing!D370</f>
        <v>PET</v>
      </c>
      <c r="E186" s="69">
        <f>Clothing!E370</f>
        <v>3.7166411000000003E-2</v>
      </c>
      <c r="F186" s="823">
        <f>Clothing!F370</f>
        <v>1</v>
      </c>
      <c r="G186" s="69" t="str">
        <f>Clothing!G370</f>
        <v>https://eeb.org/library/draft-product-environmental-footprint-category-rules-pefcr-apparel-and-footwear/</v>
      </c>
      <c r="H186" s="1188">
        <f>Clothing!H370</f>
        <v>2</v>
      </c>
      <c r="I186" s="307"/>
      <c r="J186" s="307">
        <f>Clothing!J370</f>
        <v>2</v>
      </c>
      <c r="K186" s="307">
        <f>Clothing!K370</f>
        <v>1</v>
      </c>
      <c r="L186" s="307">
        <f>Clothing!L370</f>
        <v>2</v>
      </c>
      <c r="M186" s="307">
        <f>Clothing!M370</f>
        <v>2</v>
      </c>
      <c r="N186" s="616">
        <f>IF( OR( ISBLANK(H186),ISBLANK(J186), ISBLANK(K186), ISBLANK(L186), ISBLANK(M186) ), "", 1.5*SQRT(   EXP(2.21*(H186-1)) + EXP(2.21*(J186-1)) + EXP(2.21*(K186-1)) + EXP(2.21*(L186-1)) + EXP(2.21*M186)   )/100*2.45 )</f>
        <v>0.38795788889711302</v>
      </c>
      <c r="O186" s="1282" t="str">
        <f>IF( OR( ISBLANK(I186),ISBLANK(J186), ISBLANK(K186), ISBLANK(L186), ISBLANK(M186) ), "", 1.5*SQRT( EXP(2.21*(I186-1)) + EXP(2.21*(J186-1)) + EXP(2.21*(K186-1)) + EXP(2.21*(L186-1)) + EXP(2.21*M186)   )/100*2.45 )</f>
        <v/>
      </c>
      <c r="P186" s="68"/>
    </row>
    <row r="187" spans="1:16">
      <c r="A187" s="68" t="str">
        <f>Clothing!A371</f>
        <v>Clothing (product sector)</v>
      </c>
      <c r="B187" s="304" t="str">
        <f>Clothing!B371</f>
        <v>Jackets and coats</v>
      </c>
      <c r="C187" s="69" t="str">
        <f>Clothing!C371</f>
        <v>NL</v>
      </c>
      <c r="D187" s="823" t="str">
        <f>Clothing!D371</f>
        <v>Acryl</v>
      </c>
      <c r="E187" s="69">
        <f>Clothing!E371</f>
        <v>0.54133729500000005</v>
      </c>
      <c r="F187" s="823">
        <f>Clothing!F371</f>
        <v>1</v>
      </c>
      <c r="G187" s="69" t="str">
        <f>Clothing!G371</f>
        <v>https://eeb.org/library/draft-product-environmental-footprint-category-rules-pefcr-apparel-and-footwear/</v>
      </c>
      <c r="H187" s="1188">
        <f>Clothing!H371</f>
        <v>2</v>
      </c>
      <c r="I187" s="307"/>
      <c r="J187" s="307">
        <f>Clothing!J371</f>
        <v>2</v>
      </c>
      <c r="K187" s="307">
        <f>Clothing!K371</f>
        <v>1</v>
      </c>
      <c r="L187" s="307">
        <f>Clothing!L371</f>
        <v>2</v>
      </c>
      <c r="M187" s="307">
        <f>Clothing!M371</f>
        <v>2</v>
      </c>
      <c r="N187" s="616">
        <f>IF( OR( ISBLANK(H187),ISBLANK(J187), ISBLANK(K187), ISBLANK(L187), ISBLANK(M187) ), "", 1.5*SQRT(   EXP(2.21*(H187-1)) + EXP(2.21*(J187-1)) + EXP(2.21*(K187-1)) + EXP(2.21*(L187-1)) + EXP(2.21*M187)   )/100*2.45 )</f>
        <v>0.38795788889711302</v>
      </c>
      <c r="O187" s="1282" t="str">
        <f>IF( OR( ISBLANK(I187),ISBLANK(J187), ISBLANK(K187), ISBLANK(L187), ISBLANK(M187) ), "", 1.5*SQRT( EXP(2.21*(I187-1)) + EXP(2.21*(J187-1)) + EXP(2.21*(K187-1)) + EXP(2.21*(L187-1)) + EXP(2.21*M187)   )/100*2.45 )</f>
        <v/>
      </c>
      <c r="P187" s="68"/>
    </row>
    <row r="188" spans="1:16">
      <c r="A188" s="68" t="str">
        <f>Clothing!A372</f>
        <v>Clothing (product sector)</v>
      </c>
      <c r="B188" s="304" t="str">
        <f>Clothing!B372</f>
        <v>Jackets and coats</v>
      </c>
      <c r="C188" s="69" t="str">
        <f>Clothing!C372</f>
        <v>NL</v>
      </c>
      <c r="D188" s="823" t="str">
        <f>Clothing!D372</f>
        <v>OTHER</v>
      </c>
      <c r="E188" s="69">
        <f>Clothing!E372</f>
        <v>6.4455466000000003E-2</v>
      </c>
      <c r="F188" s="823">
        <f>Clothing!F372</f>
        <v>1</v>
      </c>
      <c r="G188" s="69" t="str">
        <f>Clothing!G372</f>
        <v>https://eeb.org/library/draft-product-environmental-footprint-category-rules-pefcr-apparel-and-footwear/</v>
      </c>
      <c r="H188" s="1188">
        <f>Clothing!H372</f>
        <v>2</v>
      </c>
      <c r="I188" s="307"/>
      <c r="J188" s="307">
        <f>Clothing!J372</f>
        <v>2</v>
      </c>
      <c r="K188" s="307">
        <f>Clothing!K372</f>
        <v>1</v>
      </c>
      <c r="L188" s="307">
        <f>Clothing!L372</f>
        <v>2</v>
      </c>
      <c r="M188" s="307">
        <f>Clothing!M372</f>
        <v>2</v>
      </c>
      <c r="N188" s="616">
        <f>IF( OR( ISBLANK(H188),ISBLANK(J188), ISBLANK(K188), ISBLANK(L188), ISBLANK(M188) ), "", 1.5*SQRT(   EXP(2.21*(H188-1)) + EXP(2.21*(J188-1)) + EXP(2.21*(K188-1)) + EXP(2.21*(L188-1)) + EXP(2.21*M188)   )/100*2.45 )</f>
        <v>0.38795788889711302</v>
      </c>
      <c r="O188" s="1282" t="str">
        <f>IF( OR( ISBLANK(I188),ISBLANK(J188), ISBLANK(K188), ISBLANK(L188), ISBLANK(M188) ), "", 1.5*SQRT( EXP(2.21*(I188-1)) + EXP(2.21*(J188-1)) + EXP(2.21*(K188-1)) + EXP(2.21*(L188-1)) + EXP(2.21*M188)   )/100*2.45 )</f>
        <v/>
      </c>
      <c r="P188" s="68"/>
    </row>
    <row r="189" spans="1:16">
      <c r="A189" s="68" t="str">
        <f>Clothing!A373</f>
        <v>Clothing (product sector)</v>
      </c>
      <c r="B189" s="304" t="str">
        <f>Clothing!B373</f>
        <v>Jackets and coats</v>
      </c>
      <c r="C189" s="69" t="str">
        <f>Clothing!C373</f>
        <v>NL</v>
      </c>
      <c r="D189" s="823" t="str">
        <f>Clothing!D373</f>
        <v>PA</v>
      </c>
      <c r="E189" s="69">
        <f>Clothing!E373</f>
        <v>0.31675163699999997</v>
      </c>
      <c r="F189" s="823">
        <f>Clothing!F373</f>
        <v>1</v>
      </c>
      <c r="G189" s="69" t="str">
        <f>Clothing!G373</f>
        <v>https://eeb.org/library/draft-product-environmental-footprint-category-rules-pefcr-apparel-and-footwear/</v>
      </c>
      <c r="H189" s="1188">
        <f>Clothing!H373</f>
        <v>2</v>
      </c>
      <c r="I189" s="307"/>
      <c r="J189" s="307">
        <f>Clothing!J373</f>
        <v>2</v>
      </c>
      <c r="K189" s="307">
        <f>Clothing!K373</f>
        <v>1</v>
      </c>
      <c r="L189" s="307">
        <f>Clothing!L373</f>
        <v>2</v>
      </c>
      <c r="M189" s="307">
        <f>Clothing!M373</f>
        <v>2</v>
      </c>
      <c r="N189" s="616">
        <f>IF( OR( ISBLANK(H189),ISBLANK(J189), ISBLANK(K189), ISBLANK(L189), ISBLANK(M189) ), "", 1.5*SQRT(   EXP(2.21*(H189-1)) + EXP(2.21*(J189-1)) + EXP(2.21*(K189-1)) + EXP(2.21*(L189-1)) + EXP(2.21*M189)   )/100*2.45 )</f>
        <v>0.38795788889711302</v>
      </c>
      <c r="O189" s="1282" t="str">
        <f>IF( OR( ISBLANK(I189),ISBLANK(J189), ISBLANK(K189), ISBLANK(L189), ISBLANK(M189) ), "", 1.5*SQRT( EXP(2.21*(I189-1)) + EXP(2.21*(J189-1)) + EXP(2.21*(K189-1)) + EXP(2.21*(L189-1)) + EXP(2.21*M189)   )/100*2.45 )</f>
        <v/>
      </c>
      <c r="P189" s="68"/>
    </row>
    <row r="190" spans="1:16">
      <c r="A190" s="68" t="str">
        <f>Clothing!A374</f>
        <v>Clothing (product sector)</v>
      </c>
      <c r="B190" s="304" t="str">
        <f>Clothing!B374</f>
        <v>Jackets and coats</v>
      </c>
      <c r="C190" s="69" t="str">
        <f>Clothing!C374</f>
        <v>NL</v>
      </c>
      <c r="D190" s="823" t="str">
        <f>Clothing!D374</f>
        <v>PET</v>
      </c>
      <c r="E190" s="69">
        <f>Clothing!E374</f>
        <v>0.17649963399999999</v>
      </c>
      <c r="F190" s="823">
        <f>Clothing!F374</f>
        <v>1</v>
      </c>
      <c r="G190" s="69" t="str">
        <f>Clothing!G374</f>
        <v>https://eeb.org/library/draft-product-environmental-footprint-category-rules-pefcr-apparel-and-footwear/</v>
      </c>
      <c r="H190" s="1188">
        <f>Clothing!H374</f>
        <v>2</v>
      </c>
      <c r="I190" s="307"/>
      <c r="J190" s="307">
        <f>Clothing!J374</f>
        <v>2</v>
      </c>
      <c r="K190" s="307">
        <f>Clothing!K374</f>
        <v>1</v>
      </c>
      <c r="L190" s="307">
        <f>Clothing!L374</f>
        <v>2</v>
      </c>
      <c r="M190" s="307">
        <f>Clothing!M374</f>
        <v>2</v>
      </c>
      <c r="N190" s="616">
        <f>IF( OR( ISBLANK(H190),ISBLANK(J190), ISBLANK(K190), ISBLANK(L190), ISBLANK(M190) ), "", 1.5*SQRT(   EXP(2.21*(H190-1)) + EXP(2.21*(J190-1)) + EXP(2.21*(K190-1)) + EXP(2.21*(L190-1)) + EXP(2.21*M190)   )/100*2.45 )</f>
        <v>0.38795788889711302</v>
      </c>
      <c r="O190" s="1282" t="str">
        <f>IF( OR( ISBLANK(I190),ISBLANK(J190), ISBLANK(K190), ISBLANK(L190), ISBLANK(M190) ), "", 1.5*SQRT( EXP(2.21*(I190-1)) + EXP(2.21*(J190-1)) + EXP(2.21*(K190-1)) + EXP(2.21*(L190-1)) + EXP(2.21*M190)   )/100*2.45 )</f>
        <v/>
      </c>
      <c r="P190" s="68"/>
    </row>
    <row r="191" spans="1:16">
      <c r="A191" s="68" t="str">
        <f>Clothing!A375</f>
        <v>Clothing (product sector)</v>
      </c>
      <c r="B191" s="304" t="str">
        <f>Clothing!B375</f>
        <v>Leggings stockings tights and socks</v>
      </c>
      <c r="C191" s="69" t="str">
        <f>Clothing!C375</f>
        <v>NL</v>
      </c>
      <c r="D191" s="823" t="str">
        <f>Clothing!D375</f>
        <v>Acryl</v>
      </c>
      <c r="E191" s="69">
        <f>Clothing!E375</f>
        <v>8.7360879999999995E-3</v>
      </c>
      <c r="F191" s="823">
        <f>Clothing!F375</f>
        <v>1</v>
      </c>
      <c r="G191" s="69" t="str">
        <f>Clothing!G375</f>
        <v>https://eeb.org/library/draft-product-environmental-footprint-category-rules-pefcr-apparel-and-footwear/</v>
      </c>
      <c r="H191" s="1188">
        <f>Clothing!H375</f>
        <v>2</v>
      </c>
      <c r="I191" s="307"/>
      <c r="J191" s="307">
        <f>Clothing!J375</f>
        <v>2</v>
      </c>
      <c r="K191" s="307">
        <f>Clothing!K375</f>
        <v>1</v>
      </c>
      <c r="L191" s="307">
        <f>Clothing!L375</f>
        <v>2</v>
      </c>
      <c r="M191" s="307">
        <f>Clothing!M375</f>
        <v>2</v>
      </c>
      <c r="N191" s="616">
        <f>IF( OR( ISBLANK(H191),ISBLANK(J191), ISBLANK(K191), ISBLANK(L191), ISBLANK(M191) ), "", 1.5*SQRT(   EXP(2.21*(H191-1)) + EXP(2.21*(J191-1)) + EXP(2.21*(K191-1)) + EXP(2.21*(L191-1)) + EXP(2.21*M191)   )/100*2.45 )</f>
        <v>0.38795788889711302</v>
      </c>
      <c r="O191" s="1282" t="str">
        <f>IF( OR( ISBLANK(I191),ISBLANK(J191), ISBLANK(K191), ISBLANK(L191), ISBLANK(M191) ), "", 1.5*SQRT( EXP(2.21*(I191-1)) + EXP(2.21*(J191-1)) + EXP(2.21*(K191-1)) + EXP(2.21*(L191-1)) + EXP(2.21*M191)   )/100*2.45 )</f>
        <v/>
      </c>
      <c r="P191" s="68"/>
    </row>
    <row r="192" spans="1:16">
      <c r="A192" s="68" t="str">
        <f>Clothing!A376</f>
        <v>Clothing (product sector)</v>
      </c>
      <c r="B192" s="304" t="str">
        <f>Clothing!B376</f>
        <v>Leggings stockings tights and socks</v>
      </c>
      <c r="C192" s="69" t="str">
        <f>Clothing!C376</f>
        <v>NL</v>
      </c>
      <c r="D192" s="823" t="str">
        <f>Clothing!D376</f>
        <v>OTHER</v>
      </c>
      <c r="E192" s="69">
        <f>Clothing!E376</f>
        <v>6.351471E-3</v>
      </c>
      <c r="F192" s="823">
        <f>Clothing!F376</f>
        <v>1</v>
      </c>
      <c r="G192" s="69" t="str">
        <f>Clothing!G376</f>
        <v>https://eeb.org/library/draft-product-environmental-footprint-category-rules-pefcr-apparel-and-footwear/</v>
      </c>
      <c r="H192" s="1188">
        <f>Clothing!H376</f>
        <v>2</v>
      </c>
      <c r="I192" s="307"/>
      <c r="J192" s="307">
        <f>Clothing!J376</f>
        <v>2</v>
      </c>
      <c r="K192" s="307">
        <f>Clothing!K376</f>
        <v>1</v>
      </c>
      <c r="L192" s="307">
        <f>Clothing!L376</f>
        <v>2</v>
      </c>
      <c r="M192" s="307">
        <f>Clothing!M376</f>
        <v>2</v>
      </c>
      <c r="N192" s="616">
        <f>IF( OR( ISBLANK(H192),ISBLANK(J192), ISBLANK(K192), ISBLANK(L192), ISBLANK(M192) ), "", 1.5*SQRT(   EXP(2.21*(H192-1)) + EXP(2.21*(J192-1)) + EXP(2.21*(K192-1)) + EXP(2.21*(L192-1)) + EXP(2.21*M192)   )/100*2.45 )</f>
        <v>0.38795788889711302</v>
      </c>
      <c r="O192" s="1282" t="str">
        <f>IF( OR( ISBLANK(I192),ISBLANK(J192), ISBLANK(K192), ISBLANK(L192), ISBLANK(M192) ), "", 1.5*SQRT( EXP(2.21*(I192-1)) + EXP(2.21*(J192-1)) + EXP(2.21*(K192-1)) + EXP(2.21*(L192-1)) + EXP(2.21*M192)   )/100*2.45 )</f>
        <v/>
      </c>
      <c r="P192" s="68"/>
    </row>
    <row r="193" spans="1:16">
      <c r="A193" s="68" t="str">
        <f>Clothing!A377</f>
        <v>Clothing (product sector)</v>
      </c>
      <c r="B193" s="304" t="str">
        <f>Clothing!B377</f>
        <v>Leggings stockings tights and socks</v>
      </c>
      <c r="C193" s="69" t="str">
        <f>Clothing!C377</f>
        <v>NL</v>
      </c>
      <c r="D193" s="823" t="str">
        <f>Clothing!D377</f>
        <v>PA</v>
      </c>
      <c r="E193" s="69">
        <f>Clothing!E377</f>
        <v>1.6600953000000002E-2</v>
      </c>
      <c r="F193" s="823">
        <f>Clothing!F377</f>
        <v>1</v>
      </c>
      <c r="G193" s="69" t="str">
        <f>Clothing!G377</f>
        <v>https://eeb.org/library/draft-product-environmental-footprint-category-rules-pefcr-apparel-and-footwear/</v>
      </c>
      <c r="H193" s="1188">
        <f>Clothing!H377</f>
        <v>2</v>
      </c>
      <c r="I193" s="307"/>
      <c r="J193" s="307">
        <f>Clothing!J377</f>
        <v>2</v>
      </c>
      <c r="K193" s="307">
        <f>Clothing!K377</f>
        <v>1</v>
      </c>
      <c r="L193" s="307">
        <f>Clothing!L377</f>
        <v>2</v>
      </c>
      <c r="M193" s="307">
        <f>Clothing!M377</f>
        <v>2</v>
      </c>
      <c r="N193" s="616">
        <f>IF( OR( ISBLANK(H193),ISBLANK(J193), ISBLANK(K193), ISBLANK(L193), ISBLANK(M193) ), "", 1.5*SQRT(   EXP(2.21*(H193-1)) + EXP(2.21*(J193-1)) + EXP(2.21*(K193-1)) + EXP(2.21*(L193-1)) + EXP(2.21*M193)   )/100*2.45 )</f>
        <v>0.38795788889711302</v>
      </c>
      <c r="O193" s="1282" t="str">
        <f>IF( OR( ISBLANK(I193),ISBLANK(J193), ISBLANK(K193), ISBLANK(L193), ISBLANK(M193) ), "", 1.5*SQRT( EXP(2.21*(I193-1)) + EXP(2.21*(J193-1)) + EXP(2.21*(K193-1)) + EXP(2.21*(L193-1)) + EXP(2.21*M193)   )/100*2.45 )</f>
        <v/>
      </c>
      <c r="P193" s="68"/>
    </row>
    <row r="194" spans="1:16">
      <c r="A194" s="68" t="str">
        <f>Clothing!A378</f>
        <v>Clothing (product sector)</v>
      </c>
      <c r="B194" s="304" t="str">
        <f>Clothing!B378</f>
        <v>Leggings stockings tights and socks</v>
      </c>
      <c r="C194" s="69" t="str">
        <f>Clothing!C378</f>
        <v>NL</v>
      </c>
      <c r="D194" s="823" t="str">
        <f>Clothing!D378</f>
        <v>PET</v>
      </c>
      <c r="E194" s="69">
        <f>Clothing!E378</f>
        <v>2.3272089999999998E-3</v>
      </c>
      <c r="F194" s="823">
        <f>Clothing!F378</f>
        <v>1</v>
      </c>
      <c r="G194" s="69" t="str">
        <f>Clothing!G378</f>
        <v>https://eeb.org/library/draft-product-environmental-footprint-category-rules-pefcr-apparel-and-footwear/</v>
      </c>
      <c r="H194" s="1188">
        <f>Clothing!H378</f>
        <v>2</v>
      </c>
      <c r="I194" s="307"/>
      <c r="J194" s="307">
        <f>Clothing!J378</f>
        <v>2</v>
      </c>
      <c r="K194" s="307">
        <f>Clothing!K378</f>
        <v>1</v>
      </c>
      <c r="L194" s="307">
        <f>Clothing!L378</f>
        <v>2</v>
      </c>
      <c r="M194" s="307">
        <f>Clothing!M378</f>
        <v>2</v>
      </c>
      <c r="N194" s="616">
        <f>IF( OR( ISBLANK(H194),ISBLANK(J194), ISBLANK(K194), ISBLANK(L194), ISBLANK(M194) ), "", 1.5*SQRT(   EXP(2.21*(H194-1)) + EXP(2.21*(J194-1)) + EXP(2.21*(K194-1)) + EXP(2.21*(L194-1)) + EXP(2.21*M194)   )/100*2.45 )</f>
        <v>0.38795788889711302</v>
      </c>
      <c r="O194" s="1282" t="str">
        <f>IF( OR( ISBLANK(I194),ISBLANK(J194), ISBLANK(K194), ISBLANK(L194), ISBLANK(M194) ), "", 1.5*SQRT( EXP(2.21*(I194-1)) + EXP(2.21*(J194-1)) + EXP(2.21*(K194-1)) + EXP(2.21*(L194-1)) + EXP(2.21*M194)   )/100*2.45 )</f>
        <v/>
      </c>
      <c r="P194" s="68"/>
    </row>
    <row r="195" spans="1:16">
      <c r="A195" s="68" t="str">
        <f>Clothing!A379</f>
        <v>Clothing (product sector)</v>
      </c>
      <c r="B195" s="304" t="str">
        <f>Clothing!B379</f>
        <v>Open-toed shoes</v>
      </c>
      <c r="C195" s="69" t="str">
        <f>Clothing!C379</f>
        <v>NL</v>
      </c>
      <c r="D195" s="823" t="str">
        <f>Clothing!D379</f>
        <v>OTHER</v>
      </c>
      <c r="E195" s="69">
        <f>Clothing!E379</f>
        <v>0.26504994500000001</v>
      </c>
      <c r="F195" s="823">
        <f>Clothing!F379</f>
        <v>1</v>
      </c>
      <c r="G195" s="69" t="str">
        <f>Clothing!G379</f>
        <v>https://eeb.org/library/draft-product-environmental-footprint-category-rules-pefcr-apparel-and-footwear/</v>
      </c>
      <c r="H195" s="1188">
        <f>Clothing!H379</f>
        <v>2</v>
      </c>
      <c r="I195" s="307"/>
      <c r="J195" s="307">
        <f>Clothing!J379</f>
        <v>2</v>
      </c>
      <c r="K195" s="307">
        <f>Clothing!K379</f>
        <v>1</v>
      </c>
      <c r="L195" s="307">
        <f>Clothing!L379</f>
        <v>2</v>
      </c>
      <c r="M195" s="307">
        <f>Clothing!M379</f>
        <v>2</v>
      </c>
      <c r="N195" s="616">
        <f>IF( OR( ISBLANK(H195),ISBLANK(J195), ISBLANK(K195), ISBLANK(L195), ISBLANK(M195) ), "", 1.5*SQRT(   EXP(2.21*(H195-1)) + EXP(2.21*(J195-1)) + EXP(2.21*(K195-1)) + EXP(2.21*(L195-1)) + EXP(2.21*M195)   )/100*2.45 )</f>
        <v>0.38795788889711302</v>
      </c>
      <c r="O195" s="1282" t="str">
        <f>IF( OR( ISBLANK(I195),ISBLANK(J195), ISBLANK(K195), ISBLANK(L195), ISBLANK(M195) ), "", 1.5*SQRT( EXP(2.21*(I195-1)) + EXP(2.21*(J195-1)) + EXP(2.21*(K195-1)) + EXP(2.21*(L195-1)) + EXP(2.21*M195)   )/100*2.45 )</f>
        <v/>
      </c>
      <c r="P195" s="68"/>
    </row>
    <row r="196" spans="1:16">
      <c r="A196" s="68" t="str">
        <f>Clothing!A380</f>
        <v>Clothing (product sector)</v>
      </c>
      <c r="B196" s="304" t="str">
        <f>Clothing!B380</f>
        <v>Open-toed shoes</v>
      </c>
      <c r="C196" s="69" t="str">
        <f>Clothing!C380</f>
        <v>NL</v>
      </c>
      <c r="D196" s="823" t="str">
        <f>Clothing!D380</f>
        <v>PA</v>
      </c>
      <c r="E196" s="69">
        <f>Clothing!E380</f>
        <v>0</v>
      </c>
      <c r="F196" s="823">
        <f>Clothing!F380</f>
        <v>1</v>
      </c>
      <c r="G196" s="69" t="str">
        <f>Clothing!G380</f>
        <v>https://eeb.org/library/draft-product-environmental-footprint-category-rules-pefcr-apparel-and-footwear/</v>
      </c>
      <c r="H196" s="1188">
        <f>Clothing!H380</f>
        <v>2</v>
      </c>
      <c r="I196" s="307"/>
      <c r="J196" s="307">
        <f>Clothing!J380</f>
        <v>2</v>
      </c>
      <c r="K196" s="307">
        <f>Clothing!K380</f>
        <v>1</v>
      </c>
      <c r="L196" s="307">
        <f>Clothing!L380</f>
        <v>2</v>
      </c>
      <c r="M196" s="307">
        <f>Clothing!M380</f>
        <v>2</v>
      </c>
      <c r="N196" s="616">
        <f>IF( OR( ISBLANK(H196),ISBLANK(J196), ISBLANK(K196), ISBLANK(L196), ISBLANK(M196) ), "", 1.5*SQRT(   EXP(2.21*(H196-1)) + EXP(2.21*(J196-1)) + EXP(2.21*(K196-1)) + EXP(2.21*(L196-1)) + EXP(2.21*M196)   )/100*2.45 )</f>
        <v>0.38795788889711302</v>
      </c>
      <c r="O196" s="1282" t="str">
        <f>IF( OR( ISBLANK(I196),ISBLANK(J196), ISBLANK(K196), ISBLANK(L196), ISBLANK(M196) ), "", 1.5*SQRT( EXP(2.21*(I196-1)) + EXP(2.21*(J196-1)) + EXP(2.21*(K196-1)) + EXP(2.21*(L196-1)) + EXP(2.21*M196)   )/100*2.45 )</f>
        <v/>
      </c>
      <c r="P196" s="68"/>
    </row>
    <row r="197" spans="1:16">
      <c r="A197" s="68" t="str">
        <f>Clothing!A381</f>
        <v>Clothing (product sector)</v>
      </c>
      <c r="B197" s="304" t="str">
        <f>Clothing!B381</f>
        <v>Open-toed shoes</v>
      </c>
      <c r="C197" s="69" t="str">
        <f>Clothing!C381</f>
        <v>NL</v>
      </c>
      <c r="D197" s="823" t="str">
        <f>Clothing!D381</f>
        <v>PET</v>
      </c>
      <c r="E197" s="69">
        <f>Clothing!E381</f>
        <v>4.9643730000000002E-3</v>
      </c>
      <c r="F197" s="823">
        <f>Clothing!F381</f>
        <v>1</v>
      </c>
      <c r="G197" s="69" t="str">
        <f>Clothing!G381</f>
        <v>https://eeb.org/library/draft-product-environmental-footprint-category-rules-pefcr-apparel-and-footwear/</v>
      </c>
      <c r="H197" s="1188">
        <f>Clothing!H381</f>
        <v>2</v>
      </c>
      <c r="I197" s="307"/>
      <c r="J197" s="307">
        <f>Clothing!J381</f>
        <v>2</v>
      </c>
      <c r="K197" s="307">
        <f>Clothing!K381</f>
        <v>1</v>
      </c>
      <c r="L197" s="307">
        <f>Clothing!L381</f>
        <v>2</v>
      </c>
      <c r="M197" s="307">
        <f>Clothing!M381</f>
        <v>2</v>
      </c>
      <c r="N197" s="616">
        <f>IF( OR( ISBLANK(H197),ISBLANK(J197), ISBLANK(K197), ISBLANK(L197), ISBLANK(M197) ), "", 1.5*SQRT(   EXP(2.21*(H197-1)) + EXP(2.21*(J197-1)) + EXP(2.21*(K197-1)) + EXP(2.21*(L197-1)) + EXP(2.21*M197)   )/100*2.45 )</f>
        <v>0.38795788889711302</v>
      </c>
      <c r="O197" s="1282" t="str">
        <f>IF( OR( ISBLANK(I197),ISBLANK(J197), ISBLANK(K197), ISBLANK(L197), ISBLANK(M197) ), "", 1.5*SQRT( EXP(2.21*(I197-1)) + EXP(2.21*(J197-1)) + EXP(2.21*(K197-1)) + EXP(2.21*(L197-1)) + EXP(2.21*M197)   )/100*2.45 )</f>
        <v/>
      </c>
      <c r="P197" s="68"/>
    </row>
    <row r="198" spans="1:16">
      <c r="A198" s="68" t="str">
        <f>Clothing!A382</f>
        <v>Clothing (product sector)</v>
      </c>
      <c r="B198" s="304" t="str">
        <f>Clothing!B382</f>
        <v>Open-toed shoes</v>
      </c>
      <c r="C198" s="69" t="str">
        <f>Clothing!C382</f>
        <v>NL</v>
      </c>
      <c r="D198" s="823" t="str">
        <f>Clothing!D382</f>
        <v>PUR</v>
      </c>
      <c r="E198" s="69">
        <f>Clothing!E382</f>
        <v>9.8031746000000003E-2</v>
      </c>
      <c r="F198" s="823">
        <f>Clothing!F382</f>
        <v>1</v>
      </c>
      <c r="G198" s="69" t="str">
        <f>Clothing!G382</f>
        <v>https://eeb.org/library/draft-product-environmental-footprint-category-rules-pefcr-apparel-and-footwear/</v>
      </c>
      <c r="H198" s="1188">
        <f>Clothing!H382</f>
        <v>2</v>
      </c>
      <c r="I198" s="307"/>
      <c r="J198" s="307">
        <f>Clothing!J382</f>
        <v>2</v>
      </c>
      <c r="K198" s="307">
        <f>Clothing!K382</f>
        <v>1</v>
      </c>
      <c r="L198" s="307">
        <f>Clothing!L382</f>
        <v>2</v>
      </c>
      <c r="M198" s="307">
        <f>Clothing!M382</f>
        <v>2</v>
      </c>
      <c r="N198" s="616">
        <f>IF( OR( ISBLANK(H198),ISBLANK(J198), ISBLANK(K198), ISBLANK(L198), ISBLANK(M198) ), "", 1.5*SQRT(   EXP(2.21*(H198-1)) + EXP(2.21*(J198-1)) + EXP(2.21*(K198-1)) + EXP(2.21*(L198-1)) + EXP(2.21*M198)   )/100*2.45 )</f>
        <v>0.38795788889711302</v>
      </c>
      <c r="O198" s="1282" t="str">
        <f>IF( OR( ISBLANK(I198),ISBLANK(J198), ISBLANK(K198), ISBLANK(L198), ISBLANK(M198) ), "", 1.5*SQRT( EXP(2.21*(I198-1)) + EXP(2.21*(J198-1)) + EXP(2.21*(K198-1)) + EXP(2.21*(L198-1)) + EXP(2.21*M198)   )/100*2.45 )</f>
        <v/>
      </c>
      <c r="P198" s="68"/>
    </row>
    <row r="199" spans="1:16">
      <c r="A199" s="68" t="str">
        <f>Clothing!A383</f>
        <v>Clothing (product sector)</v>
      </c>
      <c r="B199" s="304" t="str">
        <f>Clothing!B383</f>
        <v>Open-toed shoes</v>
      </c>
      <c r="C199" s="69" t="str">
        <f>Clothing!C383</f>
        <v>NL</v>
      </c>
      <c r="D199" s="823" t="str">
        <f>Clothing!D383</f>
        <v>PVC</v>
      </c>
      <c r="E199" s="69">
        <f>Clothing!E383</f>
        <v>0.116094456</v>
      </c>
      <c r="F199" s="823">
        <f>Clothing!F383</f>
        <v>1</v>
      </c>
      <c r="G199" s="69" t="str">
        <f>Clothing!G383</f>
        <v>https://eeb.org/library/draft-product-environmental-footprint-category-rules-pefcr-apparel-and-footwear/</v>
      </c>
      <c r="H199" s="1188">
        <f>Clothing!H383</f>
        <v>2</v>
      </c>
      <c r="I199" s="307"/>
      <c r="J199" s="307">
        <f>Clothing!J383</f>
        <v>2</v>
      </c>
      <c r="K199" s="307">
        <f>Clothing!K383</f>
        <v>1</v>
      </c>
      <c r="L199" s="307">
        <f>Clothing!L383</f>
        <v>2</v>
      </c>
      <c r="M199" s="307">
        <f>Clothing!M383</f>
        <v>2</v>
      </c>
      <c r="N199" s="616">
        <f>IF( OR( ISBLANK(H199),ISBLANK(J199), ISBLANK(K199), ISBLANK(L199), ISBLANK(M199) ), "", 1.5*SQRT(   EXP(2.21*(H199-1)) + EXP(2.21*(J199-1)) + EXP(2.21*(K199-1)) + EXP(2.21*(L199-1)) + EXP(2.21*M199)   )/100*2.45 )</f>
        <v>0.38795788889711302</v>
      </c>
      <c r="O199" s="1282" t="str">
        <f>IF( OR( ISBLANK(I199),ISBLANK(J199), ISBLANK(K199), ISBLANK(L199), ISBLANK(M199) ), "", 1.5*SQRT( EXP(2.21*(I199-1)) + EXP(2.21*(J199-1)) + EXP(2.21*(K199-1)) + EXP(2.21*(L199-1)) + EXP(2.21*M199)   )/100*2.45 )</f>
        <v/>
      </c>
      <c r="P199" s="68"/>
    </row>
    <row r="200" spans="1:16">
      <c r="A200" s="68" t="str">
        <f>Clothing!A384</f>
        <v>Clothing (product sector)</v>
      </c>
      <c r="B200" s="304" t="str">
        <f>Clothing!B384</f>
        <v>Open-toed shoes</v>
      </c>
      <c r="C200" s="69" t="str">
        <f>Clothing!C384</f>
        <v>NL</v>
      </c>
      <c r="D200" s="823" t="str">
        <f>Clothing!D384</f>
        <v>RUBBER</v>
      </c>
      <c r="E200" s="69">
        <f>Clothing!E384</f>
        <v>0.19750483799999999</v>
      </c>
      <c r="F200" s="823">
        <f>Clothing!F384</f>
        <v>1</v>
      </c>
      <c r="G200" s="69" t="str">
        <f>Clothing!G384</f>
        <v>https://eeb.org/library/draft-product-environmental-footprint-category-rules-pefcr-apparel-and-footwear/</v>
      </c>
      <c r="H200" s="1188">
        <f>Clothing!H384</f>
        <v>2</v>
      </c>
      <c r="I200" s="307"/>
      <c r="J200" s="307">
        <f>Clothing!J384</f>
        <v>2</v>
      </c>
      <c r="K200" s="307">
        <f>Clothing!K384</f>
        <v>1</v>
      </c>
      <c r="L200" s="307">
        <f>Clothing!L384</f>
        <v>2</v>
      </c>
      <c r="M200" s="307">
        <f>Clothing!M384</f>
        <v>2</v>
      </c>
      <c r="N200" s="616">
        <f>IF( OR( ISBLANK(H200),ISBLANK(J200), ISBLANK(K200), ISBLANK(L200), ISBLANK(M200) ), "", 1.5*SQRT(   EXP(2.21*(H200-1)) + EXP(2.21*(J200-1)) + EXP(2.21*(K200-1)) + EXP(2.21*(L200-1)) + EXP(2.21*M200)   )/100*2.45 )</f>
        <v>0.38795788889711302</v>
      </c>
      <c r="O200" s="1282" t="str">
        <f>IF( OR( ISBLANK(I200),ISBLANK(J200), ISBLANK(K200), ISBLANK(L200), ISBLANK(M200) ), "", 1.5*SQRT( EXP(2.21*(I200-1)) + EXP(2.21*(J200-1)) + EXP(2.21*(K200-1)) + EXP(2.21*(L200-1)) + EXP(2.21*M200)   )/100*2.45 )</f>
        <v/>
      </c>
      <c r="P200" s="68"/>
    </row>
    <row r="201" spans="1:16">
      <c r="A201" s="68" t="str">
        <f>Clothing!A385</f>
        <v>Clothing (product sector)</v>
      </c>
      <c r="B201" s="304" t="str">
        <f>Clothing!B385</f>
        <v>Pants and shorts</v>
      </c>
      <c r="C201" s="69" t="str">
        <f>Clothing!C385</f>
        <v>NL</v>
      </c>
      <c r="D201" s="823" t="str">
        <f>Clothing!D385</f>
        <v>Acryl</v>
      </c>
      <c r="E201" s="69">
        <f>Clothing!E385</f>
        <v>0</v>
      </c>
      <c r="F201" s="823">
        <f>Clothing!F385</f>
        <v>1</v>
      </c>
      <c r="G201" s="69" t="str">
        <f>Clothing!G385</f>
        <v>https://eeb.org/library/draft-product-environmental-footprint-category-rules-pefcr-apparel-and-footwear/</v>
      </c>
      <c r="H201" s="1188">
        <f>Clothing!H385</f>
        <v>2</v>
      </c>
      <c r="I201" s="307"/>
      <c r="J201" s="307">
        <f>Clothing!J385</f>
        <v>2</v>
      </c>
      <c r="K201" s="307">
        <f>Clothing!K385</f>
        <v>1</v>
      </c>
      <c r="L201" s="307">
        <f>Clothing!L385</f>
        <v>2</v>
      </c>
      <c r="M201" s="307">
        <f>Clothing!M385</f>
        <v>2</v>
      </c>
      <c r="N201" s="616">
        <f>IF( OR( ISBLANK(H201),ISBLANK(J201), ISBLANK(K201), ISBLANK(L201), ISBLANK(M201) ), "", 1.5*SQRT(   EXP(2.21*(H201-1)) + EXP(2.21*(J201-1)) + EXP(2.21*(K201-1)) + EXP(2.21*(L201-1)) + EXP(2.21*M201)   )/100*2.45 )</f>
        <v>0.38795788889711302</v>
      </c>
      <c r="O201" s="1282" t="str">
        <f>IF( OR( ISBLANK(I201),ISBLANK(J201), ISBLANK(K201), ISBLANK(L201), ISBLANK(M201) ), "", 1.5*SQRT( EXP(2.21*(I201-1)) + EXP(2.21*(J201-1)) + EXP(2.21*(K201-1)) + EXP(2.21*(L201-1)) + EXP(2.21*M201)   )/100*2.45 )</f>
        <v/>
      </c>
      <c r="P201" s="68"/>
    </row>
    <row r="202" spans="1:16">
      <c r="A202" s="68" t="str">
        <f>Clothing!A386</f>
        <v>Clothing (product sector)</v>
      </c>
      <c r="B202" s="304" t="str">
        <f>Clothing!B386</f>
        <v>Pants and shorts</v>
      </c>
      <c r="C202" s="69" t="str">
        <f>Clothing!C386</f>
        <v>NL</v>
      </c>
      <c r="D202" s="823" t="str">
        <f>Clothing!D386</f>
        <v>OTHER</v>
      </c>
      <c r="E202" s="69">
        <f>Clothing!E386</f>
        <v>0.233365723</v>
      </c>
      <c r="F202" s="823">
        <f>Clothing!F386</f>
        <v>1</v>
      </c>
      <c r="G202" s="69" t="str">
        <f>Clothing!G386</f>
        <v>https://eeb.org/library/draft-product-environmental-footprint-category-rules-pefcr-apparel-and-footwear/</v>
      </c>
      <c r="H202" s="1188">
        <f>Clothing!H386</f>
        <v>2</v>
      </c>
      <c r="I202" s="307"/>
      <c r="J202" s="307">
        <f>Clothing!J386</f>
        <v>2</v>
      </c>
      <c r="K202" s="307">
        <f>Clothing!K386</f>
        <v>1</v>
      </c>
      <c r="L202" s="307">
        <f>Clothing!L386</f>
        <v>2</v>
      </c>
      <c r="M202" s="307">
        <f>Clothing!M386</f>
        <v>2</v>
      </c>
      <c r="N202" s="616">
        <f>IF( OR( ISBLANK(H202),ISBLANK(J202), ISBLANK(K202), ISBLANK(L202), ISBLANK(M202) ), "", 1.5*SQRT(   EXP(2.21*(H202-1)) + EXP(2.21*(J202-1)) + EXP(2.21*(K202-1)) + EXP(2.21*(L202-1)) + EXP(2.21*M202)   )/100*2.45 )</f>
        <v>0.38795788889711302</v>
      </c>
      <c r="O202" s="1282" t="str">
        <f>IF( OR( ISBLANK(I202),ISBLANK(J202), ISBLANK(K202), ISBLANK(L202), ISBLANK(M202) ), "", 1.5*SQRT( EXP(2.21*(I202-1)) + EXP(2.21*(J202-1)) + EXP(2.21*(K202-1)) + EXP(2.21*(L202-1)) + EXP(2.21*M202)   )/100*2.45 )</f>
        <v/>
      </c>
      <c r="P202" s="68"/>
    </row>
    <row r="203" spans="1:16">
      <c r="A203" s="68" t="str">
        <f>Clothing!A387</f>
        <v>Clothing (product sector)</v>
      </c>
      <c r="B203" s="304" t="str">
        <f>Clothing!B387</f>
        <v>Pants and shorts</v>
      </c>
      <c r="C203" s="69" t="str">
        <f>Clothing!C387</f>
        <v>NL</v>
      </c>
      <c r="D203" s="823" t="str">
        <f>Clothing!D387</f>
        <v>PA</v>
      </c>
      <c r="E203" s="69">
        <f>Clothing!E387</f>
        <v>0.28597607800000002</v>
      </c>
      <c r="F203" s="823">
        <f>Clothing!F387</f>
        <v>1</v>
      </c>
      <c r="G203" s="69" t="str">
        <f>Clothing!G387</f>
        <v>https://eeb.org/library/draft-product-environmental-footprint-category-rules-pefcr-apparel-and-footwear/</v>
      </c>
      <c r="H203" s="1188">
        <f>Clothing!H387</f>
        <v>2</v>
      </c>
      <c r="I203" s="307"/>
      <c r="J203" s="307">
        <f>Clothing!J387</f>
        <v>2</v>
      </c>
      <c r="K203" s="307">
        <f>Clothing!K387</f>
        <v>1</v>
      </c>
      <c r="L203" s="307">
        <f>Clothing!L387</f>
        <v>2</v>
      </c>
      <c r="M203" s="307">
        <f>Clothing!M387</f>
        <v>2</v>
      </c>
      <c r="N203" s="616">
        <f>IF( OR( ISBLANK(H203),ISBLANK(J203), ISBLANK(K203), ISBLANK(L203), ISBLANK(M203) ), "", 1.5*SQRT(   EXP(2.21*(H203-1)) + EXP(2.21*(J203-1)) + EXP(2.21*(K203-1)) + EXP(2.21*(L203-1)) + EXP(2.21*M203)   )/100*2.45 )</f>
        <v>0.38795788889711302</v>
      </c>
      <c r="O203" s="1282" t="str">
        <f>IF( OR( ISBLANK(I203),ISBLANK(J203), ISBLANK(K203), ISBLANK(L203), ISBLANK(M203) ), "", 1.5*SQRT( EXP(2.21*(I203-1)) + EXP(2.21*(J203-1)) + EXP(2.21*(K203-1)) + EXP(2.21*(L203-1)) + EXP(2.21*M203)   )/100*2.45 )</f>
        <v/>
      </c>
      <c r="P203" s="68"/>
    </row>
    <row r="204" spans="1:16">
      <c r="A204" s="68" t="str">
        <f>Clothing!A388</f>
        <v>Clothing (product sector)</v>
      </c>
      <c r="B204" s="304" t="str">
        <f>Clothing!B388</f>
        <v>Pants and shorts</v>
      </c>
      <c r="C204" s="69" t="str">
        <f>Clothing!C388</f>
        <v>NL</v>
      </c>
      <c r="D204" s="823" t="str">
        <f>Clothing!D388</f>
        <v>PET</v>
      </c>
      <c r="E204" s="69">
        <f>Clothing!E388</f>
        <v>0.29155097099999999</v>
      </c>
      <c r="F204" s="823">
        <f>Clothing!F388</f>
        <v>1</v>
      </c>
      <c r="G204" s="69" t="str">
        <f>Clothing!G388</f>
        <v>https://eeb.org/library/draft-product-environmental-footprint-category-rules-pefcr-apparel-and-footwear/</v>
      </c>
      <c r="H204" s="1188">
        <f>Clothing!H388</f>
        <v>2</v>
      </c>
      <c r="I204" s="307"/>
      <c r="J204" s="307">
        <f>Clothing!J388</f>
        <v>2</v>
      </c>
      <c r="K204" s="307">
        <f>Clothing!K388</f>
        <v>1</v>
      </c>
      <c r="L204" s="307">
        <f>Clothing!L388</f>
        <v>2</v>
      </c>
      <c r="M204" s="307">
        <f>Clothing!M388</f>
        <v>2</v>
      </c>
      <c r="N204" s="616">
        <f>IF( OR( ISBLANK(H204),ISBLANK(J204), ISBLANK(K204), ISBLANK(L204), ISBLANK(M204) ), "", 1.5*SQRT(   EXP(2.21*(H204-1)) + EXP(2.21*(J204-1)) + EXP(2.21*(K204-1)) + EXP(2.21*(L204-1)) + EXP(2.21*M204)   )/100*2.45 )</f>
        <v>0.38795788889711302</v>
      </c>
      <c r="O204" s="1282" t="str">
        <f>IF( OR( ISBLANK(I204),ISBLANK(J204), ISBLANK(K204), ISBLANK(L204), ISBLANK(M204) ), "", 1.5*SQRT( EXP(2.21*(I204-1)) + EXP(2.21*(J204-1)) + EXP(2.21*(K204-1)) + EXP(2.21*(L204-1)) + EXP(2.21*M204)   )/100*2.45 )</f>
        <v/>
      </c>
      <c r="P204" s="68"/>
    </row>
    <row r="205" spans="1:16">
      <c r="A205" s="68" t="str">
        <f>Clothing!A389</f>
        <v>Clothing (product sector)</v>
      </c>
      <c r="B205" s="304" t="str">
        <f>Clothing!B389</f>
        <v>Shirts and blouses</v>
      </c>
      <c r="C205" s="69" t="str">
        <f>Clothing!C389</f>
        <v>NL</v>
      </c>
      <c r="D205" s="823" t="str">
        <f>Clothing!D389</f>
        <v>Acryl</v>
      </c>
      <c r="E205" s="69">
        <f>Clothing!E389</f>
        <v>0</v>
      </c>
      <c r="F205" s="823">
        <f>Clothing!F389</f>
        <v>1</v>
      </c>
      <c r="G205" s="69" t="str">
        <f>Clothing!G389</f>
        <v>https://eeb.org/library/draft-product-environmental-footprint-category-rules-pefcr-apparel-and-footwear/</v>
      </c>
      <c r="H205" s="1188">
        <f>Clothing!H389</f>
        <v>2</v>
      </c>
      <c r="I205" s="307"/>
      <c r="J205" s="307">
        <f>Clothing!J389</f>
        <v>2</v>
      </c>
      <c r="K205" s="307">
        <f>Clothing!K389</f>
        <v>1</v>
      </c>
      <c r="L205" s="307">
        <f>Clothing!L389</f>
        <v>2</v>
      </c>
      <c r="M205" s="307">
        <f>Clothing!M389</f>
        <v>2</v>
      </c>
      <c r="N205" s="616">
        <f>IF( OR( ISBLANK(H205),ISBLANK(J205), ISBLANK(K205), ISBLANK(L205), ISBLANK(M205) ), "", 1.5*SQRT(   EXP(2.21*(H205-1)) + EXP(2.21*(J205-1)) + EXP(2.21*(K205-1)) + EXP(2.21*(L205-1)) + EXP(2.21*M205)   )/100*2.45 )</f>
        <v>0.38795788889711302</v>
      </c>
      <c r="O205" s="1282" t="str">
        <f>IF( OR( ISBLANK(I205),ISBLANK(J205), ISBLANK(K205), ISBLANK(L205), ISBLANK(M205) ), "", 1.5*SQRT( EXP(2.21*(I205-1)) + EXP(2.21*(J205-1)) + EXP(2.21*(K205-1)) + EXP(2.21*(L205-1)) + EXP(2.21*M205)   )/100*2.45 )</f>
        <v/>
      </c>
      <c r="P205" s="68"/>
    </row>
    <row r="206" spans="1:16">
      <c r="A206" s="68" t="str">
        <f>Clothing!A390</f>
        <v>Clothing (product sector)</v>
      </c>
      <c r="B206" s="304" t="str">
        <f>Clothing!B390</f>
        <v>Shirts and blouses</v>
      </c>
      <c r="C206" s="69" t="str">
        <f>Clothing!C390</f>
        <v>NL</v>
      </c>
      <c r="D206" s="823" t="str">
        <f>Clothing!D390</f>
        <v>OTHER</v>
      </c>
      <c r="E206" s="69">
        <f>Clothing!E390</f>
        <v>2.2136009999999999E-3</v>
      </c>
      <c r="F206" s="823">
        <f>Clothing!F390</f>
        <v>1</v>
      </c>
      <c r="G206" s="69" t="str">
        <f>Clothing!G390</f>
        <v>https://eeb.org/library/draft-product-environmental-footprint-category-rules-pefcr-apparel-and-footwear/</v>
      </c>
      <c r="H206" s="1188">
        <f>Clothing!H390</f>
        <v>2</v>
      </c>
      <c r="I206" s="307"/>
      <c r="J206" s="307">
        <f>Clothing!J390</f>
        <v>2</v>
      </c>
      <c r="K206" s="307">
        <f>Clothing!K390</f>
        <v>1</v>
      </c>
      <c r="L206" s="307">
        <f>Clothing!L390</f>
        <v>2</v>
      </c>
      <c r="M206" s="307">
        <f>Clothing!M390</f>
        <v>2</v>
      </c>
      <c r="N206" s="616">
        <f>IF( OR( ISBLANK(H206),ISBLANK(J206), ISBLANK(K206), ISBLANK(L206), ISBLANK(M206) ), "", 1.5*SQRT(   EXP(2.21*(H206-1)) + EXP(2.21*(J206-1)) + EXP(2.21*(K206-1)) + EXP(2.21*(L206-1)) + EXP(2.21*M206)   )/100*2.45 )</f>
        <v>0.38795788889711302</v>
      </c>
      <c r="O206" s="1282" t="str">
        <f>IF( OR( ISBLANK(I206),ISBLANK(J206), ISBLANK(K206), ISBLANK(L206), ISBLANK(M206) ), "", 1.5*SQRT( EXP(2.21*(I206-1)) + EXP(2.21*(J206-1)) + EXP(2.21*(K206-1)) + EXP(2.21*(L206-1)) + EXP(2.21*M206)   )/100*2.45 )</f>
        <v/>
      </c>
      <c r="P206" s="68"/>
    </row>
    <row r="207" spans="1:16">
      <c r="A207" s="68" t="str">
        <f>Clothing!A391</f>
        <v>Clothing (product sector)</v>
      </c>
      <c r="B207" s="304" t="str">
        <f>Clothing!B391</f>
        <v>Shirts and blouses</v>
      </c>
      <c r="C207" s="69" t="str">
        <f>Clothing!C391</f>
        <v>NL</v>
      </c>
      <c r="D207" s="823" t="str">
        <f>Clothing!D391</f>
        <v>PA</v>
      </c>
      <c r="E207" s="69">
        <f>Clothing!E391</f>
        <v>0</v>
      </c>
      <c r="F207" s="823">
        <f>Clothing!F391</f>
        <v>1</v>
      </c>
      <c r="G207" s="69" t="str">
        <f>Clothing!G391</f>
        <v>https://eeb.org/library/draft-product-environmental-footprint-category-rules-pefcr-apparel-and-footwear/</v>
      </c>
      <c r="H207" s="1188">
        <f>Clothing!H391</f>
        <v>2</v>
      </c>
      <c r="I207" s="307"/>
      <c r="J207" s="307">
        <f>Clothing!J391</f>
        <v>2</v>
      </c>
      <c r="K207" s="307">
        <f>Clothing!K391</f>
        <v>1</v>
      </c>
      <c r="L207" s="307">
        <f>Clothing!L391</f>
        <v>2</v>
      </c>
      <c r="M207" s="307">
        <f>Clothing!M391</f>
        <v>2</v>
      </c>
      <c r="N207" s="616">
        <f>IF( OR( ISBLANK(H207),ISBLANK(J207), ISBLANK(K207), ISBLANK(L207), ISBLANK(M207) ), "", 1.5*SQRT(   EXP(2.21*(H207-1)) + EXP(2.21*(J207-1)) + EXP(2.21*(K207-1)) + EXP(2.21*(L207-1)) + EXP(2.21*M207)   )/100*2.45 )</f>
        <v>0.38795788889711302</v>
      </c>
      <c r="O207" s="1282" t="str">
        <f>IF( OR( ISBLANK(I207),ISBLANK(J207), ISBLANK(K207), ISBLANK(L207), ISBLANK(M207) ), "", 1.5*SQRT( EXP(2.21*(I207-1)) + EXP(2.21*(J207-1)) + EXP(2.21*(K207-1)) + EXP(2.21*(L207-1)) + EXP(2.21*M207)   )/100*2.45 )</f>
        <v/>
      </c>
      <c r="P207" s="68"/>
    </row>
    <row r="208" spans="1:16">
      <c r="A208" s="68" t="str">
        <f>Clothing!A392</f>
        <v>Clothing (product sector)</v>
      </c>
      <c r="B208" s="304" t="str">
        <f>Clothing!B392</f>
        <v>Shirts and blouses</v>
      </c>
      <c r="C208" s="69" t="str">
        <f>Clothing!C392</f>
        <v>NL</v>
      </c>
      <c r="D208" s="823" t="str">
        <f>Clothing!D392</f>
        <v>PET</v>
      </c>
      <c r="E208" s="69">
        <f>Clothing!E392</f>
        <v>3.4977240999999999E-2</v>
      </c>
      <c r="F208" s="823">
        <f>Clothing!F392</f>
        <v>1</v>
      </c>
      <c r="G208" s="69" t="str">
        <f>Clothing!G392</f>
        <v>https://eeb.org/library/draft-product-environmental-footprint-category-rules-pefcr-apparel-and-footwear/</v>
      </c>
      <c r="H208" s="1188">
        <f>Clothing!H392</f>
        <v>2</v>
      </c>
      <c r="I208" s="307"/>
      <c r="J208" s="307">
        <f>Clothing!J392</f>
        <v>2</v>
      </c>
      <c r="K208" s="307">
        <f>Clothing!K392</f>
        <v>1</v>
      </c>
      <c r="L208" s="307">
        <f>Clothing!L392</f>
        <v>2</v>
      </c>
      <c r="M208" s="307">
        <f>Clothing!M392</f>
        <v>2</v>
      </c>
      <c r="N208" s="616">
        <f>IF( OR( ISBLANK(H208),ISBLANK(J208), ISBLANK(K208), ISBLANK(L208), ISBLANK(M208) ), "", 1.5*SQRT(   EXP(2.21*(H208-1)) + EXP(2.21*(J208-1)) + EXP(2.21*(K208-1)) + EXP(2.21*(L208-1)) + EXP(2.21*M208)   )/100*2.45 )</f>
        <v>0.38795788889711302</v>
      </c>
      <c r="O208" s="1282" t="str">
        <f>IF( OR( ISBLANK(I208),ISBLANK(J208), ISBLANK(K208), ISBLANK(L208), ISBLANK(M208) ), "", 1.5*SQRT( EXP(2.21*(I208-1)) + EXP(2.21*(J208-1)) + EXP(2.21*(K208-1)) + EXP(2.21*(L208-1)) + EXP(2.21*M208)   )/100*2.45 )</f>
        <v/>
      </c>
      <c r="P208" s="68"/>
    </row>
    <row r="209" spans="1:16">
      <c r="A209" s="68" t="str">
        <f>Clothing!A393</f>
        <v>Clothing (product sector)</v>
      </c>
      <c r="B209" s="304" t="str">
        <f>Clothing!B393</f>
        <v>Sweaters and midlayers</v>
      </c>
      <c r="C209" s="69" t="str">
        <f>Clothing!C393</f>
        <v>NL</v>
      </c>
      <c r="D209" s="823" t="str">
        <f>Clothing!D393</f>
        <v>Acryl</v>
      </c>
      <c r="E209" s="69">
        <f>Clothing!E393</f>
        <v>0.27112317699999999</v>
      </c>
      <c r="F209" s="823">
        <f>Clothing!F393</f>
        <v>1</v>
      </c>
      <c r="G209" s="69" t="str">
        <f>Clothing!G393</f>
        <v>https://eeb.org/library/draft-product-environmental-footprint-category-rules-pefcr-apparel-and-footwear/</v>
      </c>
      <c r="H209" s="1188">
        <f>Clothing!H393</f>
        <v>2</v>
      </c>
      <c r="I209" s="307"/>
      <c r="J209" s="307">
        <f>Clothing!J393</f>
        <v>2</v>
      </c>
      <c r="K209" s="307">
        <f>Clothing!K393</f>
        <v>1</v>
      </c>
      <c r="L209" s="307">
        <f>Clothing!L393</f>
        <v>2</v>
      </c>
      <c r="M209" s="307">
        <f>Clothing!M393</f>
        <v>2</v>
      </c>
      <c r="N209" s="616">
        <f>IF( OR( ISBLANK(H209),ISBLANK(J209), ISBLANK(K209), ISBLANK(L209), ISBLANK(M209) ), "", 1.5*SQRT(   EXP(2.21*(H209-1)) + EXP(2.21*(J209-1)) + EXP(2.21*(K209-1)) + EXP(2.21*(L209-1)) + EXP(2.21*M209)   )/100*2.45 )</f>
        <v>0.38795788889711302</v>
      </c>
      <c r="O209" s="1282" t="str">
        <f>IF( OR( ISBLANK(I209),ISBLANK(J209), ISBLANK(K209), ISBLANK(L209), ISBLANK(M209) ), "", 1.5*SQRT( EXP(2.21*(I209-1)) + EXP(2.21*(J209-1)) + EXP(2.21*(K209-1)) + EXP(2.21*(L209-1)) + EXP(2.21*M209)   )/100*2.45 )</f>
        <v/>
      </c>
      <c r="P209" s="68"/>
    </row>
    <row r="210" spans="1:16">
      <c r="A210" s="68" t="str">
        <f>Clothing!A394</f>
        <v>Clothing (product sector)</v>
      </c>
      <c r="B210" s="304" t="str">
        <f>Clothing!B394</f>
        <v>Sweaters and midlayers</v>
      </c>
      <c r="C210" s="69" t="str">
        <f>Clothing!C394</f>
        <v>NL</v>
      </c>
      <c r="D210" s="823" t="str">
        <f>Clothing!D394</f>
        <v>OTHER</v>
      </c>
      <c r="E210" s="69">
        <f>Clothing!E394</f>
        <v>3.0437175E-2</v>
      </c>
      <c r="F210" s="823">
        <f>Clothing!F394</f>
        <v>1</v>
      </c>
      <c r="G210" s="69" t="str">
        <f>Clothing!G394</f>
        <v>https://eeb.org/library/draft-product-environmental-footprint-category-rules-pefcr-apparel-and-footwear/</v>
      </c>
      <c r="H210" s="1188">
        <f>Clothing!H394</f>
        <v>2</v>
      </c>
      <c r="I210" s="307"/>
      <c r="J210" s="307">
        <f>Clothing!J394</f>
        <v>2</v>
      </c>
      <c r="K210" s="307">
        <f>Clothing!K394</f>
        <v>1</v>
      </c>
      <c r="L210" s="307">
        <f>Clothing!L394</f>
        <v>2</v>
      </c>
      <c r="M210" s="307">
        <f>Clothing!M394</f>
        <v>2</v>
      </c>
      <c r="N210" s="616">
        <f>IF( OR( ISBLANK(H210),ISBLANK(J210), ISBLANK(K210), ISBLANK(L210), ISBLANK(M210) ), "", 1.5*SQRT(   EXP(2.21*(H210-1)) + EXP(2.21*(J210-1)) + EXP(2.21*(K210-1)) + EXP(2.21*(L210-1)) + EXP(2.21*M210)   )/100*2.45 )</f>
        <v>0.38795788889711302</v>
      </c>
      <c r="O210" s="1282" t="str">
        <f>IF( OR( ISBLANK(I210),ISBLANK(J210), ISBLANK(K210), ISBLANK(L210), ISBLANK(M210) ), "", 1.5*SQRT( EXP(2.21*(I210-1)) + EXP(2.21*(J210-1)) + EXP(2.21*(K210-1)) + EXP(2.21*(L210-1)) + EXP(2.21*M210)   )/100*2.45 )</f>
        <v/>
      </c>
      <c r="P210" s="68"/>
    </row>
    <row r="211" spans="1:16">
      <c r="A211" s="68" t="str">
        <f>Clothing!A395</f>
        <v>Clothing (product sector)</v>
      </c>
      <c r="B211" s="304" t="str">
        <f>Clothing!B395</f>
        <v>Sweaters and midlayers</v>
      </c>
      <c r="C211" s="69" t="str">
        <f>Clothing!C395</f>
        <v>NL</v>
      </c>
      <c r="D211" s="823" t="str">
        <f>Clothing!D395</f>
        <v>PA</v>
      </c>
      <c r="E211" s="69">
        <f>Clothing!E395</f>
        <v>4.6534921E-2</v>
      </c>
      <c r="F211" s="823">
        <f>Clothing!F395</f>
        <v>1</v>
      </c>
      <c r="G211" s="69" t="str">
        <f>Clothing!G395</f>
        <v>https://eeb.org/library/draft-product-environmental-footprint-category-rules-pefcr-apparel-and-footwear/</v>
      </c>
      <c r="H211" s="1188">
        <f>Clothing!H395</f>
        <v>2</v>
      </c>
      <c r="I211" s="307"/>
      <c r="J211" s="307">
        <f>Clothing!J395</f>
        <v>2</v>
      </c>
      <c r="K211" s="307">
        <f>Clothing!K395</f>
        <v>1</v>
      </c>
      <c r="L211" s="307">
        <f>Clothing!L395</f>
        <v>2</v>
      </c>
      <c r="M211" s="307">
        <f>Clothing!M395</f>
        <v>2</v>
      </c>
      <c r="N211" s="616">
        <f>IF( OR( ISBLANK(H211),ISBLANK(J211), ISBLANK(K211), ISBLANK(L211), ISBLANK(M211) ), "", 1.5*SQRT(   EXP(2.21*(H211-1)) + EXP(2.21*(J211-1)) + EXP(2.21*(K211-1)) + EXP(2.21*(L211-1)) + EXP(2.21*M211)   )/100*2.45 )</f>
        <v>0.38795788889711302</v>
      </c>
      <c r="O211" s="1282" t="str">
        <f>IF( OR( ISBLANK(I211),ISBLANK(J211), ISBLANK(K211), ISBLANK(L211), ISBLANK(M211) ), "", 1.5*SQRT( EXP(2.21*(I211-1)) + EXP(2.21*(J211-1)) + EXP(2.21*(K211-1)) + EXP(2.21*(L211-1)) + EXP(2.21*M211)   )/100*2.45 )</f>
        <v/>
      </c>
      <c r="P211" s="68"/>
    </row>
    <row r="212" spans="1:16">
      <c r="A212" s="68" t="str">
        <f>Clothing!A396</f>
        <v>Clothing (product sector)</v>
      </c>
      <c r="B212" s="304" t="str">
        <f>Clothing!B396</f>
        <v>Sweaters and midlayers</v>
      </c>
      <c r="C212" s="69" t="str">
        <f>Clothing!C396</f>
        <v>NL</v>
      </c>
      <c r="D212" s="823" t="str">
        <f>Clothing!D396</f>
        <v>PET</v>
      </c>
      <c r="E212" s="69">
        <f>Clothing!E396</f>
        <v>0.129381212</v>
      </c>
      <c r="F212" s="823">
        <f>Clothing!F396</f>
        <v>1</v>
      </c>
      <c r="G212" s="69" t="str">
        <f>Clothing!G396</f>
        <v>https://eeb.org/library/draft-product-environmental-footprint-category-rules-pefcr-apparel-and-footwear/</v>
      </c>
      <c r="H212" s="1188">
        <f>Clothing!H396</f>
        <v>2</v>
      </c>
      <c r="I212" s="307"/>
      <c r="J212" s="307">
        <f>Clothing!J396</f>
        <v>2</v>
      </c>
      <c r="K212" s="307">
        <f>Clothing!K396</f>
        <v>1</v>
      </c>
      <c r="L212" s="307">
        <f>Clothing!L396</f>
        <v>2</v>
      </c>
      <c r="M212" s="307">
        <f>Clothing!M396</f>
        <v>2</v>
      </c>
      <c r="N212" s="616">
        <f>IF( OR( ISBLANK(H212),ISBLANK(J212), ISBLANK(K212), ISBLANK(L212), ISBLANK(M212) ), "", 1.5*SQRT(   EXP(2.21*(H212-1)) + EXP(2.21*(J212-1)) + EXP(2.21*(K212-1)) + EXP(2.21*(L212-1)) + EXP(2.21*M212)   )/100*2.45 )</f>
        <v>0.38795788889711302</v>
      </c>
      <c r="O212" s="1282" t="str">
        <f>IF( OR( ISBLANK(I212),ISBLANK(J212), ISBLANK(K212), ISBLANK(L212), ISBLANK(M212) ), "", 1.5*SQRT( EXP(2.21*(I212-1)) + EXP(2.21*(J212-1)) + EXP(2.21*(K212-1)) + EXP(2.21*(L212-1)) + EXP(2.21*M212)   )/100*2.45 )</f>
        <v/>
      </c>
      <c r="P212" s="68"/>
    </row>
    <row r="213" spans="1:16">
      <c r="A213" s="68" t="str">
        <f>Clothing!A397</f>
        <v>Clothing (product sector)</v>
      </c>
      <c r="B213" s="304" t="str">
        <f>Clothing!B397</f>
        <v>Swimwear</v>
      </c>
      <c r="C213" s="69" t="str">
        <f>Clothing!C397</f>
        <v>NL</v>
      </c>
      <c r="D213" s="823" t="str">
        <f>Clothing!D397</f>
        <v>Acryl</v>
      </c>
      <c r="E213" s="69">
        <f>Clothing!E397</f>
        <v>0</v>
      </c>
      <c r="F213" s="823">
        <f>Clothing!F397</f>
        <v>1</v>
      </c>
      <c r="G213" s="69" t="str">
        <f>Clothing!G397</f>
        <v>https://eeb.org/library/draft-product-environmental-footprint-category-rules-pefcr-apparel-and-footwear/</v>
      </c>
      <c r="H213" s="1188">
        <f>Clothing!H397</f>
        <v>2</v>
      </c>
      <c r="I213" s="307"/>
      <c r="J213" s="307">
        <f>Clothing!J397</f>
        <v>2</v>
      </c>
      <c r="K213" s="307">
        <f>Clothing!K397</f>
        <v>1</v>
      </c>
      <c r="L213" s="307">
        <f>Clothing!L397</f>
        <v>2</v>
      </c>
      <c r="M213" s="307">
        <f>Clothing!M397</f>
        <v>2</v>
      </c>
      <c r="N213" s="616">
        <f>IF( OR( ISBLANK(H213),ISBLANK(J213), ISBLANK(K213), ISBLANK(L213), ISBLANK(M213) ), "", 1.5*SQRT(   EXP(2.21*(H213-1)) + EXP(2.21*(J213-1)) + EXP(2.21*(K213-1)) + EXP(2.21*(L213-1)) + EXP(2.21*M213)   )/100*2.45 )</f>
        <v>0.38795788889711302</v>
      </c>
      <c r="O213" s="1282" t="str">
        <f>IF( OR( ISBLANK(I213),ISBLANK(J213), ISBLANK(K213), ISBLANK(L213), ISBLANK(M213) ), "", 1.5*SQRT( EXP(2.21*(I213-1)) + EXP(2.21*(J213-1)) + EXP(2.21*(K213-1)) + EXP(2.21*(L213-1)) + EXP(2.21*M213)   )/100*2.45 )</f>
        <v/>
      </c>
      <c r="P213" s="68"/>
    </row>
    <row r="214" spans="1:16">
      <c r="A214" s="68" t="str">
        <f>Clothing!A398</f>
        <v>Clothing (product sector)</v>
      </c>
      <c r="B214" s="304" t="str">
        <f>Clothing!B398</f>
        <v>Swimwear</v>
      </c>
      <c r="C214" s="69" t="str">
        <f>Clothing!C398</f>
        <v>NL</v>
      </c>
      <c r="D214" s="823" t="str">
        <f>Clothing!D398</f>
        <v>OTHER</v>
      </c>
      <c r="E214" s="69">
        <f>Clothing!E398</f>
        <v>9.6564359999999991E-3</v>
      </c>
      <c r="F214" s="823">
        <f>Clothing!F398</f>
        <v>1</v>
      </c>
      <c r="G214" s="69" t="str">
        <f>Clothing!G398</f>
        <v>https://eeb.org/library/draft-product-environmental-footprint-category-rules-pefcr-apparel-and-footwear/</v>
      </c>
      <c r="H214" s="1188">
        <f>Clothing!H398</f>
        <v>2</v>
      </c>
      <c r="I214" s="307"/>
      <c r="J214" s="307">
        <f>Clothing!J398</f>
        <v>2</v>
      </c>
      <c r="K214" s="307">
        <f>Clothing!K398</f>
        <v>1</v>
      </c>
      <c r="L214" s="307">
        <f>Clothing!L398</f>
        <v>2</v>
      </c>
      <c r="M214" s="307">
        <f>Clothing!M398</f>
        <v>2</v>
      </c>
      <c r="N214" s="616">
        <f>IF( OR( ISBLANK(H214),ISBLANK(J214), ISBLANK(K214), ISBLANK(L214), ISBLANK(M214) ), "", 1.5*SQRT(   EXP(2.21*(H214-1)) + EXP(2.21*(J214-1)) + EXP(2.21*(K214-1)) + EXP(2.21*(L214-1)) + EXP(2.21*M214)   )/100*2.45 )</f>
        <v>0.38795788889711302</v>
      </c>
      <c r="O214" s="1282" t="str">
        <f>IF( OR( ISBLANK(I214),ISBLANK(J214), ISBLANK(K214), ISBLANK(L214), ISBLANK(M214) ), "", 1.5*SQRT( EXP(2.21*(I214-1)) + EXP(2.21*(J214-1)) + EXP(2.21*(K214-1)) + EXP(2.21*(L214-1)) + EXP(2.21*M214)   )/100*2.45 )</f>
        <v/>
      </c>
      <c r="P214" s="68"/>
    </row>
    <row r="215" spans="1:16">
      <c r="A215" s="68" t="str">
        <f>Clothing!A399</f>
        <v>Clothing (product sector)</v>
      </c>
      <c r="B215" s="304" t="str">
        <f>Clothing!B399</f>
        <v>Swimwear</v>
      </c>
      <c r="C215" s="69" t="str">
        <f>Clothing!C399</f>
        <v>NL</v>
      </c>
      <c r="D215" s="823" t="str">
        <f>Clothing!D399</f>
        <v>PA</v>
      </c>
      <c r="E215" s="69">
        <f>Clothing!E399</f>
        <v>4.1219467000000003E-2</v>
      </c>
      <c r="F215" s="823">
        <f>Clothing!F399</f>
        <v>1</v>
      </c>
      <c r="G215" s="69" t="str">
        <f>Clothing!G399</f>
        <v>https://eeb.org/library/draft-product-environmental-footprint-category-rules-pefcr-apparel-and-footwear/</v>
      </c>
      <c r="H215" s="1188">
        <f>Clothing!H399</f>
        <v>2</v>
      </c>
      <c r="I215" s="307"/>
      <c r="J215" s="307">
        <f>Clothing!J399</f>
        <v>2</v>
      </c>
      <c r="K215" s="307">
        <f>Clothing!K399</f>
        <v>1</v>
      </c>
      <c r="L215" s="307">
        <f>Clothing!L399</f>
        <v>2</v>
      </c>
      <c r="M215" s="307">
        <f>Clothing!M399</f>
        <v>2</v>
      </c>
      <c r="N215" s="616">
        <f>IF( OR( ISBLANK(H215),ISBLANK(J215), ISBLANK(K215), ISBLANK(L215), ISBLANK(M215) ), "", 1.5*SQRT(   EXP(2.21*(H215-1)) + EXP(2.21*(J215-1)) + EXP(2.21*(K215-1)) + EXP(2.21*(L215-1)) + EXP(2.21*M215)   )/100*2.45 )</f>
        <v>0.38795788889711302</v>
      </c>
      <c r="O215" s="1282" t="str">
        <f>IF( OR( ISBLANK(I215),ISBLANK(J215), ISBLANK(K215), ISBLANK(L215), ISBLANK(M215) ), "", 1.5*SQRT( EXP(2.21*(I215-1)) + EXP(2.21*(J215-1)) + EXP(2.21*(K215-1)) + EXP(2.21*(L215-1)) + EXP(2.21*M215)   )/100*2.45 )</f>
        <v/>
      </c>
      <c r="P215" s="68"/>
    </row>
    <row r="216" spans="1:16">
      <c r="A216" s="68" t="str">
        <f>Clothing!A400</f>
        <v>Clothing (product sector)</v>
      </c>
      <c r="B216" s="304" t="str">
        <f>Clothing!B400</f>
        <v>Swimwear</v>
      </c>
      <c r="C216" s="69" t="str">
        <f>Clothing!C400</f>
        <v>NL</v>
      </c>
      <c r="D216" s="823" t="str">
        <f>Clothing!D400</f>
        <v>PET</v>
      </c>
      <c r="E216" s="69">
        <f>Clothing!E400</f>
        <v>6.6880289999999998E-3</v>
      </c>
      <c r="F216" s="823">
        <f>Clothing!F400</f>
        <v>1</v>
      </c>
      <c r="G216" s="69" t="str">
        <f>Clothing!G400</f>
        <v>https://eeb.org/library/draft-product-environmental-footprint-category-rules-pefcr-apparel-and-footwear/</v>
      </c>
      <c r="H216" s="1188">
        <f>Clothing!H400</f>
        <v>2</v>
      </c>
      <c r="I216" s="307"/>
      <c r="J216" s="307">
        <f>Clothing!J400</f>
        <v>2</v>
      </c>
      <c r="K216" s="307">
        <f>Clothing!K400</f>
        <v>1</v>
      </c>
      <c r="L216" s="307">
        <f>Clothing!L400</f>
        <v>2</v>
      </c>
      <c r="M216" s="307">
        <f>Clothing!M400</f>
        <v>2</v>
      </c>
      <c r="N216" s="616">
        <f>IF( OR( ISBLANK(H216),ISBLANK(J216), ISBLANK(K216), ISBLANK(L216), ISBLANK(M216) ), "", 1.5*SQRT(   EXP(2.21*(H216-1)) + EXP(2.21*(J216-1)) + EXP(2.21*(K216-1)) + EXP(2.21*(L216-1)) + EXP(2.21*M216)   )/100*2.45 )</f>
        <v>0.38795788889711302</v>
      </c>
      <c r="O216" s="1282" t="str">
        <f>IF( OR( ISBLANK(I216),ISBLANK(J216), ISBLANK(K216), ISBLANK(L216), ISBLANK(M216) ), "", 1.5*SQRT( EXP(2.21*(I216-1)) + EXP(2.21*(J216-1)) + EXP(2.21*(K216-1)) + EXP(2.21*(L216-1)) + EXP(2.21*M216)   )/100*2.45 )</f>
        <v/>
      </c>
      <c r="P216" s="68"/>
    </row>
    <row r="217" spans="1:16">
      <c r="A217" s="68" t="str">
        <f>Clothing!A401</f>
        <v>Clothing (product sector)</v>
      </c>
      <c r="B217" s="304" t="str">
        <f>Clothing!B401</f>
        <v>T-shirts</v>
      </c>
      <c r="C217" s="69" t="str">
        <f>Clothing!C401</f>
        <v>NL</v>
      </c>
      <c r="D217" s="823" t="str">
        <f>Clothing!D401</f>
        <v>Acryl</v>
      </c>
      <c r="E217" s="69">
        <f>Clothing!E401</f>
        <v>0</v>
      </c>
      <c r="F217" s="823">
        <f>Clothing!F401</f>
        <v>1</v>
      </c>
      <c r="G217" s="69" t="str">
        <f>Clothing!G401</f>
        <v>https://eeb.org/library/draft-product-environmental-footprint-category-rules-pefcr-apparel-and-footwear/</v>
      </c>
      <c r="H217" s="1188">
        <f>Clothing!H401</f>
        <v>2</v>
      </c>
      <c r="I217" s="307"/>
      <c r="J217" s="307">
        <f>Clothing!J401</f>
        <v>2</v>
      </c>
      <c r="K217" s="307">
        <f>Clothing!K401</f>
        <v>1</v>
      </c>
      <c r="L217" s="307">
        <f>Clothing!L401</f>
        <v>2</v>
      </c>
      <c r="M217" s="307">
        <f>Clothing!M401</f>
        <v>2</v>
      </c>
      <c r="N217" s="616">
        <f>IF( OR( ISBLANK(H217),ISBLANK(J217), ISBLANK(K217), ISBLANK(L217), ISBLANK(M217) ), "", 1.5*SQRT(   EXP(2.21*(H217-1)) + EXP(2.21*(J217-1)) + EXP(2.21*(K217-1)) + EXP(2.21*(L217-1)) + EXP(2.21*M217)   )/100*2.45 )</f>
        <v>0.38795788889711302</v>
      </c>
      <c r="O217" s="1282" t="str">
        <f>IF( OR( ISBLANK(I217),ISBLANK(J217), ISBLANK(K217), ISBLANK(L217), ISBLANK(M217) ), "", 1.5*SQRT( EXP(2.21*(I217-1)) + EXP(2.21*(J217-1)) + EXP(2.21*(K217-1)) + EXP(2.21*(L217-1)) + EXP(2.21*M217)   )/100*2.45 )</f>
        <v/>
      </c>
      <c r="P217" s="68"/>
    </row>
    <row r="218" spans="1:16">
      <c r="A218" s="68" t="str">
        <f>Clothing!A402</f>
        <v>Clothing (product sector)</v>
      </c>
      <c r="B218" s="304" t="str">
        <f>Clothing!B402</f>
        <v>T-shirts</v>
      </c>
      <c r="C218" s="69" t="str">
        <f>Clothing!C402</f>
        <v>NL</v>
      </c>
      <c r="D218" s="823" t="str">
        <f>Clothing!D402</f>
        <v>OTHER</v>
      </c>
      <c r="E218" s="69">
        <f>Clothing!E402</f>
        <v>4.4756049999999997E-3</v>
      </c>
      <c r="F218" s="823">
        <f>Clothing!F402</f>
        <v>1</v>
      </c>
      <c r="G218" s="69" t="str">
        <f>Clothing!G402</f>
        <v>https://eeb.org/library/draft-product-environmental-footprint-category-rules-pefcr-apparel-and-footwear/</v>
      </c>
      <c r="H218" s="1188">
        <f>Clothing!H402</f>
        <v>2</v>
      </c>
      <c r="I218" s="307"/>
      <c r="J218" s="307">
        <f>Clothing!J402</f>
        <v>2</v>
      </c>
      <c r="K218" s="307">
        <f>Clothing!K402</f>
        <v>1</v>
      </c>
      <c r="L218" s="307">
        <f>Clothing!L402</f>
        <v>2</v>
      </c>
      <c r="M218" s="307">
        <f>Clothing!M402</f>
        <v>2</v>
      </c>
      <c r="N218" s="616">
        <f>IF( OR( ISBLANK(H218),ISBLANK(J218), ISBLANK(K218), ISBLANK(L218), ISBLANK(M218) ), "", 1.5*SQRT(   EXP(2.21*(H218-1)) + EXP(2.21*(J218-1)) + EXP(2.21*(K218-1)) + EXP(2.21*(L218-1)) + EXP(2.21*M218)   )/100*2.45 )</f>
        <v>0.38795788889711302</v>
      </c>
      <c r="O218" s="1282" t="str">
        <f>IF( OR( ISBLANK(I218),ISBLANK(J218), ISBLANK(K218), ISBLANK(L218), ISBLANK(M218) ), "", 1.5*SQRT( EXP(2.21*(I218-1)) + EXP(2.21*(J218-1)) + EXP(2.21*(K218-1)) + EXP(2.21*(L218-1)) + EXP(2.21*M218)   )/100*2.45 )</f>
        <v/>
      </c>
      <c r="P218" s="68"/>
    </row>
    <row r="219" spans="1:16">
      <c r="A219" s="68" t="str">
        <f>Clothing!A403</f>
        <v>Clothing (product sector)</v>
      </c>
      <c r="B219" s="304" t="str">
        <f>Clothing!B403</f>
        <v>T-shirts</v>
      </c>
      <c r="C219" s="69" t="str">
        <f>Clothing!C403</f>
        <v>NL</v>
      </c>
      <c r="D219" s="823" t="str">
        <f>Clothing!D403</f>
        <v>PA</v>
      </c>
      <c r="E219" s="69">
        <f>Clothing!E403</f>
        <v>0</v>
      </c>
      <c r="F219" s="823">
        <f>Clothing!F403</f>
        <v>1</v>
      </c>
      <c r="G219" s="69" t="str">
        <f>Clothing!G403</f>
        <v>https://eeb.org/library/draft-product-environmental-footprint-category-rules-pefcr-apparel-and-footwear/</v>
      </c>
      <c r="H219" s="1188">
        <f>Clothing!H403</f>
        <v>2</v>
      </c>
      <c r="I219" s="307"/>
      <c r="J219" s="307">
        <f>Clothing!J403</f>
        <v>2</v>
      </c>
      <c r="K219" s="307">
        <f>Clothing!K403</f>
        <v>1</v>
      </c>
      <c r="L219" s="307">
        <f>Clothing!L403</f>
        <v>2</v>
      </c>
      <c r="M219" s="307">
        <f>Clothing!M403</f>
        <v>2</v>
      </c>
      <c r="N219" s="616">
        <f>IF( OR( ISBLANK(H219),ISBLANK(J219), ISBLANK(K219), ISBLANK(L219), ISBLANK(M219) ), "", 1.5*SQRT(   EXP(2.21*(H219-1)) + EXP(2.21*(J219-1)) + EXP(2.21*(K219-1)) + EXP(2.21*(L219-1)) + EXP(2.21*M219)   )/100*2.45 )</f>
        <v>0.38795788889711302</v>
      </c>
      <c r="O219" s="1282" t="str">
        <f>IF( OR( ISBLANK(I219),ISBLANK(J219), ISBLANK(K219), ISBLANK(L219), ISBLANK(M219) ), "", 1.5*SQRT( EXP(2.21*(I219-1)) + EXP(2.21*(J219-1)) + EXP(2.21*(K219-1)) + EXP(2.21*(L219-1)) + EXP(2.21*M219)   )/100*2.45 )</f>
        <v/>
      </c>
      <c r="P219" s="68"/>
    </row>
    <row r="220" spans="1:16">
      <c r="A220" s="68" t="str">
        <f>Clothing!A404</f>
        <v>Clothing (product sector)</v>
      </c>
      <c r="B220" s="304" t="str">
        <f>Clothing!B404</f>
        <v>T-shirts</v>
      </c>
      <c r="C220" s="69" t="str">
        <f>Clothing!C404</f>
        <v>NL</v>
      </c>
      <c r="D220" s="823" t="str">
        <f>Clothing!D404</f>
        <v>PET</v>
      </c>
      <c r="E220" s="69">
        <f>Clothing!E404</f>
        <v>7.1864432000000006E-2</v>
      </c>
      <c r="F220" s="823">
        <f>Clothing!F404</f>
        <v>1</v>
      </c>
      <c r="G220" s="69" t="str">
        <f>Clothing!G404</f>
        <v>https://eeb.org/library/draft-product-environmental-footprint-category-rules-pefcr-apparel-and-footwear/</v>
      </c>
      <c r="H220" s="1188">
        <f>Clothing!H404</f>
        <v>2</v>
      </c>
      <c r="I220" s="307"/>
      <c r="J220" s="307">
        <f>Clothing!J404</f>
        <v>2</v>
      </c>
      <c r="K220" s="307">
        <f>Clothing!K404</f>
        <v>1</v>
      </c>
      <c r="L220" s="307">
        <f>Clothing!L404</f>
        <v>2</v>
      </c>
      <c r="M220" s="307">
        <f>Clothing!M404</f>
        <v>2</v>
      </c>
      <c r="N220" s="616">
        <f>IF( OR( ISBLANK(H220),ISBLANK(J220), ISBLANK(K220), ISBLANK(L220), ISBLANK(M220) ), "", 1.5*SQRT(   EXP(2.21*(H220-1)) + EXP(2.21*(J220-1)) + EXP(2.21*(K220-1)) + EXP(2.21*(L220-1)) + EXP(2.21*M220)   )/100*2.45 )</f>
        <v>0.38795788889711302</v>
      </c>
      <c r="O220" s="1282" t="str">
        <f>IF( OR( ISBLANK(I220),ISBLANK(J220), ISBLANK(K220), ISBLANK(L220), ISBLANK(M220) ), "", 1.5*SQRT( EXP(2.21*(I220-1)) + EXP(2.21*(J220-1)) + EXP(2.21*(K220-1)) + EXP(2.21*(L220-1)) + EXP(2.21*M220)   )/100*2.45 )</f>
        <v/>
      </c>
      <c r="P220" s="68"/>
    </row>
    <row r="221" spans="1:16">
      <c r="A221" s="68" t="str">
        <f>Clothing!A405</f>
        <v>Clothing (product sector)</v>
      </c>
      <c r="B221" s="304" t="str">
        <f>Clothing!B405</f>
        <v>Underwear</v>
      </c>
      <c r="C221" s="69" t="str">
        <f>Clothing!C405</f>
        <v>NL</v>
      </c>
      <c r="D221" s="823" t="str">
        <f>Clothing!D405</f>
        <v>Acryl</v>
      </c>
      <c r="E221" s="69">
        <f>Clothing!E405</f>
        <v>0</v>
      </c>
      <c r="F221" s="823">
        <f>Clothing!F405</f>
        <v>1</v>
      </c>
      <c r="G221" s="69" t="str">
        <f>Clothing!G405</f>
        <v>https://eeb.org/library/draft-product-environmental-footprint-category-rules-pefcr-apparel-and-footwear/</v>
      </c>
      <c r="H221" s="1188">
        <f>Clothing!H405</f>
        <v>2</v>
      </c>
      <c r="I221" s="307"/>
      <c r="J221" s="307">
        <f>Clothing!J405</f>
        <v>2</v>
      </c>
      <c r="K221" s="307">
        <f>Clothing!K405</f>
        <v>1</v>
      </c>
      <c r="L221" s="307">
        <f>Clothing!L405</f>
        <v>2</v>
      </c>
      <c r="M221" s="307">
        <f>Clothing!M405</f>
        <v>2</v>
      </c>
      <c r="N221" s="616">
        <f>IF( OR( ISBLANK(H221),ISBLANK(J221), ISBLANK(K221), ISBLANK(L221), ISBLANK(M221) ), "", 1.5*SQRT(   EXP(2.21*(H221-1)) + EXP(2.21*(J221-1)) + EXP(2.21*(K221-1)) + EXP(2.21*(L221-1)) + EXP(2.21*M221)   )/100*2.45 )</f>
        <v>0.38795788889711302</v>
      </c>
      <c r="O221" s="1282" t="str">
        <f>IF( OR( ISBLANK(I221),ISBLANK(J221), ISBLANK(K221), ISBLANK(L221), ISBLANK(M221) ), "", 1.5*SQRT( EXP(2.21*(I221-1)) + EXP(2.21*(J221-1)) + EXP(2.21*(K221-1)) + EXP(2.21*(L221-1)) + EXP(2.21*M221)   )/100*2.45 )</f>
        <v/>
      </c>
      <c r="P221" s="68"/>
    </row>
    <row r="222" spans="1:16">
      <c r="A222" s="68" t="str">
        <f>Clothing!A406</f>
        <v>Clothing (product sector)</v>
      </c>
      <c r="B222" s="304" t="str">
        <f>Clothing!B406</f>
        <v>Underwear</v>
      </c>
      <c r="C222" s="69" t="str">
        <f>Clothing!C406</f>
        <v>NL</v>
      </c>
      <c r="D222" s="823" t="str">
        <f>Clothing!D406</f>
        <v>OTHER</v>
      </c>
      <c r="E222" s="69">
        <f>Clothing!E406</f>
        <v>0.102719435</v>
      </c>
      <c r="F222" s="823">
        <f>Clothing!F406</f>
        <v>1</v>
      </c>
      <c r="G222" s="69" t="str">
        <f>Clothing!G406</f>
        <v>https://eeb.org/library/draft-product-environmental-footprint-category-rules-pefcr-apparel-and-footwear/</v>
      </c>
      <c r="H222" s="1188">
        <f>Clothing!H406</f>
        <v>2</v>
      </c>
      <c r="I222" s="307"/>
      <c r="J222" s="307">
        <f>Clothing!J406</f>
        <v>2</v>
      </c>
      <c r="K222" s="307">
        <f>Clothing!K406</f>
        <v>1</v>
      </c>
      <c r="L222" s="307">
        <f>Clothing!L406</f>
        <v>2</v>
      </c>
      <c r="M222" s="307">
        <f>Clothing!M406</f>
        <v>2</v>
      </c>
      <c r="N222" s="616">
        <f>IF( OR( ISBLANK(H222),ISBLANK(J222), ISBLANK(K222), ISBLANK(L222), ISBLANK(M222) ), "", 1.5*SQRT(   EXP(2.21*(H222-1)) + EXP(2.21*(J222-1)) + EXP(2.21*(K222-1)) + EXP(2.21*(L222-1)) + EXP(2.21*M222)   )/100*2.45 )</f>
        <v>0.38795788889711302</v>
      </c>
      <c r="O222" s="1282" t="str">
        <f>IF( OR( ISBLANK(I222),ISBLANK(J222), ISBLANK(K222), ISBLANK(L222), ISBLANK(M222) ), "", 1.5*SQRT( EXP(2.21*(I222-1)) + EXP(2.21*(J222-1)) + EXP(2.21*(K222-1)) + EXP(2.21*(L222-1)) + EXP(2.21*M222)   )/100*2.45 )</f>
        <v/>
      </c>
      <c r="P222" s="68"/>
    </row>
    <row r="223" spans="1:16">
      <c r="A223" s="68" t="str">
        <f>Clothing!A407</f>
        <v>Clothing (product sector)</v>
      </c>
      <c r="B223" s="304" t="str">
        <f>Clothing!B407</f>
        <v>Underwear</v>
      </c>
      <c r="C223" s="69" t="str">
        <f>Clothing!C407</f>
        <v>NL</v>
      </c>
      <c r="D223" s="823" t="str">
        <f>Clothing!D407</f>
        <v>PA</v>
      </c>
      <c r="E223" s="69">
        <f>Clothing!E407</f>
        <v>0.132094882</v>
      </c>
      <c r="F223" s="823">
        <f>Clothing!F407</f>
        <v>1</v>
      </c>
      <c r="G223" s="69" t="str">
        <f>Clothing!G407</f>
        <v>https://eeb.org/library/draft-product-environmental-footprint-category-rules-pefcr-apparel-and-footwear/</v>
      </c>
      <c r="H223" s="1188">
        <f>Clothing!H407</f>
        <v>2</v>
      </c>
      <c r="I223" s="307"/>
      <c r="J223" s="307">
        <f>Clothing!J407</f>
        <v>2</v>
      </c>
      <c r="K223" s="307">
        <f>Clothing!K407</f>
        <v>1</v>
      </c>
      <c r="L223" s="307">
        <f>Clothing!L407</f>
        <v>2</v>
      </c>
      <c r="M223" s="307">
        <f>Clothing!M407</f>
        <v>2</v>
      </c>
      <c r="N223" s="616">
        <f>IF( OR( ISBLANK(H223),ISBLANK(J223), ISBLANK(K223), ISBLANK(L223), ISBLANK(M223) ), "", 1.5*SQRT(   EXP(2.21*(H223-1)) + EXP(2.21*(J223-1)) + EXP(2.21*(K223-1)) + EXP(2.21*(L223-1)) + EXP(2.21*M223)   )/100*2.45 )</f>
        <v>0.38795788889711302</v>
      </c>
      <c r="O223" s="1282" t="str">
        <f>IF( OR( ISBLANK(I223),ISBLANK(J223), ISBLANK(K223), ISBLANK(L223), ISBLANK(M223) ), "", 1.5*SQRT( EXP(2.21*(I223-1)) + EXP(2.21*(J223-1)) + EXP(2.21*(K223-1)) + EXP(2.21*(L223-1)) + EXP(2.21*M223)   )/100*2.45 )</f>
        <v/>
      </c>
      <c r="P223" s="68"/>
    </row>
    <row r="224" spans="1:16">
      <c r="A224" s="68" t="str">
        <f>Clothing!A408</f>
        <v>Clothing (product sector)</v>
      </c>
      <c r="B224" s="304" t="str">
        <f>Clothing!B408</f>
        <v>Underwear</v>
      </c>
      <c r="C224" s="69" t="str">
        <f>Clothing!C408</f>
        <v>NL</v>
      </c>
      <c r="D224" s="823" t="str">
        <f>Clothing!D408</f>
        <v>PET</v>
      </c>
      <c r="E224" s="69">
        <f>Clothing!E408</f>
        <v>1.1997593000000001E-2</v>
      </c>
      <c r="F224" s="823">
        <f>Clothing!F408</f>
        <v>1</v>
      </c>
      <c r="G224" s="69" t="str">
        <f>Clothing!G408</f>
        <v>https://eeb.org/library/draft-product-environmental-footprint-category-rules-pefcr-apparel-and-footwear/</v>
      </c>
      <c r="H224" s="1188">
        <f>Clothing!H408</f>
        <v>2</v>
      </c>
      <c r="I224" s="307"/>
      <c r="J224" s="307">
        <f>Clothing!J408</f>
        <v>2</v>
      </c>
      <c r="K224" s="307">
        <f>Clothing!K408</f>
        <v>1</v>
      </c>
      <c r="L224" s="307">
        <f>Clothing!L408</f>
        <v>2</v>
      </c>
      <c r="M224" s="307">
        <f>Clothing!M408</f>
        <v>2</v>
      </c>
      <c r="N224" s="616">
        <f>IF( OR( ISBLANK(H224),ISBLANK(J224), ISBLANK(K224), ISBLANK(L224), ISBLANK(M224) ), "", 1.5*SQRT(   EXP(2.21*(H224-1)) + EXP(2.21*(J224-1)) + EXP(2.21*(K224-1)) + EXP(2.21*(L224-1)) + EXP(2.21*M224)   )/100*2.45 )</f>
        <v>0.38795788889711302</v>
      </c>
      <c r="O224" s="1282" t="str">
        <f>IF( OR( ISBLANK(I224),ISBLANK(J224), ISBLANK(K224), ISBLANK(L224), ISBLANK(M224) ), "", 1.5*SQRT( EXP(2.21*(I224-1)) + EXP(2.21*(J224-1)) + EXP(2.21*(K224-1)) + EXP(2.21*(L224-1)) + EXP(2.21*M224)   )/100*2.45 )</f>
        <v/>
      </c>
      <c r="P224" s="68"/>
    </row>
    <row r="225" spans="1:868">
      <c r="A225" s="68" t="str">
        <f>Clothing!A413</f>
        <v>Clothing (product sector)</v>
      </c>
      <c r="B225" s="304" t="str">
        <f>Clothing!B413</f>
        <v>Apparel accessories</v>
      </c>
      <c r="C225" s="69" t="str">
        <f>Clothing!C413</f>
        <v>EU</v>
      </c>
      <c r="D225" s="823" t="str">
        <f>Clothing!D413</f>
        <v>Acryl</v>
      </c>
      <c r="E225" s="69">
        <f>Clothing!E413</f>
        <v>0.20473868100000001</v>
      </c>
      <c r="F225" s="823">
        <f>Clothing!F413</f>
        <v>1</v>
      </c>
      <c r="G225" s="69" t="str">
        <f>Clothing!G413</f>
        <v>https://eeb.org/library/draft-product-environmental-footprint-category-rules-pefcr-apparel-and-footwear/</v>
      </c>
      <c r="H225" s="1188"/>
      <c r="I225" s="307">
        <f>Clothing!I413</f>
        <v>1</v>
      </c>
      <c r="J225" s="307">
        <f>Clothing!J413</f>
        <v>2</v>
      </c>
      <c r="K225" s="307">
        <f>Clothing!K413</f>
        <v>1</v>
      </c>
      <c r="L225" s="307">
        <f>Clothing!L413</f>
        <v>2</v>
      </c>
      <c r="M225" s="307">
        <f>Clothing!M413</f>
        <v>2</v>
      </c>
      <c r="N225" s="616" t="str">
        <f>IF( OR( ISBLANK(H225),ISBLANK(J225), ISBLANK(K225), ISBLANK(L225), ISBLANK(M225) ), "", 1.5*SQRT(   EXP(2.21*(H225-1)) + EXP(2.21*(J225-1)) + EXP(2.21*(K225-1)) + EXP(2.21*(L225-1)) + EXP(2.21*M225)   )/100*2.45 )</f>
        <v/>
      </c>
      <c r="O225" s="1282">
        <f>IF( OR( ISBLANK(I225),ISBLANK(J225), ISBLANK(K225), ISBLANK(L225), ISBLANK(M225) ), "", 1.5*SQRT( EXP(2.21*(I225-1)) + EXP(2.21*(J225-1)) + EXP(2.21*(K225-1)) + EXP(2.21*(L225-1)) + EXP(2.21*M225)   )/100*2.45 )</f>
        <v>0.37356464144298934</v>
      </c>
      <c r="P225" s="68"/>
    </row>
    <row r="226" spans="1:868">
      <c r="A226" s="68" t="str">
        <f>Clothing!A414</f>
        <v>Clothing (product sector)</v>
      </c>
      <c r="B226" s="304" t="str">
        <f>Clothing!B414</f>
        <v>Apparel accessories</v>
      </c>
      <c r="C226" s="69" t="str">
        <f>Clothing!C414</f>
        <v>EU</v>
      </c>
      <c r="D226" s="823" t="str">
        <f>Clothing!D414</f>
        <v>OTHER</v>
      </c>
      <c r="E226" s="69">
        <f>Clothing!E414</f>
        <v>1.6914E-3</v>
      </c>
      <c r="F226" s="823">
        <f>Clothing!F414</f>
        <v>1</v>
      </c>
      <c r="G226" s="69" t="str">
        <f>Clothing!G414</f>
        <v>https://eeb.org/library/draft-product-environmental-footprint-category-rules-pefcr-apparel-and-footwear/</v>
      </c>
      <c r="H226" s="1188"/>
      <c r="I226" s="307">
        <f>Clothing!I414</f>
        <v>1</v>
      </c>
      <c r="J226" s="307">
        <f>Clothing!J414</f>
        <v>2</v>
      </c>
      <c r="K226" s="307">
        <f>Clothing!K414</f>
        <v>1</v>
      </c>
      <c r="L226" s="307">
        <f>Clothing!L414</f>
        <v>2</v>
      </c>
      <c r="M226" s="307">
        <f>Clothing!M414</f>
        <v>2</v>
      </c>
      <c r="N226" s="616" t="str">
        <f>IF( OR( ISBLANK(H226),ISBLANK(J226), ISBLANK(K226), ISBLANK(L226), ISBLANK(M226) ), "", 1.5*SQRT(   EXP(2.21*(H226-1)) + EXP(2.21*(J226-1)) + EXP(2.21*(K226-1)) + EXP(2.21*(L226-1)) + EXP(2.21*M226)   )/100*2.45 )</f>
        <v/>
      </c>
      <c r="O226" s="1282">
        <f>IF( OR( ISBLANK(I226),ISBLANK(J226), ISBLANK(K226), ISBLANK(L226), ISBLANK(M226) ), "", 1.5*SQRT( EXP(2.21*(I226-1)) + EXP(2.21*(J226-1)) + EXP(2.21*(K226-1)) + EXP(2.21*(L226-1)) + EXP(2.21*M226)   )/100*2.45 )</f>
        <v>0.37356464144298934</v>
      </c>
      <c r="P226" s="68"/>
    </row>
    <row r="227" spans="1:868">
      <c r="A227" s="68" t="str">
        <f>Clothing!A415</f>
        <v>Clothing (product sector)</v>
      </c>
      <c r="B227" s="304" t="str">
        <f>Clothing!B415</f>
        <v>Apparel accessories</v>
      </c>
      <c r="C227" s="69" t="str">
        <f>Clothing!C415</f>
        <v>EU</v>
      </c>
      <c r="D227" s="823" t="str">
        <f>Clothing!D415</f>
        <v>PA</v>
      </c>
      <c r="E227" s="69">
        <f>Clothing!E415</f>
        <v>2.3681463999999999E-2</v>
      </c>
      <c r="F227" s="823">
        <f>Clothing!F415</f>
        <v>1</v>
      </c>
      <c r="G227" s="69" t="str">
        <f>Clothing!G415</f>
        <v>https://eeb.org/library/draft-product-environmental-footprint-category-rules-pefcr-apparel-and-footwear/</v>
      </c>
      <c r="H227" s="1188"/>
      <c r="I227" s="307">
        <f>Clothing!I415</f>
        <v>1</v>
      </c>
      <c r="J227" s="307">
        <f>Clothing!J415</f>
        <v>2</v>
      </c>
      <c r="K227" s="307">
        <f>Clothing!K415</f>
        <v>1</v>
      </c>
      <c r="L227" s="307">
        <f>Clothing!L415</f>
        <v>2</v>
      </c>
      <c r="M227" s="307">
        <f>Clothing!M415</f>
        <v>2</v>
      </c>
      <c r="N227" s="616" t="str">
        <f>IF( OR( ISBLANK(H227),ISBLANK(J227), ISBLANK(K227), ISBLANK(L227), ISBLANK(M227) ), "", 1.5*SQRT(   EXP(2.21*(H227-1)) + EXP(2.21*(J227-1)) + EXP(2.21*(K227-1)) + EXP(2.21*(L227-1)) + EXP(2.21*M227)   )/100*2.45 )</f>
        <v/>
      </c>
      <c r="O227" s="1282">
        <f>IF( OR( ISBLANK(I227),ISBLANK(J227), ISBLANK(K227), ISBLANK(L227), ISBLANK(M227) ), "", 1.5*SQRT( EXP(2.21*(I227-1)) + EXP(2.21*(J227-1)) + EXP(2.21*(K227-1)) + EXP(2.21*(L227-1)) + EXP(2.21*M227)   )/100*2.45 )</f>
        <v>0.37356464144298934</v>
      </c>
      <c r="P227" s="68"/>
    </row>
    <row r="228" spans="1:868">
      <c r="A228" s="68" t="str">
        <f>Clothing!A416</f>
        <v>Clothing (product sector)</v>
      </c>
      <c r="B228" s="304" t="str">
        <f>Clothing!B416</f>
        <v>Apparel accessories</v>
      </c>
      <c r="C228" s="69" t="str">
        <f>Clothing!C416</f>
        <v>EU</v>
      </c>
      <c r="D228" s="823" t="str">
        <f>Clothing!D416</f>
        <v>PET</v>
      </c>
      <c r="E228" s="69">
        <f>Clothing!E416</f>
        <v>3.7583116E-2</v>
      </c>
      <c r="F228" s="823">
        <f>Clothing!F416</f>
        <v>1</v>
      </c>
      <c r="G228" s="69" t="str">
        <f>Clothing!G416</f>
        <v>https://eeb.org/library/draft-product-environmental-footprint-category-rules-pefcr-apparel-and-footwear/</v>
      </c>
      <c r="H228" s="1188"/>
      <c r="I228" s="307">
        <f>Clothing!I416</f>
        <v>1</v>
      </c>
      <c r="J228" s="307">
        <f>Clothing!J416</f>
        <v>2</v>
      </c>
      <c r="K228" s="307">
        <f>Clothing!K416</f>
        <v>1</v>
      </c>
      <c r="L228" s="307">
        <f>Clothing!L416</f>
        <v>2</v>
      </c>
      <c r="M228" s="307">
        <f>Clothing!M416</f>
        <v>2</v>
      </c>
      <c r="N228" s="616" t="str">
        <f>IF( OR( ISBLANK(H228),ISBLANK(J228), ISBLANK(K228), ISBLANK(L228), ISBLANK(M228) ), "", 1.5*SQRT(   EXP(2.21*(H228-1)) + EXP(2.21*(J228-1)) + EXP(2.21*(K228-1)) + EXP(2.21*(L228-1)) + EXP(2.21*M228)   )/100*2.45 )</f>
        <v/>
      </c>
      <c r="O228" s="1282">
        <f>IF( OR( ISBLANK(I228),ISBLANK(J228), ISBLANK(K228), ISBLANK(L228), ISBLANK(M228) ), "", 1.5*SQRT( EXP(2.21*(I228-1)) + EXP(2.21*(J228-1)) + EXP(2.21*(K228-1)) + EXP(2.21*(L228-1)) + EXP(2.21*M228)   )/100*2.45 )</f>
        <v>0.37356464144298934</v>
      </c>
      <c r="P228" s="68"/>
    </row>
    <row r="229" spans="1:868">
      <c r="A229" s="68" t="str">
        <f>Clothing!A417</f>
        <v>Clothing (product sector)</v>
      </c>
      <c r="B229" s="304" t="str">
        <f>Clothing!B417</f>
        <v>Boots</v>
      </c>
      <c r="C229" s="69" t="str">
        <f>Clothing!C417</f>
        <v>EU</v>
      </c>
      <c r="D229" s="823" t="str">
        <f>Clothing!D417</f>
        <v>OTHER</v>
      </c>
      <c r="E229" s="69">
        <f>Clothing!E417</f>
        <v>1.5247604999999999E-2</v>
      </c>
      <c r="F229" s="823">
        <f>Clothing!F417</f>
        <v>1</v>
      </c>
      <c r="G229" s="69" t="str">
        <f>Clothing!G417</f>
        <v>https://eeb.org/library/draft-product-environmental-footprint-category-rules-pefcr-apparel-and-footwear/</v>
      </c>
      <c r="H229" s="1188"/>
      <c r="I229" s="307">
        <f>Clothing!I417</f>
        <v>1</v>
      </c>
      <c r="J229" s="307">
        <f>Clothing!J417</f>
        <v>2</v>
      </c>
      <c r="K229" s="307">
        <f>Clothing!K417</f>
        <v>1</v>
      </c>
      <c r="L229" s="307">
        <f>Clothing!L417</f>
        <v>2</v>
      </c>
      <c r="M229" s="307">
        <f>Clothing!M417</f>
        <v>2</v>
      </c>
      <c r="N229" s="616" t="str">
        <f>IF( OR( ISBLANK(H229),ISBLANK(J229), ISBLANK(K229), ISBLANK(L229), ISBLANK(M229) ), "", 1.5*SQRT(   EXP(2.21*(H229-1)) + EXP(2.21*(J229-1)) + EXP(2.21*(K229-1)) + EXP(2.21*(L229-1)) + EXP(2.21*M229)   )/100*2.45 )</f>
        <v/>
      </c>
      <c r="O229" s="1282">
        <f>IF( OR( ISBLANK(I229),ISBLANK(J229), ISBLANK(K229), ISBLANK(L229), ISBLANK(M229) ), "", 1.5*SQRT( EXP(2.21*(I229-1)) + EXP(2.21*(J229-1)) + EXP(2.21*(K229-1)) + EXP(2.21*(L229-1)) + EXP(2.21*M229)   )/100*2.45 )</f>
        <v>0.37356464144298934</v>
      </c>
      <c r="P229" s="68"/>
    </row>
    <row r="230" spans="1:868">
      <c r="A230" s="68" t="str">
        <f>Clothing!A418</f>
        <v>Clothing (product sector)</v>
      </c>
      <c r="B230" s="304" t="str">
        <f>Clothing!B418</f>
        <v>Boots</v>
      </c>
      <c r="C230" s="69" t="str">
        <f>Clothing!C418</f>
        <v>EU</v>
      </c>
      <c r="D230" s="823" t="str">
        <f>Clothing!D418</f>
        <v>PA</v>
      </c>
      <c r="E230" s="69">
        <f>Clothing!E418</f>
        <v>3.7359577999999997E-2</v>
      </c>
      <c r="F230" s="823">
        <f>Clothing!F418</f>
        <v>1</v>
      </c>
      <c r="G230" s="69" t="str">
        <f>Clothing!G418</f>
        <v>https://eeb.org/library/draft-product-environmental-footprint-category-rules-pefcr-apparel-and-footwear/</v>
      </c>
      <c r="H230" s="1188"/>
      <c r="I230" s="307">
        <f>Clothing!I418</f>
        <v>1</v>
      </c>
      <c r="J230" s="307">
        <f>Clothing!J418</f>
        <v>2</v>
      </c>
      <c r="K230" s="307">
        <f>Clothing!K418</f>
        <v>1</v>
      </c>
      <c r="L230" s="307">
        <f>Clothing!L418</f>
        <v>2</v>
      </c>
      <c r="M230" s="307">
        <f>Clothing!M418</f>
        <v>2</v>
      </c>
      <c r="N230" s="616" t="str">
        <f>IF( OR( ISBLANK(H230),ISBLANK(J230), ISBLANK(K230), ISBLANK(L230), ISBLANK(M230) ), "", 1.5*SQRT(   EXP(2.21*(H230-1)) + EXP(2.21*(J230-1)) + EXP(2.21*(K230-1)) + EXP(2.21*(L230-1)) + EXP(2.21*M230)   )/100*2.45 )</f>
        <v/>
      </c>
      <c r="O230" s="1282">
        <f>IF( OR( ISBLANK(I230),ISBLANK(J230), ISBLANK(K230), ISBLANK(L230), ISBLANK(M230) ), "", 1.5*SQRT( EXP(2.21*(I230-1)) + EXP(2.21*(J230-1)) + EXP(2.21*(K230-1)) + EXP(2.21*(L230-1)) + EXP(2.21*M230)   )/100*2.45 )</f>
        <v>0.37356464144298934</v>
      </c>
      <c r="P230" s="68"/>
    </row>
    <row r="231" spans="1:868">
      <c r="A231" s="68" t="str">
        <f>Clothing!A419</f>
        <v>Clothing (product sector)</v>
      </c>
      <c r="B231" s="304" t="str">
        <f>Clothing!B419</f>
        <v>Boots</v>
      </c>
      <c r="C231" s="69" t="str">
        <f>Clothing!C419</f>
        <v>EU</v>
      </c>
      <c r="D231" s="823" t="str">
        <f>Clothing!D419</f>
        <v>PET</v>
      </c>
      <c r="E231" s="69">
        <f>Clothing!E419</f>
        <v>4.1425780000000002E-2</v>
      </c>
      <c r="F231" s="823">
        <f>Clothing!F419</f>
        <v>1</v>
      </c>
      <c r="G231" s="69" t="str">
        <f>Clothing!G419</f>
        <v>https://eeb.org/library/draft-product-environmental-footprint-category-rules-pefcr-apparel-and-footwear/</v>
      </c>
      <c r="H231" s="1188"/>
      <c r="I231" s="307">
        <f>Clothing!I419</f>
        <v>1</v>
      </c>
      <c r="J231" s="307">
        <f>Clothing!J419</f>
        <v>2</v>
      </c>
      <c r="K231" s="307">
        <f>Clothing!K419</f>
        <v>1</v>
      </c>
      <c r="L231" s="307">
        <f>Clothing!L419</f>
        <v>2</v>
      </c>
      <c r="M231" s="307">
        <f>Clothing!M419</f>
        <v>2</v>
      </c>
      <c r="N231" s="616" t="str">
        <f>IF( OR( ISBLANK(H231),ISBLANK(J231), ISBLANK(K231), ISBLANK(L231), ISBLANK(M231) ), "", 1.5*SQRT(   EXP(2.21*(H231-1)) + EXP(2.21*(J231-1)) + EXP(2.21*(K231-1)) + EXP(2.21*(L231-1)) + EXP(2.21*M231)   )/100*2.45 )</f>
        <v/>
      </c>
      <c r="O231" s="1282">
        <f>IF( OR( ISBLANK(I231),ISBLANK(J231), ISBLANK(K231), ISBLANK(L231), ISBLANK(M231) ), "", 1.5*SQRT( EXP(2.21*(I231-1)) + EXP(2.21*(J231-1)) + EXP(2.21*(K231-1)) + EXP(2.21*(L231-1)) + EXP(2.21*M231)   )/100*2.45 )</f>
        <v>0.37356464144298934</v>
      </c>
      <c r="P231" s="68"/>
    </row>
    <row r="232" spans="1:868">
      <c r="A232" s="68" t="str">
        <f>Clothing!A420</f>
        <v>Clothing (product sector)</v>
      </c>
      <c r="B232" s="304" t="str">
        <f>Clothing!B420</f>
        <v>Boots</v>
      </c>
      <c r="C232" s="69" t="str">
        <f>Clothing!C420</f>
        <v>EU</v>
      </c>
      <c r="D232" s="823" t="str">
        <f>Clothing!D420</f>
        <v>PUR</v>
      </c>
      <c r="E232" s="69">
        <f>Clothing!E420</f>
        <v>0.483395144</v>
      </c>
      <c r="F232" s="823">
        <f>Clothing!F420</f>
        <v>1</v>
      </c>
      <c r="G232" s="69" t="str">
        <f>Clothing!G420</f>
        <v>https://eeb.org/library/draft-product-environmental-footprint-category-rules-pefcr-apparel-and-footwear/</v>
      </c>
      <c r="H232" s="1188"/>
      <c r="I232" s="307">
        <f>Clothing!I420</f>
        <v>1</v>
      </c>
      <c r="J232" s="307">
        <f>Clothing!J420</f>
        <v>2</v>
      </c>
      <c r="K232" s="307">
        <f>Clothing!K420</f>
        <v>1</v>
      </c>
      <c r="L232" s="307">
        <f>Clothing!L420</f>
        <v>2</v>
      </c>
      <c r="M232" s="307">
        <f>Clothing!M420</f>
        <v>2</v>
      </c>
      <c r="N232" s="616" t="str">
        <f>IF( OR( ISBLANK(H232),ISBLANK(J232), ISBLANK(K232), ISBLANK(L232), ISBLANK(M232) ), "", 1.5*SQRT(   EXP(2.21*(H232-1)) + EXP(2.21*(J232-1)) + EXP(2.21*(K232-1)) + EXP(2.21*(L232-1)) + EXP(2.21*M232)   )/100*2.45 )</f>
        <v/>
      </c>
      <c r="O232" s="1282">
        <f>IF( OR( ISBLANK(I232),ISBLANK(J232), ISBLANK(K232), ISBLANK(L232), ISBLANK(M232) ), "", 1.5*SQRT( EXP(2.21*(I232-1)) + EXP(2.21*(J232-1)) + EXP(2.21*(K232-1)) + EXP(2.21*(L232-1)) + EXP(2.21*M232)   )/100*2.45 )</f>
        <v>0.37356464144298934</v>
      </c>
      <c r="P232" s="68"/>
    </row>
    <row r="233" spans="1:868">
      <c r="A233" s="68" t="str">
        <f>Clothing!A421</f>
        <v>Clothing (product sector)</v>
      </c>
      <c r="B233" s="304" t="str">
        <f>Clothing!B421</f>
        <v>Boots</v>
      </c>
      <c r="C233" s="69" t="str">
        <f>Clothing!C421</f>
        <v>EU</v>
      </c>
      <c r="D233" s="823" t="str">
        <f>Clothing!D421</f>
        <v>PVC</v>
      </c>
      <c r="E233" s="69">
        <f>Clothing!E421</f>
        <v>0.44302860100000002</v>
      </c>
      <c r="F233" s="823">
        <f>Clothing!F421</f>
        <v>1</v>
      </c>
      <c r="G233" s="69" t="str">
        <f>Clothing!G421</f>
        <v>https://eeb.org/library/draft-product-environmental-footprint-category-rules-pefcr-apparel-and-footwear/</v>
      </c>
      <c r="H233" s="1188"/>
      <c r="I233" s="307">
        <f>Clothing!I421</f>
        <v>1</v>
      </c>
      <c r="J233" s="307">
        <f>Clothing!J421</f>
        <v>2</v>
      </c>
      <c r="K233" s="307">
        <f>Clothing!K421</f>
        <v>1</v>
      </c>
      <c r="L233" s="307">
        <f>Clothing!L421</f>
        <v>2</v>
      </c>
      <c r="M233" s="307">
        <f>Clothing!M421</f>
        <v>2</v>
      </c>
      <c r="N233" s="616" t="str">
        <f>IF( OR( ISBLANK(H233),ISBLANK(J233), ISBLANK(K233), ISBLANK(L233), ISBLANK(M233) ), "", 1.5*SQRT(   EXP(2.21*(H233-1)) + EXP(2.21*(J233-1)) + EXP(2.21*(K233-1)) + EXP(2.21*(L233-1)) + EXP(2.21*M233)   )/100*2.45 )</f>
        <v/>
      </c>
      <c r="O233" s="1282">
        <f>IF( OR( ISBLANK(I233),ISBLANK(J233), ISBLANK(K233), ISBLANK(L233), ISBLANK(M233) ), "", 1.5*SQRT( EXP(2.21*(I233-1)) + EXP(2.21*(J233-1)) + EXP(2.21*(K233-1)) + EXP(2.21*(L233-1)) + EXP(2.21*M233)   )/100*2.45 )</f>
        <v>0.37356464144298934</v>
      </c>
      <c r="P233" s="68"/>
    </row>
    <row r="234" spans="1:868">
      <c r="A234" s="68" t="str">
        <f>Clothing!A422</f>
        <v>Clothing (product sector)</v>
      </c>
      <c r="B234" s="304" t="str">
        <f>Clothing!B422</f>
        <v>Boots</v>
      </c>
      <c r="C234" s="69" t="str">
        <f>Clothing!C422</f>
        <v>EU</v>
      </c>
      <c r="D234" s="823" t="str">
        <f>Clothing!D422</f>
        <v>RUBBER</v>
      </c>
      <c r="E234" s="69">
        <f>Clothing!E422</f>
        <v>0.18274958299999999</v>
      </c>
      <c r="F234" s="823">
        <f>Clothing!F422</f>
        <v>1</v>
      </c>
      <c r="G234" s="69" t="str">
        <f>Clothing!G422</f>
        <v>https://eeb.org/library/draft-product-environmental-footprint-category-rules-pefcr-apparel-and-footwear/</v>
      </c>
      <c r="H234" s="1188"/>
      <c r="I234" s="307">
        <f>Clothing!I422</f>
        <v>1</v>
      </c>
      <c r="J234" s="307">
        <f>Clothing!J422</f>
        <v>2</v>
      </c>
      <c r="K234" s="307">
        <f>Clothing!K422</f>
        <v>1</v>
      </c>
      <c r="L234" s="307">
        <f>Clothing!L422</f>
        <v>2</v>
      </c>
      <c r="M234" s="307">
        <f>Clothing!M422</f>
        <v>2</v>
      </c>
      <c r="N234" s="616" t="str">
        <f>IF( OR( ISBLANK(H234),ISBLANK(J234), ISBLANK(K234), ISBLANK(L234), ISBLANK(M234) ), "", 1.5*SQRT(   EXP(2.21*(H234-1)) + EXP(2.21*(J234-1)) + EXP(2.21*(K234-1)) + EXP(2.21*(L234-1)) + EXP(2.21*M234)   )/100*2.45 )</f>
        <v/>
      </c>
      <c r="O234" s="1282">
        <f>IF( OR( ISBLANK(I234),ISBLANK(J234), ISBLANK(K234), ISBLANK(L234), ISBLANK(M234) ), "", 1.5*SQRT( EXP(2.21*(I234-1)) + EXP(2.21*(J234-1)) + EXP(2.21*(K234-1)) + EXP(2.21*(L234-1)) + EXP(2.21*M234)   )/100*2.45 )</f>
        <v>0.37356464144298934</v>
      </c>
      <c r="P234" s="68"/>
    </row>
    <row r="235" spans="1:868">
      <c r="A235" s="68" t="str">
        <f>Clothing!A423</f>
        <v>Clothing (product sector)</v>
      </c>
      <c r="B235" s="304" t="str">
        <f>Clothing!B423</f>
        <v>Closed-toed shoes</v>
      </c>
      <c r="C235" s="69" t="str">
        <f>Clothing!C423</f>
        <v>EU</v>
      </c>
      <c r="D235" s="823" t="str">
        <f>Clothing!D423</f>
        <v>OTHER</v>
      </c>
      <c r="E235" s="69">
        <f>Clothing!E423</f>
        <v>0.25498618099999998</v>
      </c>
      <c r="F235" s="823">
        <f>Clothing!F423</f>
        <v>1</v>
      </c>
      <c r="G235" s="69" t="str">
        <f>Clothing!G423</f>
        <v>https://eeb.org/library/draft-product-environmental-footprint-category-rules-pefcr-apparel-and-footwear/</v>
      </c>
      <c r="H235" s="1188"/>
      <c r="I235" s="307">
        <f>Clothing!I423</f>
        <v>1</v>
      </c>
      <c r="J235" s="307">
        <f>Clothing!J423</f>
        <v>2</v>
      </c>
      <c r="K235" s="307">
        <f>Clothing!K423</f>
        <v>1</v>
      </c>
      <c r="L235" s="307">
        <f>Clothing!L423</f>
        <v>2</v>
      </c>
      <c r="M235" s="307">
        <f>Clothing!M423</f>
        <v>2</v>
      </c>
      <c r="N235" s="616" t="str">
        <f>IF( OR( ISBLANK(H235),ISBLANK(J235), ISBLANK(K235), ISBLANK(L235), ISBLANK(M235) ), "", 1.5*SQRT(   EXP(2.21*(H235-1)) + EXP(2.21*(J235-1)) + EXP(2.21*(K235-1)) + EXP(2.21*(L235-1)) + EXP(2.21*M235)   )/100*2.45 )</f>
        <v/>
      </c>
      <c r="O235" s="1282">
        <f>IF( OR( ISBLANK(I235),ISBLANK(J235), ISBLANK(K235), ISBLANK(L235), ISBLANK(M235) ), "", 1.5*SQRT( EXP(2.21*(I235-1)) + EXP(2.21*(J235-1)) + EXP(2.21*(K235-1)) + EXP(2.21*(L235-1)) + EXP(2.21*M235)   )/100*2.45 )</f>
        <v>0.37356464144298934</v>
      </c>
      <c r="P235" s="68"/>
    </row>
    <row r="236" spans="1:868">
      <c r="A236" s="68" t="str">
        <f>Clothing!A424</f>
        <v>Clothing (product sector)</v>
      </c>
      <c r="B236" s="304" t="str">
        <f>Clothing!B424</f>
        <v>Closed-toed shoes</v>
      </c>
      <c r="C236" s="69" t="str">
        <f>Clothing!C424</f>
        <v>EU</v>
      </c>
      <c r="D236" s="823" t="str">
        <f>Clothing!D424</f>
        <v>PA</v>
      </c>
      <c r="E236" s="69">
        <f>Clothing!E424</f>
        <v>8.1491139000000004E-2</v>
      </c>
      <c r="F236" s="823">
        <f>Clothing!F424</f>
        <v>1</v>
      </c>
      <c r="G236" s="69" t="str">
        <f>Clothing!G424</f>
        <v>https://eeb.org/library/draft-product-environmental-footprint-category-rules-pefcr-apparel-and-footwear/</v>
      </c>
      <c r="H236" s="1188"/>
      <c r="I236" s="307">
        <f>Clothing!I424</f>
        <v>1</v>
      </c>
      <c r="J236" s="307">
        <f>Clothing!J424</f>
        <v>2</v>
      </c>
      <c r="K236" s="307">
        <f>Clothing!K424</f>
        <v>1</v>
      </c>
      <c r="L236" s="307">
        <f>Clothing!L424</f>
        <v>2</v>
      </c>
      <c r="M236" s="307">
        <f>Clothing!M424</f>
        <v>2</v>
      </c>
      <c r="N236" s="616" t="str">
        <f>IF( OR( ISBLANK(H236),ISBLANK(J236), ISBLANK(K236), ISBLANK(L236), ISBLANK(M236) ), "", 1.5*SQRT(   EXP(2.21*(H236-1)) + EXP(2.21*(J236-1)) + EXP(2.21*(K236-1)) + EXP(2.21*(L236-1)) + EXP(2.21*M236)   )/100*2.45 )</f>
        <v/>
      </c>
      <c r="O236" s="1282">
        <f>IF( OR( ISBLANK(I236),ISBLANK(J236), ISBLANK(K236), ISBLANK(L236), ISBLANK(M236) ), "", 1.5*SQRT( EXP(2.21*(I236-1)) + EXP(2.21*(J236-1)) + EXP(2.21*(K236-1)) + EXP(2.21*(L236-1)) + EXP(2.21*M236)   )/100*2.45 )</f>
        <v>0.37356464144298934</v>
      </c>
      <c r="P236" s="68"/>
    </row>
    <row r="237" spans="1:868">
      <c r="A237" s="68" t="str">
        <f>Clothing!A425</f>
        <v>Clothing (product sector)</v>
      </c>
      <c r="B237" s="304" t="str">
        <f>Clothing!B425</f>
        <v>Closed-toed shoes</v>
      </c>
      <c r="C237" s="69" t="str">
        <f>Clothing!C425</f>
        <v>EU</v>
      </c>
      <c r="D237" s="823" t="str">
        <f>Clothing!D425</f>
        <v>PET</v>
      </c>
      <c r="E237" s="69">
        <f>Clothing!E425</f>
        <v>0.16754361700000001</v>
      </c>
      <c r="F237" s="823">
        <f>Clothing!F425</f>
        <v>1</v>
      </c>
      <c r="G237" s="69" t="str">
        <f>Clothing!G425</f>
        <v>https://eeb.org/library/draft-product-environmental-footprint-category-rules-pefcr-apparel-and-footwear/</v>
      </c>
      <c r="H237" s="1188"/>
      <c r="I237" s="307">
        <f>Clothing!I425</f>
        <v>1</v>
      </c>
      <c r="J237" s="307">
        <f>Clothing!J425</f>
        <v>2</v>
      </c>
      <c r="K237" s="307">
        <f>Clothing!K425</f>
        <v>1</v>
      </c>
      <c r="L237" s="307">
        <f>Clothing!L425</f>
        <v>2</v>
      </c>
      <c r="M237" s="307">
        <f>Clothing!M425</f>
        <v>2</v>
      </c>
      <c r="N237" s="616" t="str">
        <f>IF( OR( ISBLANK(H237),ISBLANK(J237), ISBLANK(K237), ISBLANK(L237), ISBLANK(M237) ), "", 1.5*SQRT(   EXP(2.21*(H237-1)) + EXP(2.21*(J237-1)) + EXP(2.21*(K237-1)) + EXP(2.21*(L237-1)) + EXP(2.21*M237)   )/100*2.45 )</f>
        <v/>
      </c>
      <c r="O237" s="1282">
        <f>IF( OR( ISBLANK(I237),ISBLANK(J237), ISBLANK(K237), ISBLANK(L237), ISBLANK(M237) ), "", 1.5*SQRT( EXP(2.21*(I237-1)) + EXP(2.21*(J237-1)) + EXP(2.21*(K237-1)) + EXP(2.21*(L237-1)) + EXP(2.21*M237)   )/100*2.45 )</f>
        <v>0.37356464144298934</v>
      </c>
      <c r="P237" s="68"/>
    </row>
    <row r="238" spans="1:868" s="816" customFormat="1">
      <c r="A238" s="68" t="str">
        <f>Clothing!A426</f>
        <v>Clothing (product sector)</v>
      </c>
      <c r="B238" s="304" t="str">
        <f>Clothing!B426</f>
        <v>Closed-toed shoes</v>
      </c>
      <c r="C238" s="69" t="str">
        <f>Clothing!C426</f>
        <v>EU</v>
      </c>
      <c r="D238" s="823" t="str">
        <f>Clothing!D426</f>
        <v>PUR</v>
      </c>
      <c r="E238" s="69">
        <f>Clothing!E426</f>
        <v>0.39540483300000001</v>
      </c>
      <c r="F238" s="823">
        <f>Clothing!F426</f>
        <v>1</v>
      </c>
      <c r="G238" s="69" t="str">
        <f>Clothing!G426</f>
        <v>https://eeb.org/library/draft-product-environmental-footprint-category-rules-pefcr-apparel-and-footwear/</v>
      </c>
      <c r="H238" s="1188"/>
      <c r="I238" s="307">
        <f>Clothing!I426</f>
        <v>1</v>
      </c>
      <c r="J238" s="307">
        <f>Clothing!J426</f>
        <v>2</v>
      </c>
      <c r="K238" s="307">
        <f>Clothing!K426</f>
        <v>1</v>
      </c>
      <c r="L238" s="307">
        <f>Clothing!L426</f>
        <v>2</v>
      </c>
      <c r="M238" s="307">
        <f>Clothing!M426</f>
        <v>2</v>
      </c>
      <c r="N238" s="616" t="str">
        <f>IF( OR( ISBLANK(H238),ISBLANK(J238), ISBLANK(K238), ISBLANK(L238), ISBLANK(M238) ), "", 1.5*SQRT(   EXP(2.21*(H238-1)) + EXP(2.21*(J238-1)) + EXP(2.21*(K238-1)) + EXP(2.21*(L238-1)) + EXP(2.21*M238)   )/100*2.45 )</f>
        <v/>
      </c>
      <c r="O238" s="1282">
        <f>IF( OR( ISBLANK(I238),ISBLANK(J238), ISBLANK(K238), ISBLANK(L238), ISBLANK(M238) ), "", 1.5*SQRT( EXP(2.21*(I238-1)) + EXP(2.21*(J238-1)) + EXP(2.21*(K238-1)) + EXP(2.21*(L238-1)) + EXP(2.21*M238)   )/100*2.45 )</f>
        <v>0.37356464144298934</v>
      </c>
      <c r="P238" s="68"/>
      <c r="Q238" s="815"/>
      <c r="R238" s="815"/>
      <c r="S238" s="815"/>
      <c r="T238" s="815"/>
      <c r="U238" s="815"/>
      <c r="V238" s="815"/>
      <c r="W238" s="815"/>
      <c r="X238" s="815"/>
      <c r="Y238" s="815"/>
      <c r="Z238" s="815"/>
      <c r="AA238" s="815"/>
      <c r="AB238" s="815"/>
      <c r="AC238" s="815"/>
      <c r="AD238" s="815"/>
      <c r="AE238" s="815"/>
      <c r="AF238" s="815"/>
      <c r="AG238" s="815"/>
      <c r="AH238" s="815"/>
      <c r="AI238" s="815"/>
      <c r="AJ238" s="815"/>
      <c r="AK238" s="815"/>
      <c r="AL238" s="815"/>
      <c r="AM238" s="815"/>
      <c r="AN238" s="815"/>
      <c r="AO238" s="815"/>
      <c r="AP238" s="815"/>
      <c r="AQ238" s="815"/>
      <c r="AR238" s="815"/>
      <c r="AS238" s="815"/>
      <c r="AT238" s="815"/>
      <c r="AU238" s="815"/>
      <c r="AV238" s="815"/>
      <c r="AW238" s="815"/>
      <c r="AX238" s="815"/>
      <c r="AY238" s="815"/>
      <c r="AZ238" s="815"/>
      <c r="BA238" s="815"/>
      <c r="BB238" s="815"/>
      <c r="BC238" s="815"/>
      <c r="BD238" s="815"/>
      <c r="BE238" s="815"/>
      <c r="BF238" s="815"/>
      <c r="BG238" s="815"/>
      <c r="BH238" s="815"/>
      <c r="BI238" s="815"/>
      <c r="BJ238" s="815"/>
      <c r="BK238" s="815"/>
      <c r="BL238" s="815"/>
      <c r="BM238" s="815"/>
      <c r="BN238" s="815"/>
      <c r="BO238" s="815"/>
      <c r="BP238" s="815"/>
      <c r="BQ238" s="815"/>
      <c r="BR238" s="815"/>
      <c r="BS238" s="815"/>
      <c r="BT238" s="815"/>
      <c r="BU238" s="815"/>
      <c r="BV238" s="815"/>
      <c r="BW238" s="815"/>
      <c r="BX238" s="815"/>
      <c r="BY238" s="815"/>
      <c r="BZ238" s="815"/>
      <c r="CA238" s="815"/>
      <c r="CB238" s="815"/>
      <c r="CC238" s="815"/>
      <c r="CD238" s="815"/>
      <c r="CE238" s="815"/>
      <c r="CF238" s="815"/>
      <c r="CG238" s="815"/>
      <c r="CH238" s="815"/>
      <c r="CI238" s="815"/>
      <c r="CJ238" s="815"/>
      <c r="CK238" s="815"/>
      <c r="CL238" s="815"/>
      <c r="CM238" s="815"/>
      <c r="CN238" s="815"/>
      <c r="CO238" s="815"/>
      <c r="CP238" s="815"/>
      <c r="CQ238" s="815"/>
      <c r="CR238" s="815"/>
      <c r="CS238" s="815"/>
      <c r="CT238" s="815"/>
      <c r="CU238" s="815"/>
      <c r="CV238" s="815"/>
      <c r="CW238" s="815"/>
      <c r="CX238" s="815"/>
      <c r="CY238" s="815"/>
      <c r="CZ238" s="815"/>
      <c r="DA238" s="815"/>
      <c r="DB238" s="815"/>
      <c r="DC238" s="815"/>
      <c r="DD238" s="815"/>
      <c r="DE238" s="815"/>
      <c r="DF238" s="815"/>
      <c r="DG238" s="815"/>
      <c r="DH238" s="815"/>
      <c r="DI238" s="815"/>
      <c r="DJ238" s="815"/>
      <c r="DK238" s="815"/>
      <c r="DL238" s="815"/>
      <c r="DM238" s="815"/>
      <c r="DN238" s="815"/>
      <c r="DO238" s="815"/>
      <c r="DP238" s="815"/>
      <c r="DQ238" s="815"/>
      <c r="DR238" s="815"/>
      <c r="DS238" s="815"/>
      <c r="DT238" s="815"/>
      <c r="DU238" s="815"/>
      <c r="DV238" s="815"/>
      <c r="DW238" s="815"/>
      <c r="DX238" s="815"/>
      <c r="DY238" s="815"/>
      <c r="DZ238" s="815"/>
      <c r="EA238" s="815"/>
      <c r="EB238" s="815"/>
      <c r="EC238" s="815"/>
      <c r="ED238" s="815"/>
      <c r="EE238" s="815"/>
      <c r="EF238" s="815"/>
      <c r="EG238" s="815"/>
      <c r="EH238" s="815"/>
      <c r="EI238" s="815"/>
      <c r="EJ238" s="815"/>
      <c r="EK238" s="815"/>
      <c r="EL238" s="815"/>
      <c r="EM238" s="815"/>
      <c r="EN238" s="815"/>
      <c r="EO238" s="815"/>
      <c r="EP238" s="815"/>
      <c r="EQ238" s="815"/>
      <c r="ER238" s="815"/>
      <c r="ES238" s="815"/>
      <c r="ET238" s="815"/>
      <c r="EU238" s="815"/>
      <c r="EV238" s="815"/>
      <c r="EW238" s="815"/>
      <c r="EX238" s="815"/>
      <c r="EY238" s="815"/>
      <c r="EZ238" s="815"/>
      <c r="FA238" s="815"/>
      <c r="FB238" s="815"/>
      <c r="FC238" s="815"/>
      <c r="FD238" s="815"/>
      <c r="FE238" s="815"/>
      <c r="FF238" s="815"/>
      <c r="FG238" s="815"/>
      <c r="FH238" s="815"/>
      <c r="FI238" s="815"/>
      <c r="FJ238" s="815"/>
      <c r="FK238" s="815"/>
      <c r="FL238" s="815"/>
      <c r="FM238" s="815"/>
      <c r="FN238" s="815"/>
      <c r="FO238" s="815"/>
      <c r="FP238" s="815"/>
      <c r="FQ238" s="815"/>
      <c r="FR238" s="815"/>
      <c r="FS238" s="815"/>
      <c r="FT238" s="815"/>
      <c r="FU238" s="815"/>
      <c r="FV238" s="815"/>
      <c r="FW238" s="815"/>
      <c r="FX238" s="815"/>
      <c r="FY238" s="815"/>
      <c r="FZ238" s="815"/>
      <c r="GA238" s="815"/>
      <c r="GB238" s="815"/>
      <c r="GC238" s="815"/>
      <c r="GD238" s="815"/>
      <c r="GE238" s="815"/>
      <c r="GF238" s="815"/>
      <c r="GG238" s="815"/>
      <c r="GH238" s="815"/>
      <c r="GI238" s="815"/>
      <c r="GJ238" s="815"/>
      <c r="GK238" s="815"/>
      <c r="GL238" s="815"/>
      <c r="GM238" s="815"/>
      <c r="GN238" s="815"/>
      <c r="GO238" s="815"/>
      <c r="GP238" s="815"/>
      <c r="GQ238" s="815"/>
      <c r="GR238" s="815"/>
      <c r="GS238" s="815"/>
      <c r="GT238" s="815"/>
      <c r="GU238" s="815"/>
      <c r="GV238" s="815"/>
      <c r="GW238" s="815"/>
      <c r="GX238" s="815"/>
      <c r="GY238" s="815"/>
      <c r="GZ238" s="815"/>
      <c r="HA238" s="815"/>
      <c r="HB238" s="815"/>
      <c r="HC238" s="815"/>
      <c r="HD238" s="815"/>
      <c r="HE238" s="815"/>
      <c r="HF238" s="815"/>
      <c r="HG238" s="815"/>
      <c r="HH238" s="815"/>
      <c r="HI238" s="815"/>
      <c r="HJ238" s="815"/>
      <c r="HK238" s="815"/>
      <c r="HL238" s="815"/>
      <c r="HM238" s="815"/>
      <c r="HN238" s="815"/>
      <c r="HO238" s="815"/>
      <c r="HP238" s="815"/>
      <c r="HQ238" s="815"/>
      <c r="HR238" s="815"/>
      <c r="HS238" s="815"/>
      <c r="HT238" s="815"/>
      <c r="HU238" s="815"/>
      <c r="HV238" s="815"/>
      <c r="HW238" s="815"/>
      <c r="HX238" s="815"/>
      <c r="HY238" s="815"/>
      <c r="HZ238" s="815"/>
      <c r="IA238" s="815"/>
      <c r="IB238" s="815"/>
      <c r="IC238" s="815"/>
      <c r="ID238" s="815"/>
      <c r="IE238" s="815"/>
      <c r="IF238" s="815"/>
      <c r="IG238" s="815"/>
      <c r="IH238" s="815"/>
      <c r="II238" s="815"/>
      <c r="IJ238" s="815"/>
      <c r="IK238" s="815"/>
      <c r="IL238" s="815"/>
      <c r="IM238" s="815"/>
      <c r="IN238" s="815"/>
      <c r="IO238" s="815"/>
      <c r="IP238" s="815"/>
      <c r="IQ238" s="815"/>
      <c r="IR238" s="815"/>
      <c r="IS238" s="815"/>
      <c r="IT238" s="815"/>
      <c r="IU238" s="815"/>
      <c r="IV238" s="815"/>
      <c r="IW238" s="815"/>
      <c r="IX238" s="815"/>
      <c r="IY238" s="815"/>
      <c r="IZ238" s="815"/>
      <c r="JA238" s="815"/>
      <c r="JB238" s="815"/>
      <c r="JC238" s="815"/>
      <c r="JD238" s="815"/>
      <c r="JE238" s="815"/>
      <c r="JF238" s="815"/>
      <c r="JG238" s="815"/>
      <c r="JH238" s="815"/>
      <c r="JI238" s="815"/>
      <c r="JJ238" s="815"/>
      <c r="JK238" s="815"/>
      <c r="JL238" s="815"/>
      <c r="JM238" s="815"/>
      <c r="JN238" s="815"/>
      <c r="JO238" s="815"/>
      <c r="JP238" s="815"/>
      <c r="JQ238" s="815"/>
      <c r="JR238" s="815"/>
      <c r="JS238" s="815"/>
      <c r="JT238" s="815"/>
      <c r="JU238" s="815"/>
      <c r="JV238" s="815"/>
      <c r="JW238" s="815"/>
      <c r="JX238" s="815"/>
      <c r="JY238" s="815"/>
      <c r="JZ238" s="815"/>
      <c r="KA238" s="815"/>
      <c r="KB238" s="815"/>
      <c r="KC238" s="815"/>
      <c r="KD238" s="815"/>
      <c r="KE238" s="815"/>
      <c r="KF238" s="815"/>
      <c r="KG238" s="815"/>
      <c r="KH238" s="815"/>
      <c r="KI238" s="815"/>
      <c r="KJ238" s="815"/>
      <c r="KK238" s="815"/>
      <c r="KL238" s="815"/>
      <c r="KM238" s="815"/>
      <c r="KN238" s="815"/>
      <c r="KO238" s="815"/>
      <c r="KP238" s="815"/>
      <c r="KQ238" s="815"/>
      <c r="KR238" s="815"/>
      <c r="KS238" s="815"/>
      <c r="KT238" s="815"/>
      <c r="KU238" s="815"/>
      <c r="KV238" s="815"/>
      <c r="KW238" s="815"/>
      <c r="KX238" s="815"/>
      <c r="KY238" s="815"/>
      <c r="KZ238" s="815"/>
      <c r="LA238" s="815"/>
      <c r="LB238" s="815"/>
      <c r="LC238" s="815"/>
      <c r="LD238" s="815"/>
      <c r="LE238" s="815"/>
      <c r="LF238" s="815"/>
      <c r="LG238" s="815"/>
      <c r="LH238" s="815"/>
      <c r="LI238" s="815"/>
      <c r="LJ238" s="815"/>
      <c r="LK238" s="815"/>
      <c r="LL238" s="815"/>
      <c r="LM238" s="815"/>
      <c r="LN238" s="815"/>
      <c r="LO238" s="815"/>
      <c r="LP238" s="815"/>
      <c r="LQ238" s="815"/>
      <c r="LR238" s="815"/>
      <c r="LS238" s="815"/>
      <c r="LT238" s="815"/>
      <c r="LU238" s="815"/>
      <c r="LV238" s="815"/>
      <c r="LW238" s="815"/>
      <c r="LX238" s="815"/>
      <c r="LY238" s="815"/>
      <c r="LZ238" s="815"/>
      <c r="MA238" s="815"/>
      <c r="MB238" s="815"/>
      <c r="MC238" s="815"/>
      <c r="MD238" s="815"/>
      <c r="ME238" s="815"/>
      <c r="MF238" s="815"/>
      <c r="MG238" s="815"/>
      <c r="MH238" s="815"/>
      <c r="MI238" s="815"/>
      <c r="MJ238" s="815"/>
      <c r="MK238" s="815"/>
      <c r="ML238" s="815"/>
      <c r="MM238" s="815"/>
      <c r="MN238" s="815"/>
      <c r="MO238" s="815"/>
      <c r="MP238" s="815"/>
      <c r="MQ238" s="815"/>
      <c r="MR238" s="815"/>
      <c r="MS238" s="815"/>
      <c r="MT238" s="815"/>
      <c r="MU238" s="815"/>
      <c r="MV238" s="815"/>
      <c r="MW238" s="815"/>
      <c r="MX238" s="815"/>
      <c r="MY238" s="815"/>
      <c r="MZ238" s="815"/>
      <c r="NA238" s="815"/>
      <c r="NB238" s="815"/>
      <c r="NC238" s="815"/>
      <c r="ND238" s="815"/>
      <c r="NE238" s="815"/>
      <c r="NF238" s="815"/>
      <c r="NG238" s="815"/>
      <c r="NH238" s="815"/>
      <c r="NI238" s="815"/>
      <c r="NJ238" s="815"/>
      <c r="NK238" s="815"/>
      <c r="NL238" s="815"/>
      <c r="NM238" s="815"/>
      <c r="NN238" s="815"/>
      <c r="NO238" s="815"/>
      <c r="NP238" s="815"/>
      <c r="NQ238" s="815"/>
      <c r="NR238" s="815"/>
      <c r="NS238" s="815"/>
      <c r="NT238" s="815"/>
      <c r="NU238" s="815"/>
      <c r="NV238" s="815"/>
      <c r="NW238" s="815"/>
      <c r="NX238" s="815"/>
      <c r="NY238" s="815"/>
      <c r="NZ238" s="815"/>
      <c r="OA238" s="815"/>
      <c r="OB238" s="815"/>
      <c r="OC238" s="815"/>
      <c r="OD238" s="815"/>
      <c r="OE238" s="815"/>
      <c r="OF238" s="815"/>
      <c r="OG238" s="815"/>
      <c r="OH238" s="815"/>
      <c r="OI238" s="815"/>
      <c r="OJ238" s="815"/>
      <c r="OK238" s="815"/>
      <c r="OL238" s="815"/>
      <c r="OM238" s="815"/>
      <c r="ON238" s="815"/>
      <c r="OO238" s="815"/>
      <c r="OP238" s="815"/>
      <c r="OQ238" s="815"/>
      <c r="OR238" s="815"/>
      <c r="OS238" s="815"/>
      <c r="OT238" s="815"/>
      <c r="OU238" s="815"/>
      <c r="OV238" s="815"/>
      <c r="OW238" s="815"/>
      <c r="OX238" s="815"/>
      <c r="OY238" s="815"/>
      <c r="OZ238" s="815"/>
      <c r="PA238" s="815"/>
      <c r="PB238" s="815"/>
      <c r="PC238" s="815"/>
      <c r="PD238" s="815"/>
      <c r="PE238" s="815"/>
      <c r="PF238" s="815"/>
      <c r="PG238" s="815"/>
      <c r="PH238" s="815"/>
      <c r="PI238" s="815"/>
      <c r="PJ238" s="815"/>
      <c r="PK238" s="815"/>
      <c r="PL238" s="815"/>
      <c r="PM238" s="815"/>
      <c r="PN238" s="815"/>
      <c r="PO238" s="815"/>
      <c r="PP238" s="815"/>
      <c r="PQ238" s="815"/>
      <c r="PR238" s="815"/>
      <c r="PS238" s="815"/>
      <c r="PT238" s="815"/>
      <c r="PU238" s="815"/>
      <c r="PV238" s="815"/>
      <c r="PW238" s="815"/>
      <c r="PX238" s="815"/>
      <c r="PY238" s="815"/>
      <c r="PZ238" s="815"/>
      <c r="QA238" s="815"/>
      <c r="QB238" s="815"/>
      <c r="QC238" s="815"/>
      <c r="QD238" s="815"/>
      <c r="QE238" s="815"/>
      <c r="QF238" s="815"/>
      <c r="QG238" s="815"/>
      <c r="QH238" s="815"/>
      <c r="QI238" s="815"/>
      <c r="QJ238" s="815"/>
      <c r="QK238" s="815"/>
      <c r="QL238" s="815"/>
      <c r="QM238" s="815"/>
      <c r="QN238" s="815"/>
      <c r="QO238" s="815"/>
      <c r="QP238" s="815"/>
      <c r="QQ238" s="815"/>
      <c r="QR238" s="815"/>
      <c r="QS238" s="815"/>
      <c r="QT238" s="815"/>
      <c r="QU238" s="815"/>
      <c r="QV238" s="815"/>
      <c r="QW238" s="815"/>
      <c r="QX238" s="815"/>
      <c r="QY238" s="815"/>
      <c r="QZ238" s="815"/>
      <c r="RA238" s="815"/>
      <c r="RB238" s="815"/>
      <c r="RC238" s="815"/>
      <c r="RD238" s="815"/>
      <c r="RE238" s="815"/>
      <c r="RF238" s="815"/>
      <c r="RG238" s="815"/>
      <c r="RH238" s="815"/>
      <c r="RI238" s="815"/>
      <c r="RJ238" s="815"/>
      <c r="RK238" s="815"/>
      <c r="RL238" s="815"/>
      <c r="RM238" s="815"/>
      <c r="RN238" s="815"/>
      <c r="RO238" s="815"/>
      <c r="RP238" s="815"/>
      <c r="RQ238" s="815"/>
      <c r="RR238" s="815"/>
      <c r="RS238" s="815"/>
      <c r="RT238" s="815"/>
      <c r="RU238" s="815"/>
      <c r="RV238" s="815"/>
      <c r="RW238" s="815"/>
      <c r="RX238" s="815"/>
      <c r="RY238" s="815"/>
      <c r="RZ238" s="815"/>
      <c r="SA238" s="815"/>
      <c r="SB238" s="815"/>
      <c r="SC238" s="815"/>
      <c r="SD238" s="815"/>
      <c r="SE238" s="815"/>
      <c r="SF238" s="815"/>
      <c r="SG238" s="815"/>
      <c r="SH238" s="815"/>
      <c r="SI238" s="815"/>
      <c r="SJ238" s="815"/>
      <c r="SK238" s="815"/>
      <c r="SL238" s="815"/>
      <c r="SM238" s="815"/>
      <c r="SN238" s="815"/>
      <c r="SO238" s="815"/>
      <c r="SP238" s="815"/>
      <c r="SQ238" s="815"/>
      <c r="SR238" s="815"/>
      <c r="SS238" s="815"/>
      <c r="ST238" s="815"/>
      <c r="SU238" s="815"/>
      <c r="SV238" s="815"/>
      <c r="SW238" s="815"/>
      <c r="SX238" s="815"/>
      <c r="SY238" s="815"/>
      <c r="SZ238" s="815"/>
      <c r="TA238" s="815"/>
      <c r="TB238" s="815"/>
      <c r="TC238" s="815"/>
      <c r="TD238" s="815"/>
      <c r="TE238" s="815"/>
      <c r="TF238" s="815"/>
      <c r="TG238" s="815"/>
      <c r="TH238" s="815"/>
      <c r="TI238" s="815"/>
      <c r="TJ238" s="815"/>
      <c r="TK238" s="815"/>
      <c r="TL238" s="815"/>
      <c r="TM238" s="815"/>
      <c r="TN238" s="815"/>
      <c r="TO238" s="815"/>
      <c r="TP238" s="815"/>
      <c r="TQ238" s="815"/>
      <c r="TR238" s="815"/>
      <c r="TS238" s="815"/>
      <c r="TT238" s="815"/>
      <c r="TU238" s="815"/>
      <c r="TV238" s="815"/>
      <c r="TW238" s="815"/>
      <c r="TX238" s="815"/>
      <c r="TY238" s="815"/>
      <c r="TZ238" s="815"/>
      <c r="UA238" s="815"/>
      <c r="UB238" s="815"/>
      <c r="UC238" s="815"/>
      <c r="UD238" s="815"/>
      <c r="UE238" s="815"/>
      <c r="UF238" s="815"/>
      <c r="UG238" s="815"/>
      <c r="UH238" s="815"/>
      <c r="UI238" s="815"/>
      <c r="UJ238" s="815"/>
      <c r="UK238" s="815"/>
      <c r="UL238" s="815"/>
      <c r="UM238" s="815"/>
      <c r="UN238" s="815"/>
      <c r="UO238" s="815"/>
      <c r="UP238" s="815"/>
      <c r="UQ238" s="815"/>
      <c r="UR238" s="815"/>
      <c r="US238" s="815"/>
      <c r="UT238" s="815"/>
      <c r="UU238" s="815"/>
      <c r="UV238" s="815"/>
      <c r="UW238" s="815"/>
      <c r="UX238" s="815"/>
      <c r="UY238" s="815"/>
      <c r="UZ238" s="815"/>
      <c r="VA238" s="815"/>
      <c r="VB238" s="815"/>
      <c r="VC238" s="815"/>
      <c r="VD238" s="815"/>
      <c r="VE238" s="815"/>
      <c r="VF238" s="815"/>
      <c r="VG238" s="815"/>
      <c r="VH238" s="815"/>
      <c r="VI238" s="815"/>
      <c r="VJ238" s="815"/>
      <c r="VK238" s="815"/>
      <c r="VL238" s="815"/>
      <c r="VM238" s="815"/>
      <c r="VN238" s="815"/>
      <c r="VO238" s="815"/>
      <c r="VP238" s="815"/>
      <c r="VQ238" s="815"/>
      <c r="VR238" s="815"/>
      <c r="VS238" s="815"/>
      <c r="VT238" s="815"/>
      <c r="VU238" s="815"/>
      <c r="VV238" s="815"/>
      <c r="VW238" s="815"/>
      <c r="VX238" s="815"/>
      <c r="VY238" s="815"/>
      <c r="VZ238" s="815"/>
      <c r="WA238" s="815"/>
      <c r="WB238" s="815"/>
      <c r="WC238" s="815"/>
      <c r="WD238" s="815"/>
      <c r="WE238" s="815"/>
      <c r="WF238" s="815"/>
      <c r="WG238" s="815"/>
      <c r="WH238" s="815"/>
      <c r="WI238" s="815"/>
      <c r="WJ238" s="815"/>
      <c r="WK238" s="815"/>
      <c r="WL238" s="815"/>
      <c r="WM238" s="815"/>
      <c r="WN238" s="815"/>
      <c r="WO238" s="815"/>
      <c r="WP238" s="815"/>
      <c r="WQ238" s="815"/>
      <c r="WR238" s="815"/>
      <c r="WS238" s="815"/>
      <c r="WT238" s="815"/>
      <c r="WU238" s="815"/>
      <c r="WV238" s="815"/>
      <c r="WW238" s="815"/>
      <c r="WX238" s="815"/>
      <c r="WY238" s="815"/>
      <c r="WZ238" s="815"/>
      <c r="XA238" s="815"/>
      <c r="XB238" s="815"/>
      <c r="XC238" s="815"/>
      <c r="XD238" s="815"/>
      <c r="XE238" s="815"/>
      <c r="XF238" s="815"/>
      <c r="XG238" s="815"/>
      <c r="XH238" s="815"/>
      <c r="XI238" s="815"/>
      <c r="XJ238" s="815"/>
      <c r="XK238" s="815"/>
      <c r="XL238" s="815"/>
      <c r="XM238" s="815"/>
      <c r="XN238" s="815"/>
      <c r="XO238" s="815"/>
      <c r="XP238" s="815"/>
      <c r="XQ238" s="815"/>
      <c r="XR238" s="815"/>
      <c r="XS238" s="815"/>
      <c r="XT238" s="815"/>
      <c r="XU238" s="815"/>
      <c r="XV238" s="815"/>
      <c r="XW238" s="815"/>
      <c r="XX238" s="815"/>
      <c r="XY238" s="815"/>
      <c r="XZ238" s="815"/>
      <c r="YA238" s="815"/>
      <c r="YB238" s="815"/>
      <c r="YC238" s="815"/>
      <c r="YD238" s="815"/>
      <c r="YE238" s="815"/>
      <c r="YF238" s="815"/>
      <c r="YG238" s="815"/>
      <c r="YH238" s="815"/>
      <c r="YI238" s="815"/>
      <c r="YJ238" s="815"/>
      <c r="YK238" s="815"/>
      <c r="YL238" s="815"/>
      <c r="YM238" s="815"/>
      <c r="YN238" s="815"/>
      <c r="YO238" s="815"/>
      <c r="YP238" s="815"/>
      <c r="YQ238" s="815"/>
      <c r="YR238" s="815"/>
      <c r="YS238" s="815"/>
      <c r="YT238" s="815"/>
      <c r="YU238" s="815"/>
      <c r="YV238" s="815"/>
      <c r="YW238" s="815"/>
      <c r="YX238" s="815"/>
      <c r="YY238" s="815"/>
      <c r="YZ238" s="815"/>
      <c r="ZA238" s="815"/>
      <c r="ZB238" s="815"/>
      <c r="ZC238" s="815"/>
      <c r="ZD238" s="815"/>
      <c r="ZE238" s="815"/>
      <c r="ZF238" s="815"/>
      <c r="ZG238" s="815"/>
      <c r="ZH238" s="815"/>
      <c r="ZI238" s="815"/>
      <c r="ZJ238" s="815"/>
      <c r="ZK238" s="815"/>
      <c r="ZL238" s="815"/>
      <c r="ZM238" s="815"/>
      <c r="ZN238" s="815"/>
      <c r="ZO238" s="815"/>
      <c r="ZP238" s="815"/>
      <c r="ZQ238" s="815"/>
      <c r="ZR238" s="815"/>
      <c r="ZS238" s="815"/>
      <c r="ZT238" s="815"/>
      <c r="ZU238" s="815"/>
      <c r="ZV238" s="815"/>
      <c r="ZW238" s="815"/>
      <c r="ZX238" s="815"/>
      <c r="ZY238" s="815"/>
      <c r="ZZ238" s="815"/>
      <c r="AAA238" s="815"/>
      <c r="AAB238" s="815"/>
      <c r="AAC238" s="815"/>
      <c r="AAD238" s="815"/>
      <c r="AAE238" s="815"/>
      <c r="AAF238" s="815"/>
      <c r="AAG238" s="815"/>
      <c r="AAH238" s="815"/>
      <c r="AAI238" s="815"/>
      <c r="AAJ238" s="815"/>
      <c r="AAK238" s="815"/>
      <c r="AAL238" s="815"/>
      <c r="AAM238" s="815"/>
      <c r="AAN238" s="815"/>
      <c r="AAO238" s="815"/>
      <c r="AAP238" s="815"/>
      <c r="AAQ238" s="815"/>
      <c r="AAR238" s="815"/>
      <c r="AAS238" s="815"/>
      <c r="AAT238" s="815"/>
      <c r="AAU238" s="815"/>
      <c r="AAV238" s="815"/>
      <c r="AAW238" s="815"/>
      <c r="AAX238" s="815"/>
      <c r="AAY238" s="815"/>
      <c r="AAZ238" s="815"/>
      <c r="ABA238" s="815"/>
      <c r="ABB238" s="815"/>
      <c r="ABC238" s="815"/>
      <c r="ABD238" s="815"/>
      <c r="ABE238" s="815"/>
      <c r="ABF238" s="815"/>
      <c r="ABG238" s="815"/>
      <c r="ABH238" s="815"/>
      <c r="ABI238" s="815"/>
      <c r="ABJ238" s="815"/>
      <c r="ABK238" s="815"/>
      <c r="ABL238" s="815"/>
      <c r="ABM238" s="815"/>
      <c r="ABN238" s="815"/>
      <c r="ABO238" s="815"/>
      <c r="ABP238" s="815"/>
      <c r="ABQ238" s="815"/>
      <c r="ABR238" s="815"/>
      <c r="ABS238" s="815"/>
      <c r="ABT238" s="815"/>
      <c r="ABU238" s="815"/>
      <c r="ABV238" s="815"/>
      <c r="ABW238" s="815"/>
      <c r="ABX238" s="815"/>
      <c r="ABY238" s="815"/>
      <c r="ABZ238" s="815"/>
      <c r="ACA238" s="815"/>
      <c r="ACB238" s="815"/>
      <c r="ACC238" s="815"/>
      <c r="ACD238" s="815"/>
      <c r="ACE238" s="815"/>
      <c r="ACF238" s="815"/>
      <c r="ACG238" s="815"/>
      <c r="ACH238" s="815"/>
      <c r="ACI238" s="815"/>
      <c r="ACJ238" s="815"/>
      <c r="ACK238" s="815"/>
      <c r="ACL238" s="815"/>
      <c r="ACM238" s="815"/>
      <c r="ACN238" s="815"/>
      <c r="ACO238" s="815"/>
      <c r="ACP238" s="815"/>
      <c r="ACQ238" s="815"/>
      <c r="ACR238" s="815"/>
      <c r="ACS238" s="815"/>
      <c r="ACT238" s="815"/>
      <c r="ACU238" s="815"/>
      <c r="ACV238" s="815"/>
      <c r="ACW238" s="815"/>
      <c r="ACX238" s="815"/>
      <c r="ACY238" s="815"/>
      <c r="ACZ238" s="815"/>
      <c r="ADA238" s="815"/>
      <c r="ADB238" s="815"/>
      <c r="ADC238" s="815"/>
      <c r="ADD238" s="815"/>
      <c r="ADE238" s="815"/>
      <c r="ADF238" s="815"/>
      <c r="ADG238" s="815"/>
      <c r="ADH238" s="815"/>
      <c r="ADI238" s="815"/>
      <c r="ADJ238" s="815"/>
      <c r="ADK238" s="815"/>
      <c r="ADL238" s="815"/>
      <c r="ADM238" s="815"/>
      <c r="ADN238" s="815"/>
      <c r="ADO238" s="815"/>
      <c r="ADP238" s="815"/>
      <c r="ADQ238" s="815"/>
      <c r="ADR238" s="815"/>
      <c r="ADS238" s="815"/>
      <c r="ADT238" s="815"/>
      <c r="ADU238" s="815"/>
      <c r="ADV238" s="815"/>
      <c r="ADW238" s="815"/>
      <c r="ADX238" s="815"/>
      <c r="ADY238" s="815"/>
      <c r="ADZ238" s="815"/>
      <c r="AEA238" s="815"/>
      <c r="AEB238" s="815"/>
      <c r="AEC238" s="815"/>
      <c r="AED238" s="815"/>
      <c r="AEE238" s="815"/>
      <c r="AEF238" s="815"/>
      <c r="AEG238" s="815"/>
      <c r="AEH238" s="815"/>
      <c r="AEI238" s="815"/>
      <c r="AEJ238" s="815"/>
      <c r="AEK238" s="815"/>
      <c r="AEL238" s="815"/>
      <c r="AEM238" s="815"/>
      <c r="AEN238" s="815"/>
      <c r="AEO238" s="815"/>
      <c r="AEP238" s="815"/>
      <c r="AEQ238" s="815"/>
      <c r="AER238" s="815"/>
      <c r="AES238" s="815"/>
      <c r="AET238" s="815"/>
      <c r="AEU238" s="815"/>
      <c r="AEV238" s="815"/>
      <c r="AEW238" s="815"/>
      <c r="AEX238" s="815"/>
      <c r="AEY238" s="815"/>
      <c r="AEZ238" s="815"/>
      <c r="AFA238" s="815"/>
      <c r="AFB238" s="815"/>
      <c r="AFC238" s="815"/>
      <c r="AFD238" s="815"/>
      <c r="AFE238" s="815"/>
      <c r="AFF238" s="815"/>
      <c r="AFG238" s="815"/>
      <c r="AFH238" s="815"/>
      <c r="AFI238" s="815"/>
      <c r="AFJ238" s="815"/>
      <c r="AFK238" s="815"/>
      <c r="AFL238" s="815"/>
      <c r="AFM238" s="815"/>
      <c r="AFN238" s="815"/>
      <c r="AFO238" s="815"/>
      <c r="AFP238" s="815"/>
      <c r="AFQ238" s="815"/>
      <c r="AFR238" s="815"/>
      <c r="AFS238" s="815"/>
      <c r="AFT238" s="815"/>
      <c r="AFU238" s="815"/>
      <c r="AFV238" s="815"/>
      <c r="AFW238" s="815"/>
      <c r="AFX238" s="815"/>
      <c r="AFY238" s="815"/>
      <c r="AFZ238" s="815"/>
      <c r="AGA238" s="815"/>
      <c r="AGB238" s="815"/>
      <c r="AGC238" s="815"/>
      <c r="AGD238" s="815"/>
      <c r="AGE238" s="815"/>
      <c r="AGF238" s="815"/>
      <c r="AGG238" s="815"/>
      <c r="AGH238" s="815"/>
      <c r="AGI238" s="815"/>
      <c r="AGJ238" s="815"/>
    </row>
    <row r="239" spans="1:868" s="816" customFormat="1">
      <c r="A239" s="68" t="str">
        <f>Clothing!A427</f>
        <v>Clothing (product sector)</v>
      </c>
      <c r="B239" s="304" t="str">
        <f>Clothing!B427</f>
        <v>Closed-toed shoes</v>
      </c>
      <c r="C239" s="69" t="str">
        <f>Clothing!C427</f>
        <v>EU</v>
      </c>
      <c r="D239" s="823" t="str">
        <f>Clothing!D427</f>
        <v>PVC</v>
      </c>
      <c r="E239" s="69">
        <f>Clothing!E427</f>
        <v>0.41415547000000003</v>
      </c>
      <c r="F239" s="823">
        <f>Clothing!F427</f>
        <v>1</v>
      </c>
      <c r="G239" s="69" t="str">
        <f>Clothing!G427</f>
        <v>https://eeb.org/library/draft-product-environmental-footprint-category-rules-pefcr-apparel-and-footwear/</v>
      </c>
      <c r="H239" s="1188"/>
      <c r="I239" s="307">
        <f>Clothing!I427</f>
        <v>1</v>
      </c>
      <c r="J239" s="307">
        <f>Clothing!J427</f>
        <v>2</v>
      </c>
      <c r="K239" s="307">
        <f>Clothing!K427</f>
        <v>1</v>
      </c>
      <c r="L239" s="307">
        <f>Clothing!L427</f>
        <v>2</v>
      </c>
      <c r="M239" s="307">
        <f>Clothing!M427</f>
        <v>2</v>
      </c>
      <c r="N239" s="616" t="str">
        <f>IF( OR( ISBLANK(H239),ISBLANK(J239), ISBLANK(K239), ISBLANK(L239), ISBLANK(M239) ), "", 1.5*SQRT(   EXP(2.21*(H239-1)) + EXP(2.21*(J239-1)) + EXP(2.21*(K239-1)) + EXP(2.21*(L239-1)) + EXP(2.21*M239)   )/100*2.45 )</f>
        <v/>
      </c>
      <c r="O239" s="1282">
        <f>IF( OR( ISBLANK(I239),ISBLANK(J239), ISBLANK(K239), ISBLANK(L239), ISBLANK(M239) ), "", 1.5*SQRT( EXP(2.21*(I239-1)) + EXP(2.21*(J239-1)) + EXP(2.21*(K239-1)) + EXP(2.21*(L239-1)) + EXP(2.21*M239)   )/100*2.45 )</f>
        <v>0.37356464144298934</v>
      </c>
      <c r="P239" s="68"/>
      <c r="Q239" s="815"/>
      <c r="R239" s="815"/>
      <c r="S239" s="815"/>
      <c r="T239" s="815"/>
      <c r="U239" s="815"/>
      <c r="V239" s="815"/>
      <c r="W239" s="815"/>
      <c r="X239" s="815"/>
      <c r="Y239" s="815"/>
      <c r="Z239" s="815"/>
      <c r="AA239" s="815"/>
      <c r="AB239" s="815"/>
      <c r="AC239" s="815"/>
      <c r="AD239" s="815"/>
      <c r="AE239" s="815"/>
      <c r="AF239" s="815"/>
      <c r="AG239" s="815"/>
      <c r="AH239" s="815"/>
      <c r="AI239" s="815"/>
      <c r="AJ239" s="815"/>
      <c r="AK239" s="815"/>
      <c r="AL239" s="815"/>
      <c r="AM239" s="815"/>
      <c r="AN239" s="815"/>
      <c r="AO239" s="815"/>
      <c r="AP239" s="815"/>
      <c r="AQ239" s="815"/>
      <c r="AR239" s="815"/>
      <c r="AS239" s="815"/>
      <c r="AT239" s="815"/>
      <c r="AU239" s="815"/>
      <c r="AV239" s="815"/>
      <c r="AW239" s="815"/>
      <c r="AX239" s="815"/>
      <c r="AY239" s="815"/>
      <c r="AZ239" s="815"/>
      <c r="BA239" s="815"/>
      <c r="BB239" s="815"/>
      <c r="BC239" s="815"/>
      <c r="BD239" s="815"/>
      <c r="BE239" s="815"/>
      <c r="BF239" s="815"/>
      <c r="BG239" s="815"/>
      <c r="BH239" s="815"/>
      <c r="BI239" s="815"/>
      <c r="BJ239" s="815"/>
      <c r="BK239" s="815"/>
      <c r="BL239" s="815"/>
      <c r="BM239" s="815"/>
      <c r="BN239" s="815"/>
      <c r="BO239" s="815"/>
      <c r="BP239" s="815"/>
      <c r="BQ239" s="815"/>
      <c r="BR239" s="815"/>
      <c r="BS239" s="815"/>
      <c r="BT239" s="815"/>
      <c r="BU239" s="815"/>
      <c r="BV239" s="815"/>
      <c r="BW239" s="815"/>
      <c r="BX239" s="815"/>
      <c r="BY239" s="815"/>
      <c r="BZ239" s="815"/>
      <c r="CA239" s="815"/>
      <c r="CB239" s="815"/>
      <c r="CC239" s="815"/>
      <c r="CD239" s="815"/>
      <c r="CE239" s="815"/>
      <c r="CF239" s="815"/>
      <c r="CG239" s="815"/>
      <c r="CH239" s="815"/>
      <c r="CI239" s="815"/>
      <c r="CJ239" s="815"/>
      <c r="CK239" s="815"/>
      <c r="CL239" s="815"/>
      <c r="CM239" s="815"/>
      <c r="CN239" s="815"/>
      <c r="CO239" s="815"/>
      <c r="CP239" s="815"/>
      <c r="CQ239" s="815"/>
      <c r="CR239" s="815"/>
      <c r="CS239" s="815"/>
      <c r="CT239" s="815"/>
      <c r="CU239" s="815"/>
      <c r="CV239" s="815"/>
      <c r="CW239" s="815"/>
      <c r="CX239" s="815"/>
      <c r="CY239" s="815"/>
      <c r="CZ239" s="815"/>
      <c r="DA239" s="815"/>
      <c r="DB239" s="815"/>
      <c r="DC239" s="815"/>
      <c r="DD239" s="815"/>
      <c r="DE239" s="815"/>
      <c r="DF239" s="815"/>
      <c r="DG239" s="815"/>
      <c r="DH239" s="815"/>
      <c r="DI239" s="815"/>
      <c r="DJ239" s="815"/>
      <c r="DK239" s="815"/>
      <c r="DL239" s="815"/>
      <c r="DM239" s="815"/>
      <c r="DN239" s="815"/>
      <c r="DO239" s="815"/>
      <c r="DP239" s="815"/>
      <c r="DQ239" s="815"/>
      <c r="DR239" s="815"/>
      <c r="DS239" s="815"/>
      <c r="DT239" s="815"/>
      <c r="DU239" s="815"/>
      <c r="DV239" s="815"/>
      <c r="DW239" s="815"/>
      <c r="DX239" s="815"/>
      <c r="DY239" s="815"/>
      <c r="DZ239" s="815"/>
      <c r="EA239" s="815"/>
      <c r="EB239" s="815"/>
      <c r="EC239" s="815"/>
      <c r="ED239" s="815"/>
      <c r="EE239" s="815"/>
      <c r="EF239" s="815"/>
      <c r="EG239" s="815"/>
      <c r="EH239" s="815"/>
      <c r="EI239" s="815"/>
      <c r="EJ239" s="815"/>
      <c r="EK239" s="815"/>
      <c r="EL239" s="815"/>
      <c r="EM239" s="815"/>
      <c r="EN239" s="815"/>
      <c r="EO239" s="815"/>
      <c r="EP239" s="815"/>
      <c r="EQ239" s="815"/>
      <c r="ER239" s="815"/>
      <c r="ES239" s="815"/>
      <c r="ET239" s="815"/>
      <c r="EU239" s="815"/>
      <c r="EV239" s="815"/>
      <c r="EW239" s="815"/>
      <c r="EX239" s="815"/>
      <c r="EY239" s="815"/>
      <c r="EZ239" s="815"/>
      <c r="FA239" s="815"/>
      <c r="FB239" s="815"/>
      <c r="FC239" s="815"/>
      <c r="FD239" s="815"/>
      <c r="FE239" s="815"/>
      <c r="FF239" s="815"/>
      <c r="FG239" s="815"/>
      <c r="FH239" s="815"/>
      <c r="FI239" s="815"/>
      <c r="FJ239" s="815"/>
      <c r="FK239" s="815"/>
      <c r="FL239" s="815"/>
      <c r="FM239" s="815"/>
      <c r="FN239" s="815"/>
      <c r="FO239" s="815"/>
      <c r="FP239" s="815"/>
      <c r="FQ239" s="815"/>
      <c r="FR239" s="815"/>
      <c r="FS239" s="815"/>
      <c r="FT239" s="815"/>
      <c r="FU239" s="815"/>
      <c r="FV239" s="815"/>
      <c r="FW239" s="815"/>
      <c r="FX239" s="815"/>
      <c r="FY239" s="815"/>
      <c r="FZ239" s="815"/>
      <c r="GA239" s="815"/>
      <c r="GB239" s="815"/>
      <c r="GC239" s="815"/>
      <c r="GD239" s="815"/>
      <c r="GE239" s="815"/>
      <c r="GF239" s="815"/>
      <c r="GG239" s="815"/>
      <c r="GH239" s="815"/>
      <c r="GI239" s="815"/>
      <c r="GJ239" s="815"/>
      <c r="GK239" s="815"/>
      <c r="GL239" s="815"/>
      <c r="GM239" s="815"/>
      <c r="GN239" s="815"/>
      <c r="GO239" s="815"/>
      <c r="GP239" s="815"/>
      <c r="GQ239" s="815"/>
      <c r="GR239" s="815"/>
      <c r="GS239" s="815"/>
      <c r="GT239" s="815"/>
      <c r="GU239" s="815"/>
      <c r="GV239" s="815"/>
      <c r="GW239" s="815"/>
      <c r="GX239" s="815"/>
      <c r="GY239" s="815"/>
      <c r="GZ239" s="815"/>
      <c r="HA239" s="815"/>
      <c r="HB239" s="815"/>
      <c r="HC239" s="815"/>
      <c r="HD239" s="815"/>
      <c r="HE239" s="815"/>
      <c r="HF239" s="815"/>
      <c r="HG239" s="815"/>
      <c r="HH239" s="815"/>
      <c r="HI239" s="815"/>
      <c r="HJ239" s="815"/>
      <c r="HK239" s="815"/>
      <c r="HL239" s="815"/>
      <c r="HM239" s="815"/>
      <c r="HN239" s="815"/>
      <c r="HO239" s="815"/>
      <c r="HP239" s="815"/>
      <c r="HQ239" s="815"/>
      <c r="HR239" s="815"/>
      <c r="HS239" s="815"/>
      <c r="HT239" s="815"/>
      <c r="HU239" s="815"/>
      <c r="HV239" s="815"/>
      <c r="HW239" s="815"/>
      <c r="HX239" s="815"/>
      <c r="HY239" s="815"/>
      <c r="HZ239" s="815"/>
      <c r="IA239" s="815"/>
      <c r="IB239" s="815"/>
      <c r="IC239" s="815"/>
      <c r="ID239" s="815"/>
      <c r="IE239" s="815"/>
      <c r="IF239" s="815"/>
      <c r="IG239" s="815"/>
      <c r="IH239" s="815"/>
      <c r="II239" s="815"/>
      <c r="IJ239" s="815"/>
      <c r="IK239" s="815"/>
      <c r="IL239" s="815"/>
      <c r="IM239" s="815"/>
      <c r="IN239" s="815"/>
      <c r="IO239" s="815"/>
      <c r="IP239" s="815"/>
      <c r="IQ239" s="815"/>
      <c r="IR239" s="815"/>
      <c r="IS239" s="815"/>
      <c r="IT239" s="815"/>
      <c r="IU239" s="815"/>
      <c r="IV239" s="815"/>
      <c r="IW239" s="815"/>
      <c r="IX239" s="815"/>
      <c r="IY239" s="815"/>
      <c r="IZ239" s="815"/>
      <c r="JA239" s="815"/>
      <c r="JB239" s="815"/>
      <c r="JC239" s="815"/>
      <c r="JD239" s="815"/>
      <c r="JE239" s="815"/>
      <c r="JF239" s="815"/>
      <c r="JG239" s="815"/>
      <c r="JH239" s="815"/>
      <c r="JI239" s="815"/>
      <c r="JJ239" s="815"/>
      <c r="JK239" s="815"/>
      <c r="JL239" s="815"/>
      <c r="JM239" s="815"/>
      <c r="JN239" s="815"/>
      <c r="JO239" s="815"/>
      <c r="JP239" s="815"/>
      <c r="JQ239" s="815"/>
      <c r="JR239" s="815"/>
      <c r="JS239" s="815"/>
      <c r="JT239" s="815"/>
      <c r="JU239" s="815"/>
      <c r="JV239" s="815"/>
      <c r="JW239" s="815"/>
      <c r="JX239" s="815"/>
      <c r="JY239" s="815"/>
      <c r="JZ239" s="815"/>
      <c r="KA239" s="815"/>
      <c r="KB239" s="815"/>
      <c r="KC239" s="815"/>
      <c r="KD239" s="815"/>
      <c r="KE239" s="815"/>
      <c r="KF239" s="815"/>
      <c r="KG239" s="815"/>
      <c r="KH239" s="815"/>
      <c r="KI239" s="815"/>
      <c r="KJ239" s="815"/>
      <c r="KK239" s="815"/>
      <c r="KL239" s="815"/>
      <c r="KM239" s="815"/>
      <c r="KN239" s="815"/>
      <c r="KO239" s="815"/>
      <c r="KP239" s="815"/>
      <c r="KQ239" s="815"/>
      <c r="KR239" s="815"/>
      <c r="KS239" s="815"/>
      <c r="KT239" s="815"/>
      <c r="KU239" s="815"/>
      <c r="KV239" s="815"/>
      <c r="KW239" s="815"/>
      <c r="KX239" s="815"/>
      <c r="KY239" s="815"/>
      <c r="KZ239" s="815"/>
      <c r="LA239" s="815"/>
      <c r="LB239" s="815"/>
      <c r="LC239" s="815"/>
      <c r="LD239" s="815"/>
      <c r="LE239" s="815"/>
      <c r="LF239" s="815"/>
      <c r="LG239" s="815"/>
      <c r="LH239" s="815"/>
      <c r="LI239" s="815"/>
      <c r="LJ239" s="815"/>
      <c r="LK239" s="815"/>
      <c r="LL239" s="815"/>
      <c r="LM239" s="815"/>
      <c r="LN239" s="815"/>
      <c r="LO239" s="815"/>
      <c r="LP239" s="815"/>
      <c r="LQ239" s="815"/>
      <c r="LR239" s="815"/>
      <c r="LS239" s="815"/>
      <c r="LT239" s="815"/>
      <c r="LU239" s="815"/>
      <c r="LV239" s="815"/>
      <c r="LW239" s="815"/>
      <c r="LX239" s="815"/>
      <c r="LY239" s="815"/>
      <c r="LZ239" s="815"/>
      <c r="MA239" s="815"/>
      <c r="MB239" s="815"/>
      <c r="MC239" s="815"/>
      <c r="MD239" s="815"/>
      <c r="ME239" s="815"/>
      <c r="MF239" s="815"/>
      <c r="MG239" s="815"/>
      <c r="MH239" s="815"/>
      <c r="MI239" s="815"/>
      <c r="MJ239" s="815"/>
      <c r="MK239" s="815"/>
      <c r="ML239" s="815"/>
      <c r="MM239" s="815"/>
      <c r="MN239" s="815"/>
      <c r="MO239" s="815"/>
      <c r="MP239" s="815"/>
      <c r="MQ239" s="815"/>
      <c r="MR239" s="815"/>
      <c r="MS239" s="815"/>
      <c r="MT239" s="815"/>
      <c r="MU239" s="815"/>
      <c r="MV239" s="815"/>
      <c r="MW239" s="815"/>
      <c r="MX239" s="815"/>
      <c r="MY239" s="815"/>
      <c r="MZ239" s="815"/>
      <c r="NA239" s="815"/>
      <c r="NB239" s="815"/>
      <c r="NC239" s="815"/>
      <c r="ND239" s="815"/>
      <c r="NE239" s="815"/>
      <c r="NF239" s="815"/>
      <c r="NG239" s="815"/>
      <c r="NH239" s="815"/>
      <c r="NI239" s="815"/>
      <c r="NJ239" s="815"/>
      <c r="NK239" s="815"/>
      <c r="NL239" s="815"/>
      <c r="NM239" s="815"/>
      <c r="NN239" s="815"/>
      <c r="NO239" s="815"/>
      <c r="NP239" s="815"/>
      <c r="NQ239" s="815"/>
      <c r="NR239" s="815"/>
      <c r="NS239" s="815"/>
      <c r="NT239" s="815"/>
      <c r="NU239" s="815"/>
      <c r="NV239" s="815"/>
      <c r="NW239" s="815"/>
      <c r="NX239" s="815"/>
      <c r="NY239" s="815"/>
      <c r="NZ239" s="815"/>
      <c r="OA239" s="815"/>
      <c r="OB239" s="815"/>
      <c r="OC239" s="815"/>
      <c r="OD239" s="815"/>
      <c r="OE239" s="815"/>
      <c r="OF239" s="815"/>
      <c r="OG239" s="815"/>
      <c r="OH239" s="815"/>
      <c r="OI239" s="815"/>
      <c r="OJ239" s="815"/>
      <c r="OK239" s="815"/>
      <c r="OL239" s="815"/>
      <c r="OM239" s="815"/>
      <c r="ON239" s="815"/>
      <c r="OO239" s="815"/>
      <c r="OP239" s="815"/>
      <c r="OQ239" s="815"/>
      <c r="OR239" s="815"/>
      <c r="OS239" s="815"/>
      <c r="OT239" s="815"/>
      <c r="OU239" s="815"/>
      <c r="OV239" s="815"/>
      <c r="OW239" s="815"/>
      <c r="OX239" s="815"/>
      <c r="OY239" s="815"/>
      <c r="OZ239" s="815"/>
      <c r="PA239" s="815"/>
      <c r="PB239" s="815"/>
      <c r="PC239" s="815"/>
      <c r="PD239" s="815"/>
      <c r="PE239" s="815"/>
      <c r="PF239" s="815"/>
      <c r="PG239" s="815"/>
      <c r="PH239" s="815"/>
      <c r="PI239" s="815"/>
      <c r="PJ239" s="815"/>
      <c r="PK239" s="815"/>
      <c r="PL239" s="815"/>
      <c r="PM239" s="815"/>
      <c r="PN239" s="815"/>
      <c r="PO239" s="815"/>
      <c r="PP239" s="815"/>
      <c r="PQ239" s="815"/>
      <c r="PR239" s="815"/>
      <c r="PS239" s="815"/>
      <c r="PT239" s="815"/>
      <c r="PU239" s="815"/>
      <c r="PV239" s="815"/>
      <c r="PW239" s="815"/>
      <c r="PX239" s="815"/>
      <c r="PY239" s="815"/>
      <c r="PZ239" s="815"/>
      <c r="QA239" s="815"/>
      <c r="QB239" s="815"/>
      <c r="QC239" s="815"/>
      <c r="QD239" s="815"/>
      <c r="QE239" s="815"/>
      <c r="QF239" s="815"/>
      <c r="QG239" s="815"/>
      <c r="QH239" s="815"/>
      <c r="QI239" s="815"/>
      <c r="QJ239" s="815"/>
      <c r="QK239" s="815"/>
      <c r="QL239" s="815"/>
      <c r="QM239" s="815"/>
      <c r="QN239" s="815"/>
      <c r="QO239" s="815"/>
      <c r="QP239" s="815"/>
      <c r="QQ239" s="815"/>
      <c r="QR239" s="815"/>
      <c r="QS239" s="815"/>
      <c r="QT239" s="815"/>
      <c r="QU239" s="815"/>
      <c r="QV239" s="815"/>
      <c r="QW239" s="815"/>
      <c r="QX239" s="815"/>
      <c r="QY239" s="815"/>
      <c r="QZ239" s="815"/>
      <c r="RA239" s="815"/>
      <c r="RB239" s="815"/>
      <c r="RC239" s="815"/>
      <c r="RD239" s="815"/>
      <c r="RE239" s="815"/>
      <c r="RF239" s="815"/>
      <c r="RG239" s="815"/>
      <c r="RH239" s="815"/>
      <c r="RI239" s="815"/>
      <c r="RJ239" s="815"/>
      <c r="RK239" s="815"/>
      <c r="RL239" s="815"/>
      <c r="RM239" s="815"/>
      <c r="RN239" s="815"/>
      <c r="RO239" s="815"/>
      <c r="RP239" s="815"/>
      <c r="RQ239" s="815"/>
      <c r="RR239" s="815"/>
      <c r="RS239" s="815"/>
      <c r="RT239" s="815"/>
      <c r="RU239" s="815"/>
      <c r="RV239" s="815"/>
      <c r="RW239" s="815"/>
      <c r="RX239" s="815"/>
      <c r="RY239" s="815"/>
      <c r="RZ239" s="815"/>
      <c r="SA239" s="815"/>
      <c r="SB239" s="815"/>
      <c r="SC239" s="815"/>
      <c r="SD239" s="815"/>
      <c r="SE239" s="815"/>
      <c r="SF239" s="815"/>
      <c r="SG239" s="815"/>
      <c r="SH239" s="815"/>
      <c r="SI239" s="815"/>
      <c r="SJ239" s="815"/>
      <c r="SK239" s="815"/>
      <c r="SL239" s="815"/>
      <c r="SM239" s="815"/>
      <c r="SN239" s="815"/>
      <c r="SO239" s="815"/>
      <c r="SP239" s="815"/>
      <c r="SQ239" s="815"/>
      <c r="SR239" s="815"/>
      <c r="SS239" s="815"/>
      <c r="ST239" s="815"/>
      <c r="SU239" s="815"/>
      <c r="SV239" s="815"/>
      <c r="SW239" s="815"/>
      <c r="SX239" s="815"/>
      <c r="SY239" s="815"/>
      <c r="SZ239" s="815"/>
      <c r="TA239" s="815"/>
      <c r="TB239" s="815"/>
      <c r="TC239" s="815"/>
      <c r="TD239" s="815"/>
      <c r="TE239" s="815"/>
      <c r="TF239" s="815"/>
      <c r="TG239" s="815"/>
      <c r="TH239" s="815"/>
      <c r="TI239" s="815"/>
      <c r="TJ239" s="815"/>
      <c r="TK239" s="815"/>
      <c r="TL239" s="815"/>
      <c r="TM239" s="815"/>
      <c r="TN239" s="815"/>
      <c r="TO239" s="815"/>
      <c r="TP239" s="815"/>
      <c r="TQ239" s="815"/>
      <c r="TR239" s="815"/>
      <c r="TS239" s="815"/>
      <c r="TT239" s="815"/>
      <c r="TU239" s="815"/>
      <c r="TV239" s="815"/>
      <c r="TW239" s="815"/>
      <c r="TX239" s="815"/>
      <c r="TY239" s="815"/>
      <c r="TZ239" s="815"/>
      <c r="UA239" s="815"/>
      <c r="UB239" s="815"/>
      <c r="UC239" s="815"/>
      <c r="UD239" s="815"/>
      <c r="UE239" s="815"/>
      <c r="UF239" s="815"/>
      <c r="UG239" s="815"/>
      <c r="UH239" s="815"/>
      <c r="UI239" s="815"/>
      <c r="UJ239" s="815"/>
      <c r="UK239" s="815"/>
      <c r="UL239" s="815"/>
      <c r="UM239" s="815"/>
      <c r="UN239" s="815"/>
      <c r="UO239" s="815"/>
      <c r="UP239" s="815"/>
      <c r="UQ239" s="815"/>
      <c r="UR239" s="815"/>
      <c r="US239" s="815"/>
      <c r="UT239" s="815"/>
      <c r="UU239" s="815"/>
      <c r="UV239" s="815"/>
      <c r="UW239" s="815"/>
      <c r="UX239" s="815"/>
      <c r="UY239" s="815"/>
      <c r="UZ239" s="815"/>
      <c r="VA239" s="815"/>
      <c r="VB239" s="815"/>
      <c r="VC239" s="815"/>
      <c r="VD239" s="815"/>
      <c r="VE239" s="815"/>
      <c r="VF239" s="815"/>
      <c r="VG239" s="815"/>
      <c r="VH239" s="815"/>
      <c r="VI239" s="815"/>
      <c r="VJ239" s="815"/>
      <c r="VK239" s="815"/>
      <c r="VL239" s="815"/>
      <c r="VM239" s="815"/>
      <c r="VN239" s="815"/>
      <c r="VO239" s="815"/>
      <c r="VP239" s="815"/>
      <c r="VQ239" s="815"/>
      <c r="VR239" s="815"/>
      <c r="VS239" s="815"/>
      <c r="VT239" s="815"/>
      <c r="VU239" s="815"/>
      <c r="VV239" s="815"/>
      <c r="VW239" s="815"/>
      <c r="VX239" s="815"/>
      <c r="VY239" s="815"/>
      <c r="VZ239" s="815"/>
      <c r="WA239" s="815"/>
      <c r="WB239" s="815"/>
      <c r="WC239" s="815"/>
      <c r="WD239" s="815"/>
      <c r="WE239" s="815"/>
      <c r="WF239" s="815"/>
      <c r="WG239" s="815"/>
      <c r="WH239" s="815"/>
      <c r="WI239" s="815"/>
      <c r="WJ239" s="815"/>
      <c r="WK239" s="815"/>
      <c r="WL239" s="815"/>
      <c r="WM239" s="815"/>
      <c r="WN239" s="815"/>
      <c r="WO239" s="815"/>
      <c r="WP239" s="815"/>
      <c r="WQ239" s="815"/>
      <c r="WR239" s="815"/>
      <c r="WS239" s="815"/>
      <c r="WT239" s="815"/>
      <c r="WU239" s="815"/>
      <c r="WV239" s="815"/>
      <c r="WW239" s="815"/>
      <c r="WX239" s="815"/>
      <c r="WY239" s="815"/>
      <c r="WZ239" s="815"/>
      <c r="XA239" s="815"/>
      <c r="XB239" s="815"/>
      <c r="XC239" s="815"/>
      <c r="XD239" s="815"/>
      <c r="XE239" s="815"/>
      <c r="XF239" s="815"/>
      <c r="XG239" s="815"/>
      <c r="XH239" s="815"/>
      <c r="XI239" s="815"/>
      <c r="XJ239" s="815"/>
      <c r="XK239" s="815"/>
      <c r="XL239" s="815"/>
      <c r="XM239" s="815"/>
      <c r="XN239" s="815"/>
      <c r="XO239" s="815"/>
      <c r="XP239" s="815"/>
      <c r="XQ239" s="815"/>
      <c r="XR239" s="815"/>
      <c r="XS239" s="815"/>
      <c r="XT239" s="815"/>
      <c r="XU239" s="815"/>
      <c r="XV239" s="815"/>
      <c r="XW239" s="815"/>
      <c r="XX239" s="815"/>
      <c r="XY239" s="815"/>
      <c r="XZ239" s="815"/>
      <c r="YA239" s="815"/>
      <c r="YB239" s="815"/>
      <c r="YC239" s="815"/>
      <c r="YD239" s="815"/>
      <c r="YE239" s="815"/>
      <c r="YF239" s="815"/>
      <c r="YG239" s="815"/>
      <c r="YH239" s="815"/>
      <c r="YI239" s="815"/>
      <c r="YJ239" s="815"/>
      <c r="YK239" s="815"/>
      <c r="YL239" s="815"/>
      <c r="YM239" s="815"/>
      <c r="YN239" s="815"/>
      <c r="YO239" s="815"/>
      <c r="YP239" s="815"/>
      <c r="YQ239" s="815"/>
      <c r="YR239" s="815"/>
      <c r="YS239" s="815"/>
      <c r="YT239" s="815"/>
      <c r="YU239" s="815"/>
      <c r="YV239" s="815"/>
      <c r="YW239" s="815"/>
      <c r="YX239" s="815"/>
      <c r="YY239" s="815"/>
      <c r="YZ239" s="815"/>
      <c r="ZA239" s="815"/>
      <c r="ZB239" s="815"/>
      <c r="ZC239" s="815"/>
      <c r="ZD239" s="815"/>
      <c r="ZE239" s="815"/>
      <c r="ZF239" s="815"/>
      <c r="ZG239" s="815"/>
      <c r="ZH239" s="815"/>
      <c r="ZI239" s="815"/>
      <c r="ZJ239" s="815"/>
      <c r="ZK239" s="815"/>
      <c r="ZL239" s="815"/>
      <c r="ZM239" s="815"/>
      <c r="ZN239" s="815"/>
      <c r="ZO239" s="815"/>
      <c r="ZP239" s="815"/>
      <c r="ZQ239" s="815"/>
      <c r="ZR239" s="815"/>
      <c r="ZS239" s="815"/>
      <c r="ZT239" s="815"/>
      <c r="ZU239" s="815"/>
      <c r="ZV239" s="815"/>
      <c r="ZW239" s="815"/>
      <c r="ZX239" s="815"/>
      <c r="ZY239" s="815"/>
      <c r="ZZ239" s="815"/>
      <c r="AAA239" s="815"/>
      <c r="AAB239" s="815"/>
      <c r="AAC239" s="815"/>
      <c r="AAD239" s="815"/>
      <c r="AAE239" s="815"/>
      <c r="AAF239" s="815"/>
      <c r="AAG239" s="815"/>
      <c r="AAH239" s="815"/>
      <c r="AAI239" s="815"/>
      <c r="AAJ239" s="815"/>
      <c r="AAK239" s="815"/>
      <c r="AAL239" s="815"/>
      <c r="AAM239" s="815"/>
      <c r="AAN239" s="815"/>
      <c r="AAO239" s="815"/>
      <c r="AAP239" s="815"/>
      <c r="AAQ239" s="815"/>
      <c r="AAR239" s="815"/>
      <c r="AAS239" s="815"/>
      <c r="AAT239" s="815"/>
      <c r="AAU239" s="815"/>
      <c r="AAV239" s="815"/>
      <c r="AAW239" s="815"/>
      <c r="AAX239" s="815"/>
      <c r="AAY239" s="815"/>
      <c r="AAZ239" s="815"/>
      <c r="ABA239" s="815"/>
      <c r="ABB239" s="815"/>
      <c r="ABC239" s="815"/>
      <c r="ABD239" s="815"/>
      <c r="ABE239" s="815"/>
      <c r="ABF239" s="815"/>
      <c r="ABG239" s="815"/>
      <c r="ABH239" s="815"/>
      <c r="ABI239" s="815"/>
      <c r="ABJ239" s="815"/>
      <c r="ABK239" s="815"/>
      <c r="ABL239" s="815"/>
      <c r="ABM239" s="815"/>
      <c r="ABN239" s="815"/>
      <c r="ABO239" s="815"/>
      <c r="ABP239" s="815"/>
      <c r="ABQ239" s="815"/>
      <c r="ABR239" s="815"/>
      <c r="ABS239" s="815"/>
      <c r="ABT239" s="815"/>
      <c r="ABU239" s="815"/>
      <c r="ABV239" s="815"/>
      <c r="ABW239" s="815"/>
      <c r="ABX239" s="815"/>
      <c r="ABY239" s="815"/>
      <c r="ABZ239" s="815"/>
      <c r="ACA239" s="815"/>
      <c r="ACB239" s="815"/>
      <c r="ACC239" s="815"/>
      <c r="ACD239" s="815"/>
      <c r="ACE239" s="815"/>
      <c r="ACF239" s="815"/>
      <c r="ACG239" s="815"/>
      <c r="ACH239" s="815"/>
      <c r="ACI239" s="815"/>
      <c r="ACJ239" s="815"/>
      <c r="ACK239" s="815"/>
      <c r="ACL239" s="815"/>
      <c r="ACM239" s="815"/>
      <c r="ACN239" s="815"/>
      <c r="ACO239" s="815"/>
      <c r="ACP239" s="815"/>
      <c r="ACQ239" s="815"/>
      <c r="ACR239" s="815"/>
      <c r="ACS239" s="815"/>
      <c r="ACT239" s="815"/>
      <c r="ACU239" s="815"/>
      <c r="ACV239" s="815"/>
      <c r="ACW239" s="815"/>
      <c r="ACX239" s="815"/>
      <c r="ACY239" s="815"/>
      <c r="ACZ239" s="815"/>
      <c r="ADA239" s="815"/>
      <c r="ADB239" s="815"/>
      <c r="ADC239" s="815"/>
      <c r="ADD239" s="815"/>
      <c r="ADE239" s="815"/>
      <c r="ADF239" s="815"/>
      <c r="ADG239" s="815"/>
      <c r="ADH239" s="815"/>
      <c r="ADI239" s="815"/>
      <c r="ADJ239" s="815"/>
      <c r="ADK239" s="815"/>
      <c r="ADL239" s="815"/>
      <c r="ADM239" s="815"/>
      <c r="ADN239" s="815"/>
      <c r="ADO239" s="815"/>
      <c r="ADP239" s="815"/>
      <c r="ADQ239" s="815"/>
      <c r="ADR239" s="815"/>
      <c r="ADS239" s="815"/>
      <c r="ADT239" s="815"/>
      <c r="ADU239" s="815"/>
      <c r="ADV239" s="815"/>
      <c r="ADW239" s="815"/>
      <c r="ADX239" s="815"/>
      <c r="ADY239" s="815"/>
      <c r="ADZ239" s="815"/>
      <c r="AEA239" s="815"/>
      <c r="AEB239" s="815"/>
      <c r="AEC239" s="815"/>
      <c r="AED239" s="815"/>
      <c r="AEE239" s="815"/>
      <c r="AEF239" s="815"/>
      <c r="AEG239" s="815"/>
      <c r="AEH239" s="815"/>
      <c r="AEI239" s="815"/>
      <c r="AEJ239" s="815"/>
      <c r="AEK239" s="815"/>
      <c r="AEL239" s="815"/>
      <c r="AEM239" s="815"/>
      <c r="AEN239" s="815"/>
      <c r="AEO239" s="815"/>
      <c r="AEP239" s="815"/>
      <c r="AEQ239" s="815"/>
      <c r="AER239" s="815"/>
      <c r="AES239" s="815"/>
      <c r="AET239" s="815"/>
      <c r="AEU239" s="815"/>
      <c r="AEV239" s="815"/>
      <c r="AEW239" s="815"/>
      <c r="AEX239" s="815"/>
      <c r="AEY239" s="815"/>
      <c r="AEZ239" s="815"/>
      <c r="AFA239" s="815"/>
      <c r="AFB239" s="815"/>
      <c r="AFC239" s="815"/>
      <c r="AFD239" s="815"/>
      <c r="AFE239" s="815"/>
      <c r="AFF239" s="815"/>
      <c r="AFG239" s="815"/>
      <c r="AFH239" s="815"/>
      <c r="AFI239" s="815"/>
      <c r="AFJ239" s="815"/>
      <c r="AFK239" s="815"/>
      <c r="AFL239" s="815"/>
      <c r="AFM239" s="815"/>
      <c r="AFN239" s="815"/>
      <c r="AFO239" s="815"/>
      <c r="AFP239" s="815"/>
      <c r="AFQ239" s="815"/>
      <c r="AFR239" s="815"/>
      <c r="AFS239" s="815"/>
      <c r="AFT239" s="815"/>
      <c r="AFU239" s="815"/>
      <c r="AFV239" s="815"/>
      <c r="AFW239" s="815"/>
      <c r="AFX239" s="815"/>
      <c r="AFY239" s="815"/>
      <c r="AFZ239" s="815"/>
      <c r="AGA239" s="815"/>
      <c r="AGB239" s="815"/>
      <c r="AGC239" s="815"/>
      <c r="AGD239" s="815"/>
      <c r="AGE239" s="815"/>
      <c r="AGF239" s="815"/>
      <c r="AGG239" s="815"/>
      <c r="AGH239" s="815"/>
      <c r="AGI239" s="815"/>
      <c r="AGJ239" s="815"/>
    </row>
    <row r="240" spans="1:868" s="816" customFormat="1">
      <c r="A240" s="68" t="str">
        <f>Clothing!A428</f>
        <v>Clothing (product sector)</v>
      </c>
      <c r="B240" s="304" t="str">
        <f>Clothing!B428</f>
        <v>Closed-toed shoes</v>
      </c>
      <c r="C240" s="69" t="str">
        <f>Clothing!C428</f>
        <v>EU</v>
      </c>
      <c r="D240" s="823" t="str">
        <f>Clothing!D428</f>
        <v>RUBBER</v>
      </c>
      <c r="E240" s="69">
        <f>Clothing!E428</f>
        <v>0.57981856300000001</v>
      </c>
      <c r="F240" s="823">
        <f>Clothing!F428</f>
        <v>1</v>
      </c>
      <c r="G240" s="69" t="str">
        <f>Clothing!G428</f>
        <v>https://eeb.org/library/draft-product-environmental-footprint-category-rules-pefcr-apparel-and-footwear/</v>
      </c>
      <c r="H240" s="1188"/>
      <c r="I240" s="307">
        <f>Clothing!I428</f>
        <v>1</v>
      </c>
      <c r="J240" s="307">
        <f>Clothing!J428</f>
        <v>2</v>
      </c>
      <c r="K240" s="307">
        <f>Clothing!K428</f>
        <v>1</v>
      </c>
      <c r="L240" s="307">
        <f>Clothing!L428</f>
        <v>2</v>
      </c>
      <c r="M240" s="307">
        <f>Clothing!M428</f>
        <v>2</v>
      </c>
      <c r="N240" s="616" t="str">
        <f>IF( OR( ISBLANK(H240),ISBLANK(J240), ISBLANK(K240), ISBLANK(L240), ISBLANK(M240) ), "", 1.5*SQRT(   EXP(2.21*(H240-1)) + EXP(2.21*(J240-1)) + EXP(2.21*(K240-1)) + EXP(2.21*(L240-1)) + EXP(2.21*M240)   )/100*2.45 )</f>
        <v/>
      </c>
      <c r="O240" s="1282">
        <f>IF( OR( ISBLANK(I240),ISBLANK(J240), ISBLANK(K240), ISBLANK(L240), ISBLANK(M240) ), "", 1.5*SQRT( EXP(2.21*(I240-1)) + EXP(2.21*(J240-1)) + EXP(2.21*(K240-1)) + EXP(2.21*(L240-1)) + EXP(2.21*M240)   )/100*2.45 )</f>
        <v>0.37356464144298934</v>
      </c>
      <c r="P240" s="68"/>
      <c r="Q240" s="815"/>
      <c r="R240" s="815"/>
      <c r="S240" s="815"/>
      <c r="T240" s="815"/>
      <c r="U240" s="815"/>
      <c r="V240" s="815"/>
      <c r="W240" s="815"/>
      <c r="X240" s="815"/>
      <c r="Y240" s="815"/>
      <c r="Z240" s="815"/>
      <c r="AA240" s="815"/>
      <c r="AB240" s="815"/>
      <c r="AC240" s="815"/>
      <c r="AD240" s="815"/>
      <c r="AE240" s="815"/>
      <c r="AF240" s="815"/>
      <c r="AG240" s="815"/>
      <c r="AH240" s="815"/>
      <c r="AI240" s="815"/>
      <c r="AJ240" s="815"/>
      <c r="AK240" s="815"/>
      <c r="AL240" s="815"/>
      <c r="AM240" s="815"/>
      <c r="AN240" s="815"/>
      <c r="AO240" s="815"/>
      <c r="AP240" s="815"/>
      <c r="AQ240" s="815"/>
      <c r="AR240" s="815"/>
      <c r="AS240" s="815"/>
      <c r="AT240" s="815"/>
      <c r="AU240" s="815"/>
      <c r="AV240" s="815"/>
      <c r="AW240" s="815"/>
      <c r="AX240" s="815"/>
      <c r="AY240" s="815"/>
      <c r="AZ240" s="815"/>
      <c r="BA240" s="815"/>
      <c r="BB240" s="815"/>
      <c r="BC240" s="815"/>
      <c r="BD240" s="815"/>
      <c r="BE240" s="815"/>
      <c r="BF240" s="815"/>
      <c r="BG240" s="815"/>
      <c r="BH240" s="815"/>
      <c r="BI240" s="815"/>
      <c r="BJ240" s="815"/>
      <c r="BK240" s="815"/>
      <c r="BL240" s="815"/>
      <c r="BM240" s="815"/>
      <c r="BN240" s="815"/>
      <c r="BO240" s="815"/>
      <c r="BP240" s="815"/>
      <c r="BQ240" s="815"/>
      <c r="BR240" s="815"/>
      <c r="BS240" s="815"/>
      <c r="BT240" s="815"/>
      <c r="BU240" s="815"/>
      <c r="BV240" s="815"/>
      <c r="BW240" s="815"/>
      <c r="BX240" s="815"/>
      <c r="BY240" s="815"/>
      <c r="BZ240" s="815"/>
      <c r="CA240" s="815"/>
      <c r="CB240" s="815"/>
      <c r="CC240" s="815"/>
      <c r="CD240" s="815"/>
      <c r="CE240" s="815"/>
      <c r="CF240" s="815"/>
      <c r="CG240" s="815"/>
      <c r="CH240" s="815"/>
      <c r="CI240" s="815"/>
      <c r="CJ240" s="815"/>
      <c r="CK240" s="815"/>
      <c r="CL240" s="815"/>
      <c r="CM240" s="815"/>
      <c r="CN240" s="815"/>
      <c r="CO240" s="815"/>
      <c r="CP240" s="815"/>
      <c r="CQ240" s="815"/>
      <c r="CR240" s="815"/>
      <c r="CS240" s="815"/>
      <c r="CT240" s="815"/>
      <c r="CU240" s="815"/>
      <c r="CV240" s="815"/>
      <c r="CW240" s="815"/>
      <c r="CX240" s="815"/>
      <c r="CY240" s="815"/>
      <c r="CZ240" s="815"/>
      <c r="DA240" s="815"/>
      <c r="DB240" s="815"/>
      <c r="DC240" s="815"/>
      <c r="DD240" s="815"/>
      <c r="DE240" s="815"/>
      <c r="DF240" s="815"/>
      <c r="DG240" s="815"/>
      <c r="DH240" s="815"/>
      <c r="DI240" s="815"/>
      <c r="DJ240" s="815"/>
      <c r="DK240" s="815"/>
      <c r="DL240" s="815"/>
      <c r="DM240" s="815"/>
      <c r="DN240" s="815"/>
      <c r="DO240" s="815"/>
      <c r="DP240" s="815"/>
      <c r="DQ240" s="815"/>
      <c r="DR240" s="815"/>
      <c r="DS240" s="815"/>
      <c r="DT240" s="815"/>
      <c r="DU240" s="815"/>
      <c r="DV240" s="815"/>
      <c r="DW240" s="815"/>
      <c r="DX240" s="815"/>
      <c r="DY240" s="815"/>
      <c r="DZ240" s="815"/>
      <c r="EA240" s="815"/>
      <c r="EB240" s="815"/>
      <c r="EC240" s="815"/>
      <c r="ED240" s="815"/>
      <c r="EE240" s="815"/>
      <c r="EF240" s="815"/>
      <c r="EG240" s="815"/>
      <c r="EH240" s="815"/>
      <c r="EI240" s="815"/>
      <c r="EJ240" s="815"/>
      <c r="EK240" s="815"/>
      <c r="EL240" s="815"/>
      <c r="EM240" s="815"/>
      <c r="EN240" s="815"/>
      <c r="EO240" s="815"/>
      <c r="EP240" s="815"/>
      <c r="EQ240" s="815"/>
      <c r="ER240" s="815"/>
      <c r="ES240" s="815"/>
      <c r="ET240" s="815"/>
      <c r="EU240" s="815"/>
      <c r="EV240" s="815"/>
      <c r="EW240" s="815"/>
      <c r="EX240" s="815"/>
      <c r="EY240" s="815"/>
      <c r="EZ240" s="815"/>
      <c r="FA240" s="815"/>
      <c r="FB240" s="815"/>
      <c r="FC240" s="815"/>
      <c r="FD240" s="815"/>
      <c r="FE240" s="815"/>
      <c r="FF240" s="815"/>
      <c r="FG240" s="815"/>
      <c r="FH240" s="815"/>
      <c r="FI240" s="815"/>
      <c r="FJ240" s="815"/>
      <c r="FK240" s="815"/>
      <c r="FL240" s="815"/>
      <c r="FM240" s="815"/>
      <c r="FN240" s="815"/>
      <c r="FO240" s="815"/>
      <c r="FP240" s="815"/>
      <c r="FQ240" s="815"/>
      <c r="FR240" s="815"/>
      <c r="FS240" s="815"/>
      <c r="FT240" s="815"/>
      <c r="FU240" s="815"/>
      <c r="FV240" s="815"/>
      <c r="FW240" s="815"/>
      <c r="FX240" s="815"/>
      <c r="FY240" s="815"/>
      <c r="FZ240" s="815"/>
      <c r="GA240" s="815"/>
      <c r="GB240" s="815"/>
      <c r="GC240" s="815"/>
      <c r="GD240" s="815"/>
      <c r="GE240" s="815"/>
      <c r="GF240" s="815"/>
      <c r="GG240" s="815"/>
      <c r="GH240" s="815"/>
      <c r="GI240" s="815"/>
      <c r="GJ240" s="815"/>
      <c r="GK240" s="815"/>
      <c r="GL240" s="815"/>
      <c r="GM240" s="815"/>
      <c r="GN240" s="815"/>
      <c r="GO240" s="815"/>
      <c r="GP240" s="815"/>
      <c r="GQ240" s="815"/>
      <c r="GR240" s="815"/>
      <c r="GS240" s="815"/>
      <c r="GT240" s="815"/>
      <c r="GU240" s="815"/>
      <c r="GV240" s="815"/>
      <c r="GW240" s="815"/>
      <c r="GX240" s="815"/>
      <c r="GY240" s="815"/>
      <c r="GZ240" s="815"/>
      <c r="HA240" s="815"/>
      <c r="HB240" s="815"/>
      <c r="HC240" s="815"/>
      <c r="HD240" s="815"/>
      <c r="HE240" s="815"/>
      <c r="HF240" s="815"/>
      <c r="HG240" s="815"/>
      <c r="HH240" s="815"/>
      <c r="HI240" s="815"/>
      <c r="HJ240" s="815"/>
      <c r="HK240" s="815"/>
      <c r="HL240" s="815"/>
      <c r="HM240" s="815"/>
      <c r="HN240" s="815"/>
      <c r="HO240" s="815"/>
      <c r="HP240" s="815"/>
      <c r="HQ240" s="815"/>
      <c r="HR240" s="815"/>
      <c r="HS240" s="815"/>
      <c r="HT240" s="815"/>
      <c r="HU240" s="815"/>
      <c r="HV240" s="815"/>
      <c r="HW240" s="815"/>
      <c r="HX240" s="815"/>
      <c r="HY240" s="815"/>
      <c r="HZ240" s="815"/>
      <c r="IA240" s="815"/>
      <c r="IB240" s="815"/>
      <c r="IC240" s="815"/>
      <c r="ID240" s="815"/>
      <c r="IE240" s="815"/>
      <c r="IF240" s="815"/>
      <c r="IG240" s="815"/>
      <c r="IH240" s="815"/>
      <c r="II240" s="815"/>
      <c r="IJ240" s="815"/>
      <c r="IK240" s="815"/>
      <c r="IL240" s="815"/>
      <c r="IM240" s="815"/>
      <c r="IN240" s="815"/>
      <c r="IO240" s="815"/>
      <c r="IP240" s="815"/>
      <c r="IQ240" s="815"/>
      <c r="IR240" s="815"/>
      <c r="IS240" s="815"/>
      <c r="IT240" s="815"/>
      <c r="IU240" s="815"/>
      <c r="IV240" s="815"/>
      <c r="IW240" s="815"/>
      <c r="IX240" s="815"/>
      <c r="IY240" s="815"/>
      <c r="IZ240" s="815"/>
      <c r="JA240" s="815"/>
      <c r="JB240" s="815"/>
      <c r="JC240" s="815"/>
      <c r="JD240" s="815"/>
      <c r="JE240" s="815"/>
      <c r="JF240" s="815"/>
      <c r="JG240" s="815"/>
      <c r="JH240" s="815"/>
      <c r="JI240" s="815"/>
      <c r="JJ240" s="815"/>
      <c r="JK240" s="815"/>
      <c r="JL240" s="815"/>
      <c r="JM240" s="815"/>
      <c r="JN240" s="815"/>
      <c r="JO240" s="815"/>
      <c r="JP240" s="815"/>
      <c r="JQ240" s="815"/>
      <c r="JR240" s="815"/>
      <c r="JS240" s="815"/>
      <c r="JT240" s="815"/>
      <c r="JU240" s="815"/>
      <c r="JV240" s="815"/>
      <c r="JW240" s="815"/>
      <c r="JX240" s="815"/>
      <c r="JY240" s="815"/>
      <c r="JZ240" s="815"/>
      <c r="KA240" s="815"/>
      <c r="KB240" s="815"/>
      <c r="KC240" s="815"/>
      <c r="KD240" s="815"/>
      <c r="KE240" s="815"/>
      <c r="KF240" s="815"/>
      <c r="KG240" s="815"/>
      <c r="KH240" s="815"/>
      <c r="KI240" s="815"/>
      <c r="KJ240" s="815"/>
      <c r="KK240" s="815"/>
      <c r="KL240" s="815"/>
      <c r="KM240" s="815"/>
      <c r="KN240" s="815"/>
      <c r="KO240" s="815"/>
      <c r="KP240" s="815"/>
      <c r="KQ240" s="815"/>
      <c r="KR240" s="815"/>
      <c r="KS240" s="815"/>
      <c r="KT240" s="815"/>
      <c r="KU240" s="815"/>
      <c r="KV240" s="815"/>
      <c r="KW240" s="815"/>
      <c r="KX240" s="815"/>
      <c r="KY240" s="815"/>
      <c r="KZ240" s="815"/>
      <c r="LA240" s="815"/>
      <c r="LB240" s="815"/>
      <c r="LC240" s="815"/>
      <c r="LD240" s="815"/>
      <c r="LE240" s="815"/>
      <c r="LF240" s="815"/>
      <c r="LG240" s="815"/>
      <c r="LH240" s="815"/>
      <c r="LI240" s="815"/>
      <c r="LJ240" s="815"/>
      <c r="LK240" s="815"/>
      <c r="LL240" s="815"/>
      <c r="LM240" s="815"/>
      <c r="LN240" s="815"/>
      <c r="LO240" s="815"/>
      <c r="LP240" s="815"/>
      <c r="LQ240" s="815"/>
      <c r="LR240" s="815"/>
      <c r="LS240" s="815"/>
      <c r="LT240" s="815"/>
      <c r="LU240" s="815"/>
      <c r="LV240" s="815"/>
      <c r="LW240" s="815"/>
      <c r="LX240" s="815"/>
      <c r="LY240" s="815"/>
      <c r="LZ240" s="815"/>
      <c r="MA240" s="815"/>
      <c r="MB240" s="815"/>
      <c r="MC240" s="815"/>
      <c r="MD240" s="815"/>
      <c r="ME240" s="815"/>
      <c r="MF240" s="815"/>
      <c r="MG240" s="815"/>
      <c r="MH240" s="815"/>
      <c r="MI240" s="815"/>
      <c r="MJ240" s="815"/>
      <c r="MK240" s="815"/>
      <c r="ML240" s="815"/>
      <c r="MM240" s="815"/>
      <c r="MN240" s="815"/>
      <c r="MO240" s="815"/>
      <c r="MP240" s="815"/>
      <c r="MQ240" s="815"/>
      <c r="MR240" s="815"/>
      <c r="MS240" s="815"/>
      <c r="MT240" s="815"/>
      <c r="MU240" s="815"/>
      <c r="MV240" s="815"/>
      <c r="MW240" s="815"/>
      <c r="MX240" s="815"/>
      <c r="MY240" s="815"/>
      <c r="MZ240" s="815"/>
      <c r="NA240" s="815"/>
      <c r="NB240" s="815"/>
      <c r="NC240" s="815"/>
      <c r="ND240" s="815"/>
      <c r="NE240" s="815"/>
      <c r="NF240" s="815"/>
      <c r="NG240" s="815"/>
      <c r="NH240" s="815"/>
      <c r="NI240" s="815"/>
      <c r="NJ240" s="815"/>
      <c r="NK240" s="815"/>
      <c r="NL240" s="815"/>
      <c r="NM240" s="815"/>
      <c r="NN240" s="815"/>
      <c r="NO240" s="815"/>
      <c r="NP240" s="815"/>
      <c r="NQ240" s="815"/>
      <c r="NR240" s="815"/>
      <c r="NS240" s="815"/>
      <c r="NT240" s="815"/>
      <c r="NU240" s="815"/>
      <c r="NV240" s="815"/>
      <c r="NW240" s="815"/>
      <c r="NX240" s="815"/>
      <c r="NY240" s="815"/>
      <c r="NZ240" s="815"/>
      <c r="OA240" s="815"/>
      <c r="OB240" s="815"/>
      <c r="OC240" s="815"/>
      <c r="OD240" s="815"/>
      <c r="OE240" s="815"/>
      <c r="OF240" s="815"/>
      <c r="OG240" s="815"/>
      <c r="OH240" s="815"/>
      <c r="OI240" s="815"/>
      <c r="OJ240" s="815"/>
      <c r="OK240" s="815"/>
      <c r="OL240" s="815"/>
      <c r="OM240" s="815"/>
      <c r="ON240" s="815"/>
      <c r="OO240" s="815"/>
      <c r="OP240" s="815"/>
      <c r="OQ240" s="815"/>
      <c r="OR240" s="815"/>
      <c r="OS240" s="815"/>
      <c r="OT240" s="815"/>
      <c r="OU240" s="815"/>
      <c r="OV240" s="815"/>
      <c r="OW240" s="815"/>
      <c r="OX240" s="815"/>
      <c r="OY240" s="815"/>
      <c r="OZ240" s="815"/>
      <c r="PA240" s="815"/>
      <c r="PB240" s="815"/>
      <c r="PC240" s="815"/>
      <c r="PD240" s="815"/>
      <c r="PE240" s="815"/>
      <c r="PF240" s="815"/>
      <c r="PG240" s="815"/>
      <c r="PH240" s="815"/>
      <c r="PI240" s="815"/>
      <c r="PJ240" s="815"/>
      <c r="PK240" s="815"/>
      <c r="PL240" s="815"/>
      <c r="PM240" s="815"/>
      <c r="PN240" s="815"/>
      <c r="PO240" s="815"/>
      <c r="PP240" s="815"/>
      <c r="PQ240" s="815"/>
      <c r="PR240" s="815"/>
      <c r="PS240" s="815"/>
      <c r="PT240" s="815"/>
      <c r="PU240" s="815"/>
      <c r="PV240" s="815"/>
      <c r="PW240" s="815"/>
      <c r="PX240" s="815"/>
      <c r="PY240" s="815"/>
      <c r="PZ240" s="815"/>
      <c r="QA240" s="815"/>
      <c r="QB240" s="815"/>
      <c r="QC240" s="815"/>
      <c r="QD240" s="815"/>
      <c r="QE240" s="815"/>
      <c r="QF240" s="815"/>
      <c r="QG240" s="815"/>
      <c r="QH240" s="815"/>
      <c r="QI240" s="815"/>
      <c r="QJ240" s="815"/>
      <c r="QK240" s="815"/>
      <c r="QL240" s="815"/>
      <c r="QM240" s="815"/>
      <c r="QN240" s="815"/>
      <c r="QO240" s="815"/>
      <c r="QP240" s="815"/>
      <c r="QQ240" s="815"/>
      <c r="QR240" s="815"/>
      <c r="QS240" s="815"/>
      <c r="QT240" s="815"/>
      <c r="QU240" s="815"/>
      <c r="QV240" s="815"/>
      <c r="QW240" s="815"/>
      <c r="QX240" s="815"/>
      <c r="QY240" s="815"/>
      <c r="QZ240" s="815"/>
      <c r="RA240" s="815"/>
      <c r="RB240" s="815"/>
      <c r="RC240" s="815"/>
      <c r="RD240" s="815"/>
      <c r="RE240" s="815"/>
      <c r="RF240" s="815"/>
      <c r="RG240" s="815"/>
      <c r="RH240" s="815"/>
      <c r="RI240" s="815"/>
      <c r="RJ240" s="815"/>
      <c r="RK240" s="815"/>
      <c r="RL240" s="815"/>
      <c r="RM240" s="815"/>
      <c r="RN240" s="815"/>
      <c r="RO240" s="815"/>
      <c r="RP240" s="815"/>
      <c r="RQ240" s="815"/>
      <c r="RR240" s="815"/>
      <c r="RS240" s="815"/>
      <c r="RT240" s="815"/>
      <c r="RU240" s="815"/>
      <c r="RV240" s="815"/>
      <c r="RW240" s="815"/>
      <c r="RX240" s="815"/>
      <c r="RY240" s="815"/>
      <c r="RZ240" s="815"/>
      <c r="SA240" s="815"/>
      <c r="SB240" s="815"/>
      <c r="SC240" s="815"/>
      <c r="SD240" s="815"/>
      <c r="SE240" s="815"/>
      <c r="SF240" s="815"/>
      <c r="SG240" s="815"/>
      <c r="SH240" s="815"/>
      <c r="SI240" s="815"/>
      <c r="SJ240" s="815"/>
      <c r="SK240" s="815"/>
      <c r="SL240" s="815"/>
      <c r="SM240" s="815"/>
      <c r="SN240" s="815"/>
      <c r="SO240" s="815"/>
      <c r="SP240" s="815"/>
      <c r="SQ240" s="815"/>
      <c r="SR240" s="815"/>
      <c r="SS240" s="815"/>
      <c r="ST240" s="815"/>
      <c r="SU240" s="815"/>
      <c r="SV240" s="815"/>
      <c r="SW240" s="815"/>
      <c r="SX240" s="815"/>
      <c r="SY240" s="815"/>
      <c r="SZ240" s="815"/>
      <c r="TA240" s="815"/>
      <c r="TB240" s="815"/>
      <c r="TC240" s="815"/>
      <c r="TD240" s="815"/>
      <c r="TE240" s="815"/>
      <c r="TF240" s="815"/>
      <c r="TG240" s="815"/>
      <c r="TH240" s="815"/>
      <c r="TI240" s="815"/>
      <c r="TJ240" s="815"/>
      <c r="TK240" s="815"/>
      <c r="TL240" s="815"/>
      <c r="TM240" s="815"/>
      <c r="TN240" s="815"/>
      <c r="TO240" s="815"/>
      <c r="TP240" s="815"/>
      <c r="TQ240" s="815"/>
      <c r="TR240" s="815"/>
      <c r="TS240" s="815"/>
      <c r="TT240" s="815"/>
      <c r="TU240" s="815"/>
      <c r="TV240" s="815"/>
      <c r="TW240" s="815"/>
      <c r="TX240" s="815"/>
      <c r="TY240" s="815"/>
      <c r="TZ240" s="815"/>
      <c r="UA240" s="815"/>
      <c r="UB240" s="815"/>
      <c r="UC240" s="815"/>
      <c r="UD240" s="815"/>
      <c r="UE240" s="815"/>
      <c r="UF240" s="815"/>
      <c r="UG240" s="815"/>
      <c r="UH240" s="815"/>
      <c r="UI240" s="815"/>
      <c r="UJ240" s="815"/>
      <c r="UK240" s="815"/>
      <c r="UL240" s="815"/>
      <c r="UM240" s="815"/>
      <c r="UN240" s="815"/>
      <c r="UO240" s="815"/>
      <c r="UP240" s="815"/>
      <c r="UQ240" s="815"/>
      <c r="UR240" s="815"/>
      <c r="US240" s="815"/>
      <c r="UT240" s="815"/>
      <c r="UU240" s="815"/>
      <c r="UV240" s="815"/>
      <c r="UW240" s="815"/>
      <c r="UX240" s="815"/>
      <c r="UY240" s="815"/>
      <c r="UZ240" s="815"/>
      <c r="VA240" s="815"/>
      <c r="VB240" s="815"/>
      <c r="VC240" s="815"/>
      <c r="VD240" s="815"/>
      <c r="VE240" s="815"/>
      <c r="VF240" s="815"/>
      <c r="VG240" s="815"/>
      <c r="VH240" s="815"/>
      <c r="VI240" s="815"/>
      <c r="VJ240" s="815"/>
      <c r="VK240" s="815"/>
      <c r="VL240" s="815"/>
      <c r="VM240" s="815"/>
      <c r="VN240" s="815"/>
      <c r="VO240" s="815"/>
      <c r="VP240" s="815"/>
      <c r="VQ240" s="815"/>
      <c r="VR240" s="815"/>
      <c r="VS240" s="815"/>
      <c r="VT240" s="815"/>
      <c r="VU240" s="815"/>
      <c r="VV240" s="815"/>
      <c r="VW240" s="815"/>
      <c r="VX240" s="815"/>
      <c r="VY240" s="815"/>
      <c r="VZ240" s="815"/>
      <c r="WA240" s="815"/>
      <c r="WB240" s="815"/>
      <c r="WC240" s="815"/>
      <c r="WD240" s="815"/>
      <c r="WE240" s="815"/>
      <c r="WF240" s="815"/>
      <c r="WG240" s="815"/>
      <c r="WH240" s="815"/>
      <c r="WI240" s="815"/>
      <c r="WJ240" s="815"/>
      <c r="WK240" s="815"/>
      <c r="WL240" s="815"/>
      <c r="WM240" s="815"/>
      <c r="WN240" s="815"/>
      <c r="WO240" s="815"/>
      <c r="WP240" s="815"/>
      <c r="WQ240" s="815"/>
      <c r="WR240" s="815"/>
      <c r="WS240" s="815"/>
      <c r="WT240" s="815"/>
      <c r="WU240" s="815"/>
      <c r="WV240" s="815"/>
      <c r="WW240" s="815"/>
      <c r="WX240" s="815"/>
      <c r="WY240" s="815"/>
      <c r="WZ240" s="815"/>
      <c r="XA240" s="815"/>
      <c r="XB240" s="815"/>
      <c r="XC240" s="815"/>
      <c r="XD240" s="815"/>
      <c r="XE240" s="815"/>
      <c r="XF240" s="815"/>
      <c r="XG240" s="815"/>
      <c r="XH240" s="815"/>
      <c r="XI240" s="815"/>
      <c r="XJ240" s="815"/>
      <c r="XK240" s="815"/>
      <c r="XL240" s="815"/>
      <c r="XM240" s="815"/>
      <c r="XN240" s="815"/>
      <c r="XO240" s="815"/>
      <c r="XP240" s="815"/>
      <c r="XQ240" s="815"/>
      <c r="XR240" s="815"/>
      <c r="XS240" s="815"/>
      <c r="XT240" s="815"/>
      <c r="XU240" s="815"/>
      <c r="XV240" s="815"/>
      <c r="XW240" s="815"/>
      <c r="XX240" s="815"/>
      <c r="XY240" s="815"/>
      <c r="XZ240" s="815"/>
      <c r="YA240" s="815"/>
      <c r="YB240" s="815"/>
      <c r="YC240" s="815"/>
      <c r="YD240" s="815"/>
      <c r="YE240" s="815"/>
      <c r="YF240" s="815"/>
      <c r="YG240" s="815"/>
      <c r="YH240" s="815"/>
      <c r="YI240" s="815"/>
      <c r="YJ240" s="815"/>
      <c r="YK240" s="815"/>
      <c r="YL240" s="815"/>
      <c r="YM240" s="815"/>
      <c r="YN240" s="815"/>
      <c r="YO240" s="815"/>
      <c r="YP240" s="815"/>
      <c r="YQ240" s="815"/>
      <c r="YR240" s="815"/>
      <c r="YS240" s="815"/>
      <c r="YT240" s="815"/>
      <c r="YU240" s="815"/>
      <c r="YV240" s="815"/>
      <c r="YW240" s="815"/>
      <c r="YX240" s="815"/>
      <c r="YY240" s="815"/>
      <c r="YZ240" s="815"/>
      <c r="ZA240" s="815"/>
      <c r="ZB240" s="815"/>
      <c r="ZC240" s="815"/>
      <c r="ZD240" s="815"/>
      <c r="ZE240" s="815"/>
      <c r="ZF240" s="815"/>
      <c r="ZG240" s="815"/>
      <c r="ZH240" s="815"/>
      <c r="ZI240" s="815"/>
      <c r="ZJ240" s="815"/>
      <c r="ZK240" s="815"/>
      <c r="ZL240" s="815"/>
      <c r="ZM240" s="815"/>
      <c r="ZN240" s="815"/>
      <c r="ZO240" s="815"/>
      <c r="ZP240" s="815"/>
      <c r="ZQ240" s="815"/>
      <c r="ZR240" s="815"/>
      <c r="ZS240" s="815"/>
      <c r="ZT240" s="815"/>
      <c r="ZU240" s="815"/>
      <c r="ZV240" s="815"/>
      <c r="ZW240" s="815"/>
      <c r="ZX240" s="815"/>
      <c r="ZY240" s="815"/>
      <c r="ZZ240" s="815"/>
      <c r="AAA240" s="815"/>
      <c r="AAB240" s="815"/>
      <c r="AAC240" s="815"/>
      <c r="AAD240" s="815"/>
      <c r="AAE240" s="815"/>
      <c r="AAF240" s="815"/>
      <c r="AAG240" s="815"/>
      <c r="AAH240" s="815"/>
      <c r="AAI240" s="815"/>
      <c r="AAJ240" s="815"/>
      <c r="AAK240" s="815"/>
      <c r="AAL240" s="815"/>
      <c r="AAM240" s="815"/>
      <c r="AAN240" s="815"/>
      <c r="AAO240" s="815"/>
      <c r="AAP240" s="815"/>
      <c r="AAQ240" s="815"/>
      <c r="AAR240" s="815"/>
      <c r="AAS240" s="815"/>
      <c r="AAT240" s="815"/>
      <c r="AAU240" s="815"/>
      <c r="AAV240" s="815"/>
      <c r="AAW240" s="815"/>
      <c r="AAX240" s="815"/>
      <c r="AAY240" s="815"/>
      <c r="AAZ240" s="815"/>
      <c r="ABA240" s="815"/>
      <c r="ABB240" s="815"/>
      <c r="ABC240" s="815"/>
      <c r="ABD240" s="815"/>
      <c r="ABE240" s="815"/>
      <c r="ABF240" s="815"/>
      <c r="ABG240" s="815"/>
      <c r="ABH240" s="815"/>
      <c r="ABI240" s="815"/>
      <c r="ABJ240" s="815"/>
      <c r="ABK240" s="815"/>
      <c r="ABL240" s="815"/>
      <c r="ABM240" s="815"/>
      <c r="ABN240" s="815"/>
      <c r="ABO240" s="815"/>
      <c r="ABP240" s="815"/>
      <c r="ABQ240" s="815"/>
      <c r="ABR240" s="815"/>
      <c r="ABS240" s="815"/>
      <c r="ABT240" s="815"/>
      <c r="ABU240" s="815"/>
      <c r="ABV240" s="815"/>
      <c r="ABW240" s="815"/>
      <c r="ABX240" s="815"/>
      <c r="ABY240" s="815"/>
      <c r="ABZ240" s="815"/>
      <c r="ACA240" s="815"/>
      <c r="ACB240" s="815"/>
      <c r="ACC240" s="815"/>
      <c r="ACD240" s="815"/>
      <c r="ACE240" s="815"/>
      <c r="ACF240" s="815"/>
      <c r="ACG240" s="815"/>
      <c r="ACH240" s="815"/>
      <c r="ACI240" s="815"/>
      <c r="ACJ240" s="815"/>
      <c r="ACK240" s="815"/>
      <c r="ACL240" s="815"/>
      <c r="ACM240" s="815"/>
      <c r="ACN240" s="815"/>
      <c r="ACO240" s="815"/>
      <c r="ACP240" s="815"/>
      <c r="ACQ240" s="815"/>
      <c r="ACR240" s="815"/>
      <c r="ACS240" s="815"/>
      <c r="ACT240" s="815"/>
      <c r="ACU240" s="815"/>
      <c r="ACV240" s="815"/>
      <c r="ACW240" s="815"/>
      <c r="ACX240" s="815"/>
      <c r="ACY240" s="815"/>
      <c r="ACZ240" s="815"/>
      <c r="ADA240" s="815"/>
      <c r="ADB240" s="815"/>
      <c r="ADC240" s="815"/>
      <c r="ADD240" s="815"/>
      <c r="ADE240" s="815"/>
      <c r="ADF240" s="815"/>
      <c r="ADG240" s="815"/>
      <c r="ADH240" s="815"/>
      <c r="ADI240" s="815"/>
      <c r="ADJ240" s="815"/>
      <c r="ADK240" s="815"/>
      <c r="ADL240" s="815"/>
      <c r="ADM240" s="815"/>
      <c r="ADN240" s="815"/>
      <c r="ADO240" s="815"/>
      <c r="ADP240" s="815"/>
      <c r="ADQ240" s="815"/>
      <c r="ADR240" s="815"/>
      <c r="ADS240" s="815"/>
      <c r="ADT240" s="815"/>
      <c r="ADU240" s="815"/>
      <c r="ADV240" s="815"/>
      <c r="ADW240" s="815"/>
      <c r="ADX240" s="815"/>
      <c r="ADY240" s="815"/>
      <c r="ADZ240" s="815"/>
      <c r="AEA240" s="815"/>
      <c r="AEB240" s="815"/>
      <c r="AEC240" s="815"/>
      <c r="AED240" s="815"/>
      <c r="AEE240" s="815"/>
      <c r="AEF240" s="815"/>
      <c r="AEG240" s="815"/>
      <c r="AEH240" s="815"/>
      <c r="AEI240" s="815"/>
      <c r="AEJ240" s="815"/>
      <c r="AEK240" s="815"/>
      <c r="AEL240" s="815"/>
      <c r="AEM240" s="815"/>
      <c r="AEN240" s="815"/>
      <c r="AEO240" s="815"/>
      <c r="AEP240" s="815"/>
      <c r="AEQ240" s="815"/>
      <c r="AER240" s="815"/>
      <c r="AES240" s="815"/>
      <c r="AET240" s="815"/>
      <c r="AEU240" s="815"/>
      <c r="AEV240" s="815"/>
      <c r="AEW240" s="815"/>
      <c r="AEX240" s="815"/>
      <c r="AEY240" s="815"/>
      <c r="AEZ240" s="815"/>
      <c r="AFA240" s="815"/>
      <c r="AFB240" s="815"/>
      <c r="AFC240" s="815"/>
      <c r="AFD240" s="815"/>
      <c r="AFE240" s="815"/>
      <c r="AFF240" s="815"/>
      <c r="AFG240" s="815"/>
      <c r="AFH240" s="815"/>
      <c r="AFI240" s="815"/>
      <c r="AFJ240" s="815"/>
      <c r="AFK240" s="815"/>
      <c r="AFL240" s="815"/>
      <c r="AFM240" s="815"/>
      <c r="AFN240" s="815"/>
      <c r="AFO240" s="815"/>
      <c r="AFP240" s="815"/>
      <c r="AFQ240" s="815"/>
      <c r="AFR240" s="815"/>
      <c r="AFS240" s="815"/>
      <c r="AFT240" s="815"/>
      <c r="AFU240" s="815"/>
      <c r="AFV240" s="815"/>
      <c r="AFW240" s="815"/>
      <c r="AFX240" s="815"/>
      <c r="AFY240" s="815"/>
      <c r="AFZ240" s="815"/>
      <c r="AGA240" s="815"/>
      <c r="AGB240" s="815"/>
      <c r="AGC240" s="815"/>
      <c r="AGD240" s="815"/>
      <c r="AGE240" s="815"/>
      <c r="AGF240" s="815"/>
      <c r="AGG240" s="815"/>
      <c r="AGH240" s="815"/>
      <c r="AGI240" s="815"/>
      <c r="AGJ240" s="815"/>
    </row>
    <row r="241" spans="1:868" s="816" customFormat="1">
      <c r="A241" s="68" t="str">
        <f>Clothing!A429</f>
        <v>Clothing (product sector)</v>
      </c>
      <c r="B241" s="304" t="str">
        <f>Clothing!B429</f>
        <v>Dresses skirts and jumpsuits</v>
      </c>
      <c r="C241" s="69" t="str">
        <f>Clothing!C429</f>
        <v>EU</v>
      </c>
      <c r="D241" s="823" t="str">
        <f>Clothing!D429</f>
        <v>Acryl</v>
      </c>
      <c r="E241" s="69">
        <f>Clothing!E429</f>
        <v>0</v>
      </c>
      <c r="F241" s="823">
        <f>Clothing!F429</f>
        <v>1</v>
      </c>
      <c r="G241" s="69" t="str">
        <f>Clothing!G429</f>
        <v>https://eeb.org/library/draft-product-environmental-footprint-category-rules-pefcr-apparel-and-footwear/</v>
      </c>
      <c r="H241" s="1188"/>
      <c r="I241" s="307">
        <f>Clothing!I429</f>
        <v>1</v>
      </c>
      <c r="J241" s="307">
        <f>Clothing!J429</f>
        <v>2</v>
      </c>
      <c r="K241" s="307">
        <f>Clothing!K429</f>
        <v>1</v>
      </c>
      <c r="L241" s="307">
        <f>Clothing!L429</f>
        <v>2</v>
      </c>
      <c r="M241" s="307">
        <f>Clothing!M429</f>
        <v>2</v>
      </c>
      <c r="N241" s="616" t="str">
        <f>IF( OR( ISBLANK(H241),ISBLANK(J241), ISBLANK(K241), ISBLANK(L241), ISBLANK(M241) ), "", 1.5*SQRT(   EXP(2.21*(H241-1)) + EXP(2.21*(J241-1)) + EXP(2.21*(K241-1)) + EXP(2.21*(L241-1)) + EXP(2.21*M241)   )/100*2.45 )</f>
        <v/>
      </c>
      <c r="O241" s="1282">
        <f>IF( OR( ISBLANK(I241),ISBLANK(J241), ISBLANK(K241), ISBLANK(L241), ISBLANK(M241) ), "", 1.5*SQRT( EXP(2.21*(I241-1)) + EXP(2.21*(J241-1)) + EXP(2.21*(K241-1)) + EXP(2.21*(L241-1)) + EXP(2.21*M241)   )/100*2.45 )</f>
        <v>0.37356464144298934</v>
      </c>
      <c r="P241" s="68"/>
      <c r="Q241" s="815"/>
      <c r="R241" s="815"/>
      <c r="S241" s="815"/>
      <c r="T241" s="815"/>
      <c r="U241" s="815"/>
      <c r="V241" s="815"/>
      <c r="W241" s="815"/>
      <c r="X241" s="815"/>
      <c r="Y241" s="815"/>
      <c r="Z241" s="815"/>
      <c r="AA241" s="815"/>
      <c r="AB241" s="815"/>
      <c r="AC241" s="815"/>
      <c r="AD241" s="815"/>
      <c r="AE241" s="815"/>
      <c r="AF241" s="815"/>
      <c r="AG241" s="815"/>
      <c r="AH241" s="815"/>
      <c r="AI241" s="815"/>
      <c r="AJ241" s="815"/>
      <c r="AK241" s="815"/>
      <c r="AL241" s="815"/>
      <c r="AM241" s="815"/>
      <c r="AN241" s="815"/>
      <c r="AO241" s="815"/>
      <c r="AP241" s="815"/>
      <c r="AQ241" s="815"/>
      <c r="AR241" s="815"/>
      <c r="AS241" s="815"/>
      <c r="AT241" s="815"/>
      <c r="AU241" s="815"/>
      <c r="AV241" s="815"/>
      <c r="AW241" s="815"/>
      <c r="AX241" s="815"/>
      <c r="AY241" s="815"/>
      <c r="AZ241" s="815"/>
      <c r="BA241" s="815"/>
      <c r="BB241" s="815"/>
      <c r="BC241" s="815"/>
      <c r="BD241" s="815"/>
      <c r="BE241" s="815"/>
      <c r="BF241" s="815"/>
      <c r="BG241" s="815"/>
      <c r="BH241" s="815"/>
      <c r="BI241" s="815"/>
      <c r="BJ241" s="815"/>
      <c r="BK241" s="815"/>
      <c r="BL241" s="815"/>
      <c r="BM241" s="815"/>
      <c r="BN241" s="815"/>
      <c r="BO241" s="815"/>
      <c r="BP241" s="815"/>
      <c r="BQ241" s="815"/>
      <c r="BR241" s="815"/>
      <c r="BS241" s="815"/>
      <c r="BT241" s="815"/>
      <c r="BU241" s="815"/>
      <c r="BV241" s="815"/>
      <c r="BW241" s="815"/>
      <c r="BX241" s="815"/>
      <c r="BY241" s="815"/>
      <c r="BZ241" s="815"/>
      <c r="CA241" s="815"/>
      <c r="CB241" s="815"/>
      <c r="CC241" s="815"/>
      <c r="CD241" s="815"/>
      <c r="CE241" s="815"/>
      <c r="CF241" s="815"/>
      <c r="CG241" s="815"/>
      <c r="CH241" s="815"/>
      <c r="CI241" s="815"/>
      <c r="CJ241" s="815"/>
      <c r="CK241" s="815"/>
      <c r="CL241" s="815"/>
      <c r="CM241" s="815"/>
      <c r="CN241" s="815"/>
      <c r="CO241" s="815"/>
      <c r="CP241" s="815"/>
      <c r="CQ241" s="815"/>
      <c r="CR241" s="815"/>
      <c r="CS241" s="815"/>
      <c r="CT241" s="815"/>
      <c r="CU241" s="815"/>
      <c r="CV241" s="815"/>
      <c r="CW241" s="815"/>
      <c r="CX241" s="815"/>
      <c r="CY241" s="815"/>
      <c r="CZ241" s="815"/>
      <c r="DA241" s="815"/>
      <c r="DB241" s="815"/>
      <c r="DC241" s="815"/>
      <c r="DD241" s="815"/>
      <c r="DE241" s="815"/>
      <c r="DF241" s="815"/>
      <c r="DG241" s="815"/>
      <c r="DH241" s="815"/>
      <c r="DI241" s="815"/>
      <c r="DJ241" s="815"/>
      <c r="DK241" s="815"/>
      <c r="DL241" s="815"/>
      <c r="DM241" s="815"/>
      <c r="DN241" s="815"/>
      <c r="DO241" s="815"/>
      <c r="DP241" s="815"/>
      <c r="DQ241" s="815"/>
      <c r="DR241" s="815"/>
      <c r="DS241" s="815"/>
      <c r="DT241" s="815"/>
      <c r="DU241" s="815"/>
      <c r="DV241" s="815"/>
      <c r="DW241" s="815"/>
      <c r="DX241" s="815"/>
      <c r="DY241" s="815"/>
      <c r="DZ241" s="815"/>
      <c r="EA241" s="815"/>
      <c r="EB241" s="815"/>
      <c r="EC241" s="815"/>
      <c r="ED241" s="815"/>
      <c r="EE241" s="815"/>
      <c r="EF241" s="815"/>
      <c r="EG241" s="815"/>
      <c r="EH241" s="815"/>
      <c r="EI241" s="815"/>
      <c r="EJ241" s="815"/>
      <c r="EK241" s="815"/>
      <c r="EL241" s="815"/>
      <c r="EM241" s="815"/>
      <c r="EN241" s="815"/>
      <c r="EO241" s="815"/>
      <c r="EP241" s="815"/>
      <c r="EQ241" s="815"/>
      <c r="ER241" s="815"/>
      <c r="ES241" s="815"/>
      <c r="ET241" s="815"/>
      <c r="EU241" s="815"/>
      <c r="EV241" s="815"/>
      <c r="EW241" s="815"/>
      <c r="EX241" s="815"/>
      <c r="EY241" s="815"/>
      <c r="EZ241" s="815"/>
      <c r="FA241" s="815"/>
      <c r="FB241" s="815"/>
      <c r="FC241" s="815"/>
      <c r="FD241" s="815"/>
      <c r="FE241" s="815"/>
      <c r="FF241" s="815"/>
      <c r="FG241" s="815"/>
      <c r="FH241" s="815"/>
      <c r="FI241" s="815"/>
      <c r="FJ241" s="815"/>
      <c r="FK241" s="815"/>
      <c r="FL241" s="815"/>
      <c r="FM241" s="815"/>
      <c r="FN241" s="815"/>
      <c r="FO241" s="815"/>
      <c r="FP241" s="815"/>
      <c r="FQ241" s="815"/>
      <c r="FR241" s="815"/>
      <c r="FS241" s="815"/>
      <c r="FT241" s="815"/>
      <c r="FU241" s="815"/>
      <c r="FV241" s="815"/>
      <c r="FW241" s="815"/>
      <c r="FX241" s="815"/>
      <c r="FY241" s="815"/>
      <c r="FZ241" s="815"/>
      <c r="GA241" s="815"/>
      <c r="GB241" s="815"/>
      <c r="GC241" s="815"/>
      <c r="GD241" s="815"/>
      <c r="GE241" s="815"/>
      <c r="GF241" s="815"/>
      <c r="GG241" s="815"/>
      <c r="GH241" s="815"/>
      <c r="GI241" s="815"/>
      <c r="GJ241" s="815"/>
      <c r="GK241" s="815"/>
      <c r="GL241" s="815"/>
      <c r="GM241" s="815"/>
      <c r="GN241" s="815"/>
      <c r="GO241" s="815"/>
      <c r="GP241" s="815"/>
      <c r="GQ241" s="815"/>
      <c r="GR241" s="815"/>
      <c r="GS241" s="815"/>
      <c r="GT241" s="815"/>
      <c r="GU241" s="815"/>
      <c r="GV241" s="815"/>
      <c r="GW241" s="815"/>
      <c r="GX241" s="815"/>
      <c r="GY241" s="815"/>
      <c r="GZ241" s="815"/>
      <c r="HA241" s="815"/>
      <c r="HB241" s="815"/>
      <c r="HC241" s="815"/>
      <c r="HD241" s="815"/>
      <c r="HE241" s="815"/>
      <c r="HF241" s="815"/>
      <c r="HG241" s="815"/>
      <c r="HH241" s="815"/>
      <c r="HI241" s="815"/>
      <c r="HJ241" s="815"/>
      <c r="HK241" s="815"/>
      <c r="HL241" s="815"/>
      <c r="HM241" s="815"/>
      <c r="HN241" s="815"/>
      <c r="HO241" s="815"/>
      <c r="HP241" s="815"/>
      <c r="HQ241" s="815"/>
      <c r="HR241" s="815"/>
      <c r="HS241" s="815"/>
      <c r="HT241" s="815"/>
      <c r="HU241" s="815"/>
      <c r="HV241" s="815"/>
      <c r="HW241" s="815"/>
      <c r="HX241" s="815"/>
      <c r="HY241" s="815"/>
      <c r="HZ241" s="815"/>
      <c r="IA241" s="815"/>
      <c r="IB241" s="815"/>
      <c r="IC241" s="815"/>
      <c r="ID241" s="815"/>
      <c r="IE241" s="815"/>
      <c r="IF241" s="815"/>
      <c r="IG241" s="815"/>
      <c r="IH241" s="815"/>
      <c r="II241" s="815"/>
      <c r="IJ241" s="815"/>
      <c r="IK241" s="815"/>
      <c r="IL241" s="815"/>
      <c r="IM241" s="815"/>
      <c r="IN241" s="815"/>
      <c r="IO241" s="815"/>
      <c r="IP241" s="815"/>
      <c r="IQ241" s="815"/>
      <c r="IR241" s="815"/>
      <c r="IS241" s="815"/>
      <c r="IT241" s="815"/>
      <c r="IU241" s="815"/>
      <c r="IV241" s="815"/>
      <c r="IW241" s="815"/>
      <c r="IX241" s="815"/>
      <c r="IY241" s="815"/>
      <c r="IZ241" s="815"/>
      <c r="JA241" s="815"/>
      <c r="JB241" s="815"/>
      <c r="JC241" s="815"/>
      <c r="JD241" s="815"/>
      <c r="JE241" s="815"/>
      <c r="JF241" s="815"/>
      <c r="JG241" s="815"/>
      <c r="JH241" s="815"/>
      <c r="JI241" s="815"/>
      <c r="JJ241" s="815"/>
      <c r="JK241" s="815"/>
      <c r="JL241" s="815"/>
      <c r="JM241" s="815"/>
      <c r="JN241" s="815"/>
      <c r="JO241" s="815"/>
      <c r="JP241" s="815"/>
      <c r="JQ241" s="815"/>
      <c r="JR241" s="815"/>
      <c r="JS241" s="815"/>
      <c r="JT241" s="815"/>
      <c r="JU241" s="815"/>
      <c r="JV241" s="815"/>
      <c r="JW241" s="815"/>
      <c r="JX241" s="815"/>
      <c r="JY241" s="815"/>
      <c r="JZ241" s="815"/>
      <c r="KA241" s="815"/>
      <c r="KB241" s="815"/>
      <c r="KC241" s="815"/>
      <c r="KD241" s="815"/>
      <c r="KE241" s="815"/>
      <c r="KF241" s="815"/>
      <c r="KG241" s="815"/>
      <c r="KH241" s="815"/>
      <c r="KI241" s="815"/>
      <c r="KJ241" s="815"/>
      <c r="KK241" s="815"/>
      <c r="KL241" s="815"/>
      <c r="KM241" s="815"/>
      <c r="KN241" s="815"/>
      <c r="KO241" s="815"/>
      <c r="KP241" s="815"/>
      <c r="KQ241" s="815"/>
      <c r="KR241" s="815"/>
      <c r="KS241" s="815"/>
      <c r="KT241" s="815"/>
      <c r="KU241" s="815"/>
      <c r="KV241" s="815"/>
      <c r="KW241" s="815"/>
      <c r="KX241" s="815"/>
      <c r="KY241" s="815"/>
      <c r="KZ241" s="815"/>
      <c r="LA241" s="815"/>
      <c r="LB241" s="815"/>
      <c r="LC241" s="815"/>
      <c r="LD241" s="815"/>
      <c r="LE241" s="815"/>
      <c r="LF241" s="815"/>
      <c r="LG241" s="815"/>
      <c r="LH241" s="815"/>
      <c r="LI241" s="815"/>
      <c r="LJ241" s="815"/>
      <c r="LK241" s="815"/>
      <c r="LL241" s="815"/>
      <c r="LM241" s="815"/>
      <c r="LN241" s="815"/>
      <c r="LO241" s="815"/>
      <c r="LP241" s="815"/>
      <c r="LQ241" s="815"/>
      <c r="LR241" s="815"/>
      <c r="LS241" s="815"/>
      <c r="LT241" s="815"/>
      <c r="LU241" s="815"/>
      <c r="LV241" s="815"/>
      <c r="LW241" s="815"/>
      <c r="LX241" s="815"/>
      <c r="LY241" s="815"/>
      <c r="LZ241" s="815"/>
      <c r="MA241" s="815"/>
      <c r="MB241" s="815"/>
      <c r="MC241" s="815"/>
      <c r="MD241" s="815"/>
      <c r="ME241" s="815"/>
      <c r="MF241" s="815"/>
      <c r="MG241" s="815"/>
      <c r="MH241" s="815"/>
      <c r="MI241" s="815"/>
      <c r="MJ241" s="815"/>
      <c r="MK241" s="815"/>
      <c r="ML241" s="815"/>
      <c r="MM241" s="815"/>
      <c r="MN241" s="815"/>
      <c r="MO241" s="815"/>
      <c r="MP241" s="815"/>
      <c r="MQ241" s="815"/>
      <c r="MR241" s="815"/>
      <c r="MS241" s="815"/>
      <c r="MT241" s="815"/>
      <c r="MU241" s="815"/>
      <c r="MV241" s="815"/>
      <c r="MW241" s="815"/>
      <c r="MX241" s="815"/>
      <c r="MY241" s="815"/>
      <c r="MZ241" s="815"/>
      <c r="NA241" s="815"/>
      <c r="NB241" s="815"/>
      <c r="NC241" s="815"/>
      <c r="ND241" s="815"/>
      <c r="NE241" s="815"/>
      <c r="NF241" s="815"/>
      <c r="NG241" s="815"/>
      <c r="NH241" s="815"/>
      <c r="NI241" s="815"/>
      <c r="NJ241" s="815"/>
      <c r="NK241" s="815"/>
      <c r="NL241" s="815"/>
      <c r="NM241" s="815"/>
      <c r="NN241" s="815"/>
      <c r="NO241" s="815"/>
      <c r="NP241" s="815"/>
      <c r="NQ241" s="815"/>
      <c r="NR241" s="815"/>
      <c r="NS241" s="815"/>
      <c r="NT241" s="815"/>
      <c r="NU241" s="815"/>
      <c r="NV241" s="815"/>
      <c r="NW241" s="815"/>
      <c r="NX241" s="815"/>
      <c r="NY241" s="815"/>
      <c r="NZ241" s="815"/>
      <c r="OA241" s="815"/>
      <c r="OB241" s="815"/>
      <c r="OC241" s="815"/>
      <c r="OD241" s="815"/>
      <c r="OE241" s="815"/>
      <c r="OF241" s="815"/>
      <c r="OG241" s="815"/>
      <c r="OH241" s="815"/>
      <c r="OI241" s="815"/>
      <c r="OJ241" s="815"/>
      <c r="OK241" s="815"/>
      <c r="OL241" s="815"/>
      <c r="OM241" s="815"/>
      <c r="ON241" s="815"/>
      <c r="OO241" s="815"/>
      <c r="OP241" s="815"/>
      <c r="OQ241" s="815"/>
      <c r="OR241" s="815"/>
      <c r="OS241" s="815"/>
      <c r="OT241" s="815"/>
      <c r="OU241" s="815"/>
      <c r="OV241" s="815"/>
      <c r="OW241" s="815"/>
      <c r="OX241" s="815"/>
      <c r="OY241" s="815"/>
      <c r="OZ241" s="815"/>
      <c r="PA241" s="815"/>
      <c r="PB241" s="815"/>
      <c r="PC241" s="815"/>
      <c r="PD241" s="815"/>
      <c r="PE241" s="815"/>
      <c r="PF241" s="815"/>
      <c r="PG241" s="815"/>
      <c r="PH241" s="815"/>
      <c r="PI241" s="815"/>
      <c r="PJ241" s="815"/>
      <c r="PK241" s="815"/>
      <c r="PL241" s="815"/>
      <c r="PM241" s="815"/>
      <c r="PN241" s="815"/>
      <c r="PO241" s="815"/>
      <c r="PP241" s="815"/>
      <c r="PQ241" s="815"/>
      <c r="PR241" s="815"/>
      <c r="PS241" s="815"/>
      <c r="PT241" s="815"/>
      <c r="PU241" s="815"/>
      <c r="PV241" s="815"/>
      <c r="PW241" s="815"/>
      <c r="PX241" s="815"/>
      <c r="PY241" s="815"/>
      <c r="PZ241" s="815"/>
      <c r="QA241" s="815"/>
      <c r="QB241" s="815"/>
      <c r="QC241" s="815"/>
      <c r="QD241" s="815"/>
      <c r="QE241" s="815"/>
      <c r="QF241" s="815"/>
      <c r="QG241" s="815"/>
      <c r="QH241" s="815"/>
      <c r="QI241" s="815"/>
      <c r="QJ241" s="815"/>
      <c r="QK241" s="815"/>
      <c r="QL241" s="815"/>
      <c r="QM241" s="815"/>
      <c r="QN241" s="815"/>
      <c r="QO241" s="815"/>
      <c r="QP241" s="815"/>
      <c r="QQ241" s="815"/>
      <c r="QR241" s="815"/>
      <c r="QS241" s="815"/>
      <c r="QT241" s="815"/>
      <c r="QU241" s="815"/>
      <c r="QV241" s="815"/>
      <c r="QW241" s="815"/>
      <c r="QX241" s="815"/>
      <c r="QY241" s="815"/>
      <c r="QZ241" s="815"/>
      <c r="RA241" s="815"/>
      <c r="RB241" s="815"/>
      <c r="RC241" s="815"/>
      <c r="RD241" s="815"/>
      <c r="RE241" s="815"/>
      <c r="RF241" s="815"/>
      <c r="RG241" s="815"/>
      <c r="RH241" s="815"/>
      <c r="RI241" s="815"/>
      <c r="RJ241" s="815"/>
      <c r="RK241" s="815"/>
      <c r="RL241" s="815"/>
      <c r="RM241" s="815"/>
      <c r="RN241" s="815"/>
      <c r="RO241" s="815"/>
      <c r="RP241" s="815"/>
      <c r="RQ241" s="815"/>
      <c r="RR241" s="815"/>
      <c r="RS241" s="815"/>
      <c r="RT241" s="815"/>
      <c r="RU241" s="815"/>
      <c r="RV241" s="815"/>
      <c r="RW241" s="815"/>
      <c r="RX241" s="815"/>
      <c r="RY241" s="815"/>
      <c r="RZ241" s="815"/>
      <c r="SA241" s="815"/>
      <c r="SB241" s="815"/>
      <c r="SC241" s="815"/>
      <c r="SD241" s="815"/>
      <c r="SE241" s="815"/>
      <c r="SF241" s="815"/>
      <c r="SG241" s="815"/>
      <c r="SH241" s="815"/>
      <c r="SI241" s="815"/>
      <c r="SJ241" s="815"/>
      <c r="SK241" s="815"/>
      <c r="SL241" s="815"/>
      <c r="SM241" s="815"/>
      <c r="SN241" s="815"/>
      <c r="SO241" s="815"/>
      <c r="SP241" s="815"/>
      <c r="SQ241" s="815"/>
      <c r="SR241" s="815"/>
      <c r="SS241" s="815"/>
      <c r="ST241" s="815"/>
      <c r="SU241" s="815"/>
      <c r="SV241" s="815"/>
      <c r="SW241" s="815"/>
      <c r="SX241" s="815"/>
      <c r="SY241" s="815"/>
      <c r="SZ241" s="815"/>
      <c r="TA241" s="815"/>
      <c r="TB241" s="815"/>
      <c r="TC241" s="815"/>
      <c r="TD241" s="815"/>
      <c r="TE241" s="815"/>
      <c r="TF241" s="815"/>
      <c r="TG241" s="815"/>
      <c r="TH241" s="815"/>
      <c r="TI241" s="815"/>
      <c r="TJ241" s="815"/>
      <c r="TK241" s="815"/>
      <c r="TL241" s="815"/>
      <c r="TM241" s="815"/>
      <c r="TN241" s="815"/>
      <c r="TO241" s="815"/>
      <c r="TP241" s="815"/>
      <c r="TQ241" s="815"/>
      <c r="TR241" s="815"/>
      <c r="TS241" s="815"/>
      <c r="TT241" s="815"/>
      <c r="TU241" s="815"/>
      <c r="TV241" s="815"/>
      <c r="TW241" s="815"/>
      <c r="TX241" s="815"/>
      <c r="TY241" s="815"/>
      <c r="TZ241" s="815"/>
      <c r="UA241" s="815"/>
      <c r="UB241" s="815"/>
      <c r="UC241" s="815"/>
      <c r="UD241" s="815"/>
      <c r="UE241" s="815"/>
      <c r="UF241" s="815"/>
      <c r="UG241" s="815"/>
      <c r="UH241" s="815"/>
      <c r="UI241" s="815"/>
      <c r="UJ241" s="815"/>
      <c r="UK241" s="815"/>
      <c r="UL241" s="815"/>
      <c r="UM241" s="815"/>
      <c r="UN241" s="815"/>
      <c r="UO241" s="815"/>
      <c r="UP241" s="815"/>
      <c r="UQ241" s="815"/>
      <c r="UR241" s="815"/>
      <c r="US241" s="815"/>
      <c r="UT241" s="815"/>
      <c r="UU241" s="815"/>
      <c r="UV241" s="815"/>
      <c r="UW241" s="815"/>
      <c r="UX241" s="815"/>
      <c r="UY241" s="815"/>
      <c r="UZ241" s="815"/>
      <c r="VA241" s="815"/>
      <c r="VB241" s="815"/>
      <c r="VC241" s="815"/>
      <c r="VD241" s="815"/>
      <c r="VE241" s="815"/>
      <c r="VF241" s="815"/>
      <c r="VG241" s="815"/>
      <c r="VH241" s="815"/>
      <c r="VI241" s="815"/>
      <c r="VJ241" s="815"/>
      <c r="VK241" s="815"/>
      <c r="VL241" s="815"/>
      <c r="VM241" s="815"/>
      <c r="VN241" s="815"/>
      <c r="VO241" s="815"/>
      <c r="VP241" s="815"/>
      <c r="VQ241" s="815"/>
      <c r="VR241" s="815"/>
      <c r="VS241" s="815"/>
      <c r="VT241" s="815"/>
      <c r="VU241" s="815"/>
      <c r="VV241" s="815"/>
      <c r="VW241" s="815"/>
      <c r="VX241" s="815"/>
      <c r="VY241" s="815"/>
      <c r="VZ241" s="815"/>
      <c r="WA241" s="815"/>
      <c r="WB241" s="815"/>
      <c r="WC241" s="815"/>
      <c r="WD241" s="815"/>
      <c r="WE241" s="815"/>
      <c r="WF241" s="815"/>
      <c r="WG241" s="815"/>
      <c r="WH241" s="815"/>
      <c r="WI241" s="815"/>
      <c r="WJ241" s="815"/>
      <c r="WK241" s="815"/>
      <c r="WL241" s="815"/>
      <c r="WM241" s="815"/>
      <c r="WN241" s="815"/>
      <c r="WO241" s="815"/>
      <c r="WP241" s="815"/>
      <c r="WQ241" s="815"/>
      <c r="WR241" s="815"/>
      <c r="WS241" s="815"/>
      <c r="WT241" s="815"/>
      <c r="WU241" s="815"/>
      <c r="WV241" s="815"/>
      <c r="WW241" s="815"/>
      <c r="WX241" s="815"/>
      <c r="WY241" s="815"/>
      <c r="WZ241" s="815"/>
      <c r="XA241" s="815"/>
      <c r="XB241" s="815"/>
      <c r="XC241" s="815"/>
      <c r="XD241" s="815"/>
      <c r="XE241" s="815"/>
      <c r="XF241" s="815"/>
      <c r="XG241" s="815"/>
      <c r="XH241" s="815"/>
      <c r="XI241" s="815"/>
      <c r="XJ241" s="815"/>
      <c r="XK241" s="815"/>
      <c r="XL241" s="815"/>
      <c r="XM241" s="815"/>
      <c r="XN241" s="815"/>
      <c r="XO241" s="815"/>
      <c r="XP241" s="815"/>
      <c r="XQ241" s="815"/>
      <c r="XR241" s="815"/>
      <c r="XS241" s="815"/>
      <c r="XT241" s="815"/>
      <c r="XU241" s="815"/>
      <c r="XV241" s="815"/>
      <c r="XW241" s="815"/>
      <c r="XX241" s="815"/>
      <c r="XY241" s="815"/>
      <c r="XZ241" s="815"/>
      <c r="YA241" s="815"/>
      <c r="YB241" s="815"/>
      <c r="YC241" s="815"/>
      <c r="YD241" s="815"/>
      <c r="YE241" s="815"/>
      <c r="YF241" s="815"/>
      <c r="YG241" s="815"/>
      <c r="YH241" s="815"/>
      <c r="YI241" s="815"/>
      <c r="YJ241" s="815"/>
      <c r="YK241" s="815"/>
      <c r="YL241" s="815"/>
      <c r="YM241" s="815"/>
      <c r="YN241" s="815"/>
      <c r="YO241" s="815"/>
      <c r="YP241" s="815"/>
      <c r="YQ241" s="815"/>
      <c r="YR241" s="815"/>
      <c r="YS241" s="815"/>
      <c r="YT241" s="815"/>
      <c r="YU241" s="815"/>
      <c r="YV241" s="815"/>
      <c r="YW241" s="815"/>
      <c r="YX241" s="815"/>
      <c r="YY241" s="815"/>
      <c r="YZ241" s="815"/>
      <c r="ZA241" s="815"/>
      <c r="ZB241" s="815"/>
      <c r="ZC241" s="815"/>
      <c r="ZD241" s="815"/>
      <c r="ZE241" s="815"/>
      <c r="ZF241" s="815"/>
      <c r="ZG241" s="815"/>
      <c r="ZH241" s="815"/>
      <c r="ZI241" s="815"/>
      <c r="ZJ241" s="815"/>
      <c r="ZK241" s="815"/>
      <c r="ZL241" s="815"/>
      <c r="ZM241" s="815"/>
      <c r="ZN241" s="815"/>
      <c r="ZO241" s="815"/>
      <c r="ZP241" s="815"/>
      <c r="ZQ241" s="815"/>
      <c r="ZR241" s="815"/>
      <c r="ZS241" s="815"/>
      <c r="ZT241" s="815"/>
      <c r="ZU241" s="815"/>
      <c r="ZV241" s="815"/>
      <c r="ZW241" s="815"/>
      <c r="ZX241" s="815"/>
      <c r="ZY241" s="815"/>
      <c r="ZZ241" s="815"/>
      <c r="AAA241" s="815"/>
      <c r="AAB241" s="815"/>
      <c r="AAC241" s="815"/>
      <c r="AAD241" s="815"/>
      <c r="AAE241" s="815"/>
      <c r="AAF241" s="815"/>
      <c r="AAG241" s="815"/>
      <c r="AAH241" s="815"/>
      <c r="AAI241" s="815"/>
      <c r="AAJ241" s="815"/>
      <c r="AAK241" s="815"/>
      <c r="AAL241" s="815"/>
      <c r="AAM241" s="815"/>
      <c r="AAN241" s="815"/>
      <c r="AAO241" s="815"/>
      <c r="AAP241" s="815"/>
      <c r="AAQ241" s="815"/>
      <c r="AAR241" s="815"/>
      <c r="AAS241" s="815"/>
      <c r="AAT241" s="815"/>
      <c r="AAU241" s="815"/>
      <c r="AAV241" s="815"/>
      <c r="AAW241" s="815"/>
      <c r="AAX241" s="815"/>
      <c r="AAY241" s="815"/>
      <c r="AAZ241" s="815"/>
      <c r="ABA241" s="815"/>
      <c r="ABB241" s="815"/>
      <c r="ABC241" s="815"/>
      <c r="ABD241" s="815"/>
      <c r="ABE241" s="815"/>
      <c r="ABF241" s="815"/>
      <c r="ABG241" s="815"/>
      <c r="ABH241" s="815"/>
      <c r="ABI241" s="815"/>
      <c r="ABJ241" s="815"/>
      <c r="ABK241" s="815"/>
      <c r="ABL241" s="815"/>
      <c r="ABM241" s="815"/>
      <c r="ABN241" s="815"/>
      <c r="ABO241" s="815"/>
      <c r="ABP241" s="815"/>
      <c r="ABQ241" s="815"/>
      <c r="ABR241" s="815"/>
      <c r="ABS241" s="815"/>
      <c r="ABT241" s="815"/>
      <c r="ABU241" s="815"/>
      <c r="ABV241" s="815"/>
      <c r="ABW241" s="815"/>
      <c r="ABX241" s="815"/>
      <c r="ABY241" s="815"/>
      <c r="ABZ241" s="815"/>
      <c r="ACA241" s="815"/>
      <c r="ACB241" s="815"/>
      <c r="ACC241" s="815"/>
      <c r="ACD241" s="815"/>
      <c r="ACE241" s="815"/>
      <c r="ACF241" s="815"/>
      <c r="ACG241" s="815"/>
      <c r="ACH241" s="815"/>
      <c r="ACI241" s="815"/>
      <c r="ACJ241" s="815"/>
      <c r="ACK241" s="815"/>
      <c r="ACL241" s="815"/>
      <c r="ACM241" s="815"/>
      <c r="ACN241" s="815"/>
      <c r="ACO241" s="815"/>
      <c r="ACP241" s="815"/>
      <c r="ACQ241" s="815"/>
      <c r="ACR241" s="815"/>
      <c r="ACS241" s="815"/>
      <c r="ACT241" s="815"/>
      <c r="ACU241" s="815"/>
      <c r="ACV241" s="815"/>
      <c r="ACW241" s="815"/>
      <c r="ACX241" s="815"/>
      <c r="ACY241" s="815"/>
      <c r="ACZ241" s="815"/>
      <c r="ADA241" s="815"/>
      <c r="ADB241" s="815"/>
      <c r="ADC241" s="815"/>
      <c r="ADD241" s="815"/>
      <c r="ADE241" s="815"/>
      <c r="ADF241" s="815"/>
      <c r="ADG241" s="815"/>
      <c r="ADH241" s="815"/>
      <c r="ADI241" s="815"/>
      <c r="ADJ241" s="815"/>
      <c r="ADK241" s="815"/>
      <c r="ADL241" s="815"/>
      <c r="ADM241" s="815"/>
      <c r="ADN241" s="815"/>
      <c r="ADO241" s="815"/>
      <c r="ADP241" s="815"/>
      <c r="ADQ241" s="815"/>
      <c r="ADR241" s="815"/>
      <c r="ADS241" s="815"/>
      <c r="ADT241" s="815"/>
      <c r="ADU241" s="815"/>
      <c r="ADV241" s="815"/>
      <c r="ADW241" s="815"/>
      <c r="ADX241" s="815"/>
      <c r="ADY241" s="815"/>
      <c r="ADZ241" s="815"/>
      <c r="AEA241" s="815"/>
      <c r="AEB241" s="815"/>
      <c r="AEC241" s="815"/>
      <c r="AED241" s="815"/>
      <c r="AEE241" s="815"/>
      <c r="AEF241" s="815"/>
      <c r="AEG241" s="815"/>
      <c r="AEH241" s="815"/>
      <c r="AEI241" s="815"/>
      <c r="AEJ241" s="815"/>
      <c r="AEK241" s="815"/>
      <c r="AEL241" s="815"/>
      <c r="AEM241" s="815"/>
      <c r="AEN241" s="815"/>
      <c r="AEO241" s="815"/>
      <c r="AEP241" s="815"/>
      <c r="AEQ241" s="815"/>
      <c r="AER241" s="815"/>
      <c r="AES241" s="815"/>
      <c r="AET241" s="815"/>
      <c r="AEU241" s="815"/>
      <c r="AEV241" s="815"/>
      <c r="AEW241" s="815"/>
      <c r="AEX241" s="815"/>
      <c r="AEY241" s="815"/>
      <c r="AEZ241" s="815"/>
      <c r="AFA241" s="815"/>
      <c r="AFB241" s="815"/>
      <c r="AFC241" s="815"/>
      <c r="AFD241" s="815"/>
      <c r="AFE241" s="815"/>
      <c r="AFF241" s="815"/>
      <c r="AFG241" s="815"/>
      <c r="AFH241" s="815"/>
      <c r="AFI241" s="815"/>
      <c r="AFJ241" s="815"/>
      <c r="AFK241" s="815"/>
      <c r="AFL241" s="815"/>
      <c r="AFM241" s="815"/>
      <c r="AFN241" s="815"/>
      <c r="AFO241" s="815"/>
      <c r="AFP241" s="815"/>
      <c r="AFQ241" s="815"/>
      <c r="AFR241" s="815"/>
      <c r="AFS241" s="815"/>
      <c r="AFT241" s="815"/>
      <c r="AFU241" s="815"/>
      <c r="AFV241" s="815"/>
      <c r="AFW241" s="815"/>
      <c r="AFX241" s="815"/>
      <c r="AFY241" s="815"/>
      <c r="AFZ241" s="815"/>
      <c r="AGA241" s="815"/>
      <c r="AGB241" s="815"/>
      <c r="AGC241" s="815"/>
      <c r="AGD241" s="815"/>
      <c r="AGE241" s="815"/>
      <c r="AGF241" s="815"/>
      <c r="AGG241" s="815"/>
      <c r="AGH241" s="815"/>
      <c r="AGI241" s="815"/>
      <c r="AGJ241" s="815"/>
    </row>
    <row r="242" spans="1:868" s="816" customFormat="1">
      <c r="A242" s="68" t="str">
        <f>Clothing!A430</f>
        <v>Clothing (product sector)</v>
      </c>
      <c r="B242" s="304" t="str">
        <f>Clothing!B430</f>
        <v>Dresses skirts and jumpsuits</v>
      </c>
      <c r="C242" s="69" t="str">
        <f>Clothing!C430</f>
        <v>EU</v>
      </c>
      <c r="D242" s="823" t="str">
        <f>Clothing!D430</f>
        <v>OTHER</v>
      </c>
      <c r="E242" s="69">
        <f>Clothing!E430</f>
        <v>1.3613259999999999E-3</v>
      </c>
      <c r="F242" s="823">
        <f>Clothing!F430</f>
        <v>1</v>
      </c>
      <c r="G242" s="69" t="str">
        <f>Clothing!G430</f>
        <v>https://eeb.org/library/draft-product-environmental-footprint-category-rules-pefcr-apparel-and-footwear/</v>
      </c>
      <c r="H242" s="1188"/>
      <c r="I242" s="307">
        <f>Clothing!I430</f>
        <v>1</v>
      </c>
      <c r="J242" s="307">
        <f>Clothing!J430</f>
        <v>2</v>
      </c>
      <c r="K242" s="307">
        <f>Clothing!K430</f>
        <v>1</v>
      </c>
      <c r="L242" s="307">
        <f>Clothing!L430</f>
        <v>2</v>
      </c>
      <c r="M242" s="307">
        <f>Clothing!M430</f>
        <v>2</v>
      </c>
      <c r="N242" s="616" t="str">
        <f>IF( OR( ISBLANK(H242),ISBLANK(J242), ISBLANK(K242), ISBLANK(L242), ISBLANK(M242) ), "", 1.5*SQRT(   EXP(2.21*(H242-1)) + EXP(2.21*(J242-1)) + EXP(2.21*(K242-1)) + EXP(2.21*(L242-1)) + EXP(2.21*M242)   )/100*2.45 )</f>
        <v/>
      </c>
      <c r="O242" s="1282">
        <f>IF( OR( ISBLANK(I242),ISBLANK(J242), ISBLANK(K242), ISBLANK(L242), ISBLANK(M242) ), "", 1.5*SQRT( EXP(2.21*(I242-1)) + EXP(2.21*(J242-1)) + EXP(2.21*(K242-1)) + EXP(2.21*(L242-1)) + EXP(2.21*M242)   )/100*2.45 )</f>
        <v>0.37356464144298934</v>
      </c>
      <c r="P242" s="68"/>
      <c r="Q242" s="815"/>
      <c r="R242" s="815"/>
      <c r="S242" s="815"/>
      <c r="T242" s="815"/>
      <c r="U242" s="815"/>
      <c r="V242" s="815"/>
      <c r="W242" s="815"/>
      <c r="X242" s="815"/>
      <c r="Y242" s="815"/>
      <c r="Z242" s="815"/>
      <c r="AA242" s="815"/>
      <c r="AB242" s="815"/>
      <c r="AC242" s="815"/>
      <c r="AD242" s="815"/>
      <c r="AE242" s="815"/>
      <c r="AF242" s="815"/>
      <c r="AG242" s="815"/>
      <c r="AH242" s="815"/>
      <c r="AI242" s="815"/>
      <c r="AJ242" s="815"/>
      <c r="AK242" s="815"/>
      <c r="AL242" s="815"/>
      <c r="AM242" s="815"/>
      <c r="AN242" s="815"/>
      <c r="AO242" s="815"/>
      <c r="AP242" s="815"/>
      <c r="AQ242" s="815"/>
      <c r="AR242" s="815"/>
      <c r="AS242" s="815"/>
      <c r="AT242" s="815"/>
      <c r="AU242" s="815"/>
      <c r="AV242" s="815"/>
      <c r="AW242" s="815"/>
      <c r="AX242" s="815"/>
      <c r="AY242" s="815"/>
      <c r="AZ242" s="815"/>
      <c r="BA242" s="815"/>
      <c r="BB242" s="815"/>
      <c r="BC242" s="815"/>
      <c r="BD242" s="815"/>
      <c r="BE242" s="815"/>
      <c r="BF242" s="815"/>
      <c r="BG242" s="815"/>
      <c r="BH242" s="815"/>
      <c r="BI242" s="815"/>
      <c r="BJ242" s="815"/>
      <c r="BK242" s="815"/>
      <c r="BL242" s="815"/>
      <c r="BM242" s="815"/>
      <c r="BN242" s="815"/>
      <c r="BO242" s="815"/>
      <c r="BP242" s="815"/>
      <c r="BQ242" s="815"/>
      <c r="BR242" s="815"/>
      <c r="BS242" s="815"/>
      <c r="BT242" s="815"/>
      <c r="BU242" s="815"/>
      <c r="BV242" s="815"/>
      <c r="BW242" s="815"/>
      <c r="BX242" s="815"/>
      <c r="BY242" s="815"/>
      <c r="BZ242" s="815"/>
      <c r="CA242" s="815"/>
      <c r="CB242" s="815"/>
      <c r="CC242" s="815"/>
      <c r="CD242" s="815"/>
      <c r="CE242" s="815"/>
      <c r="CF242" s="815"/>
      <c r="CG242" s="815"/>
      <c r="CH242" s="815"/>
      <c r="CI242" s="815"/>
      <c r="CJ242" s="815"/>
      <c r="CK242" s="815"/>
      <c r="CL242" s="815"/>
      <c r="CM242" s="815"/>
      <c r="CN242" s="815"/>
      <c r="CO242" s="815"/>
      <c r="CP242" s="815"/>
      <c r="CQ242" s="815"/>
      <c r="CR242" s="815"/>
      <c r="CS242" s="815"/>
      <c r="CT242" s="815"/>
      <c r="CU242" s="815"/>
      <c r="CV242" s="815"/>
      <c r="CW242" s="815"/>
      <c r="CX242" s="815"/>
      <c r="CY242" s="815"/>
      <c r="CZ242" s="815"/>
      <c r="DA242" s="815"/>
      <c r="DB242" s="815"/>
      <c r="DC242" s="815"/>
      <c r="DD242" s="815"/>
      <c r="DE242" s="815"/>
      <c r="DF242" s="815"/>
      <c r="DG242" s="815"/>
      <c r="DH242" s="815"/>
      <c r="DI242" s="815"/>
      <c r="DJ242" s="815"/>
      <c r="DK242" s="815"/>
      <c r="DL242" s="815"/>
      <c r="DM242" s="815"/>
      <c r="DN242" s="815"/>
      <c r="DO242" s="815"/>
      <c r="DP242" s="815"/>
      <c r="DQ242" s="815"/>
      <c r="DR242" s="815"/>
      <c r="DS242" s="815"/>
      <c r="DT242" s="815"/>
      <c r="DU242" s="815"/>
      <c r="DV242" s="815"/>
      <c r="DW242" s="815"/>
      <c r="DX242" s="815"/>
      <c r="DY242" s="815"/>
      <c r="DZ242" s="815"/>
      <c r="EA242" s="815"/>
      <c r="EB242" s="815"/>
      <c r="EC242" s="815"/>
      <c r="ED242" s="815"/>
      <c r="EE242" s="815"/>
      <c r="EF242" s="815"/>
      <c r="EG242" s="815"/>
      <c r="EH242" s="815"/>
      <c r="EI242" s="815"/>
      <c r="EJ242" s="815"/>
      <c r="EK242" s="815"/>
      <c r="EL242" s="815"/>
      <c r="EM242" s="815"/>
      <c r="EN242" s="815"/>
      <c r="EO242" s="815"/>
      <c r="EP242" s="815"/>
      <c r="EQ242" s="815"/>
      <c r="ER242" s="815"/>
      <c r="ES242" s="815"/>
      <c r="ET242" s="815"/>
      <c r="EU242" s="815"/>
      <c r="EV242" s="815"/>
      <c r="EW242" s="815"/>
      <c r="EX242" s="815"/>
      <c r="EY242" s="815"/>
      <c r="EZ242" s="815"/>
      <c r="FA242" s="815"/>
      <c r="FB242" s="815"/>
      <c r="FC242" s="815"/>
      <c r="FD242" s="815"/>
      <c r="FE242" s="815"/>
      <c r="FF242" s="815"/>
      <c r="FG242" s="815"/>
      <c r="FH242" s="815"/>
      <c r="FI242" s="815"/>
      <c r="FJ242" s="815"/>
      <c r="FK242" s="815"/>
      <c r="FL242" s="815"/>
      <c r="FM242" s="815"/>
      <c r="FN242" s="815"/>
      <c r="FO242" s="815"/>
      <c r="FP242" s="815"/>
      <c r="FQ242" s="815"/>
      <c r="FR242" s="815"/>
      <c r="FS242" s="815"/>
      <c r="FT242" s="815"/>
      <c r="FU242" s="815"/>
      <c r="FV242" s="815"/>
      <c r="FW242" s="815"/>
      <c r="FX242" s="815"/>
      <c r="FY242" s="815"/>
      <c r="FZ242" s="815"/>
      <c r="GA242" s="815"/>
      <c r="GB242" s="815"/>
      <c r="GC242" s="815"/>
      <c r="GD242" s="815"/>
      <c r="GE242" s="815"/>
      <c r="GF242" s="815"/>
      <c r="GG242" s="815"/>
      <c r="GH242" s="815"/>
      <c r="GI242" s="815"/>
      <c r="GJ242" s="815"/>
      <c r="GK242" s="815"/>
      <c r="GL242" s="815"/>
      <c r="GM242" s="815"/>
      <c r="GN242" s="815"/>
      <c r="GO242" s="815"/>
      <c r="GP242" s="815"/>
      <c r="GQ242" s="815"/>
      <c r="GR242" s="815"/>
      <c r="GS242" s="815"/>
      <c r="GT242" s="815"/>
      <c r="GU242" s="815"/>
      <c r="GV242" s="815"/>
      <c r="GW242" s="815"/>
      <c r="GX242" s="815"/>
      <c r="GY242" s="815"/>
      <c r="GZ242" s="815"/>
      <c r="HA242" s="815"/>
      <c r="HB242" s="815"/>
      <c r="HC242" s="815"/>
      <c r="HD242" s="815"/>
      <c r="HE242" s="815"/>
      <c r="HF242" s="815"/>
      <c r="HG242" s="815"/>
      <c r="HH242" s="815"/>
      <c r="HI242" s="815"/>
      <c r="HJ242" s="815"/>
      <c r="HK242" s="815"/>
      <c r="HL242" s="815"/>
      <c r="HM242" s="815"/>
      <c r="HN242" s="815"/>
      <c r="HO242" s="815"/>
      <c r="HP242" s="815"/>
      <c r="HQ242" s="815"/>
      <c r="HR242" s="815"/>
      <c r="HS242" s="815"/>
      <c r="HT242" s="815"/>
      <c r="HU242" s="815"/>
      <c r="HV242" s="815"/>
      <c r="HW242" s="815"/>
      <c r="HX242" s="815"/>
      <c r="HY242" s="815"/>
      <c r="HZ242" s="815"/>
      <c r="IA242" s="815"/>
      <c r="IB242" s="815"/>
      <c r="IC242" s="815"/>
      <c r="ID242" s="815"/>
      <c r="IE242" s="815"/>
      <c r="IF242" s="815"/>
      <c r="IG242" s="815"/>
      <c r="IH242" s="815"/>
      <c r="II242" s="815"/>
      <c r="IJ242" s="815"/>
      <c r="IK242" s="815"/>
      <c r="IL242" s="815"/>
      <c r="IM242" s="815"/>
      <c r="IN242" s="815"/>
      <c r="IO242" s="815"/>
      <c r="IP242" s="815"/>
      <c r="IQ242" s="815"/>
      <c r="IR242" s="815"/>
      <c r="IS242" s="815"/>
      <c r="IT242" s="815"/>
      <c r="IU242" s="815"/>
      <c r="IV242" s="815"/>
      <c r="IW242" s="815"/>
      <c r="IX242" s="815"/>
      <c r="IY242" s="815"/>
      <c r="IZ242" s="815"/>
      <c r="JA242" s="815"/>
      <c r="JB242" s="815"/>
      <c r="JC242" s="815"/>
      <c r="JD242" s="815"/>
      <c r="JE242" s="815"/>
      <c r="JF242" s="815"/>
      <c r="JG242" s="815"/>
      <c r="JH242" s="815"/>
      <c r="JI242" s="815"/>
      <c r="JJ242" s="815"/>
      <c r="JK242" s="815"/>
      <c r="JL242" s="815"/>
      <c r="JM242" s="815"/>
      <c r="JN242" s="815"/>
      <c r="JO242" s="815"/>
      <c r="JP242" s="815"/>
      <c r="JQ242" s="815"/>
      <c r="JR242" s="815"/>
      <c r="JS242" s="815"/>
      <c r="JT242" s="815"/>
      <c r="JU242" s="815"/>
      <c r="JV242" s="815"/>
      <c r="JW242" s="815"/>
      <c r="JX242" s="815"/>
      <c r="JY242" s="815"/>
      <c r="JZ242" s="815"/>
      <c r="KA242" s="815"/>
      <c r="KB242" s="815"/>
      <c r="KC242" s="815"/>
      <c r="KD242" s="815"/>
      <c r="KE242" s="815"/>
      <c r="KF242" s="815"/>
      <c r="KG242" s="815"/>
      <c r="KH242" s="815"/>
      <c r="KI242" s="815"/>
      <c r="KJ242" s="815"/>
      <c r="KK242" s="815"/>
      <c r="KL242" s="815"/>
      <c r="KM242" s="815"/>
      <c r="KN242" s="815"/>
      <c r="KO242" s="815"/>
      <c r="KP242" s="815"/>
      <c r="KQ242" s="815"/>
      <c r="KR242" s="815"/>
      <c r="KS242" s="815"/>
      <c r="KT242" s="815"/>
      <c r="KU242" s="815"/>
      <c r="KV242" s="815"/>
      <c r="KW242" s="815"/>
      <c r="KX242" s="815"/>
      <c r="KY242" s="815"/>
      <c r="KZ242" s="815"/>
      <c r="LA242" s="815"/>
      <c r="LB242" s="815"/>
      <c r="LC242" s="815"/>
      <c r="LD242" s="815"/>
      <c r="LE242" s="815"/>
      <c r="LF242" s="815"/>
      <c r="LG242" s="815"/>
      <c r="LH242" s="815"/>
      <c r="LI242" s="815"/>
      <c r="LJ242" s="815"/>
      <c r="LK242" s="815"/>
      <c r="LL242" s="815"/>
      <c r="LM242" s="815"/>
      <c r="LN242" s="815"/>
      <c r="LO242" s="815"/>
      <c r="LP242" s="815"/>
      <c r="LQ242" s="815"/>
      <c r="LR242" s="815"/>
      <c r="LS242" s="815"/>
      <c r="LT242" s="815"/>
      <c r="LU242" s="815"/>
      <c r="LV242" s="815"/>
      <c r="LW242" s="815"/>
      <c r="LX242" s="815"/>
      <c r="LY242" s="815"/>
      <c r="LZ242" s="815"/>
      <c r="MA242" s="815"/>
      <c r="MB242" s="815"/>
      <c r="MC242" s="815"/>
      <c r="MD242" s="815"/>
      <c r="ME242" s="815"/>
      <c r="MF242" s="815"/>
      <c r="MG242" s="815"/>
      <c r="MH242" s="815"/>
      <c r="MI242" s="815"/>
      <c r="MJ242" s="815"/>
      <c r="MK242" s="815"/>
      <c r="ML242" s="815"/>
      <c r="MM242" s="815"/>
      <c r="MN242" s="815"/>
      <c r="MO242" s="815"/>
      <c r="MP242" s="815"/>
      <c r="MQ242" s="815"/>
      <c r="MR242" s="815"/>
      <c r="MS242" s="815"/>
      <c r="MT242" s="815"/>
      <c r="MU242" s="815"/>
      <c r="MV242" s="815"/>
      <c r="MW242" s="815"/>
      <c r="MX242" s="815"/>
      <c r="MY242" s="815"/>
      <c r="MZ242" s="815"/>
      <c r="NA242" s="815"/>
      <c r="NB242" s="815"/>
      <c r="NC242" s="815"/>
      <c r="ND242" s="815"/>
      <c r="NE242" s="815"/>
      <c r="NF242" s="815"/>
      <c r="NG242" s="815"/>
      <c r="NH242" s="815"/>
      <c r="NI242" s="815"/>
      <c r="NJ242" s="815"/>
      <c r="NK242" s="815"/>
      <c r="NL242" s="815"/>
      <c r="NM242" s="815"/>
      <c r="NN242" s="815"/>
      <c r="NO242" s="815"/>
      <c r="NP242" s="815"/>
      <c r="NQ242" s="815"/>
      <c r="NR242" s="815"/>
      <c r="NS242" s="815"/>
      <c r="NT242" s="815"/>
      <c r="NU242" s="815"/>
      <c r="NV242" s="815"/>
      <c r="NW242" s="815"/>
      <c r="NX242" s="815"/>
      <c r="NY242" s="815"/>
      <c r="NZ242" s="815"/>
      <c r="OA242" s="815"/>
      <c r="OB242" s="815"/>
      <c r="OC242" s="815"/>
      <c r="OD242" s="815"/>
      <c r="OE242" s="815"/>
      <c r="OF242" s="815"/>
      <c r="OG242" s="815"/>
      <c r="OH242" s="815"/>
      <c r="OI242" s="815"/>
      <c r="OJ242" s="815"/>
      <c r="OK242" s="815"/>
      <c r="OL242" s="815"/>
      <c r="OM242" s="815"/>
      <c r="ON242" s="815"/>
      <c r="OO242" s="815"/>
      <c r="OP242" s="815"/>
      <c r="OQ242" s="815"/>
      <c r="OR242" s="815"/>
      <c r="OS242" s="815"/>
      <c r="OT242" s="815"/>
      <c r="OU242" s="815"/>
      <c r="OV242" s="815"/>
      <c r="OW242" s="815"/>
      <c r="OX242" s="815"/>
      <c r="OY242" s="815"/>
      <c r="OZ242" s="815"/>
      <c r="PA242" s="815"/>
      <c r="PB242" s="815"/>
      <c r="PC242" s="815"/>
      <c r="PD242" s="815"/>
      <c r="PE242" s="815"/>
      <c r="PF242" s="815"/>
      <c r="PG242" s="815"/>
      <c r="PH242" s="815"/>
      <c r="PI242" s="815"/>
      <c r="PJ242" s="815"/>
      <c r="PK242" s="815"/>
      <c r="PL242" s="815"/>
      <c r="PM242" s="815"/>
      <c r="PN242" s="815"/>
      <c r="PO242" s="815"/>
      <c r="PP242" s="815"/>
      <c r="PQ242" s="815"/>
      <c r="PR242" s="815"/>
      <c r="PS242" s="815"/>
      <c r="PT242" s="815"/>
      <c r="PU242" s="815"/>
      <c r="PV242" s="815"/>
      <c r="PW242" s="815"/>
      <c r="PX242" s="815"/>
      <c r="PY242" s="815"/>
      <c r="PZ242" s="815"/>
      <c r="QA242" s="815"/>
      <c r="QB242" s="815"/>
      <c r="QC242" s="815"/>
      <c r="QD242" s="815"/>
      <c r="QE242" s="815"/>
      <c r="QF242" s="815"/>
      <c r="QG242" s="815"/>
      <c r="QH242" s="815"/>
      <c r="QI242" s="815"/>
      <c r="QJ242" s="815"/>
      <c r="QK242" s="815"/>
      <c r="QL242" s="815"/>
      <c r="QM242" s="815"/>
      <c r="QN242" s="815"/>
      <c r="QO242" s="815"/>
      <c r="QP242" s="815"/>
      <c r="QQ242" s="815"/>
      <c r="QR242" s="815"/>
      <c r="QS242" s="815"/>
      <c r="QT242" s="815"/>
      <c r="QU242" s="815"/>
      <c r="QV242" s="815"/>
      <c r="QW242" s="815"/>
      <c r="QX242" s="815"/>
      <c r="QY242" s="815"/>
      <c r="QZ242" s="815"/>
      <c r="RA242" s="815"/>
      <c r="RB242" s="815"/>
      <c r="RC242" s="815"/>
      <c r="RD242" s="815"/>
      <c r="RE242" s="815"/>
      <c r="RF242" s="815"/>
      <c r="RG242" s="815"/>
      <c r="RH242" s="815"/>
      <c r="RI242" s="815"/>
      <c r="RJ242" s="815"/>
      <c r="RK242" s="815"/>
      <c r="RL242" s="815"/>
      <c r="RM242" s="815"/>
      <c r="RN242" s="815"/>
      <c r="RO242" s="815"/>
      <c r="RP242" s="815"/>
      <c r="RQ242" s="815"/>
      <c r="RR242" s="815"/>
      <c r="RS242" s="815"/>
      <c r="RT242" s="815"/>
      <c r="RU242" s="815"/>
      <c r="RV242" s="815"/>
      <c r="RW242" s="815"/>
      <c r="RX242" s="815"/>
      <c r="RY242" s="815"/>
      <c r="RZ242" s="815"/>
      <c r="SA242" s="815"/>
      <c r="SB242" s="815"/>
      <c r="SC242" s="815"/>
      <c r="SD242" s="815"/>
      <c r="SE242" s="815"/>
      <c r="SF242" s="815"/>
      <c r="SG242" s="815"/>
      <c r="SH242" s="815"/>
      <c r="SI242" s="815"/>
      <c r="SJ242" s="815"/>
      <c r="SK242" s="815"/>
      <c r="SL242" s="815"/>
      <c r="SM242" s="815"/>
      <c r="SN242" s="815"/>
      <c r="SO242" s="815"/>
      <c r="SP242" s="815"/>
      <c r="SQ242" s="815"/>
      <c r="SR242" s="815"/>
      <c r="SS242" s="815"/>
      <c r="ST242" s="815"/>
      <c r="SU242" s="815"/>
      <c r="SV242" s="815"/>
      <c r="SW242" s="815"/>
      <c r="SX242" s="815"/>
      <c r="SY242" s="815"/>
      <c r="SZ242" s="815"/>
      <c r="TA242" s="815"/>
      <c r="TB242" s="815"/>
      <c r="TC242" s="815"/>
      <c r="TD242" s="815"/>
      <c r="TE242" s="815"/>
      <c r="TF242" s="815"/>
      <c r="TG242" s="815"/>
      <c r="TH242" s="815"/>
      <c r="TI242" s="815"/>
      <c r="TJ242" s="815"/>
      <c r="TK242" s="815"/>
      <c r="TL242" s="815"/>
      <c r="TM242" s="815"/>
      <c r="TN242" s="815"/>
      <c r="TO242" s="815"/>
      <c r="TP242" s="815"/>
      <c r="TQ242" s="815"/>
      <c r="TR242" s="815"/>
      <c r="TS242" s="815"/>
      <c r="TT242" s="815"/>
      <c r="TU242" s="815"/>
      <c r="TV242" s="815"/>
      <c r="TW242" s="815"/>
      <c r="TX242" s="815"/>
      <c r="TY242" s="815"/>
      <c r="TZ242" s="815"/>
      <c r="UA242" s="815"/>
      <c r="UB242" s="815"/>
      <c r="UC242" s="815"/>
      <c r="UD242" s="815"/>
      <c r="UE242" s="815"/>
      <c r="UF242" s="815"/>
      <c r="UG242" s="815"/>
      <c r="UH242" s="815"/>
      <c r="UI242" s="815"/>
      <c r="UJ242" s="815"/>
      <c r="UK242" s="815"/>
      <c r="UL242" s="815"/>
      <c r="UM242" s="815"/>
      <c r="UN242" s="815"/>
      <c r="UO242" s="815"/>
      <c r="UP242" s="815"/>
      <c r="UQ242" s="815"/>
      <c r="UR242" s="815"/>
      <c r="US242" s="815"/>
      <c r="UT242" s="815"/>
      <c r="UU242" s="815"/>
      <c r="UV242" s="815"/>
      <c r="UW242" s="815"/>
      <c r="UX242" s="815"/>
      <c r="UY242" s="815"/>
      <c r="UZ242" s="815"/>
      <c r="VA242" s="815"/>
      <c r="VB242" s="815"/>
      <c r="VC242" s="815"/>
      <c r="VD242" s="815"/>
      <c r="VE242" s="815"/>
      <c r="VF242" s="815"/>
      <c r="VG242" s="815"/>
      <c r="VH242" s="815"/>
      <c r="VI242" s="815"/>
      <c r="VJ242" s="815"/>
      <c r="VK242" s="815"/>
      <c r="VL242" s="815"/>
      <c r="VM242" s="815"/>
      <c r="VN242" s="815"/>
      <c r="VO242" s="815"/>
      <c r="VP242" s="815"/>
      <c r="VQ242" s="815"/>
      <c r="VR242" s="815"/>
      <c r="VS242" s="815"/>
      <c r="VT242" s="815"/>
      <c r="VU242" s="815"/>
      <c r="VV242" s="815"/>
      <c r="VW242" s="815"/>
      <c r="VX242" s="815"/>
      <c r="VY242" s="815"/>
      <c r="VZ242" s="815"/>
      <c r="WA242" s="815"/>
      <c r="WB242" s="815"/>
      <c r="WC242" s="815"/>
      <c r="WD242" s="815"/>
      <c r="WE242" s="815"/>
      <c r="WF242" s="815"/>
      <c r="WG242" s="815"/>
      <c r="WH242" s="815"/>
      <c r="WI242" s="815"/>
      <c r="WJ242" s="815"/>
      <c r="WK242" s="815"/>
      <c r="WL242" s="815"/>
      <c r="WM242" s="815"/>
      <c r="WN242" s="815"/>
      <c r="WO242" s="815"/>
      <c r="WP242" s="815"/>
      <c r="WQ242" s="815"/>
      <c r="WR242" s="815"/>
      <c r="WS242" s="815"/>
      <c r="WT242" s="815"/>
      <c r="WU242" s="815"/>
      <c r="WV242" s="815"/>
      <c r="WW242" s="815"/>
      <c r="WX242" s="815"/>
      <c r="WY242" s="815"/>
      <c r="WZ242" s="815"/>
      <c r="XA242" s="815"/>
      <c r="XB242" s="815"/>
      <c r="XC242" s="815"/>
      <c r="XD242" s="815"/>
      <c r="XE242" s="815"/>
      <c r="XF242" s="815"/>
      <c r="XG242" s="815"/>
      <c r="XH242" s="815"/>
      <c r="XI242" s="815"/>
      <c r="XJ242" s="815"/>
      <c r="XK242" s="815"/>
      <c r="XL242" s="815"/>
      <c r="XM242" s="815"/>
      <c r="XN242" s="815"/>
      <c r="XO242" s="815"/>
      <c r="XP242" s="815"/>
      <c r="XQ242" s="815"/>
      <c r="XR242" s="815"/>
      <c r="XS242" s="815"/>
      <c r="XT242" s="815"/>
      <c r="XU242" s="815"/>
      <c r="XV242" s="815"/>
      <c r="XW242" s="815"/>
      <c r="XX242" s="815"/>
      <c r="XY242" s="815"/>
      <c r="XZ242" s="815"/>
      <c r="YA242" s="815"/>
      <c r="YB242" s="815"/>
      <c r="YC242" s="815"/>
      <c r="YD242" s="815"/>
      <c r="YE242" s="815"/>
      <c r="YF242" s="815"/>
      <c r="YG242" s="815"/>
      <c r="YH242" s="815"/>
      <c r="YI242" s="815"/>
      <c r="YJ242" s="815"/>
      <c r="YK242" s="815"/>
      <c r="YL242" s="815"/>
      <c r="YM242" s="815"/>
      <c r="YN242" s="815"/>
      <c r="YO242" s="815"/>
      <c r="YP242" s="815"/>
      <c r="YQ242" s="815"/>
      <c r="YR242" s="815"/>
      <c r="YS242" s="815"/>
      <c r="YT242" s="815"/>
      <c r="YU242" s="815"/>
      <c r="YV242" s="815"/>
      <c r="YW242" s="815"/>
      <c r="YX242" s="815"/>
      <c r="YY242" s="815"/>
      <c r="YZ242" s="815"/>
      <c r="ZA242" s="815"/>
      <c r="ZB242" s="815"/>
      <c r="ZC242" s="815"/>
      <c r="ZD242" s="815"/>
      <c r="ZE242" s="815"/>
      <c r="ZF242" s="815"/>
      <c r="ZG242" s="815"/>
      <c r="ZH242" s="815"/>
      <c r="ZI242" s="815"/>
      <c r="ZJ242" s="815"/>
      <c r="ZK242" s="815"/>
      <c r="ZL242" s="815"/>
      <c r="ZM242" s="815"/>
      <c r="ZN242" s="815"/>
      <c r="ZO242" s="815"/>
      <c r="ZP242" s="815"/>
      <c r="ZQ242" s="815"/>
      <c r="ZR242" s="815"/>
      <c r="ZS242" s="815"/>
      <c r="ZT242" s="815"/>
      <c r="ZU242" s="815"/>
      <c r="ZV242" s="815"/>
      <c r="ZW242" s="815"/>
      <c r="ZX242" s="815"/>
      <c r="ZY242" s="815"/>
      <c r="ZZ242" s="815"/>
      <c r="AAA242" s="815"/>
      <c r="AAB242" s="815"/>
      <c r="AAC242" s="815"/>
      <c r="AAD242" s="815"/>
      <c r="AAE242" s="815"/>
      <c r="AAF242" s="815"/>
      <c r="AAG242" s="815"/>
      <c r="AAH242" s="815"/>
      <c r="AAI242" s="815"/>
      <c r="AAJ242" s="815"/>
      <c r="AAK242" s="815"/>
      <c r="AAL242" s="815"/>
      <c r="AAM242" s="815"/>
      <c r="AAN242" s="815"/>
      <c r="AAO242" s="815"/>
      <c r="AAP242" s="815"/>
      <c r="AAQ242" s="815"/>
      <c r="AAR242" s="815"/>
      <c r="AAS242" s="815"/>
      <c r="AAT242" s="815"/>
      <c r="AAU242" s="815"/>
      <c r="AAV242" s="815"/>
      <c r="AAW242" s="815"/>
      <c r="AAX242" s="815"/>
      <c r="AAY242" s="815"/>
      <c r="AAZ242" s="815"/>
      <c r="ABA242" s="815"/>
      <c r="ABB242" s="815"/>
      <c r="ABC242" s="815"/>
      <c r="ABD242" s="815"/>
      <c r="ABE242" s="815"/>
      <c r="ABF242" s="815"/>
      <c r="ABG242" s="815"/>
      <c r="ABH242" s="815"/>
      <c r="ABI242" s="815"/>
      <c r="ABJ242" s="815"/>
      <c r="ABK242" s="815"/>
      <c r="ABL242" s="815"/>
      <c r="ABM242" s="815"/>
      <c r="ABN242" s="815"/>
      <c r="ABO242" s="815"/>
      <c r="ABP242" s="815"/>
      <c r="ABQ242" s="815"/>
      <c r="ABR242" s="815"/>
      <c r="ABS242" s="815"/>
      <c r="ABT242" s="815"/>
      <c r="ABU242" s="815"/>
      <c r="ABV242" s="815"/>
      <c r="ABW242" s="815"/>
      <c r="ABX242" s="815"/>
      <c r="ABY242" s="815"/>
      <c r="ABZ242" s="815"/>
      <c r="ACA242" s="815"/>
      <c r="ACB242" s="815"/>
      <c r="ACC242" s="815"/>
      <c r="ACD242" s="815"/>
      <c r="ACE242" s="815"/>
      <c r="ACF242" s="815"/>
      <c r="ACG242" s="815"/>
      <c r="ACH242" s="815"/>
      <c r="ACI242" s="815"/>
      <c r="ACJ242" s="815"/>
      <c r="ACK242" s="815"/>
      <c r="ACL242" s="815"/>
      <c r="ACM242" s="815"/>
      <c r="ACN242" s="815"/>
      <c r="ACO242" s="815"/>
      <c r="ACP242" s="815"/>
      <c r="ACQ242" s="815"/>
      <c r="ACR242" s="815"/>
      <c r="ACS242" s="815"/>
      <c r="ACT242" s="815"/>
      <c r="ACU242" s="815"/>
      <c r="ACV242" s="815"/>
      <c r="ACW242" s="815"/>
      <c r="ACX242" s="815"/>
      <c r="ACY242" s="815"/>
      <c r="ACZ242" s="815"/>
      <c r="ADA242" s="815"/>
      <c r="ADB242" s="815"/>
      <c r="ADC242" s="815"/>
      <c r="ADD242" s="815"/>
      <c r="ADE242" s="815"/>
      <c r="ADF242" s="815"/>
      <c r="ADG242" s="815"/>
      <c r="ADH242" s="815"/>
      <c r="ADI242" s="815"/>
      <c r="ADJ242" s="815"/>
      <c r="ADK242" s="815"/>
      <c r="ADL242" s="815"/>
      <c r="ADM242" s="815"/>
      <c r="ADN242" s="815"/>
      <c r="ADO242" s="815"/>
      <c r="ADP242" s="815"/>
      <c r="ADQ242" s="815"/>
      <c r="ADR242" s="815"/>
      <c r="ADS242" s="815"/>
      <c r="ADT242" s="815"/>
      <c r="ADU242" s="815"/>
      <c r="ADV242" s="815"/>
      <c r="ADW242" s="815"/>
      <c r="ADX242" s="815"/>
      <c r="ADY242" s="815"/>
      <c r="ADZ242" s="815"/>
      <c r="AEA242" s="815"/>
      <c r="AEB242" s="815"/>
      <c r="AEC242" s="815"/>
      <c r="AED242" s="815"/>
      <c r="AEE242" s="815"/>
      <c r="AEF242" s="815"/>
      <c r="AEG242" s="815"/>
      <c r="AEH242" s="815"/>
      <c r="AEI242" s="815"/>
      <c r="AEJ242" s="815"/>
      <c r="AEK242" s="815"/>
      <c r="AEL242" s="815"/>
      <c r="AEM242" s="815"/>
      <c r="AEN242" s="815"/>
      <c r="AEO242" s="815"/>
      <c r="AEP242" s="815"/>
      <c r="AEQ242" s="815"/>
      <c r="AER242" s="815"/>
      <c r="AES242" s="815"/>
      <c r="AET242" s="815"/>
      <c r="AEU242" s="815"/>
      <c r="AEV242" s="815"/>
      <c r="AEW242" s="815"/>
      <c r="AEX242" s="815"/>
      <c r="AEY242" s="815"/>
      <c r="AEZ242" s="815"/>
      <c r="AFA242" s="815"/>
      <c r="AFB242" s="815"/>
      <c r="AFC242" s="815"/>
      <c r="AFD242" s="815"/>
      <c r="AFE242" s="815"/>
      <c r="AFF242" s="815"/>
      <c r="AFG242" s="815"/>
      <c r="AFH242" s="815"/>
      <c r="AFI242" s="815"/>
      <c r="AFJ242" s="815"/>
      <c r="AFK242" s="815"/>
      <c r="AFL242" s="815"/>
      <c r="AFM242" s="815"/>
      <c r="AFN242" s="815"/>
      <c r="AFO242" s="815"/>
      <c r="AFP242" s="815"/>
      <c r="AFQ242" s="815"/>
      <c r="AFR242" s="815"/>
      <c r="AFS242" s="815"/>
      <c r="AFT242" s="815"/>
      <c r="AFU242" s="815"/>
      <c r="AFV242" s="815"/>
      <c r="AFW242" s="815"/>
      <c r="AFX242" s="815"/>
      <c r="AFY242" s="815"/>
      <c r="AFZ242" s="815"/>
      <c r="AGA242" s="815"/>
      <c r="AGB242" s="815"/>
      <c r="AGC242" s="815"/>
      <c r="AGD242" s="815"/>
      <c r="AGE242" s="815"/>
      <c r="AGF242" s="815"/>
      <c r="AGG242" s="815"/>
      <c r="AGH242" s="815"/>
      <c r="AGI242" s="815"/>
      <c r="AGJ242" s="815"/>
    </row>
    <row r="243" spans="1:868" s="816" customFormat="1">
      <c r="A243" s="68" t="str">
        <f>Clothing!A431</f>
        <v>Clothing (product sector)</v>
      </c>
      <c r="B243" s="304" t="str">
        <f>Clothing!B431</f>
        <v>Dresses skirts and jumpsuits</v>
      </c>
      <c r="C243" s="69" t="str">
        <f>Clothing!C431</f>
        <v>EU</v>
      </c>
      <c r="D243" s="823" t="str">
        <f>Clothing!D431</f>
        <v>PA</v>
      </c>
      <c r="E243" s="69">
        <f>Clothing!E431</f>
        <v>2.6684098E-2</v>
      </c>
      <c r="F243" s="823">
        <f>Clothing!F431</f>
        <v>1</v>
      </c>
      <c r="G243" s="69" t="str">
        <f>Clothing!G431</f>
        <v>https://eeb.org/library/draft-product-environmental-footprint-category-rules-pefcr-apparel-and-footwear/</v>
      </c>
      <c r="H243" s="1188"/>
      <c r="I243" s="307">
        <f>Clothing!I431</f>
        <v>1</v>
      </c>
      <c r="J243" s="307">
        <f>Clothing!J431</f>
        <v>2</v>
      </c>
      <c r="K243" s="307">
        <f>Clothing!K431</f>
        <v>1</v>
      </c>
      <c r="L243" s="307">
        <f>Clothing!L431</f>
        <v>2</v>
      </c>
      <c r="M243" s="307">
        <f>Clothing!M431</f>
        <v>2</v>
      </c>
      <c r="N243" s="616" t="str">
        <f>IF( OR( ISBLANK(H243),ISBLANK(J243), ISBLANK(K243), ISBLANK(L243), ISBLANK(M243) ), "", 1.5*SQRT(   EXP(2.21*(H243-1)) + EXP(2.21*(J243-1)) + EXP(2.21*(K243-1)) + EXP(2.21*(L243-1)) + EXP(2.21*M243)   )/100*2.45 )</f>
        <v/>
      </c>
      <c r="O243" s="1282">
        <f>IF( OR( ISBLANK(I243),ISBLANK(J243), ISBLANK(K243), ISBLANK(L243), ISBLANK(M243) ), "", 1.5*SQRT( EXP(2.21*(I243-1)) + EXP(2.21*(J243-1)) + EXP(2.21*(K243-1)) + EXP(2.21*(L243-1)) + EXP(2.21*M243)   )/100*2.45 )</f>
        <v>0.37356464144298934</v>
      </c>
      <c r="P243" s="68"/>
      <c r="Q243" s="815"/>
      <c r="R243" s="815"/>
      <c r="S243" s="815"/>
      <c r="T243" s="815"/>
      <c r="U243" s="815"/>
      <c r="V243" s="815"/>
      <c r="W243" s="815"/>
      <c r="X243" s="815"/>
      <c r="Y243" s="815"/>
      <c r="Z243" s="815"/>
      <c r="AA243" s="815"/>
      <c r="AB243" s="815"/>
      <c r="AC243" s="815"/>
      <c r="AD243" s="815"/>
      <c r="AE243" s="815"/>
      <c r="AF243" s="815"/>
      <c r="AG243" s="815"/>
      <c r="AH243" s="815"/>
      <c r="AI243" s="815"/>
      <c r="AJ243" s="815"/>
      <c r="AK243" s="815"/>
      <c r="AL243" s="815"/>
      <c r="AM243" s="815"/>
      <c r="AN243" s="815"/>
      <c r="AO243" s="815"/>
      <c r="AP243" s="815"/>
      <c r="AQ243" s="815"/>
      <c r="AR243" s="815"/>
      <c r="AS243" s="815"/>
      <c r="AT243" s="815"/>
      <c r="AU243" s="815"/>
      <c r="AV243" s="815"/>
      <c r="AW243" s="815"/>
      <c r="AX243" s="815"/>
      <c r="AY243" s="815"/>
      <c r="AZ243" s="815"/>
      <c r="BA243" s="815"/>
      <c r="BB243" s="815"/>
      <c r="BC243" s="815"/>
      <c r="BD243" s="815"/>
      <c r="BE243" s="815"/>
      <c r="BF243" s="815"/>
      <c r="BG243" s="815"/>
      <c r="BH243" s="815"/>
      <c r="BI243" s="815"/>
      <c r="BJ243" s="815"/>
      <c r="BK243" s="815"/>
      <c r="BL243" s="815"/>
      <c r="BM243" s="815"/>
      <c r="BN243" s="815"/>
      <c r="BO243" s="815"/>
      <c r="BP243" s="815"/>
      <c r="BQ243" s="815"/>
      <c r="BR243" s="815"/>
      <c r="BS243" s="815"/>
      <c r="BT243" s="815"/>
      <c r="BU243" s="815"/>
      <c r="BV243" s="815"/>
      <c r="BW243" s="815"/>
      <c r="BX243" s="815"/>
      <c r="BY243" s="815"/>
      <c r="BZ243" s="815"/>
      <c r="CA243" s="815"/>
      <c r="CB243" s="815"/>
      <c r="CC243" s="815"/>
      <c r="CD243" s="815"/>
      <c r="CE243" s="815"/>
      <c r="CF243" s="815"/>
      <c r="CG243" s="815"/>
      <c r="CH243" s="815"/>
      <c r="CI243" s="815"/>
      <c r="CJ243" s="815"/>
      <c r="CK243" s="815"/>
      <c r="CL243" s="815"/>
      <c r="CM243" s="815"/>
      <c r="CN243" s="815"/>
      <c r="CO243" s="815"/>
      <c r="CP243" s="815"/>
      <c r="CQ243" s="815"/>
      <c r="CR243" s="815"/>
      <c r="CS243" s="815"/>
      <c r="CT243" s="815"/>
      <c r="CU243" s="815"/>
      <c r="CV243" s="815"/>
      <c r="CW243" s="815"/>
      <c r="CX243" s="815"/>
      <c r="CY243" s="815"/>
      <c r="CZ243" s="815"/>
      <c r="DA243" s="815"/>
      <c r="DB243" s="815"/>
      <c r="DC243" s="815"/>
      <c r="DD243" s="815"/>
      <c r="DE243" s="815"/>
      <c r="DF243" s="815"/>
      <c r="DG243" s="815"/>
      <c r="DH243" s="815"/>
      <c r="DI243" s="815"/>
      <c r="DJ243" s="815"/>
      <c r="DK243" s="815"/>
      <c r="DL243" s="815"/>
      <c r="DM243" s="815"/>
      <c r="DN243" s="815"/>
      <c r="DO243" s="815"/>
      <c r="DP243" s="815"/>
      <c r="DQ243" s="815"/>
      <c r="DR243" s="815"/>
      <c r="DS243" s="815"/>
      <c r="DT243" s="815"/>
      <c r="DU243" s="815"/>
      <c r="DV243" s="815"/>
      <c r="DW243" s="815"/>
      <c r="DX243" s="815"/>
      <c r="DY243" s="815"/>
      <c r="DZ243" s="815"/>
      <c r="EA243" s="815"/>
      <c r="EB243" s="815"/>
      <c r="EC243" s="815"/>
      <c r="ED243" s="815"/>
      <c r="EE243" s="815"/>
      <c r="EF243" s="815"/>
      <c r="EG243" s="815"/>
      <c r="EH243" s="815"/>
      <c r="EI243" s="815"/>
      <c r="EJ243" s="815"/>
      <c r="EK243" s="815"/>
      <c r="EL243" s="815"/>
      <c r="EM243" s="815"/>
      <c r="EN243" s="815"/>
      <c r="EO243" s="815"/>
      <c r="EP243" s="815"/>
      <c r="EQ243" s="815"/>
      <c r="ER243" s="815"/>
      <c r="ES243" s="815"/>
      <c r="ET243" s="815"/>
      <c r="EU243" s="815"/>
      <c r="EV243" s="815"/>
      <c r="EW243" s="815"/>
      <c r="EX243" s="815"/>
      <c r="EY243" s="815"/>
      <c r="EZ243" s="815"/>
      <c r="FA243" s="815"/>
      <c r="FB243" s="815"/>
      <c r="FC243" s="815"/>
      <c r="FD243" s="815"/>
      <c r="FE243" s="815"/>
      <c r="FF243" s="815"/>
      <c r="FG243" s="815"/>
      <c r="FH243" s="815"/>
      <c r="FI243" s="815"/>
      <c r="FJ243" s="815"/>
      <c r="FK243" s="815"/>
      <c r="FL243" s="815"/>
      <c r="FM243" s="815"/>
      <c r="FN243" s="815"/>
      <c r="FO243" s="815"/>
      <c r="FP243" s="815"/>
      <c r="FQ243" s="815"/>
      <c r="FR243" s="815"/>
      <c r="FS243" s="815"/>
      <c r="FT243" s="815"/>
      <c r="FU243" s="815"/>
      <c r="FV243" s="815"/>
      <c r="FW243" s="815"/>
      <c r="FX243" s="815"/>
      <c r="FY243" s="815"/>
      <c r="FZ243" s="815"/>
      <c r="GA243" s="815"/>
      <c r="GB243" s="815"/>
      <c r="GC243" s="815"/>
      <c r="GD243" s="815"/>
      <c r="GE243" s="815"/>
      <c r="GF243" s="815"/>
      <c r="GG243" s="815"/>
      <c r="GH243" s="815"/>
      <c r="GI243" s="815"/>
      <c r="GJ243" s="815"/>
      <c r="GK243" s="815"/>
      <c r="GL243" s="815"/>
      <c r="GM243" s="815"/>
      <c r="GN243" s="815"/>
      <c r="GO243" s="815"/>
      <c r="GP243" s="815"/>
      <c r="GQ243" s="815"/>
      <c r="GR243" s="815"/>
      <c r="GS243" s="815"/>
      <c r="GT243" s="815"/>
      <c r="GU243" s="815"/>
      <c r="GV243" s="815"/>
      <c r="GW243" s="815"/>
      <c r="GX243" s="815"/>
      <c r="GY243" s="815"/>
      <c r="GZ243" s="815"/>
      <c r="HA243" s="815"/>
      <c r="HB243" s="815"/>
      <c r="HC243" s="815"/>
      <c r="HD243" s="815"/>
      <c r="HE243" s="815"/>
      <c r="HF243" s="815"/>
      <c r="HG243" s="815"/>
      <c r="HH243" s="815"/>
      <c r="HI243" s="815"/>
      <c r="HJ243" s="815"/>
      <c r="HK243" s="815"/>
      <c r="HL243" s="815"/>
      <c r="HM243" s="815"/>
      <c r="HN243" s="815"/>
      <c r="HO243" s="815"/>
      <c r="HP243" s="815"/>
      <c r="HQ243" s="815"/>
      <c r="HR243" s="815"/>
      <c r="HS243" s="815"/>
      <c r="HT243" s="815"/>
      <c r="HU243" s="815"/>
      <c r="HV243" s="815"/>
      <c r="HW243" s="815"/>
      <c r="HX243" s="815"/>
      <c r="HY243" s="815"/>
      <c r="HZ243" s="815"/>
      <c r="IA243" s="815"/>
      <c r="IB243" s="815"/>
      <c r="IC243" s="815"/>
      <c r="ID243" s="815"/>
      <c r="IE243" s="815"/>
      <c r="IF243" s="815"/>
      <c r="IG243" s="815"/>
      <c r="IH243" s="815"/>
      <c r="II243" s="815"/>
      <c r="IJ243" s="815"/>
      <c r="IK243" s="815"/>
      <c r="IL243" s="815"/>
      <c r="IM243" s="815"/>
      <c r="IN243" s="815"/>
      <c r="IO243" s="815"/>
      <c r="IP243" s="815"/>
      <c r="IQ243" s="815"/>
      <c r="IR243" s="815"/>
      <c r="IS243" s="815"/>
      <c r="IT243" s="815"/>
      <c r="IU243" s="815"/>
      <c r="IV243" s="815"/>
      <c r="IW243" s="815"/>
      <c r="IX243" s="815"/>
      <c r="IY243" s="815"/>
      <c r="IZ243" s="815"/>
      <c r="JA243" s="815"/>
      <c r="JB243" s="815"/>
      <c r="JC243" s="815"/>
      <c r="JD243" s="815"/>
      <c r="JE243" s="815"/>
      <c r="JF243" s="815"/>
      <c r="JG243" s="815"/>
      <c r="JH243" s="815"/>
      <c r="JI243" s="815"/>
      <c r="JJ243" s="815"/>
      <c r="JK243" s="815"/>
      <c r="JL243" s="815"/>
      <c r="JM243" s="815"/>
      <c r="JN243" s="815"/>
      <c r="JO243" s="815"/>
      <c r="JP243" s="815"/>
      <c r="JQ243" s="815"/>
      <c r="JR243" s="815"/>
      <c r="JS243" s="815"/>
      <c r="JT243" s="815"/>
      <c r="JU243" s="815"/>
      <c r="JV243" s="815"/>
      <c r="JW243" s="815"/>
      <c r="JX243" s="815"/>
      <c r="JY243" s="815"/>
      <c r="JZ243" s="815"/>
      <c r="KA243" s="815"/>
      <c r="KB243" s="815"/>
      <c r="KC243" s="815"/>
      <c r="KD243" s="815"/>
      <c r="KE243" s="815"/>
      <c r="KF243" s="815"/>
      <c r="KG243" s="815"/>
      <c r="KH243" s="815"/>
      <c r="KI243" s="815"/>
      <c r="KJ243" s="815"/>
      <c r="KK243" s="815"/>
      <c r="KL243" s="815"/>
      <c r="KM243" s="815"/>
      <c r="KN243" s="815"/>
      <c r="KO243" s="815"/>
      <c r="KP243" s="815"/>
      <c r="KQ243" s="815"/>
      <c r="KR243" s="815"/>
      <c r="KS243" s="815"/>
      <c r="KT243" s="815"/>
      <c r="KU243" s="815"/>
      <c r="KV243" s="815"/>
      <c r="KW243" s="815"/>
      <c r="KX243" s="815"/>
      <c r="KY243" s="815"/>
      <c r="KZ243" s="815"/>
      <c r="LA243" s="815"/>
      <c r="LB243" s="815"/>
      <c r="LC243" s="815"/>
      <c r="LD243" s="815"/>
      <c r="LE243" s="815"/>
      <c r="LF243" s="815"/>
      <c r="LG243" s="815"/>
      <c r="LH243" s="815"/>
      <c r="LI243" s="815"/>
      <c r="LJ243" s="815"/>
      <c r="LK243" s="815"/>
      <c r="LL243" s="815"/>
      <c r="LM243" s="815"/>
      <c r="LN243" s="815"/>
      <c r="LO243" s="815"/>
      <c r="LP243" s="815"/>
      <c r="LQ243" s="815"/>
      <c r="LR243" s="815"/>
      <c r="LS243" s="815"/>
      <c r="LT243" s="815"/>
      <c r="LU243" s="815"/>
      <c r="LV243" s="815"/>
      <c r="LW243" s="815"/>
      <c r="LX243" s="815"/>
      <c r="LY243" s="815"/>
      <c r="LZ243" s="815"/>
      <c r="MA243" s="815"/>
      <c r="MB243" s="815"/>
      <c r="MC243" s="815"/>
      <c r="MD243" s="815"/>
      <c r="ME243" s="815"/>
      <c r="MF243" s="815"/>
      <c r="MG243" s="815"/>
      <c r="MH243" s="815"/>
      <c r="MI243" s="815"/>
      <c r="MJ243" s="815"/>
      <c r="MK243" s="815"/>
      <c r="ML243" s="815"/>
      <c r="MM243" s="815"/>
      <c r="MN243" s="815"/>
      <c r="MO243" s="815"/>
      <c r="MP243" s="815"/>
      <c r="MQ243" s="815"/>
      <c r="MR243" s="815"/>
      <c r="MS243" s="815"/>
      <c r="MT243" s="815"/>
      <c r="MU243" s="815"/>
      <c r="MV243" s="815"/>
      <c r="MW243" s="815"/>
      <c r="MX243" s="815"/>
      <c r="MY243" s="815"/>
      <c r="MZ243" s="815"/>
      <c r="NA243" s="815"/>
      <c r="NB243" s="815"/>
      <c r="NC243" s="815"/>
      <c r="ND243" s="815"/>
      <c r="NE243" s="815"/>
      <c r="NF243" s="815"/>
      <c r="NG243" s="815"/>
      <c r="NH243" s="815"/>
      <c r="NI243" s="815"/>
      <c r="NJ243" s="815"/>
      <c r="NK243" s="815"/>
      <c r="NL243" s="815"/>
      <c r="NM243" s="815"/>
      <c r="NN243" s="815"/>
      <c r="NO243" s="815"/>
      <c r="NP243" s="815"/>
      <c r="NQ243" s="815"/>
      <c r="NR243" s="815"/>
      <c r="NS243" s="815"/>
      <c r="NT243" s="815"/>
      <c r="NU243" s="815"/>
      <c r="NV243" s="815"/>
      <c r="NW243" s="815"/>
      <c r="NX243" s="815"/>
      <c r="NY243" s="815"/>
      <c r="NZ243" s="815"/>
      <c r="OA243" s="815"/>
      <c r="OB243" s="815"/>
      <c r="OC243" s="815"/>
      <c r="OD243" s="815"/>
      <c r="OE243" s="815"/>
      <c r="OF243" s="815"/>
      <c r="OG243" s="815"/>
      <c r="OH243" s="815"/>
      <c r="OI243" s="815"/>
      <c r="OJ243" s="815"/>
      <c r="OK243" s="815"/>
      <c r="OL243" s="815"/>
      <c r="OM243" s="815"/>
      <c r="ON243" s="815"/>
      <c r="OO243" s="815"/>
      <c r="OP243" s="815"/>
      <c r="OQ243" s="815"/>
      <c r="OR243" s="815"/>
      <c r="OS243" s="815"/>
      <c r="OT243" s="815"/>
      <c r="OU243" s="815"/>
      <c r="OV243" s="815"/>
      <c r="OW243" s="815"/>
      <c r="OX243" s="815"/>
      <c r="OY243" s="815"/>
      <c r="OZ243" s="815"/>
      <c r="PA243" s="815"/>
      <c r="PB243" s="815"/>
      <c r="PC243" s="815"/>
      <c r="PD243" s="815"/>
      <c r="PE243" s="815"/>
      <c r="PF243" s="815"/>
      <c r="PG243" s="815"/>
      <c r="PH243" s="815"/>
      <c r="PI243" s="815"/>
      <c r="PJ243" s="815"/>
      <c r="PK243" s="815"/>
      <c r="PL243" s="815"/>
      <c r="PM243" s="815"/>
      <c r="PN243" s="815"/>
      <c r="PO243" s="815"/>
      <c r="PP243" s="815"/>
      <c r="PQ243" s="815"/>
      <c r="PR243" s="815"/>
      <c r="PS243" s="815"/>
      <c r="PT243" s="815"/>
      <c r="PU243" s="815"/>
      <c r="PV243" s="815"/>
      <c r="PW243" s="815"/>
      <c r="PX243" s="815"/>
      <c r="PY243" s="815"/>
      <c r="PZ243" s="815"/>
      <c r="QA243" s="815"/>
      <c r="QB243" s="815"/>
      <c r="QC243" s="815"/>
      <c r="QD243" s="815"/>
      <c r="QE243" s="815"/>
      <c r="QF243" s="815"/>
      <c r="QG243" s="815"/>
      <c r="QH243" s="815"/>
      <c r="QI243" s="815"/>
      <c r="QJ243" s="815"/>
      <c r="QK243" s="815"/>
      <c r="QL243" s="815"/>
      <c r="QM243" s="815"/>
      <c r="QN243" s="815"/>
      <c r="QO243" s="815"/>
      <c r="QP243" s="815"/>
      <c r="QQ243" s="815"/>
      <c r="QR243" s="815"/>
      <c r="QS243" s="815"/>
      <c r="QT243" s="815"/>
      <c r="QU243" s="815"/>
      <c r="QV243" s="815"/>
      <c r="QW243" s="815"/>
      <c r="QX243" s="815"/>
      <c r="QY243" s="815"/>
      <c r="QZ243" s="815"/>
      <c r="RA243" s="815"/>
      <c r="RB243" s="815"/>
      <c r="RC243" s="815"/>
      <c r="RD243" s="815"/>
      <c r="RE243" s="815"/>
      <c r="RF243" s="815"/>
      <c r="RG243" s="815"/>
      <c r="RH243" s="815"/>
      <c r="RI243" s="815"/>
      <c r="RJ243" s="815"/>
      <c r="RK243" s="815"/>
      <c r="RL243" s="815"/>
      <c r="RM243" s="815"/>
      <c r="RN243" s="815"/>
      <c r="RO243" s="815"/>
      <c r="RP243" s="815"/>
      <c r="RQ243" s="815"/>
      <c r="RR243" s="815"/>
      <c r="RS243" s="815"/>
      <c r="RT243" s="815"/>
      <c r="RU243" s="815"/>
      <c r="RV243" s="815"/>
      <c r="RW243" s="815"/>
      <c r="RX243" s="815"/>
      <c r="RY243" s="815"/>
      <c r="RZ243" s="815"/>
      <c r="SA243" s="815"/>
      <c r="SB243" s="815"/>
      <c r="SC243" s="815"/>
      <c r="SD243" s="815"/>
      <c r="SE243" s="815"/>
      <c r="SF243" s="815"/>
      <c r="SG243" s="815"/>
      <c r="SH243" s="815"/>
      <c r="SI243" s="815"/>
      <c r="SJ243" s="815"/>
      <c r="SK243" s="815"/>
      <c r="SL243" s="815"/>
      <c r="SM243" s="815"/>
      <c r="SN243" s="815"/>
      <c r="SO243" s="815"/>
      <c r="SP243" s="815"/>
      <c r="SQ243" s="815"/>
      <c r="SR243" s="815"/>
      <c r="SS243" s="815"/>
      <c r="ST243" s="815"/>
      <c r="SU243" s="815"/>
      <c r="SV243" s="815"/>
      <c r="SW243" s="815"/>
      <c r="SX243" s="815"/>
      <c r="SY243" s="815"/>
      <c r="SZ243" s="815"/>
      <c r="TA243" s="815"/>
      <c r="TB243" s="815"/>
      <c r="TC243" s="815"/>
      <c r="TD243" s="815"/>
      <c r="TE243" s="815"/>
      <c r="TF243" s="815"/>
      <c r="TG243" s="815"/>
      <c r="TH243" s="815"/>
      <c r="TI243" s="815"/>
      <c r="TJ243" s="815"/>
      <c r="TK243" s="815"/>
      <c r="TL243" s="815"/>
      <c r="TM243" s="815"/>
      <c r="TN243" s="815"/>
      <c r="TO243" s="815"/>
      <c r="TP243" s="815"/>
      <c r="TQ243" s="815"/>
      <c r="TR243" s="815"/>
      <c r="TS243" s="815"/>
      <c r="TT243" s="815"/>
      <c r="TU243" s="815"/>
      <c r="TV243" s="815"/>
      <c r="TW243" s="815"/>
      <c r="TX243" s="815"/>
      <c r="TY243" s="815"/>
      <c r="TZ243" s="815"/>
      <c r="UA243" s="815"/>
      <c r="UB243" s="815"/>
      <c r="UC243" s="815"/>
      <c r="UD243" s="815"/>
      <c r="UE243" s="815"/>
      <c r="UF243" s="815"/>
      <c r="UG243" s="815"/>
      <c r="UH243" s="815"/>
      <c r="UI243" s="815"/>
      <c r="UJ243" s="815"/>
      <c r="UK243" s="815"/>
      <c r="UL243" s="815"/>
      <c r="UM243" s="815"/>
      <c r="UN243" s="815"/>
      <c r="UO243" s="815"/>
      <c r="UP243" s="815"/>
      <c r="UQ243" s="815"/>
      <c r="UR243" s="815"/>
      <c r="US243" s="815"/>
      <c r="UT243" s="815"/>
      <c r="UU243" s="815"/>
      <c r="UV243" s="815"/>
      <c r="UW243" s="815"/>
      <c r="UX243" s="815"/>
      <c r="UY243" s="815"/>
      <c r="UZ243" s="815"/>
      <c r="VA243" s="815"/>
      <c r="VB243" s="815"/>
      <c r="VC243" s="815"/>
      <c r="VD243" s="815"/>
      <c r="VE243" s="815"/>
      <c r="VF243" s="815"/>
      <c r="VG243" s="815"/>
      <c r="VH243" s="815"/>
      <c r="VI243" s="815"/>
      <c r="VJ243" s="815"/>
      <c r="VK243" s="815"/>
      <c r="VL243" s="815"/>
      <c r="VM243" s="815"/>
      <c r="VN243" s="815"/>
      <c r="VO243" s="815"/>
      <c r="VP243" s="815"/>
      <c r="VQ243" s="815"/>
      <c r="VR243" s="815"/>
      <c r="VS243" s="815"/>
      <c r="VT243" s="815"/>
      <c r="VU243" s="815"/>
      <c r="VV243" s="815"/>
      <c r="VW243" s="815"/>
      <c r="VX243" s="815"/>
      <c r="VY243" s="815"/>
      <c r="VZ243" s="815"/>
      <c r="WA243" s="815"/>
      <c r="WB243" s="815"/>
      <c r="WC243" s="815"/>
      <c r="WD243" s="815"/>
      <c r="WE243" s="815"/>
      <c r="WF243" s="815"/>
      <c r="WG243" s="815"/>
      <c r="WH243" s="815"/>
      <c r="WI243" s="815"/>
      <c r="WJ243" s="815"/>
      <c r="WK243" s="815"/>
      <c r="WL243" s="815"/>
      <c r="WM243" s="815"/>
      <c r="WN243" s="815"/>
      <c r="WO243" s="815"/>
      <c r="WP243" s="815"/>
      <c r="WQ243" s="815"/>
      <c r="WR243" s="815"/>
      <c r="WS243" s="815"/>
      <c r="WT243" s="815"/>
      <c r="WU243" s="815"/>
      <c r="WV243" s="815"/>
      <c r="WW243" s="815"/>
      <c r="WX243" s="815"/>
      <c r="WY243" s="815"/>
      <c r="WZ243" s="815"/>
      <c r="XA243" s="815"/>
      <c r="XB243" s="815"/>
      <c r="XC243" s="815"/>
      <c r="XD243" s="815"/>
      <c r="XE243" s="815"/>
      <c r="XF243" s="815"/>
      <c r="XG243" s="815"/>
      <c r="XH243" s="815"/>
      <c r="XI243" s="815"/>
      <c r="XJ243" s="815"/>
      <c r="XK243" s="815"/>
      <c r="XL243" s="815"/>
      <c r="XM243" s="815"/>
      <c r="XN243" s="815"/>
      <c r="XO243" s="815"/>
      <c r="XP243" s="815"/>
      <c r="XQ243" s="815"/>
      <c r="XR243" s="815"/>
      <c r="XS243" s="815"/>
      <c r="XT243" s="815"/>
      <c r="XU243" s="815"/>
      <c r="XV243" s="815"/>
      <c r="XW243" s="815"/>
      <c r="XX243" s="815"/>
      <c r="XY243" s="815"/>
      <c r="XZ243" s="815"/>
      <c r="YA243" s="815"/>
      <c r="YB243" s="815"/>
      <c r="YC243" s="815"/>
      <c r="YD243" s="815"/>
      <c r="YE243" s="815"/>
      <c r="YF243" s="815"/>
      <c r="YG243" s="815"/>
      <c r="YH243" s="815"/>
      <c r="YI243" s="815"/>
      <c r="YJ243" s="815"/>
      <c r="YK243" s="815"/>
      <c r="YL243" s="815"/>
      <c r="YM243" s="815"/>
      <c r="YN243" s="815"/>
      <c r="YO243" s="815"/>
      <c r="YP243" s="815"/>
      <c r="YQ243" s="815"/>
      <c r="YR243" s="815"/>
      <c r="YS243" s="815"/>
      <c r="YT243" s="815"/>
      <c r="YU243" s="815"/>
      <c r="YV243" s="815"/>
      <c r="YW243" s="815"/>
      <c r="YX243" s="815"/>
      <c r="YY243" s="815"/>
      <c r="YZ243" s="815"/>
      <c r="ZA243" s="815"/>
      <c r="ZB243" s="815"/>
      <c r="ZC243" s="815"/>
      <c r="ZD243" s="815"/>
      <c r="ZE243" s="815"/>
      <c r="ZF243" s="815"/>
      <c r="ZG243" s="815"/>
      <c r="ZH243" s="815"/>
      <c r="ZI243" s="815"/>
      <c r="ZJ243" s="815"/>
      <c r="ZK243" s="815"/>
      <c r="ZL243" s="815"/>
      <c r="ZM243" s="815"/>
      <c r="ZN243" s="815"/>
      <c r="ZO243" s="815"/>
      <c r="ZP243" s="815"/>
      <c r="ZQ243" s="815"/>
      <c r="ZR243" s="815"/>
      <c r="ZS243" s="815"/>
      <c r="ZT243" s="815"/>
      <c r="ZU243" s="815"/>
      <c r="ZV243" s="815"/>
      <c r="ZW243" s="815"/>
      <c r="ZX243" s="815"/>
      <c r="ZY243" s="815"/>
      <c r="ZZ243" s="815"/>
      <c r="AAA243" s="815"/>
      <c r="AAB243" s="815"/>
      <c r="AAC243" s="815"/>
      <c r="AAD243" s="815"/>
      <c r="AAE243" s="815"/>
      <c r="AAF243" s="815"/>
      <c r="AAG243" s="815"/>
      <c r="AAH243" s="815"/>
      <c r="AAI243" s="815"/>
      <c r="AAJ243" s="815"/>
      <c r="AAK243" s="815"/>
      <c r="AAL243" s="815"/>
      <c r="AAM243" s="815"/>
      <c r="AAN243" s="815"/>
      <c r="AAO243" s="815"/>
      <c r="AAP243" s="815"/>
      <c r="AAQ243" s="815"/>
      <c r="AAR243" s="815"/>
      <c r="AAS243" s="815"/>
      <c r="AAT243" s="815"/>
      <c r="AAU243" s="815"/>
      <c r="AAV243" s="815"/>
      <c r="AAW243" s="815"/>
      <c r="AAX243" s="815"/>
      <c r="AAY243" s="815"/>
      <c r="AAZ243" s="815"/>
      <c r="ABA243" s="815"/>
      <c r="ABB243" s="815"/>
      <c r="ABC243" s="815"/>
      <c r="ABD243" s="815"/>
      <c r="ABE243" s="815"/>
      <c r="ABF243" s="815"/>
      <c r="ABG243" s="815"/>
      <c r="ABH243" s="815"/>
      <c r="ABI243" s="815"/>
      <c r="ABJ243" s="815"/>
      <c r="ABK243" s="815"/>
      <c r="ABL243" s="815"/>
      <c r="ABM243" s="815"/>
      <c r="ABN243" s="815"/>
      <c r="ABO243" s="815"/>
      <c r="ABP243" s="815"/>
      <c r="ABQ243" s="815"/>
      <c r="ABR243" s="815"/>
      <c r="ABS243" s="815"/>
      <c r="ABT243" s="815"/>
      <c r="ABU243" s="815"/>
      <c r="ABV243" s="815"/>
      <c r="ABW243" s="815"/>
      <c r="ABX243" s="815"/>
      <c r="ABY243" s="815"/>
      <c r="ABZ243" s="815"/>
      <c r="ACA243" s="815"/>
      <c r="ACB243" s="815"/>
      <c r="ACC243" s="815"/>
      <c r="ACD243" s="815"/>
      <c r="ACE243" s="815"/>
      <c r="ACF243" s="815"/>
      <c r="ACG243" s="815"/>
      <c r="ACH243" s="815"/>
      <c r="ACI243" s="815"/>
      <c r="ACJ243" s="815"/>
      <c r="ACK243" s="815"/>
      <c r="ACL243" s="815"/>
      <c r="ACM243" s="815"/>
      <c r="ACN243" s="815"/>
      <c r="ACO243" s="815"/>
      <c r="ACP243" s="815"/>
      <c r="ACQ243" s="815"/>
      <c r="ACR243" s="815"/>
      <c r="ACS243" s="815"/>
      <c r="ACT243" s="815"/>
      <c r="ACU243" s="815"/>
      <c r="ACV243" s="815"/>
      <c r="ACW243" s="815"/>
      <c r="ACX243" s="815"/>
      <c r="ACY243" s="815"/>
      <c r="ACZ243" s="815"/>
      <c r="ADA243" s="815"/>
      <c r="ADB243" s="815"/>
      <c r="ADC243" s="815"/>
      <c r="ADD243" s="815"/>
      <c r="ADE243" s="815"/>
      <c r="ADF243" s="815"/>
      <c r="ADG243" s="815"/>
      <c r="ADH243" s="815"/>
      <c r="ADI243" s="815"/>
      <c r="ADJ243" s="815"/>
      <c r="ADK243" s="815"/>
      <c r="ADL243" s="815"/>
      <c r="ADM243" s="815"/>
      <c r="ADN243" s="815"/>
      <c r="ADO243" s="815"/>
      <c r="ADP243" s="815"/>
      <c r="ADQ243" s="815"/>
      <c r="ADR243" s="815"/>
      <c r="ADS243" s="815"/>
      <c r="ADT243" s="815"/>
      <c r="ADU243" s="815"/>
      <c r="ADV243" s="815"/>
      <c r="ADW243" s="815"/>
      <c r="ADX243" s="815"/>
      <c r="ADY243" s="815"/>
      <c r="ADZ243" s="815"/>
      <c r="AEA243" s="815"/>
      <c r="AEB243" s="815"/>
      <c r="AEC243" s="815"/>
      <c r="AED243" s="815"/>
      <c r="AEE243" s="815"/>
      <c r="AEF243" s="815"/>
      <c r="AEG243" s="815"/>
      <c r="AEH243" s="815"/>
      <c r="AEI243" s="815"/>
      <c r="AEJ243" s="815"/>
      <c r="AEK243" s="815"/>
      <c r="AEL243" s="815"/>
      <c r="AEM243" s="815"/>
      <c r="AEN243" s="815"/>
      <c r="AEO243" s="815"/>
      <c r="AEP243" s="815"/>
      <c r="AEQ243" s="815"/>
      <c r="AER243" s="815"/>
      <c r="AES243" s="815"/>
      <c r="AET243" s="815"/>
      <c r="AEU243" s="815"/>
      <c r="AEV243" s="815"/>
      <c r="AEW243" s="815"/>
      <c r="AEX243" s="815"/>
      <c r="AEY243" s="815"/>
      <c r="AEZ243" s="815"/>
      <c r="AFA243" s="815"/>
      <c r="AFB243" s="815"/>
      <c r="AFC243" s="815"/>
      <c r="AFD243" s="815"/>
      <c r="AFE243" s="815"/>
      <c r="AFF243" s="815"/>
      <c r="AFG243" s="815"/>
      <c r="AFH243" s="815"/>
      <c r="AFI243" s="815"/>
      <c r="AFJ243" s="815"/>
      <c r="AFK243" s="815"/>
      <c r="AFL243" s="815"/>
      <c r="AFM243" s="815"/>
      <c r="AFN243" s="815"/>
      <c r="AFO243" s="815"/>
      <c r="AFP243" s="815"/>
      <c r="AFQ243" s="815"/>
      <c r="AFR243" s="815"/>
      <c r="AFS243" s="815"/>
      <c r="AFT243" s="815"/>
      <c r="AFU243" s="815"/>
      <c r="AFV243" s="815"/>
      <c r="AFW243" s="815"/>
      <c r="AFX243" s="815"/>
      <c r="AFY243" s="815"/>
      <c r="AFZ243" s="815"/>
      <c r="AGA243" s="815"/>
      <c r="AGB243" s="815"/>
      <c r="AGC243" s="815"/>
      <c r="AGD243" s="815"/>
      <c r="AGE243" s="815"/>
      <c r="AGF243" s="815"/>
      <c r="AGG243" s="815"/>
      <c r="AGH243" s="815"/>
      <c r="AGI243" s="815"/>
      <c r="AGJ243" s="815"/>
    </row>
    <row r="244" spans="1:868" s="816" customFormat="1">
      <c r="A244" s="68" t="str">
        <f>Clothing!A432</f>
        <v>Clothing (product sector)</v>
      </c>
      <c r="B244" s="304" t="str">
        <f>Clothing!B432</f>
        <v>Dresses skirts and jumpsuits</v>
      </c>
      <c r="C244" s="69" t="str">
        <f>Clothing!C432</f>
        <v>EU</v>
      </c>
      <c r="D244" s="823" t="str">
        <f>Clothing!D432</f>
        <v>PET</v>
      </c>
      <c r="E244" s="69">
        <f>Clothing!E432</f>
        <v>3.6985481000000001E-2</v>
      </c>
      <c r="F244" s="823">
        <f>Clothing!F432</f>
        <v>1</v>
      </c>
      <c r="G244" s="69" t="str">
        <f>Clothing!G432</f>
        <v>https://eeb.org/library/draft-product-environmental-footprint-category-rules-pefcr-apparel-and-footwear/</v>
      </c>
      <c r="H244" s="1188"/>
      <c r="I244" s="307">
        <f>Clothing!I432</f>
        <v>1</v>
      </c>
      <c r="J244" s="307">
        <f>Clothing!J432</f>
        <v>2</v>
      </c>
      <c r="K244" s="307">
        <f>Clothing!K432</f>
        <v>1</v>
      </c>
      <c r="L244" s="307">
        <f>Clothing!L432</f>
        <v>2</v>
      </c>
      <c r="M244" s="307">
        <f>Clothing!M432</f>
        <v>2</v>
      </c>
      <c r="N244" s="616" t="str">
        <f>IF( OR( ISBLANK(H244),ISBLANK(J244), ISBLANK(K244), ISBLANK(L244), ISBLANK(M244) ), "", 1.5*SQRT(   EXP(2.21*(H244-1)) + EXP(2.21*(J244-1)) + EXP(2.21*(K244-1)) + EXP(2.21*(L244-1)) + EXP(2.21*M244)   )/100*2.45 )</f>
        <v/>
      </c>
      <c r="O244" s="1282">
        <f>IF( OR( ISBLANK(I244),ISBLANK(J244), ISBLANK(K244), ISBLANK(L244), ISBLANK(M244) ), "", 1.5*SQRT( EXP(2.21*(I244-1)) + EXP(2.21*(J244-1)) + EXP(2.21*(K244-1)) + EXP(2.21*(L244-1)) + EXP(2.21*M244)   )/100*2.45 )</f>
        <v>0.37356464144298934</v>
      </c>
      <c r="P244" s="68"/>
      <c r="Q244" s="815"/>
      <c r="R244" s="815"/>
      <c r="S244" s="815"/>
      <c r="T244" s="815"/>
      <c r="U244" s="815"/>
      <c r="V244" s="815"/>
      <c r="W244" s="815"/>
      <c r="X244" s="815"/>
      <c r="Y244" s="815"/>
      <c r="Z244" s="815"/>
      <c r="AA244" s="815"/>
      <c r="AB244" s="815"/>
      <c r="AC244" s="815"/>
      <c r="AD244" s="815"/>
      <c r="AE244" s="815"/>
      <c r="AF244" s="815"/>
      <c r="AG244" s="815"/>
      <c r="AH244" s="815"/>
      <c r="AI244" s="815"/>
      <c r="AJ244" s="815"/>
      <c r="AK244" s="815"/>
      <c r="AL244" s="815"/>
      <c r="AM244" s="815"/>
      <c r="AN244" s="815"/>
      <c r="AO244" s="815"/>
      <c r="AP244" s="815"/>
      <c r="AQ244" s="815"/>
      <c r="AR244" s="815"/>
      <c r="AS244" s="815"/>
      <c r="AT244" s="815"/>
      <c r="AU244" s="815"/>
      <c r="AV244" s="815"/>
      <c r="AW244" s="815"/>
      <c r="AX244" s="815"/>
      <c r="AY244" s="815"/>
      <c r="AZ244" s="815"/>
      <c r="BA244" s="815"/>
      <c r="BB244" s="815"/>
      <c r="BC244" s="815"/>
      <c r="BD244" s="815"/>
      <c r="BE244" s="815"/>
      <c r="BF244" s="815"/>
      <c r="BG244" s="815"/>
      <c r="BH244" s="815"/>
      <c r="BI244" s="815"/>
      <c r="BJ244" s="815"/>
      <c r="BK244" s="815"/>
      <c r="BL244" s="815"/>
      <c r="BM244" s="815"/>
      <c r="BN244" s="815"/>
      <c r="BO244" s="815"/>
      <c r="BP244" s="815"/>
      <c r="BQ244" s="815"/>
      <c r="BR244" s="815"/>
      <c r="BS244" s="815"/>
      <c r="BT244" s="815"/>
      <c r="BU244" s="815"/>
      <c r="BV244" s="815"/>
      <c r="BW244" s="815"/>
      <c r="BX244" s="815"/>
      <c r="BY244" s="815"/>
      <c r="BZ244" s="815"/>
      <c r="CA244" s="815"/>
      <c r="CB244" s="815"/>
      <c r="CC244" s="815"/>
      <c r="CD244" s="815"/>
      <c r="CE244" s="815"/>
      <c r="CF244" s="815"/>
      <c r="CG244" s="815"/>
      <c r="CH244" s="815"/>
      <c r="CI244" s="815"/>
      <c r="CJ244" s="815"/>
      <c r="CK244" s="815"/>
      <c r="CL244" s="815"/>
      <c r="CM244" s="815"/>
      <c r="CN244" s="815"/>
      <c r="CO244" s="815"/>
      <c r="CP244" s="815"/>
      <c r="CQ244" s="815"/>
      <c r="CR244" s="815"/>
      <c r="CS244" s="815"/>
      <c r="CT244" s="815"/>
      <c r="CU244" s="815"/>
      <c r="CV244" s="815"/>
      <c r="CW244" s="815"/>
      <c r="CX244" s="815"/>
      <c r="CY244" s="815"/>
      <c r="CZ244" s="815"/>
      <c r="DA244" s="815"/>
      <c r="DB244" s="815"/>
      <c r="DC244" s="815"/>
      <c r="DD244" s="815"/>
      <c r="DE244" s="815"/>
      <c r="DF244" s="815"/>
      <c r="DG244" s="815"/>
      <c r="DH244" s="815"/>
      <c r="DI244" s="815"/>
      <c r="DJ244" s="815"/>
      <c r="DK244" s="815"/>
      <c r="DL244" s="815"/>
      <c r="DM244" s="815"/>
      <c r="DN244" s="815"/>
      <c r="DO244" s="815"/>
      <c r="DP244" s="815"/>
      <c r="DQ244" s="815"/>
      <c r="DR244" s="815"/>
      <c r="DS244" s="815"/>
      <c r="DT244" s="815"/>
      <c r="DU244" s="815"/>
      <c r="DV244" s="815"/>
      <c r="DW244" s="815"/>
      <c r="DX244" s="815"/>
      <c r="DY244" s="815"/>
      <c r="DZ244" s="815"/>
      <c r="EA244" s="815"/>
      <c r="EB244" s="815"/>
      <c r="EC244" s="815"/>
      <c r="ED244" s="815"/>
      <c r="EE244" s="815"/>
      <c r="EF244" s="815"/>
      <c r="EG244" s="815"/>
      <c r="EH244" s="815"/>
      <c r="EI244" s="815"/>
      <c r="EJ244" s="815"/>
      <c r="EK244" s="815"/>
      <c r="EL244" s="815"/>
      <c r="EM244" s="815"/>
      <c r="EN244" s="815"/>
      <c r="EO244" s="815"/>
      <c r="EP244" s="815"/>
      <c r="EQ244" s="815"/>
      <c r="ER244" s="815"/>
      <c r="ES244" s="815"/>
      <c r="ET244" s="815"/>
      <c r="EU244" s="815"/>
      <c r="EV244" s="815"/>
      <c r="EW244" s="815"/>
      <c r="EX244" s="815"/>
      <c r="EY244" s="815"/>
      <c r="EZ244" s="815"/>
      <c r="FA244" s="815"/>
      <c r="FB244" s="815"/>
      <c r="FC244" s="815"/>
      <c r="FD244" s="815"/>
      <c r="FE244" s="815"/>
      <c r="FF244" s="815"/>
      <c r="FG244" s="815"/>
      <c r="FH244" s="815"/>
      <c r="FI244" s="815"/>
      <c r="FJ244" s="815"/>
      <c r="FK244" s="815"/>
      <c r="FL244" s="815"/>
      <c r="FM244" s="815"/>
      <c r="FN244" s="815"/>
      <c r="FO244" s="815"/>
      <c r="FP244" s="815"/>
      <c r="FQ244" s="815"/>
      <c r="FR244" s="815"/>
      <c r="FS244" s="815"/>
      <c r="FT244" s="815"/>
      <c r="FU244" s="815"/>
      <c r="FV244" s="815"/>
      <c r="FW244" s="815"/>
      <c r="FX244" s="815"/>
      <c r="FY244" s="815"/>
      <c r="FZ244" s="815"/>
      <c r="GA244" s="815"/>
      <c r="GB244" s="815"/>
      <c r="GC244" s="815"/>
      <c r="GD244" s="815"/>
      <c r="GE244" s="815"/>
      <c r="GF244" s="815"/>
      <c r="GG244" s="815"/>
      <c r="GH244" s="815"/>
      <c r="GI244" s="815"/>
      <c r="GJ244" s="815"/>
      <c r="GK244" s="815"/>
      <c r="GL244" s="815"/>
      <c r="GM244" s="815"/>
      <c r="GN244" s="815"/>
      <c r="GO244" s="815"/>
      <c r="GP244" s="815"/>
      <c r="GQ244" s="815"/>
      <c r="GR244" s="815"/>
      <c r="GS244" s="815"/>
      <c r="GT244" s="815"/>
      <c r="GU244" s="815"/>
      <c r="GV244" s="815"/>
      <c r="GW244" s="815"/>
      <c r="GX244" s="815"/>
      <c r="GY244" s="815"/>
      <c r="GZ244" s="815"/>
      <c r="HA244" s="815"/>
      <c r="HB244" s="815"/>
      <c r="HC244" s="815"/>
      <c r="HD244" s="815"/>
      <c r="HE244" s="815"/>
      <c r="HF244" s="815"/>
      <c r="HG244" s="815"/>
      <c r="HH244" s="815"/>
      <c r="HI244" s="815"/>
      <c r="HJ244" s="815"/>
      <c r="HK244" s="815"/>
      <c r="HL244" s="815"/>
      <c r="HM244" s="815"/>
      <c r="HN244" s="815"/>
      <c r="HO244" s="815"/>
      <c r="HP244" s="815"/>
      <c r="HQ244" s="815"/>
      <c r="HR244" s="815"/>
      <c r="HS244" s="815"/>
      <c r="HT244" s="815"/>
      <c r="HU244" s="815"/>
      <c r="HV244" s="815"/>
      <c r="HW244" s="815"/>
      <c r="HX244" s="815"/>
      <c r="HY244" s="815"/>
      <c r="HZ244" s="815"/>
      <c r="IA244" s="815"/>
      <c r="IB244" s="815"/>
      <c r="IC244" s="815"/>
      <c r="ID244" s="815"/>
      <c r="IE244" s="815"/>
      <c r="IF244" s="815"/>
      <c r="IG244" s="815"/>
      <c r="IH244" s="815"/>
      <c r="II244" s="815"/>
      <c r="IJ244" s="815"/>
      <c r="IK244" s="815"/>
      <c r="IL244" s="815"/>
      <c r="IM244" s="815"/>
      <c r="IN244" s="815"/>
      <c r="IO244" s="815"/>
      <c r="IP244" s="815"/>
      <c r="IQ244" s="815"/>
      <c r="IR244" s="815"/>
      <c r="IS244" s="815"/>
      <c r="IT244" s="815"/>
      <c r="IU244" s="815"/>
      <c r="IV244" s="815"/>
      <c r="IW244" s="815"/>
      <c r="IX244" s="815"/>
      <c r="IY244" s="815"/>
      <c r="IZ244" s="815"/>
      <c r="JA244" s="815"/>
      <c r="JB244" s="815"/>
      <c r="JC244" s="815"/>
      <c r="JD244" s="815"/>
      <c r="JE244" s="815"/>
      <c r="JF244" s="815"/>
      <c r="JG244" s="815"/>
      <c r="JH244" s="815"/>
      <c r="JI244" s="815"/>
      <c r="JJ244" s="815"/>
      <c r="JK244" s="815"/>
      <c r="JL244" s="815"/>
      <c r="JM244" s="815"/>
      <c r="JN244" s="815"/>
      <c r="JO244" s="815"/>
      <c r="JP244" s="815"/>
      <c r="JQ244" s="815"/>
      <c r="JR244" s="815"/>
      <c r="JS244" s="815"/>
      <c r="JT244" s="815"/>
      <c r="JU244" s="815"/>
      <c r="JV244" s="815"/>
      <c r="JW244" s="815"/>
      <c r="JX244" s="815"/>
      <c r="JY244" s="815"/>
      <c r="JZ244" s="815"/>
      <c r="KA244" s="815"/>
      <c r="KB244" s="815"/>
      <c r="KC244" s="815"/>
      <c r="KD244" s="815"/>
      <c r="KE244" s="815"/>
      <c r="KF244" s="815"/>
      <c r="KG244" s="815"/>
      <c r="KH244" s="815"/>
      <c r="KI244" s="815"/>
      <c r="KJ244" s="815"/>
      <c r="KK244" s="815"/>
      <c r="KL244" s="815"/>
      <c r="KM244" s="815"/>
      <c r="KN244" s="815"/>
      <c r="KO244" s="815"/>
      <c r="KP244" s="815"/>
      <c r="KQ244" s="815"/>
      <c r="KR244" s="815"/>
      <c r="KS244" s="815"/>
      <c r="KT244" s="815"/>
      <c r="KU244" s="815"/>
      <c r="KV244" s="815"/>
      <c r="KW244" s="815"/>
      <c r="KX244" s="815"/>
      <c r="KY244" s="815"/>
      <c r="KZ244" s="815"/>
      <c r="LA244" s="815"/>
      <c r="LB244" s="815"/>
      <c r="LC244" s="815"/>
      <c r="LD244" s="815"/>
      <c r="LE244" s="815"/>
      <c r="LF244" s="815"/>
      <c r="LG244" s="815"/>
      <c r="LH244" s="815"/>
      <c r="LI244" s="815"/>
      <c r="LJ244" s="815"/>
      <c r="LK244" s="815"/>
      <c r="LL244" s="815"/>
      <c r="LM244" s="815"/>
      <c r="LN244" s="815"/>
      <c r="LO244" s="815"/>
      <c r="LP244" s="815"/>
      <c r="LQ244" s="815"/>
      <c r="LR244" s="815"/>
      <c r="LS244" s="815"/>
      <c r="LT244" s="815"/>
      <c r="LU244" s="815"/>
      <c r="LV244" s="815"/>
      <c r="LW244" s="815"/>
      <c r="LX244" s="815"/>
      <c r="LY244" s="815"/>
      <c r="LZ244" s="815"/>
      <c r="MA244" s="815"/>
      <c r="MB244" s="815"/>
      <c r="MC244" s="815"/>
      <c r="MD244" s="815"/>
      <c r="ME244" s="815"/>
      <c r="MF244" s="815"/>
      <c r="MG244" s="815"/>
      <c r="MH244" s="815"/>
      <c r="MI244" s="815"/>
      <c r="MJ244" s="815"/>
      <c r="MK244" s="815"/>
      <c r="ML244" s="815"/>
      <c r="MM244" s="815"/>
      <c r="MN244" s="815"/>
      <c r="MO244" s="815"/>
      <c r="MP244" s="815"/>
      <c r="MQ244" s="815"/>
      <c r="MR244" s="815"/>
      <c r="MS244" s="815"/>
      <c r="MT244" s="815"/>
      <c r="MU244" s="815"/>
      <c r="MV244" s="815"/>
      <c r="MW244" s="815"/>
      <c r="MX244" s="815"/>
      <c r="MY244" s="815"/>
      <c r="MZ244" s="815"/>
      <c r="NA244" s="815"/>
      <c r="NB244" s="815"/>
      <c r="NC244" s="815"/>
      <c r="ND244" s="815"/>
      <c r="NE244" s="815"/>
      <c r="NF244" s="815"/>
      <c r="NG244" s="815"/>
      <c r="NH244" s="815"/>
      <c r="NI244" s="815"/>
      <c r="NJ244" s="815"/>
      <c r="NK244" s="815"/>
      <c r="NL244" s="815"/>
      <c r="NM244" s="815"/>
      <c r="NN244" s="815"/>
      <c r="NO244" s="815"/>
      <c r="NP244" s="815"/>
      <c r="NQ244" s="815"/>
      <c r="NR244" s="815"/>
      <c r="NS244" s="815"/>
      <c r="NT244" s="815"/>
      <c r="NU244" s="815"/>
      <c r="NV244" s="815"/>
      <c r="NW244" s="815"/>
      <c r="NX244" s="815"/>
      <c r="NY244" s="815"/>
      <c r="NZ244" s="815"/>
      <c r="OA244" s="815"/>
      <c r="OB244" s="815"/>
      <c r="OC244" s="815"/>
      <c r="OD244" s="815"/>
      <c r="OE244" s="815"/>
      <c r="OF244" s="815"/>
      <c r="OG244" s="815"/>
      <c r="OH244" s="815"/>
      <c r="OI244" s="815"/>
      <c r="OJ244" s="815"/>
      <c r="OK244" s="815"/>
      <c r="OL244" s="815"/>
      <c r="OM244" s="815"/>
      <c r="ON244" s="815"/>
      <c r="OO244" s="815"/>
      <c r="OP244" s="815"/>
      <c r="OQ244" s="815"/>
      <c r="OR244" s="815"/>
      <c r="OS244" s="815"/>
      <c r="OT244" s="815"/>
      <c r="OU244" s="815"/>
      <c r="OV244" s="815"/>
      <c r="OW244" s="815"/>
      <c r="OX244" s="815"/>
      <c r="OY244" s="815"/>
      <c r="OZ244" s="815"/>
      <c r="PA244" s="815"/>
      <c r="PB244" s="815"/>
      <c r="PC244" s="815"/>
      <c r="PD244" s="815"/>
      <c r="PE244" s="815"/>
      <c r="PF244" s="815"/>
      <c r="PG244" s="815"/>
      <c r="PH244" s="815"/>
      <c r="PI244" s="815"/>
      <c r="PJ244" s="815"/>
      <c r="PK244" s="815"/>
      <c r="PL244" s="815"/>
      <c r="PM244" s="815"/>
      <c r="PN244" s="815"/>
      <c r="PO244" s="815"/>
      <c r="PP244" s="815"/>
      <c r="PQ244" s="815"/>
      <c r="PR244" s="815"/>
      <c r="PS244" s="815"/>
      <c r="PT244" s="815"/>
      <c r="PU244" s="815"/>
      <c r="PV244" s="815"/>
      <c r="PW244" s="815"/>
      <c r="PX244" s="815"/>
      <c r="PY244" s="815"/>
      <c r="PZ244" s="815"/>
      <c r="QA244" s="815"/>
      <c r="QB244" s="815"/>
      <c r="QC244" s="815"/>
      <c r="QD244" s="815"/>
      <c r="QE244" s="815"/>
      <c r="QF244" s="815"/>
      <c r="QG244" s="815"/>
      <c r="QH244" s="815"/>
      <c r="QI244" s="815"/>
      <c r="QJ244" s="815"/>
      <c r="QK244" s="815"/>
      <c r="QL244" s="815"/>
      <c r="QM244" s="815"/>
      <c r="QN244" s="815"/>
      <c r="QO244" s="815"/>
      <c r="QP244" s="815"/>
      <c r="QQ244" s="815"/>
      <c r="QR244" s="815"/>
      <c r="QS244" s="815"/>
      <c r="QT244" s="815"/>
      <c r="QU244" s="815"/>
      <c r="QV244" s="815"/>
      <c r="QW244" s="815"/>
      <c r="QX244" s="815"/>
      <c r="QY244" s="815"/>
      <c r="QZ244" s="815"/>
      <c r="RA244" s="815"/>
      <c r="RB244" s="815"/>
      <c r="RC244" s="815"/>
      <c r="RD244" s="815"/>
      <c r="RE244" s="815"/>
      <c r="RF244" s="815"/>
      <c r="RG244" s="815"/>
      <c r="RH244" s="815"/>
      <c r="RI244" s="815"/>
      <c r="RJ244" s="815"/>
      <c r="RK244" s="815"/>
      <c r="RL244" s="815"/>
      <c r="RM244" s="815"/>
      <c r="RN244" s="815"/>
      <c r="RO244" s="815"/>
      <c r="RP244" s="815"/>
      <c r="RQ244" s="815"/>
      <c r="RR244" s="815"/>
      <c r="RS244" s="815"/>
      <c r="RT244" s="815"/>
      <c r="RU244" s="815"/>
      <c r="RV244" s="815"/>
      <c r="RW244" s="815"/>
      <c r="RX244" s="815"/>
      <c r="RY244" s="815"/>
      <c r="RZ244" s="815"/>
      <c r="SA244" s="815"/>
      <c r="SB244" s="815"/>
      <c r="SC244" s="815"/>
      <c r="SD244" s="815"/>
      <c r="SE244" s="815"/>
      <c r="SF244" s="815"/>
      <c r="SG244" s="815"/>
      <c r="SH244" s="815"/>
      <c r="SI244" s="815"/>
      <c r="SJ244" s="815"/>
      <c r="SK244" s="815"/>
      <c r="SL244" s="815"/>
      <c r="SM244" s="815"/>
      <c r="SN244" s="815"/>
      <c r="SO244" s="815"/>
      <c r="SP244" s="815"/>
      <c r="SQ244" s="815"/>
      <c r="SR244" s="815"/>
      <c r="SS244" s="815"/>
      <c r="ST244" s="815"/>
      <c r="SU244" s="815"/>
      <c r="SV244" s="815"/>
      <c r="SW244" s="815"/>
      <c r="SX244" s="815"/>
      <c r="SY244" s="815"/>
      <c r="SZ244" s="815"/>
      <c r="TA244" s="815"/>
      <c r="TB244" s="815"/>
      <c r="TC244" s="815"/>
      <c r="TD244" s="815"/>
      <c r="TE244" s="815"/>
      <c r="TF244" s="815"/>
      <c r="TG244" s="815"/>
      <c r="TH244" s="815"/>
      <c r="TI244" s="815"/>
      <c r="TJ244" s="815"/>
      <c r="TK244" s="815"/>
      <c r="TL244" s="815"/>
      <c r="TM244" s="815"/>
      <c r="TN244" s="815"/>
      <c r="TO244" s="815"/>
      <c r="TP244" s="815"/>
      <c r="TQ244" s="815"/>
      <c r="TR244" s="815"/>
      <c r="TS244" s="815"/>
      <c r="TT244" s="815"/>
      <c r="TU244" s="815"/>
      <c r="TV244" s="815"/>
      <c r="TW244" s="815"/>
      <c r="TX244" s="815"/>
      <c r="TY244" s="815"/>
      <c r="TZ244" s="815"/>
      <c r="UA244" s="815"/>
      <c r="UB244" s="815"/>
      <c r="UC244" s="815"/>
      <c r="UD244" s="815"/>
      <c r="UE244" s="815"/>
      <c r="UF244" s="815"/>
      <c r="UG244" s="815"/>
      <c r="UH244" s="815"/>
      <c r="UI244" s="815"/>
      <c r="UJ244" s="815"/>
      <c r="UK244" s="815"/>
      <c r="UL244" s="815"/>
      <c r="UM244" s="815"/>
      <c r="UN244" s="815"/>
      <c r="UO244" s="815"/>
      <c r="UP244" s="815"/>
      <c r="UQ244" s="815"/>
      <c r="UR244" s="815"/>
      <c r="US244" s="815"/>
      <c r="UT244" s="815"/>
      <c r="UU244" s="815"/>
      <c r="UV244" s="815"/>
      <c r="UW244" s="815"/>
      <c r="UX244" s="815"/>
      <c r="UY244" s="815"/>
      <c r="UZ244" s="815"/>
      <c r="VA244" s="815"/>
      <c r="VB244" s="815"/>
      <c r="VC244" s="815"/>
      <c r="VD244" s="815"/>
      <c r="VE244" s="815"/>
      <c r="VF244" s="815"/>
      <c r="VG244" s="815"/>
      <c r="VH244" s="815"/>
      <c r="VI244" s="815"/>
      <c r="VJ244" s="815"/>
      <c r="VK244" s="815"/>
      <c r="VL244" s="815"/>
      <c r="VM244" s="815"/>
      <c r="VN244" s="815"/>
      <c r="VO244" s="815"/>
      <c r="VP244" s="815"/>
      <c r="VQ244" s="815"/>
      <c r="VR244" s="815"/>
      <c r="VS244" s="815"/>
      <c r="VT244" s="815"/>
      <c r="VU244" s="815"/>
      <c r="VV244" s="815"/>
      <c r="VW244" s="815"/>
      <c r="VX244" s="815"/>
      <c r="VY244" s="815"/>
      <c r="VZ244" s="815"/>
      <c r="WA244" s="815"/>
      <c r="WB244" s="815"/>
      <c r="WC244" s="815"/>
      <c r="WD244" s="815"/>
      <c r="WE244" s="815"/>
      <c r="WF244" s="815"/>
      <c r="WG244" s="815"/>
      <c r="WH244" s="815"/>
      <c r="WI244" s="815"/>
      <c r="WJ244" s="815"/>
      <c r="WK244" s="815"/>
      <c r="WL244" s="815"/>
      <c r="WM244" s="815"/>
      <c r="WN244" s="815"/>
      <c r="WO244" s="815"/>
      <c r="WP244" s="815"/>
      <c r="WQ244" s="815"/>
      <c r="WR244" s="815"/>
      <c r="WS244" s="815"/>
      <c r="WT244" s="815"/>
      <c r="WU244" s="815"/>
      <c r="WV244" s="815"/>
      <c r="WW244" s="815"/>
      <c r="WX244" s="815"/>
      <c r="WY244" s="815"/>
      <c r="WZ244" s="815"/>
      <c r="XA244" s="815"/>
      <c r="XB244" s="815"/>
      <c r="XC244" s="815"/>
      <c r="XD244" s="815"/>
      <c r="XE244" s="815"/>
      <c r="XF244" s="815"/>
      <c r="XG244" s="815"/>
      <c r="XH244" s="815"/>
      <c r="XI244" s="815"/>
      <c r="XJ244" s="815"/>
      <c r="XK244" s="815"/>
      <c r="XL244" s="815"/>
      <c r="XM244" s="815"/>
      <c r="XN244" s="815"/>
      <c r="XO244" s="815"/>
      <c r="XP244" s="815"/>
      <c r="XQ244" s="815"/>
      <c r="XR244" s="815"/>
      <c r="XS244" s="815"/>
      <c r="XT244" s="815"/>
      <c r="XU244" s="815"/>
      <c r="XV244" s="815"/>
      <c r="XW244" s="815"/>
      <c r="XX244" s="815"/>
      <c r="XY244" s="815"/>
      <c r="XZ244" s="815"/>
      <c r="YA244" s="815"/>
      <c r="YB244" s="815"/>
      <c r="YC244" s="815"/>
      <c r="YD244" s="815"/>
      <c r="YE244" s="815"/>
      <c r="YF244" s="815"/>
      <c r="YG244" s="815"/>
      <c r="YH244" s="815"/>
      <c r="YI244" s="815"/>
      <c r="YJ244" s="815"/>
      <c r="YK244" s="815"/>
      <c r="YL244" s="815"/>
      <c r="YM244" s="815"/>
      <c r="YN244" s="815"/>
      <c r="YO244" s="815"/>
      <c r="YP244" s="815"/>
      <c r="YQ244" s="815"/>
      <c r="YR244" s="815"/>
      <c r="YS244" s="815"/>
      <c r="YT244" s="815"/>
      <c r="YU244" s="815"/>
      <c r="YV244" s="815"/>
      <c r="YW244" s="815"/>
      <c r="YX244" s="815"/>
      <c r="YY244" s="815"/>
      <c r="YZ244" s="815"/>
      <c r="ZA244" s="815"/>
      <c r="ZB244" s="815"/>
      <c r="ZC244" s="815"/>
      <c r="ZD244" s="815"/>
      <c r="ZE244" s="815"/>
      <c r="ZF244" s="815"/>
      <c r="ZG244" s="815"/>
      <c r="ZH244" s="815"/>
      <c r="ZI244" s="815"/>
      <c r="ZJ244" s="815"/>
      <c r="ZK244" s="815"/>
      <c r="ZL244" s="815"/>
      <c r="ZM244" s="815"/>
      <c r="ZN244" s="815"/>
      <c r="ZO244" s="815"/>
      <c r="ZP244" s="815"/>
      <c r="ZQ244" s="815"/>
      <c r="ZR244" s="815"/>
      <c r="ZS244" s="815"/>
      <c r="ZT244" s="815"/>
      <c r="ZU244" s="815"/>
      <c r="ZV244" s="815"/>
      <c r="ZW244" s="815"/>
      <c r="ZX244" s="815"/>
      <c r="ZY244" s="815"/>
      <c r="ZZ244" s="815"/>
      <c r="AAA244" s="815"/>
      <c r="AAB244" s="815"/>
      <c r="AAC244" s="815"/>
      <c r="AAD244" s="815"/>
      <c r="AAE244" s="815"/>
      <c r="AAF244" s="815"/>
      <c r="AAG244" s="815"/>
      <c r="AAH244" s="815"/>
      <c r="AAI244" s="815"/>
      <c r="AAJ244" s="815"/>
      <c r="AAK244" s="815"/>
      <c r="AAL244" s="815"/>
      <c r="AAM244" s="815"/>
      <c r="AAN244" s="815"/>
      <c r="AAO244" s="815"/>
      <c r="AAP244" s="815"/>
      <c r="AAQ244" s="815"/>
      <c r="AAR244" s="815"/>
      <c r="AAS244" s="815"/>
      <c r="AAT244" s="815"/>
      <c r="AAU244" s="815"/>
      <c r="AAV244" s="815"/>
      <c r="AAW244" s="815"/>
      <c r="AAX244" s="815"/>
      <c r="AAY244" s="815"/>
      <c r="AAZ244" s="815"/>
      <c r="ABA244" s="815"/>
      <c r="ABB244" s="815"/>
      <c r="ABC244" s="815"/>
      <c r="ABD244" s="815"/>
      <c r="ABE244" s="815"/>
      <c r="ABF244" s="815"/>
      <c r="ABG244" s="815"/>
      <c r="ABH244" s="815"/>
      <c r="ABI244" s="815"/>
      <c r="ABJ244" s="815"/>
      <c r="ABK244" s="815"/>
      <c r="ABL244" s="815"/>
      <c r="ABM244" s="815"/>
      <c r="ABN244" s="815"/>
      <c r="ABO244" s="815"/>
      <c r="ABP244" s="815"/>
      <c r="ABQ244" s="815"/>
      <c r="ABR244" s="815"/>
      <c r="ABS244" s="815"/>
      <c r="ABT244" s="815"/>
      <c r="ABU244" s="815"/>
      <c r="ABV244" s="815"/>
      <c r="ABW244" s="815"/>
      <c r="ABX244" s="815"/>
      <c r="ABY244" s="815"/>
      <c r="ABZ244" s="815"/>
      <c r="ACA244" s="815"/>
      <c r="ACB244" s="815"/>
      <c r="ACC244" s="815"/>
      <c r="ACD244" s="815"/>
      <c r="ACE244" s="815"/>
      <c r="ACF244" s="815"/>
      <c r="ACG244" s="815"/>
      <c r="ACH244" s="815"/>
      <c r="ACI244" s="815"/>
      <c r="ACJ244" s="815"/>
      <c r="ACK244" s="815"/>
      <c r="ACL244" s="815"/>
      <c r="ACM244" s="815"/>
      <c r="ACN244" s="815"/>
      <c r="ACO244" s="815"/>
      <c r="ACP244" s="815"/>
      <c r="ACQ244" s="815"/>
      <c r="ACR244" s="815"/>
      <c r="ACS244" s="815"/>
      <c r="ACT244" s="815"/>
      <c r="ACU244" s="815"/>
      <c r="ACV244" s="815"/>
      <c r="ACW244" s="815"/>
      <c r="ACX244" s="815"/>
      <c r="ACY244" s="815"/>
      <c r="ACZ244" s="815"/>
      <c r="ADA244" s="815"/>
      <c r="ADB244" s="815"/>
      <c r="ADC244" s="815"/>
      <c r="ADD244" s="815"/>
      <c r="ADE244" s="815"/>
      <c r="ADF244" s="815"/>
      <c r="ADG244" s="815"/>
      <c r="ADH244" s="815"/>
      <c r="ADI244" s="815"/>
      <c r="ADJ244" s="815"/>
      <c r="ADK244" s="815"/>
      <c r="ADL244" s="815"/>
      <c r="ADM244" s="815"/>
      <c r="ADN244" s="815"/>
      <c r="ADO244" s="815"/>
      <c r="ADP244" s="815"/>
      <c r="ADQ244" s="815"/>
      <c r="ADR244" s="815"/>
      <c r="ADS244" s="815"/>
      <c r="ADT244" s="815"/>
      <c r="ADU244" s="815"/>
      <c r="ADV244" s="815"/>
      <c r="ADW244" s="815"/>
      <c r="ADX244" s="815"/>
      <c r="ADY244" s="815"/>
      <c r="ADZ244" s="815"/>
      <c r="AEA244" s="815"/>
      <c r="AEB244" s="815"/>
      <c r="AEC244" s="815"/>
      <c r="AED244" s="815"/>
      <c r="AEE244" s="815"/>
      <c r="AEF244" s="815"/>
      <c r="AEG244" s="815"/>
      <c r="AEH244" s="815"/>
      <c r="AEI244" s="815"/>
      <c r="AEJ244" s="815"/>
      <c r="AEK244" s="815"/>
      <c r="AEL244" s="815"/>
      <c r="AEM244" s="815"/>
      <c r="AEN244" s="815"/>
      <c r="AEO244" s="815"/>
      <c r="AEP244" s="815"/>
      <c r="AEQ244" s="815"/>
      <c r="AER244" s="815"/>
      <c r="AES244" s="815"/>
      <c r="AET244" s="815"/>
      <c r="AEU244" s="815"/>
      <c r="AEV244" s="815"/>
      <c r="AEW244" s="815"/>
      <c r="AEX244" s="815"/>
      <c r="AEY244" s="815"/>
      <c r="AEZ244" s="815"/>
      <c r="AFA244" s="815"/>
      <c r="AFB244" s="815"/>
      <c r="AFC244" s="815"/>
      <c r="AFD244" s="815"/>
      <c r="AFE244" s="815"/>
      <c r="AFF244" s="815"/>
      <c r="AFG244" s="815"/>
      <c r="AFH244" s="815"/>
      <c r="AFI244" s="815"/>
      <c r="AFJ244" s="815"/>
      <c r="AFK244" s="815"/>
      <c r="AFL244" s="815"/>
      <c r="AFM244" s="815"/>
      <c r="AFN244" s="815"/>
      <c r="AFO244" s="815"/>
      <c r="AFP244" s="815"/>
      <c r="AFQ244" s="815"/>
      <c r="AFR244" s="815"/>
      <c r="AFS244" s="815"/>
      <c r="AFT244" s="815"/>
      <c r="AFU244" s="815"/>
      <c r="AFV244" s="815"/>
      <c r="AFW244" s="815"/>
      <c r="AFX244" s="815"/>
      <c r="AFY244" s="815"/>
      <c r="AFZ244" s="815"/>
      <c r="AGA244" s="815"/>
      <c r="AGB244" s="815"/>
      <c r="AGC244" s="815"/>
      <c r="AGD244" s="815"/>
      <c r="AGE244" s="815"/>
      <c r="AGF244" s="815"/>
      <c r="AGG244" s="815"/>
      <c r="AGH244" s="815"/>
      <c r="AGI244" s="815"/>
      <c r="AGJ244" s="815"/>
    </row>
    <row r="245" spans="1:868" s="816" customFormat="1">
      <c r="A245" s="68" t="str">
        <f>Clothing!A433</f>
        <v>Clothing (product sector)</v>
      </c>
      <c r="B245" s="304" t="str">
        <f>Clothing!B433</f>
        <v>Jackets and coats</v>
      </c>
      <c r="C245" s="69" t="str">
        <f>Clothing!C433</f>
        <v>EU</v>
      </c>
      <c r="D245" s="823" t="str">
        <f>Clothing!D433</f>
        <v>Acryl</v>
      </c>
      <c r="E245" s="69">
        <f>Clothing!E433</f>
        <v>0.51736573699999999</v>
      </c>
      <c r="F245" s="823">
        <f>Clothing!F433</f>
        <v>1</v>
      </c>
      <c r="G245" s="69" t="str">
        <f>Clothing!G433</f>
        <v>https://eeb.org/library/draft-product-environmental-footprint-category-rules-pefcr-apparel-and-footwear/</v>
      </c>
      <c r="H245" s="1188"/>
      <c r="I245" s="307">
        <f>Clothing!I433</f>
        <v>1</v>
      </c>
      <c r="J245" s="307">
        <f>Clothing!J433</f>
        <v>2</v>
      </c>
      <c r="K245" s="307">
        <f>Clothing!K433</f>
        <v>1</v>
      </c>
      <c r="L245" s="307">
        <f>Clothing!L433</f>
        <v>2</v>
      </c>
      <c r="M245" s="307">
        <f>Clothing!M433</f>
        <v>2</v>
      </c>
      <c r="N245" s="616" t="str">
        <f>IF( OR( ISBLANK(H245),ISBLANK(J245), ISBLANK(K245), ISBLANK(L245), ISBLANK(M245) ), "", 1.5*SQRT(   EXP(2.21*(H245-1)) + EXP(2.21*(J245-1)) + EXP(2.21*(K245-1)) + EXP(2.21*(L245-1)) + EXP(2.21*M245)   )/100*2.45 )</f>
        <v/>
      </c>
      <c r="O245" s="1282">
        <f>IF( OR( ISBLANK(I245),ISBLANK(J245), ISBLANK(K245), ISBLANK(L245), ISBLANK(M245) ), "", 1.5*SQRT( EXP(2.21*(I245-1)) + EXP(2.21*(J245-1)) + EXP(2.21*(K245-1)) + EXP(2.21*(L245-1)) + EXP(2.21*M245)   )/100*2.45 )</f>
        <v>0.37356464144298934</v>
      </c>
      <c r="P245" s="68"/>
      <c r="Q245" s="815"/>
      <c r="R245" s="815"/>
      <c r="S245" s="815"/>
      <c r="T245" s="815"/>
      <c r="U245" s="815"/>
      <c r="V245" s="815"/>
      <c r="W245" s="815"/>
      <c r="X245" s="815"/>
      <c r="Y245" s="815"/>
      <c r="Z245" s="815"/>
      <c r="AA245" s="815"/>
      <c r="AB245" s="815"/>
      <c r="AC245" s="815"/>
      <c r="AD245" s="815"/>
      <c r="AE245" s="815"/>
      <c r="AF245" s="815"/>
      <c r="AG245" s="815"/>
      <c r="AH245" s="815"/>
      <c r="AI245" s="815"/>
      <c r="AJ245" s="815"/>
      <c r="AK245" s="815"/>
      <c r="AL245" s="815"/>
      <c r="AM245" s="815"/>
      <c r="AN245" s="815"/>
      <c r="AO245" s="815"/>
      <c r="AP245" s="815"/>
      <c r="AQ245" s="815"/>
      <c r="AR245" s="815"/>
      <c r="AS245" s="815"/>
      <c r="AT245" s="815"/>
      <c r="AU245" s="815"/>
      <c r="AV245" s="815"/>
      <c r="AW245" s="815"/>
      <c r="AX245" s="815"/>
      <c r="AY245" s="815"/>
      <c r="AZ245" s="815"/>
      <c r="BA245" s="815"/>
      <c r="BB245" s="815"/>
      <c r="BC245" s="815"/>
      <c r="BD245" s="815"/>
      <c r="BE245" s="815"/>
      <c r="BF245" s="815"/>
      <c r="BG245" s="815"/>
      <c r="BH245" s="815"/>
      <c r="BI245" s="815"/>
      <c r="BJ245" s="815"/>
      <c r="BK245" s="815"/>
      <c r="BL245" s="815"/>
      <c r="BM245" s="815"/>
      <c r="BN245" s="815"/>
      <c r="BO245" s="815"/>
      <c r="BP245" s="815"/>
      <c r="BQ245" s="815"/>
      <c r="BR245" s="815"/>
      <c r="BS245" s="815"/>
      <c r="BT245" s="815"/>
      <c r="BU245" s="815"/>
      <c r="BV245" s="815"/>
      <c r="BW245" s="815"/>
      <c r="BX245" s="815"/>
      <c r="BY245" s="815"/>
      <c r="BZ245" s="815"/>
      <c r="CA245" s="815"/>
      <c r="CB245" s="815"/>
      <c r="CC245" s="815"/>
      <c r="CD245" s="815"/>
      <c r="CE245" s="815"/>
      <c r="CF245" s="815"/>
      <c r="CG245" s="815"/>
      <c r="CH245" s="815"/>
      <c r="CI245" s="815"/>
      <c r="CJ245" s="815"/>
      <c r="CK245" s="815"/>
      <c r="CL245" s="815"/>
      <c r="CM245" s="815"/>
      <c r="CN245" s="815"/>
      <c r="CO245" s="815"/>
      <c r="CP245" s="815"/>
      <c r="CQ245" s="815"/>
      <c r="CR245" s="815"/>
      <c r="CS245" s="815"/>
      <c r="CT245" s="815"/>
      <c r="CU245" s="815"/>
      <c r="CV245" s="815"/>
      <c r="CW245" s="815"/>
      <c r="CX245" s="815"/>
      <c r="CY245" s="815"/>
      <c r="CZ245" s="815"/>
      <c r="DA245" s="815"/>
      <c r="DB245" s="815"/>
      <c r="DC245" s="815"/>
      <c r="DD245" s="815"/>
      <c r="DE245" s="815"/>
      <c r="DF245" s="815"/>
      <c r="DG245" s="815"/>
      <c r="DH245" s="815"/>
      <c r="DI245" s="815"/>
      <c r="DJ245" s="815"/>
      <c r="DK245" s="815"/>
      <c r="DL245" s="815"/>
      <c r="DM245" s="815"/>
      <c r="DN245" s="815"/>
      <c r="DO245" s="815"/>
      <c r="DP245" s="815"/>
      <c r="DQ245" s="815"/>
      <c r="DR245" s="815"/>
      <c r="DS245" s="815"/>
      <c r="DT245" s="815"/>
      <c r="DU245" s="815"/>
      <c r="DV245" s="815"/>
      <c r="DW245" s="815"/>
      <c r="DX245" s="815"/>
      <c r="DY245" s="815"/>
      <c r="DZ245" s="815"/>
      <c r="EA245" s="815"/>
      <c r="EB245" s="815"/>
      <c r="EC245" s="815"/>
      <c r="ED245" s="815"/>
      <c r="EE245" s="815"/>
      <c r="EF245" s="815"/>
      <c r="EG245" s="815"/>
      <c r="EH245" s="815"/>
      <c r="EI245" s="815"/>
      <c r="EJ245" s="815"/>
      <c r="EK245" s="815"/>
      <c r="EL245" s="815"/>
      <c r="EM245" s="815"/>
      <c r="EN245" s="815"/>
      <c r="EO245" s="815"/>
      <c r="EP245" s="815"/>
      <c r="EQ245" s="815"/>
      <c r="ER245" s="815"/>
      <c r="ES245" s="815"/>
      <c r="ET245" s="815"/>
      <c r="EU245" s="815"/>
      <c r="EV245" s="815"/>
      <c r="EW245" s="815"/>
      <c r="EX245" s="815"/>
      <c r="EY245" s="815"/>
      <c r="EZ245" s="815"/>
      <c r="FA245" s="815"/>
      <c r="FB245" s="815"/>
      <c r="FC245" s="815"/>
      <c r="FD245" s="815"/>
      <c r="FE245" s="815"/>
      <c r="FF245" s="815"/>
      <c r="FG245" s="815"/>
      <c r="FH245" s="815"/>
      <c r="FI245" s="815"/>
      <c r="FJ245" s="815"/>
      <c r="FK245" s="815"/>
      <c r="FL245" s="815"/>
      <c r="FM245" s="815"/>
      <c r="FN245" s="815"/>
      <c r="FO245" s="815"/>
      <c r="FP245" s="815"/>
      <c r="FQ245" s="815"/>
      <c r="FR245" s="815"/>
      <c r="FS245" s="815"/>
      <c r="FT245" s="815"/>
      <c r="FU245" s="815"/>
      <c r="FV245" s="815"/>
      <c r="FW245" s="815"/>
      <c r="FX245" s="815"/>
      <c r="FY245" s="815"/>
      <c r="FZ245" s="815"/>
      <c r="GA245" s="815"/>
      <c r="GB245" s="815"/>
      <c r="GC245" s="815"/>
      <c r="GD245" s="815"/>
      <c r="GE245" s="815"/>
      <c r="GF245" s="815"/>
      <c r="GG245" s="815"/>
      <c r="GH245" s="815"/>
      <c r="GI245" s="815"/>
      <c r="GJ245" s="815"/>
      <c r="GK245" s="815"/>
      <c r="GL245" s="815"/>
      <c r="GM245" s="815"/>
      <c r="GN245" s="815"/>
      <c r="GO245" s="815"/>
      <c r="GP245" s="815"/>
      <c r="GQ245" s="815"/>
      <c r="GR245" s="815"/>
      <c r="GS245" s="815"/>
      <c r="GT245" s="815"/>
      <c r="GU245" s="815"/>
      <c r="GV245" s="815"/>
      <c r="GW245" s="815"/>
      <c r="GX245" s="815"/>
      <c r="GY245" s="815"/>
      <c r="GZ245" s="815"/>
      <c r="HA245" s="815"/>
      <c r="HB245" s="815"/>
      <c r="HC245" s="815"/>
      <c r="HD245" s="815"/>
      <c r="HE245" s="815"/>
      <c r="HF245" s="815"/>
      <c r="HG245" s="815"/>
      <c r="HH245" s="815"/>
      <c r="HI245" s="815"/>
      <c r="HJ245" s="815"/>
      <c r="HK245" s="815"/>
      <c r="HL245" s="815"/>
      <c r="HM245" s="815"/>
      <c r="HN245" s="815"/>
      <c r="HO245" s="815"/>
      <c r="HP245" s="815"/>
      <c r="HQ245" s="815"/>
      <c r="HR245" s="815"/>
      <c r="HS245" s="815"/>
      <c r="HT245" s="815"/>
      <c r="HU245" s="815"/>
      <c r="HV245" s="815"/>
      <c r="HW245" s="815"/>
      <c r="HX245" s="815"/>
      <c r="HY245" s="815"/>
      <c r="HZ245" s="815"/>
      <c r="IA245" s="815"/>
      <c r="IB245" s="815"/>
      <c r="IC245" s="815"/>
      <c r="ID245" s="815"/>
      <c r="IE245" s="815"/>
      <c r="IF245" s="815"/>
      <c r="IG245" s="815"/>
      <c r="IH245" s="815"/>
      <c r="II245" s="815"/>
      <c r="IJ245" s="815"/>
      <c r="IK245" s="815"/>
      <c r="IL245" s="815"/>
      <c r="IM245" s="815"/>
      <c r="IN245" s="815"/>
      <c r="IO245" s="815"/>
      <c r="IP245" s="815"/>
      <c r="IQ245" s="815"/>
      <c r="IR245" s="815"/>
      <c r="IS245" s="815"/>
      <c r="IT245" s="815"/>
      <c r="IU245" s="815"/>
      <c r="IV245" s="815"/>
      <c r="IW245" s="815"/>
      <c r="IX245" s="815"/>
      <c r="IY245" s="815"/>
      <c r="IZ245" s="815"/>
      <c r="JA245" s="815"/>
      <c r="JB245" s="815"/>
      <c r="JC245" s="815"/>
      <c r="JD245" s="815"/>
      <c r="JE245" s="815"/>
      <c r="JF245" s="815"/>
      <c r="JG245" s="815"/>
      <c r="JH245" s="815"/>
      <c r="JI245" s="815"/>
      <c r="JJ245" s="815"/>
      <c r="JK245" s="815"/>
      <c r="JL245" s="815"/>
      <c r="JM245" s="815"/>
      <c r="JN245" s="815"/>
      <c r="JO245" s="815"/>
      <c r="JP245" s="815"/>
      <c r="JQ245" s="815"/>
      <c r="JR245" s="815"/>
      <c r="JS245" s="815"/>
      <c r="JT245" s="815"/>
      <c r="JU245" s="815"/>
      <c r="JV245" s="815"/>
      <c r="JW245" s="815"/>
      <c r="JX245" s="815"/>
      <c r="JY245" s="815"/>
      <c r="JZ245" s="815"/>
      <c r="KA245" s="815"/>
      <c r="KB245" s="815"/>
      <c r="KC245" s="815"/>
      <c r="KD245" s="815"/>
      <c r="KE245" s="815"/>
      <c r="KF245" s="815"/>
      <c r="KG245" s="815"/>
      <c r="KH245" s="815"/>
      <c r="KI245" s="815"/>
      <c r="KJ245" s="815"/>
      <c r="KK245" s="815"/>
      <c r="KL245" s="815"/>
      <c r="KM245" s="815"/>
      <c r="KN245" s="815"/>
      <c r="KO245" s="815"/>
      <c r="KP245" s="815"/>
      <c r="KQ245" s="815"/>
      <c r="KR245" s="815"/>
      <c r="KS245" s="815"/>
      <c r="KT245" s="815"/>
      <c r="KU245" s="815"/>
      <c r="KV245" s="815"/>
      <c r="KW245" s="815"/>
      <c r="KX245" s="815"/>
      <c r="KY245" s="815"/>
      <c r="KZ245" s="815"/>
      <c r="LA245" s="815"/>
      <c r="LB245" s="815"/>
      <c r="LC245" s="815"/>
      <c r="LD245" s="815"/>
      <c r="LE245" s="815"/>
      <c r="LF245" s="815"/>
      <c r="LG245" s="815"/>
      <c r="LH245" s="815"/>
      <c r="LI245" s="815"/>
      <c r="LJ245" s="815"/>
      <c r="LK245" s="815"/>
      <c r="LL245" s="815"/>
      <c r="LM245" s="815"/>
      <c r="LN245" s="815"/>
      <c r="LO245" s="815"/>
      <c r="LP245" s="815"/>
      <c r="LQ245" s="815"/>
      <c r="LR245" s="815"/>
      <c r="LS245" s="815"/>
      <c r="LT245" s="815"/>
      <c r="LU245" s="815"/>
      <c r="LV245" s="815"/>
      <c r="LW245" s="815"/>
      <c r="LX245" s="815"/>
      <c r="LY245" s="815"/>
      <c r="LZ245" s="815"/>
      <c r="MA245" s="815"/>
      <c r="MB245" s="815"/>
      <c r="MC245" s="815"/>
      <c r="MD245" s="815"/>
      <c r="ME245" s="815"/>
      <c r="MF245" s="815"/>
      <c r="MG245" s="815"/>
      <c r="MH245" s="815"/>
      <c r="MI245" s="815"/>
      <c r="MJ245" s="815"/>
      <c r="MK245" s="815"/>
      <c r="ML245" s="815"/>
      <c r="MM245" s="815"/>
      <c r="MN245" s="815"/>
      <c r="MO245" s="815"/>
      <c r="MP245" s="815"/>
      <c r="MQ245" s="815"/>
      <c r="MR245" s="815"/>
      <c r="MS245" s="815"/>
      <c r="MT245" s="815"/>
      <c r="MU245" s="815"/>
      <c r="MV245" s="815"/>
      <c r="MW245" s="815"/>
      <c r="MX245" s="815"/>
      <c r="MY245" s="815"/>
      <c r="MZ245" s="815"/>
      <c r="NA245" s="815"/>
      <c r="NB245" s="815"/>
      <c r="NC245" s="815"/>
      <c r="ND245" s="815"/>
      <c r="NE245" s="815"/>
      <c r="NF245" s="815"/>
      <c r="NG245" s="815"/>
      <c r="NH245" s="815"/>
      <c r="NI245" s="815"/>
      <c r="NJ245" s="815"/>
      <c r="NK245" s="815"/>
      <c r="NL245" s="815"/>
      <c r="NM245" s="815"/>
      <c r="NN245" s="815"/>
      <c r="NO245" s="815"/>
      <c r="NP245" s="815"/>
      <c r="NQ245" s="815"/>
      <c r="NR245" s="815"/>
      <c r="NS245" s="815"/>
      <c r="NT245" s="815"/>
      <c r="NU245" s="815"/>
      <c r="NV245" s="815"/>
      <c r="NW245" s="815"/>
      <c r="NX245" s="815"/>
      <c r="NY245" s="815"/>
      <c r="NZ245" s="815"/>
      <c r="OA245" s="815"/>
      <c r="OB245" s="815"/>
      <c r="OC245" s="815"/>
      <c r="OD245" s="815"/>
      <c r="OE245" s="815"/>
      <c r="OF245" s="815"/>
      <c r="OG245" s="815"/>
      <c r="OH245" s="815"/>
      <c r="OI245" s="815"/>
      <c r="OJ245" s="815"/>
      <c r="OK245" s="815"/>
      <c r="OL245" s="815"/>
      <c r="OM245" s="815"/>
      <c r="ON245" s="815"/>
      <c r="OO245" s="815"/>
      <c r="OP245" s="815"/>
      <c r="OQ245" s="815"/>
      <c r="OR245" s="815"/>
      <c r="OS245" s="815"/>
      <c r="OT245" s="815"/>
      <c r="OU245" s="815"/>
      <c r="OV245" s="815"/>
      <c r="OW245" s="815"/>
      <c r="OX245" s="815"/>
      <c r="OY245" s="815"/>
      <c r="OZ245" s="815"/>
      <c r="PA245" s="815"/>
      <c r="PB245" s="815"/>
      <c r="PC245" s="815"/>
      <c r="PD245" s="815"/>
      <c r="PE245" s="815"/>
      <c r="PF245" s="815"/>
      <c r="PG245" s="815"/>
      <c r="PH245" s="815"/>
      <c r="PI245" s="815"/>
      <c r="PJ245" s="815"/>
      <c r="PK245" s="815"/>
      <c r="PL245" s="815"/>
      <c r="PM245" s="815"/>
      <c r="PN245" s="815"/>
      <c r="PO245" s="815"/>
      <c r="PP245" s="815"/>
      <c r="PQ245" s="815"/>
      <c r="PR245" s="815"/>
      <c r="PS245" s="815"/>
      <c r="PT245" s="815"/>
      <c r="PU245" s="815"/>
      <c r="PV245" s="815"/>
      <c r="PW245" s="815"/>
      <c r="PX245" s="815"/>
      <c r="PY245" s="815"/>
      <c r="PZ245" s="815"/>
      <c r="QA245" s="815"/>
      <c r="QB245" s="815"/>
      <c r="QC245" s="815"/>
      <c r="QD245" s="815"/>
      <c r="QE245" s="815"/>
      <c r="QF245" s="815"/>
      <c r="QG245" s="815"/>
      <c r="QH245" s="815"/>
      <c r="QI245" s="815"/>
      <c r="QJ245" s="815"/>
      <c r="QK245" s="815"/>
      <c r="QL245" s="815"/>
      <c r="QM245" s="815"/>
      <c r="QN245" s="815"/>
      <c r="QO245" s="815"/>
      <c r="QP245" s="815"/>
      <c r="QQ245" s="815"/>
      <c r="QR245" s="815"/>
      <c r="QS245" s="815"/>
      <c r="QT245" s="815"/>
      <c r="QU245" s="815"/>
      <c r="QV245" s="815"/>
      <c r="QW245" s="815"/>
      <c r="QX245" s="815"/>
      <c r="QY245" s="815"/>
      <c r="QZ245" s="815"/>
      <c r="RA245" s="815"/>
      <c r="RB245" s="815"/>
      <c r="RC245" s="815"/>
      <c r="RD245" s="815"/>
      <c r="RE245" s="815"/>
      <c r="RF245" s="815"/>
      <c r="RG245" s="815"/>
      <c r="RH245" s="815"/>
      <c r="RI245" s="815"/>
      <c r="RJ245" s="815"/>
      <c r="RK245" s="815"/>
      <c r="RL245" s="815"/>
      <c r="RM245" s="815"/>
      <c r="RN245" s="815"/>
      <c r="RO245" s="815"/>
      <c r="RP245" s="815"/>
      <c r="RQ245" s="815"/>
      <c r="RR245" s="815"/>
      <c r="RS245" s="815"/>
      <c r="RT245" s="815"/>
      <c r="RU245" s="815"/>
      <c r="RV245" s="815"/>
      <c r="RW245" s="815"/>
      <c r="RX245" s="815"/>
      <c r="RY245" s="815"/>
      <c r="RZ245" s="815"/>
      <c r="SA245" s="815"/>
      <c r="SB245" s="815"/>
      <c r="SC245" s="815"/>
      <c r="SD245" s="815"/>
      <c r="SE245" s="815"/>
      <c r="SF245" s="815"/>
      <c r="SG245" s="815"/>
      <c r="SH245" s="815"/>
      <c r="SI245" s="815"/>
      <c r="SJ245" s="815"/>
      <c r="SK245" s="815"/>
      <c r="SL245" s="815"/>
      <c r="SM245" s="815"/>
      <c r="SN245" s="815"/>
      <c r="SO245" s="815"/>
      <c r="SP245" s="815"/>
      <c r="SQ245" s="815"/>
      <c r="SR245" s="815"/>
      <c r="SS245" s="815"/>
      <c r="ST245" s="815"/>
      <c r="SU245" s="815"/>
      <c r="SV245" s="815"/>
      <c r="SW245" s="815"/>
      <c r="SX245" s="815"/>
      <c r="SY245" s="815"/>
      <c r="SZ245" s="815"/>
      <c r="TA245" s="815"/>
      <c r="TB245" s="815"/>
      <c r="TC245" s="815"/>
      <c r="TD245" s="815"/>
      <c r="TE245" s="815"/>
      <c r="TF245" s="815"/>
      <c r="TG245" s="815"/>
      <c r="TH245" s="815"/>
      <c r="TI245" s="815"/>
      <c r="TJ245" s="815"/>
      <c r="TK245" s="815"/>
      <c r="TL245" s="815"/>
      <c r="TM245" s="815"/>
      <c r="TN245" s="815"/>
      <c r="TO245" s="815"/>
      <c r="TP245" s="815"/>
      <c r="TQ245" s="815"/>
      <c r="TR245" s="815"/>
      <c r="TS245" s="815"/>
      <c r="TT245" s="815"/>
      <c r="TU245" s="815"/>
      <c r="TV245" s="815"/>
      <c r="TW245" s="815"/>
      <c r="TX245" s="815"/>
      <c r="TY245" s="815"/>
      <c r="TZ245" s="815"/>
      <c r="UA245" s="815"/>
      <c r="UB245" s="815"/>
      <c r="UC245" s="815"/>
      <c r="UD245" s="815"/>
      <c r="UE245" s="815"/>
      <c r="UF245" s="815"/>
      <c r="UG245" s="815"/>
      <c r="UH245" s="815"/>
      <c r="UI245" s="815"/>
      <c r="UJ245" s="815"/>
      <c r="UK245" s="815"/>
      <c r="UL245" s="815"/>
      <c r="UM245" s="815"/>
      <c r="UN245" s="815"/>
      <c r="UO245" s="815"/>
      <c r="UP245" s="815"/>
      <c r="UQ245" s="815"/>
      <c r="UR245" s="815"/>
      <c r="US245" s="815"/>
      <c r="UT245" s="815"/>
      <c r="UU245" s="815"/>
      <c r="UV245" s="815"/>
      <c r="UW245" s="815"/>
      <c r="UX245" s="815"/>
      <c r="UY245" s="815"/>
      <c r="UZ245" s="815"/>
      <c r="VA245" s="815"/>
      <c r="VB245" s="815"/>
      <c r="VC245" s="815"/>
      <c r="VD245" s="815"/>
      <c r="VE245" s="815"/>
      <c r="VF245" s="815"/>
      <c r="VG245" s="815"/>
      <c r="VH245" s="815"/>
      <c r="VI245" s="815"/>
      <c r="VJ245" s="815"/>
      <c r="VK245" s="815"/>
      <c r="VL245" s="815"/>
      <c r="VM245" s="815"/>
      <c r="VN245" s="815"/>
      <c r="VO245" s="815"/>
      <c r="VP245" s="815"/>
      <c r="VQ245" s="815"/>
      <c r="VR245" s="815"/>
      <c r="VS245" s="815"/>
      <c r="VT245" s="815"/>
      <c r="VU245" s="815"/>
      <c r="VV245" s="815"/>
      <c r="VW245" s="815"/>
      <c r="VX245" s="815"/>
      <c r="VY245" s="815"/>
      <c r="VZ245" s="815"/>
      <c r="WA245" s="815"/>
      <c r="WB245" s="815"/>
      <c r="WC245" s="815"/>
      <c r="WD245" s="815"/>
      <c r="WE245" s="815"/>
      <c r="WF245" s="815"/>
      <c r="WG245" s="815"/>
      <c r="WH245" s="815"/>
      <c r="WI245" s="815"/>
      <c r="WJ245" s="815"/>
      <c r="WK245" s="815"/>
      <c r="WL245" s="815"/>
      <c r="WM245" s="815"/>
      <c r="WN245" s="815"/>
      <c r="WO245" s="815"/>
      <c r="WP245" s="815"/>
      <c r="WQ245" s="815"/>
      <c r="WR245" s="815"/>
      <c r="WS245" s="815"/>
      <c r="WT245" s="815"/>
      <c r="WU245" s="815"/>
      <c r="WV245" s="815"/>
      <c r="WW245" s="815"/>
      <c r="WX245" s="815"/>
      <c r="WY245" s="815"/>
      <c r="WZ245" s="815"/>
      <c r="XA245" s="815"/>
      <c r="XB245" s="815"/>
      <c r="XC245" s="815"/>
      <c r="XD245" s="815"/>
      <c r="XE245" s="815"/>
      <c r="XF245" s="815"/>
      <c r="XG245" s="815"/>
      <c r="XH245" s="815"/>
      <c r="XI245" s="815"/>
      <c r="XJ245" s="815"/>
      <c r="XK245" s="815"/>
      <c r="XL245" s="815"/>
      <c r="XM245" s="815"/>
      <c r="XN245" s="815"/>
      <c r="XO245" s="815"/>
      <c r="XP245" s="815"/>
      <c r="XQ245" s="815"/>
      <c r="XR245" s="815"/>
      <c r="XS245" s="815"/>
      <c r="XT245" s="815"/>
      <c r="XU245" s="815"/>
      <c r="XV245" s="815"/>
      <c r="XW245" s="815"/>
      <c r="XX245" s="815"/>
      <c r="XY245" s="815"/>
      <c r="XZ245" s="815"/>
      <c r="YA245" s="815"/>
      <c r="YB245" s="815"/>
      <c r="YC245" s="815"/>
      <c r="YD245" s="815"/>
      <c r="YE245" s="815"/>
      <c r="YF245" s="815"/>
      <c r="YG245" s="815"/>
      <c r="YH245" s="815"/>
      <c r="YI245" s="815"/>
      <c r="YJ245" s="815"/>
      <c r="YK245" s="815"/>
      <c r="YL245" s="815"/>
      <c r="YM245" s="815"/>
      <c r="YN245" s="815"/>
      <c r="YO245" s="815"/>
      <c r="YP245" s="815"/>
      <c r="YQ245" s="815"/>
      <c r="YR245" s="815"/>
      <c r="YS245" s="815"/>
      <c r="YT245" s="815"/>
      <c r="YU245" s="815"/>
      <c r="YV245" s="815"/>
      <c r="YW245" s="815"/>
      <c r="YX245" s="815"/>
      <c r="YY245" s="815"/>
      <c r="YZ245" s="815"/>
      <c r="ZA245" s="815"/>
      <c r="ZB245" s="815"/>
      <c r="ZC245" s="815"/>
      <c r="ZD245" s="815"/>
      <c r="ZE245" s="815"/>
      <c r="ZF245" s="815"/>
      <c r="ZG245" s="815"/>
      <c r="ZH245" s="815"/>
      <c r="ZI245" s="815"/>
      <c r="ZJ245" s="815"/>
      <c r="ZK245" s="815"/>
      <c r="ZL245" s="815"/>
      <c r="ZM245" s="815"/>
      <c r="ZN245" s="815"/>
      <c r="ZO245" s="815"/>
      <c r="ZP245" s="815"/>
      <c r="ZQ245" s="815"/>
      <c r="ZR245" s="815"/>
      <c r="ZS245" s="815"/>
      <c r="ZT245" s="815"/>
      <c r="ZU245" s="815"/>
      <c r="ZV245" s="815"/>
      <c r="ZW245" s="815"/>
      <c r="ZX245" s="815"/>
      <c r="ZY245" s="815"/>
      <c r="ZZ245" s="815"/>
      <c r="AAA245" s="815"/>
      <c r="AAB245" s="815"/>
      <c r="AAC245" s="815"/>
      <c r="AAD245" s="815"/>
      <c r="AAE245" s="815"/>
      <c r="AAF245" s="815"/>
      <c r="AAG245" s="815"/>
      <c r="AAH245" s="815"/>
      <c r="AAI245" s="815"/>
      <c r="AAJ245" s="815"/>
      <c r="AAK245" s="815"/>
      <c r="AAL245" s="815"/>
      <c r="AAM245" s="815"/>
      <c r="AAN245" s="815"/>
      <c r="AAO245" s="815"/>
      <c r="AAP245" s="815"/>
      <c r="AAQ245" s="815"/>
      <c r="AAR245" s="815"/>
      <c r="AAS245" s="815"/>
      <c r="AAT245" s="815"/>
      <c r="AAU245" s="815"/>
      <c r="AAV245" s="815"/>
      <c r="AAW245" s="815"/>
      <c r="AAX245" s="815"/>
      <c r="AAY245" s="815"/>
      <c r="AAZ245" s="815"/>
      <c r="ABA245" s="815"/>
      <c r="ABB245" s="815"/>
      <c r="ABC245" s="815"/>
      <c r="ABD245" s="815"/>
      <c r="ABE245" s="815"/>
      <c r="ABF245" s="815"/>
      <c r="ABG245" s="815"/>
      <c r="ABH245" s="815"/>
      <c r="ABI245" s="815"/>
      <c r="ABJ245" s="815"/>
      <c r="ABK245" s="815"/>
      <c r="ABL245" s="815"/>
      <c r="ABM245" s="815"/>
      <c r="ABN245" s="815"/>
      <c r="ABO245" s="815"/>
      <c r="ABP245" s="815"/>
      <c r="ABQ245" s="815"/>
      <c r="ABR245" s="815"/>
      <c r="ABS245" s="815"/>
      <c r="ABT245" s="815"/>
      <c r="ABU245" s="815"/>
      <c r="ABV245" s="815"/>
      <c r="ABW245" s="815"/>
      <c r="ABX245" s="815"/>
      <c r="ABY245" s="815"/>
      <c r="ABZ245" s="815"/>
      <c r="ACA245" s="815"/>
      <c r="ACB245" s="815"/>
      <c r="ACC245" s="815"/>
      <c r="ACD245" s="815"/>
      <c r="ACE245" s="815"/>
      <c r="ACF245" s="815"/>
      <c r="ACG245" s="815"/>
      <c r="ACH245" s="815"/>
      <c r="ACI245" s="815"/>
      <c r="ACJ245" s="815"/>
      <c r="ACK245" s="815"/>
      <c r="ACL245" s="815"/>
      <c r="ACM245" s="815"/>
      <c r="ACN245" s="815"/>
      <c r="ACO245" s="815"/>
      <c r="ACP245" s="815"/>
      <c r="ACQ245" s="815"/>
      <c r="ACR245" s="815"/>
      <c r="ACS245" s="815"/>
      <c r="ACT245" s="815"/>
      <c r="ACU245" s="815"/>
      <c r="ACV245" s="815"/>
      <c r="ACW245" s="815"/>
      <c r="ACX245" s="815"/>
      <c r="ACY245" s="815"/>
      <c r="ACZ245" s="815"/>
      <c r="ADA245" s="815"/>
      <c r="ADB245" s="815"/>
      <c r="ADC245" s="815"/>
      <c r="ADD245" s="815"/>
      <c r="ADE245" s="815"/>
      <c r="ADF245" s="815"/>
      <c r="ADG245" s="815"/>
      <c r="ADH245" s="815"/>
      <c r="ADI245" s="815"/>
      <c r="ADJ245" s="815"/>
      <c r="ADK245" s="815"/>
      <c r="ADL245" s="815"/>
      <c r="ADM245" s="815"/>
      <c r="ADN245" s="815"/>
      <c r="ADO245" s="815"/>
      <c r="ADP245" s="815"/>
      <c r="ADQ245" s="815"/>
      <c r="ADR245" s="815"/>
      <c r="ADS245" s="815"/>
      <c r="ADT245" s="815"/>
      <c r="ADU245" s="815"/>
      <c r="ADV245" s="815"/>
      <c r="ADW245" s="815"/>
      <c r="ADX245" s="815"/>
      <c r="ADY245" s="815"/>
      <c r="ADZ245" s="815"/>
      <c r="AEA245" s="815"/>
      <c r="AEB245" s="815"/>
      <c r="AEC245" s="815"/>
      <c r="AED245" s="815"/>
      <c r="AEE245" s="815"/>
      <c r="AEF245" s="815"/>
      <c r="AEG245" s="815"/>
      <c r="AEH245" s="815"/>
      <c r="AEI245" s="815"/>
      <c r="AEJ245" s="815"/>
      <c r="AEK245" s="815"/>
      <c r="AEL245" s="815"/>
      <c r="AEM245" s="815"/>
      <c r="AEN245" s="815"/>
      <c r="AEO245" s="815"/>
      <c r="AEP245" s="815"/>
      <c r="AEQ245" s="815"/>
      <c r="AER245" s="815"/>
      <c r="AES245" s="815"/>
      <c r="AET245" s="815"/>
      <c r="AEU245" s="815"/>
      <c r="AEV245" s="815"/>
      <c r="AEW245" s="815"/>
      <c r="AEX245" s="815"/>
      <c r="AEY245" s="815"/>
      <c r="AEZ245" s="815"/>
      <c r="AFA245" s="815"/>
      <c r="AFB245" s="815"/>
      <c r="AFC245" s="815"/>
      <c r="AFD245" s="815"/>
      <c r="AFE245" s="815"/>
      <c r="AFF245" s="815"/>
      <c r="AFG245" s="815"/>
      <c r="AFH245" s="815"/>
      <c r="AFI245" s="815"/>
      <c r="AFJ245" s="815"/>
      <c r="AFK245" s="815"/>
      <c r="AFL245" s="815"/>
      <c r="AFM245" s="815"/>
      <c r="AFN245" s="815"/>
      <c r="AFO245" s="815"/>
      <c r="AFP245" s="815"/>
      <c r="AFQ245" s="815"/>
      <c r="AFR245" s="815"/>
      <c r="AFS245" s="815"/>
      <c r="AFT245" s="815"/>
      <c r="AFU245" s="815"/>
      <c r="AFV245" s="815"/>
      <c r="AFW245" s="815"/>
      <c r="AFX245" s="815"/>
      <c r="AFY245" s="815"/>
      <c r="AFZ245" s="815"/>
      <c r="AGA245" s="815"/>
      <c r="AGB245" s="815"/>
      <c r="AGC245" s="815"/>
      <c r="AGD245" s="815"/>
      <c r="AGE245" s="815"/>
      <c r="AGF245" s="815"/>
      <c r="AGG245" s="815"/>
      <c r="AGH245" s="815"/>
      <c r="AGI245" s="815"/>
      <c r="AGJ245" s="815"/>
    </row>
    <row r="246" spans="1:868" s="816" customFormat="1">
      <c r="A246" s="68" t="str">
        <f>Clothing!A434</f>
        <v>Clothing (product sector)</v>
      </c>
      <c r="B246" s="304" t="str">
        <f>Clothing!B434</f>
        <v>Jackets and coats</v>
      </c>
      <c r="C246" s="69" t="str">
        <f>Clothing!C434</f>
        <v>EU</v>
      </c>
      <c r="D246" s="823" t="str">
        <f>Clothing!D434</f>
        <v>OTHER</v>
      </c>
      <c r="E246" s="69">
        <f>Clothing!E434</f>
        <v>6.2168635E-2</v>
      </c>
      <c r="F246" s="823">
        <f>Clothing!F434</f>
        <v>1</v>
      </c>
      <c r="G246" s="69" t="str">
        <f>Clothing!G434</f>
        <v>https://eeb.org/library/draft-product-environmental-footprint-category-rules-pefcr-apparel-and-footwear/</v>
      </c>
      <c r="H246" s="1188"/>
      <c r="I246" s="307">
        <f>Clothing!I434</f>
        <v>1</v>
      </c>
      <c r="J246" s="307">
        <f>Clothing!J434</f>
        <v>2</v>
      </c>
      <c r="K246" s="307">
        <f>Clothing!K434</f>
        <v>1</v>
      </c>
      <c r="L246" s="307">
        <f>Clothing!L434</f>
        <v>2</v>
      </c>
      <c r="M246" s="307">
        <f>Clothing!M434</f>
        <v>2</v>
      </c>
      <c r="N246" s="616" t="str">
        <f>IF( OR( ISBLANK(H246),ISBLANK(J246), ISBLANK(K246), ISBLANK(L246), ISBLANK(M246) ), "", 1.5*SQRT(   EXP(2.21*(H246-1)) + EXP(2.21*(J246-1)) + EXP(2.21*(K246-1)) + EXP(2.21*(L246-1)) + EXP(2.21*M246)   )/100*2.45 )</f>
        <v/>
      </c>
      <c r="O246" s="1282">
        <f>IF( OR( ISBLANK(I246),ISBLANK(J246), ISBLANK(K246), ISBLANK(L246), ISBLANK(M246) ), "", 1.5*SQRT( EXP(2.21*(I246-1)) + EXP(2.21*(J246-1)) + EXP(2.21*(K246-1)) + EXP(2.21*(L246-1)) + EXP(2.21*M246)   )/100*2.45 )</f>
        <v>0.37356464144298934</v>
      </c>
      <c r="P246" s="68"/>
      <c r="Q246" s="815"/>
      <c r="R246" s="815"/>
      <c r="S246" s="815"/>
      <c r="T246" s="815"/>
      <c r="U246" s="815"/>
      <c r="V246" s="815"/>
      <c r="W246" s="815"/>
      <c r="X246" s="815"/>
      <c r="Y246" s="815"/>
      <c r="Z246" s="815"/>
      <c r="AA246" s="815"/>
      <c r="AB246" s="815"/>
      <c r="AC246" s="815"/>
      <c r="AD246" s="815"/>
      <c r="AE246" s="815"/>
      <c r="AF246" s="815"/>
      <c r="AG246" s="815"/>
      <c r="AH246" s="815"/>
      <c r="AI246" s="815"/>
      <c r="AJ246" s="815"/>
      <c r="AK246" s="815"/>
      <c r="AL246" s="815"/>
      <c r="AM246" s="815"/>
      <c r="AN246" s="815"/>
      <c r="AO246" s="815"/>
      <c r="AP246" s="815"/>
      <c r="AQ246" s="815"/>
      <c r="AR246" s="815"/>
      <c r="AS246" s="815"/>
      <c r="AT246" s="815"/>
      <c r="AU246" s="815"/>
      <c r="AV246" s="815"/>
      <c r="AW246" s="815"/>
      <c r="AX246" s="815"/>
      <c r="AY246" s="815"/>
      <c r="AZ246" s="815"/>
      <c r="BA246" s="815"/>
      <c r="BB246" s="815"/>
      <c r="BC246" s="815"/>
      <c r="BD246" s="815"/>
      <c r="BE246" s="815"/>
      <c r="BF246" s="815"/>
      <c r="BG246" s="815"/>
      <c r="BH246" s="815"/>
      <c r="BI246" s="815"/>
      <c r="BJ246" s="815"/>
      <c r="BK246" s="815"/>
      <c r="BL246" s="815"/>
      <c r="BM246" s="815"/>
      <c r="BN246" s="815"/>
      <c r="BO246" s="815"/>
      <c r="BP246" s="815"/>
      <c r="BQ246" s="815"/>
      <c r="BR246" s="815"/>
      <c r="BS246" s="815"/>
      <c r="BT246" s="815"/>
      <c r="BU246" s="815"/>
      <c r="BV246" s="815"/>
      <c r="BW246" s="815"/>
      <c r="BX246" s="815"/>
      <c r="BY246" s="815"/>
      <c r="BZ246" s="815"/>
      <c r="CA246" s="815"/>
      <c r="CB246" s="815"/>
      <c r="CC246" s="815"/>
      <c r="CD246" s="815"/>
      <c r="CE246" s="815"/>
      <c r="CF246" s="815"/>
      <c r="CG246" s="815"/>
      <c r="CH246" s="815"/>
      <c r="CI246" s="815"/>
      <c r="CJ246" s="815"/>
      <c r="CK246" s="815"/>
      <c r="CL246" s="815"/>
      <c r="CM246" s="815"/>
      <c r="CN246" s="815"/>
      <c r="CO246" s="815"/>
      <c r="CP246" s="815"/>
      <c r="CQ246" s="815"/>
      <c r="CR246" s="815"/>
      <c r="CS246" s="815"/>
      <c r="CT246" s="815"/>
      <c r="CU246" s="815"/>
      <c r="CV246" s="815"/>
      <c r="CW246" s="815"/>
      <c r="CX246" s="815"/>
      <c r="CY246" s="815"/>
      <c r="CZ246" s="815"/>
      <c r="DA246" s="815"/>
      <c r="DB246" s="815"/>
      <c r="DC246" s="815"/>
      <c r="DD246" s="815"/>
      <c r="DE246" s="815"/>
      <c r="DF246" s="815"/>
      <c r="DG246" s="815"/>
      <c r="DH246" s="815"/>
      <c r="DI246" s="815"/>
      <c r="DJ246" s="815"/>
      <c r="DK246" s="815"/>
      <c r="DL246" s="815"/>
      <c r="DM246" s="815"/>
      <c r="DN246" s="815"/>
      <c r="DO246" s="815"/>
      <c r="DP246" s="815"/>
      <c r="DQ246" s="815"/>
      <c r="DR246" s="815"/>
      <c r="DS246" s="815"/>
      <c r="DT246" s="815"/>
      <c r="DU246" s="815"/>
      <c r="DV246" s="815"/>
      <c r="DW246" s="815"/>
      <c r="DX246" s="815"/>
      <c r="DY246" s="815"/>
      <c r="DZ246" s="815"/>
      <c r="EA246" s="815"/>
      <c r="EB246" s="815"/>
      <c r="EC246" s="815"/>
      <c r="ED246" s="815"/>
      <c r="EE246" s="815"/>
      <c r="EF246" s="815"/>
      <c r="EG246" s="815"/>
      <c r="EH246" s="815"/>
      <c r="EI246" s="815"/>
      <c r="EJ246" s="815"/>
      <c r="EK246" s="815"/>
      <c r="EL246" s="815"/>
      <c r="EM246" s="815"/>
      <c r="EN246" s="815"/>
      <c r="EO246" s="815"/>
      <c r="EP246" s="815"/>
      <c r="EQ246" s="815"/>
      <c r="ER246" s="815"/>
      <c r="ES246" s="815"/>
      <c r="ET246" s="815"/>
      <c r="EU246" s="815"/>
      <c r="EV246" s="815"/>
      <c r="EW246" s="815"/>
      <c r="EX246" s="815"/>
      <c r="EY246" s="815"/>
      <c r="EZ246" s="815"/>
      <c r="FA246" s="815"/>
      <c r="FB246" s="815"/>
      <c r="FC246" s="815"/>
      <c r="FD246" s="815"/>
      <c r="FE246" s="815"/>
      <c r="FF246" s="815"/>
      <c r="FG246" s="815"/>
      <c r="FH246" s="815"/>
      <c r="FI246" s="815"/>
      <c r="FJ246" s="815"/>
      <c r="FK246" s="815"/>
      <c r="FL246" s="815"/>
      <c r="FM246" s="815"/>
      <c r="FN246" s="815"/>
      <c r="FO246" s="815"/>
      <c r="FP246" s="815"/>
      <c r="FQ246" s="815"/>
      <c r="FR246" s="815"/>
      <c r="FS246" s="815"/>
      <c r="FT246" s="815"/>
      <c r="FU246" s="815"/>
      <c r="FV246" s="815"/>
      <c r="FW246" s="815"/>
      <c r="FX246" s="815"/>
      <c r="FY246" s="815"/>
      <c r="FZ246" s="815"/>
      <c r="GA246" s="815"/>
      <c r="GB246" s="815"/>
      <c r="GC246" s="815"/>
      <c r="GD246" s="815"/>
      <c r="GE246" s="815"/>
      <c r="GF246" s="815"/>
      <c r="GG246" s="815"/>
      <c r="GH246" s="815"/>
      <c r="GI246" s="815"/>
      <c r="GJ246" s="815"/>
      <c r="GK246" s="815"/>
      <c r="GL246" s="815"/>
      <c r="GM246" s="815"/>
      <c r="GN246" s="815"/>
      <c r="GO246" s="815"/>
      <c r="GP246" s="815"/>
      <c r="GQ246" s="815"/>
      <c r="GR246" s="815"/>
      <c r="GS246" s="815"/>
      <c r="GT246" s="815"/>
      <c r="GU246" s="815"/>
      <c r="GV246" s="815"/>
      <c r="GW246" s="815"/>
      <c r="GX246" s="815"/>
      <c r="GY246" s="815"/>
      <c r="GZ246" s="815"/>
      <c r="HA246" s="815"/>
      <c r="HB246" s="815"/>
      <c r="HC246" s="815"/>
      <c r="HD246" s="815"/>
      <c r="HE246" s="815"/>
      <c r="HF246" s="815"/>
      <c r="HG246" s="815"/>
      <c r="HH246" s="815"/>
      <c r="HI246" s="815"/>
      <c r="HJ246" s="815"/>
      <c r="HK246" s="815"/>
      <c r="HL246" s="815"/>
      <c r="HM246" s="815"/>
      <c r="HN246" s="815"/>
      <c r="HO246" s="815"/>
      <c r="HP246" s="815"/>
      <c r="HQ246" s="815"/>
      <c r="HR246" s="815"/>
      <c r="HS246" s="815"/>
      <c r="HT246" s="815"/>
      <c r="HU246" s="815"/>
      <c r="HV246" s="815"/>
      <c r="HW246" s="815"/>
      <c r="HX246" s="815"/>
      <c r="HY246" s="815"/>
      <c r="HZ246" s="815"/>
      <c r="IA246" s="815"/>
      <c r="IB246" s="815"/>
      <c r="IC246" s="815"/>
      <c r="ID246" s="815"/>
      <c r="IE246" s="815"/>
      <c r="IF246" s="815"/>
      <c r="IG246" s="815"/>
      <c r="IH246" s="815"/>
      <c r="II246" s="815"/>
      <c r="IJ246" s="815"/>
      <c r="IK246" s="815"/>
      <c r="IL246" s="815"/>
      <c r="IM246" s="815"/>
      <c r="IN246" s="815"/>
      <c r="IO246" s="815"/>
      <c r="IP246" s="815"/>
      <c r="IQ246" s="815"/>
      <c r="IR246" s="815"/>
      <c r="IS246" s="815"/>
      <c r="IT246" s="815"/>
      <c r="IU246" s="815"/>
      <c r="IV246" s="815"/>
      <c r="IW246" s="815"/>
      <c r="IX246" s="815"/>
      <c r="IY246" s="815"/>
      <c r="IZ246" s="815"/>
      <c r="JA246" s="815"/>
      <c r="JB246" s="815"/>
      <c r="JC246" s="815"/>
      <c r="JD246" s="815"/>
      <c r="JE246" s="815"/>
      <c r="JF246" s="815"/>
      <c r="JG246" s="815"/>
      <c r="JH246" s="815"/>
      <c r="JI246" s="815"/>
      <c r="JJ246" s="815"/>
      <c r="JK246" s="815"/>
      <c r="JL246" s="815"/>
      <c r="JM246" s="815"/>
      <c r="JN246" s="815"/>
      <c r="JO246" s="815"/>
      <c r="JP246" s="815"/>
      <c r="JQ246" s="815"/>
      <c r="JR246" s="815"/>
      <c r="JS246" s="815"/>
      <c r="JT246" s="815"/>
      <c r="JU246" s="815"/>
      <c r="JV246" s="815"/>
      <c r="JW246" s="815"/>
      <c r="JX246" s="815"/>
      <c r="JY246" s="815"/>
      <c r="JZ246" s="815"/>
      <c r="KA246" s="815"/>
      <c r="KB246" s="815"/>
      <c r="KC246" s="815"/>
      <c r="KD246" s="815"/>
      <c r="KE246" s="815"/>
      <c r="KF246" s="815"/>
      <c r="KG246" s="815"/>
      <c r="KH246" s="815"/>
      <c r="KI246" s="815"/>
      <c r="KJ246" s="815"/>
      <c r="KK246" s="815"/>
      <c r="KL246" s="815"/>
      <c r="KM246" s="815"/>
      <c r="KN246" s="815"/>
      <c r="KO246" s="815"/>
      <c r="KP246" s="815"/>
      <c r="KQ246" s="815"/>
      <c r="KR246" s="815"/>
      <c r="KS246" s="815"/>
      <c r="KT246" s="815"/>
      <c r="KU246" s="815"/>
      <c r="KV246" s="815"/>
      <c r="KW246" s="815"/>
      <c r="KX246" s="815"/>
      <c r="KY246" s="815"/>
      <c r="KZ246" s="815"/>
      <c r="LA246" s="815"/>
      <c r="LB246" s="815"/>
      <c r="LC246" s="815"/>
      <c r="LD246" s="815"/>
      <c r="LE246" s="815"/>
      <c r="LF246" s="815"/>
      <c r="LG246" s="815"/>
      <c r="LH246" s="815"/>
      <c r="LI246" s="815"/>
      <c r="LJ246" s="815"/>
      <c r="LK246" s="815"/>
      <c r="LL246" s="815"/>
      <c r="LM246" s="815"/>
      <c r="LN246" s="815"/>
      <c r="LO246" s="815"/>
      <c r="LP246" s="815"/>
      <c r="LQ246" s="815"/>
      <c r="LR246" s="815"/>
      <c r="LS246" s="815"/>
      <c r="LT246" s="815"/>
      <c r="LU246" s="815"/>
      <c r="LV246" s="815"/>
      <c r="LW246" s="815"/>
      <c r="LX246" s="815"/>
      <c r="LY246" s="815"/>
      <c r="LZ246" s="815"/>
      <c r="MA246" s="815"/>
      <c r="MB246" s="815"/>
      <c r="MC246" s="815"/>
      <c r="MD246" s="815"/>
      <c r="ME246" s="815"/>
      <c r="MF246" s="815"/>
      <c r="MG246" s="815"/>
      <c r="MH246" s="815"/>
      <c r="MI246" s="815"/>
      <c r="MJ246" s="815"/>
      <c r="MK246" s="815"/>
      <c r="ML246" s="815"/>
      <c r="MM246" s="815"/>
      <c r="MN246" s="815"/>
      <c r="MO246" s="815"/>
      <c r="MP246" s="815"/>
      <c r="MQ246" s="815"/>
      <c r="MR246" s="815"/>
      <c r="MS246" s="815"/>
      <c r="MT246" s="815"/>
      <c r="MU246" s="815"/>
      <c r="MV246" s="815"/>
      <c r="MW246" s="815"/>
      <c r="MX246" s="815"/>
      <c r="MY246" s="815"/>
      <c r="MZ246" s="815"/>
      <c r="NA246" s="815"/>
      <c r="NB246" s="815"/>
      <c r="NC246" s="815"/>
      <c r="ND246" s="815"/>
      <c r="NE246" s="815"/>
      <c r="NF246" s="815"/>
      <c r="NG246" s="815"/>
      <c r="NH246" s="815"/>
      <c r="NI246" s="815"/>
      <c r="NJ246" s="815"/>
      <c r="NK246" s="815"/>
      <c r="NL246" s="815"/>
      <c r="NM246" s="815"/>
      <c r="NN246" s="815"/>
      <c r="NO246" s="815"/>
      <c r="NP246" s="815"/>
      <c r="NQ246" s="815"/>
      <c r="NR246" s="815"/>
      <c r="NS246" s="815"/>
      <c r="NT246" s="815"/>
      <c r="NU246" s="815"/>
      <c r="NV246" s="815"/>
      <c r="NW246" s="815"/>
      <c r="NX246" s="815"/>
      <c r="NY246" s="815"/>
      <c r="NZ246" s="815"/>
      <c r="OA246" s="815"/>
      <c r="OB246" s="815"/>
      <c r="OC246" s="815"/>
      <c r="OD246" s="815"/>
      <c r="OE246" s="815"/>
      <c r="OF246" s="815"/>
      <c r="OG246" s="815"/>
      <c r="OH246" s="815"/>
      <c r="OI246" s="815"/>
      <c r="OJ246" s="815"/>
      <c r="OK246" s="815"/>
      <c r="OL246" s="815"/>
      <c r="OM246" s="815"/>
      <c r="ON246" s="815"/>
      <c r="OO246" s="815"/>
      <c r="OP246" s="815"/>
      <c r="OQ246" s="815"/>
      <c r="OR246" s="815"/>
      <c r="OS246" s="815"/>
      <c r="OT246" s="815"/>
      <c r="OU246" s="815"/>
      <c r="OV246" s="815"/>
      <c r="OW246" s="815"/>
      <c r="OX246" s="815"/>
      <c r="OY246" s="815"/>
      <c r="OZ246" s="815"/>
      <c r="PA246" s="815"/>
      <c r="PB246" s="815"/>
      <c r="PC246" s="815"/>
      <c r="PD246" s="815"/>
      <c r="PE246" s="815"/>
      <c r="PF246" s="815"/>
      <c r="PG246" s="815"/>
      <c r="PH246" s="815"/>
      <c r="PI246" s="815"/>
      <c r="PJ246" s="815"/>
      <c r="PK246" s="815"/>
      <c r="PL246" s="815"/>
      <c r="PM246" s="815"/>
      <c r="PN246" s="815"/>
      <c r="PO246" s="815"/>
      <c r="PP246" s="815"/>
      <c r="PQ246" s="815"/>
      <c r="PR246" s="815"/>
      <c r="PS246" s="815"/>
      <c r="PT246" s="815"/>
      <c r="PU246" s="815"/>
      <c r="PV246" s="815"/>
      <c r="PW246" s="815"/>
      <c r="PX246" s="815"/>
      <c r="PY246" s="815"/>
      <c r="PZ246" s="815"/>
      <c r="QA246" s="815"/>
      <c r="QB246" s="815"/>
      <c r="QC246" s="815"/>
      <c r="QD246" s="815"/>
      <c r="QE246" s="815"/>
      <c r="QF246" s="815"/>
      <c r="QG246" s="815"/>
      <c r="QH246" s="815"/>
      <c r="QI246" s="815"/>
      <c r="QJ246" s="815"/>
      <c r="QK246" s="815"/>
      <c r="QL246" s="815"/>
      <c r="QM246" s="815"/>
      <c r="QN246" s="815"/>
      <c r="QO246" s="815"/>
      <c r="QP246" s="815"/>
      <c r="QQ246" s="815"/>
      <c r="QR246" s="815"/>
      <c r="QS246" s="815"/>
      <c r="QT246" s="815"/>
      <c r="QU246" s="815"/>
      <c r="QV246" s="815"/>
      <c r="QW246" s="815"/>
      <c r="QX246" s="815"/>
      <c r="QY246" s="815"/>
      <c r="QZ246" s="815"/>
      <c r="RA246" s="815"/>
      <c r="RB246" s="815"/>
      <c r="RC246" s="815"/>
      <c r="RD246" s="815"/>
      <c r="RE246" s="815"/>
      <c r="RF246" s="815"/>
      <c r="RG246" s="815"/>
      <c r="RH246" s="815"/>
      <c r="RI246" s="815"/>
      <c r="RJ246" s="815"/>
      <c r="RK246" s="815"/>
      <c r="RL246" s="815"/>
      <c r="RM246" s="815"/>
      <c r="RN246" s="815"/>
      <c r="RO246" s="815"/>
      <c r="RP246" s="815"/>
      <c r="RQ246" s="815"/>
      <c r="RR246" s="815"/>
      <c r="RS246" s="815"/>
      <c r="RT246" s="815"/>
      <c r="RU246" s="815"/>
      <c r="RV246" s="815"/>
      <c r="RW246" s="815"/>
      <c r="RX246" s="815"/>
      <c r="RY246" s="815"/>
      <c r="RZ246" s="815"/>
      <c r="SA246" s="815"/>
      <c r="SB246" s="815"/>
      <c r="SC246" s="815"/>
      <c r="SD246" s="815"/>
      <c r="SE246" s="815"/>
      <c r="SF246" s="815"/>
      <c r="SG246" s="815"/>
      <c r="SH246" s="815"/>
      <c r="SI246" s="815"/>
      <c r="SJ246" s="815"/>
      <c r="SK246" s="815"/>
      <c r="SL246" s="815"/>
      <c r="SM246" s="815"/>
      <c r="SN246" s="815"/>
      <c r="SO246" s="815"/>
      <c r="SP246" s="815"/>
      <c r="SQ246" s="815"/>
      <c r="SR246" s="815"/>
      <c r="SS246" s="815"/>
      <c r="ST246" s="815"/>
      <c r="SU246" s="815"/>
      <c r="SV246" s="815"/>
      <c r="SW246" s="815"/>
      <c r="SX246" s="815"/>
      <c r="SY246" s="815"/>
      <c r="SZ246" s="815"/>
      <c r="TA246" s="815"/>
      <c r="TB246" s="815"/>
      <c r="TC246" s="815"/>
      <c r="TD246" s="815"/>
      <c r="TE246" s="815"/>
      <c r="TF246" s="815"/>
      <c r="TG246" s="815"/>
      <c r="TH246" s="815"/>
      <c r="TI246" s="815"/>
      <c r="TJ246" s="815"/>
      <c r="TK246" s="815"/>
      <c r="TL246" s="815"/>
      <c r="TM246" s="815"/>
      <c r="TN246" s="815"/>
      <c r="TO246" s="815"/>
      <c r="TP246" s="815"/>
      <c r="TQ246" s="815"/>
      <c r="TR246" s="815"/>
      <c r="TS246" s="815"/>
      <c r="TT246" s="815"/>
      <c r="TU246" s="815"/>
      <c r="TV246" s="815"/>
      <c r="TW246" s="815"/>
      <c r="TX246" s="815"/>
      <c r="TY246" s="815"/>
      <c r="TZ246" s="815"/>
      <c r="UA246" s="815"/>
      <c r="UB246" s="815"/>
      <c r="UC246" s="815"/>
      <c r="UD246" s="815"/>
      <c r="UE246" s="815"/>
      <c r="UF246" s="815"/>
      <c r="UG246" s="815"/>
      <c r="UH246" s="815"/>
      <c r="UI246" s="815"/>
      <c r="UJ246" s="815"/>
      <c r="UK246" s="815"/>
      <c r="UL246" s="815"/>
      <c r="UM246" s="815"/>
      <c r="UN246" s="815"/>
      <c r="UO246" s="815"/>
      <c r="UP246" s="815"/>
      <c r="UQ246" s="815"/>
      <c r="UR246" s="815"/>
      <c r="US246" s="815"/>
      <c r="UT246" s="815"/>
      <c r="UU246" s="815"/>
      <c r="UV246" s="815"/>
      <c r="UW246" s="815"/>
      <c r="UX246" s="815"/>
      <c r="UY246" s="815"/>
      <c r="UZ246" s="815"/>
      <c r="VA246" s="815"/>
      <c r="VB246" s="815"/>
      <c r="VC246" s="815"/>
      <c r="VD246" s="815"/>
      <c r="VE246" s="815"/>
      <c r="VF246" s="815"/>
      <c r="VG246" s="815"/>
      <c r="VH246" s="815"/>
      <c r="VI246" s="815"/>
      <c r="VJ246" s="815"/>
      <c r="VK246" s="815"/>
      <c r="VL246" s="815"/>
      <c r="VM246" s="815"/>
      <c r="VN246" s="815"/>
      <c r="VO246" s="815"/>
      <c r="VP246" s="815"/>
      <c r="VQ246" s="815"/>
      <c r="VR246" s="815"/>
      <c r="VS246" s="815"/>
      <c r="VT246" s="815"/>
      <c r="VU246" s="815"/>
      <c r="VV246" s="815"/>
      <c r="VW246" s="815"/>
      <c r="VX246" s="815"/>
      <c r="VY246" s="815"/>
      <c r="VZ246" s="815"/>
      <c r="WA246" s="815"/>
      <c r="WB246" s="815"/>
      <c r="WC246" s="815"/>
      <c r="WD246" s="815"/>
      <c r="WE246" s="815"/>
      <c r="WF246" s="815"/>
      <c r="WG246" s="815"/>
      <c r="WH246" s="815"/>
      <c r="WI246" s="815"/>
      <c r="WJ246" s="815"/>
      <c r="WK246" s="815"/>
      <c r="WL246" s="815"/>
      <c r="WM246" s="815"/>
      <c r="WN246" s="815"/>
      <c r="WO246" s="815"/>
      <c r="WP246" s="815"/>
      <c r="WQ246" s="815"/>
      <c r="WR246" s="815"/>
      <c r="WS246" s="815"/>
      <c r="WT246" s="815"/>
      <c r="WU246" s="815"/>
      <c r="WV246" s="815"/>
      <c r="WW246" s="815"/>
      <c r="WX246" s="815"/>
      <c r="WY246" s="815"/>
      <c r="WZ246" s="815"/>
      <c r="XA246" s="815"/>
      <c r="XB246" s="815"/>
      <c r="XC246" s="815"/>
      <c r="XD246" s="815"/>
      <c r="XE246" s="815"/>
      <c r="XF246" s="815"/>
      <c r="XG246" s="815"/>
      <c r="XH246" s="815"/>
      <c r="XI246" s="815"/>
      <c r="XJ246" s="815"/>
      <c r="XK246" s="815"/>
      <c r="XL246" s="815"/>
      <c r="XM246" s="815"/>
      <c r="XN246" s="815"/>
      <c r="XO246" s="815"/>
      <c r="XP246" s="815"/>
      <c r="XQ246" s="815"/>
      <c r="XR246" s="815"/>
      <c r="XS246" s="815"/>
      <c r="XT246" s="815"/>
      <c r="XU246" s="815"/>
      <c r="XV246" s="815"/>
      <c r="XW246" s="815"/>
      <c r="XX246" s="815"/>
      <c r="XY246" s="815"/>
      <c r="XZ246" s="815"/>
      <c r="YA246" s="815"/>
      <c r="YB246" s="815"/>
      <c r="YC246" s="815"/>
      <c r="YD246" s="815"/>
      <c r="YE246" s="815"/>
      <c r="YF246" s="815"/>
      <c r="YG246" s="815"/>
      <c r="YH246" s="815"/>
      <c r="YI246" s="815"/>
      <c r="YJ246" s="815"/>
      <c r="YK246" s="815"/>
      <c r="YL246" s="815"/>
      <c r="YM246" s="815"/>
      <c r="YN246" s="815"/>
      <c r="YO246" s="815"/>
      <c r="YP246" s="815"/>
      <c r="YQ246" s="815"/>
      <c r="YR246" s="815"/>
      <c r="YS246" s="815"/>
      <c r="YT246" s="815"/>
      <c r="YU246" s="815"/>
      <c r="YV246" s="815"/>
      <c r="YW246" s="815"/>
      <c r="YX246" s="815"/>
      <c r="YY246" s="815"/>
      <c r="YZ246" s="815"/>
      <c r="ZA246" s="815"/>
      <c r="ZB246" s="815"/>
      <c r="ZC246" s="815"/>
      <c r="ZD246" s="815"/>
      <c r="ZE246" s="815"/>
      <c r="ZF246" s="815"/>
      <c r="ZG246" s="815"/>
      <c r="ZH246" s="815"/>
      <c r="ZI246" s="815"/>
      <c r="ZJ246" s="815"/>
      <c r="ZK246" s="815"/>
      <c r="ZL246" s="815"/>
      <c r="ZM246" s="815"/>
      <c r="ZN246" s="815"/>
      <c r="ZO246" s="815"/>
      <c r="ZP246" s="815"/>
      <c r="ZQ246" s="815"/>
      <c r="ZR246" s="815"/>
      <c r="ZS246" s="815"/>
      <c r="ZT246" s="815"/>
      <c r="ZU246" s="815"/>
      <c r="ZV246" s="815"/>
      <c r="ZW246" s="815"/>
      <c r="ZX246" s="815"/>
      <c r="ZY246" s="815"/>
      <c r="ZZ246" s="815"/>
      <c r="AAA246" s="815"/>
      <c r="AAB246" s="815"/>
      <c r="AAC246" s="815"/>
      <c r="AAD246" s="815"/>
      <c r="AAE246" s="815"/>
      <c r="AAF246" s="815"/>
      <c r="AAG246" s="815"/>
      <c r="AAH246" s="815"/>
      <c r="AAI246" s="815"/>
      <c r="AAJ246" s="815"/>
      <c r="AAK246" s="815"/>
      <c r="AAL246" s="815"/>
      <c r="AAM246" s="815"/>
      <c r="AAN246" s="815"/>
      <c r="AAO246" s="815"/>
      <c r="AAP246" s="815"/>
      <c r="AAQ246" s="815"/>
      <c r="AAR246" s="815"/>
      <c r="AAS246" s="815"/>
      <c r="AAT246" s="815"/>
      <c r="AAU246" s="815"/>
      <c r="AAV246" s="815"/>
      <c r="AAW246" s="815"/>
      <c r="AAX246" s="815"/>
      <c r="AAY246" s="815"/>
      <c r="AAZ246" s="815"/>
      <c r="ABA246" s="815"/>
      <c r="ABB246" s="815"/>
      <c r="ABC246" s="815"/>
      <c r="ABD246" s="815"/>
      <c r="ABE246" s="815"/>
      <c r="ABF246" s="815"/>
      <c r="ABG246" s="815"/>
      <c r="ABH246" s="815"/>
      <c r="ABI246" s="815"/>
      <c r="ABJ246" s="815"/>
      <c r="ABK246" s="815"/>
      <c r="ABL246" s="815"/>
      <c r="ABM246" s="815"/>
      <c r="ABN246" s="815"/>
      <c r="ABO246" s="815"/>
      <c r="ABP246" s="815"/>
      <c r="ABQ246" s="815"/>
      <c r="ABR246" s="815"/>
      <c r="ABS246" s="815"/>
      <c r="ABT246" s="815"/>
      <c r="ABU246" s="815"/>
      <c r="ABV246" s="815"/>
      <c r="ABW246" s="815"/>
      <c r="ABX246" s="815"/>
      <c r="ABY246" s="815"/>
      <c r="ABZ246" s="815"/>
      <c r="ACA246" s="815"/>
      <c r="ACB246" s="815"/>
      <c r="ACC246" s="815"/>
      <c r="ACD246" s="815"/>
      <c r="ACE246" s="815"/>
      <c r="ACF246" s="815"/>
      <c r="ACG246" s="815"/>
      <c r="ACH246" s="815"/>
      <c r="ACI246" s="815"/>
      <c r="ACJ246" s="815"/>
      <c r="ACK246" s="815"/>
      <c r="ACL246" s="815"/>
      <c r="ACM246" s="815"/>
      <c r="ACN246" s="815"/>
      <c r="ACO246" s="815"/>
      <c r="ACP246" s="815"/>
      <c r="ACQ246" s="815"/>
      <c r="ACR246" s="815"/>
      <c r="ACS246" s="815"/>
      <c r="ACT246" s="815"/>
      <c r="ACU246" s="815"/>
      <c r="ACV246" s="815"/>
      <c r="ACW246" s="815"/>
      <c r="ACX246" s="815"/>
      <c r="ACY246" s="815"/>
      <c r="ACZ246" s="815"/>
      <c r="ADA246" s="815"/>
      <c r="ADB246" s="815"/>
      <c r="ADC246" s="815"/>
      <c r="ADD246" s="815"/>
      <c r="ADE246" s="815"/>
      <c r="ADF246" s="815"/>
      <c r="ADG246" s="815"/>
      <c r="ADH246" s="815"/>
      <c r="ADI246" s="815"/>
      <c r="ADJ246" s="815"/>
      <c r="ADK246" s="815"/>
      <c r="ADL246" s="815"/>
      <c r="ADM246" s="815"/>
      <c r="ADN246" s="815"/>
      <c r="ADO246" s="815"/>
      <c r="ADP246" s="815"/>
      <c r="ADQ246" s="815"/>
      <c r="ADR246" s="815"/>
      <c r="ADS246" s="815"/>
      <c r="ADT246" s="815"/>
      <c r="ADU246" s="815"/>
      <c r="ADV246" s="815"/>
      <c r="ADW246" s="815"/>
      <c r="ADX246" s="815"/>
      <c r="ADY246" s="815"/>
      <c r="ADZ246" s="815"/>
      <c r="AEA246" s="815"/>
      <c r="AEB246" s="815"/>
      <c r="AEC246" s="815"/>
      <c r="AED246" s="815"/>
      <c r="AEE246" s="815"/>
      <c r="AEF246" s="815"/>
      <c r="AEG246" s="815"/>
      <c r="AEH246" s="815"/>
      <c r="AEI246" s="815"/>
      <c r="AEJ246" s="815"/>
      <c r="AEK246" s="815"/>
      <c r="AEL246" s="815"/>
      <c r="AEM246" s="815"/>
      <c r="AEN246" s="815"/>
      <c r="AEO246" s="815"/>
      <c r="AEP246" s="815"/>
      <c r="AEQ246" s="815"/>
      <c r="AER246" s="815"/>
      <c r="AES246" s="815"/>
      <c r="AET246" s="815"/>
      <c r="AEU246" s="815"/>
      <c r="AEV246" s="815"/>
      <c r="AEW246" s="815"/>
      <c r="AEX246" s="815"/>
      <c r="AEY246" s="815"/>
      <c r="AEZ246" s="815"/>
      <c r="AFA246" s="815"/>
      <c r="AFB246" s="815"/>
      <c r="AFC246" s="815"/>
      <c r="AFD246" s="815"/>
      <c r="AFE246" s="815"/>
      <c r="AFF246" s="815"/>
      <c r="AFG246" s="815"/>
      <c r="AFH246" s="815"/>
      <c r="AFI246" s="815"/>
      <c r="AFJ246" s="815"/>
      <c r="AFK246" s="815"/>
      <c r="AFL246" s="815"/>
      <c r="AFM246" s="815"/>
      <c r="AFN246" s="815"/>
      <c r="AFO246" s="815"/>
      <c r="AFP246" s="815"/>
      <c r="AFQ246" s="815"/>
      <c r="AFR246" s="815"/>
      <c r="AFS246" s="815"/>
      <c r="AFT246" s="815"/>
      <c r="AFU246" s="815"/>
      <c r="AFV246" s="815"/>
      <c r="AFW246" s="815"/>
      <c r="AFX246" s="815"/>
      <c r="AFY246" s="815"/>
      <c r="AFZ246" s="815"/>
      <c r="AGA246" s="815"/>
      <c r="AGB246" s="815"/>
      <c r="AGC246" s="815"/>
      <c r="AGD246" s="815"/>
      <c r="AGE246" s="815"/>
      <c r="AGF246" s="815"/>
      <c r="AGG246" s="815"/>
      <c r="AGH246" s="815"/>
      <c r="AGI246" s="815"/>
      <c r="AGJ246" s="815"/>
    </row>
    <row r="247" spans="1:868">
      <c r="A247" s="68" t="str">
        <f>Clothing!A435</f>
        <v>Clothing (product sector)</v>
      </c>
      <c r="B247" s="304" t="str">
        <f>Clothing!B435</f>
        <v>Jackets and coats</v>
      </c>
      <c r="C247" s="69" t="str">
        <f>Clothing!C435</f>
        <v>EU</v>
      </c>
      <c r="D247" s="823" t="str">
        <f>Clothing!D435</f>
        <v>PA</v>
      </c>
      <c r="E247" s="69">
        <f>Clothing!E435</f>
        <v>0.32641106600000003</v>
      </c>
      <c r="F247" s="823">
        <f>Clothing!F435</f>
        <v>1</v>
      </c>
      <c r="G247" s="69" t="str">
        <f>Clothing!G435</f>
        <v>https://eeb.org/library/draft-product-environmental-footprint-category-rules-pefcr-apparel-and-footwear/</v>
      </c>
      <c r="H247" s="1188"/>
      <c r="I247" s="307">
        <f>Clothing!I435</f>
        <v>1</v>
      </c>
      <c r="J247" s="307">
        <f>Clothing!J435</f>
        <v>2</v>
      </c>
      <c r="K247" s="307">
        <f>Clothing!K435</f>
        <v>1</v>
      </c>
      <c r="L247" s="307">
        <f>Clothing!L435</f>
        <v>2</v>
      </c>
      <c r="M247" s="307">
        <f>Clothing!M435</f>
        <v>2</v>
      </c>
      <c r="N247" s="616" t="str">
        <f>IF( OR( ISBLANK(H247),ISBLANK(J247), ISBLANK(K247), ISBLANK(L247), ISBLANK(M247) ), "", 1.5*SQRT(   EXP(2.21*(H247-1)) + EXP(2.21*(J247-1)) + EXP(2.21*(K247-1)) + EXP(2.21*(L247-1)) + EXP(2.21*M247)   )/100*2.45 )</f>
        <v/>
      </c>
      <c r="O247" s="1282">
        <f>IF( OR( ISBLANK(I247),ISBLANK(J247), ISBLANK(K247), ISBLANK(L247), ISBLANK(M247) ), "", 1.5*SQRT( EXP(2.21*(I247-1)) + EXP(2.21*(J247-1)) + EXP(2.21*(K247-1)) + EXP(2.21*(L247-1)) + EXP(2.21*M247)   )/100*2.45 )</f>
        <v>0.37356464144298934</v>
      </c>
      <c r="P247" s="68"/>
    </row>
    <row r="248" spans="1:868">
      <c r="A248" s="68" t="str">
        <f>Clothing!A436</f>
        <v>Clothing (product sector)</v>
      </c>
      <c r="B248" s="304" t="str">
        <f>Clothing!B436</f>
        <v>Jackets and coats</v>
      </c>
      <c r="C248" s="69" t="str">
        <f>Clothing!C436</f>
        <v>EU</v>
      </c>
      <c r="D248" s="823" t="str">
        <f>Clothing!D436</f>
        <v>PET</v>
      </c>
      <c r="E248" s="69">
        <f>Clothing!E436</f>
        <v>0.18157198999999999</v>
      </c>
      <c r="F248" s="823">
        <f>Clothing!F436</f>
        <v>1</v>
      </c>
      <c r="G248" s="69" t="str">
        <f>Clothing!G436</f>
        <v>https://eeb.org/library/draft-product-environmental-footprint-category-rules-pefcr-apparel-and-footwear/</v>
      </c>
      <c r="H248" s="1188"/>
      <c r="I248" s="307">
        <f>Clothing!I436</f>
        <v>1</v>
      </c>
      <c r="J248" s="307">
        <f>Clothing!J436</f>
        <v>2</v>
      </c>
      <c r="K248" s="307">
        <f>Clothing!K436</f>
        <v>1</v>
      </c>
      <c r="L248" s="307">
        <f>Clothing!L436</f>
        <v>2</v>
      </c>
      <c r="M248" s="307">
        <f>Clothing!M436</f>
        <v>2</v>
      </c>
      <c r="N248" s="616" t="str">
        <f>IF( OR( ISBLANK(H248),ISBLANK(J248), ISBLANK(K248), ISBLANK(L248), ISBLANK(M248) ), "", 1.5*SQRT(   EXP(2.21*(H248-1)) + EXP(2.21*(J248-1)) + EXP(2.21*(K248-1)) + EXP(2.21*(L248-1)) + EXP(2.21*M248)   )/100*2.45 )</f>
        <v/>
      </c>
      <c r="O248" s="1282">
        <f>IF( OR( ISBLANK(I248),ISBLANK(J248), ISBLANK(K248), ISBLANK(L248), ISBLANK(M248) ), "", 1.5*SQRT( EXP(2.21*(I248-1)) + EXP(2.21*(J248-1)) + EXP(2.21*(K248-1)) + EXP(2.21*(L248-1)) + EXP(2.21*M248)   )/100*2.45 )</f>
        <v>0.37356464144298934</v>
      </c>
      <c r="P248" s="68"/>
    </row>
    <row r="249" spans="1:868">
      <c r="A249" s="68" t="str">
        <f>Clothing!A437</f>
        <v>Clothing (product sector)</v>
      </c>
      <c r="B249" s="304" t="str">
        <f>Clothing!B437</f>
        <v>Leggings stockings tights and socks</v>
      </c>
      <c r="C249" s="69" t="str">
        <f>Clothing!C437</f>
        <v>EU</v>
      </c>
      <c r="D249" s="823" t="str">
        <f>Clothing!D437</f>
        <v>Acryl</v>
      </c>
      <c r="E249" s="69">
        <f>Clothing!E437</f>
        <v>2.4568019E-2</v>
      </c>
      <c r="F249" s="823">
        <f>Clothing!F437</f>
        <v>1</v>
      </c>
      <c r="G249" s="69" t="str">
        <f>Clothing!G437</f>
        <v>https://eeb.org/library/draft-product-environmental-footprint-category-rules-pefcr-apparel-and-footwear/</v>
      </c>
      <c r="H249" s="1188"/>
      <c r="I249" s="307">
        <f>Clothing!I437</f>
        <v>1</v>
      </c>
      <c r="J249" s="307">
        <f>Clothing!J437</f>
        <v>2</v>
      </c>
      <c r="K249" s="307">
        <f>Clothing!K437</f>
        <v>1</v>
      </c>
      <c r="L249" s="307">
        <f>Clothing!L437</f>
        <v>2</v>
      </c>
      <c r="M249" s="307">
        <f>Clothing!M437</f>
        <v>2</v>
      </c>
      <c r="N249" s="616" t="str">
        <f>IF( OR( ISBLANK(H249),ISBLANK(J249), ISBLANK(K249), ISBLANK(L249), ISBLANK(M249) ), "", 1.5*SQRT(   EXP(2.21*(H249-1)) + EXP(2.21*(J249-1)) + EXP(2.21*(K249-1)) + EXP(2.21*(L249-1)) + EXP(2.21*M249)   )/100*2.45 )</f>
        <v/>
      </c>
      <c r="O249" s="1282">
        <f>IF( OR( ISBLANK(I249),ISBLANK(J249), ISBLANK(K249), ISBLANK(L249), ISBLANK(M249) ), "", 1.5*SQRT( EXP(2.21*(I249-1)) + EXP(2.21*(J249-1)) + EXP(2.21*(K249-1)) + EXP(2.21*(L249-1)) + EXP(2.21*M249)   )/100*2.45 )</f>
        <v>0.37356464144298934</v>
      </c>
      <c r="P249" s="68"/>
    </row>
    <row r="250" spans="1:868">
      <c r="A250" s="68" t="str">
        <f>Clothing!A438</f>
        <v>Clothing (product sector)</v>
      </c>
      <c r="B250" s="304" t="str">
        <f>Clothing!B438</f>
        <v>Leggings stockings tights and socks</v>
      </c>
      <c r="C250" s="69" t="str">
        <f>Clothing!C438</f>
        <v>EU</v>
      </c>
      <c r="D250" s="823" t="str">
        <f>Clothing!D438</f>
        <v>OTHER</v>
      </c>
      <c r="E250" s="69">
        <f>Clothing!E438</f>
        <v>1.8026413000000002E-2</v>
      </c>
      <c r="F250" s="823">
        <f>Clothing!F438</f>
        <v>1</v>
      </c>
      <c r="G250" s="69" t="str">
        <f>Clothing!G438</f>
        <v>https://eeb.org/library/draft-product-environmental-footprint-category-rules-pefcr-apparel-and-footwear/</v>
      </c>
      <c r="H250" s="1188"/>
      <c r="I250" s="307">
        <f>Clothing!I438</f>
        <v>1</v>
      </c>
      <c r="J250" s="307">
        <f>Clothing!J438</f>
        <v>2</v>
      </c>
      <c r="K250" s="307">
        <f>Clothing!K438</f>
        <v>1</v>
      </c>
      <c r="L250" s="307">
        <f>Clothing!L438</f>
        <v>2</v>
      </c>
      <c r="M250" s="307">
        <f>Clothing!M438</f>
        <v>2</v>
      </c>
      <c r="N250" s="616" t="str">
        <f>IF( OR( ISBLANK(H250),ISBLANK(J250), ISBLANK(K250), ISBLANK(L250), ISBLANK(M250) ), "", 1.5*SQRT(   EXP(2.21*(H250-1)) + EXP(2.21*(J250-1)) + EXP(2.21*(K250-1)) + EXP(2.21*(L250-1)) + EXP(2.21*M250)   )/100*2.45 )</f>
        <v/>
      </c>
      <c r="O250" s="1282">
        <f>IF( OR( ISBLANK(I250),ISBLANK(J250), ISBLANK(K250), ISBLANK(L250), ISBLANK(M250) ), "", 1.5*SQRT( EXP(2.21*(I250-1)) + EXP(2.21*(J250-1)) + EXP(2.21*(K250-1)) + EXP(2.21*(L250-1)) + EXP(2.21*M250)   )/100*2.45 )</f>
        <v>0.37356464144298934</v>
      </c>
      <c r="P250" s="68"/>
    </row>
    <row r="251" spans="1:868">
      <c r="A251" s="68" t="str">
        <f>Clothing!A439</f>
        <v>Clothing (product sector)</v>
      </c>
      <c r="B251" s="304" t="str">
        <f>Clothing!B439</f>
        <v>Leggings stockings tights and socks</v>
      </c>
      <c r="C251" s="69" t="str">
        <f>Clothing!C439</f>
        <v>EU</v>
      </c>
      <c r="D251" s="823" t="str">
        <f>Clothing!D439</f>
        <v>PA</v>
      </c>
      <c r="E251" s="69">
        <f>Clothing!E439</f>
        <v>5.0338750000000002E-2</v>
      </c>
      <c r="F251" s="823">
        <f>Clothing!F439</f>
        <v>1</v>
      </c>
      <c r="G251" s="69" t="str">
        <f>Clothing!G439</f>
        <v>https://eeb.org/library/draft-product-environmental-footprint-category-rules-pefcr-apparel-and-footwear/</v>
      </c>
      <c r="H251" s="1188"/>
      <c r="I251" s="307">
        <f>Clothing!I439</f>
        <v>1</v>
      </c>
      <c r="J251" s="307">
        <f>Clothing!J439</f>
        <v>2</v>
      </c>
      <c r="K251" s="307">
        <f>Clothing!K439</f>
        <v>1</v>
      </c>
      <c r="L251" s="307">
        <f>Clothing!L439</f>
        <v>2</v>
      </c>
      <c r="M251" s="307">
        <f>Clothing!M439</f>
        <v>2</v>
      </c>
      <c r="N251" s="616" t="str">
        <f>IF( OR( ISBLANK(H251),ISBLANK(J251), ISBLANK(K251), ISBLANK(L251), ISBLANK(M251) ), "", 1.5*SQRT(   EXP(2.21*(H251-1)) + EXP(2.21*(J251-1)) + EXP(2.21*(K251-1)) + EXP(2.21*(L251-1)) + EXP(2.21*M251)   )/100*2.45 )</f>
        <v/>
      </c>
      <c r="O251" s="1282">
        <f>IF( OR( ISBLANK(I251),ISBLANK(J251), ISBLANK(K251), ISBLANK(L251), ISBLANK(M251) ), "", 1.5*SQRT( EXP(2.21*(I251-1)) + EXP(2.21*(J251-1)) + EXP(2.21*(K251-1)) + EXP(2.21*(L251-1)) + EXP(2.21*M251)   )/100*2.45 )</f>
        <v>0.37356464144298934</v>
      </c>
      <c r="P251" s="68"/>
    </row>
    <row r="252" spans="1:868">
      <c r="A252" s="68" t="str">
        <f>Clothing!A440</f>
        <v>Clothing (product sector)</v>
      </c>
      <c r="B252" s="304" t="str">
        <f>Clothing!B440</f>
        <v>Leggings stockings tights and socks</v>
      </c>
      <c r="C252" s="69" t="str">
        <f>Clothing!C440</f>
        <v>EU</v>
      </c>
      <c r="D252" s="823" t="str">
        <f>Clothing!D440</f>
        <v>PET</v>
      </c>
      <c r="E252" s="69">
        <f>Clothing!E440</f>
        <v>7.0447210000000003E-3</v>
      </c>
      <c r="F252" s="823">
        <f>Clothing!F440</f>
        <v>1</v>
      </c>
      <c r="G252" s="69" t="str">
        <f>Clothing!G440</f>
        <v>https://eeb.org/library/draft-product-environmental-footprint-category-rules-pefcr-apparel-and-footwear/</v>
      </c>
      <c r="H252" s="1188"/>
      <c r="I252" s="307">
        <f>Clothing!I440</f>
        <v>1</v>
      </c>
      <c r="J252" s="307">
        <f>Clothing!J440</f>
        <v>2</v>
      </c>
      <c r="K252" s="307">
        <f>Clothing!K440</f>
        <v>1</v>
      </c>
      <c r="L252" s="307">
        <f>Clothing!L440</f>
        <v>2</v>
      </c>
      <c r="M252" s="307">
        <f>Clothing!M440</f>
        <v>2</v>
      </c>
      <c r="N252" s="616" t="str">
        <f>IF( OR( ISBLANK(H252),ISBLANK(J252), ISBLANK(K252), ISBLANK(L252), ISBLANK(M252) ), "", 1.5*SQRT(   EXP(2.21*(H252-1)) + EXP(2.21*(J252-1)) + EXP(2.21*(K252-1)) + EXP(2.21*(L252-1)) + EXP(2.21*M252)   )/100*2.45 )</f>
        <v/>
      </c>
      <c r="O252" s="1282">
        <f>IF( OR( ISBLANK(I252),ISBLANK(J252), ISBLANK(K252), ISBLANK(L252), ISBLANK(M252) ), "", 1.5*SQRT( EXP(2.21*(I252-1)) + EXP(2.21*(J252-1)) + EXP(2.21*(K252-1)) + EXP(2.21*(L252-1)) + EXP(2.21*M252)   )/100*2.45 )</f>
        <v>0.37356464144298934</v>
      </c>
      <c r="P252" s="68"/>
    </row>
    <row r="253" spans="1:868">
      <c r="A253" s="68" t="str">
        <f>Clothing!A441</f>
        <v>Clothing (product sector)</v>
      </c>
      <c r="B253" s="304" t="str">
        <f>Clothing!B441</f>
        <v>Open-toed shoes</v>
      </c>
      <c r="C253" s="69" t="str">
        <f>Clothing!C441</f>
        <v>EU</v>
      </c>
      <c r="D253" s="823" t="str">
        <f>Clothing!D441</f>
        <v>OTHER</v>
      </c>
      <c r="E253" s="69">
        <f>Clothing!E441</f>
        <v>0.32495332500000002</v>
      </c>
      <c r="F253" s="823">
        <f>Clothing!F441</f>
        <v>1</v>
      </c>
      <c r="G253" s="69" t="str">
        <f>Clothing!G441</f>
        <v>https://eeb.org/library/draft-product-environmental-footprint-category-rules-pefcr-apparel-and-footwear/</v>
      </c>
      <c r="H253" s="1188"/>
      <c r="I253" s="307">
        <f>Clothing!I441</f>
        <v>1</v>
      </c>
      <c r="J253" s="307">
        <f>Clothing!J441</f>
        <v>2</v>
      </c>
      <c r="K253" s="307">
        <f>Clothing!K441</f>
        <v>1</v>
      </c>
      <c r="L253" s="307">
        <f>Clothing!L441</f>
        <v>2</v>
      </c>
      <c r="M253" s="307">
        <f>Clothing!M441</f>
        <v>2</v>
      </c>
      <c r="N253" s="616" t="str">
        <f>IF( OR( ISBLANK(H253),ISBLANK(J253), ISBLANK(K253), ISBLANK(L253), ISBLANK(M253) ), "", 1.5*SQRT(   EXP(2.21*(H253-1)) + EXP(2.21*(J253-1)) + EXP(2.21*(K253-1)) + EXP(2.21*(L253-1)) + EXP(2.21*M253)   )/100*2.45 )</f>
        <v/>
      </c>
      <c r="O253" s="1282">
        <f>IF( OR( ISBLANK(I253),ISBLANK(J253), ISBLANK(K253), ISBLANK(L253), ISBLANK(M253) ), "", 1.5*SQRT( EXP(2.21*(I253-1)) + EXP(2.21*(J253-1)) + EXP(2.21*(K253-1)) + EXP(2.21*(L253-1)) + EXP(2.21*M253)   )/100*2.45 )</f>
        <v>0.37356464144298934</v>
      </c>
      <c r="P253" s="68"/>
    </row>
    <row r="254" spans="1:868">
      <c r="A254" s="68" t="str">
        <f>Clothing!A442</f>
        <v>Clothing (product sector)</v>
      </c>
      <c r="B254" s="304" t="str">
        <f>Clothing!B442</f>
        <v>Open-toed shoes</v>
      </c>
      <c r="C254" s="69" t="str">
        <f>Clothing!C442</f>
        <v>EU</v>
      </c>
      <c r="D254" s="823" t="str">
        <f>Clothing!D442</f>
        <v>PA</v>
      </c>
      <c r="E254" s="69">
        <f>Clothing!E442</f>
        <v>0</v>
      </c>
      <c r="F254" s="823">
        <f>Clothing!F442</f>
        <v>1</v>
      </c>
      <c r="G254" s="69" t="str">
        <f>Clothing!G442</f>
        <v>https://eeb.org/library/draft-product-environmental-footprint-category-rules-pefcr-apparel-and-footwear/</v>
      </c>
      <c r="H254" s="1188"/>
      <c r="I254" s="307">
        <f>Clothing!I442</f>
        <v>1</v>
      </c>
      <c r="J254" s="307">
        <f>Clothing!J442</f>
        <v>2</v>
      </c>
      <c r="K254" s="307">
        <f>Clothing!K442</f>
        <v>1</v>
      </c>
      <c r="L254" s="307">
        <f>Clothing!L442</f>
        <v>2</v>
      </c>
      <c r="M254" s="307">
        <f>Clothing!M442</f>
        <v>2</v>
      </c>
      <c r="N254" s="616" t="str">
        <f>IF( OR( ISBLANK(H254),ISBLANK(J254), ISBLANK(K254), ISBLANK(L254), ISBLANK(M254) ), "", 1.5*SQRT(   EXP(2.21*(H254-1)) + EXP(2.21*(J254-1)) + EXP(2.21*(K254-1)) + EXP(2.21*(L254-1)) + EXP(2.21*M254)   )/100*2.45 )</f>
        <v/>
      </c>
      <c r="O254" s="1282">
        <f>IF( OR( ISBLANK(I254),ISBLANK(J254), ISBLANK(K254), ISBLANK(L254), ISBLANK(M254) ), "", 1.5*SQRT( EXP(2.21*(I254-1)) + EXP(2.21*(J254-1)) + EXP(2.21*(K254-1)) + EXP(2.21*(L254-1)) + EXP(2.21*M254)   )/100*2.45 )</f>
        <v>0.37356464144298934</v>
      </c>
      <c r="P254" s="68"/>
    </row>
    <row r="255" spans="1:868">
      <c r="A255" s="68" t="str">
        <f>Clothing!A443</f>
        <v>Clothing (product sector)</v>
      </c>
      <c r="B255" s="304" t="str">
        <f>Clothing!B443</f>
        <v>Open-toed shoes</v>
      </c>
      <c r="C255" s="69" t="str">
        <f>Clothing!C443</f>
        <v>EU</v>
      </c>
      <c r="D255" s="823" t="str">
        <f>Clothing!D443</f>
        <v>PET</v>
      </c>
      <c r="E255" s="69">
        <f>Clothing!E443</f>
        <v>6.4915909999999997E-3</v>
      </c>
      <c r="F255" s="823">
        <f>Clothing!F443</f>
        <v>1</v>
      </c>
      <c r="G255" s="69" t="str">
        <f>Clothing!G443</f>
        <v>https://eeb.org/library/draft-product-environmental-footprint-category-rules-pefcr-apparel-and-footwear/</v>
      </c>
      <c r="H255" s="1188"/>
      <c r="I255" s="307">
        <f>Clothing!I443</f>
        <v>1</v>
      </c>
      <c r="J255" s="307">
        <f>Clothing!J443</f>
        <v>2</v>
      </c>
      <c r="K255" s="307">
        <f>Clothing!K443</f>
        <v>1</v>
      </c>
      <c r="L255" s="307">
        <f>Clothing!L443</f>
        <v>2</v>
      </c>
      <c r="M255" s="307">
        <f>Clothing!M443</f>
        <v>2</v>
      </c>
      <c r="N255" s="616" t="str">
        <f>IF( OR( ISBLANK(H255),ISBLANK(J255), ISBLANK(K255), ISBLANK(L255), ISBLANK(M255) ), "", 1.5*SQRT(   EXP(2.21*(H255-1)) + EXP(2.21*(J255-1)) + EXP(2.21*(K255-1)) + EXP(2.21*(L255-1)) + EXP(2.21*M255)   )/100*2.45 )</f>
        <v/>
      </c>
      <c r="O255" s="1282">
        <f>IF( OR( ISBLANK(I255),ISBLANK(J255), ISBLANK(K255), ISBLANK(L255), ISBLANK(M255) ), "", 1.5*SQRT( EXP(2.21*(I255-1)) + EXP(2.21*(J255-1)) + EXP(2.21*(K255-1)) + EXP(2.21*(L255-1)) + EXP(2.21*M255)   )/100*2.45 )</f>
        <v>0.37356464144298934</v>
      </c>
      <c r="P255" s="68"/>
    </row>
    <row r="256" spans="1:868">
      <c r="A256" s="68" t="str">
        <f>Clothing!A444</f>
        <v>Clothing (product sector)</v>
      </c>
      <c r="B256" s="304" t="str">
        <f>Clothing!B444</f>
        <v>Open-toed shoes</v>
      </c>
      <c r="C256" s="69" t="str">
        <f>Clothing!C444</f>
        <v>EU</v>
      </c>
      <c r="D256" s="823" t="str">
        <f>Clothing!D444</f>
        <v>PUR</v>
      </c>
      <c r="E256" s="69">
        <f>Clothing!E444</f>
        <v>0.121200023</v>
      </c>
      <c r="F256" s="823">
        <f>Clothing!F444</f>
        <v>1</v>
      </c>
      <c r="G256" s="69" t="str">
        <f>Clothing!G444</f>
        <v>https://eeb.org/library/draft-product-environmental-footprint-category-rules-pefcr-apparel-and-footwear/</v>
      </c>
      <c r="H256" s="1188"/>
      <c r="I256" s="307">
        <f>Clothing!I444</f>
        <v>1</v>
      </c>
      <c r="J256" s="307">
        <f>Clothing!J444</f>
        <v>2</v>
      </c>
      <c r="K256" s="307">
        <f>Clothing!K444</f>
        <v>1</v>
      </c>
      <c r="L256" s="307">
        <f>Clothing!L444</f>
        <v>2</v>
      </c>
      <c r="M256" s="307">
        <f>Clothing!M444</f>
        <v>2</v>
      </c>
      <c r="N256" s="616" t="str">
        <f>IF( OR( ISBLANK(H256),ISBLANK(J256), ISBLANK(K256), ISBLANK(L256), ISBLANK(M256) ), "", 1.5*SQRT(   EXP(2.21*(H256-1)) + EXP(2.21*(J256-1)) + EXP(2.21*(K256-1)) + EXP(2.21*(L256-1)) + EXP(2.21*M256)   )/100*2.45 )</f>
        <v/>
      </c>
      <c r="O256" s="1282">
        <f>IF( OR( ISBLANK(I256),ISBLANK(J256), ISBLANK(K256), ISBLANK(L256), ISBLANK(M256) ), "", 1.5*SQRT( EXP(2.21*(I256-1)) + EXP(2.21*(J256-1)) + EXP(2.21*(K256-1)) + EXP(2.21*(L256-1)) + EXP(2.21*M256)   )/100*2.45 )</f>
        <v>0.37356464144298934</v>
      </c>
      <c r="P256" s="68"/>
    </row>
    <row r="257" spans="1:16">
      <c r="A257" s="68" t="str">
        <f>Clothing!A445</f>
        <v>Clothing (product sector)</v>
      </c>
      <c r="B257" s="304" t="str">
        <f>Clothing!B445</f>
        <v>Open-toed shoes</v>
      </c>
      <c r="C257" s="69" t="str">
        <f>Clothing!C445</f>
        <v>EU</v>
      </c>
      <c r="D257" s="823" t="str">
        <f>Clothing!D445</f>
        <v>PVC</v>
      </c>
      <c r="E257" s="69">
        <f>Clothing!E445</f>
        <v>0.14281593000000001</v>
      </c>
      <c r="F257" s="823">
        <f>Clothing!F445</f>
        <v>1</v>
      </c>
      <c r="G257" s="69" t="str">
        <f>Clothing!G445</f>
        <v>https://eeb.org/library/draft-product-environmental-footprint-category-rules-pefcr-apparel-and-footwear/</v>
      </c>
      <c r="H257" s="1188"/>
      <c r="I257" s="307">
        <f>Clothing!I445</f>
        <v>1</v>
      </c>
      <c r="J257" s="307">
        <f>Clothing!J445</f>
        <v>2</v>
      </c>
      <c r="K257" s="307">
        <f>Clothing!K445</f>
        <v>1</v>
      </c>
      <c r="L257" s="307">
        <f>Clothing!L445</f>
        <v>2</v>
      </c>
      <c r="M257" s="307">
        <f>Clothing!M445</f>
        <v>2</v>
      </c>
      <c r="N257" s="616" t="str">
        <f>IF( OR( ISBLANK(H257),ISBLANK(J257), ISBLANK(K257), ISBLANK(L257), ISBLANK(M257) ), "", 1.5*SQRT(   EXP(2.21*(H257-1)) + EXP(2.21*(J257-1)) + EXP(2.21*(K257-1)) + EXP(2.21*(L257-1)) + EXP(2.21*M257)   )/100*2.45 )</f>
        <v/>
      </c>
      <c r="O257" s="1282">
        <f>IF( OR( ISBLANK(I257),ISBLANK(J257), ISBLANK(K257), ISBLANK(L257), ISBLANK(M257) ), "", 1.5*SQRT( EXP(2.21*(I257-1)) + EXP(2.21*(J257-1)) + EXP(2.21*(K257-1)) + EXP(2.21*(L257-1)) + EXP(2.21*M257)   )/100*2.45 )</f>
        <v>0.37356464144298934</v>
      </c>
      <c r="P257" s="68"/>
    </row>
    <row r="258" spans="1:16">
      <c r="A258" s="68" t="str">
        <f>Clothing!A446</f>
        <v>Clothing (product sector)</v>
      </c>
      <c r="B258" s="304" t="str">
        <f>Clothing!B446</f>
        <v>Open-toed shoes</v>
      </c>
      <c r="C258" s="69" t="str">
        <f>Clothing!C446</f>
        <v>EU</v>
      </c>
      <c r="D258" s="823" t="str">
        <f>Clothing!D446</f>
        <v>RUBBER</v>
      </c>
      <c r="E258" s="69">
        <f>Clothing!E446</f>
        <v>0.237431854</v>
      </c>
      <c r="F258" s="823">
        <f>Clothing!F446</f>
        <v>1</v>
      </c>
      <c r="G258" s="69" t="str">
        <f>Clothing!G446</f>
        <v>https://eeb.org/library/draft-product-environmental-footprint-category-rules-pefcr-apparel-and-footwear/</v>
      </c>
      <c r="H258" s="1188"/>
      <c r="I258" s="307">
        <f>Clothing!I446</f>
        <v>1</v>
      </c>
      <c r="J258" s="307">
        <f>Clothing!J446</f>
        <v>2</v>
      </c>
      <c r="K258" s="307">
        <f>Clothing!K446</f>
        <v>1</v>
      </c>
      <c r="L258" s="307">
        <f>Clothing!L446</f>
        <v>2</v>
      </c>
      <c r="M258" s="307">
        <f>Clothing!M446</f>
        <v>2</v>
      </c>
      <c r="N258" s="616" t="str">
        <f>IF( OR( ISBLANK(H258),ISBLANK(J258), ISBLANK(K258), ISBLANK(L258), ISBLANK(M258) ), "", 1.5*SQRT(   EXP(2.21*(H258-1)) + EXP(2.21*(J258-1)) + EXP(2.21*(K258-1)) + EXP(2.21*(L258-1)) + EXP(2.21*M258)   )/100*2.45 )</f>
        <v/>
      </c>
      <c r="O258" s="1282">
        <f>IF( OR( ISBLANK(I258),ISBLANK(J258), ISBLANK(K258), ISBLANK(L258), ISBLANK(M258) ), "", 1.5*SQRT( EXP(2.21*(I258-1)) + EXP(2.21*(J258-1)) + EXP(2.21*(K258-1)) + EXP(2.21*(L258-1)) + EXP(2.21*M258)   )/100*2.45 )</f>
        <v>0.37356464144298934</v>
      </c>
      <c r="P258" s="68"/>
    </row>
    <row r="259" spans="1:16">
      <c r="A259" s="68" t="str">
        <f>Clothing!A447</f>
        <v>Clothing (product sector)</v>
      </c>
      <c r="B259" s="304" t="str">
        <f>Clothing!B447</f>
        <v>Pants and shorts</v>
      </c>
      <c r="C259" s="69" t="str">
        <f>Clothing!C447</f>
        <v>EU</v>
      </c>
      <c r="D259" s="823" t="str">
        <f>Clothing!D447</f>
        <v>Acryl</v>
      </c>
      <c r="E259" s="69">
        <f>Clothing!E447</f>
        <v>0</v>
      </c>
      <c r="F259" s="823">
        <f>Clothing!F447</f>
        <v>1</v>
      </c>
      <c r="G259" s="69" t="str">
        <f>Clothing!G447</f>
        <v>https://eeb.org/library/draft-product-environmental-footprint-category-rules-pefcr-apparel-and-footwear/</v>
      </c>
      <c r="H259" s="1188"/>
      <c r="I259" s="307">
        <f>Clothing!I447</f>
        <v>1</v>
      </c>
      <c r="J259" s="307">
        <f>Clothing!J447</f>
        <v>2</v>
      </c>
      <c r="K259" s="307">
        <f>Clothing!K447</f>
        <v>1</v>
      </c>
      <c r="L259" s="307">
        <f>Clothing!L447</f>
        <v>2</v>
      </c>
      <c r="M259" s="307">
        <f>Clothing!M447</f>
        <v>2</v>
      </c>
      <c r="N259" s="616" t="str">
        <f>IF( OR( ISBLANK(H259),ISBLANK(J259), ISBLANK(K259), ISBLANK(L259), ISBLANK(M259) ), "", 1.5*SQRT(   EXP(2.21*(H259-1)) + EXP(2.21*(J259-1)) + EXP(2.21*(K259-1)) + EXP(2.21*(L259-1)) + EXP(2.21*M259)   )/100*2.45 )</f>
        <v/>
      </c>
      <c r="O259" s="1282">
        <f>IF( OR( ISBLANK(I259),ISBLANK(J259), ISBLANK(K259), ISBLANK(L259), ISBLANK(M259) ), "", 1.5*SQRT( EXP(2.21*(I259-1)) + EXP(2.21*(J259-1)) + EXP(2.21*(K259-1)) + EXP(2.21*(L259-1)) + EXP(2.21*M259)   )/100*2.45 )</f>
        <v>0.37356464144298934</v>
      </c>
      <c r="P259" s="68"/>
    </row>
    <row r="260" spans="1:16">
      <c r="A260" s="68" t="str">
        <f>Clothing!A448</f>
        <v>Clothing (product sector)</v>
      </c>
      <c r="B260" s="304" t="str">
        <f>Clothing!B448</f>
        <v>Pants and shorts</v>
      </c>
      <c r="C260" s="69" t="str">
        <f>Clothing!C448</f>
        <v>EU</v>
      </c>
      <c r="D260" s="823" t="str">
        <f>Clothing!D448</f>
        <v>OTHER</v>
      </c>
      <c r="E260" s="69">
        <f>Clothing!E448</f>
        <v>0.198529969</v>
      </c>
      <c r="F260" s="823">
        <f>Clothing!F448</f>
        <v>1</v>
      </c>
      <c r="G260" s="69" t="str">
        <f>Clothing!G448</f>
        <v>https://eeb.org/library/draft-product-environmental-footprint-category-rules-pefcr-apparel-and-footwear/</v>
      </c>
      <c r="H260" s="1188"/>
      <c r="I260" s="307">
        <f>Clothing!I448</f>
        <v>1</v>
      </c>
      <c r="J260" s="307">
        <f>Clothing!J448</f>
        <v>2</v>
      </c>
      <c r="K260" s="307">
        <f>Clothing!K448</f>
        <v>1</v>
      </c>
      <c r="L260" s="307">
        <f>Clothing!L448</f>
        <v>2</v>
      </c>
      <c r="M260" s="307">
        <f>Clothing!M448</f>
        <v>2</v>
      </c>
      <c r="N260" s="616" t="str">
        <f>IF( OR( ISBLANK(H260),ISBLANK(J260), ISBLANK(K260), ISBLANK(L260), ISBLANK(M260) ), "", 1.5*SQRT(   EXP(2.21*(H260-1)) + EXP(2.21*(J260-1)) + EXP(2.21*(K260-1)) + EXP(2.21*(L260-1)) + EXP(2.21*M260)   )/100*2.45 )</f>
        <v/>
      </c>
      <c r="O260" s="1282">
        <f>IF( OR( ISBLANK(I260),ISBLANK(J260), ISBLANK(K260), ISBLANK(L260), ISBLANK(M260) ), "", 1.5*SQRT( EXP(2.21*(I260-1)) + EXP(2.21*(J260-1)) + EXP(2.21*(K260-1)) + EXP(2.21*(L260-1)) + EXP(2.21*M260)   )/100*2.45 )</f>
        <v>0.37356464144298934</v>
      </c>
      <c r="P260" s="68"/>
    </row>
    <row r="261" spans="1:16">
      <c r="A261" s="68" t="str">
        <f>Clothing!A449</f>
        <v>Clothing (product sector)</v>
      </c>
      <c r="B261" s="304" t="str">
        <f>Clothing!B449</f>
        <v>Pants and shorts</v>
      </c>
      <c r="C261" s="69" t="str">
        <f>Clothing!C449</f>
        <v>EU</v>
      </c>
      <c r="D261" s="823" t="str">
        <f>Clothing!D449</f>
        <v>PA</v>
      </c>
      <c r="E261" s="69">
        <f>Clothing!E449</f>
        <v>0.259928045</v>
      </c>
      <c r="F261" s="823">
        <f>Clothing!F449</f>
        <v>1</v>
      </c>
      <c r="G261" s="69" t="str">
        <f>Clothing!G449</f>
        <v>https://eeb.org/library/draft-product-environmental-footprint-category-rules-pefcr-apparel-and-footwear/</v>
      </c>
      <c r="H261" s="1188"/>
      <c r="I261" s="307">
        <f>Clothing!I449</f>
        <v>1</v>
      </c>
      <c r="J261" s="307">
        <f>Clothing!J449</f>
        <v>2</v>
      </c>
      <c r="K261" s="307">
        <f>Clothing!K449</f>
        <v>1</v>
      </c>
      <c r="L261" s="307">
        <f>Clothing!L449</f>
        <v>2</v>
      </c>
      <c r="M261" s="307">
        <f>Clothing!M449</f>
        <v>2</v>
      </c>
      <c r="N261" s="616" t="str">
        <f>IF( OR( ISBLANK(H261),ISBLANK(J261), ISBLANK(K261), ISBLANK(L261), ISBLANK(M261) ), "", 1.5*SQRT(   EXP(2.21*(H261-1)) + EXP(2.21*(J261-1)) + EXP(2.21*(K261-1)) + EXP(2.21*(L261-1)) + EXP(2.21*M261)   )/100*2.45 )</f>
        <v/>
      </c>
      <c r="O261" s="1282">
        <f>IF( OR( ISBLANK(I261),ISBLANK(J261), ISBLANK(K261), ISBLANK(L261), ISBLANK(M261) ), "", 1.5*SQRT( EXP(2.21*(I261-1)) + EXP(2.21*(J261-1)) + EXP(2.21*(K261-1)) + EXP(2.21*(L261-1)) + EXP(2.21*M261)   )/100*2.45 )</f>
        <v>0.37356464144298934</v>
      </c>
      <c r="P261" s="68"/>
    </row>
    <row r="262" spans="1:16">
      <c r="A262" s="68" t="str">
        <f>Clothing!A450</f>
        <v>Clothing (product sector)</v>
      </c>
      <c r="B262" s="304" t="str">
        <f>Clothing!B450</f>
        <v>Pants and shorts</v>
      </c>
      <c r="C262" s="69" t="str">
        <f>Clothing!C450</f>
        <v>EU</v>
      </c>
      <c r="D262" s="823" t="str">
        <f>Clothing!D450</f>
        <v>PET</v>
      </c>
      <c r="E262" s="69">
        <f>Clothing!E450</f>
        <v>0.264543421</v>
      </c>
      <c r="F262" s="823">
        <f>Clothing!F450</f>
        <v>1</v>
      </c>
      <c r="G262" s="69" t="str">
        <f>Clothing!G450</f>
        <v>https://eeb.org/library/draft-product-environmental-footprint-category-rules-pefcr-apparel-and-footwear/</v>
      </c>
      <c r="H262" s="1188"/>
      <c r="I262" s="307">
        <f>Clothing!I450</f>
        <v>1</v>
      </c>
      <c r="J262" s="307">
        <f>Clothing!J450</f>
        <v>2</v>
      </c>
      <c r="K262" s="307">
        <f>Clothing!K450</f>
        <v>1</v>
      </c>
      <c r="L262" s="307">
        <f>Clothing!L450</f>
        <v>2</v>
      </c>
      <c r="M262" s="307">
        <f>Clothing!M450</f>
        <v>2</v>
      </c>
      <c r="N262" s="616" t="str">
        <f>IF( OR( ISBLANK(H262),ISBLANK(J262), ISBLANK(K262), ISBLANK(L262), ISBLANK(M262) ), "", 1.5*SQRT(   EXP(2.21*(H262-1)) + EXP(2.21*(J262-1)) + EXP(2.21*(K262-1)) + EXP(2.21*(L262-1)) + EXP(2.21*M262)   )/100*2.45 )</f>
        <v/>
      </c>
      <c r="O262" s="1282">
        <f>IF( OR( ISBLANK(I262),ISBLANK(J262), ISBLANK(K262), ISBLANK(L262), ISBLANK(M262) ), "", 1.5*SQRT( EXP(2.21*(I262-1)) + EXP(2.21*(J262-1)) + EXP(2.21*(K262-1)) + EXP(2.21*(L262-1)) + EXP(2.21*M262)   )/100*2.45 )</f>
        <v>0.37356464144298934</v>
      </c>
      <c r="P262" s="68"/>
    </row>
    <row r="263" spans="1:16">
      <c r="A263" s="68" t="str">
        <f>Clothing!A451</f>
        <v>Clothing (product sector)</v>
      </c>
      <c r="B263" s="304" t="str">
        <f>Clothing!B451</f>
        <v>Shirts and blouses</v>
      </c>
      <c r="C263" s="69" t="str">
        <f>Clothing!C451</f>
        <v>EU</v>
      </c>
      <c r="D263" s="823" t="str">
        <f>Clothing!D451</f>
        <v>Acryl</v>
      </c>
      <c r="E263" s="69">
        <f>Clothing!E451</f>
        <v>0</v>
      </c>
      <c r="F263" s="823">
        <f>Clothing!F451</f>
        <v>1</v>
      </c>
      <c r="G263" s="69" t="str">
        <f>Clothing!G451</f>
        <v>https://eeb.org/library/draft-product-environmental-footprint-category-rules-pefcr-apparel-and-footwear/</v>
      </c>
      <c r="H263" s="1188"/>
      <c r="I263" s="307">
        <f>Clothing!I451</f>
        <v>1</v>
      </c>
      <c r="J263" s="307">
        <f>Clothing!J451</f>
        <v>2</v>
      </c>
      <c r="K263" s="307">
        <f>Clothing!K451</f>
        <v>1</v>
      </c>
      <c r="L263" s="307">
        <f>Clothing!L451</f>
        <v>2</v>
      </c>
      <c r="M263" s="307">
        <f>Clothing!M451</f>
        <v>2</v>
      </c>
      <c r="N263" s="616" t="str">
        <f>IF( OR( ISBLANK(H263),ISBLANK(J263), ISBLANK(K263), ISBLANK(L263), ISBLANK(M263) ), "", 1.5*SQRT(   EXP(2.21*(H263-1)) + EXP(2.21*(J263-1)) + EXP(2.21*(K263-1)) + EXP(2.21*(L263-1)) + EXP(2.21*M263)   )/100*2.45 )</f>
        <v/>
      </c>
      <c r="O263" s="1282">
        <f>IF( OR( ISBLANK(I263),ISBLANK(J263), ISBLANK(K263), ISBLANK(L263), ISBLANK(M263) ), "", 1.5*SQRT( EXP(2.21*(I263-1)) + EXP(2.21*(J263-1)) + EXP(2.21*(K263-1)) + EXP(2.21*(L263-1)) + EXP(2.21*M263)   )/100*2.45 )</f>
        <v>0.37356464144298934</v>
      </c>
      <c r="P263" s="68"/>
    </row>
    <row r="264" spans="1:16">
      <c r="A264" s="68" t="str">
        <f>Clothing!A452</f>
        <v>Clothing (product sector)</v>
      </c>
      <c r="B264" s="304" t="str">
        <f>Clothing!B452</f>
        <v>Shirts and blouses</v>
      </c>
      <c r="C264" s="69" t="str">
        <f>Clothing!C452</f>
        <v>EU</v>
      </c>
      <c r="D264" s="823" t="str">
        <f>Clothing!D452</f>
        <v>OTHER</v>
      </c>
      <c r="E264" s="69">
        <f>Clothing!E452</f>
        <v>2.3902979999999999E-3</v>
      </c>
      <c r="F264" s="823">
        <f>Clothing!F452</f>
        <v>1</v>
      </c>
      <c r="G264" s="69" t="str">
        <f>Clothing!G452</f>
        <v>https://eeb.org/library/draft-product-environmental-footprint-category-rules-pefcr-apparel-and-footwear/</v>
      </c>
      <c r="H264" s="1188"/>
      <c r="I264" s="307">
        <f>Clothing!I452</f>
        <v>1</v>
      </c>
      <c r="J264" s="307">
        <f>Clothing!J452</f>
        <v>2</v>
      </c>
      <c r="K264" s="307">
        <f>Clothing!K452</f>
        <v>1</v>
      </c>
      <c r="L264" s="307">
        <f>Clothing!L452</f>
        <v>2</v>
      </c>
      <c r="M264" s="307">
        <f>Clothing!M452</f>
        <v>2</v>
      </c>
      <c r="N264" s="616" t="str">
        <f>IF( OR( ISBLANK(H264),ISBLANK(J264), ISBLANK(K264), ISBLANK(L264), ISBLANK(M264) ), "", 1.5*SQRT(   EXP(2.21*(H264-1)) + EXP(2.21*(J264-1)) + EXP(2.21*(K264-1)) + EXP(2.21*(L264-1)) + EXP(2.21*M264)   )/100*2.45 )</f>
        <v/>
      </c>
      <c r="O264" s="1282">
        <f>IF( OR( ISBLANK(I264),ISBLANK(J264), ISBLANK(K264), ISBLANK(L264), ISBLANK(M264) ), "", 1.5*SQRT( EXP(2.21*(I264-1)) + EXP(2.21*(J264-1)) + EXP(2.21*(K264-1)) + EXP(2.21*(L264-1)) + EXP(2.21*M264)   )/100*2.45 )</f>
        <v>0.37356464144298934</v>
      </c>
      <c r="P264" s="68"/>
    </row>
    <row r="265" spans="1:16">
      <c r="A265" s="68" t="str">
        <f>Clothing!A453</f>
        <v>Clothing (product sector)</v>
      </c>
      <c r="B265" s="304" t="str">
        <f>Clothing!B453</f>
        <v>Shirts and blouses</v>
      </c>
      <c r="C265" s="69" t="str">
        <f>Clothing!C453</f>
        <v>EU</v>
      </c>
      <c r="D265" s="823" t="str">
        <f>Clothing!D453</f>
        <v>PA</v>
      </c>
      <c r="E265" s="69">
        <f>Clothing!E453</f>
        <v>0</v>
      </c>
      <c r="F265" s="823">
        <f>Clothing!F453</f>
        <v>1</v>
      </c>
      <c r="G265" s="69" t="str">
        <f>Clothing!G453</f>
        <v>https://eeb.org/library/draft-product-environmental-footprint-category-rules-pefcr-apparel-and-footwear/</v>
      </c>
      <c r="H265" s="1188"/>
      <c r="I265" s="307">
        <f>Clothing!I453</f>
        <v>1</v>
      </c>
      <c r="J265" s="307">
        <f>Clothing!J453</f>
        <v>2</v>
      </c>
      <c r="K265" s="307">
        <f>Clothing!K453</f>
        <v>1</v>
      </c>
      <c r="L265" s="307">
        <f>Clothing!L453</f>
        <v>2</v>
      </c>
      <c r="M265" s="307">
        <f>Clothing!M453</f>
        <v>2</v>
      </c>
      <c r="N265" s="616" t="str">
        <f>IF( OR( ISBLANK(H265),ISBLANK(J265), ISBLANK(K265), ISBLANK(L265), ISBLANK(M265) ), "", 1.5*SQRT(   EXP(2.21*(H265-1)) + EXP(2.21*(J265-1)) + EXP(2.21*(K265-1)) + EXP(2.21*(L265-1)) + EXP(2.21*M265)   )/100*2.45 )</f>
        <v/>
      </c>
      <c r="O265" s="1282">
        <f>IF( OR( ISBLANK(I265),ISBLANK(J265), ISBLANK(K265), ISBLANK(L265), ISBLANK(M265) ), "", 1.5*SQRT( EXP(2.21*(I265-1)) + EXP(2.21*(J265-1)) + EXP(2.21*(K265-1)) + EXP(2.21*(L265-1)) + EXP(2.21*M265)   )/100*2.45 )</f>
        <v>0.37356464144298934</v>
      </c>
      <c r="P265" s="68"/>
    </row>
    <row r="266" spans="1:16">
      <c r="A266" s="68" t="str">
        <f>Clothing!A454</f>
        <v>Clothing (product sector)</v>
      </c>
      <c r="B266" s="304" t="str">
        <f>Clothing!B454</f>
        <v>Shirts and blouses</v>
      </c>
      <c r="C266" s="69" t="str">
        <f>Clothing!C454</f>
        <v>EU</v>
      </c>
      <c r="D266" s="823" t="str">
        <f>Clothing!D454</f>
        <v>PET</v>
      </c>
      <c r="E266" s="69">
        <f>Clothing!E454</f>
        <v>4.0283916000000003E-2</v>
      </c>
      <c r="F266" s="823">
        <f>Clothing!F454</f>
        <v>1</v>
      </c>
      <c r="G266" s="69" t="str">
        <f>Clothing!G454</f>
        <v>https://eeb.org/library/draft-product-environmental-footprint-category-rules-pefcr-apparel-and-footwear/</v>
      </c>
      <c r="H266" s="1188"/>
      <c r="I266" s="307">
        <f>Clothing!I454</f>
        <v>1</v>
      </c>
      <c r="J266" s="307">
        <f>Clothing!J454</f>
        <v>2</v>
      </c>
      <c r="K266" s="307">
        <f>Clothing!K454</f>
        <v>1</v>
      </c>
      <c r="L266" s="307">
        <f>Clothing!L454</f>
        <v>2</v>
      </c>
      <c r="M266" s="307">
        <f>Clothing!M454</f>
        <v>2</v>
      </c>
      <c r="N266" s="616" t="str">
        <f>IF( OR( ISBLANK(H266),ISBLANK(J266), ISBLANK(K266), ISBLANK(L266), ISBLANK(M266) ), "", 1.5*SQRT(   EXP(2.21*(H266-1)) + EXP(2.21*(J266-1)) + EXP(2.21*(K266-1)) + EXP(2.21*(L266-1)) + EXP(2.21*M266)   )/100*2.45 )</f>
        <v/>
      </c>
      <c r="O266" s="1282">
        <f>IF( OR( ISBLANK(I266),ISBLANK(J266), ISBLANK(K266), ISBLANK(L266), ISBLANK(M266) ), "", 1.5*SQRT( EXP(2.21*(I266-1)) + EXP(2.21*(J266-1)) + EXP(2.21*(K266-1)) + EXP(2.21*(L266-1)) + EXP(2.21*M266)   )/100*2.45 )</f>
        <v>0.37356464144298934</v>
      </c>
      <c r="P266" s="68"/>
    </row>
    <row r="267" spans="1:16">
      <c r="A267" s="68" t="str">
        <f>Clothing!A455</f>
        <v>Clothing (product sector)</v>
      </c>
      <c r="B267" s="304" t="str">
        <f>Clothing!B455</f>
        <v>Sweaters and midlayers</v>
      </c>
      <c r="C267" s="69" t="str">
        <f>Clothing!C455</f>
        <v>EU</v>
      </c>
      <c r="D267" s="823" t="str">
        <f>Clothing!D455</f>
        <v>Acryl</v>
      </c>
      <c r="E267" s="69">
        <f>Clothing!E455</f>
        <v>0.25332756400000001</v>
      </c>
      <c r="F267" s="823">
        <f>Clothing!F455</f>
        <v>1</v>
      </c>
      <c r="G267" s="69" t="str">
        <f>Clothing!G455</f>
        <v>https://eeb.org/library/draft-product-environmental-footprint-category-rules-pefcr-apparel-and-footwear/</v>
      </c>
      <c r="H267" s="1188"/>
      <c r="I267" s="307">
        <f>Clothing!I455</f>
        <v>1</v>
      </c>
      <c r="J267" s="307">
        <f>Clothing!J455</f>
        <v>2</v>
      </c>
      <c r="K267" s="307">
        <f>Clothing!K455</f>
        <v>1</v>
      </c>
      <c r="L267" s="307">
        <f>Clothing!L455</f>
        <v>2</v>
      </c>
      <c r="M267" s="307">
        <f>Clothing!M455</f>
        <v>2</v>
      </c>
      <c r="N267" s="616" t="str">
        <f>IF( OR( ISBLANK(H267),ISBLANK(J267), ISBLANK(K267), ISBLANK(L267), ISBLANK(M267) ), "", 1.5*SQRT(   EXP(2.21*(H267-1)) + EXP(2.21*(J267-1)) + EXP(2.21*(K267-1)) + EXP(2.21*(L267-1)) + EXP(2.21*M267)   )/100*2.45 )</f>
        <v/>
      </c>
      <c r="O267" s="1282">
        <f>IF( OR( ISBLANK(I267),ISBLANK(J267), ISBLANK(K267), ISBLANK(L267), ISBLANK(M267) ), "", 1.5*SQRT( EXP(2.21*(I267-1)) + EXP(2.21*(J267-1)) + EXP(2.21*(K267-1)) + EXP(2.21*(L267-1)) + EXP(2.21*M267)   )/100*2.45 )</f>
        <v>0.37356464144298934</v>
      </c>
      <c r="P267" s="68"/>
    </row>
    <row r="268" spans="1:16">
      <c r="A268" s="68" t="str">
        <f>Clothing!A456</f>
        <v>Clothing (product sector)</v>
      </c>
      <c r="B268" s="304" t="str">
        <f>Clothing!B456</f>
        <v>Sweaters and midlayers</v>
      </c>
      <c r="C268" s="69" t="str">
        <f>Clothing!C456</f>
        <v>EU</v>
      </c>
      <c r="D268" s="823" t="str">
        <f>Clothing!D456</f>
        <v>OTHER</v>
      </c>
      <c r="E268" s="69">
        <f>Clothing!E456</f>
        <v>2.8701329000000001E-2</v>
      </c>
      <c r="F268" s="823">
        <f>Clothing!F456</f>
        <v>1</v>
      </c>
      <c r="G268" s="69" t="str">
        <f>Clothing!G456</f>
        <v>https://eeb.org/library/draft-product-environmental-footprint-category-rules-pefcr-apparel-and-footwear/</v>
      </c>
      <c r="H268" s="1188"/>
      <c r="I268" s="307">
        <f>Clothing!I456</f>
        <v>1</v>
      </c>
      <c r="J268" s="307">
        <f>Clothing!J456</f>
        <v>2</v>
      </c>
      <c r="K268" s="307">
        <f>Clothing!K456</f>
        <v>1</v>
      </c>
      <c r="L268" s="307">
        <f>Clothing!L456</f>
        <v>2</v>
      </c>
      <c r="M268" s="307">
        <f>Clothing!M456</f>
        <v>2</v>
      </c>
      <c r="N268" s="616" t="str">
        <f>IF( OR( ISBLANK(H268),ISBLANK(J268), ISBLANK(K268), ISBLANK(L268), ISBLANK(M268) ), "", 1.5*SQRT(   EXP(2.21*(H268-1)) + EXP(2.21*(J268-1)) + EXP(2.21*(K268-1)) + EXP(2.21*(L268-1)) + EXP(2.21*M268)   )/100*2.45 )</f>
        <v/>
      </c>
      <c r="O268" s="1282">
        <f>IF( OR( ISBLANK(I268),ISBLANK(J268), ISBLANK(K268), ISBLANK(L268), ISBLANK(M268) ), "", 1.5*SQRT( EXP(2.21*(I268-1)) + EXP(2.21*(J268-1)) + EXP(2.21*(K268-1)) + EXP(2.21*(L268-1)) + EXP(2.21*M268)   )/100*2.45 )</f>
        <v>0.37356464144298934</v>
      </c>
      <c r="P268" s="68"/>
    </row>
    <row r="269" spans="1:16">
      <c r="A269" s="68" t="str">
        <f>Clothing!A457</f>
        <v>Clothing (product sector)</v>
      </c>
      <c r="B269" s="304" t="str">
        <f>Clothing!B457</f>
        <v>Sweaters and midlayers</v>
      </c>
      <c r="C269" s="69" t="str">
        <f>Clothing!C457</f>
        <v>EU</v>
      </c>
      <c r="D269" s="823" t="str">
        <f>Clothing!D457</f>
        <v>PA</v>
      </c>
      <c r="E269" s="69">
        <f>Clothing!E457</f>
        <v>4.6882533999999997E-2</v>
      </c>
      <c r="F269" s="823">
        <f>Clothing!F457</f>
        <v>1</v>
      </c>
      <c r="G269" s="69" t="str">
        <f>Clothing!G457</f>
        <v>https://eeb.org/library/draft-product-environmental-footprint-category-rules-pefcr-apparel-and-footwear/</v>
      </c>
      <c r="H269" s="1188"/>
      <c r="I269" s="307">
        <f>Clothing!I457</f>
        <v>1</v>
      </c>
      <c r="J269" s="307">
        <f>Clothing!J457</f>
        <v>2</v>
      </c>
      <c r="K269" s="307">
        <f>Clothing!K457</f>
        <v>1</v>
      </c>
      <c r="L269" s="307">
        <f>Clothing!L457</f>
        <v>2</v>
      </c>
      <c r="M269" s="307">
        <f>Clothing!M457</f>
        <v>2</v>
      </c>
      <c r="N269" s="616" t="str">
        <f>IF( OR( ISBLANK(H269),ISBLANK(J269), ISBLANK(K269), ISBLANK(L269), ISBLANK(M269) ), "", 1.5*SQRT(   EXP(2.21*(H269-1)) + EXP(2.21*(J269-1)) + EXP(2.21*(K269-1)) + EXP(2.21*(L269-1)) + EXP(2.21*M269)   )/100*2.45 )</f>
        <v/>
      </c>
      <c r="O269" s="1282">
        <f>IF( OR( ISBLANK(I269),ISBLANK(J269), ISBLANK(K269), ISBLANK(L269), ISBLANK(M269) ), "", 1.5*SQRT( EXP(2.21*(I269-1)) + EXP(2.21*(J269-1)) + EXP(2.21*(K269-1)) + EXP(2.21*(L269-1)) + EXP(2.21*M269)   )/100*2.45 )</f>
        <v>0.37356464144298934</v>
      </c>
      <c r="P269" s="68"/>
    </row>
    <row r="270" spans="1:16">
      <c r="A270" s="68" t="str">
        <f>Clothing!A458</f>
        <v>Clothing (product sector)</v>
      </c>
      <c r="B270" s="304" t="str">
        <f>Clothing!B458</f>
        <v>Sweaters and midlayers</v>
      </c>
      <c r="C270" s="69" t="str">
        <f>Clothing!C458</f>
        <v>EU</v>
      </c>
      <c r="D270" s="823" t="str">
        <f>Clothing!D458</f>
        <v>PET</v>
      </c>
      <c r="E270" s="69">
        <f>Clothing!E458</f>
        <v>0.13012547999999999</v>
      </c>
      <c r="F270" s="823">
        <f>Clothing!F458</f>
        <v>1</v>
      </c>
      <c r="G270" s="69" t="str">
        <f>Clothing!G458</f>
        <v>https://eeb.org/library/draft-product-environmental-footprint-category-rules-pefcr-apparel-and-footwear/</v>
      </c>
      <c r="H270" s="1188"/>
      <c r="I270" s="307">
        <f>Clothing!I458</f>
        <v>1</v>
      </c>
      <c r="J270" s="307">
        <f>Clothing!J458</f>
        <v>2</v>
      </c>
      <c r="K270" s="307">
        <f>Clothing!K458</f>
        <v>1</v>
      </c>
      <c r="L270" s="307">
        <f>Clothing!L458</f>
        <v>2</v>
      </c>
      <c r="M270" s="307">
        <f>Clothing!M458</f>
        <v>2</v>
      </c>
      <c r="N270" s="616" t="str">
        <f>IF( OR( ISBLANK(H270),ISBLANK(J270), ISBLANK(K270), ISBLANK(L270), ISBLANK(M270) ), "", 1.5*SQRT(   EXP(2.21*(H270-1)) + EXP(2.21*(J270-1)) + EXP(2.21*(K270-1)) + EXP(2.21*(L270-1)) + EXP(2.21*M270)   )/100*2.45 )</f>
        <v/>
      </c>
      <c r="O270" s="1282">
        <f>IF( OR( ISBLANK(I270),ISBLANK(J270), ISBLANK(K270), ISBLANK(L270), ISBLANK(M270) ), "", 1.5*SQRT( EXP(2.21*(I270-1)) + EXP(2.21*(J270-1)) + EXP(2.21*(K270-1)) + EXP(2.21*(L270-1)) + EXP(2.21*M270)   )/100*2.45 )</f>
        <v>0.37356464144298934</v>
      </c>
      <c r="P270" s="68"/>
    </row>
    <row r="271" spans="1:16">
      <c r="A271" s="68" t="str">
        <f>Clothing!A459</f>
        <v>Clothing (product sector)</v>
      </c>
      <c r="B271" s="304" t="str">
        <f>Clothing!B459</f>
        <v>Swimwear</v>
      </c>
      <c r="C271" s="69" t="str">
        <f>Clothing!C459</f>
        <v>EU</v>
      </c>
      <c r="D271" s="823" t="str">
        <f>Clothing!D459</f>
        <v>Acryl</v>
      </c>
      <c r="E271" s="69">
        <f>Clothing!E459</f>
        <v>0</v>
      </c>
      <c r="F271" s="823">
        <f>Clothing!F459</f>
        <v>1</v>
      </c>
      <c r="G271" s="69" t="str">
        <f>Clothing!G459</f>
        <v>https://eeb.org/library/draft-product-environmental-footprint-category-rules-pefcr-apparel-and-footwear/</v>
      </c>
      <c r="H271" s="1188"/>
      <c r="I271" s="307">
        <f>Clothing!I459</f>
        <v>1</v>
      </c>
      <c r="J271" s="307">
        <f>Clothing!J459</f>
        <v>2</v>
      </c>
      <c r="K271" s="307">
        <f>Clothing!K459</f>
        <v>1</v>
      </c>
      <c r="L271" s="307">
        <f>Clothing!L459</f>
        <v>2</v>
      </c>
      <c r="M271" s="307">
        <f>Clothing!M459</f>
        <v>2</v>
      </c>
      <c r="N271" s="616" t="str">
        <f>IF( OR( ISBLANK(H271),ISBLANK(J271), ISBLANK(K271), ISBLANK(L271), ISBLANK(M271) ), "", 1.5*SQRT(   EXP(2.21*(H271-1)) + EXP(2.21*(J271-1)) + EXP(2.21*(K271-1)) + EXP(2.21*(L271-1)) + EXP(2.21*M271)   )/100*2.45 )</f>
        <v/>
      </c>
      <c r="O271" s="1282">
        <f>IF( OR( ISBLANK(I271),ISBLANK(J271), ISBLANK(K271), ISBLANK(L271), ISBLANK(M271) ), "", 1.5*SQRT( EXP(2.21*(I271-1)) + EXP(2.21*(J271-1)) + EXP(2.21*(K271-1)) + EXP(2.21*(L271-1)) + EXP(2.21*M271)   )/100*2.45 )</f>
        <v>0.37356464144298934</v>
      </c>
      <c r="P271" s="68"/>
    </row>
    <row r="272" spans="1:16">
      <c r="A272" s="68" t="str">
        <f>Clothing!A460</f>
        <v>Clothing (product sector)</v>
      </c>
      <c r="B272" s="304" t="str">
        <f>Clothing!B460</f>
        <v>Swimwear</v>
      </c>
      <c r="C272" s="69" t="str">
        <f>Clothing!C460</f>
        <v>EU</v>
      </c>
      <c r="D272" s="823" t="str">
        <f>Clothing!D460</f>
        <v>OTHER</v>
      </c>
      <c r="E272" s="69">
        <f>Clothing!E460</f>
        <v>8.3290819999999998E-3</v>
      </c>
      <c r="F272" s="823">
        <f>Clothing!F460</f>
        <v>1</v>
      </c>
      <c r="G272" s="69" t="str">
        <f>Clothing!G460</f>
        <v>https://eeb.org/library/draft-product-environmental-footprint-category-rules-pefcr-apparel-and-footwear/</v>
      </c>
      <c r="H272" s="1188"/>
      <c r="I272" s="307">
        <f>Clothing!I460</f>
        <v>1</v>
      </c>
      <c r="J272" s="307">
        <f>Clothing!J460</f>
        <v>2</v>
      </c>
      <c r="K272" s="307">
        <f>Clothing!K460</f>
        <v>1</v>
      </c>
      <c r="L272" s="307">
        <f>Clothing!L460</f>
        <v>2</v>
      </c>
      <c r="M272" s="307">
        <f>Clothing!M460</f>
        <v>2</v>
      </c>
      <c r="N272" s="616" t="str">
        <f>IF( OR( ISBLANK(H272),ISBLANK(J272), ISBLANK(K272), ISBLANK(L272), ISBLANK(M272) ), "", 1.5*SQRT(   EXP(2.21*(H272-1)) + EXP(2.21*(J272-1)) + EXP(2.21*(K272-1)) + EXP(2.21*(L272-1)) + EXP(2.21*M272)   )/100*2.45 )</f>
        <v/>
      </c>
      <c r="O272" s="1282">
        <f>IF( OR( ISBLANK(I272),ISBLANK(J272), ISBLANK(K272), ISBLANK(L272), ISBLANK(M272) ), "", 1.5*SQRT( EXP(2.21*(I272-1)) + EXP(2.21*(J272-1)) + EXP(2.21*(K272-1)) + EXP(2.21*(L272-1)) + EXP(2.21*M272)   )/100*2.45 )</f>
        <v>0.37356464144298934</v>
      </c>
      <c r="P272" s="68"/>
    </row>
    <row r="273" spans="1:32">
      <c r="A273" s="68" t="str">
        <f>Clothing!A461</f>
        <v>Clothing (product sector)</v>
      </c>
      <c r="B273" s="304" t="str">
        <f>Clothing!B461</f>
        <v>Swimwear</v>
      </c>
      <c r="C273" s="69" t="str">
        <f>Clothing!C461</f>
        <v>EU</v>
      </c>
      <c r="D273" s="823" t="str">
        <f>Clothing!D461</f>
        <v>PA</v>
      </c>
      <c r="E273" s="69">
        <f>Clothing!E461</f>
        <v>3.7985432999999999E-2</v>
      </c>
      <c r="F273" s="823">
        <f>Clothing!F461</f>
        <v>1</v>
      </c>
      <c r="G273" s="69" t="str">
        <f>Clothing!G461</f>
        <v>https://eeb.org/library/draft-product-environmental-footprint-category-rules-pefcr-apparel-and-footwear/</v>
      </c>
      <c r="H273" s="1188"/>
      <c r="I273" s="307">
        <f>Clothing!I461</f>
        <v>1</v>
      </c>
      <c r="J273" s="307">
        <f>Clothing!J461</f>
        <v>2</v>
      </c>
      <c r="K273" s="307">
        <f>Clothing!K461</f>
        <v>1</v>
      </c>
      <c r="L273" s="307">
        <f>Clothing!L461</f>
        <v>2</v>
      </c>
      <c r="M273" s="307">
        <f>Clothing!M461</f>
        <v>2</v>
      </c>
      <c r="N273" s="616" t="str">
        <f>IF( OR( ISBLANK(H273),ISBLANK(J273), ISBLANK(K273), ISBLANK(L273), ISBLANK(M273) ), "", 1.5*SQRT(   EXP(2.21*(H273-1)) + EXP(2.21*(J273-1)) + EXP(2.21*(K273-1)) + EXP(2.21*(L273-1)) + EXP(2.21*M273)   )/100*2.45 )</f>
        <v/>
      </c>
      <c r="O273" s="1282">
        <f>IF( OR( ISBLANK(I273),ISBLANK(J273), ISBLANK(K273), ISBLANK(L273), ISBLANK(M273) ), "", 1.5*SQRT( EXP(2.21*(I273-1)) + EXP(2.21*(J273-1)) + EXP(2.21*(K273-1)) + EXP(2.21*(L273-1)) + EXP(2.21*M273)   )/100*2.45 )</f>
        <v>0.37356464144298934</v>
      </c>
      <c r="P273" s="68"/>
    </row>
    <row r="274" spans="1:32">
      <c r="A274" s="68" t="str">
        <f>Clothing!A462</f>
        <v>Clothing (product sector)</v>
      </c>
      <c r="B274" s="304" t="str">
        <f>Clothing!B462</f>
        <v>Swimwear</v>
      </c>
      <c r="C274" s="69" t="str">
        <f>Clothing!C462</f>
        <v>EU</v>
      </c>
      <c r="D274" s="823" t="str">
        <f>Clothing!D462</f>
        <v>PET</v>
      </c>
      <c r="E274" s="69">
        <f>Clothing!E462</f>
        <v>6.1527869999999998E-3</v>
      </c>
      <c r="F274" s="823">
        <f>Clothing!F462</f>
        <v>1</v>
      </c>
      <c r="G274" s="69" t="str">
        <f>Clothing!G462</f>
        <v>https://eeb.org/library/draft-product-environmental-footprint-category-rules-pefcr-apparel-and-footwear/</v>
      </c>
      <c r="H274" s="1188"/>
      <c r="I274" s="307">
        <f>Clothing!I462</f>
        <v>1</v>
      </c>
      <c r="J274" s="307">
        <f>Clothing!J462</f>
        <v>2</v>
      </c>
      <c r="K274" s="307">
        <f>Clothing!K462</f>
        <v>1</v>
      </c>
      <c r="L274" s="307">
        <f>Clothing!L462</f>
        <v>2</v>
      </c>
      <c r="M274" s="307">
        <f>Clothing!M462</f>
        <v>2</v>
      </c>
      <c r="N274" s="616" t="str">
        <f>IF( OR( ISBLANK(H274),ISBLANK(J274), ISBLANK(K274), ISBLANK(L274), ISBLANK(M274) ), "", 1.5*SQRT(   EXP(2.21*(H274-1)) + EXP(2.21*(J274-1)) + EXP(2.21*(K274-1)) + EXP(2.21*(L274-1)) + EXP(2.21*M274)   )/100*2.45 )</f>
        <v/>
      </c>
      <c r="O274" s="1282">
        <f>IF( OR( ISBLANK(I274),ISBLANK(J274), ISBLANK(K274), ISBLANK(L274), ISBLANK(M274) ), "", 1.5*SQRT( EXP(2.21*(I274-1)) + EXP(2.21*(J274-1)) + EXP(2.21*(K274-1)) + EXP(2.21*(L274-1)) + EXP(2.21*M274)   )/100*2.45 )</f>
        <v>0.37356464144298934</v>
      </c>
      <c r="P274" s="68"/>
    </row>
    <row r="275" spans="1:32">
      <c r="A275" s="68" t="str">
        <f>Clothing!A463</f>
        <v>Clothing (product sector)</v>
      </c>
      <c r="B275" s="304" t="str">
        <f>Clothing!B463</f>
        <v>T-shirts</v>
      </c>
      <c r="C275" s="69" t="str">
        <f>Clothing!C463</f>
        <v>EU</v>
      </c>
      <c r="D275" s="823" t="str">
        <f>Clothing!D463</f>
        <v>Acryl</v>
      </c>
      <c r="E275" s="69">
        <f>Clothing!E463</f>
        <v>0</v>
      </c>
      <c r="F275" s="823">
        <f>Clothing!F463</f>
        <v>1</v>
      </c>
      <c r="G275" s="69" t="str">
        <f>Clothing!G463</f>
        <v>https://eeb.org/library/draft-product-environmental-footprint-category-rules-pefcr-apparel-and-footwear/</v>
      </c>
      <c r="H275" s="1188"/>
      <c r="I275" s="307">
        <f>Clothing!I463</f>
        <v>1</v>
      </c>
      <c r="J275" s="307">
        <f>Clothing!J463</f>
        <v>2</v>
      </c>
      <c r="K275" s="307">
        <f>Clothing!K463</f>
        <v>1</v>
      </c>
      <c r="L275" s="307">
        <f>Clothing!L463</f>
        <v>2</v>
      </c>
      <c r="M275" s="307">
        <f>Clothing!M463</f>
        <v>2</v>
      </c>
      <c r="N275" s="616" t="str">
        <f>IF( OR( ISBLANK(H275),ISBLANK(J275), ISBLANK(K275), ISBLANK(L275), ISBLANK(M275) ), "", 1.5*SQRT(   EXP(2.21*(H275-1)) + EXP(2.21*(J275-1)) + EXP(2.21*(K275-1)) + EXP(2.21*(L275-1)) + EXP(2.21*M275)   )/100*2.45 )</f>
        <v/>
      </c>
      <c r="O275" s="1282">
        <f>IF( OR( ISBLANK(I275),ISBLANK(J275), ISBLANK(K275), ISBLANK(L275), ISBLANK(M275) ), "", 1.5*SQRT( EXP(2.21*(I275-1)) + EXP(2.21*(J275-1)) + EXP(2.21*(K275-1)) + EXP(2.21*(L275-1)) + EXP(2.21*M275)   )/100*2.45 )</f>
        <v>0.37356464144298934</v>
      </c>
      <c r="P275" s="68"/>
    </row>
    <row r="276" spans="1:32" s="16" customFormat="1">
      <c r="A276" s="68" t="str">
        <f>Clothing!A464</f>
        <v>Clothing (product sector)</v>
      </c>
      <c r="B276" s="304" t="str">
        <f>Clothing!B464</f>
        <v>T-shirts</v>
      </c>
      <c r="C276" s="69" t="str">
        <f>Clothing!C464</f>
        <v>EU</v>
      </c>
      <c r="D276" s="823" t="str">
        <f>Clothing!D464</f>
        <v>OTHER</v>
      </c>
      <c r="E276" s="69">
        <f>Clothing!E464</f>
        <v>4.1074070000000004E-3</v>
      </c>
      <c r="F276" s="823">
        <f>Clothing!F464</f>
        <v>1</v>
      </c>
      <c r="G276" s="69" t="str">
        <f>Clothing!G464</f>
        <v>https://eeb.org/library/draft-product-environmental-footprint-category-rules-pefcr-apparel-and-footwear/</v>
      </c>
      <c r="H276" s="1188"/>
      <c r="I276" s="307">
        <f>Clothing!I464</f>
        <v>1</v>
      </c>
      <c r="J276" s="307">
        <f>Clothing!J464</f>
        <v>2</v>
      </c>
      <c r="K276" s="307">
        <f>Clothing!K464</f>
        <v>1</v>
      </c>
      <c r="L276" s="307">
        <f>Clothing!L464</f>
        <v>2</v>
      </c>
      <c r="M276" s="307">
        <f>Clothing!M464</f>
        <v>2</v>
      </c>
      <c r="N276" s="616" t="str">
        <f>IF( OR( ISBLANK(H276),ISBLANK(J276), ISBLANK(K276), ISBLANK(L276), ISBLANK(M276) ), "", 1.5*SQRT(   EXP(2.21*(H276-1)) + EXP(2.21*(J276-1)) + EXP(2.21*(K276-1)) + EXP(2.21*(L276-1)) + EXP(2.21*M276)   )/100*2.45 )</f>
        <v/>
      </c>
      <c r="O276" s="1282">
        <f>IF( OR( ISBLANK(I276),ISBLANK(J276), ISBLANK(K276), ISBLANK(L276), ISBLANK(M276) ), "", 1.5*SQRT( EXP(2.21*(I276-1)) + EXP(2.21*(J276-1)) + EXP(2.21*(K276-1)) + EXP(2.21*(L276-1)) + EXP(2.21*M276)   )/100*2.45 )</f>
        <v>0.37356464144298934</v>
      </c>
      <c r="P276" s="68"/>
      <c r="X276" s="817"/>
      <c r="Y276" s="817"/>
      <c r="AA276" s="817"/>
      <c r="AB276" s="817"/>
      <c r="AC276" s="818"/>
      <c r="AD276" s="818"/>
      <c r="AE276" s="817"/>
      <c r="AF276" s="818"/>
    </row>
    <row r="277" spans="1:32" s="16" customFormat="1">
      <c r="A277" s="68" t="str">
        <f>Clothing!A465</f>
        <v>Clothing (product sector)</v>
      </c>
      <c r="B277" s="304" t="str">
        <f>Clothing!B465</f>
        <v>T-shirts</v>
      </c>
      <c r="C277" s="69" t="str">
        <f>Clothing!C465</f>
        <v>EU</v>
      </c>
      <c r="D277" s="823" t="str">
        <f>Clothing!D465</f>
        <v>PA</v>
      </c>
      <c r="E277" s="69">
        <f>Clothing!E465</f>
        <v>0</v>
      </c>
      <c r="F277" s="823">
        <f>Clothing!F465</f>
        <v>1</v>
      </c>
      <c r="G277" s="69" t="str">
        <f>Clothing!G465</f>
        <v>https://eeb.org/library/draft-product-environmental-footprint-category-rules-pefcr-apparel-and-footwear/</v>
      </c>
      <c r="H277" s="1188"/>
      <c r="I277" s="307">
        <f>Clothing!I465</f>
        <v>1</v>
      </c>
      <c r="J277" s="307">
        <f>Clothing!J465</f>
        <v>2</v>
      </c>
      <c r="K277" s="307">
        <f>Clothing!K465</f>
        <v>1</v>
      </c>
      <c r="L277" s="307">
        <f>Clothing!L465</f>
        <v>2</v>
      </c>
      <c r="M277" s="307">
        <f>Clothing!M465</f>
        <v>2</v>
      </c>
      <c r="N277" s="616" t="str">
        <f>IF( OR( ISBLANK(H277),ISBLANK(J277), ISBLANK(K277), ISBLANK(L277), ISBLANK(M277) ), "", 1.5*SQRT(   EXP(2.21*(H277-1)) + EXP(2.21*(J277-1)) + EXP(2.21*(K277-1)) + EXP(2.21*(L277-1)) + EXP(2.21*M277)   )/100*2.45 )</f>
        <v/>
      </c>
      <c r="O277" s="1282">
        <f>IF( OR( ISBLANK(I277),ISBLANK(J277), ISBLANK(K277), ISBLANK(L277), ISBLANK(M277) ), "", 1.5*SQRT( EXP(2.21*(I277-1)) + EXP(2.21*(J277-1)) + EXP(2.21*(K277-1)) + EXP(2.21*(L277-1)) + EXP(2.21*M277)   )/100*2.45 )</f>
        <v>0.37356464144298934</v>
      </c>
      <c r="P277" s="68"/>
    </row>
    <row r="278" spans="1:32" s="16" customFormat="1">
      <c r="A278" s="68" t="str">
        <f>Clothing!A466</f>
        <v>Clothing (product sector)</v>
      </c>
      <c r="B278" s="304" t="str">
        <f>Clothing!B466</f>
        <v>T-shirts</v>
      </c>
      <c r="C278" s="69" t="str">
        <f>Clothing!C466</f>
        <v>EU</v>
      </c>
      <c r="D278" s="823" t="str">
        <f>Clothing!D466</f>
        <v>PET</v>
      </c>
      <c r="E278" s="69">
        <f>Clothing!E466</f>
        <v>7.0343419000000004E-2</v>
      </c>
      <c r="F278" s="823">
        <f>Clothing!F466</f>
        <v>1</v>
      </c>
      <c r="G278" s="69" t="str">
        <f>Clothing!G466</f>
        <v>https://eeb.org/library/draft-product-environmental-footprint-category-rules-pefcr-apparel-and-footwear/</v>
      </c>
      <c r="H278" s="1188"/>
      <c r="I278" s="307">
        <f>Clothing!I466</f>
        <v>1</v>
      </c>
      <c r="J278" s="307">
        <f>Clothing!J466</f>
        <v>2</v>
      </c>
      <c r="K278" s="307">
        <f>Clothing!K466</f>
        <v>1</v>
      </c>
      <c r="L278" s="307">
        <f>Clothing!L466</f>
        <v>2</v>
      </c>
      <c r="M278" s="307">
        <f>Clothing!M466</f>
        <v>2</v>
      </c>
      <c r="N278" s="616" t="str">
        <f>IF( OR( ISBLANK(H278),ISBLANK(J278), ISBLANK(K278), ISBLANK(L278), ISBLANK(M278) ), "", 1.5*SQRT(   EXP(2.21*(H278-1)) + EXP(2.21*(J278-1)) + EXP(2.21*(K278-1)) + EXP(2.21*(L278-1)) + EXP(2.21*M278)   )/100*2.45 )</f>
        <v/>
      </c>
      <c r="O278" s="1282">
        <f>IF( OR( ISBLANK(I278),ISBLANK(J278), ISBLANK(K278), ISBLANK(L278), ISBLANK(M278) ), "", 1.5*SQRT( EXP(2.21*(I278-1)) + EXP(2.21*(J278-1)) + EXP(2.21*(K278-1)) + EXP(2.21*(L278-1)) + EXP(2.21*M278)   )/100*2.45 )</f>
        <v>0.37356464144298934</v>
      </c>
      <c r="P278" s="68"/>
    </row>
    <row r="279" spans="1:32" s="16" customFormat="1">
      <c r="A279" s="68" t="str">
        <f>Clothing!A467</f>
        <v>Clothing (product sector)</v>
      </c>
      <c r="B279" s="304" t="str">
        <f>Clothing!B467</f>
        <v>Underwear</v>
      </c>
      <c r="C279" s="69" t="str">
        <f>Clothing!C467</f>
        <v>EU</v>
      </c>
      <c r="D279" s="823" t="str">
        <f>Clothing!D467</f>
        <v>Acryl</v>
      </c>
      <c r="E279" s="69">
        <f>Clothing!E467</f>
        <v>0</v>
      </c>
      <c r="F279" s="823">
        <f>Clothing!F467</f>
        <v>1</v>
      </c>
      <c r="G279" s="69" t="str">
        <f>Clothing!G467</f>
        <v>https://eeb.org/library/draft-product-environmental-footprint-category-rules-pefcr-apparel-and-footwear/</v>
      </c>
      <c r="H279" s="1188"/>
      <c r="I279" s="307">
        <f>Clothing!I467</f>
        <v>1</v>
      </c>
      <c r="J279" s="307">
        <f>Clothing!J467</f>
        <v>2</v>
      </c>
      <c r="K279" s="307">
        <f>Clothing!K467</f>
        <v>1</v>
      </c>
      <c r="L279" s="307">
        <f>Clothing!L467</f>
        <v>2</v>
      </c>
      <c r="M279" s="307">
        <f>Clothing!M467</f>
        <v>2</v>
      </c>
      <c r="N279" s="616" t="str">
        <f>IF( OR( ISBLANK(H279),ISBLANK(J279), ISBLANK(K279), ISBLANK(L279), ISBLANK(M279) ), "", 1.5*SQRT(   EXP(2.21*(H279-1)) + EXP(2.21*(J279-1)) + EXP(2.21*(K279-1)) + EXP(2.21*(L279-1)) + EXP(2.21*M279)   )/100*2.45 )</f>
        <v/>
      </c>
      <c r="O279" s="1282">
        <f>IF( OR( ISBLANK(I279),ISBLANK(J279), ISBLANK(K279), ISBLANK(L279), ISBLANK(M279) ), "", 1.5*SQRT( EXP(2.21*(I279-1)) + EXP(2.21*(J279-1)) + EXP(2.21*(K279-1)) + EXP(2.21*(L279-1)) + EXP(2.21*M279)   )/100*2.45 )</f>
        <v>0.37356464144298934</v>
      </c>
      <c r="P279" s="68"/>
    </row>
    <row r="280" spans="1:32" s="16" customFormat="1">
      <c r="A280" s="68" t="str">
        <f>Clothing!A468</f>
        <v>Clothing (product sector)</v>
      </c>
      <c r="B280" s="304" t="str">
        <f>Clothing!B468</f>
        <v>Underwear</v>
      </c>
      <c r="C280" s="69" t="str">
        <f>Clothing!C468</f>
        <v>EU</v>
      </c>
      <c r="D280" s="823" t="str">
        <f>Clothing!D468</f>
        <v>OTHER</v>
      </c>
      <c r="E280" s="69">
        <f>Clothing!E468</f>
        <v>7.9507029000000007E-2</v>
      </c>
      <c r="F280" s="823">
        <f>Clothing!F468</f>
        <v>1</v>
      </c>
      <c r="G280" s="69" t="str">
        <f>Clothing!G468</f>
        <v>https://eeb.org/library/draft-product-environmental-footprint-category-rules-pefcr-apparel-and-footwear/</v>
      </c>
      <c r="H280" s="1188"/>
      <c r="I280" s="307">
        <f>Clothing!I468</f>
        <v>1</v>
      </c>
      <c r="J280" s="307">
        <f>Clothing!J468</f>
        <v>2</v>
      </c>
      <c r="K280" s="307">
        <f>Clothing!K468</f>
        <v>1</v>
      </c>
      <c r="L280" s="307">
        <f>Clothing!L468</f>
        <v>2</v>
      </c>
      <c r="M280" s="307">
        <f>Clothing!M468</f>
        <v>2</v>
      </c>
      <c r="N280" s="616" t="str">
        <f>IF( OR( ISBLANK(H280),ISBLANK(J280), ISBLANK(K280), ISBLANK(L280), ISBLANK(M280) ), "", 1.5*SQRT(   EXP(2.21*(H280-1)) + EXP(2.21*(J280-1)) + EXP(2.21*(K280-1)) + EXP(2.21*(L280-1)) + EXP(2.21*M280)   )/100*2.45 )</f>
        <v/>
      </c>
      <c r="O280" s="1282">
        <f>IF( OR( ISBLANK(I280),ISBLANK(J280), ISBLANK(K280), ISBLANK(L280), ISBLANK(M280) ), "", 1.5*SQRT( EXP(2.21*(I280-1)) + EXP(2.21*(J280-1)) + EXP(2.21*(K280-1)) + EXP(2.21*(L280-1)) + EXP(2.21*M280)   )/100*2.45 )</f>
        <v>0.37356464144298934</v>
      </c>
      <c r="P280" s="68"/>
    </row>
    <row r="281" spans="1:32" s="16" customFormat="1">
      <c r="A281" s="68" t="str">
        <f>Clothing!A469</f>
        <v>Clothing (product sector)</v>
      </c>
      <c r="B281" s="304" t="str">
        <f>Clothing!B469</f>
        <v>Underwear</v>
      </c>
      <c r="C281" s="69" t="str">
        <f>Clothing!C469</f>
        <v>EU</v>
      </c>
      <c r="D281" s="823" t="str">
        <f>Clothing!D469</f>
        <v>PA</v>
      </c>
      <c r="E281" s="69">
        <f>Clothing!E469</f>
        <v>0.109237894</v>
      </c>
      <c r="F281" s="823">
        <f>Clothing!F469</f>
        <v>1</v>
      </c>
      <c r="G281" s="69" t="str">
        <f>Clothing!G469</f>
        <v>https://eeb.org/library/draft-product-environmental-footprint-category-rules-pefcr-apparel-and-footwear/</v>
      </c>
      <c r="H281" s="1188"/>
      <c r="I281" s="307">
        <f>Clothing!I469</f>
        <v>1</v>
      </c>
      <c r="J281" s="307">
        <f>Clothing!J469</f>
        <v>2</v>
      </c>
      <c r="K281" s="307">
        <f>Clothing!K469</f>
        <v>1</v>
      </c>
      <c r="L281" s="307">
        <f>Clothing!L469</f>
        <v>2</v>
      </c>
      <c r="M281" s="307">
        <f>Clothing!M469</f>
        <v>2</v>
      </c>
      <c r="N281" s="616" t="str">
        <f>IF( OR( ISBLANK(H281),ISBLANK(J281), ISBLANK(K281), ISBLANK(L281), ISBLANK(M281) ), "", 1.5*SQRT(   EXP(2.21*(H281-1)) + EXP(2.21*(J281-1)) + EXP(2.21*(K281-1)) + EXP(2.21*(L281-1)) + EXP(2.21*M281)   )/100*2.45 )</f>
        <v/>
      </c>
      <c r="O281" s="1282">
        <f>IF( OR( ISBLANK(I281),ISBLANK(J281), ISBLANK(K281), ISBLANK(L281), ISBLANK(M281) ), "", 1.5*SQRT( EXP(2.21*(I281-1)) + EXP(2.21*(J281-1)) + EXP(2.21*(K281-1)) + EXP(2.21*(L281-1)) + EXP(2.21*M281)   )/100*2.45 )</f>
        <v>0.37356464144298934</v>
      </c>
      <c r="P281" s="68"/>
    </row>
    <row r="282" spans="1:32" s="16" customFormat="1">
      <c r="A282" s="68" t="str">
        <f>Clothing!A470</f>
        <v>Clothing (product sector)</v>
      </c>
      <c r="B282" s="304" t="str">
        <f>Clothing!B470</f>
        <v>Underwear</v>
      </c>
      <c r="C282" s="69" t="str">
        <f>Clothing!C470</f>
        <v>EU</v>
      </c>
      <c r="D282" s="823" t="str">
        <f>Clothing!D470</f>
        <v>PET</v>
      </c>
      <c r="E282" s="69">
        <f>Clothing!E470</f>
        <v>9.9046810000000002E-3</v>
      </c>
      <c r="F282" s="823">
        <f>Clothing!F470</f>
        <v>1</v>
      </c>
      <c r="G282" s="69" t="str">
        <f>Clothing!G470</f>
        <v>https://eeb.org/library/draft-product-environmental-footprint-category-rules-pefcr-apparel-and-footwear/</v>
      </c>
      <c r="H282" s="1188"/>
      <c r="I282" s="307">
        <f>Clothing!I470</f>
        <v>1</v>
      </c>
      <c r="J282" s="307">
        <f>Clothing!J470</f>
        <v>2</v>
      </c>
      <c r="K282" s="307">
        <f>Clothing!K470</f>
        <v>1</v>
      </c>
      <c r="L282" s="307">
        <f>Clothing!L470</f>
        <v>2</v>
      </c>
      <c r="M282" s="307">
        <f>Clothing!M470</f>
        <v>2</v>
      </c>
      <c r="N282" s="616" t="str">
        <f>IF( OR( ISBLANK(H282),ISBLANK(J282), ISBLANK(K282), ISBLANK(L282), ISBLANK(M282) ), "", 1.5*SQRT(   EXP(2.21*(H282-1)) + EXP(2.21*(J282-1)) + EXP(2.21*(K282-1)) + EXP(2.21*(L282-1)) + EXP(2.21*M282)   )/100*2.45 )</f>
        <v/>
      </c>
      <c r="O282" s="1282">
        <f>IF( OR( ISBLANK(I282),ISBLANK(J282), ISBLANK(K282), ISBLANK(L282), ISBLANK(M282) ), "", 1.5*SQRT( EXP(2.21*(I282-1)) + EXP(2.21*(J282-1)) + EXP(2.21*(K282-1)) + EXP(2.21*(L282-1)) + EXP(2.21*M282)   )/100*2.45 )</f>
        <v>0.37356464144298934</v>
      </c>
      <c r="P282" s="68"/>
    </row>
    <row r="283" spans="1:32">
      <c r="A283" s="68" t="str">
        <f>Clothing!A581</f>
        <v>Clothing drying</v>
      </c>
      <c r="B283" s="304" t="str">
        <f>Clothing!B581</f>
        <v>Clothing indoor drying</v>
      </c>
      <c r="C283" s="69" t="str">
        <f>Clothing!C581</f>
        <v>any</v>
      </c>
      <c r="D283" s="823" t="str">
        <f>Clothing!D581</f>
        <v>any</v>
      </c>
      <c r="E283" s="1276">
        <f>Clothing!E581</f>
        <v>8.7628865979381465E-2</v>
      </c>
      <c r="F283" s="823">
        <f>Clothing!F581</f>
        <v>1</v>
      </c>
      <c r="G283" s="69" t="str">
        <f>Clothing!G581</f>
        <v>Based on assumption 10% of dryer TC</v>
      </c>
      <c r="H283" s="1188">
        <f>Clothing!H581</f>
        <v>2</v>
      </c>
      <c r="I283" s="307">
        <f>Clothing!I581</f>
        <v>2</v>
      </c>
      <c r="J283" s="307">
        <f>Clothing!J581</f>
        <v>2</v>
      </c>
      <c r="K283" s="307">
        <f>Clothing!K581</f>
        <v>2</v>
      </c>
      <c r="L283" s="307">
        <f>Clothing!L581</f>
        <v>3</v>
      </c>
      <c r="M283" s="307">
        <f>Clothing!M581</f>
        <v>3</v>
      </c>
      <c r="N283" s="616">
        <f>IF( OR( ISBLANK(H283),ISBLANK(J283), ISBLANK(K283), ISBLANK(L283), ISBLANK(M283) ), "", 1.5*SQRT(   EXP(2.21*(H283-1)) + EXP(2.21*(J283-1)) + EXP(2.21*(K283-1)) + EXP(2.21*(L283-1)) + EXP(2.21*M283)   )/100*2.45 )</f>
        <v>1.0826762097436766</v>
      </c>
      <c r="O283" s="1282">
        <f>IF( OR( ISBLANK(I283),ISBLANK(J283), ISBLANK(K283), ISBLANK(L283), ISBLANK(M283) ), "", 1.5*SQRT( EXP(2.21*(I283-1)) + EXP(2.21*(J283-1)) + EXP(2.21*(K283-1)) + EXP(2.21*(L283-1)) + EXP(2.21*M283)   )/100*2.45 )</f>
        <v>1.0826762097436766</v>
      </c>
      <c r="P283" s="68"/>
    </row>
    <row r="284" spans="1:32">
      <c r="A284" s="68" t="str">
        <f>Clothing!A582</f>
        <v>Clothing drying</v>
      </c>
      <c r="B284" s="304" t="str">
        <f>Clothing!B582</f>
        <v>Clothing outdoor drying</v>
      </c>
      <c r="C284" s="69" t="str">
        <f>Clothing!C582</f>
        <v>any</v>
      </c>
      <c r="D284" s="823" t="str">
        <f>Clothing!D582</f>
        <v>any</v>
      </c>
      <c r="E284" s="1276">
        <f>Clothing!E582</f>
        <v>8.7628865979381465E-2</v>
      </c>
      <c r="F284" s="823">
        <f>Clothing!F582</f>
        <v>1</v>
      </c>
      <c r="G284" s="69" t="str">
        <f>Clothing!G582</f>
        <v>Based on assumption 10% of dryer TC</v>
      </c>
      <c r="H284" s="1188">
        <f>Clothing!H582</f>
        <v>2</v>
      </c>
      <c r="I284" s="307">
        <f>Clothing!I582</f>
        <v>2</v>
      </c>
      <c r="J284" s="307">
        <f>Clothing!J582</f>
        <v>2</v>
      </c>
      <c r="K284" s="307">
        <f>Clothing!K582</f>
        <v>2</v>
      </c>
      <c r="L284" s="307">
        <f>Clothing!L582</f>
        <v>3</v>
      </c>
      <c r="M284" s="307">
        <f>Clothing!M582</f>
        <v>3</v>
      </c>
      <c r="N284" s="616">
        <f>IF( OR( ISBLANK(H284),ISBLANK(J284), ISBLANK(K284), ISBLANK(L284), ISBLANK(M284) ), "", 1.5*SQRT(   EXP(2.21*(H284-1)) + EXP(2.21*(J284-1)) + EXP(2.21*(K284-1)) + EXP(2.21*(L284-1)) + EXP(2.21*M284)   )/100*2.45 )</f>
        <v>1.0826762097436766</v>
      </c>
      <c r="O284" s="1282">
        <f>IF( OR( ISBLANK(I284),ISBLANK(J284), ISBLANK(K284), ISBLANK(L284), ISBLANK(M284) ), "", 1.5*SQRT( EXP(2.21*(I284-1)) + EXP(2.21*(J284-1)) + EXP(2.21*(K284-1)) + EXP(2.21*(L284-1)) + EXP(2.21*M284)   )/100*2.45 )</f>
        <v>1.0826762097436766</v>
      </c>
      <c r="P284" s="68"/>
    </row>
    <row r="285" spans="1:32">
      <c r="A285" s="68" t="str">
        <f>Clothing!A583</f>
        <v>Clothing drying</v>
      </c>
      <c r="B285" s="304" t="str">
        <f>Clothing!B583</f>
        <v>Clothing drying VTD</v>
      </c>
      <c r="C285" s="69" t="str">
        <f>Clothing!C583</f>
        <v>any</v>
      </c>
      <c r="D285" s="823" t="str">
        <f>Clothing!D583</f>
        <v>any</v>
      </c>
      <c r="E285" s="1276">
        <f>Clothing!E583</f>
        <v>0.15463917525773196</v>
      </c>
      <c r="F285" s="823">
        <f>Clothing!F583</f>
        <v>2</v>
      </c>
      <c r="G285" s="69" t="str">
        <f>Clothing!G583</f>
        <v>Combined data from CBS, RIVM, and Cummins et al. (2023)</v>
      </c>
      <c r="H285" s="1188">
        <f>Clothing!H583</f>
        <v>2</v>
      </c>
      <c r="I285" s="307">
        <f>Clothing!I583</f>
        <v>2</v>
      </c>
      <c r="J285" s="307">
        <f>Clothing!J583</f>
        <v>1</v>
      </c>
      <c r="K285" s="307">
        <f>Clothing!K583</f>
        <v>2</v>
      </c>
      <c r="L285" s="307">
        <f>Clothing!L583</f>
        <v>2</v>
      </c>
      <c r="M285" s="307">
        <f>Clothing!M583</f>
        <v>2</v>
      </c>
      <c r="N285" s="616">
        <f>IF( OR( ISBLANK(H285),ISBLANK(J285), ISBLANK(K285), ISBLANK(L285), ISBLANK(M285) ), "", 1.5*SQRT(   EXP(2.21*(H285-1)) + EXP(2.21*(J285-1)) + EXP(2.21*(K285-1)) + EXP(2.21*(L285-1)) + EXP(2.21*M285)   )/100*2.45 )</f>
        <v>0.38795788889711302</v>
      </c>
      <c r="O285" s="1282">
        <f>IF( OR( ISBLANK(I285),ISBLANK(J285), ISBLANK(K285), ISBLANK(L285), ISBLANK(M285) ), "", 1.5*SQRT( EXP(2.21*(I285-1)) + EXP(2.21*(J285-1)) + EXP(2.21*(K285-1)) + EXP(2.21*(L285-1)) + EXP(2.21*M285)   )/100*2.45 )</f>
        <v>0.38795788889711302</v>
      </c>
      <c r="P285" s="68"/>
    </row>
    <row r="286" spans="1:32">
      <c r="A286" s="68" t="str">
        <f>Clothing!A584</f>
        <v>Clothing drying</v>
      </c>
      <c r="B286" s="304" t="str">
        <f>Clothing!B584</f>
        <v>Clothing drying CHPTD</v>
      </c>
      <c r="C286" s="69" t="str">
        <f>Clothing!C584</f>
        <v>any</v>
      </c>
      <c r="D286" s="823" t="str">
        <f>Clothing!D584</f>
        <v>any</v>
      </c>
      <c r="E286" s="1276">
        <f>Clothing!E584</f>
        <v>0.25773195876288663</v>
      </c>
      <c r="F286" s="823">
        <f>Clothing!F584</f>
        <v>2</v>
      </c>
      <c r="G286" s="69" t="str">
        <f>Clothing!G584</f>
        <v>Combined data from CBS, RIVM, and Cummins et al. (2023)</v>
      </c>
      <c r="H286" s="1188">
        <f>Clothing!H584</f>
        <v>2</v>
      </c>
      <c r="I286" s="307">
        <f>Clothing!I584</f>
        <v>2</v>
      </c>
      <c r="J286" s="307">
        <f>Clothing!J584</f>
        <v>1</v>
      </c>
      <c r="K286" s="307">
        <f>Clothing!K584</f>
        <v>2</v>
      </c>
      <c r="L286" s="307">
        <f>Clothing!L584</f>
        <v>2</v>
      </c>
      <c r="M286" s="307">
        <f>Clothing!M584</f>
        <v>2</v>
      </c>
      <c r="N286" s="616">
        <f>IF( OR( ISBLANK(H286),ISBLANK(J286), ISBLANK(K286), ISBLANK(L286), ISBLANK(M286) ), "", 1.5*SQRT(   EXP(2.21*(H286-1)) + EXP(2.21*(J286-1)) + EXP(2.21*(K286-1)) + EXP(2.21*(L286-1)) + EXP(2.21*M286)   )/100*2.45 )</f>
        <v>0.38795788889711302</v>
      </c>
      <c r="O286" s="1282">
        <f>IF( OR( ISBLANK(I286),ISBLANK(J286), ISBLANK(K286), ISBLANK(L286), ISBLANK(M286) ), "", 1.5*SQRT( EXP(2.21*(I286-1)) + EXP(2.21*(J286-1)) + EXP(2.21*(K286-1)) + EXP(2.21*(L286-1)) + EXP(2.21*M286)   )/100*2.45 )</f>
        <v>0.38795788889711302</v>
      </c>
      <c r="P286" s="68"/>
    </row>
    <row r="287" spans="1:32">
      <c r="A287" s="68" t="str">
        <f>Clothing!A585</f>
        <v>Clothing drying</v>
      </c>
      <c r="B287" s="304" t="str">
        <f>Clothing!B585</f>
        <v>Clothing drying CHETD</v>
      </c>
      <c r="C287" s="69" t="str">
        <f>Clothing!C585</f>
        <v>any</v>
      </c>
      <c r="D287" s="823" t="str">
        <f>Clothing!D585</f>
        <v>any</v>
      </c>
      <c r="E287" s="1276">
        <f>Clothing!E585</f>
        <v>0.33505154639175261</v>
      </c>
      <c r="F287" s="823">
        <f>Clothing!F585</f>
        <v>2</v>
      </c>
      <c r="G287" s="69" t="str">
        <f>Clothing!G585</f>
        <v>Combined data from CBS, RIVM, and Cummins et al. (2023)</v>
      </c>
      <c r="H287" s="1188">
        <f>Clothing!H585</f>
        <v>2</v>
      </c>
      <c r="I287" s="307">
        <f>Clothing!I585</f>
        <v>2</v>
      </c>
      <c r="J287" s="307">
        <f>Clothing!J585</f>
        <v>1</v>
      </c>
      <c r="K287" s="307">
        <f>Clothing!K585</f>
        <v>2</v>
      </c>
      <c r="L287" s="307">
        <f>Clothing!L585</f>
        <v>2</v>
      </c>
      <c r="M287" s="307">
        <f>Clothing!M585</f>
        <v>2</v>
      </c>
      <c r="N287" s="616">
        <f>IF( OR( ISBLANK(H287),ISBLANK(J287), ISBLANK(K287), ISBLANK(L287), ISBLANK(M287) ), "", 1.5*SQRT(   EXP(2.21*(H287-1)) + EXP(2.21*(J287-1)) + EXP(2.21*(K287-1)) + EXP(2.21*(L287-1)) + EXP(2.21*M287)   )/100*2.45 )</f>
        <v>0.38795788889711302</v>
      </c>
      <c r="O287" s="1282">
        <f>IF( OR( ISBLANK(I287),ISBLANK(J287), ISBLANK(K287), ISBLANK(L287), ISBLANK(M287) ), "", 1.5*SQRT( EXP(2.21*(I287-1)) + EXP(2.21*(J287-1)) + EXP(2.21*(K287-1)) + EXP(2.21*(L287-1)) + EXP(2.21*M287)   )/100*2.45 )</f>
        <v>0.38795788889711302</v>
      </c>
      <c r="P287" s="68"/>
    </row>
    <row r="288" spans="1:32">
      <c r="A288" s="68" t="str">
        <f>Clothing!A586</f>
        <v>Clothing drying</v>
      </c>
      <c r="B288" s="304" t="str">
        <f>Clothing!B586</f>
        <v>Clothing washer-dryer combo</v>
      </c>
      <c r="C288" s="69" t="str">
        <f>Clothing!C586</f>
        <v>any</v>
      </c>
      <c r="D288" s="823" t="str">
        <f>Clothing!D586</f>
        <v>any</v>
      </c>
      <c r="E288" s="1276">
        <f>Clothing!E586</f>
        <v>7.7319587628865982E-2</v>
      </c>
      <c r="F288" s="823">
        <f>Clothing!F586</f>
        <v>2</v>
      </c>
      <c r="G288" s="69" t="str">
        <f>Clothing!G586</f>
        <v>Combined data from CBS, RIVM, and Cummins et al. (2023)</v>
      </c>
      <c r="H288" s="1188">
        <f>Clothing!H586</f>
        <v>2</v>
      </c>
      <c r="I288" s="307">
        <f>Clothing!I586</f>
        <v>2</v>
      </c>
      <c r="J288" s="307">
        <f>Clothing!J586</f>
        <v>1</v>
      </c>
      <c r="K288" s="307">
        <f>Clothing!K586</f>
        <v>2</v>
      </c>
      <c r="L288" s="307">
        <f>Clothing!L586</f>
        <v>2</v>
      </c>
      <c r="M288" s="307">
        <f>Clothing!M586</f>
        <v>2</v>
      </c>
      <c r="N288" s="616">
        <f>IF( OR( ISBLANK(H288),ISBLANK(J288), ISBLANK(K288), ISBLANK(L288), ISBLANK(M288) ), "", 1.5*SQRT(   EXP(2.21*(H288-1)) + EXP(2.21*(J288-1)) + EXP(2.21*(K288-1)) + EXP(2.21*(L288-1)) + EXP(2.21*M288)   )/100*2.45 )</f>
        <v>0.38795788889711302</v>
      </c>
      <c r="O288" s="1282">
        <f>IF( OR( ISBLANK(I288),ISBLANK(J288), ISBLANK(K288), ISBLANK(L288), ISBLANK(M288) ), "", 1.5*SQRT( EXP(2.21*(I288-1)) + EXP(2.21*(J288-1)) + EXP(2.21*(K288-1)) + EXP(2.21*(L288-1)) + EXP(2.21*M288)   )/100*2.45 )</f>
        <v>0.38795788889711302</v>
      </c>
      <c r="P288" s="68"/>
    </row>
    <row r="289" spans="1:16">
      <c r="A289" s="68" t="str">
        <f>Clothing!A595</f>
        <v>Clothing drying CHETD</v>
      </c>
      <c r="B289" s="304" t="str">
        <f>Clothing!B595</f>
        <v>Wastewater (micro)</v>
      </c>
      <c r="C289" s="69" t="str">
        <f>Clothing!C595</f>
        <v>any</v>
      </c>
      <c r="D289" s="823" t="str">
        <f>Clothing!D595</f>
        <v>any</v>
      </c>
      <c r="E289" s="1276">
        <f>Clothing!E595</f>
        <v>0.08</v>
      </c>
      <c r="F289" s="823">
        <f>Clothing!F595</f>
        <v>2</v>
      </c>
      <c r="G289" s="69" t="str">
        <f>Clothing!G595</f>
        <v>Cummings et al. (2023)</v>
      </c>
      <c r="H289" s="1188">
        <f>Clothing!H595</f>
        <v>2</v>
      </c>
      <c r="I289" s="307">
        <f>Clothing!I595</f>
        <v>2</v>
      </c>
      <c r="J289" s="307">
        <f>Clothing!J595</f>
        <v>1</v>
      </c>
      <c r="K289" s="307">
        <f>Clothing!K595</f>
        <v>2</v>
      </c>
      <c r="L289" s="307">
        <f>Clothing!L595</f>
        <v>2</v>
      </c>
      <c r="M289" s="307">
        <f>Clothing!M595</f>
        <v>1</v>
      </c>
      <c r="N289" s="616">
        <f>IF( OR( ISBLANK(H289),ISBLANK(J289), ISBLANK(K289), ISBLANK(L289), ISBLANK(M289) ), "", 1.5*SQRT(   EXP(2.21*(H289-1)) + EXP(2.21*(J289-1)) + EXP(2.21*(K289-1)) + EXP(2.21*(L289-1)) + EXP(2.21*M289)   )/100*2.45 )</f>
        <v>0.2249354160293616</v>
      </c>
      <c r="O289" s="1282">
        <f>IF( OR( ISBLANK(I289),ISBLANK(J289), ISBLANK(K289), ISBLANK(L289), ISBLANK(M289) ), "", 1.5*SQRT( EXP(2.21*(I289-1)) + EXP(2.21*(J289-1)) + EXP(2.21*(K289-1)) + EXP(2.21*(L289-1)) + EXP(2.21*M289)   )/100*2.45 )</f>
        <v>0.2249354160293616</v>
      </c>
      <c r="P289" s="68"/>
    </row>
    <row r="290" spans="1:16">
      <c r="A290" s="68" t="str">
        <f>Clothing!A596</f>
        <v>Clothing drying CHETD</v>
      </c>
      <c r="B290" s="304" t="str">
        <f>Clothing!B596</f>
        <v>Lint filter (CHETD)</v>
      </c>
      <c r="C290" s="69" t="str">
        <f>Clothing!C596</f>
        <v>any</v>
      </c>
      <c r="D290" s="823" t="str">
        <f>Clothing!D596</f>
        <v>any</v>
      </c>
      <c r="E290" s="1276" t="str">
        <f>Clothing!E596</f>
        <v>rest</v>
      </c>
      <c r="F290" s="823">
        <f>Clothing!F596</f>
        <v>1</v>
      </c>
      <c r="G290" s="69" t="str">
        <f>Clothing!G596</f>
        <v>Cummings et al. (2023)</v>
      </c>
      <c r="H290" s="1188"/>
      <c r="I290" s="307"/>
      <c r="J290" s="307"/>
      <c r="K290" s="307"/>
      <c r="L290" s="307"/>
      <c r="M290" s="307"/>
      <c r="N290" s="616" t="str">
        <f>IF( OR( ISBLANK(H290),ISBLANK(J290), ISBLANK(K290), ISBLANK(L290), ISBLANK(M290) ), "", 1.5*SQRT(   EXP(2.21*(H290-1)) + EXP(2.21*(J290-1)) + EXP(2.21*(K290-1)) + EXP(2.21*(L290-1)) + EXP(2.21*M290)   )/100*2.45 )</f>
        <v/>
      </c>
      <c r="O290" s="1282" t="str">
        <f>IF( OR( ISBLANK(I290),ISBLANK(J290), ISBLANK(K290), ISBLANK(L290), ISBLANK(M290) ), "", 1.5*SQRT( EXP(2.21*(I290-1)) + EXP(2.21*(J290-1)) + EXP(2.21*(K290-1)) + EXP(2.21*(L290-1)) + EXP(2.21*M290)   )/100*2.45 )</f>
        <v/>
      </c>
      <c r="P290" s="68"/>
    </row>
    <row r="291" spans="1:16">
      <c r="A291" s="68" t="str">
        <f>Clothing!A593</f>
        <v>Clothing drying CHPTD</v>
      </c>
      <c r="B291" s="304" t="str">
        <f>Clothing!B593</f>
        <v>Wastewater (micro)</v>
      </c>
      <c r="C291" s="69" t="str">
        <f>Clothing!C593</f>
        <v>any</v>
      </c>
      <c r="D291" s="823" t="str">
        <f>Clothing!D593</f>
        <v>any</v>
      </c>
      <c r="E291" s="1276">
        <f>Clothing!E593</f>
        <v>0.08</v>
      </c>
      <c r="F291" s="823">
        <f>Clothing!F593</f>
        <v>2</v>
      </c>
      <c r="G291" s="69" t="str">
        <f>Clothing!G593</f>
        <v>Cummings et al. (2023)</v>
      </c>
      <c r="H291" s="1188">
        <f>Clothing!H593</f>
        <v>2</v>
      </c>
      <c r="I291" s="307">
        <f>Clothing!I593</f>
        <v>2</v>
      </c>
      <c r="J291" s="307">
        <f>Clothing!J593</f>
        <v>1</v>
      </c>
      <c r="K291" s="307">
        <f>Clothing!K593</f>
        <v>2</v>
      </c>
      <c r="L291" s="307">
        <f>Clothing!L593</f>
        <v>2</v>
      </c>
      <c r="M291" s="307">
        <f>Clothing!M593</f>
        <v>1</v>
      </c>
      <c r="N291" s="616">
        <f>IF( OR( ISBLANK(H291),ISBLANK(J291), ISBLANK(K291), ISBLANK(L291), ISBLANK(M291) ), "", 1.5*SQRT(   EXP(2.21*(H291-1)) + EXP(2.21*(J291-1)) + EXP(2.21*(K291-1)) + EXP(2.21*(L291-1)) + EXP(2.21*M291)   )/100*2.45 )</f>
        <v>0.2249354160293616</v>
      </c>
      <c r="O291" s="1282">
        <f>IF( OR( ISBLANK(I291),ISBLANK(J291), ISBLANK(K291), ISBLANK(L291), ISBLANK(M291) ), "", 1.5*SQRT( EXP(2.21*(I291-1)) + EXP(2.21*(J291-1)) + EXP(2.21*(K291-1)) + EXP(2.21*(L291-1)) + EXP(2.21*M291)   )/100*2.45 )</f>
        <v>0.2249354160293616</v>
      </c>
      <c r="P291" s="68"/>
    </row>
    <row r="292" spans="1:16">
      <c r="A292" s="68" t="str">
        <f>Clothing!A594</f>
        <v>Clothing drying CHPTD</v>
      </c>
      <c r="B292" s="304" t="str">
        <f>Clothing!B594</f>
        <v>Lint filter (CHPTD)</v>
      </c>
      <c r="C292" s="69" t="str">
        <f>Clothing!C594</f>
        <v>any</v>
      </c>
      <c r="D292" s="823" t="str">
        <f>Clothing!D594</f>
        <v>any</v>
      </c>
      <c r="E292" s="1276" t="str">
        <f>Clothing!E594</f>
        <v>rest</v>
      </c>
      <c r="F292" s="823">
        <f>Clothing!F594</f>
        <v>1</v>
      </c>
      <c r="G292" s="69" t="str">
        <f>Clothing!G594</f>
        <v>Cummings et al. (2023)</v>
      </c>
      <c r="H292" s="1188"/>
      <c r="I292" s="307"/>
      <c r="J292" s="307"/>
      <c r="K292" s="307"/>
      <c r="L292" s="307"/>
      <c r="M292" s="307"/>
      <c r="N292" s="616" t="str">
        <f>IF( OR( ISBLANK(H292),ISBLANK(J292), ISBLANK(K292), ISBLANK(L292), ISBLANK(M292) ), "", 1.5*SQRT(   EXP(2.21*(H292-1)) + EXP(2.21*(J292-1)) + EXP(2.21*(K292-1)) + EXP(2.21*(L292-1)) + EXP(2.21*M292)   )/100*2.45 )</f>
        <v/>
      </c>
      <c r="O292" s="1282" t="str">
        <f>IF( OR( ISBLANK(I292),ISBLANK(J292), ISBLANK(K292), ISBLANK(L292), ISBLANK(M292) ), "", 1.5*SQRT( EXP(2.21*(I292-1)) + EXP(2.21*(J292-1)) + EXP(2.21*(K292-1)) + EXP(2.21*(L292-1)) + EXP(2.21*M292)   )/100*2.45 )</f>
        <v/>
      </c>
      <c r="P292" s="68"/>
    </row>
    <row r="293" spans="1:16">
      <c r="A293" s="68" t="str">
        <f>Clothing!A591</f>
        <v>Clothing drying VTD</v>
      </c>
      <c r="B293" s="304" t="str">
        <f>Clothing!B591</f>
        <v>Outdoor air (micro)</v>
      </c>
      <c r="C293" s="69" t="str">
        <f>Clothing!C591</f>
        <v>any</v>
      </c>
      <c r="D293" s="823" t="str">
        <f>Clothing!D591</f>
        <v>any</v>
      </c>
      <c r="E293" s="1276">
        <f>Clothing!E591</f>
        <v>0.13</v>
      </c>
      <c r="F293" s="823">
        <f>Clothing!F591</f>
        <v>2</v>
      </c>
      <c r="G293" s="69" t="str">
        <f>Clothing!G591</f>
        <v>Cummings et al. (2023)</v>
      </c>
      <c r="H293" s="1188">
        <f>Clothing!H591</f>
        <v>2</v>
      </c>
      <c r="I293" s="307">
        <f>Clothing!I591</f>
        <v>2</v>
      </c>
      <c r="J293" s="307">
        <f>Clothing!J591</f>
        <v>1</v>
      </c>
      <c r="K293" s="307">
        <f>Clothing!K591</f>
        <v>2</v>
      </c>
      <c r="L293" s="307">
        <f>Clothing!L591</f>
        <v>2</v>
      </c>
      <c r="M293" s="307">
        <f>Clothing!M591</f>
        <v>1</v>
      </c>
      <c r="N293" s="616">
        <f>IF( OR( ISBLANK(H293),ISBLANK(J293), ISBLANK(K293), ISBLANK(L293), ISBLANK(M293) ), "", 1.5*SQRT(   EXP(2.21*(H293-1)) + EXP(2.21*(J293-1)) + EXP(2.21*(K293-1)) + EXP(2.21*(L293-1)) + EXP(2.21*M293)   )/100*2.45 )</f>
        <v>0.2249354160293616</v>
      </c>
      <c r="O293" s="1282">
        <f>IF( OR( ISBLANK(I293),ISBLANK(J293), ISBLANK(K293), ISBLANK(L293), ISBLANK(M293) ), "", 1.5*SQRT( EXP(2.21*(I293-1)) + EXP(2.21*(J293-1)) + EXP(2.21*(K293-1)) + EXP(2.21*(L293-1)) + EXP(2.21*M293)   )/100*2.45 )</f>
        <v>0.2249354160293616</v>
      </c>
      <c r="P293" s="68"/>
    </row>
    <row r="294" spans="1:16">
      <c r="A294" s="68" t="str">
        <f>Clothing!A592</f>
        <v>Clothing drying VTD</v>
      </c>
      <c r="B294" s="304" t="str">
        <f>Clothing!B592</f>
        <v>Lint filter (VTD)</v>
      </c>
      <c r="C294" s="69" t="str">
        <f>Clothing!C592</f>
        <v>any</v>
      </c>
      <c r="D294" s="823" t="str">
        <f>Clothing!D592</f>
        <v>any</v>
      </c>
      <c r="E294" s="1277" t="str">
        <f>Clothing!E592</f>
        <v>rest</v>
      </c>
      <c r="F294" s="823">
        <f>Clothing!F592</f>
        <v>1</v>
      </c>
      <c r="G294" s="69" t="str">
        <f>Clothing!G592</f>
        <v>Cummings et al. (2023)</v>
      </c>
      <c r="H294" s="1188"/>
      <c r="I294" s="307"/>
      <c r="J294" s="307"/>
      <c r="K294" s="307"/>
      <c r="L294" s="307"/>
      <c r="M294" s="307"/>
      <c r="N294" s="616" t="str">
        <f>IF( OR( ISBLANK(H294),ISBLANK(J294), ISBLANK(K294), ISBLANK(L294), ISBLANK(M294) ), "", 1.5*SQRT(   EXP(2.21*(H294-1)) + EXP(2.21*(J294-1)) + EXP(2.21*(K294-1)) + EXP(2.21*(L294-1)) + EXP(2.21*M294)   )/100*2.45 )</f>
        <v/>
      </c>
      <c r="O294" s="1282" t="str">
        <f>IF( OR( ISBLANK(I294),ISBLANK(J294), ISBLANK(K294), ISBLANK(L294), ISBLANK(M294) ), "", 1.5*SQRT( EXP(2.21*(I294-1)) + EXP(2.21*(J294-1)) + EXP(2.21*(K294-1)) + EXP(2.21*(L294-1)) + EXP(2.21*M294)   )/100*2.45 )</f>
        <v/>
      </c>
      <c r="P294" s="68"/>
    </row>
    <row r="295" spans="1:16">
      <c r="A295" s="68" t="str">
        <f>Clothing!A587</f>
        <v>Clothing indoor drying</v>
      </c>
      <c r="B295" s="304" t="str">
        <f>Clothing!B587</f>
        <v>Indoor air (micro)</v>
      </c>
      <c r="C295" s="69" t="str">
        <f>Clothing!C587</f>
        <v>any</v>
      </c>
      <c r="D295" s="823" t="str">
        <f>Clothing!D587</f>
        <v>any</v>
      </c>
      <c r="E295" s="1277">
        <f>Clothing!E587</f>
        <v>0.5</v>
      </c>
      <c r="F295" s="823">
        <f>Clothing!F587</f>
        <v>2</v>
      </c>
      <c r="G295" s="69" t="str">
        <f>Clothing!G587</f>
        <v>Assumption</v>
      </c>
      <c r="H295" s="1188">
        <f>Clothing!H587</f>
        <v>2</v>
      </c>
      <c r="I295" s="307">
        <f>Clothing!I587</f>
        <v>2</v>
      </c>
      <c r="J295" s="307">
        <f>Clothing!J587</f>
        <v>2</v>
      </c>
      <c r="K295" s="307">
        <f>Clothing!K587</f>
        <v>2</v>
      </c>
      <c r="L295" s="307">
        <f>Clothing!L587</f>
        <v>2</v>
      </c>
      <c r="M295" s="307">
        <f>Clothing!M587</f>
        <v>4</v>
      </c>
      <c r="N295" s="616">
        <f>IF( OR( ISBLANK(H295),ISBLANK(J295), ISBLANK(K295), ISBLANK(L295), ISBLANK(M295) ), "", 1.5*SQRT(   EXP(2.21*(H295-1)) + EXP(2.21*(J295-1)) + EXP(2.21*(K295-1)) + EXP(2.21*(L295-1)) + EXP(2.21*M295)   )/100*2.45 )</f>
        <v>3.0618408681256044</v>
      </c>
      <c r="O295" s="1282">
        <f>IF( OR( ISBLANK(I295),ISBLANK(J295), ISBLANK(K295), ISBLANK(L295), ISBLANK(M295) ), "", 1.5*SQRT( EXP(2.21*(I295-1)) + EXP(2.21*(J295-1)) + EXP(2.21*(K295-1)) + EXP(2.21*(L295-1)) + EXP(2.21*M295)   )/100*2.45 )</f>
        <v>3.0618408681256044</v>
      </c>
      <c r="P295" s="68"/>
    </row>
    <row r="296" spans="1:16">
      <c r="A296" s="68" t="str">
        <f>Clothing!A588</f>
        <v>Clothing indoor drying</v>
      </c>
      <c r="B296" s="304" t="str">
        <f>Clothing!B588</f>
        <v>Indoor floors (micro)</v>
      </c>
      <c r="C296" s="69" t="str">
        <f>Clothing!C588</f>
        <v>any</v>
      </c>
      <c r="D296" s="823" t="str">
        <f>Clothing!D588</f>
        <v>any</v>
      </c>
      <c r="E296" s="1277" t="str">
        <f>Clothing!E588</f>
        <v>rest</v>
      </c>
      <c r="F296" s="823">
        <f>Clothing!F588</f>
        <v>1</v>
      </c>
      <c r="G296" s="69" t="str">
        <f>Clothing!G588</f>
        <v>Assumption</v>
      </c>
      <c r="H296" s="1188"/>
      <c r="I296" s="307"/>
      <c r="J296" s="307"/>
      <c r="K296" s="307"/>
      <c r="L296" s="307"/>
      <c r="M296" s="307"/>
      <c r="N296" s="616" t="str">
        <f>IF( OR( ISBLANK(H296),ISBLANK(J296), ISBLANK(K296), ISBLANK(L296), ISBLANK(M296) ), "", 1.5*SQRT(   EXP(2.21*(H296-1)) + EXP(2.21*(J296-1)) + EXP(2.21*(K296-1)) + EXP(2.21*(L296-1)) + EXP(2.21*M296)   )/100*2.45 )</f>
        <v/>
      </c>
      <c r="O296" s="1282" t="str">
        <f>IF( OR( ISBLANK(I296),ISBLANK(J296), ISBLANK(K296), ISBLANK(L296), ISBLANK(M296) ), "", 1.5*SQRT( EXP(2.21*(I296-1)) + EXP(2.21*(J296-1)) + EXP(2.21*(K296-1)) + EXP(2.21*(L296-1)) + EXP(2.21*M296)   )/100*2.45 )</f>
        <v/>
      </c>
      <c r="P296" s="68"/>
    </row>
    <row r="297" spans="1:16">
      <c r="A297" s="34" t="str">
        <f>Clothing!A518</f>
        <v>Clothing not washed (discarded)</v>
      </c>
      <c r="B297" s="40" t="str">
        <f>Clothing!B518</f>
        <v>Clothing waste collection</v>
      </c>
      <c r="C297" s="34" t="str">
        <f>Clothing!C518</f>
        <v>any</v>
      </c>
      <c r="D297" s="40" t="str">
        <f>Clothing!D518</f>
        <v>any</v>
      </c>
      <c r="E297" s="34">
        <f>Clothing!E518</f>
        <v>0.50465116279069766</v>
      </c>
      <c r="F297" s="40">
        <f>Clothing!F518</f>
        <v>2</v>
      </c>
      <c r="G297" s="34" t="str">
        <f>Clothing!G518</f>
        <v>Massabalans textiel, 2022</v>
      </c>
      <c r="H297" s="1188">
        <f>Clothing!H518</f>
        <v>1</v>
      </c>
      <c r="I297" s="307">
        <f>Clothing!I518</f>
        <v>2</v>
      </c>
      <c r="J297" s="307">
        <f>Clothing!J518</f>
        <v>2</v>
      </c>
      <c r="K297" s="307">
        <f>Clothing!K518</f>
        <v>1</v>
      </c>
      <c r="L297" s="307">
        <f>Clothing!L518</f>
        <v>2</v>
      </c>
      <c r="M297" s="307">
        <f>Clothing!M518</f>
        <v>2</v>
      </c>
      <c r="N297" s="185">
        <f>IF( OR( ISBLANK(H297),ISBLANK(J297), ISBLANK(K297), ISBLANK(L297), ISBLANK(M297) ), "", 1.5*SQRT(   EXP(2.21*(H297-1)) + EXP(2.21*(J297-1)) + EXP(2.21*(K297-1)) + EXP(2.21*(L297-1)) + EXP(2.21*M297)   )/100*2.45 )</f>
        <v>0.37356464144298934</v>
      </c>
      <c r="O297" s="159">
        <f>IF( OR( ISBLANK(I297),ISBLANK(J297), ISBLANK(K297), ISBLANK(L297), ISBLANK(M297) ), "", 1.5*SQRT( EXP(2.21*(I297-1)) + EXP(2.21*(J297-1)) + EXP(2.21*(K297-1)) + EXP(2.21*(L297-1)) + EXP(2.21*M297)   )/100*2.45 )</f>
        <v>0.38795788889711302</v>
      </c>
      <c r="P297" s="973"/>
    </row>
    <row r="298" spans="1:16">
      <c r="A298" s="34" t="str">
        <f>Clothing!A519</f>
        <v>Clothing not washed (discarded)</v>
      </c>
      <c r="B298" s="40" t="str">
        <f>Clothing!B519</f>
        <v>Mixed waste collection</v>
      </c>
      <c r="C298" s="34" t="str">
        <f>Clothing!C519</f>
        <v>any</v>
      </c>
      <c r="D298" s="40" t="str">
        <f>Clothing!D519</f>
        <v>any</v>
      </c>
      <c r="E298" s="34" t="str">
        <f>Clothing!E519</f>
        <v>rest</v>
      </c>
      <c r="F298" s="40">
        <f>Clothing!F519</f>
        <v>1</v>
      </c>
      <c r="G298" s="34"/>
      <c r="H298" s="1188"/>
      <c r="I298" s="307"/>
      <c r="J298" s="307"/>
      <c r="K298" s="307"/>
      <c r="L298" s="307"/>
      <c r="M298" s="307"/>
      <c r="N298" s="185"/>
      <c r="O298" s="159" t="str">
        <f>IF( OR( ISBLANK(I298),ISBLANK(J298), ISBLANK(K298), ISBLANK(L298), ISBLANK(M298) ), "", 1.5*SQRT( EXP(2.21*(I298-1)) + EXP(2.21*(J298-1)) + EXP(2.21*(K298-1)) + EXP(2.21*(L298-1)) + EXP(2.21*M298)   )/100*2.45 )</f>
        <v/>
      </c>
      <c r="P298" s="973"/>
    </row>
    <row r="299" spans="1:16">
      <c r="A299" s="34" t="str">
        <f>Clothing!A520</f>
        <v>Clothing not washed (discarded)</v>
      </c>
      <c r="B299" s="40" t="str">
        <f>Clothing!B520</f>
        <v>Dumping</v>
      </c>
      <c r="C299" s="34" t="str">
        <f>Clothing!C520</f>
        <v>any</v>
      </c>
      <c r="D299" s="40" t="str">
        <f>Clothing!D520</f>
        <v>any</v>
      </c>
      <c r="E299" s="34">
        <f>Clothing!E520</f>
        <v>2.7E-4</v>
      </c>
      <c r="F299" s="40">
        <f>Clothing!F520</f>
        <v>2</v>
      </c>
      <c r="G299" s="34" t="str">
        <f>Clothing!G520</f>
        <v>Kawecki &amp; Nowack (2019)</v>
      </c>
      <c r="H299" s="1188">
        <f>Clothing!H520</f>
        <v>2</v>
      </c>
      <c r="I299" s="307">
        <f>Clothing!I520</f>
        <v>2</v>
      </c>
      <c r="J299" s="307">
        <f>Clothing!J520</f>
        <v>2</v>
      </c>
      <c r="K299" s="307">
        <f>Clothing!K520</f>
        <v>3</v>
      </c>
      <c r="L299" s="307">
        <f>Clothing!L520</f>
        <v>3</v>
      </c>
      <c r="M299" s="307">
        <f>Clothing!M520</f>
        <v>3</v>
      </c>
      <c r="N299" s="185">
        <f>IF( OR( ISBLANK(H299),ISBLANK(J299), ISBLANK(K299), ISBLANK(L299), ISBLANK(M299) ), "", 1.5*SQRT(   EXP(2.21*(H299-1)) + EXP(2.21*(J299-1)) + EXP(2.21*(K299-1)) + EXP(2.21*(L299-1)) + EXP(2.21*M299)   )/100*2.45 )</f>
        <v>1.1278755061256258</v>
      </c>
      <c r="O299" s="159">
        <f>IF( OR( ISBLANK(I299),ISBLANK(J299), ISBLANK(K299), ISBLANK(L299), ISBLANK(M299) ), "", 1.5*SQRT( EXP(2.21*(I299-1)) + EXP(2.21*(J299-1)) + EXP(2.21*(K299-1)) + EXP(2.21*(L299-1)) + EXP(2.21*M299)   )/100*2.45 )</f>
        <v>1.1278755061256258</v>
      </c>
      <c r="P299" s="973"/>
    </row>
    <row r="300" spans="1:16">
      <c r="A300" s="34" t="str">
        <f>Clothing!A517</f>
        <v>Clothing not washed (in use)</v>
      </c>
      <c r="B300" s="40" t="str">
        <f>Clothing!B517</f>
        <v>Clothing wearing</v>
      </c>
      <c r="C300" s="34" t="str">
        <f>Clothing!C517</f>
        <v>any</v>
      </c>
      <c r="D300" s="40" t="str">
        <f>Clothing!D517</f>
        <v>any</v>
      </c>
      <c r="E300" s="34">
        <f>Clothing!E517</f>
        <v>1</v>
      </c>
      <c r="F300" s="40">
        <f>Clothing!F517</f>
        <v>1</v>
      </c>
      <c r="G300" s="34" t="str">
        <f>Clothing!G517</f>
        <v>Average loss during wear, Kawecki et al. 2019, SI table 17</v>
      </c>
      <c r="H300" s="1188">
        <f>Clothing!H517</f>
        <v>2</v>
      </c>
      <c r="I300" s="307">
        <f>Clothing!I517</f>
        <v>2</v>
      </c>
      <c r="J300" s="307">
        <f>Clothing!J517</f>
        <v>2</v>
      </c>
      <c r="K300" s="307">
        <f>Clothing!K517</f>
        <v>2</v>
      </c>
      <c r="L300" s="307">
        <f>Clothing!L517</f>
        <v>2</v>
      </c>
      <c r="M300" s="307">
        <f>Clothing!M517</f>
        <v>2</v>
      </c>
      <c r="N300" s="185">
        <f>IF( OR( ISBLANK(H300),ISBLANK(J300), ISBLANK(K300), ISBLANK(L300), ISBLANK(M300) ), "", 1.5*SQRT(   EXP(2.21*(H300-1)) + EXP(2.21*(J300-1)) + EXP(2.21*(K300-1)) + EXP(2.21*(L300-1)) + EXP(2.21*M300)   )/100*2.45 )</f>
        <v>0.40183591897512122</v>
      </c>
      <c r="O300" s="159">
        <f>IF( OR( ISBLANK(I300),ISBLANK(J300), ISBLANK(K300), ISBLANK(L300), ISBLANK(M300) ), "", 1.5*SQRT( EXP(2.21*(I300-1)) + EXP(2.21*(J300-1)) + EXP(2.21*(K300-1)) + EXP(2.21*(L300-1)) + EXP(2.21*M300)   )/100*2.45 )</f>
        <v>0.40183591897512122</v>
      </c>
      <c r="P300" s="973"/>
    </row>
    <row r="301" spans="1:16">
      <c r="A301" s="68" t="str">
        <f>Clothing!A589</f>
        <v>Clothing outdoor drying</v>
      </c>
      <c r="B301" s="304" t="str">
        <f>Clothing!B589</f>
        <v>Outdoor air (micro)</v>
      </c>
      <c r="C301" s="69" t="str">
        <f>Clothing!C589</f>
        <v>any</v>
      </c>
      <c r="D301" s="823" t="str">
        <f>Clothing!D589</f>
        <v>any</v>
      </c>
      <c r="E301" s="1277">
        <f>Clothing!E589</f>
        <v>0.5</v>
      </c>
      <c r="F301" s="823">
        <f>Clothing!F589</f>
        <v>2</v>
      </c>
      <c r="G301" s="69" t="str">
        <f>Clothing!G589</f>
        <v>Assumption</v>
      </c>
      <c r="H301" s="1188">
        <f>Clothing!H589</f>
        <v>2</v>
      </c>
      <c r="I301" s="307">
        <f>Clothing!I589</f>
        <v>2</v>
      </c>
      <c r="J301" s="307">
        <f>Clothing!J589</f>
        <v>2</v>
      </c>
      <c r="K301" s="307">
        <f>Clothing!K589</f>
        <v>2</v>
      </c>
      <c r="L301" s="307">
        <f>Clothing!L589</f>
        <v>2</v>
      </c>
      <c r="M301" s="307">
        <f>Clothing!M589</f>
        <v>4</v>
      </c>
      <c r="N301" s="616">
        <f>IF( OR( ISBLANK(H301),ISBLANK(J301), ISBLANK(K301), ISBLANK(L301), ISBLANK(M301) ), "", 1.5*SQRT(   EXP(2.21*(H301-1)) + EXP(2.21*(J301-1)) + EXP(2.21*(K301-1)) + EXP(2.21*(L301-1)) + EXP(2.21*M301)   )/100*2.45 )</f>
        <v>3.0618408681256044</v>
      </c>
      <c r="O301" s="1282">
        <f>IF( OR( ISBLANK(I301),ISBLANK(J301), ISBLANK(K301), ISBLANK(L301), ISBLANK(M301) ), "", 1.5*SQRT( EXP(2.21*(I301-1)) + EXP(2.21*(J301-1)) + EXP(2.21*(K301-1)) + EXP(2.21*(L301-1)) + EXP(2.21*M301)   )/100*2.45 )</f>
        <v>3.0618408681256044</v>
      </c>
      <c r="P301" s="68"/>
    </row>
    <row r="302" spans="1:16">
      <c r="A302" s="68" t="str">
        <f>Clothing!A590</f>
        <v>Clothing outdoor drying</v>
      </c>
      <c r="B302" s="304" t="str">
        <f>Clothing!B590</f>
        <v>Residential soil (micro)</v>
      </c>
      <c r="C302" s="69" t="str">
        <f>Clothing!C590</f>
        <v>any</v>
      </c>
      <c r="D302" s="823" t="str">
        <f>Clothing!D590</f>
        <v>any</v>
      </c>
      <c r="E302" s="1277" t="str">
        <f>Clothing!E590</f>
        <v>rest</v>
      </c>
      <c r="F302" s="823">
        <f>Clothing!F590</f>
        <v>1</v>
      </c>
      <c r="G302" s="69" t="str">
        <f>Clothing!G590</f>
        <v>Assumption</v>
      </c>
      <c r="H302" s="1188"/>
      <c r="I302" s="307"/>
      <c r="J302" s="307"/>
      <c r="K302" s="307"/>
      <c r="L302" s="307"/>
      <c r="M302" s="307"/>
      <c r="N302" s="616" t="str">
        <f>IF( OR( ISBLANK(H302),ISBLANK(J302), ISBLANK(K302), ISBLANK(L302), ISBLANK(M302) ), "", 1.5*SQRT(   EXP(2.21*(H302-1)) + EXP(2.21*(J302-1)) + EXP(2.21*(K302-1)) + EXP(2.21*(L302-1)) + EXP(2.21*M302)   )/100*2.45 )</f>
        <v/>
      </c>
      <c r="O302" s="1282" t="str">
        <f>IF( OR( ISBLANK(I302),ISBLANK(J302), ISBLANK(K302), ISBLANK(L302), ISBLANK(M302) ), "", 1.5*SQRT( EXP(2.21*(I302-1)) + EXP(2.21*(J302-1)) + EXP(2.21*(K302-1)) + EXP(2.21*(L302-1)) + EXP(2.21*M302)   )/100*2.45 )</f>
        <v/>
      </c>
      <c r="P302" s="68"/>
    </row>
    <row r="303" spans="1:16">
      <c r="A303" s="34" t="str">
        <f>Clothing!A514</f>
        <v>Clothing rarely washed (discarded)</v>
      </c>
      <c r="B303" s="40" t="str">
        <f>Clothing!B514</f>
        <v>Clothing waste collection</v>
      </c>
      <c r="C303" s="34" t="str">
        <f>Clothing!C514</f>
        <v>any</v>
      </c>
      <c r="D303" s="40" t="str">
        <f>Clothing!D514</f>
        <v>any</v>
      </c>
      <c r="E303" s="34">
        <f>Clothing!E514</f>
        <v>0.50465116279069766</v>
      </c>
      <c r="F303" s="40">
        <f>Clothing!F514</f>
        <v>2</v>
      </c>
      <c r="G303" s="34" t="str">
        <f>Clothing!G514</f>
        <v>Massabalans textiel, 2022</v>
      </c>
      <c r="H303" s="1188">
        <f>Clothing!H514</f>
        <v>1</v>
      </c>
      <c r="I303" s="307">
        <f>Clothing!I514</f>
        <v>2</v>
      </c>
      <c r="J303" s="307">
        <f>Clothing!J514</f>
        <v>2</v>
      </c>
      <c r="K303" s="307">
        <f>Clothing!K514</f>
        <v>1</v>
      </c>
      <c r="L303" s="307">
        <f>Clothing!L514</f>
        <v>2</v>
      </c>
      <c r="M303" s="307">
        <f>Clothing!M514</f>
        <v>2</v>
      </c>
      <c r="N303" s="185">
        <f>IF( OR( ISBLANK(H303),ISBLANK(J303), ISBLANK(K303), ISBLANK(L303), ISBLANK(M303) ), "", 1.5*SQRT(   EXP(2.21*(H303-1)) + EXP(2.21*(J303-1)) + EXP(2.21*(K303-1)) + EXP(2.21*(L303-1)) + EXP(2.21*M303)   )/100*2.45 )</f>
        <v>0.37356464144298934</v>
      </c>
      <c r="O303" s="159">
        <f>IF( OR( ISBLANK(I303),ISBLANK(J303), ISBLANK(K303), ISBLANK(L303), ISBLANK(M303) ), "", 1.5*SQRT( EXP(2.21*(I303-1)) + EXP(2.21*(J303-1)) + EXP(2.21*(K303-1)) + EXP(2.21*(L303-1)) + EXP(2.21*M303)   )/100*2.45 )</f>
        <v>0.38795788889711302</v>
      </c>
      <c r="P303" s="973"/>
    </row>
    <row r="304" spans="1:16">
      <c r="A304" s="34" t="str">
        <f>Clothing!A515</f>
        <v>Clothing rarely washed (discarded)</v>
      </c>
      <c r="B304" s="40" t="str">
        <f>Clothing!B515</f>
        <v>Mixed waste collection</v>
      </c>
      <c r="C304" s="34" t="str">
        <f>Clothing!C515</f>
        <v>any</v>
      </c>
      <c r="D304" s="40" t="str">
        <f>Clothing!D515</f>
        <v>any</v>
      </c>
      <c r="E304" s="34" t="str">
        <f>Clothing!E515</f>
        <v>rest</v>
      </c>
      <c r="F304" s="40">
        <f>Clothing!F515</f>
        <v>1</v>
      </c>
      <c r="G304" s="34"/>
      <c r="H304" s="1188"/>
      <c r="I304" s="307"/>
      <c r="J304" s="307"/>
      <c r="K304" s="307"/>
      <c r="L304" s="307"/>
      <c r="M304" s="307"/>
      <c r="N304" s="185"/>
      <c r="O304" s="159"/>
      <c r="P304" s="973"/>
    </row>
    <row r="305" spans="1:16">
      <c r="A305" s="34" t="str">
        <f>Clothing!A516</f>
        <v>Clothing rarely washed (discarded)</v>
      </c>
      <c r="B305" s="40" t="str">
        <f>Clothing!B516</f>
        <v>Dumping</v>
      </c>
      <c r="C305" s="34" t="str">
        <f>Clothing!C516</f>
        <v>any</v>
      </c>
      <c r="D305" s="40" t="str">
        <f>Clothing!D516</f>
        <v>any</v>
      </c>
      <c r="E305" s="34">
        <f>Clothing!E516</f>
        <v>2.7E-4</v>
      </c>
      <c r="F305" s="40">
        <f>Clothing!F516</f>
        <v>2</v>
      </c>
      <c r="G305" s="34" t="str">
        <f>Clothing!G516</f>
        <v>Kawecki &amp; Nowack (2019)</v>
      </c>
      <c r="H305" s="1188">
        <f>Clothing!H516</f>
        <v>2</v>
      </c>
      <c r="I305" s="307">
        <f>Clothing!I516</f>
        <v>2</v>
      </c>
      <c r="J305" s="307">
        <f>Clothing!J516</f>
        <v>2</v>
      </c>
      <c r="K305" s="307">
        <f>Clothing!K516</f>
        <v>3</v>
      </c>
      <c r="L305" s="307">
        <f>Clothing!L516</f>
        <v>3</v>
      </c>
      <c r="M305" s="307">
        <f>Clothing!M516</f>
        <v>3</v>
      </c>
      <c r="N305" s="185">
        <f>IF( OR( ISBLANK(H305),ISBLANK(J305), ISBLANK(K305), ISBLANK(L305), ISBLANK(M305) ), "", 1.5*SQRT(   EXP(2.21*(H305-1)) + EXP(2.21*(J305-1)) + EXP(2.21*(K305-1)) + EXP(2.21*(L305-1)) + EXP(2.21*M305)   )/100*2.45 )</f>
        <v>1.1278755061256258</v>
      </c>
      <c r="O305" s="159">
        <f>IF( OR( ISBLANK(I305),ISBLANK(J305), ISBLANK(K305), ISBLANK(L305), ISBLANK(M305) ), "", 1.5*SQRT( EXP(2.21*(I305-1)) + EXP(2.21*(J305-1)) + EXP(2.21*(K305-1)) + EXP(2.21*(L305-1)) + EXP(2.21*M305)   )/100*2.45 )</f>
        <v>1.1278755061256258</v>
      </c>
      <c r="P305" s="973"/>
    </row>
    <row r="306" spans="1:16">
      <c r="A306" s="34" t="str">
        <f>Clothing!A511</f>
        <v>Clothing rarely washed (in use)</v>
      </c>
      <c r="B306" s="40" t="str">
        <f>Clothing!B511</f>
        <v>Clothing wearing</v>
      </c>
      <c r="C306" s="34" t="str">
        <f>Clothing!C511</f>
        <v>any</v>
      </c>
      <c r="D306" s="40" t="str">
        <f>Clothing!D511</f>
        <v>any</v>
      </c>
      <c r="E306" s="34">
        <f>Clothing!E511</f>
        <v>0.8928315675018812</v>
      </c>
      <c r="F306" s="40">
        <f>Clothing!F511</f>
        <v>2</v>
      </c>
      <c r="G306" s="34" t="str">
        <f>Clothing!G511</f>
        <v>Average loss during wear, Kawecki et al. 2019, SI table 17</v>
      </c>
      <c r="H306" s="1188">
        <f>Clothing!H511</f>
        <v>2</v>
      </c>
      <c r="I306" s="307">
        <f>Clothing!I511</f>
        <v>2</v>
      </c>
      <c r="J306" s="307">
        <f>Clothing!J511</f>
        <v>2</v>
      </c>
      <c r="K306" s="307">
        <f>Clothing!K511</f>
        <v>2</v>
      </c>
      <c r="L306" s="307">
        <f>Clothing!L511</f>
        <v>2</v>
      </c>
      <c r="M306" s="307">
        <f>Clothing!M511</f>
        <v>2</v>
      </c>
      <c r="N306" s="185">
        <f>IF( OR( ISBLANK(H306),ISBLANK(J306), ISBLANK(K306), ISBLANK(L306), ISBLANK(M306) ), "", 1.5*SQRT(   EXP(2.21*(H306-1)) + EXP(2.21*(J306-1)) + EXP(2.21*(K306-1)) + EXP(2.21*(L306-1)) + EXP(2.21*M306)   )/100*2.45 )</f>
        <v>0.40183591897512122</v>
      </c>
      <c r="O306" s="159">
        <f>IF( OR( ISBLANK(I306),ISBLANK(J306), ISBLANK(K306), ISBLANK(L306), ISBLANK(M306) ), "", 1.5*SQRT( EXP(2.21*(I306-1)) + EXP(2.21*(J306-1)) + EXP(2.21*(K306-1)) + EXP(2.21*(L306-1)) + EXP(2.21*M306)   )/100*2.45 )</f>
        <v>0.40183591897512122</v>
      </c>
      <c r="P306" s="973"/>
    </row>
    <row r="307" spans="1:16">
      <c r="A307" s="34" t="str">
        <f>Clothing!A512</f>
        <v>Clothing rarely washed (in use)</v>
      </c>
      <c r="B307" s="40" t="str">
        <f>Clothing!B512</f>
        <v>Clothing washing</v>
      </c>
      <c r="C307" s="34" t="str">
        <f>Clothing!C512</f>
        <v>any</v>
      </c>
      <c r="D307" s="40" t="str">
        <f>Clothing!D512</f>
        <v>any</v>
      </c>
      <c r="E307" s="34">
        <f>Clothing!E512</f>
        <v>0.10195783795508456</v>
      </c>
      <c r="F307" s="40">
        <f>Clothing!F512</f>
        <v>2</v>
      </c>
      <c r="G307" s="34" t="str">
        <f>Clothing!G512</f>
        <v>Computed from available data from Kawecki et al. (2019) and CBS (2022)</v>
      </c>
      <c r="H307" s="1188">
        <f>Clothing!H512</f>
        <v>2</v>
      </c>
      <c r="I307" s="307">
        <f>Clothing!I512</f>
        <v>2</v>
      </c>
      <c r="J307" s="307">
        <f>Clothing!J512</f>
        <v>2</v>
      </c>
      <c r="K307" s="307">
        <f>Clothing!K512</f>
        <v>2</v>
      </c>
      <c r="L307" s="307">
        <f>Clothing!L512</f>
        <v>2</v>
      </c>
      <c r="M307" s="307">
        <f>Clothing!M512</f>
        <v>2</v>
      </c>
      <c r="N307" s="185">
        <f>IF( OR( ISBLANK(H307),ISBLANK(J307), ISBLANK(K307), ISBLANK(L307), ISBLANK(M307) ), "", 1.5*SQRT(   EXP(2.21*(H307-1)) + EXP(2.21*(J307-1)) + EXP(2.21*(K307-1)) + EXP(2.21*(L307-1)) + EXP(2.21*M307)   )/100*2.45 )</f>
        <v>0.40183591897512122</v>
      </c>
      <c r="O307" s="159">
        <f>IF( OR( ISBLANK(I307),ISBLANK(J307), ISBLANK(K307), ISBLANK(L307), ISBLANK(M307) ), "", 1.5*SQRT( EXP(2.21*(I307-1)) + EXP(2.21*(J307-1)) + EXP(2.21*(K307-1)) + EXP(2.21*(L307-1)) + EXP(2.21*M307)   )/100*2.45 )</f>
        <v>0.40183591897512122</v>
      </c>
      <c r="P307" s="973"/>
    </row>
    <row r="308" spans="1:16">
      <c r="A308" s="34" t="str">
        <f>Clothing!A513</f>
        <v>Clothing rarely washed (in use)</v>
      </c>
      <c r="B308" s="40" t="str">
        <f>Clothing!B513</f>
        <v>Clothing drying</v>
      </c>
      <c r="C308" s="34" t="str">
        <f>Clothing!C513</f>
        <v>any</v>
      </c>
      <c r="D308" s="40" t="str">
        <f>Clothing!D513</f>
        <v>any</v>
      </c>
      <c r="E308" s="34">
        <f>Clothing!E513</f>
        <v>5.2105945430341201E-3</v>
      </c>
      <c r="F308" s="40">
        <f>Clothing!F513</f>
        <v>2</v>
      </c>
      <c r="G308" s="34" t="str">
        <f>Clothing!G513</f>
        <v>Computed from available data from Kawecki et al. (2019)</v>
      </c>
      <c r="H308" s="1188">
        <f>Clothing!H513</f>
        <v>2</v>
      </c>
      <c r="I308" s="307">
        <f>Clothing!I513</f>
        <v>2</v>
      </c>
      <c r="J308" s="307">
        <f>Clothing!J513</f>
        <v>2</v>
      </c>
      <c r="K308" s="307">
        <f>Clothing!K513</f>
        <v>2</v>
      </c>
      <c r="L308" s="307">
        <f>Clothing!L513</f>
        <v>2</v>
      </c>
      <c r="M308" s="307">
        <f>Clothing!M513</f>
        <v>2</v>
      </c>
      <c r="N308" s="185">
        <f>IF( OR( ISBLANK(H308),ISBLANK(J308), ISBLANK(K308), ISBLANK(L308), ISBLANK(M308) ), "", 1.5*SQRT(   EXP(2.21*(H308-1)) + EXP(2.21*(J308-1)) + EXP(2.21*(K308-1)) + EXP(2.21*(L308-1)) + EXP(2.21*M308)   )/100*2.45 )</f>
        <v>0.40183591897512122</v>
      </c>
      <c r="O308" s="159">
        <f>IF( OR( ISBLANK(I308),ISBLANK(J308), ISBLANK(K308), ISBLANK(L308), ISBLANK(M308) ), "", 1.5*SQRT( EXP(2.21*(I308-1)) + EXP(2.21*(J308-1)) + EXP(2.21*(K308-1)) + EXP(2.21*(L308-1)) + EXP(2.21*M308)   )/100*2.45 )</f>
        <v>0.40183591897512122</v>
      </c>
      <c r="P308" s="973"/>
    </row>
    <row r="309" spans="1:16">
      <c r="A309" s="34" t="str">
        <f>Clothing!A508</f>
        <v>Clothing washed (discarded)</v>
      </c>
      <c r="B309" s="40" t="str">
        <f>Clothing!B508</f>
        <v>Clothing waste collection</v>
      </c>
      <c r="C309" s="34" t="str">
        <f>Clothing!C508</f>
        <v>any</v>
      </c>
      <c r="D309" s="40" t="str">
        <f>Clothing!D508</f>
        <v>any</v>
      </c>
      <c r="E309" s="34">
        <f>Clothing!E508</f>
        <v>0.50465116279069766</v>
      </c>
      <c r="F309" s="40">
        <f>Clothing!F508</f>
        <v>2</v>
      </c>
      <c r="G309" s="34" t="str">
        <f>Clothing!G508</f>
        <v>Massabalans textiel, 2022</v>
      </c>
      <c r="H309" s="1188">
        <f>Clothing!H508</f>
        <v>1</v>
      </c>
      <c r="I309" s="307">
        <f>Clothing!I508</f>
        <v>2</v>
      </c>
      <c r="J309" s="307">
        <f>Clothing!J508</f>
        <v>2</v>
      </c>
      <c r="K309" s="307">
        <f>Clothing!K508</f>
        <v>1</v>
      </c>
      <c r="L309" s="307">
        <f>Clothing!L508</f>
        <v>2</v>
      </c>
      <c r="M309" s="307">
        <f>Clothing!M508</f>
        <v>2</v>
      </c>
      <c r="N309" s="185">
        <f>IF( OR( ISBLANK(H309),ISBLANK(J309), ISBLANK(K309), ISBLANK(L309), ISBLANK(M309) ), "", 1.5*SQRT(   EXP(2.21*(H309-1)) + EXP(2.21*(J309-1)) + EXP(2.21*(K309-1)) + EXP(2.21*(L309-1)) + EXP(2.21*M309)   )/100*2.45 )</f>
        <v>0.37356464144298934</v>
      </c>
      <c r="O309" s="159">
        <f>IF( OR( ISBLANK(I309),ISBLANK(J309), ISBLANK(K309), ISBLANK(L309), ISBLANK(M309) ), "", 1.5*SQRT( EXP(2.21*(I309-1)) + EXP(2.21*(J309-1)) + EXP(2.21*(K309-1)) + EXP(2.21*(L309-1)) + EXP(2.21*M309)   )/100*2.45 )</f>
        <v>0.38795788889711302</v>
      </c>
      <c r="P309" s="973"/>
    </row>
    <row r="310" spans="1:16">
      <c r="A310" s="34" t="str">
        <f>Clothing!A509</f>
        <v>Clothing washed (discarded)</v>
      </c>
      <c r="B310" s="40" t="str">
        <f>Clothing!B509</f>
        <v>Mixed waste collection</v>
      </c>
      <c r="C310" s="34" t="str">
        <f>Clothing!C509</f>
        <v>any</v>
      </c>
      <c r="D310" s="40" t="str">
        <f>Clothing!D509</f>
        <v>any</v>
      </c>
      <c r="E310" s="34" t="str">
        <f>Clothing!E509</f>
        <v>rest</v>
      </c>
      <c r="F310" s="40">
        <f>Clothing!F509</f>
        <v>1</v>
      </c>
      <c r="G310" s="34"/>
      <c r="H310" s="1188"/>
      <c r="I310" s="307"/>
      <c r="J310" s="307"/>
      <c r="K310" s="307"/>
      <c r="L310" s="307"/>
      <c r="M310" s="307"/>
      <c r="N310" s="185"/>
      <c r="O310" s="159"/>
      <c r="P310" s="973"/>
    </row>
    <row r="311" spans="1:16">
      <c r="A311" s="34" t="str">
        <f>Clothing!A510</f>
        <v>Clothing washed (discarded)</v>
      </c>
      <c r="B311" s="40" t="str">
        <f>Clothing!B510</f>
        <v>Dumping</v>
      </c>
      <c r="C311" s="34" t="str">
        <f>Clothing!C510</f>
        <v>any</v>
      </c>
      <c r="D311" s="40" t="str">
        <f>Clothing!D510</f>
        <v>any</v>
      </c>
      <c r="E311" s="34">
        <f>Clothing!E510</f>
        <v>2.7E-4</v>
      </c>
      <c r="F311" s="40">
        <f>Clothing!F510</f>
        <v>2</v>
      </c>
      <c r="G311" s="34" t="str">
        <f>Clothing!G510</f>
        <v>Kawecki &amp; Nowack (2019)</v>
      </c>
      <c r="H311" s="1188">
        <f>Clothing!H510</f>
        <v>2</v>
      </c>
      <c r="I311" s="307">
        <f>Clothing!I510</f>
        <v>2</v>
      </c>
      <c r="J311" s="307">
        <f>Clothing!J510</f>
        <v>2</v>
      </c>
      <c r="K311" s="307">
        <f>Clothing!K510</f>
        <v>3</v>
      </c>
      <c r="L311" s="307">
        <f>Clothing!L510</f>
        <v>3</v>
      </c>
      <c r="M311" s="307">
        <f>Clothing!M510</f>
        <v>3</v>
      </c>
      <c r="N311" s="185">
        <f>IF( OR( ISBLANK(H311),ISBLANK(J311), ISBLANK(K311), ISBLANK(L311), ISBLANK(M311) ), "", 1.5*SQRT(   EXP(2.21*(H311-1)) + EXP(2.21*(J311-1)) + EXP(2.21*(K311-1)) + EXP(2.21*(L311-1)) + EXP(2.21*M311)   )/100*2.45 )</f>
        <v>1.1278755061256258</v>
      </c>
      <c r="O311" s="159">
        <f>IF( OR( ISBLANK(I311),ISBLANK(J311), ISBLANK(K311), ISBLANK(L311), ISBLANK(M311) ), "", 1.5*SQRT( EXP(2.21*(I311-1)) + EXP(2.21*(J311-1)) + EXP(2.21*(K311-1)) + EXP(2.21*(L311-1)) + EXP(2.21*M311)   )/100*2.45 )</f>
        <v>1.1278755061256258</v>
      </c>
      <c r="P311" s="973"/>
    </row>
    <row r="312" spans="1:16">
      <c r="A312" s="34" t="str">
        <f>Clothing!A505</f>
        <v>Clothing washed (in use)</v>
      </c>
      <c r="B312" s="40" t="str">
        <f>Clothing!B505</f>
        <v>Clothing wearing</v>
      </c>
      <c r="C312" s="34" t="str">
        <f>Clothing!C505</f>
        <v>any</v>
      </c>
      <c r="D312" s="40" t="str">
        <f>Clothing!D505</f>
        <v>any</v>
      </c>
      <c r="E312" s="34">
        <f>Clothing!E505</f>
        <v>0.22316793868026719</v>
      </c>
      <c r="F312" s="40">
        <f>Clothing!F505</f>
        <v>2</v>
      </c>
      <c r="G312" s="34" t="str">
        <f>Clothing!G505</f>
        <v>Average loss during wear, Kawecki et al. 2019, SI table 17</v>
      </c>
      <c r="H312" s="1188">
        <f>Clothing!H505</f>
        <v>2</v>
      </c>
      <c r="I312" s="307">
        <f>Clothing!I505</f>
        <v>2</v>
      </c>
      <c r="J312" s="307">
        <f>Clothing!J505</f>
        <v>2</v>
      </c>
      <c r="K312" s="307">
        <f>Clothing!K505</f>
        <v>2</v>
      </c>
      <c r="L312" s="307">
        <f>Clothing!L505</f>
        <v>2</v>
      </c>
      <c r="M312" s="307">
        <f>Clothing!M505</f>
        <v>2</v>
      </c>
      <c r="N312" s="185">
        <f>IF( OR( ISBLANK(H312),ISBLANK(J312), ISBLANK(K312), ISBLANK(L312), ISBLANK(M312) ), "", 1.5*SQRT(   EXP(2.21*(H312-1)) + EXP(2.21*(J312-1)) + EXP(2.21*(K312-1)) + EXP(2.21*(L312-1)) + EXP(2.21*M312)   )/100*2.45 )</f>
        <v>0.40183591897512122</v>
      </c>
      <c r="O312" s="159">
        <f>IF( OR( ISBLANK(I312),ISBLANK(J312), ISBLANK(K312), ISBLANK(L312), ISBLANK(M312) ), "", 1.5*SQRT( EXP(2.21*(I312-1)) + EXP(2.21*(J312-1)) + EXP(2.21*(K312-1)) + EXP(2.21*(L312-1)) + EXP(2.21*M312)   )/100*2.45 )</f>
        <v>0.40183591897512122</v>
      </c>
      <c r="P312" s="973"/>
    </row>
    <row r="313" spans="1:16">
      <c r="A313" s="34" t="str">
        <f>Clothing!A506</f>
        <v>Clothing washed (in use)</v>
      </c>
      <c r="B313" s="40" t="str">
        <f>Clothing!B506</f>
        <v>Clothing washing</v>
      </c>
      <c r="C313" s="34" t="str">
        <f>Clothing!C506</f>
        <v>any</v>
      </c>
      <c r="D313" s="40" t="str">
        <f>Clothing!D506</f>
        <v>any</v>
      </c>
      <c r="E313" s="34">
        <f>Clothing!E506</f>
        <v>0.7390620127596067</v>
      </c>
      <c r="F313" s="40">
        <f>Clothing!F506</f>
        <v>2</v>
      </c>
      <c r="G313" s="34" t="str">
        <f>Clothing!G506</f>
        <v>Computed from available data from Kawecki et al. (2019) and CBS (2022)</v>
      </c>
      <c r="H313" s="1188">
        <f>Clothing!H506</f>
        <v>2</v>
      </c>
      <c r="I313" s="307">
        <f>Clothing!I506</f>
        <v>2</v>
      </c>
      <c r="J313" s="307">
        <f>Clothing!J506</f>
        <v>2</v>
      </c>
      <c r="K313" s="307">
        <f>Clothing!K506</f>
        <v>2</v>
      </c>
      <c r="L313" s="307">
        <f>Clothing!L506</f>
        <v>2</v>
      </c>
      <c r="M313" s="307">
        <f>Clothing!M506</f>
        <v>2</v>
      </c>
      <c r="N313" s="185">
        <f>IF( OR( ISBLANK(H313),ISBLANK(J313), ISBLANK(K313), ISBLANK(L313), ISBLANK(M313) ), "", 1.5*SQRT(   EXP(2.21*(H313-1)) + EXP(2.21*(J313-1)) + EXP(2.21*(K313-1)) + EXP(2.21*(L313-1)) + EXP(2.21*M313)   )/100*2.45 )</f>
        <v>0.40183591897512122</v>
      </c>
      <c r="O313" s="159">
        <f>IF( OR( ISBLANK(I313),ISBLANK(J313), ISBLANK(K313), ISBLANK(L313), ISBLANK(M313) ), "", 1.5*SQRT( EXP(2.21*(I313-1)) + EXP(2.21*(J313-1)) + EXP(2.21*(K313-1)) + EXP(2.21*(L313-1)) + EXP(2.21*M313)   )/100*2.45 )</f>
        <v>0.40183591897512122</v>
      </c>
      <c r="P313" s="973"/>
    </row>
    <row r="314" spans="1:16">
      <c r="A314" s="34" t="str">
        <f>Clothing!A507</f>
        <v>Clothing washed (in use)</v>
      </c>
      <c r="B314" s="40" t="str">
        <f>Clothing!B507</f>
        <v>Clothing drying</v>
      </c>
      <c r="C314" s="34" t="str">
        <f>Clothing!C507</f>
        <v>any</v>
      </c>
      <c r="D314" s="40" t="str">
        <f>Clothing!D507</f>
        <v>any</v>
      </c>
      <c r="E314" s="34">
        <f>Clothing!E507</f>
        <v>3.7770048560126175E-2</v>
      </c>
      <c r="F314" s="40">
        <f>Clothing!F507</f>
        <v>2</v>
      </c>
      <c r="G314" s="34" t="str">
        <f>Clothing!G507</f>
        <v>Computed from available data from Kawecki et al. (2019)</v>
      </c>
      <c r="H314" s="1188">
        <f>Clothing!H507</f>
        <v>2</v>
      </c>
      <c r="I314" s="307">
        <f>Clothing!I507</f>
        <v>2</v>
      </c>
      <c r="J314" s="307">
        <f>Clothing!J507</f>
        <v>2</v>
      </c>
      <c r="K314" s="307">
        <f>Clothing!K507</f>
        <v>2</v>
      </c>
      <c r="L314" s="307">
        <f>Clothing!L507</f>
        <v>2</v>
      </c>
      <c r="M314" s="307">
        <f>Clothing!M507</f>
        <v>2</v>
      </c>
      <c r="N314" s="185">
        <f>IF( OR( ISBLANK(H314),ISBLANK(J314), ISBLANK(K314), ISBLANK(L314), ISBLANK(M314) ), "", 1.5*SQRT(   EXP(2.21*(H314-1)) + EXP(2.21*(J314-1)) + EXP(2.21*(K314-1)) + EXP(2.21*(L314-1)) + EXP(2.21*M314)   )/100*2.45 )</f>
        <v>0.40183591897512122</v>
      </c>
      <c r="O314" s="159">
        <f>IF( OR( ISBLANK(I314),ISBLANK(J314), ISBLANK(K314), ISBLANK(L314), ISBLANK(M314) ), "", 1.5*SQRT( EXP(2.21*(I314-1)) + EXP(2.21*(J314-1)) + EXP(2.21*(K314-1)) + EXP(2.21*(L314-1)) + EXP(2.21*M314)   )/100*2.45 )</f>
        <v>0.40183591897512122</v>
      </c>
      <c r="P314" s="973"/>
    </row>
    <row r="315" spans="1:16">
      <c r="A315" s="68" t="str">
        <f>Clothing!A597</f>
        <v>Clothing washer-dryer combo</v>
      </c>
      <c r="B315" s="304" t="str">
        <f>Clothing!B597</f>
        <v>Wastewater (micro)</v>
      </c>
      <c r="C315" s="69" t="str">
        <f>Clothing!C597</f>
        <v>any</v>
      </c>
      <c r="D315" s="823" t="str">
        <f>Clothing!D597</f>
        <v>any</v>
      </c>
      <c r="E315" s="69" t="str">
        <f>Clothing!E597</f>
        <v>rest</v>
      </c>
      <c r="F315" s="823">
        <f>Clothing!F597</f>
        <v>1</v>
      </c>
      <c r="G315" s="69"/>
      <c r="H315" s="1188"/>
      <c r="I315" s="307"/>
      <c r="J315" s="307"/>
      <c r="K315" s="307"/>
      <c r="L315" s="307"/>
      <c r="M315" s="307"/>
      <c r="N315" s="616" t="str">
        <f>IF( OR( ISBLANK(H315),ISBLANK(J315), ISBLANK(K315), ISBLANK(L315), ISBLANK(M315) ), "", 1.5*SQRT(   EXP(2.21*(H315-1)) + EXP(2.21*(J315-1)) + EXP(2.21*(K315-1)) + EXP(2.21*(L315-1)) + EXP(2.21*M315)   )/100*2.45 )</f>
        <v/>
      </c>
      <c r="O315" s="1282" t="str">
        <f>IF( OR( ISBLANK(I315),ISBLANK(J315), ISBLANK(K315), ISBLANK(L315), ISBLANK(M315) ), "", 1.5*SQRT( EXP(2.21*(I315-1)) + EXP(2.21*(J315-1)) + EXP(2.21*(K315-1)) + EXP(2.21*(L315-1)) + EXP(2.21*M315)   )/100*2.45 )</f>
        <v/>
      </c>
      <c r="P315" s="68"/>
    </row>
    <row r="316" spans="1:16">
      <c r="A316" s="68" t="str">
        <f>Clothing!A566</f>
        <v>Clothing washing</v>
      </c>
      <c r="B316" s="304" t="str">
        <f>Clothing!B566</f>
        <v>Clothing washing machine (with external filter)</v>
      </c>
      <c r="C316" s="69" t="str">
        <f>Clothing!C566</f>
        <v>any</v>
      </c>
      <c r="D316" s="823" t="str">
        <f>Clothing!D566</f>
        <v>any</v>
      </c>
      <c r="E316" s="69">
        <f>Clothing!E566</f>
        <v>1.470917225950783E-4</v>
      </c>
      <c r="F316" s="823">
        <f>Clothing!F566</f>
        <v>2</v>
      </c>
      <c r="G316" s="69" t="str">
        <f>Clothing!G566</f>
        <v>Planet care reviews</v>
      </c>
      <c r="H316" s="1188">
        <f>Clothing!H566</f>
        <v>3</v>
      </c>
      <c r="I316" s="307">
        <f>Clothing!I566</f>
        <v>3</v>
      </c>
      <c r="J316" s="307">
        <f>Clothing!J566</f>
        <v>3</v>
      </c>
      <c r="K316" s="307">
        <f>Clothing!K566</f>
        <v>3</v>
      </c>
      <c r="L316" s="307">
        <f>Clothing!L566</f>
        <v>3</v>
      </c>
      <c r="M316" s="307">
        <f>Clothing!M566</f>
        <v>3</v>
      </c>
      <c r="N316" s="185">
        <f>IF( OR( ISBLANK(H316),ISBLANK(J316), ISBLANK(K316), ISBLANK(L316), ISBLANK(M316) ), "", 1.5*SQRT(   EXP(2.21*(H316-1)) + EXP(2.21*(J316-1)) + EXP(2.21*(K316-1)) + EXP(2.21*(L316-1)) + EXP(2.21*M316)   )/100*2.45 )</f>
        <v>1.2132328390150593</v>
      </c>
      <c r="O316" s="159">
        <f>IF( OR( ISBLANK(I316),ISBLANK(J316), ISBLANK(K316), ISBLANK(L316), ISBLANK(M316) ), "", 1.5*SQRT( EXP(2.21*(I316-1)) + EXP(2.21*(J316-1)) + EXP(2.21*(K316-1)) + EXP(2.21*(L316-1)) + EXP(2.21*M316)   )/100*2.45 )</f>
        <v>1.2132328390150593</v>
      </c>
      <c r="P316" s="68"/>
    </row>
    <row r="317" spans="1:16">
      <c r="A317" s="68" t="str">
        <f>Clothing!A565</f>
        <v>Clothing washing</v>
      </c>
      <c r="B317" s="304" t="str">
        <f>Clothing!B565</f>
        <v>Clothing washing machine (with external filter)</v>
      </c>
      <c r="C317" s="69" t="str">
        <f>Clothing!C565</f>
        <v>any</v>
      </c>
      <c r="D317" s="823" t="str">
        <f>Clothing!D565</f>
        <v>any</v>
      </c>
      <c r="E317" s="69">
        <f>Clothing!E565</f>
        <v>1.470917225950783E-3</v>
      </c>
      <c r="F317" s="823">
        <f>Clothing!F565</f>
        <v>2</v>
      </c>
      <c r="G317" s="69" t="str">
        <f>Clothing!G565</f>
        <v>Planet care reviews</v>
      </c>
      <c r="H317" s="1188">
        <f>Clothing!H565</f>
        <v>3</v>
      </c>
      <c r="I317" s="307">
        <f>Clothing!I565</f>
        <v>3</v>
      </c>
      <c r="J317" s="307">
        <f>Clothing!J565</f>
        <v>3</v>
      </c>
      <c r="K317" s="307">
        <f>Clothing!K565</f>
        <v>3</v>
      </c>
      <c r="L317" s="307">
        <f>Clothing!L565</f>
        <v>3</v>
      </c>
      <c r="M317" s="307">
        <f>Clothing!M565</f>
        <v>3</v>
      </c>
      <c r="N317" s="616">
        <f>IF( OR( ISBLANK(H317),ISBLANK(J317), ISBLANK(K317), ISBLANK(L317), ISBLANK(M317) ), "", 1.5*SQRT(   EXP(2.21*(H317-1)) + EXP(2.21*(J317-1)) + EXP(2.21*(K317-1)) + EXP(2.21*(L317-1)) + EXP(2.21*M317)   )/100*2.45 )</f>
        <v>1.2132328390150593</v>
      </c>
      <c r="O317" s="1282">
        <f>IF( OR( ISBLANK(I317),ISBLANK(J317), ISBLANK(K317), ISBLANK(L317), ISBLANK(M317) ), "", 1.5*SQRT( EXP(2.21*(I317-1)) + EXP(2.21*(J317-1)) + EXP(2.21*(K317-1)) + EXP(2.21*(L317-1)) + EXP(2.21*M317)   )/100*2.45 )</f>
        <v>1.2132328390150593</v>
      </c>
      <c r="P317" s="68"/>
    </row>
    <row r="318" spans="1:16">
      <c r="A318" s="68" t="str">
        <f>Clothing!A567</f>
        <v>Clothing washing</v>
      </c>
      <c r="B318" s="304" t="str">
        <f>Clothing!B567</f>
        <v>Clothing washing machine (without external filter)</v>
      </c>
      <c r="C318" s="69" t="str">
        <f>Clothing!C567</f>
        <v>any</v>
      </c>
      <c r="D318" s="823" t="str">
        <f>Clothing!D567</f>
        <v>any</v>
      </c>
      <c r="E318" s="69" t="str">
        <f>Clothing!E567</f>
        <v>rest</v>
      </c>
      <c r="F318" s="823">
        <f>Clothing!F567</f>
        <v>1</v>
      </c>
      <c r="G318" s="69" t="str">
        <f>Clothing!G567</f>
        <v>Watergebruik CBS (2022)</v>
      </c>
      <c r="H318" s="1188"/>
      <c r="I318" s="307"/>
      <c r="J318" s="307"/>
      <c r="K318" s="307"/>
      <c r="L318" s="307"/>
      <c r="M318" s="307"/>
      <c r="N318" s="616" t="str">
        <f>IF( OR( ISBLANK(H318),ISBLANK(J318), ISBLANK(K318), ISBLANK(L318), ISBLANK(M318) ), "", 1.5*SQRT(   EXP(2.21*(H318-1)) + EXP(2.21*(J318-1)) + EXP(2.21*(K318-1)) + EXP(2.21*(L318-1)) + EXP(2.21*M318)   )/100*2.45 )</f>
        <v/>
      </c>
      <c r="O318" s="1282" t="str">
        <f>IF( OR( ISBLANK(I318),ISBLANK(J318), ISBLANK(K318), ISBLANK(L318), ISBLANK(M318) ), "", 1.5*SQRT( EXP(2.21*(I318-1)) + EXP(2.21*(J318-1)) + EXP(2.21*(K318-1)) + EXP(2.21*(L318-1)) + EXP(2.21*M318)   )/100*2.45 )</f>
        <v/>
      </c>
      <c r="P318" s="68"/>
    </row>
    <row r="319" spans="1:16">
      <c r="A319" s="68" t="str">
        <f>Clothing!A568</f>
        <v>Clothing washing</v>
      </c>
      <c r="B319" s="304" t="str">
        <f>Clothing!B568</f>
        <v>Clothing washing by hand</v>
      </c>
      <c r="C319" s="69" t="str">
        <f>Clothing!C568</f>
        <v>any</v>
      </c>
      <c r="D319" s="823" t="str">
        <f>Clothing!D568</f>
        <v>any</v>
      </c>
      <c r="E319" s="69">
        <f>Clothing!E568</f>
        <v>2.0000000000000018E-2</v>
      </c>
      <c r="F319" s="823">
        <f>Clothing!F568</f>
        <v>2</v>
      </c>
      <c r="G319" s="69" t="str">
        <f>Clothing!G568</f>
        <v>Watergebruik CBS (2022)</v>
      </c>
      <c r="H319" s="1188">
        <f>Clothing!H565</f>
        <v>3</v>
      </c>
      <c r="I319" s="307">
        <f>Clothing!I565</f>
        <v>3</v>
      </c>
      <c r="J319" s="307">
        <f>Clothing!J565</f>
        <v>3</v>
      </c>
      <c r="K319" s="307">
        <f>Clothing!K565</f>
        <v>3</v>
      </c>
      <c r="L319" s="307">
        <f>Clothing!L565</f>
        <v>3</v>
      </c>
      <c r="M319" s="307">
        <f>Clothing!M565</f>
        <v>3</v>
      </c>
      <c r="N319" s="616">
        <f>IF( OR( ISBLANK(H319),ISBLANK(J319), ISBLANK(K319), ISBLANK(L319), ISBLANK(M319) ), "", 1.5*SQRT(   EXP(2.21*(H319-1)) + EXP(2.21*(J319-1)) + EXP(2.21*(K319-1)) + EXP(2.21*(L319-1)) + EXP(2.21*M319)   )/100*2.45 )</f>
        <v>1.2132328390150593</v>
      </c>
      <c r="O319" s="1282">
        <f>IF( OR( ISBLANK(I319),ISBLANK(J319), ISBLANK(K319), ISBLANK(L319), ISBLANK(M319) ), "", 1.5*SQRT( EXP(2.21*(I319-1)) + EXP(2.21*(J319-1)) + EXP(2.21*(K319-1)) + EXP(2.21*(L319-1)) + EXP(2.21*M319)   )/100*2.45 )</f>
        <v>1.2132328390150593</v>
      </c>
      <c r="P319" s="68"/>
    </row>
    <row r="320" spans="1:16">
      <c r="A320" s="68" t="str">
        <f>Clothing!A574</f>
        <v>Clothing washing by hand</v>
      </c>
      <c r="B320" s="304" t="str">
        <f>Clothing!B574</f>
        <v>Wastewater (micro)</v>
      </c>
      <c r="C320" s="69" t="str">
        <f>Clothing!C574</f>
        <v>any</v>
      </c>
      <c r="D320" s="823" t="str">
        <f>Clothing!D574</f>
        <v>any</v>
      </c>
      <c r="E320" s="69">
        <f>Clothing!E574</f>
        <v>1</v>
      </c>
      <c r="F320" s="823">
        <f>Clothing!F574</f>
        <v>1</v>
      </c>
      <c r="G320" s="69"/>
      <c r="H320" s="1188"/>
      <c r="I320" s="307"/>
      <c r="J320" s="307"/>
      <c r="K320" s="307"/>
      <c r="L320" s="307"/>
      <c r="M320" s="307"/>
      <c r="N320" s="616" t="str">
        <f>IF( OR( ISBLANK(H320),ISBLANK(J320), ISBLANK(K320), ISBLANK(L320), ISBLANK(M320) ), "", 1.5*SQRT(   EXP(2.21*(H320-1)) + EXP(2.21*(J320-1)) + EXP(2.21*(K320-1)) + EXP(2.21*(L320-1)) + EXP(2.21*M320)   )/100*2.45 )</f>
        <v/>
      </c>
      <c r="O320" s="1282" t="str">
        <f>IF( OR( ISBLANK(I320),ISBLANK(J320), ISBLANK(K320), ISBLANK(L320), ISBLANK(M320) ), "", 1.5*SQRT( EXP(2.21*(I320-1)) + EXP(2.21*(J320-1)) + EXP(2.21*(K320-1)) + EXP(2.21*(L320-1)) + EXP(2.21*M320)   )/100*2.45 )</f>
        <v/>
      </c>
      <c r="P320" s="68"/>
    </row>
    <row r="321" spans="1:16">
      <c r="A321" s="68" t="s">
        <v>2050</v>
      </c>
      <c r="B321" s="304" t="s">
        <v>327</v>
      </c>
      <c r="C321" s="69" t="s">
        <v>139</v>
      </c>
      <c r="D321" s="823" t="s">
        <v>139</v>
      </c>
      <c r="E321" s="1194">
        <f>'Clothing calculations'!B239</f>
        <v>0.08</v>
      </c>
      <c r="F321" s="823">
        <v>2</v>
      </c>
      <c r="G321" s="69" t="s">
        <v>2245</v>
      </c>
      <c r="H321" s="1188">
        <v>1</v>
      </c>
      <c r="I321" s="307">
        <v>2</v>
      </c>
      <c r="J321" s="307">
        <v>1</v>
      </c>
      <c r="K321" s="307">
        <v>2</v>
      </c>
      <c r="L321" s="307">
        <v>2</v>
      </c>
      <c r="M321" s="307">
        <v>2</v>
      </c>
      <c r="N321" s="185">
        <f>IF( OR( ISBLANK(H321),ISBLANK(J321), ISBLANK(K321), ISBLANK(L321), ISBLANK(M321) ), "", 1.5*SQRT(   EXP(2.21*(H321-1)) + EXP(2.21*(J321-1)) + EXP(2.21*(K321-1)) + EXP(2.21*(L321-1)) + EXP(2.21*M321)   )/100*2.45 )</f>
        <v>0.37356464144298934</v>
      </c>
      <c r="O321" s="159">
        <f>IF( OR( ISBLANK(I321),ISBLANK(J321), ISBLANK(K321), ISBLANK(L321), ISBLANK(M321) ), "", 1.5*SQRT( EXP(2.21*(I321-1)) + EXP(2.21*(J321-1)) + EXP(2.21*(K321-1)) + EXP(2.21*(L321-1)) + EXP(2.21*M321)   )/100*2.45 )</f>
        <v>0.38795788889711302</v>
      </c>
      <c r="P321" s="68"/>
    </row>
    <row r="322" spans="1:16">
      <c r="A322" s="68" t="s">
        <v>2050</v>
      </c>
      <c r="B322" s="304" t="s">
        <v>327</v>
      </c>
      <c r="C322" s="69" t="s">
        <v>139</v>
      </c>
      <c r="D322" s="823" t="s">
        <v>139</v>
      </c>
      <c r="E322" s="1194">
        <f>'Clothing calculations'!B240</f>
        <v>0.33</v>
      </c>
      <c r="F322" s="823">
        <v>2</v>
      </c>
      <c r="G322" s="69" t="s">
        <v>2246</v>
      </c>
      <c r="H322" s="1188">
        <v>1</v>
      </c>
      <c r="I322" s="307">
        <v>2</v>
      </c>
      <c r="J322" s="307">
        <v>1</v>
      </c>
      <c r="K322" s="307">
        <v>2</v>
      </c>
      <c r="L322" s="307">
        <v>2</v>
      </c>
      <c r="M322" s="307">
        <v>2</v>
      </c>
      <c r="N322" s="185">
        <f>IF( OR( ISBLANK(H322),ISBLANK(J322), ISBLANK(K322), ISBLANK(L322), ISBLANK(M322) ), "", 1.5*SQRT(   EXP(2.21*(H322-1)) + EXP(2.21*(J322-1)) + EXP(2.21*(K322-1)) + EXP(2.21*(L322-1)) + EXP(2.21*M322)   )/100*2.45 )</f>
        <v>0.37356464144298934</v>
      </c>
      <c r="O322" s="159">
        <f>IF( OR( ISBLANK(I322),ISBLANK(J322), ISBLANK(K322), ISBLANK(L322), ISBLANK(M322) ), "", 1.5*SQRT( EXP(2.21*(I322-1)) + EXP(2.21*(J322-1)) + EXP(2.21*(K322-1)) + EXP(2.21*(L322-1)) + EXP(2.21*M322)   )/100*2.45 )</f>
        <v>0.38795788889711302</v>
      </c>
      <c r="P322" s="68"/>
    </row>
    <row r="323" spans="1:16">
      <c r="A323" s="68" t="s">
        <v>2050</v>
      </c>
      <c r="B323" s="304" t="s">
        <v>327</v>
      </c>
      <c r="C323" s="69" t="s">
        <v>139</v>
      </c>
      <c r="D323" s="823" t="s">
        <v>139</v>
      </c>
      <c r="E323" s="1194">
        <f>'Clothing calculations'!B241</f>
        <v>0.89</v>
      </c>
      <c r="F323" s="823">
        <v>2</v>
      </c>
      <c r="G323" s="69" t="s">
        <v>2247</v>
      </c>
      <c r="H323" s="1188">
        <v>1</v>
      </c>
      <c r="I323" s="307">
        <v>2</v>
      </c>
      <c r="J323" s="307">
        <v>1</v>
      </c>
      <c r="K323" s="307">
        <v>2</v>
      </c>
      <c r="L323" s="307">
        <v>2</v>
      </c>
      <c r="M323" s="307">
        <v>2</v>
      </c>
      <c r="N323" s="185">
        <f>IF( OR( ISBLANK(H323),ISBLANK(J323), ISBLANK(K323), ISBLANK(L323), ISBLANK(M323) ), "", 1.5*SQRT(   EXP(2.21*(H323-1)) + EXP(2.21*(J323-1)) + EXP(2.21*(K323-1)) + EXP(2.21*(L323-1)) + EXP(2.21*M323)   )/100*2.45 )</f>
        <v>0.37356464144298934</v>
      </c>
      <c r="O323" s="159">
        <f>IF( OR( ISBLANK(I323),ISBLANK(J323), ISBLANK(K323), ISBLANK(L323), ISBLANK(M323) ), "", 1.5*SQRT( EXP(2.21*(I323-1)) + EXP(2.21*(J323-1)) + EXP(2.21*(K323-1)) + EXP(2.21*(L323-1)) + EXP(2.21*M323)   )/100*2.45 )</f>
        <v>0.38795788889711302</v>
      </c>
      <c r="P323" s="68"/>
    </row>
    <row r="324" spans="1:16">
      <c r="A324" s="68" t="str">
        <f>Clothing!A572</f>
        <v>Clothing washing machine (with external filter)</v>
      </c>
      <c r="B324" s="304" t="str">
        <f>Clothing!B572</f>
        <v>Wastewater (micro)</v>
      </c>
      <c r="C324" s="69" t="str">
        <f>Clothing!C572</f>
        <v>any</v>
      </c>
      <c r="D324" s="823" t="str">
        <f>Clothing!D572</f>
        <v>any</v>
      </c>
      <c r="E324" s="69" t="str">
        <f>Clothing!E572</f>
        <v>rest</v>
      </c>
      <c r="F324" s="823">
        <f>Clothing!F572</f>
        <v>1</v>
      </c>
      <c r="G324" s="69"/>
      <c r="H324" s="1188">
        <f>Clothing!H570</f>
        <v>1</v>
      </c>
      <c r="I324" s="307">
        <f>Clothing!I570</f>
        <v>2</v>
      </c>
      <c r="J324" s="307">
        <f>Clothing!J570</f>
        <v>1</v>
      </c>
      <c r="K324" s="307">
        <f>Clothing!K570</f>
        <v>2</v>
      </c>
      <c r="L324" s="307">
        <f>Clothing!L570</f>
        <v>2</v>
      </c>
      <c r="M324" s="307">
        <f>Clothing!M570</f>
        <v>2</v>
      </c>
      <c r="N324" s="616">
        <f>IF( OR( ISBLANK(H324),ISBLANK(J324), ISBLANK(K324), ISBLANK(L324), ISBLANK(M324) ), "", 1.5*SQRT(   EXP(2.21*(H324-1)) + EXP(2.21*(J324-1)) + EXP(2.21*(K324-1)) + EXP(2.21*(L324-1)) + EXP(2.21*M324)   )/100*2.45 )</f>
        <v>0.37356464144298934</v>
      </c>
      <c r="O324" s="1282">
        <f>IF( OR( ISBLANK(I324),ISBLANK(J324), ISBLANK(K324), ISBLANK(L324), ISBLANK(M324) ), "", 1.5*SQRT( EXP(2.21*(I324-1)) + EXP(2.21*(J324-1)) + EXP(2.21*(K324-1)) + EXP(2.21*(L324-1)) + EXP(2.21*M324)   )/100*2.45 )</f>
        <v>0.38795788889711302</v>
      </c>
      <c r="P324" s="68"/>
    </row>
    <row r="325" spans="1:16">
      <c r="A325" s="68" t="str">
        <f>Clothing!A573</f>
        <v>Clothing washing machine (without external filter)</v>
      </c>
      <c r="B325" s="304" t="str">
        <f>Clothing!B573</f>
        <v>Wastewater (micro)</v>
      </c>
      <c r="C325" s="69" t="str">
        <f>Clothing!C573</f>
        <v>any</v>
      </c>
      <c r="D325" s="823" t="str">
        <f>Clothing!D573</f>
        <v>any</v>
      </c>
      <c r="E325" s="69">
        <f>Clothing!E573</f>
        <v>1</v>
      </c>
      <c r="F325" s="823">
        <f>Clothing!F573</f>
        <v>1</v>
      </c>
      <c r="G325" s="69"/>
      <c r="H325" s="1188">
        <f>Clothing!H571</f>
        <v>1</v>
      </c>
      <c r="I325" s="307">
        <f>Clothing!I571</f>
        <v>2</v>
      </c>
      <c r="J325" s="307">
        <f>Clothing!J571</f>
        <v>1</v>
      </c>
      <c r="K325" s="307">
        <f>Clothing!K571</f>
        <v>2</v>
      </c>
      <c r="L325" s="307">
        <f>Clothing!L571</f>
        <v>2</v>
      </c>
      <c r="M325" s="307">
        <f>Clothing!M571</f>
        <v>2</v>
      </c>
      <c r="N325" s="616">
        <f>IF( OR( ISBLANK(H325),ISBLANK(J325), ISBLANK(K325), ISBLANK(L325), ISBLANK(M325) ), "", 1.5*SQRT(   EXP(2.21*(H325-1)) + EXP(2.21*(J325-1)) + EXP(2.21*(K325-1)) + EXP(2.21*(L325-1)) + EXP(2.21*M325)   )/100*2.45 )</f>
        <v>0.37356464144298934</v>
      </c>
      <c r="O325" s="1282">
        <f>IF( OR( ISBLANK(I325),ISBLANK(J325), ISBLANK(K325), ISBLANK(L325), ISBLANK(M325) ), "", 1.5*SQRT( EXP(2.21*(I325-1)) + EXP(2.21*(J325-1)) + EXP(2.21*(K325-1)) + EXP(2.21*(L325-1)) + EXP(2.21*M325)   )/100*2.45 )</f>
        <v>0.38795788889711302</v>
      </c>
      <c r="P325" s="68"/>
    </row>
    <row r="326" spans="1:16">
      <c r="A326" s="68" t="str">
        <f>'Textile waste collection'!A40</f>
        <v>Clothing waste collection</v>
      </c>
      <c r="B326" s="304" t="str">
        <f>'Textile waste collection'!B40</f>
        <v>Incineration</v>
      </c>
      <c r="C326" s="69" t="str">
        <f>'Textile waste collection'!C40</f>
        <v>any</v>
      </c>
      <c r="D326" s="823" t="str">
        <f>'Textile waste collection'!D40</f>
        <v>any</v>
      </c>
      <c r="E326" s="69">
        <f>'Textile waste collection'!E40</f>
        <v>6.5437788018433182E-2</v>
      </c>
      <c r="F326" s="823">
        <f>'Textile waste collection'!F40</f>
        <v>2</v>
      </c>
      <c r="G326" s="69" t="str">
        <f>'Textile waste collection'!G40</f>
        <v>Massabalans textiel, 2022</v>
      </c>
      <c r="H326" s="1188">
        <f>'Textile waste collection'!H40</f>
        <v>1</v>
      </c>
      <c r="I326" s="307">
        <f>'Textile waste collection'!I40</f>
        <v>2</v>
      </c>
      <c r="J326" s="307">
        <f>'Textile waste collection'!J40</f>
        <v>2</v>
      </c>
      <c r="K326" s="307">
        <f>'Textile waste collection'!K40</f>
        <v>1</v>
      </c>
      <c r="L326" s="307">
        <f>'Textile waste collection'!L40</f>
        <v>2</v>
      </c>
      <c r="M326" s="307">
        <f>'Textile waste collection'!M40</f>
        <v>2</v>
      </c>
      <c r="N326" s="616">
        <f>IF( OR( ISBLANK(H326),ISBLANK(J326), ISBLANK(K326), ISBLANK(L326), ISBLANK(M326) ), "", 1.5*SQRT(   EXP(2.21*(H326-1)) + EXP(2.21*(J326-1)) + EXP(2.21*(K326-1)) + EXP(2.21*(L326-1)) + EXP(2.21*M326)   )/100*2.45 )</f>
        <v>0.37356464144298934</v>
      </c>
      <c r="O326" s="1282">
        <f>IF( OR( ISBLANK(I326),ISBLANK(J326), ISBLANK(K326), ISBLANK(L326), ISBLANK(M326) ), "", 1.5*SQRT( EXP(2.21*(I326-1)) + EXP(2.21*(J326-1)) + EXP(2.21*(K326-1)) + EXP(2.21*(L326-1)) + EXP(2.21*M326)   )/100*2.45 )</f>
        <v>0.38795788889711302</v>
      </c>
      <c r="P326" s="68"/>
    </row>
    <row r="327" spans="1:16">
      <c r="A327" s="68" t="str">
        <f>'Textile waste collection'!A36</f>
        <v>Clothing waste collection</v>
      </c>
      <c r="B327" s="304" t="str">
        <f>'Textile waste collection'!B36</f>
        <v>Textile reuse</v>
      </c>
      <c r="C327" s="69" t="str">
        <f>'Textile waste collection'!C36</f>
        <v>any</v>
      </c>
      <c r="D327" s="823" t="str">
        <f>'Textile waste collection'!D36</f>
        <v>any</v>
      </c>
      <c r="E327" s="69">
        <f>'Textile waste collection'!E36</f>
        <v>6.7281105990783407E-2</v>
      </c>
      <c r="F327" s="823">
        <f>'Textile waste collection'!F36</f>
        <v>2</v>
      </c>
      <c r="G327" s="69" t="str">
        <f>'Textile waste collection'!G36</f>
        <v>Massabalans textiel, 2022</v>
      </c>
      <c r="H327" s="1188">
        <f>'Textile waste collection'!H36</f>
        <v>1</v>
      </c>
      <c r="I327" s="307">
        <f>'Textile waste collection'!I36</f>
        <v>2</v>
      </c>
      <c r="J327" s="307">
        <f>'Textile waste collection'!J36</f>
        <v>2</v>
      </c>
      <c r="K327" s="307">
        <f>'Textile waste collection'!K36</f>
        <v>1</v>
      </c>
      <c r="L327" s="307">
        <f>'Textile waste collection'!L36</f>
        <v>2</v>
      </c>
      <c r="M327" s="307">
        <f>'Textile waste collection'!M36</f>
        <v>2</v>
      </c>
      <c r="N327" s="185">
        <f>IF( OR( ISBLANK(H327),ISBLANK(J327), ISBLANK(K327), ISBLANK(L327), ISBLANK(M327) ), "", 1.5*SQRT(   EXP(2.21*(H327-1)) + EXP(2.21*(J327-1)) + EXP(2.21*(K327-1)) + EXP(2.21*(L327-1)) + EXP(2.21*M327)   )/100*2.45 )</f>
        <v>0.37356464144298934</v>
      </c>
      <c r="O327" s="159">
        <f>IF( OR( ISBLANK(I327),ISBLANK(J327), ISBLANK(K327), ISBLANK(L327), ISBLANK(M327) ), "", 1.5*SQRT( EXP(2.21*(I327-1)) + EXP(2.21*(J327-1)) + EXP(2.21*(K327-1)) + EXP(2.21*(L327-1)) + EXP(2.21*M327)   )/100*2.45 )</f>
        <v>0.38795788889711302</v>
      </c>
      <c r="P327" s="68"/>
    </row>
    <row r="328" spans="1:16">
      <c r="A328" s="68" t="str">
        <f>'Textile waste collection'!A37</f>
        <v>Clothing waste collection</v>
      </c>
      <c r="B328" s="304" t="str">
        <f>'Textile waste collection'!B37</f>
        <v>Textile recycling</v>
      </c>
      <c r="C328" s="69" t="str">
        <f>'Textile waste collection'!C37</f>
        <v>any</v>
      </c>
      <c r="D328" s="823" t="str">
        <f>'Textile waste collection'!D37</f>
        <v>any</v>
      </c>
      <c r="E328" s="69">
        <f>'Textile waste collection'!E37</f>
        <v>5.7142857142857141E-2</v>
      </c>
      <c r="F328" s="823">
        <f>'Textile waste collection'!F37</f>
        <v>3</v>
      </c>
      <c r="G328" s="69" t="str">
        <f>'Textile waste collection'!G37</f>
        <v>Massabalans textiel, 2022</v>
      </c>
      <c r="H328" s="1188">
        <f>'Textile waste collection'!H37</f>
        <v>1</v>
      </c>
      <c r="I328" s="307">
        <f>'Textile waste collection'!I37</f>
        <v>2</v>
      </c>
      <c r="J328" s="307">
        <f>'Textile waste collection'!J37</f>
        <v>2</v>
      </c>
      <c r="K328" s="307">
        <f>'Textile waste collection'!K37</f>
        <v>1</v>
      </c>
      <c r="L328" s="307">
        <f>'Textile waste collection'!L37</f>
        <v>2</v>
      </c>
      <c r="M328" s="307">
        <f>'Textile waste collection'!M37</f>
        <v>2</v>
      </c>
      <c r="N328" s="616">
        <f>IF( OR( ISBLANK(H328),ISBLANK(J328), ISBLANK(K328), ISBLANK(L328), ISBLANK(M328) ), "", 1.5*SQRT(   EXP(2.21*(H328-1)) + EXP(2.21*(J328-1)) + EXP(2.21*(K328-1)) + EXP(2.21*(L328-1)) + EXP(2.21*M328)   )/100*2.45 )</f>
        <v>0.37356464144298934</v>
      </c>
      <c r="O328" s="1282">
        <f>IF( OR( ISBLANK(I328),ISBLANK(J328), ISBLANK(K328), ISBLANK(L328), ISBLANK(M328) ), "", 1.5*SQRT( EXP(2.21*(I328-1)) + EXP(2.21*(J328-1)) + EXP(2.21*(K328-1)) + EXP(2.21*(L328-1)) + EXP(2.21*M328)   )/100*2.45 )</f>
        <v>0.38795788889711302</v>
      </c>
      <c r="P328" s="68"/>
    </row>
    <row r="329" spans="1:16">
      <c r="A329" s="68" t="str">
        <f>'Textile waste collection'!A38</f>
        <v>Clothing waste collection</v>
      </c>
      <c r="B329" s="304" t="str">
        <f>'Textile waste collection'!B38</f>
        <v>Residential soil (macro)</v>
      </c>
      <c r="C329" s="69" t="str">
        <f>'Textile waste collection'!C38</f>
        <v>any</v>
      </c>
      <c r="D329" s="823" t="str">
        <f>'Textile waste collection'!D38</f>
        <v>any</v>
      </c>
      <c r="E329" s="69">
        <f>'Textile waste collection'!E38</f>
        <v>1E-4</v>
      </c>
      <c r="F329" s="823">
        <f>'Textile waste collection'!F38</f>
        <v>3</v>
      </c>
      <c r="G329" s="69" t="str">
        <f>'Textile waste collection'!G38</f>
        <v>assumption based on similar losses estimated for other waste collection systems</v>
      </c>
      <c r="H329" s="1188">
        <f>'Textile waste collection'!H38</f>
        <v>1</v>
      </c>
      <c r="I329" s="307">
        <f>'Textile waste collection'!I38</f>
        <v>2</v>
      </c>
      <c r="J329" s="307">
        <f>'Textile waste collection'!J38</f>
        <v>2</v>
      </c>
      <c r="K329" s="307">
        <f>'Textile waste collection'!K38</f>
        <v>2</v>
      </c>
      <c r="L329" s="307">
        <f>'Textile waste collection'!L38</f>
        <v>2</v>
      </c>
      <c r="M329" s="307">
        <f>'Textile waste collection'!M38</f>
        <v>2</v>
      </c>
      <c r="N329" s="616">
        <f>IF( OR( ISBLANK(H329),ISBLANK(J329), ISBLANK(K329), ISBLANK(L329), ISBLANK(M329) ), "", 1.5*SQRT(   EXP(2.21*(H329-1)) + EXP(2.21*(J329-1)) + EXP(2.21*(K329-1)) + EXP(2.21*(L329-1)) + EXP(2.21*M329)   )/100*2.45 )</f>
        <v>0.38795788889711302</v>
      </c>
      <c r="O329" s="1282">
        <f>IF( OR( ISBLANK(I329),ISBLANK(J329), ISBLANK(K329), ISBLANK(L329), ISBLANK(M329) ), "", 1.5*SQRT( EXP(2.21*(I329-1)) + EXP(2.21*(J329-1)) + EXP(2.21*(K329-1)) + EXP(2.21*(L329-1)) + EXP(2.21*M329)   )/100*2.45 )</f>
        <v>0.40183591897512122</v>
      </c>
      <c r="P329" s="68"/>
    </row>
    <row r="330" spans="1:16">
      <c r="A330" s="68" t="str">
        <f>'Textile waste collection'!A39</f>
        <v>Clothing waste collection</v>
      </c>
      <c r="B330" s="304" t="str">
        <f>'Textile waste collection'!B39</f>
        <v>Landfill</v>
      </c>
      <c r="C330" s="69" t="str">
        <f>'Textile waste collection'!C39</f>
        <v>any</v>
      </c>
      <c r="D330" s="823" t="str">
        <f>'Textile waste collection'!D39</f>
        <v>any</v>
      </c>
      <c r="E330" s="69">
        <f>'Textile waste collection'!E39</f>
        <v>3.0000000000000001E-3</v>
      </c>
      <c r="F330" s="823">
        <f>'Textile waste collection'!F39</f>
        <v>2</v>
      </c>
      <c r="G330" s="69" t="str">
        <f>'Textile waste collection'!G39</f>
        <v>Massabalans textiel, 2018</v>
      </c>
      <c r="H330" s="1188">
        <f>'Textile waste collection'!H39</f>
        <v>1</v>
      </c>
      <c r="I330" s="307">
        <f>'Textile waste collection'!I39</f>
        <v>2</v>
      </c>
      <c r="J330" s="307">
        <f>'Textile waste collection'!J39</f>
        <v>2</v>
      </c>
      <c r="K330" s="307">
        <f>'Textile waste collection'!K39</f>
        <v>1</v>
      </c>
      <c r="L330" s="307">
        <f>'Textile waste collection'!L39</f>
        <v>2</v>
      </c>
      <c r="M330" s="307">
        <f>'Textile waste collection'!M39</f>
        <v>2</v>
      </c>
      <c r="N330" s="616">
        <f>IF( OR( ISBLANK(H330),ISBLANK(J330), ISBLANK(K330), ISBLANK(L330), ISBLANK(M330) ), "", 1.5*SQRT(   EXP(2.21*(H330-1)) + EXP(2.21*(J330-1)) + EXP(2.21*(K330-1)) + EXP(2.21*(L330-1)) + EXP(2.21*M330)   )/100*2.45 )</f>
        <v>0.37356464144298934</v>
      </c>
      <c r="O330" s="1282">
        <f>IF( OR( ISBLANK(I330),ISBLANK(J330), ISBLANK(K330), ISBLANK(L330), ISBLANK(M330) ), "", 1.5*SQRT( EXP(2.21*(I330-1)) + EXP(2.21*(J330-1)) + EXP(2.21*(K330-1)) + EXP(2.21*(L330-1)) + EXP(2.21*M330)   )/100*2.45 )</f>
        <v>0.38795788889711302</v>
      </c>
      <c r="P330" s="68"/>
    </row>
    <row r="331" spans="1:16">
      <c r="A331" s="68" t="str">
        <f>'Textile waste collection'!A41</f>
        <v>Clothing waste collection</v>
      </c>
      <c r="B331" s="304" t="str">
        <f>'Textile waste collection'!B41</f>
        <v>Export</v>
      </c>
      <c r="C331" s="69" t="str">
        <f>'Textile waste collection'!C41</f>
        <v>any</v>
      </c>
      <c r="D331" s="823" t="str">
        <f>'Textile waste collection'!D41</f>
        <v>any</v>
      </c>
      <c r="E331" s="69" t="str">
        <f>'Textile waste collection'!E41</f>
        <v>rest</v>
      </c>
      <c r="F331" s="823">
        <f>'Textile waste collection'!F41</f>
        <v>1</v>
      </c>
      <c r="G331" s="69" t="str">
        <f>'Textile waste collection'!G41</f>
        <v>Massabalans textiel, 2022</v>
      </c>
      <c r="H331" s="1188"/>
      <c r="I331" s="307"/>
      <c r="J331" s="307"/>
      <c r="K331" s="307"/>
      <c r="L331" s="307"/>
      <c r="M331" s="307"/>
      <c r="N331" s="616" t="str">
        <f>IF( OR( ISBLANK(H331),ISBLANK(J331), ISBLANK(K331), ISBLANK(L331), ISBLANK(M331) ), "", 1.5*SQRT(   EXP(2.21*(H331-1)) + EXP(2.21*(J331-1)) + EXP(2.21*(K331-1)) + EXP(2.21*(L331-1)) + EXP(2.21*M331)   )/100*2.45 )</f>
        <v/>
      </c>
      <c r="O331" s="1282" t="str">
        <f>IF( OR( ISBLANK(I331),ISBLANK(J331), ISBLANK(K331), ISBLANK(L331), ISBLANK(M331) ), "", 1.5*SQRT( EXP(2.21*(I331-1)) + EXP(2.21*(J331-1)) + EXP(2.21*(K331-1)) + EXP(2.21*(L331-1)) + EXP(2.21*M331)   )/100*2.45 )</f>
        <v/>
      </c>
      <c r="P331" s="68"/>
    </row>
    <row r="332" spans="1:16">
      <c r="A332" s="68" t="str">
        <f>Clothing!A577</f>
        <v>Clothing wearing</v>
      </c>
      <c r="B332" s="304" t="str">
        <f>Clothing!B577</f>
        <v>Indoor air (micro)</v>
      </c>
      <c r="C332" s="69" t="str">
        <f>Clothing!C577</f>
        <v>any</v>
      </c>
      <c r="D332" s="823" t="str">
        <f>Clothing!D577</f>
        <v>any</v>
      </c>
      <c r="E332" s="69">
        <f>Clothing!E577</f>
        <v>0.93</v>
      </c>
      <c r="F332" s="823">
        <f>Clothing!F577</f>
        <v>2</v>
      </c>
      <c r="G332" s="69" t="str">
        <f>Clothing!G577</f>
        <v>Kawecki and Nowack (2019)</v>
      </c>
      <c r="H332" s="1188">
        <f>Clothing!H577</f>
        <v>2</v>
      </c>
      <c r="I332" s="307">
        <f>Clothing!I577</f>
        <v>2</v>
      </c>
      <c r="J332" s="307">
        <f>Clothing!J577</f>
        <v>2</v>
      </c>
      <c r="K332" s="307">
        <f>Clothing!K577</f>
        <v>1</v>
      </c>
      <c r="L332" s="307">
        <f>Clothing!L577</f>
        <v>2</v>
      </c>
      <c r="M332" s="307">
        <f>Clothing!M577</f>
        <v>2</v>
      </c>
      <c r="N332" s="616">
        <f>IF( OR( ISBLANK(H332),ISBLANK(J332), ISBLANK(K332), ISBLANK(L332), ISBLANK(M332) ), "", 1.5*SQRT(   EXP(2.21*(H332-1)) + EXP(2.21*(J332-1)) + EXP(2.21*(K332-1)) + EXP(2.21*(L332-1)) + EXP(2.21*M332)   )/100*2.45 )</f>
        <v>0.38795788889711302</v>
      </c>
      <c r="O332" s="1282">
        <f>IF( OR( ISBLANK(I332),ISBLANK(J332), ISBLANK(K332), ISBLANK(L332), ISBLANK(M332) ), "", 1.5*SQRT( EXP(2.21*(I332-1)) + EXP(2.21*(J332-1)) + EXP(2.21*(K332-1)) + EXP(2.21*(L332-1)) + EXP(2.21*M332)   )/100*2.45 )</f>
        <v>0.38795788889711302</v>
      </c>
      <c r="P332" s="68"/>
    </row>
    <row r="333" spans="1:16">
      <c r="A333" s="68" t="str">
        <f>Clothing!A578</f>
        <v>Clothing wearing</v>
      </c>
      <c r="B333" s="304" t="str">
        <f>Clothing!B578</f>
        <v>Outdoor air (micro)</v>
      </c>
      <c r="C333" s="69" t="str">
        <f>Clothing!C578</f>
        <v>any</v>
      </c>
      <c r="D333" s="823" t="str">
        <f>Clothing!D578</f>
        <v>any</v>
      </c>
      <c r="E333" s="69" t="str">
        <f>Clothing!E578</f>
        <v>rest</v>
      </c>
      <c r="F333" s="823">
        <f>Clothing!F578</f>
        <v>1</v>
      </c>
      <c r="G333" s="69" t="str">
        <f>Clothing!G578</f>
        <v>Kawecki and Nowack (2019)</v>
      </c>
      <c r="H333" s="1188"/>
      <c r="I333" s="307"/>
      <c r="J333" s="307"/>
      <c r="K333" s="307"/>
      <c r="L333" s="307"/>
      <c r="M333" s="307"/>
      <c r="N333" s="616" t="str">
        <f>IF( OR( ISBLANK(H333),ISBLANK(J333), ISBLANK(K333), ISBLANK(L333), ISBLANK(M333) ), "", 1.5*SQRT(   EXP(2.21*(H333-1)) + EXP(2.21*(J333-1)) + EXP(2.21*(K333-1)) + EXP(2.21*(L333-1)) + EXP(2.21*M333)   )/100*2.45 )</f>
        <v/>
      </c>
      <c r="O333" s="1282" t="str">
        <f>IF( OR( ISBLANK(I333),ISBLANK(J333), ISBLANK(K333), ISBLANK(L333), ISBLANK(M333) ), "", 1.5*SQRT( EXP(2.21*(I333-1)) + EXP(2.21*(J333-1)) + EXP(2.21*(K333-1)) + EXP(2.21*(L333-1)) + EXP(2.21*M333)   )/100*2.45 )</f>
        <v/>
      </c>
      <c r="P333" s="68"/>
    </row>
    <row r="334" spans="1:16">
      <c r="A334" s="34" t="s">
        <v>167</v>
      </c>
      <c r="B334" s="40" t="s">
        <v>206</v>
      </c>
      <c r="C334" s="34" t="s">
        <v>139</v>
      </c>
      <c r="D334" s="40" t="s">
        <v>139</v>
      </c>
      <c r="E334" s="237" t="s">
        <v>150</v>
      </c>
      <c r="F334" s="168">
        <v>1</v>
      </c>
      <c r="G334" s="34"/>
      <c r="H334" s="29"/>
      <c r="I334" s="9"/>
      <c r="J334" s="9"/>
      <c r="K334" s="9"/>
      <c r="L334" s="9"/>
      <c r="M334" s="9"/>
      <c r="N334" s="185" t="str">
        <f>IF( OR( ISBLANK(H334),ISBLANK(J334), ISBLANK(K334), ISBLANK(L334), ISBLANK(M334) ), "", 1.5*SQRT(   EXP(2.21*(H334-1)) + EXP(2.21*(J334-1)) + EXP(2.21*(K334-1)) + EXP(2.21*(L334-1)) + EXP(2.21*M334)   )/100*2.45 )</f>
        <v/>
      </c>
      <c r="O334" s="159" t="str">
        <f>IF( OR( ISBLANK(I334),ISBLANK(J334), ISBLANK(K334), ISBLANK(L334), ISBLANK(M334) ), "", 1.5*SQRT( EXP(2.21*(I334-1)) + EXP(2.21*(J334-1)) + EXP(2.21*(K334-1)) + EXP(2.21*(L334-1)) + EXP(2.21*M334)   )/100*2.45 )</f>
        <v/>
      </c>
      <c r="P334" s="34"/>
    </row>
    <row r="335" spans="1:16">
      <c r="A335" s="34" t="s">
        <v>167</v>
      </c>
      <c r="B335" s="40" t="s">
        <v>207</v>
      </c>
      <c r="C335" s="34" t="s">
        <v>139</v>
      </c>
      <c r="D335" s="40" t="s">
        <v>139</v>
      </c>
      <c r="E335" s="237">
        <v>0.15</v>
      </c>
      <c r="F335" s="168">
        <v>2</v>
      </c>
      <c r="G335" s="34" t="s">
        <v>208</v>
      </c>
      <c r="H335" s="29">
        <v>2</v>
      </c>
      <c r="I335" s="9"/>
      <c r="J335" s="9">
        <v>2</v>
      </c>
      <c r="K335" s="9">
        <v>1</v>
      </c>
      <c r="L335" s="9">
        <v>1</v>
      </c>
      <c r="M335" s="9">
        <v>1</v>
      </c>
      <c r="N335" s="185">
        <f>IF( OR( ISBLANK(H335),ISBLANK(J335), ISBLANK(K335), ISBLANK(L335), ISBLANK(M335) ), "", 1.5*SQRT(   EXP(2.21*(H335-1)) + EXP(2.21*(J335-1)) + EXP(2.21*(K335-1)) + EXP(2.21*(L335-1)) + EXP(2.21*M335)   )/100*2.45 )</f>
        <v>0.19908580854301616</v>
      </c>
      <c r="O335" s="159" t="str">
        <f>IF( OR( ISBLANK(I335),ISBLANK(J335), ISBLANK(K335), ISBLANK(L335), ISBLANK(M335) ), "", 1.5*SQRT( EXP(2.21*(I335-1)) + EXP(2.21*(J335-1)) + EXP(2.21*(K335-1)) + EXP(2.21*(L335-1)) + EXP(2.21*M335)   )/100*2.45 )</f>
        <v/>
      </c>
      <c r="P335" s="34"/>
    </row>
    <row r="336" spans="1:16">
      <c r="A336" s="34" t="s">
        <v>206</v>
      </c>
      <c r="B336" s="40" t="s">
        <v>218</v>
      </c>
      <c r="C336" s="34" t="s">
        <v>139</v>
      </c>
      <c r="D336" s="40" t="s">
        <v>139</v>
      </c>
      <c r="E336" s="237">
        <v>0.01</v>
      </c>
      <c r="F336" s="168">
        <v>2</v>
      </c>
      <c r="G336" s="34" t="s">
        <v>221</v>
      </c>
      <c r="H336" s="29">
        <v>2</v>
      </c>
      <c r="I336" s="9"/>
      <c r="J336" s="9">
        <v>2</v>
      </c>
      <c r="K336" s="9">
        <v>3</v>
      </c>
      <c r="L336" s="9">
        <v>3</v>
      </c>
      <c r="M336" s="9">
        <v>2</v>
      </c>
      <c r="N336" s="185">
        <f>IF( OR( ISBLANK(H336),ISBLANK(J336), ISBLANK(K336), ISBLANK(L336), ISBLANK(M336) ), "", 1.5*SQRT(   EXP(2.21*(H336-1)) + EXP(2.21*(J336-1)) + EXP(2.21*(K336-1)) + EXP(2.21*(L336-1)) + EXP(2.21*M336)   )/100*2.45 )</f>
        <v>0.60108474454521421</v>
      </c>
      <c r="O336" s="159" t="str">
        <f>IF( OR( ISBLANK(I336),ISBLANK(J336), ISBLANK(K336), ISBLANK(L336), ISBLANK(M336) ), "", 1.5*SQRT( EXP(2.21*(I336-1)) + EXP(2.21*(J336-1)) + EXP(2.21*(K336-1)) + EXP(2.21*(L336-1)) + EXP(2.21*M336)   )/100*2.45 )</f>
        <v/>
      </c>
      <c r="P336" s="34" t="s">
        <v>222</v>
      </c>
    </row>
    <row r="337" spans="1:16">
      <c r="A337" s="34" t="s">
        <v>206</v>
      </c>
      <c r="B337" s="40" t="s">
        <v>179</v>
      </c>
      <c r="C337" s="34" t="s">
        <v>139</v>
      </c>
      <c r="D337" s="40" t="s">
        <v>139</v>
      </c>
      <c r="E337" s="237" t="s">
        <v>150</v>
      </c>
      <c r="F337" s="168">
        <v>1</v>
      </c>
      <c r="G337" s="34"/>
      <c r="H337" s="29"/>
      <c r="I337" s="9"/>
      <c r="J337" s="9"/>
      <c r="K337" s="9"/>
      <c r="L337" s="9"/>
      <c r="M337" s="9"/>
      <c r="N337" s="185" t="str">
        <f>IF( OR( ISBLANK(H337),ISBLANK(J337), ISBLANK(K337), ISBLANK(L337), ISBLANK(M337) ), "", 1.5*SQRT(   EXP(2.21*(H337-1)) + EXP(2.21*(J337-1)) + EXP(2.21*(K337-1)) + EXP(2.21*(L337-1)) + EXP(2.21*M337)   )/100*2.45 )</f>
        <v/>
      </c>
      <c r="O337" s="159" t="str">
        <f>IF( OR( ISBLANK(I337),ISBLANK(J337), ISBLANK(K337), ISBLANK(L337), ISBLANK(M337) ), "", 1.5*SQRT( EXP(2.21*(I337-1)) + EXP(2.21*(J337-1)) + EXP(2.21*(K337-1)) + EXP(2.21*(L337-1)) + EXP(2.21*M337)   )/100*2.45 )</f>
        <v/>
      </c>
      <c r="P337" s="34"/>
    </row>
    <row r="338" spans="1:16">
      <c r="A338" s="34" t="s">
        <v>207</v>
      </c>
      <c r="B338" s="40" t="s">
        <v>154</v>
      </c>
      <c r="C338" s="34" t="s">
        <v>139</v>
      </c>
      <c r="D338" s="40" t="s">
        <v>139</v>
      </c>
      <c r="E338" s="237">
        <v>1</v>
      </c>
      <c r="F338" s="168">
        <v>2</v>
      </c>
      <c r="G338" s="34"/>
      <c r="H338" s="29"/>
      <c r="I338" s="9"/>
      <c r="J338" s="9"/>
      <c r="K338" s="9"/>
      <c r="L338" s="9"/>
      <c r="M338" s="9"/>
      <c r="N338" s="185" t="str">
        <f>IF( OR( ISBLANK(H338),ISBLANK(J338), ISBLANK(K338), ISBLANK(L338), ISBLANK(M338) ), "", 1.5*SQRT(   EXP(2.21*(H338-1)) + EXP(2.21*(J338-1)) + EXP(2.21*(K338-1)) + EXP(2.21*(L338-1)) + EXP(2.21*M338)   )/100*2.45 )</f>
        <v/>
      </c>
      <c r="O338" s="159" t="str">
        <f>IF( OR( ISBLANK(I338),ISBLANK(J338), ISBLANK(K338), ISBLANK(L338), ISBLANK(M338) ), "", 1.5*SQRT( EXP(2.21*(I338-1)) + EXP(2.21*(J338-1)) + EXP(2.21*(K338-1)) + EXP(2.21*(L338-1)) + EXP(2.21*M338)   )/100*2.45 )</f>
        <v/>
      </c>
      <c r="P338" s="34" t="s">
        <v>220</v>
      </c>
    </row>
    <row r="339" spans="1:16">
      <c r="A339" s="34" t="s">
        <v>210</v>
      </c>
      <c r="B339" s="40" t="s">
        <v>179</v>
      </c>
      <c r="C339" s="34" t="s">
        <v>139</v>
      </c>
      <c r="D339" s="40" t="s">
        <v>139</v>
      </c>
      <c r="E339" s="237">
        <v>0</v>
      </c>
      <c r="F339" s="168">
        <v>2</v>
      </c>
      <c r="G339" s="34" t="s">
        <v>157</v>
      </c>
      <c r="H339" s="29"/>
      <c r="I339" s="9"/>
      <c r="J339" s="9"/>
      <c r="K339" s="9"/>
      <c r="L339" s="9"/>
      <c r="M339" s="9"/>
      <c r="N339" s="185" t="str">
        <f>IF( OR( ISBLANK(H339),ISBLANK(J339), ISBLANK(K339), ISBLANK(L339), ISBLANK(M339) ), "", 1.5*SQRT(   EXP(2.21*(H339-1)) + EXP(2.21*(J339-1)) + EXP(2.21*(K339-1)) + EXP(2.21*(L339-1)) + EXP(2.21*M339)   )/100*2.45 )</f>
        <v/>
      </c>
      <c r="O339" s="159" t="str">
        <f>IF( OR( ISBLANK(I339),ISBLANK(J339), ISBLANK(K339), ISBLANK(L339), ISBLANK(M339) ), "", 1.5*SQRT( EXP(2.21*(I339-1)) + EXP(2.21*(J339-1)) + EXP(2.21*(K339-1)) + EXP(2.21*(L339-1)) + EXP(2.21*M339)   )/100*2.45 )</f>
        <v/>
      </c>
      <c r="P339" s="34"/>
    </row>
    <row r="340" spans="1:16">
      <c r="A340" s="34" t="s">
        <v>210</v>
      </c>
      <c r="B340" s="40" t="s">
        <v>179</v>
      </c>
      <c r="C340" s="34" t="s">
        <v>139</v>
      </c>
      <c r="D340" s="40" t="s">
        <v>139</v>
      </c>
      <c r="E340" s="237">
        <v>1</v>
      </c>
      <c r="F340" s="168">
        <v>2</v>
      </c>
      <c r="G340" s="34" t="s">
        <v>157</v>
      </c>
      <c r="H340" s="29">
        <v>3</v>
      </c>
      <c r="I340" s="9"/>
      <c r="J340" s="9">
        <v>3</v>
      </c>
      <c r="K340" s="9">
        <v>3</v>
      </c>
      <c r="L340" s="9">
        <v>3</v>
      </c>
      <c r="M340" s="9">
        <v>3</v>
      </c>
      <c r="N340" s="185">
        <f>IF( OR( ISBLANK(H340),ISBLANK(J340), ISBLANK(K340), ISBLANK(L340), ISBLANK(M340) ), "", 1.5*SQRT(   EXP(2.21*(H340-1)) + EXP(2.21*(J340-1)) + EXP(2.21*(K340-1)) + EXP(2.21*(L340-1)) + EXP(2.21*M340)   )/100*2.45 )</f>
        <v>1.2132328390150593</v>
      </c>
      <c r="O340" s="159" t="str">
        <f>IF( OR( ISBLANK(I340),ISBLANK(J340), ISBLANK(K340), ISBLANK(L340), ISBLANK(M340) ), "", 1.5*SQRT( EXP(2.21*(I340-1)) + EXP(2.21*(J340-1)) + EXP(2.21*(K340-1)) + EXP(2.21*(L340-1)) + EXP(2.21*M340)   )/100*2.45 )</f>
        <v/>
      </c>
      <c r="P340" s="34"/>
    </row>
    <row r="341" spans="1:16">
      <c r="A341" s="34" t="s">
        <v>210</v>
      </c>
      <c r="B341" s="40" t="s">
        <v>265</v>
      </c>
      <c r="C341" s="34" t="s">
        <v>139</v>
      </c>
      <c r="D341" s="40" t="s">
        <v>139</v>
      </c>
      <c r="E341" s="237" t="s">
        <v>150</v>
      </c>
      <c r="F341" s="168">
        <v>1</v>
      </c>
      <c r="G341" s="34"/>
      <c r="H341" s="29"/>
      <c r="I341" s="9"/>
      <c r="J341" s="9"/>
      <c r="K341" s="9"/>
      <c r="L341" s="9"/>
      <c r="M341" s="9"/>
      <c r="N341" s="185" t="str">
        <f>IF( OR( ISBLANK(H341),ISBLANK(J341), ISBLANK(K341), ISBLANK(L341), ISBLANK(M341) ), "", 1.5*SQRT(   EXP(2.21*(H341-1)) + EXP(2.21*(J341-1)) + EXP(2.21*(K341-1)) + EXP(2.21*(L341-1)) + EXP(2.21*M341)   )/100*2.45 )</f>
        <v/>
      </c>
      <c r="O341" s="159" t="str">
        <f>IF( OR( ISBLANK(I341),ISBLANK(J341), ISBLANK(K341), ISBLANK(L341), ISBLANK(M341) ), "", 1.5*SQRT( EXP(2.21*(I341-1)) + EXP(2.21*(J341-1)) + EXP(2.21*(K341-1)) + EXP(2.21*(L341-1)) + EXP(2.21*M341)   )/100*2.45 )</f>
        <v/>
      </c>
      <c r="P341" s="34"/>
    </row>
    <row r="342" spans="1:16">
      <c r="A342" s="34" t="s">
        <v>216</v>
      </c>
      <c r="B342" s="40" t="s">
        <v>258</v>
      </c>
      <c r="C342" s="34" t="s">
        <v>139</v>
      </c>
      <c r="D342" s="40" t="s">
        <v>139</v>
      </c>
      <c r="E342" s="237">
        <v>1</v>
      </c>
      <c r="F342" s="168">
        <v>2</v>
      </c>
      <c r="G342" s="34" t="s">
        <v>157</v>
      </c>
      <c r="H342" s="29"/>
      <c r="I342" s="9"/>
      <c r="J342" s="9"/>
      <c r="K342" s="9"/>
      <c r="L342" s="9"/>
      <c r="M342" s="9"/>
      <c r="N342" s="185" t="str">
        <f>IF( OR( ISBLANK(H342),ISBLANK(J342), ISBLANK(K342), ISBLANK(L342), ISBLANK(M342) ), "", 1.5*SQRT(   EXP(2.21*(H342-1)) + EXP(2.21*(J342-1)) + EXP(2.21*(K342-1)) + EXP(2.21*(L342-1)) + EXP(2.21*M342)   )/100*2.45 )</f>
        <v/>
      </c>
      <c r="O342" s="159" t="str">
        <f>IF( OR( ISBLANK(I342),ISBLANK(J342), ISBLANK(K342), ISBLANK(L342), ISBLANK(M342) ), "", 1.5*SQRT( EXP(2.21*(I342-1)) + EXP(2.21*(J342-1)) + EXP(2.21*(K342-1)) + EXP(2.21*(L342-1)) + EXP(2.21*M342)   )/100*2.45 )</f>
        <v/>
      </c>
      <c r="P342" s="34"/>
    </row>
    <row r="343" spans="1:16">
      <c r="A343" s="34" t="s">
        <v>149</v>
      </c>
      <c r="B343" s="40" t="s">
        <v>146</v>
      </c>
      <c r="C343" s="34" t="s">
        <v>139</v>
      </c>
      <c r="D343" s="40" t="s">
        <v>139</v>
      </c>
      <c r="E343" s="237" t="s">
        <v>150</v>
      </c>
      <c r="F343" s="168">
        <v>1</v>
      </c>
      <c r="G343" s="34"/>
      <c r="H343" s="29"/>
      <c r="I343" s="9"/>
      <c r="J343" s="9"/>
      <c r="K343" s="9"/>
      <c r="L343" s="9"/>
      <c r="M343" s="9"/>
      <c r="N343" s="185" t="str">
        <f>IF( OR( ISBLANK(H343),ISBLANK(J343), ISBLANK(K343), ISBLANK(L343), ISBLANK(M343) ), "", 1.5*SQRT(   EXP(2.21*(H343-1)) + EXP(2.21*(J343-1)) + EXP(2.21*(K343-1)) + EXP(2.21*(L343-1)) + EXP(2.21*M343)   )/100*2.45 )</f>
        <v/>
      </c>
      <c r="O343" s="159" t="str">
        <f>IF( OR( ISBLANK(I343),ISBLANK(J343), ISBLANK(K343), ISBLANK(L343), ISBLANK(M343) ), "", 1.5*SQRT( EXP(2.21*(I343-1)) + EXP(2.21*(J343-1)) + EXP(2.21*(K343-1)) + EXP(2.21*(L343-1)) + EXP(2.21*M343)   )/100*2.45 )</f>
        <v/>
      </c>
      <c r="P343" s="34" t="s">
        <v>151</v>
      </c>
    </row>
    <row r="344" spans="1:16">
      <c r="A344" s="34" t="s">
        <v>149</v>
      </c>
      <c r="B344" s="40" t="s">
        <v>176</v>
      </c>
      <c r="C344" s="34" t="s">
        <v>139</v>
      </c>
      <c r="D344" s="40" t="s">
        <v>139</v>
      </c>
      <c r="E344" s="237">
        <v>0.03</v>
      </c>
      <c r="F344" s="168">
        <v>2</v>
      </c>
      <c r="G344" s="34" t="s">
        <v>221</v>
      </c>
      <c r="H344" s="29">
        <v>1</v>
      </c>
      <c r="I344" s="9"/>
      <c r="J344" s="9">
        <v>2</v>
      </c>
      <c r="K344" s="9">
        <v>3</v>
      </c>
      <c r="L344" s="9">
        <v>2</v>
      </c>
      <c r="M344" s="9">
        <v>2</v>
      </c>
      <c r="N344" s="185">
        <f>IF( OR( ISBLANK(H344),ISBLANK(J344), ISBLANK(K344), ISBLANK(L344), ISBLANK(M344) ), "", 1.5*SQRT(   EXP(2.21*(H344-1)) + EXP(2.21*(J344-1)) + EXP(2.21*(K344-1)) + EXP(2.21*(L344-1)) + EXP(2.21*M344)   )/100*2.45 )</f>
        <v>0.50042652380814845</v>
      </c>
      <c r="O344" s="159" t="str">
        <f>IF( OR( ISBLANK(I344),ISBLANK(J344), ISBLANK(K344), ISBLANK(L344), ISBLANK(M344) ), "", 1.5*SQRT( EXP(2.21*(I344-1)) + EXP(2.21*(J344-1)) + EXP(2.21*(K344-1)) + EXP(2.21*(L344-1)) + EXP(2.21*M344)   )/100*2.45 )</f>
        <v/>
      </c>
      <c r="P344" s="34" t="s">
        <v>381</v>
      </c>
    </row>
    <row r="345" spans="1:16">
      <c r="A345" s="34" t="s">
        <v>154</v>
      </c>
      <c r="B345" s="40" t="s">
        <v>155</v>
      </c>
      <c r="C345" s="34" t="s">
        <v>139</v>
      </c>
      <c r="D345" s="40" t="s">
        <v>139</v>
      </c>
      <c r="E345" s="237" t="s">
        <v>150</v>
      </c>
      <c r="F345" s="168">
        <v>1</v>
      </c>
      <c r="G345" s="34"/>
      <c r="H345" s="29"/>
      <c r="I345" s="9"/>
      <c r="J345" s="9"/>
      <c r="K345" s="9"/>
      <c r="L345" s="9"/>
      <c r="M345" s="9"/>
      <c r="N345" s="185" t="str">
        <f>IF( OR( ISBLANK(H345),ISBLANK(J345), ISBLANK(K345), ISBLANK(L345), ISBLANK(M345) ), "", 1.5*SQRT(   EXP(2.21*(H345-1)) + EXP(2.21*(J345-1)) + EXP(2.21*(K345-1)) + EXP(2.21*(L345-1)) + EXP(2.21*M345)   )/100*2.45 )</f>
        <v/>
      </c>
      <c r="O345" s="159" t="str">
        <f>IF( OR( ISBLANK(I345),ISBLANK(J345), ISBLANK(K345), ISBLANK(L345), ISBLANK(M345) ), "", 1.5*SQRT( EXP(2.21*(I345-1)) + EXP(2.21*(J345-1)) + EXP(2.21*(K345-1)) + EXP(2.21*(L345-1)) + EXP(2.21*M345)   )/100*2.45 )</f>
        <v/>
      </c>
      <c r="P345" s="34" t="s">
        <v>151</v>
      </c>
    </row>
    <row r="346" spans="1:16">
      <c r="A346" s="34" t="s">
        <v>154</v>
      </c>
      <c r="B346" s="40" t="s">
        <v>251</v>
      </c>
      <c r="C346" s="34" t="s">
        <v>139</v>
      </c>
      <c r="D346" s="40" t="s">
        <v>139</v>
      </c>
      <c r="E346" s="237">
        <v>0.03</v>
      </c>
      <c r="F346" s="168">
        <v>2</v>
      </c>
      <c r="G346" s="34" t="s">
        <v>221</v>
      </c>
      <c r="H346" s="29">
        <v>1</v>
      </c>
      <c r="I346" s="9"/>
      <c r="J346" s="9">
        <v>2</v>
      </c>
      <c r="K346" s="9">
        <v>3</v>
      </c>
      <c r="L346" s="9">
        <v>2</v>
      </c>
      <c r="M346" s="9">
        <v>2</v>
      </c>
      <c r="N346" s="185">
        <f>IF( OR( ISBLANK(H346),ISBLANK(J346), ISBLANK(K346), ISBLANK(L346), ISBLANK(M346) ), "", 1.5*SQRT(   EXP(2.21*(H346-1)) + EXP(2.21*(J346-1)) + EXP(2.21*(K346-1)) + EXP(2.21*(L346-1)) + EXP(2.21*M346)   )/100*2.45 )</f>
        <v>0.50042652380814845</v>
      </c>
      <c r="O346" s="159" t="str">
        <f>IF( OR( ISBLANK(I346),ISBLANK(J346), ISBLANK(K346), ISBLANK(L346), ISBLANK(M346) ), "", 1.5*SQRT( EXP(2.21*(I346-1)) + EXP(2.21*(J346-1)) + EXP(2.21*(K346-1)) + EXP(2.21*(L346-1)) + EXP(2.21*M346)   )/100*2.45 )</f>
        <v/>
      </c>
      <c r="P346" s="34" t="s">
        <v>381</v>
      </c>
    </row>
    <row r="347" spans="1:16">
      <c r="A347" s="34" t="s">
        <v>218</v>
      </c>
      <c r="B347" s="40" t="s">
        <v>149</v>
      </c>
      <c r="C347" s="34" t="s">
        <v>139</v>
      </c>
      <c r="D347" s="40" t="s">
        <v>139</v>
      </c>
      <c r="E347" s="237">
        <v>0</v>
      </c>
      <c r="F347" s="168">
        <v>2</v>
      </c>
      <c r="G347" s="34" t="s">
        <v>208</v>
      </c>
      <c r="H347" s="29">
        <v>2</v>
      </c>
      <c r="I347" s="9"/>
      <c r="J347" s="9">
        <v>2</v>
      </c>
      <c r="K347" s="9">
        <v>3</v>
      </c>
      <c r="L347" s="9">
        <v>3</v>
      </c>
      <c r="M347" s="9">
        <v>2</v>
      </c>
      <c r="N347" s="185">
        <f>IF( OR( ISBLANK(H347),ISBLANK(J347), ISBLANK(K347), ISBLANK(L347), ISBLANK(M347) ), "", 1.5*SQRT(   EXP(2.21*(H347-1)) + EXP(2.21*(J347-1)) + EXP(2.21*(K347-1)) + EXP(2.21*(L347-1)) + EXP(2.21*M347)   )/100*2.45 )</f>
        <v>0.60108474454521421</v>
      </c>
      <c r="O347" s="159" t="str">
        <f>IF( OR( ISBLANK(I347),ISBLANK(J347), ISBLANK(K347), ISBLANK(L347), ISBLANK(M347) ), "", 1.5*SQRT( EXP(2.21*(I347-1)) + EXP(2.21*(J347-1)) + EXP(2.21*(K347-1)) + EXP(2.21*(L347-1)) + EXP(2.21*M347)   )/100*2.45 )</f>
        <v/>
      </c>
      <c r="P347" s="34" t="s">
        <v>219</v>
      </c>
    </row>
    <row r="348" spans="1:16">
      <c r="A348" s="34" t="s">
        <v>218</v>
      </c>
      <c r="B348" s="40" t="s">
        <v>149</v>
      </c>
      <c r="C348" s="34" t="s">
        <v>139</v>
      </c>
      <c r="D348" s="40" t="s">
        <v>139</v>
      </c>
      <c r="E348" s="237">
        <v>0.79999999999999993</v>
      </c>
      <c r="F348" s="168">
        <v>2</v>
      </c>
      <c r="G348" s="34" t="s">
        <v>208</v>
      </c>
      <c r="H348" s="29">
        <v>2</v>
      </c>
      <c r="I348" s="9"/>
      <c r="J348" s="9">
        <v>2</v>
      </c>
      <c r="K348" s="9">
        <v>3</v>
      </c>
      <c r="L348" s="9">
        <v>3</v>
      </c>
      <c r="M348" s="9">
        <v>2</v>
      </c>
      <c r="N348" s="185">
        <f>IF( OR( ISBLANK(H348),ISBLANK(J348), ISBLANK(K348), ISBLANK(L348), ISBLANK(M348) ), "", 1.5*SQRT(   EXP(2.21*(H348-1)) + EXP(2.21*(J348-1)) + EXP(2.21*(K348-1)) + EXP(2.21*(L348-1)) + EXP(2.21*M348)   )/100*2.45 )</f>
        <v>0.60108474454521421</v>
      </c>
      <c r="O348" s="159" t="str">
        <f>IF( OR( ISBLANK(I348),ISBLANK(J348), ISBLANK(K348), ISBLANK(L348), ISBLANK(M348) ), "", 1.5*SQRT( EXP(2.21*(I348-1)) + EXP(2.21*(J348-1)) + EXP(2.21*(K348-1)) + EXP(2.21*(L348-1)) + EXP(2.21*M348)   )/100*2.45 )</f>
        <v/>
      </c>
      <c r="P348" s="34" t="s">
        <v>219</v>
      </c>
    </row>
    <row r="349" spans="1:16">
      <c r="A349" s="34" t="s">
        <v>218</v>
      </c>
      <c r="B349" s="40" t="s">
        <v>154</v>
      </c>
      <c r="C349" s="34" t="s">
        <v>139</v>
      </c>
      <c r="D349" s="40" t="s">
        <v>139</v>
      </c>
      <c r="E349" s="237" t="s">
        <v>150</v>
      </c>
      <c r="F349" s="168">
        <v>1</v>
      </c>
      <c r="G349" s="34"/>
      <c r="H349" s="29"/>
      <c r="I349" s="9"/>
      <c r="J349" s="9"/>
      <c r="K349" s="9"/>
      <c r="L349" s="9"/>
      <c r="M349" s="9"/>
      <c r="N349" s="185" t="str">
        <f>IF( OR( ISBLANK(H349),ISBLANK(J349), ISBLANK(K349), ISBLANK(L349), ISBLANK(M349) ), "", 1.5*SQRT(   EXP(2.21*(H349-1)) + EXP(2.21*(J349-1)) + EXP(2.21*(K349-1)) + EXP(2.21*(L349-1)) + EXP(2.21*M349)   )/100*2.45 )</f>
        <v/>
      </c>
      <c r="O349" s="159" t="str">
        <f>IF( OR( ISBLANK(I349),ISBLANK(J349), ISBLANK(K349), ISBLANK(L349), ISBLANK(M349) ), "", 1.5*SQRT( EXP(2.21*(I349-1)) + EXP(2.21*(J349-1)) + EXP(2.21*(K349-1)) + EXP(2.21*(L349-1)) + EXP(2.21*M349)   )/100*2.45 )</f>
        <v/>
      </c>
      <c r="P349" s="34"/>
    </row>
    <row r="350" spans="1:16">
      <c r="A350" s="59" t="s">
        <v>411</v>
      </c>
      <c r="B350" s="336" t="s">
        <v>223</v>
      </c>
      <c r="C350" s="34" t="s">
        <v>139</v>
      </c>
      <c r="D350" s="40" t="s">
        <v>99</v>
      </c>
      <c r="E350" s="237">
        <v>0.03</v>
      </c>
      <c r="F350" s="40">
        <v>1</v>
      </c>
      <c r="G350" s="34" t="s">
        <v>412</v>
      </c>
      <c r="H350" s="29">
        <v>1</v>
      </c>
      <c r="I350" s="9">
        <v>2</v>
      </c>
      <c r="J350" s="9">
        <v>2</v>
      </c>
      <c r="K350" s="9">
        <v>1</v>
      </c>
      <c r="L350" s="9">
        <v>1</v>
      </c>
      <c r="M350" s="9">
        <v>1</v>
      </c>
      <c r="N350" s="185">
        <f>IF( OR( ISBLANK(H350),ISBLANK(J350), ISBLANK(K350), ISBLANK(L350), ISBLANK(M350) ), "", 1.5*SQRT(   EXP(2.21*(H350-1)) + EXP(2.21*(J350-1)) + EXP(2.21*(K350-1)) + EXP(2.21*(L350-1)) + EXP(2.21*M350)   )/100*2.45 )</f>
        <v>0.16933510251023262</v>
      </c>
      <c r="O350" s="159">
        <f>IF( OR( ISBLANK(I350),ISBLANK(J350), ISBLANK(K350), ISBLANK(L350), ISBLANK(M350) ), "", 1.5*SQRT( EXP(2.21*(I350-1)) + EXP(2.21*(J350-1)) + EXP(2.21*(K350-1)) + EXP(2.21*(L350-1)) + EXP(2.21*M350)   )/100*2.45 )</f>
        <v>0.19908580854301616</v>
      </c>
      <c r="P350" s="34" t="s">
        <v>833</v>
      </c>
    </row>
    <row r="351" spans="1:16">
      <c r="A351" s="59" t="s">
        <v>411</v>
      </c>
      <c r="B351" s="336" t="s">
        <v>431</v>
      </c>
      <c r="C351" s="34" t="s">
        <v>139</v>
      </c>
      <c r="D351" s="40" t="s">
        <v>99</v>
      </c>
      <c r="E351" s="237">
        <f>0.5*0.97</f>
        <v>0.48499999999999999</v>
      </c>
      <c r="F351" s="40">
        <v>2</v>
      </c>
      <c r="G351" s="34" t="s">
        <v>412</v>
      </c>
      <c r="H351" s="29">
        <v>1</v>
      </c>
      <c r="I351" s="9">
        <v>2</v>
      </c>
      <c r="J351" s="9">
        <v>2</v>
      </c>
      <c r="K351" s="9">
        <v>1</v>
      </c>
      <c r="L351" s="9">
        <v>1</v>
      </c>
      <c r="M351" s="9">
        <v>1</v>
      </c>
      <c r="N351" s="185">
        <f>IF( OR( ISBLANK(H351),ISBLANK(J351), ISBLANK(K351), ISBLANK(L351), ISBLANK(M351) ), "", 1.5*SQRT(   EXP(2.21*(H351-1)) + EXP(2.21*(J351-1)) + EXP(2.21*(K351-1)) + EXP(2.21*(L351-1)) + EXP(2.21*M351)   )/100*2.45 )</f>
        <v>0.16933510251023262</v>
      </c>
      <c r="O351" s="159">
        <f>IF( OR( ISBLANK(I351),ISBLANK(J351), ISBLANK(K351), ISBLANK(L351), ISBLANK(M351) ), "", 1.5*SQRT( EXP(2.21*(I351-1)) + EXP(2.21*(J351-1)) + EXP(2.21*(K351-1)) + EXP(2.21*(L351-1)) + EXP(2.21*M351)   )/100*2.45 )</f>
        <v>0.19908580854301616</v>
      </c>
      <c r="P351" s="34" t="s">
        <v>831</v>
      </c>
    </row>
    <row r="352" spans="1:16">
      <c r="A352" s="59" t="s">
        <v>411</v>
      </c>
      <c r="B352" s="336" t="s">
        <v>432</v>
      </c>
      <c r="C352" s="34" t="s">
        <v>139</v>
      </c>
      <c r="D352" s="40" t="s">
        <v>99</v>
      </c>
      <c r="E352" s="237">
        <f>0.5*0.97</f>
        <v>0.48499999999999999</v>
      </c>
      <c r="F352" s="40">
        <v>2</v>
      </c>
      <c r="G352" s="34" t="s">
        <v>412</v>
      </c>
      <c r="H352" s="29">
        <v>1</v>
      </c>
      <c r="I352" s="9">
        <v>2</v>
      </c>
      <c r="J352" s="9">
        <v>2</v>
      </c>
      <c r="K352" s="9">
        <v>1</v>
      </c>
      <c r="L352" s="9">
        <v>1</v>
      </c>
      <c r="M352" s="9">
        <v>1</v>
      </c>
      <c r="N352" s="185">
        <f>IF( OR( ISBLANK(H352),ISBLANK(J352), ISBLANK(K352), ISBLANK(L352), ISBLANK(M352) ), "", 1.5*SQRT(   EXP(2.21*(H352-1)) + EXP(2.21*(J352-1)) + EXP(2.21*(K352-1)) + EXP(2.21*(L352-1)) + EXP(2.21*M352)   )/100*2.45 )</f>
        <v>0.16933510251023262</v>
      </c>
      <c r="O352" s="159">
        <f>IF( OR( ISBLANK(I352),ISBLANK(J352), ISBLANK(K352), ISBLANK(L352), ISBLANK(M352) ), "", 1.5*SQRT( EXP(2.21*(I352-1)) + EXP(2.21*(J352-1)) + EXP(2.21*(K352-1)) + EXP(2.21*(L352-1)) + EXP(2.21*M352)   )/100*2.45 )</f>
        <v>0.19908580854301616</v>
      </c>
      <c r="P352" s="34" t="s">
        <v>832</v>
      </c>
    </row>
    <row r="353" spans="1:16">
      <c r="A353" s="59" t="s">
        <v>432</v>
      </c>
      <c r="B353" s="336" t="s">
        <v>435</v>
      </c>
      <c r="C353" s="34" t="s">
        <v>139</v>
      </c>
      <c r="D353" s="40" t="s">
        <v>99</v>
      </c>
      <c r="E353" s="237">
        <f>0.1*E347</f>
        <v>0</v>
      </c>
      <c r="F353" s="40">
        <v>2</v>
      </c>
      <c r="G353" s="34" t="s">
        <v>412</v>
      </c>
      <c r="H353" s="29">
        <v>1</v>
      </c>
      <c r="I353" s="9">
        <v>2</v>
      </c>
      <c r="J353" s="9">
        <v>2</v>
      </c>
      <c r="K353" s="9">
        <v>1</v>
      </c>
      <c r="L353" s="9">
        <v>1</v>
      </c>
      <c r="M353" s="9">
        <v>1</v>
      </c>
      <c r="N353" s="185">
        <f>IF( OR( ISBLANK(H353),ISBLANK(J353), ISBLANK(K353), ISBLANK(L353), ISBLANK(M353) ), "", 1.5*SQRT(   EXP(2.21*(H353-1)) + EXP(2.21*(J353-1)) + EXP(2.21*(K353-1)) + EXP(2.21*(L353-1)) + EXP(2.21*M353)   )/100*2.45 )</f>
        <v>0.16933510251023262</v>
      </c>
      <c r="O353" s="159">
        <f>IF( OR( ISBLANK(I353),ISBLANK(J353), ISBLANK(K353), ISBLANK(L353), ISBLANK(M353) ), "", 1.5*SQRT( EXP(2.21*(I353-1)) + EXP(2.21*(J353-1)) + EXP(2.21*(K353-1)) + EXP(2.21*(L353-1)) + EXP(2.21*M353)   )/100*2.45 )</f>
        <v>0.19908580854301616</v>
      </c>
      <c r="P353" s="34" t="s">
        <v>835</v>
      </c>
    </row>
    <row r="354" spans="1:16">
      <c r="A354" s="59" t="s">
        <v>432</v>
      </c>
      <c r="B354" s="336" t="s">
        <v>430</v>
      </c>
      <c r="C354" s="34" t="s">
        <v>139</v>
      </c>
      <c r="D354" s="40" t="s">
        <v>99</v>
      </c>
      <c r="E354" s="237" t="s">
        <v>150</v>
      </c>
      <c r="F354" s="40">
        <v>1</v>
      </c>
      <c r="G354" s="34" t="s">
        <v>412</v>
      </c>
      <c r="H354" s="29"/>
      <c r="I354" s="9"/>
      <c r="J354" s="9"/>
      <c r="K354" s="9"/>
      <c r="L354" s="9"/>
      <c r="M354" s="9"/>
      <c r="N354" s="185" t="str">
        <f>IF( OR( ISBLANK(H354),ISBLANK(J354), ISBLANK(K354), ISBLANK(L354), ISBLANK(M354) ), "", 1.5*SQRT(   EXP(2.21*(H354-1)) + EXP(2.21*(J354-1)) + EXP(2.21*(K354-1)) + EXP(2.21*(L354-1)) + EXP(2.21*M354)   )/100*2.45 )</f>
        <v/>
      </c>
      <c r="O354" s="159" t="str">
        <f>IF( OR( ISBLANK(I354),ISBLANK(J354), ISBLANK(K354), ISBLANK(L354), ISBLANK(M354) ), "", 1.5*SQRT( EXP(2.21*(I354-1)) + EXP(2.21*(J354-1)) + EXP(2.21*(K354-1)) + EXP(2.21*(L354-1)) + EXP(2.21*M354)   )/100*2.45 )</f>
        <v/>
      </c>
      <c r="P354" s="34" t="s">
        <v>1917</v>
      </c>
    </row>
    <row r="355" spans="1:16">
      <c r="A355" s="59" t="s">
        <v>430</v>
      </c>
      <c r="B355" s="336" t="s">
        <v>327</v>
      </c>
      <c r="C355" s="34" t="s">
        <v>139</v>
      </c>
      <c r="D355" s="40" t="s">
        <v>99</v>
      </c>
      <c r="E355" s="237" t="s">
        <v>150</v>
      </c>
      <c r="F355" s="40">
        <v>1</v>
      </c>
      <c r="G355" s="34" t="s">
        <v>412</v>
      </c>
      <c r="H355" s="29"/>
      <c r="I355" s="9"/>
      <c r="J355" s="9"/>
      <c r="K355" s="9"/>
      <c r="L355" s="9"/>
      <c r="M355" s="9"/>
      <c r="N355" s="185" t="str">
        <f>IF( OR( ISBLANK(H355),ISBLANK(J355), ISBLANK(K355), ISBLANK(L355), ISBLANK(M355) ), "", 1.5*SQRT(   EXP(2.21*(H355-1)) + EXP(2.21*(J355-1)) + EXP(2.21*(K355-1)) + EXP(2.21*(L355-1)) + EXP(2.21*M355)   )/100*2.45 )</f>
        <v/>
      </c>
      <c r="O355" s="159" t="str">
        <f>IF( OR( ISBLANK(I355),ISBLANK(J355), ISBLANK(K355), ISBLANK(L355), ISBLANK(M355) ), "", 1.5*SQRT( EXP(2.21*(I355-1)) + EXP(2.21*(J355-1)) + EXP(2.21*(K355-1)) + EXP(2.21*(L355-1)) + EXP(2.21*M355)   )/100*2.45 )</f>
        <v/>
      </c>
      <c r="P355" s="34" t="s">
        <v>1918</v>
      </c>
    </row>
    <row r="356" spans="1:16">
      <c r="A356" s="59" t="s">
        <v>430</v>
      </c>
      <c r="B356" s="336" t="s">
        <v>228</v>
      </c>
      <c r="C356" s="34" t="s">
        <v>139</v>
      </c>
      <c r="D356" s="40" t="s">
        <v>99</v>
      </c>
      <c r="E356" s="237">
        <v>0</v>
      </c>
      <c r="F356" s="40">
        <v>2</v>
      </c>
      <c r="G356" s="34" t="s">
        <v>412</v>
      </c>
      <c r="H356" s="29">
        <v>1</v>
      </c>
      <c r="I356" s="9">
        <v>2</v>
      </c>
      <c r="J356" s="9">
        <v>2</v>
      </c>
      <c r="K356" s="9">
        <v>1</v>
      </c>
      <c r="L356" s="9">
        <v>1</v>
      </c>
      <c r="M356" s="9">
        <v>1</v>
      </c>
      <c r="N356" s="185">
        <f>IF( OR( ISBLANK(H356),ISBLANK(J356), ISBLANK(K356), ISBLANK(L356), ISBLANK(M356) ), "", 1.5*SQRT(   EXP(2.21*(H356-1)) + EXP(2.21*(J356-1)) + EXP(2.21*(K356-1)) + EXP(2.21*(L356-1)) + EXP(2.21*M356)   )/100*2.45 )</f>
        <v>0.16933510251023262</v>
      </c>
      <c r="O356" s="159">
        <f>IF( OR( ISBLANK(I356),ISBLANK(J356), ISBLANK(K356), ISBLANK(L356), ISBLANK(M356) ), "", 1.5*SQRT( EXP(2.21*(I356-1)) + EXP(2.21*(J356-1)) + EXP(2.21*(K356-1)) + EXP(2.21*(L356-1)) + EXP(2.21*M356)   )/100*2.45 )</f>
        <v>0.19908580854301616</v>
      </c>
      <c r="P356" s="34" t="s">
        <v>837</v>
      </c>
    </row>
    <row r="357" spans="1:16">
      <c r="A357" s="59" t="s">
        <v>435</v>
      </c>
      <c r="B357" s="336" t="s">
        <v>228</v>
      </c>
      <c r="C357" s="34" t="s">
        <v>139</v>
      </c>
      <c r="D357" s="40" t="s">
        <v>99</v>
      </c>
      <c r="E357" s="237">
        <v>1</v>
      </c>
      <c r="F357" s="40">
        <v>2</v>
      </c>
      <c r="G357" s="34" t="s">
        <v>412</v>
      </c>
      <c r="H357" s="29">
        <v>1</v>
      </c>
      <c r="I357" s="9">
        <v>2</v>
      </c>
      <c r="J357" s="9">
        <v>2</v>
      </c>
      <c r="K357" s="9">
        <v>1</v>
      </c>
      <c r="L357" s="9">
        <v>1</v>
      </c>
      <c r="M357" s="9">
        <v>1</v>
      </c>
      <c r="N357" s="185">
        <f>IF( OR( ISBLANK(H357),ISBLANK(J357), ISBLANK(K357), ISBLANK(L357), ISBLANK(M357) ), "", 1.5*SQRT(   EXP(2.21*(H357-1)) + EXP(2.21*(J357-1)) + EXP(2.21*(K357-1)) + EXP(2.21*(L357-1)) + EXP(2.21*M357)   )/100*2.45 )</f>
        <v>0.16933510251023262</v>
      </c>
      <c r="O357" s="159">
        <f>IF( OR( ISBLANK(I357),ISBLANK(J357), ISBLANK(K357), ISBLANK(L357), ISBLANK(M357) ), "", 1.5*SQRT( EXP(2.21*(I357-1)) + EXP(2.21*(J357-1)) + EXP(2.21*(K357-1)) + EXP(2.21*(L357-1)) + EXP(2.21*M357)   )/100*2.45 )</f>
        <v>0.19908580854301616</v>
      </c>
      <c r="P357" s="34" t="s">
        <v>836</v>
      </c>
    </row>
    <row r="358" spans="1:16">
      <c r="A358" s="59" t="s">
        <v>431</v>
      </c>
      <c r="B358" s="336" t="s">
        <v>434</v>
      </c>
      <c r="C358" s="34" t="s">
        <v>139</v>
      </c>
      <c r="D358" s="40" t="s">
        <v>99</v>
      </c>
      <c r="E358" s="237">
        <v>0.03</v>
      </c>
      <c r="F358" s="40">
        <v>2</v>
      </c>
      <c r="G358" s="34" t="s">
        <v>412</v>
      </c>
      <c r="H358" s="29">
        <v>1</v>
      </c>
      <c r="I358" s="9">
        <v>2</v>
      </c>
      <c r="J358" s="9">
        <v>2</v>
      </c>
      <c r="K358" s="9">
        <v>1</v>
      </c>
      <c r="L358" s="9">
        <v>1</v>
      </c>
      <c r="M358" s="9">
        <v>1</v>
      </c>
      <c r="N358" s="185">
        <f>IF( OR( ISBLANK(H358),ISBLANK(J358), ISBLANK(K358), ISBLANK(L358), ISBLANK(M358) ), "", 1.5*SQRT(   EXP(2.21*(H358-1)) + EXP(2.21*(J358-1)) + EXP(2.21*(K358-1)) + EXP(2.21*(L358-1)) + EXP(2.21*M358)   )/100*2.45 )</f>
        <v>0.16933510251023262</v>
      </c>
      <c r="O358" s="159">
        <f>IF( OR( ISBLANK(I358),ISBLANK(J358), ISBLANK(K358), ISBLANK(L358), ISBLANK(M358) ), "", 1.5*SQRT( EXP(2.21*(I358-1)) + EXP(2.21*(J358-1)) + EXP(2.21*(K358-1)) + EXP(2.21*(L358-1)) + EXP(2.21*M358)   )/100*2.45 )</f>
        <v>0.19908580854301616</v>
      </c>
      <c r="P358" s="34" t="s">
        <v>834</v>
      </c>
    </row>
    <row r="359" spans="1:16">
      <c r="A359" s="59" t="s">
        <v>431</v>
      </c>
      <c r="B359" s="336" t="s">
        <v>433</v>
      </c>
      <c r="C359" s="34" t="s">
        <v>139</v>
      </c>
      <c r="D359" s="40" t="s">
        <v>99</v>
      </c>
      <c r="E359" s="237" t="s">
        <v>150</v>
      </c>
      <c r="F359" s="40">
        <v>1</v>
      </c>
      <c r="G359" s="34" t="s">
        <v>412</v>
      </c>
      <c r="H359" s="29"/>
      <c r="I359" s="9"/>
      <c r="J359" s="9"/>
      <c r="K359" s="9"/>
      <c r="L359" s="9"/>
      <c r="M359" s="9"/>
      <c r="N359" s="185" t="str">
        <f>IF( OR( ISBLANK(H359),ISBLANK(J359), ISBLANK(K359), ISBLANK(L359), ISBLANK(M359) ), "", 1.5*SQRT(   EXP(2.21*(H359-1)) + EXP(2.21*(J359-1)) + EXP(2.21*(K359-1)) + EXP(2.21*(L359-1)) + EXP(2.21*M359)   )/100*2.45 )</f>
        <v/>
      </c>
      <c r="O359" s="159" t="str">
        <f>IF( OR( ISBLANK(I359),ISBLANK(J359), ISBLANK(K359), ISBLANK(L359), ISBLANK(M359) ), "", 1.5*SQRT( EXP(2.21*(I359-1)) + EXP(2.21*(J359-1)) + EXP(2.21*(K359-1)) + EXP(2.21*(L359-1)) + EXP(2.21*M359)   )/100*2.45 )</f>
        <v/>
      </c>
      <c r="P359" s="34"/>
    </row>
    <row r="360" spans="1:16">
      <c r="A360" s="59" t="s">
        <v>433</v>
      </c>
      <c r="B360" s="336" t="s">
        <v>327</v>
      </c>
      <c r="C360" s="34" t="s">
        <v>139</v>
      </c>
      <c r="D360" s="40" t="s">
        <v>99</v>
      </c>
      <c r="E360" s="237" t="s">
        <v>150</v>
      </c>
      <c r="F360" s="40">
        <v>1</v>
      </c>
      <c r="G360" s="34" t="s">
        <v>412</v>
      </c>
      <c r="H360" s="29"/>
      <c r="I360" s="9"/>
      <c r="J360" s="9"/>
      <c r="K360" s="9"/>
      <c r="L360" s="9"/>
      <c r="M360" s="9"/>
      <c r="N360" s="185" t="str">
        <f>IF( OR( ISBLANK(H360),ISBLANK(J360), ISBLANK(K360), ISBLANK(L360), ISBLANK(M360) ), "", 1.5*SQRT(   EXP(2.21*(H360-1)) + EXP(2.21*(J360-1)) + EXP(2.21*(K360-1)) + EXP(2.21*(L360-1)) + EXP(2.21*M360)   )/100*2.45 )</f>
        <v/>
      </c>
      <c r="O360" s="159" t="str">
        <f>IF( OR( ISBLANK(I360),ISBLANK(J360), ISBLANK(K360), ISBLANK(L360), ISBLANK(M360) ), "", 1.5*SQRT( EXP(2.21*(I360-1)) + EXP(2.21*(J360-1)) + EXP(2.21*(K360-1)) + EXP(2.21*(L360-1)) + EXP(2.21*M360)   )/100*2.45 )</f>
        <v/>
      </c>
      <c r="P360" s="34"/>
    </row>
    <row r="361" spans="1:16">
      <c r="A361" s="59" t="s">
        <v>433</v>
      </c>
      <c r="B361" s="336" t="s">
        <v>231</v>
      </c>
      <c r="C361" s="34" t="s">
        <v>139</v>
      </c>
      <c r="D361" s="40" t="s">
        <v>99</v>
      </c>
      <c r="E361" s="237">
        <v>0</v>
      </c>
      <c r="F361" s="40">
        <v>2</v>
      </c>
      <c r="G361" s="34" t="s">
        <v>412</v>
      </c>
      <c r="H361" s="29">
        <v>1</v>
      </c>
      <c r="I361" s="9">
        <v>2</v>
      </c>
      <c r="J361" s="9">
        <v>2</v>
      </c>
      <c r="K361" s="9">
        <v>1</v>
      </c>
      <c r="L361" s="9">
        <v>1</v>
      </c>
      <c r="M361" s="9">
        <v>1</v>
      </c>
      <c r="N361" s="185">
        <f>IF( OR( ISBLANK(H361),ISBLANK(J361), ISBLANK(K361), ISBLANK(L361), ISBLANK(M361) ), "", 1.5*SQRT(   EXP(2.21*(H361-1)) + EXP(2.21*(J361-1)) + EXP(2.21*(K361-1)) + EXP(2.21*(L361-1)) + EXP(2.21*M361)   )/100*2.45 )</f>
        <v>0.16933510251023262</v>
      </c>
      <c r="O361" s="159">
        <f>IF( OR( ISBLANK(I361),ISBLANK(J361), ISBLANK(K361), ISBLANK(L361), ISBLANK(M361) ), "", 1.5*SQRT( EXP(2.21*(I361-1)) + EXP(2.21*(J361-1)) + EXP(2.21*(K361-1)) + EXP(2.21*(L361-1)) + EXP(2.21*M361)   )/100*2.45 )</f>
        <v>0.19908580854301616</v>
      </c>
      <c r="P361" s="34" t="s">
        <v>1958</v>
      </c>
    </row>
    <row r="362" spans="1:16">
      <c r="A362" s="59" t="s">
        <v>433</v>
      </c>
      <c r="B362" s="336" t="s">
        <v>232</v>
      </c>
      <c r="C362" s="34" t="s">
        <v>139</v>
      </c>
      <c r="D362" s="40" t="s">
        <v>99</v>
      </c>
      <c r="E362" s="237">
        <v>0</v>
      </c>
      <c r="F362" s="40">
        <v>2</v>
      </c>
      <c r="G362" s="34" t="s">
        <v>412</v>
      </c>
      <c r="H362" s="29">
        <v>1</v>
      </c>
      <c r="I362" s="9">
        <v>2</v>
      </c>
      <c r="J362" s="9">
        <v>2</v>
      </c>
      <c r="K362" s="9">
        <v>1</v>
      </c>
      <c r="L362" s="9">
        <v>1</v>
      </c>
      <c r="M362" s="9">
        <v>1</v>
      </c>
      <c r="N362" s="185">
        <f>IF( OR( ISBLANK(H362),ISBLANK(J362), ISBLANK(K362), ISBLANK(L362), ISBLANK(M362) ), "", 1.5*SQRT(   EXP(2.21*(H362-1)) + EXP(2.21*(J362-1)) + EXP(2.21*(K362-1)) + EXP(2.21*(L362-1)) + EXP(2.21*M362)   )/100*2.45 )</f>
        <v>0.16933510251023262</v>
      </c>
      <c r="O362" s="159">
        <f>IF( OR( ISBLANK(I362),ISBLANK(J362), ISBLANK(K362), ISBLANK(L362), ISBLANK(M362) ), "", 1.5*SQRT( EXP(2.21*(I362-1)) + EXP(2.21*(J362-1)) + EXP(2.21*(K362-1)) + EXP(2.21*(L362-1)) + EXP(2.21*M362)   )/100*2.45 )</f>
        <v>0.19908580854301616</v>
      </c>
      <c r="P362" s="34" t="s">
        <v>1958</v>
      </c>
    </row>
    <row r="363" spans="1:16">
      <c r="A363" s="59" t="s">
        <v>433</v>
      </c>
      <c r="B363" s="336" t="s">
        <v>251</v>
      </c>
      <c r="C363" s="34" t="s">
        <v>139</v>
      </c>
      <c r="D363" s="40" t="s">
        <v>99</v>
      </c>
      <c r="E363" s="237">
        <v>0</v>
      </c>
      <c r="F363" s="40">
        <v>2</v>
      </c>
      <c r="G363" s="34" t="s">
        <v>412</v>
      </c>
      <c r="H363" s="29">
        <v>1</v>
      </c>
      <c r="I363" s="9">
        <v>2</v>
      </c>
      <c r="J363" s="9">
        <v>2</v>
      </c>
      <c r="K363" s="9">
        <v>1</v>
      </c>
      <c r="L363" s="9">
        <v>1</v>
      </c>
      <c r="M363" s="9">
        <v>1</v>
      </c>
      <c r="N363" s="185">
        <f>IF( OR( ISBLANK(H363),ISBLANK(J363), ISBLANK(K363), ISBLANK(L363), ISBLANK(M363) ), "", 1.5*SQRT(   EXP(2.21*(H363-1)) + EXP(2.21*(J363-1)) + EXP(2.21*(K363-1)) + EXP(2.21*(L363-1)) + EXP(2.21*M363)   )/100*2.45 )</f>
        <v>0.16933510251023262</v>
      </c>
      <c r="O363" s="159">
        <f>IF( OR( ISBLANK(I363),ISBLANK(J363), ISBLANK(K363), ISBLANK(L363), ISBLANK(M363) ), "", 1.5*SQRT( EXP(2.21*(I363-1)) + EXP(2.21*(J363-1)) + EXP(2.21*(K363-1)) + EXP(2.21*(L363-1)) + EXP(2.21*M363)   )/100*2.45 )</f>
        <v>0.19908580854301616</v>
      </c>
      <c r="P363" s="34" t="s">
        <v>1958</v>
      </c>
    </row>
    <row r="364" spans="1:16">
      <c r="A364" s="59" t="s">
        <v>433</v>
      </c>
      <c r="B364" s="336" t="s">
        <v>258</v>
      </c>
      <c r="C364" s="34" t="s">
        <v>139</v>
      </c>
      <c r="D364" s="40" t="s">
        <v>99</v>
      </c>
      <c r="E364" s="237">
        <v>0</v>
      </c>
      <c r="F364" s="40">
        <v>2</v>
      </c>
      <c r="G364" s="34" t="s">
        <v>412</v>
      </c>
      <c r="H364" s="29">
        <v>1</v>
      </c>
      <c r="I364" s="9">
        <v>2</v>
      </c>
      <c r="J364" s="9">
        <v>2</v>
      </c>
      <c r="K364" s="9">
        <v>1</v>
      </c>
      <c r="L364" s="9">
        <v>1</v>
      </c>
      <c r="M364" s="9">
        <v>1</v>
      </c>
      <c r="N364" s="185">
        <f>IF( OR( ISBLANK(H364),ISBLANK(J364), ISBLANK(K364), ISBLANK(L364), ISBLANK(M364) ), "", 1.5*SQRT(   EXP(2.21*(H364-1)) + EXP(2.21*(J364-1)) + EXP(2.21*(K364-1)) + EXP(2.21*(L364-1)) + EXP(2.21*M364)   )/100*2.45 )</f>
        <v>0.16933510251023262</v>
      </c>
      <c r="O364" s="159">
        <f>IF( OR( ISBLANK(I364),ISBLANK(J364), ISBLANK(K364), ISBLANK(L364), ISBLANK(M364) ), "", 1.5*SQRT( EXP(2.21*(I364-1)) + EXP(2.21*(J364-1)) + EXP(2.21*(K364-1)) + EXP(2.21*(L364-1)) + EXP(2.21*M364)   )/100*2.45 )</f>
        <v>0.19908580854301616</v>
      </c>
      <c r="P364" s="34" t="s">
        <v>1958</v>
      </c>
    </row>
    <row r="365" spans="1:16">
      <c r="A365" s="59" t="s">
        <v>434</v>
      </c>
      <c r="B365" s="336" t="s">
        <v>231</v>
      </c>
      <c r="C365" s="34" t="s">
        <v>139</v>
      </c>
      <c r="D365" s="40" t="s">
        <v>99</v>
      </c>
      <c r="E365" s="237">
        <v>0.05</v>
      </c>
      <c r="F365" s="40">
        <v>2</v>
      </c>
      <c r="G365" s="34" t="s">
        <v>157</v>
      </c>
      <c r="H365" s="29">
        <v>1</v>
      </c>
      <c r="I365" s="9">
        <v>2</v>
      </c>
      <c r="J365" s="9">
        <v>2</v>
      </c>
      <c r="K365" s="9">
        <v>1</v>
      </c>
      <c r="L365" s="9">
        <v>3</v>
      </c>
      <c r="M365" s="9">
        <v>3</v>
      </c>
      <c r="N365" s="185">
        <f>IF( OR( ISBLANK(H365),ISBLANK(J365), ISBLANK(K365), ISBLANK(L365), ISBLANK(M365) ), "", 1.5*SQRT(   EXP(2.21*(H365-1)) + EXP(2.21*(J365-1)) + EXP(2.21*(K365-1)) + EXP(2.21*(L365-1)) + EXP(2.21*M365)   )/100*2.45 )</f>
        <v>1.0725046436742278</v>
      </c>
      <c r="O365" s="159">
        <f>IF( OR( ISBLANK(I365),ISBLANK(J365), ISBLANK(K365), ISBLANK(L365), ISBLANK(M365) ), "", 1.5*SQRT( EXP(2.21*(I365-1)) + EXP(2.21*(J365-1)) + EXP(2.21*(K365-1)) + EXP(2.21*(L365-1)) + EXP(2.21*M365)   )/100*2.45 )</f>
        <v>1.0776024280428556</v>
      </c>
      <c r="P365" s="34" t="s">
        <v>1916</v>
      </c>
    </row>
    <row r="366" spans="1:16">
      <c r="A366" s="59" t="s">
        <v>434</v>
      </c>
      <c r="B366" s="336" t="s">
        <v>232</v>
      </c>
      <c r="C366" s="34" t="s">
        <v>139</v>
      </c>
      <c r="D366" s="40" t="s">
        <v>99</v>
      </c>
      <c r="E366" s="237">
        <v>0.39400000000000002</v>
      </c>
      <c r="F366" s="40">
        <v>2</v>
      </c>
      <c r="G366" s="34" t="s">
        <v>412</v>
      </c>
      <c r="H366" s="29">
        <v>1</v>
      </c>
      <c r="I366" s="9">
        <v>2</v>
      </c>
      <c r="J366" s="9">
        <v>2</v>
      </c>
      <c r="K366" s="9">
        <v>1</v>
      </c>
      <c r="L366" s="9">
        <v>1</v>
      </c>
      <c r="M366" s="9">
        <v>1</v>
      </c>
      <c r="N366" s="185">
        <f>IF( OR( ISBLANK(H366),ISBLANK(J366), ISBLANK(K366), ISBLANK(L366), ISBLANK(M366) ), "", 1.5*SQRT(   EXP(2.21*(H366-1)) + EXP(2.21*(J366-1)) + EXP(2.21*(K366-1)) + EXP(2.21*(L366-1)) + EXP(2.21*M366)   )/100*2.45 )</f>
        <v>0.16933510251023262</v>
      </c>
      <c r="O366" s="159">
        <f>IF( OR( ISBLANK(I366),ISBLANK(J366), ISBLANK(K366), ISBLANK(L366), ISBLANK(M366) ), "", 1.5*SQRT( EXP(2.21*(I366-1)) + EXP(2.21*(J366-1)) + EXP(2.21*(K366-1)) + EXP(2.21*(L366-1)) + EXP(2.21*M366)   )/100*2.45 )</f>
        <v>0.19908580854301616</v>
      </c>
      <c r="P366" s="34" t="s">
        <v>1940</v>
      </c>
    </row>
    <row r="367" spans="1:16">
      <c r="A367" s="59" t="s">
        <v>434</v>
      </c>
      <c r="B367" s="336" t="s">
        <v>251</v>
      </c>
      <c r="C367" s="34" t="s">
        <v>139</v>
      </c>
      <c r="D367" s="40" t="s">
        <v>99</v>
      </c>
      <c r="E367" s="237">
        <v>0.52200000000000002</v>
      </c>
      <c r="F367" s="40">
        <v>1</v>
      </c>
      <c r="G367" s="34" t="s">
        <v>412</v>
      </c>
      <c r="H367" s="29">
        <v>1</v>
      </c>
      <c r="I367" s="9">
        <v>2</v>
      </c>
      <c r="J367" s="9">
        <v>2</v>
      </c>
      <c r="K367" s="9">
        <v>1</v>
      </c>
      <c r="L367" s="9">
        <v>1</v>
      </c>
      <c r="M367" s="9">
        <v>1</v>
      </c>
      <c r="N367" s="185">
        <f>IF( OR( ISBLANK(H367),ISBLANK(J367), ISBLANK(K367), ISBLANK(L367), ISBLANK(M367) ), "", 1.5*SQRT(   EXP(2.21*(H367-1)) + EXP(2.21*(J367-1)) + EXP(2.21*(K367-1)) + EXP(2.21*(L367-1)) + EXP(2.21*M367)   )/100*2.45 )</f>
        <v>0.16933510251023262</v>
      </c>
      <c r="O367" s="159">
        <f>IF( OR( ISBLANK(I367),ISBLANK(J367), ISBLANK(K367), ISBLANK(L367), ISBLANK(M367) ), "", 1.5*SQRT( EXP(2.21*(I367-1)) + EXP(2.21*(J367-1)) + EXP(2.21*(K367-1)) + EXP(2.21*(L367-1)) + EXP(2.21*M367)   )/100*2.45 )</f>
        <v>0.19908580854301616</v>
      </c>
      <c r="P367" s="34" t="s">
        <v>1941</v>
      </c>
    </row>
    <row r="368" spans="1:16">
      <c r="A368" s="59" t="s">
        <v>434</v>
      </c>
      <c r="B368" s="336" t="s">
        <v>258</v>
      </c>
      <c r="C368" s="34" t="s">
        <v>139</v>
      </c>
      <c r="D368" s="40" t="s">
        <v>99</v>
      </c>
      <c r="E368" s="237">
        <v>3.4000000000000002E-2</v>
      </c>
      <c r="F368" s="40">
        <v>2</v>
      </c>
      <c r="G368" s="34" t="s">
        <v>412</v>
      </c>
      <c r="H368" s="29">
        <v>1</v>
      </c>
      <c r="I368" s="9">
        <v>2</v>
      </c>
      <c r="J368" s="9">
        <v>2</v>
      </c>
      <c r="K368" s="9">
        <v>1</v>
      </c>
      <c r="L368" s="9">
        <v>1</v>
      </c>
      <c r="M368" s="9">
        <v>1</v>
      </c>
      <c r="N368" s="185">
        <f>IF( OR( ISBLANK(H368),ISBLANK(J368), ISBLANK(K368), ISBLANK(L368), ISBLANK(M368) ), "", 1.5*SQRT(   EXP(2.21*(H368-1)) + EXP(2.21*(J368-1)) + EXP(2.21*(K368-1)) + EXP(2.21*(L368-1)) + EXP(2.21*M368)   )/100*2.45 )</f>
        <v>0.16933510251023262</v>
      </c>
      <c r="O368" s="159">
        <f>IF( OR( ISBLANK(I368),ISBLANK(J368), ISBLANK(K368), ISBLANK(L368), ISBLANK(M368) ), "", 1.5*SQRT( EXP(2.21*(I368-1)) + EXP(2.21*(J368-1)) + EXP(2.21*(K368-1)) + EXP(2.21*(L368-1)) + EXP(2.21*M368)   )/100*2.45 )</f>
        <v>0.19908580854301616</v>
      </c>
      <c r="P368" s="34" t="s">
        <v>1942</v>
      </c>
    </row>
    <row r="369" spans="1:16">
      <c r="A369" s="34" t="s">
        <v>175</v>
      </c>
      <c r="B369" s="40" t="s">
        <v>179</v>
      </c>
      <c r="C369" s="34" t="s">
        <v>139</v>
      </c>
      <c r="D369" s="40" t="s">
        <v>139</v>
      </c>
      <c r="E369" s="237" t="s">
        <v>150</v>
      </c>
      <c r="F369" s="168">
        <v>1</v>
      </c>
      <c r="G369" s="34"/>
      <c r="H369" s="29"/>
      <c r="I369" s="9"/>
      <c r="J369" s="9"/>
      <c r="K369" s="9"/>
      <c r="L369" s="9"/>
      <c r="M369" s="9"/>
      <c r="N369" s="185" t="str">
        <f>IF( OR( ISBLANK(H369),ISBLANK(J369), ISBLANK(K369), ISBLANK(L369), ISBLANK(M369) ), "", 1.5*SQRT(   EXP(2.21*(H369-1)) + EXP(2.21*(J369-1)) + EXP(2.21*(K369-1)) + EXP(2.21*(L369-1)) + EXP(2.21*M369)   )/100*2.45 )</f>
        <v/>
      </c>
      <c r="O369" s="159" t="str">
        <f>IF( OR( ISBLANK(I369),ISBLANK(J369), ISBLANK(K369), ISBLANK(L369), ISBLANK(M369) ), "", 1.5*SQRT( EXP(2.21*(I369-1)) + EXP(2.21*(J369-1)) + EXP(2.21*(K369-1)) + EXP(2.21*(L369-1)) + EXP(2.21*M369)   )/100*2.45 )</f>
        <v/>
      </c>
      <c r="P369" s="34"/>
    </row>
    <row r="370" spans="1:16">
      <c r="A370" s="34" t="s">
        <v>175</v>
      </c>
      <c r="B370" s="40" t="s">
        <v>179</v>
      </c>
      <c r="C370" s="34" t="s">
        <v>139</v>
      </c>
      <c r="D370" s="40" t="s">
        <v>139</v>
      </c>
      <c r="E370" s="34" t="s">
        <v>150</v>
      </c>
      <c r="F370" s="168">
        <v>1</v>
      </c>
      <c r="G370" s="34"/>
      <c r="H370" s="29"/>
      <c r="I370" s="9"/>
      <c r="J370" s="9"/>
      <c r="K370" s="9"/>
      <c r="L370" s="9"/>
      <c r="M370" s="9"/>
      <c r="N370" s="185" t="str">
        <f>IF( OR( ISBLANK(H370),ISBLANK(J370), ISBLANK(K370), ISBLANK(L370), ISBLANK(M370) ), "", 1.5*SQRT(   EXP(2.21*(H370-1)) + EXP(2.21*(J370-1)) + EXP(2.21*(K370-1)) + EXP(2.21*(L370-1)) + EXP(2.21*M370)   )/100*2.45 )</f>
        <v/>
      </c>
      <c r="O370" s="159" t="str">
        <f>IF( OR( ISBLANK(I370),ISBLANK(J370), ISBLANK(K370), ISBLANK(L370), ISBLANK(M370) ), "", 1.5*SQRT( EXP(2.21*(I370-1)) + EXP(2.21*(J370-1)) + EXP(2.21*(K370-1)) + EXP(2.21*(L370-1)) + EXP(2.21*M370)   )/100*2.45 )</f>
        <v/>
      </c>
      <c r="P370" s="973"/>
    </row>
    <row r="371" spans="1:16">
      <c r="A371" s="34" t="s">
        <v>175</v>
      </c>
      <c r="B371" s="40" t="s">
        <v>184</v>
      </c>
      <c r="C371" s="34" t="s">
        <v>139</v>
      </c>
      <c r="D371" s="40" t="s">
        <v>139</v>
      </c>
      <c r="E371" s="237">
        <v>0</v>
      </c>
      <c r="F371" s="168">
        <v>1</v>
      </c>
      <c r="G371" s="34" t="s">
        <v>157</v>
      </c>
      <c r="H371" s="29"/>
      <c r="I371" s="9"/>
      <c r="J371" s="9"/>
      <c r="K371" s="9"/>
      <c r="L371" s="9"/>
      <c r="M371" s="9"/>
      <c r="N371" s="185" t="str">
        <f>IF( OR( ISBLANK(H371),ISBLANK(J371), ISBLANK(K371), ISBLANK(L371), ISBLANK(M371) ), "", 1.5*SQRT(   EXP(2.21*(H371-1)) + EXP(2.21*(J371-1)) + EXP(2.21*(K371-1)) + EXP(2.21*(L371-1)) + EXP(2.21*M371)   )/100*2.45 )</f>
        <v/>
      </c>
      <c r="O371" s="159" t="str">
        <f>IF( OR( ISBLANK(I371),ISBLANK(J371), ISBLANK(K371), ISBLANK(L371), ISBLANK(M371) ), "", 1.5*SQRT( EXP(2.21*(I371-1)) + EXP(2.21*(J371-1)) + EXP(2.21*(K371-1)) + EXP(2.21*(L371-1)) + EXP(2.21*M371)   )/100*2.45 )</f>
        <v/>
      </c>
      <c r="P371" s="34"/>
    </row>
    <row r="372" spans="1:16">
      <c r="A372" s="34" t="s">
        <v>175</v>
      </c>
      <c r="B372" s="40" t="s">
        <v>184</v>
      </c>
      <c r="C372" s="34" t="s">
        <v>139</v>
      </c>
      <c r="D372" s="40" t="s">
        <v>139</v>
      </c>
      <c r="E372" s="34">
        <v>0</v>
      </c>
      <c r="F372" s="168">
        <v>1</v>
      </c>
      <c r="G372" s="34" t="s">
        <v>157</v>
      </c>
      <c r="H372" s="29"/>
      <c r="I372" s="9"/>
      <c r="J372" s="9"/>
      <c r="K372" s="9"/>
      <c r="L372" s="9"/>
      <c r="M372" s="9"/>
      <c r="N372" s="185" t="str">
        <f>IF( OR( ISBLANK(H372),ISBLANK(J372), ISBLANK(K372), ISBLANK(L372), ISBLANK(M372) ), "", 1.5*SQRT(   EXP(2.21*(H372-1)) + EXP(2.21*(J372-1)) + EXP(2.21*(K372-1)) + EXP(2.21*(L372-1)) + EXP(2.21*M372)   )/100*2.45 )</f>
        <v/>
      </c>
      <c r="O372" s="159" t="str">
        <f>IF( OR( ISBLANK(I372),ISBLANK(J372), ISBLANK(K372), ISBLANK(L372), ISBLANK(M372) ), "", 1.5*SQRT( EXP(2.21*(I372-1)) + EXP(2.21*(J372-1)) + EXP(2.21*(K372-1)) + EXP(2.21*(L372-1)) + EXP(2.21*M372)   )/100*2.45 )</f>
        <v/>
      </c>
      <c r="P372" s="973"/>
    </row>
    <row r="373" spans="1:16">
      <c r="A373" s="34" t="s">
        <v>175</v>
      </c>
      <c r="B373" s="40" t="s">
        <v>308</v>
      </c>
      <c r="C373" s="34" t="s">
        <v>139</v>
      </c>
      <c r="D373" s="40" t="s">
        <v>139</v>
      </c>
      <c r="E373" s="237">
        <v>1.2999999999999999E-3</v>
      </c>
      <c r="F373" s="168">
        <v>2</v>
      </c>
      <c r="G373" s="34" t="s">
        <v>177</v>
      </c>
      <c r="H373" s="29">
        <v>2</v>
      </c>
      <c r="I373" s="9">
        <v>2</v>
      </c>
      <c r="J373" s="9">
        <v>2</v>
      </c>
      <c r="K373" s="9">
        <v>3</v>
      </c>
      <c r="L373" s="9">
        <v>2</v>
      </c>
      <c r="M373" s="9">
        <v>2</v>
      </c>
      <c r="N373" s="185">
        <f>IF( OR( ISBLANK(H373),ISBLANK(J373), ISBLANK(K373), ISBLANK(L373), ISBLANK(M373) ), "", 1.5*SQRT(   EXP(2.21*(H373-1)) + EXP(2.21*(J373-1)) + EXP(2.21*(K373-1)) + EXP(2.21*(L373-1)) + EXP(2.21*M373)   )/100*2.45 )</f>
        <v>0.51126068492676302</v>
      </c>
      <c r="O373" s="159">
        <f>IF( OR( ISBLANK(I373),ISBLANK(J373), ISBLANK(K373), ISBLANK(L373), ISBLANK(M373) ), "", 1.5*SQRT( EXP(2.21*(I373-1)) + EXP(2.21*(J373-1)) + EXP(2.21*(K373-1)) + EXP(2.21*(L373-1)) + EXP(2.21*M373)   )/100*2.45 )</f>
        <v>0.51126068492676302</v>
      </c>
      <c r="P373" s="34"/>
    </row>
    <row r="374" spans="1:16">
      <c r="A374" s="34" t="s">
        <v>175</v>
      </c>
      <c r="B374" s="40" t="s">
        <v>308</v>
      </c>
      <c r="C374" s="34" t="s">
        <v>139</v>
      </c>
      <c r="D374" s="40" t="s">
        <v>139</v>
      </c>
      <c r="E374" s="237">
        <v>1.47E-2</v>
      </c>
      <c r="F374" s="168">
        <v>2</v>
      </c>
      <c r="G374" s="34" t="s">
        <v>310</v>
      </c>
      <c r="H374" s="29">
        <v>2</v>
      </c>
      <c r="I374" s="9">
        <v>2</v>
      </c>
      <c r="J374" s="9">
        <v>2</v>
      </c>
      <c r="K374" s="9">
        <v>3</v>
      </c>
      <c r="L374" s="9">
        <v>2</v>
      </c>
      <c r="M374" s="9">
        <v>2</v>
      </c>
      <c r="N374" s="185">
        <f>IF( OR( ISBLANK(H374),ISBLANK(J374), ISBLANK(K374), ISBLANK(L374), ISBLANK(M374) ), "", 1.5*SQRT(   EXP(2.21*(H374-1)) + EXP(2.21*(J374-1)) + EXP(2.21*(K374-1)) + EXP(2.21*(L374-1)) + EXP(2.21*M374)   )/100*2.45 )</f>
        <v>0.51126068492676302</v>
      </c>
      <c r="O374" s="159">
        <f>IF( OR( ISBLANK(I374),ISBLANK(J374), ISBLANK(K374), ISBLANK(L374), ISBLANK(M374) ), "", 1.5*SQRT( EXP(2.21*(I374-1)) + EXP(2.21*(J374-1)) + EXP(2.21*(K374-1)) + EXP(2.21*(L374-1)) + EXP(2.21*M374)   )/100*2.45 )</f>
        <v>0.51126068492676302</v>
      </c>
      <c r="P374" s="34"/>
    </row>
    <row r="375" spans="1:16">
      <c r="A375" s="34" t="s">
        <v>175</v>
      </c>
      <c r="B375" s="40" t="s">
        <v>308</v>
      </c>
      <c r="C375" s="34" t="s">
        <v>139</v>
      </c>
      <c r="D375" s="40" t="s">
        <v>139</v>
      </c>
      <c r="E375" s="34">
        <v>1.2999999999999999E-3</v>
      </c>
      <c r="F375" s="168">
        <v>2</v>
      </c>
      <c r="G375" s="34" t="s">
        <v>311</v>
      </c>
      <c r="H375" s="29">
        <v>2</v>
      </c>
      <c r="I375" s="9">
        <v>2</v>
      </c>
      <c r="J375" s="9">
        <v>2</v>
      </c>
      <c r="K375" s="9">
        <v>3</v>
      </c>
      <c r="L375" s="9">
        <v>2</v>
      </c>
      <c r="M375" s="9">
        <v>2</v>
      </c>
      <c r="N375" s="185">
        <f>IF( OR( ISBLANK(H375),ISBLANK(J375), ISBLANK(K375), ISBLANK(L375), ISBLANK(M375) ), "", 1.5*SQRT(   EXP(2.21*(H375-1)) + EXP(2.21*(J375-1)) + EXP(2.21*(K375-1)) + EXP(2.21*(L375-1)) + EXP(2.21*M375)   )/100*2.45 )</f>
        <v>0.51126068492676302</v>
      </c>
      <c r="O375" s="159">
        <f>IF( OR( ISBLANK(I375),ISBLANK(J375), ISBLANK(K375), ISBLANK(L375), ISBLANK(M375) ), "", 1.5*SQRT( EXP(2.21*(I375-1)) + EXP(2.21*(J375-1)) + EXP(2.21*(K375-1)) + EXP(2.21*(L375-1)) + EXP(2.21*M375)   )/100*2.45 )</f>
        <v>0.51126068492676302</v>
      </c>
      <c r="P375" s="973"/>
    </row>
    <row r="376" spans="1:16">
      <c r="A376" s="34" t="s">
        <v>175</v>
      </c>
      <c r="B376" s="40" t="s">
        <v>308</v>
      </c>
      <c r="C376" s="34" t="s">
        <v>139</v>
      </c>
      <c r="D376" s="40" t="s">
        <v>139</v>
      </c>
      <c r="E376" s="34">
        <v>1.47E-2</v>
      </c>
      <c r="F376" s="168">
        <v>2</v>
      </c>
      <c r="G376" s="34" t="s">
        <v>312</v>
      </c>
      <c r="H376" s="29">
        <v>2</v>
      </c>
      <c r="I376" s="9">
        <v>2</v>
      </c>
      <c r="J376" s="9">
        <v>2</v>
      </c>
      <c r="K376" s="9">
        <v>3</v>
      </c>
      <c r="L376" s="9">
        <v>2</v>
      </c>
      <c r="M376" s="9">
        <v>2</v>
      </c>
      <c r="N376" s="185">
        <f>IF( OR( ISBLANK(H376),ISBLANK(J376), ISBLANK(K376), ISBLANK(L376), ISBLANK(M376) ), "", 1.5*SQRT(   EXP(2.21*(H376-1)) + EXP(2.21*(J376-1)) + EXP(2.21*(K376-1)) + EXP(2.21*(L376-1)) + EXP(2.21*M376)   )/100*2.45 )</f>
        <v>0.51126068492676302</v>
      </c>
      <c r="O376" s="159">
        <f>IF( OR( ISBLANK(I376),ISBLANK(J376), ISBLANK(K376), ISBLANK(L376), ISBLANK(M376) ), "", 1.5*SQRT( EXP(2.21*(I376-1)) + EXP(2.21*(J376-1)) + EXP(2.21*(K376-1)) + EXP(2.21*(L376-1)) + EXP(2.21*M376)   )/100*2.45 )</f>
        <v>0.51126068492676302</v>
      </c>
      <c r="P376" s="973"/>
    </row>
    <row r="377" spans="1:16">
      <c r="A377" s="34" t="s">
        <v>200</v>
      </c>
      <c r="B377" s="40" t="s">
        <v>167</v>
      </c>
      <c r="C377" s="34" t="s">
        <v>139</v>
      </c>
      <c r="D377" s="40" t="s">
        <v>139</v>
      </c>
      <c r="E377" s="237">
        <v>3.5000000000000003E-2</v>
      </c>
      <c r="F377" s="168">
        <v>2</v>
      </c>
      <c r="G377" s="34" t="s">
        <v>199</v>
      </c>
      <c r="H377" s="29">
        <v>1</v>
      </c>
      <c r="I377" s="9"/>
      <c r="J377" s="9">
        <v>3</v>
      </c>
      <c r="K377" s="9">
        <v>3</v>
      </c>
      <c r="L377" s="9">
        <v>3</v>
      </c>
      <c r="M377" s="9">
        <v>2</v>
      </c>
      <c r="N377" s="185">
        <f>IF( OR( ISBLANK(H377),ISBLANK(J377), ISBLANK(K377), ISBLANK(L377), ISBLANK(M377) ), "", 1.5*SQRT(   EXP(2.21*(H377-1)) + EXP(2.21*(J377-1)) + EXP(2.21*(K377-1)) + EXP(2.21*(L377-1)) + EXP(2.21*M377)   )/100*2.45 )</f>
        <v>0.67101227267249941</v>
      </c>
      <c r="O377" s="159" t="str">
        <f>IF( OR( ISBLANK(I377),ISBLANK(J377), ISBLANK(K377), ISBLANK(L377), ISBLANK(M377) ), "", 1.5*SQRT( EXP(2.21*(I377-1)) + EXP(2.21*(J377-1)) + EXP(2.21*(K377-1)) + EXP(2.21*(L377-1)) + EXP(2.21*M377)   )/100*2.45 )</f>
        <v/>
      </c>
      <c r="P377" s="34"/>
    </row>
    <row r="378" spans="1:16">
      <c r="A378" s="34" t="s">
        <v>200</v>
      </c>
      <c r="B378" s="40" t="s">
        <v>204</v>
      </c>
      <c r="C378" s="34" t="s">
        <v>139</v>
      </c>
      <c r="D378" s="40" t="s">
        <v>139</v>
      </c>
      <c r="E378" s="237">
        <v>2.7E-4</v>
      </c>
      <c r="F378" s="168">
        <v>2</v>
      </c>
      <c r="G378" s="34" t="s">
        <v>205</v>
      </c>
      <c r="H378" s="29">
        <v>1</v>
      </c>
      <c r="I378" s="9">
        <v>2</v>
      </c>
      <c r="J378" s="9">
        <v>1</v>
      </c>
      <c r="K378" s="9">
        <v>3</v>
      </c>
      <c r="L378" s="9">
        <v>3</v>
      </c>
      <c r="M378" s="9">
        <v>3</v>
      </c>
      <c r="N378" s="185">
        <f>IF( OR( ISBLANK(H378),ISBLANK(J378), ISBLANK(K378), ISBLANK(L378), ISBLANK(M378) ), "", 1.5*SQRT(   EXP(2.21*(H378-1)) + EXP(2.21*(J378-1)) + EXP(2.21*(K378-1)) + EXP(2.21*(L378-1)) + EXP(2.21*M378)   )/100*2.45 )</f>
        <v>1.1181151966036349</v>
      </c>
      <c r="O378" s="159">
        <f>IF( OR( ISBLANK(I378),ISBLANK(J378), ISBLANK(K378), ISBLANK(L378), ISBLANK(M378) ), "", 1.5*SQRT( EXP(2.21*(I378-1)) + EXP(2.21*(J378-1)) + EXP(2.21*(K378-1)) + EXP(2.21*(L378-1)) + EXP(2.21*M378)   )/100*2.45 )</f>
        <v>1.123005955058592</v>
      </c>
      <c r="P378" s="34"/>
    </row>
    <row r="379" spans="1:16">
      <c r="A379" s="34" t="s">
        <v>200</v>
      </c>
      <c r="B379" s="40" t="s">
        <v>223</v>
      </c>
      <c r="C379" s="34" t="s">
        <v>139</v>
      </c>
      <c r="D379" s="40" t="s">
        <v>139</v>
      </c>
      <c r="E379" s="237" t="s">
        <v>150</v>
      </c>
      <c r="F379" s="168">
        <v>1</v>
      </c>
      <c r="G379" s="34"/>
      <c r="H379" s="29"/>
      <c r="I379" s="9"/>
      <c r="J379" s="9"/>
      <c r="K379" s="9" t="str">
        <f>IF( OR( ISBLANK(#REF!),ISBLANK(G379), ISBLANK(#REF!), ISBLANK(H379), ISBLANK(J379) ), "", 1.5*SQRT(   EXP(2.21*(#REF!-1)) + EXP(2.21*(G379-1)) + EXP(2.21*(#REF!-1)) + EXP(2.21*(H379-1)) + EXP(2.21*J379)   )/100 )</f>
        <v/>
      </c>
      <c r="L379" s="9" t="str">
        <f>IF( OR( ISBLANK(E379),ISBLANK(G379), ISBLANK(#REF!), ISBLANK(H379), ISBLANK(J379) ), "", 1.5*SQRT(   EXP(2.21*(E379-1)) + EXP(2.21*(G379-1)) + EXP(2.21*(#REF!-1)) + EXP(2.21*(H379-1)) + EXP(2.21*J379)   )/100 )</f>
        <v/>
      </c>
      <c r="M379" s="9"/>
      <c r="N379" s="185" t="str">
        <f>IF( OR( ISBLANK(H379),ISBLANK(J379), ISBLANK(K379), ISBLANK(L379), ISBLANK(M379) ), "", 1.5*SQRT(   EXP(2.21*(H379-1)) + EXP(2.21*(J379-1)) + EXP(2.21*(K379-1)) + EXP(2.21*(L379-1)) + EXP(2.21*M379)   )/100*2.45 )</f>
        <v/>
      </c>
      <c r="O379" s="159" t="str">
        <f>IF( OR( ISBLANK(I379),ISBLANK(J379), ISBLANK(K379), ISBLANK(L379), ISBLANK(M379) ), "", 1.5*SQRT( EXP(2.21*(I379-1)) + EXP(2.21*(J379-1)) + EXP(2.21*(K379-1)) + EXP(2.21*(L379-1)) + EXP(2.21*M379)   )/100*2.45 )</f>
        <v/>
      </c>
      <c r="P379" s="34"/>
    </row>
    <row r="380" spans="1:16">
      <c r="A380" s="34" t="s">
        <v>200</v>
      </c>
      <c r="B380" s="40" t="s">
        <v>361</v>
      </c>
      <c r="C380" s="34" t="s">
        <v>139</v>
      </c>
      <c r="D380" s="40" t="s">
        <v>85</v>
      </c>
      <c r="E380" s="237">
        <v>0.13950000000000001</v>
      </c>
      <c r="F380" s="168">
        <v>2</v>
      </c>
      <c r="G380" s="34" t="s">
        <v>362</v>
      </c>
      <c r="H380" s="29">
        <v>2</v>
      </c>
      <c r="I380" s="9">
        <v>2</v>
      </c>
      <c r="J380" s="9">
        <v>2</v>
      </c>
      <c r="K380" s="9">
        <v>1</v>
      </c>
      <c r="L380" s="9">
        <v>1</v>
      </c>
      <c r="M380" s="9">
        <v>2</v>
      </c>
      <c r="N380" s="185">
        <f>IF( OR( ISBLANK(H380),ISBLANK(J380), ISBLANK(K380), ISBLANK(L380), ISBLANK(M380) ), "", 1.5*SQRT(   EXP(2.21*(H380-1)) + EXP(2.21*(J380-1)) + EXP(2.21*(K380-1)) + EXP(2.21*(L380-1)) + EXP(2.21*M380)   )/100*2.45 )</f>
        <v>0.37356464144298934</v>
      </c>
      <c r="O380" s="159">
        <f>IF( OR( ISBLANK(I380),ISBLANK(J380), ISBLANK(K380), ISBLANK(L380), ISBLANK(M380) ), "", 1.5*SQRT( EXP(2.21*(I380-1)) + EXP(2.21*(J380-1)) + EXP(2.21*(K380-1)) + EXP(2.21*(L380-1)) + EXP(2.21*M380)   )/100*2.45 )</f>
        <v>0.37356464144298934</v>
      </c>
      <c r="P380" s="34"/>
    </row>
    <row r="381" spans="1:16">
      <c r="A381" s="34" t="s">
        <v>200</v>
      </c>
      <c r="B381" s="40" t="s">
        <v>361</v>
      </c>
      <c r="C381" s="34" t="s">
        <v>139</v>
      </c>
      <c r="D381" s="40" t="s">
        <v>86</v>
      </c>
      <c r="E381" s="237">
        <v>0.24110000000000001</v>
      </c>
      <c r="F381" s="168">
        <v>2</v>
      </c>
      <c r="G381" s="34" t="s">
        <v>362</v>
      </c>
      <c r="H381" s="29">
        <v>2</v>
      </c>
      <c r="I381" s="9">
        <v>2</v>
      </c>
      <c r="J381" s="9">
        <v>2</v>
      </c>
      <c r="K381" s="9">
        <v>1</v>
      </c>
      <c r="L381" s="9">
        <v>1</v>
      </c>
      <c r="M381" s="9">
        <v>2</v>
      </c>
      <c r="N381" s="185">
        <f>IF( OR( ISBLANK(H381),ISBLANK(J381), ISBLANK(K381), ISBLANK(L381), ISBLANK(M381) ), "", 1.5*SQRT(   EXP(2.21*(H381-1)) + EXP(2.21*(J381-1)) + EXP(2.21*(K381-1)) + EXP(2.21*(L381-1)) + EXP(2.21*M381)   )/100*2.45 )</f>
        <v>0.37356464144298934</v>
      </c>
      <c r="O381" s="159">
        <f>IF( OR( ISBLANK(I381),ISBLANK(J381), ISBLANK(K381), ISBLANK(L381), ISBLANK(M381) ), "", 1.5*SQRT( EXP(2.21*(I381-1)) + EXP(2.21*(J381-1)) + EXP(2.21*(K381-1)) + EXP(2.21*(L381-1)) + EXP(2.21*M381)   )/100*2.45 )</f>
        <v>0.37356464144298934</v>
      </c>
      <c r="P381" s="34"/>
    </row>
    <row r="382" spans="1:16">
      <c r="A382" s="34" t="s">
        <v>200</v>
      </c>
      <c r="B382" s="40" t="s">
        <v>361</v>
      </c>
      <c r="C382" s="34" t="s">
        <v>139</v>
      </c>
      <c r="D382" s="40" t="s">
        <v>87</v>
      </c>
      <c r="E382" s="237">
        <v>0.17499999999999999</v>
      </c>
      <c r="F382" s="168">
        <v>2</v>
      </c>
      <c r="G382" s="34" t="s">
        <v>362</v>
      </c>
      <c r="H382" s="29">
        <v>2</v>
      </c>
      <c r="I382" s="9">
        <v>2</v>
      </c>
      <c r="J382" s="9">
        <v>2</v>
      </c>
      <c r="K382" s="9">
        <v>1</v>
      </c>
      <c r="L382" s="9">
        <v>1</v>
      </c>
      <c r="M382" s="9">
        <v>2</v>
      </c>
      <c r="N382" s="185">
        <f>IF( OR( ISBLANK(H382),ISBLANK(J382), ISBLANK(K382), ISBLANK(L382), ISBLANK(M382) ), "", 1.5*SQRT(   EXP(2.21*(H382-1)) + EXP(2.21*(J382-1)) + EXP(2.21*(K382-1)) + EXP(2.21*(L382-1)) + EXP(2.21*M382)   )/100*2.45 )</f>
        <v>0.37356464144298934</v>
      </c>
      <c r="O382" s="159">
        <f>IF( OR( ISBLANK(I382),ISBLANK(J382), ISBLANK(K382), ISBLANK(L382), ISBLANK(M382) ), "", 1.5*SQRT( EXP(2.21*(I382-1)) + EXP(2.21*(J382-1)) + EXP(2.21*(K382-1)) + EXP(2.21*(L382-1)) + EXP(2.21*M382)   )/100*2.45 )</f>
        <v>0.37356464144298934</v>
      </c>
      <c r="P382" s="34"/>
    </row>
    <row r="383" spans="1:16">
      <c r="A383" s="34" t="s">
        <v>200</v>
      </c>
      <c r="B383" s="40" t="s">
        <v>361</v>
      </c>
      <c r="C383" s="34" t="s">
        <v>139</v>
      </c>
      <c r="D383" s="40" t="s">
        <v>88</v>
      </c>
      <c r="E383" s="237">
        <v>0.22220000000000001</v>
      </c>
      <c r="F383" s="168">
        <v>2</v>
      </c>
      <c r="G383" s="34" t="s">
        <v>362</v>
      </c>
      <c r="H383" s="29">
        <v>2</v>
      </c>
      <c r="I383" s="9">
        <v>2</v>
      </c>
      <c r="J383" s="9">
        <v>2</v>
      </c>
      <c r="K383" s="9">
        <v>1</v>
      </c>
      <c r="L383" s="9">
        <v>1</v>
      </c>
      <c r="M383" s="9">
        <v>2</v>
      </c>
      <c r="N383" s="185">
        <f>IF( OR( ISBLANK(H383),ISBLANK(J383), ISBLANK(K383), ISBLANK(L383), ISBLANK(M383) ), "", 1.5*SQRT(   EXP(2.21*(H383-1)) + EXP(2.21*(J383-1)) + EXP(2.21*(K383-1)) + EXP(2.21*(L383-1)) + EXP(2.21*M383)   )/100*2.45 )</f>
        <v>0.37356464144298934</v>
      </c>
      <c r="O383" s="159">
        <f>IF( OR( ISBLANK(I383),ISBLANK(J383), ISBLANK(K383), ISBLANK(L383), ISBLANK(M383) ), "", 1.5*SQRT( EXP(2.21*(I383-1)) + EXP(2.21*(J383-1)) + EXP(2.21*(K383-1)) + EXP(2.21*(L383-1)) + EXP(2.21*M383)   )/100*2.45 )</f>
        <v>0.37356464144298934</v>
      </c>
      <c r="P383" s="34"/>
    </row>
    <row r="384" spans="1:16">
      <c r="A384" s="34" t="s">
        <v>200</v>
      </c>
      <c r="B384" s="40" t="s">
        <v>361</v>
      </c>
      <c r="C384" s="34" t="s">
        <v>139</v>
      </c>
      <c r="D384" s="40" t="s">
        <v>89</v>
      </c>
      <c r="E384" s="237">
        <v>0.22220000000000001</v>
      </c>
      <c r="F384" s="168">
        <v>2</v>
      </c>
      <c r="G384" s="34" t="s">
        <v>362</v>
      </c>
      <c r="H384" s="29">
        <v>2</v>
      </c>
      <c r="I384" s="9">
        <v>2</v>
      </c>
      <c r="J384" s="9">
        <v>2</v>
      </c>
      <c r="K384" s="9">
        <v>1</v>
      </c>
      <c r="L384" s="9">
        <v>1</v>
      </c>
      <c r="M384" s="9">
        <v>2</v>
      </c>
      <c r="N384" s="185">
        <f>IF( OR( ISBLANK(H384),ISBLANK(J384), ISBLANK(K384), ISBLANK(L384), ISBLANK(M384) ), "", 1.5*SQRT(   EXP(2.21*(H384-1)) + EXP(2.21*(J384-1)) + EXP(2.21*(K384-1)) + EXP(2.21*(L384-1)) + EXP(2.21*M384)   )/100*2.45 )</f>
        <v>0.37356464144298934</v>
      </c>
      <c r="O384" s="159">
        <f>IF( OR( ISBLANK(I384),ISBLANK(J384), ISBLANK(K384), ISBLANK(L384), ISBLANK(M384) ), "", 1.5*SQRT( EXP(2.21*(I384-1)) + EXP(2.21*(J384-1)) + EXP(2.21*(K384-1)) + EXP(2.21*(L384-1)) + EXP(2.21*M384)   )/100*2.45 )</f>
        <v>0.37356464144298934</v>
      </c>
      <c r="P384" s="34"/>
    </row>
    <row r="385" spans="1:16">
      <c r="A385" s="34" t="s">
        <v>200</v>
      </c>
      <c r="B385" s="40" t="s">
        <v>361</v>
      </c>
      <c r="C385" s="34" t="s">
        <v>139</v>
      </c>
      <c r="D385" s="40" t="s">
        <v>90</v>
      </c>
      <c r="E385" s="237">
        <v>0</v>
      </c>
      <c r="F385" s="168">
        <v>2</v>
      </c>
      <c r="G385" s="34" t="s">
        <v>362</v>
      </c>
      <c r="H385" s="29"/>
      <c r="I385" s="9"/>
      <c r="J385" s="9"/>
      <c r="K385" s="9"/>
      <c r="L385" s="9"/>
      <c r="M385" s="9"/>
      <c r="N385" s="185" t="str">
        <f>IF( OR( ISBLANK(H385),ISBLANK(J385), ISBLANK(K385), ISBLANK(L385), ISBLANK(M385) ), "", 1.5*SQRT(   EXP(2.21*(H385-1)) + EXP(2.21*(J385-1)) + EXP(2.21*(K385-1)) + EXP(2.21*(L385-1)) + EXP(2.21*M385)   )/100*2.45 )</f>
        <v/>
      </c>
      <c r="O385" s="159" t="str">
        <f>IF( OR( ISBLANK(I385),ISBLANK(J385), ISBLANK(K385), ISBLANK(L385), ISBLANK(M385) ), "", 1.5*SQRT( EXP(2.21*(I385-1)) + EXP(2.21*(J385-1)) + EXP(2.21*(K385-1)) + EXP(2.21*(L385-1)) + EXP(2.21*M385)   )/100*2.45 )</f>
        <v/>
      </c>
      <c r="P385" s="34"/>
    </row>
    <row r="386" spans="1:16">
      <c r="A386" s="34" t="s">
        <v>200</v>
      </c>
      <c r="B386" s="40" t="s">
        <v>361</v>
      </c>
      <c r="C386" s="34" t="s">
        <v>139</v>
      </c>
      <c r="D386" s="40" t="s">
        <v>91</v>
      </c>
      <c r="E386" s="237">
        <v>0.22220000000000001</v>
      </c>
      <c r="F386" s="168">
        <v>2</v>
      </c>
      <c r="G386" s="34" t="s">
        <v>362</v>
      </c>
      <c r="H386" s="29">
        <v>2</v>
      </c>
      <c r="I386" s="9">
        <v>2</v>
      </c>
      <c r="J386" s="9">
        <v>2</v>
      </c>
      <c r="K386" s="9">
        <v>1</v>
      </c>
      <c r="L386" s="9">
        <v>1</v>
      </c>
      <c r="M386" s="9">
        <v>2</v>
      </c>
      <c r="N386" s="185">
        <f>IF( OR( ISBLANK(H386),ISBLANK(J386), ISBLANK(K386), ISBLANK(L386), ISBLANK(M386) ), "", 1.5*SQRT(   EXP(2.21*(H386-1)) + EXP(2.21*(J386-1)) + EXP(2.21*(K386-1)) + EXP(2.21*(L386-1)) + EXP(2.21*M386)   )/100*2.45 )</f>
        <v>0.37356464144298934</v>
      </c>
      <c r="O386" s="159">
        <f>IF( OR( ISBLANK(I386),ISBLANK(J386), ISBLANK(K386), ISBLANK(L386), ISBLANK(M386) ), "", 1.5*SQRT( EXP(2.21*(I386-1)) + EXP(2.21*(J386-1)) + EXP(2.21*(K386-1)) + EXP(2.21*(L386-1)) + EXP(2.21*M386)   )/100*2.45 )</f>
        <v>0.37356464144298934</v>
      </c>
      <c r="P386" s="34"/>
    </row>
    <row r="387" spans="1:16">
      <c r="A387" s="34" t="s">
        <v>200</v>
      </c>
      <c r="B387" s="40" t="s">
        <v>244</v>
      </c>
      <c r="C387" s="34" t="s">
        <v>139</v>
      </c>
      <c r="D387" s="40" t="s">
        <v>139</v>
      </c>
      <c r="E387" s="237">
        <v>2.1505376344086021E-3</v>
      </c>
      <c r="F387" s="168">
        <v>1</v>
      </c>
      <c r="G387" s="34" t="s">
        <v>145</v>
      </c>
      <c r="H387" s="29">
        <v>2</v>
      </c>
      <c r="I387" s="9">
        <v>2</v>
      </c>
      <c r="J387" s="9">
        <v>2</v>
      </c>
      <c r="K387" s="9">
        <v>3</v>
      </c>
      <c r="L387" s="9">
        <v>1</v>
      </c>
      <c r="M387" s="9">
        <v>2</v>
      </c>
      <c r="N387" s="185">
        <f>IF( OR( ISBLANK(H387),ISBLANK(J387), ISBLANK(K387), ISBLANK(L387), ISBLANK(M387) ), "", 1.5*SQRT(   EXP(2.21*(H387-1)) + EXP(2.21*(J387-1)) + EXP(2.21*(K387-1)) + EXP(2.21*(L387-1)) + EXP(2.21*M387)   )/100*2.45 )</f>
        <v>0.50042652380814845</v>
      </c>
      <c r="O387" s="159">
        <f>IF( OR( ISBLANK(I387),ISBLANK(J387), ISBLANK(K387), ISBLANK(L387), ISBLANK(M387) ), "", 1.5*SQRT( EXP(2.21*(I387-1)) + EXP(2.21*(J387-1)) + EXP(2.21*(K387-1)) + EXP(2.21*(L387-1)) + EXP(2.21*M387)   )/100*2.45 )</f>
        <v>0.50042652380814845</v>
      </c>
      <c r="P387" s="34" t="s">
        <v>375</v>
      </c>
    </row>
    <row r="388" spans="1:16">
      <c r="A388" s="34" t="s">
        <v>201</v>
      </c>
      <c r="B388" s="40" t="s">
        <v>167</v>
      </c>
      <c r="C388" s="34" t="s">
        <v>139</v>
      </c>
      <c r="D388" s="40" t="s">
        <v>139</v>
      </c>
      <c r="E388" s="237">
        <v>3.5000000000000003E-2</v>
      </c>
      <c r="F388" s="168">
        <v>2</v>
      </c>
      <c r="G388" s="34" t="s">
        <v>199</v>
      </c>
      <c r="H388" s="29">
        <v>1</v>
      </c>
      <c r="I388" s="9"/>
      <c r="J388" s="9">
        <v>3</v>
      </c>
      <c r="K388" s="9">
        <v>3</v>
      </c>
      <c r="L388" s="9">
        <v>3</v>
      </c>
      <c r="M388" s="9">
        <v>2</v>
      </c>
      <c r="N388" s="185">
        <f>IF( OR( ISBLANK(H388),ISBLANK(J388), ISBLANK(K388), ISBLANK(L388), ISBLANK(M388) ), "", 1.5*SQRT(   EXP(2.21*(H388-1)) + EXP(2.21*(J388-1)) + EXP(2.21*(K388-1)) + EXP(2.21*(L388-1)) + EXP(2.21*M388)   )/100*2.45 )</f>
        <v>0.67101227267249941</v>
      </c>
      <c r="O388" s="159" t="str">
        <f>IF( OR( ISBLANK(I388),ISBLANK(J388), ISBLANK(K388), ISBLANK(L388), ISBLANK(M388) ), "", 1.5*SQRT( EXP(2.21*(I388-1)) + EXP(2.21*(J388-1)) + EXP(2.21*(K388-1)) + EXP(2.21*(L388-1)) + EXP(2.21*M388)   )/100*2.45 )</f>
        <v/>
      </c>
      <c r="P388" s="34"/>
    </row>
    <row r="389" spans="1:16">
      <c r="A389" s="34" t="s">
        <v>201</v>
      </c>
      <c r="B389" s="40" t="s">
        <v>204</v>
      </c>
      <c r="C389" s="34" t="s">
        <v>139</v>
      </c>
      <c r="D389" s="40" t="s">
        <v>139</v>
      </c>
      <c r="E389" s="237">
        <v>2.7E-4</v>
      </c>
      <c r="F389" s="168">
        <v>2</v>
      </c>
      <c r="G389" s="34" t="s">
        <v>205</v>
      </c>
      <c r="H389" s="29">
        <v>1</v>
      </c>
      <c r="I389" s="9">
        <v>2</v>
      </c>
      <c r="J389" s="9">
        <v>1</v>
      </c>
      <c r="K389" s="9">
        <v>3</v>
      </c>
      <c r="L389" s="9">
        <v>3</v>
      </c>
      <c r="M389" s="9">
        <v>3</v>
      </c>
      <c r="N389" s="185">
        <f>IF( OR( ISBLANK(H389),ISBLANK(J389), ISBLANK(K389), ISBLANK(L389), ISBLANK(M389) ), "", 1.5*SQRT(   EXP(2.21*(H389-1)) + EXP(2.21*(J389-1)) + EXP(2.21*(K389-1)) + EXP(2.21*(L389-1)) + EXP(2.21*M389)   )/100*2.45 )</f>
        <v>1.1181151966036349</v>
      </c>
      <c r="O389" s="159">
        <f>IF( OR( ISBLANK(I389),ISBLANK(J389), ISBLANK(K389), ISBLANK(L389), ISBLANK(M389) ), "", 1.5*SQRT( EXP(2.21*(I389-1)) + EXP(2.21*(J389-1)) + EXP(2.21*(K389-1)) + EXP(2.21*(L389-1)) + EXP(2.21*M389)   )/100*2.45 )</f>
        <v>1.123005955058592</v>
      </c>
      <c r="P389" s="34"/>
    </row>
    <row r="390" spans="1:16">
      <c r="A390" s="34" t="s">
        <v>201</v>
      </c>
      <c r="B390" s="40" t="s">
        <v>223</v>
      </c>
      <c r="C390" s="34" t="s">
        <v>139</v>
      </c>
      <c r="D390" s="40" t="s">
        <v>139</v>
      </c>
      <c r="E390" s="237" t="s">
        <v>150</v>
      </c>
      <c r="F390" s="168">
        <v>1</v>
      </c>
      <c r="G390" s="34"/>
      <c r="H390" s="29"/>
      <c r="I390" s="9"/>
      <c r="J390" s="9"/>
      <c r="K390" s="9" t="str">
        <f>IF( OR( ISBLANK(#REF!),ISBLANK(G390), ISBLANK(#REF!), ISBLANK(H390), ISBLANK(J390) ), "", 1.5*SQRT(   EXP(2.21*(#REF!-1)) + EXP(2.21*(G390-1)) + EXP(2.21*(#REF!-1)) + EXP(2.21*(H390-1)) + EXP(2.21*J390)   )/100 )</f>
        <v/>
      </c>
      <c r="L390" s="9" t="str">
        <f>IF( OR( ISBLANK(E390),ISBLANK(G390), ISBLANK(#REF!), ISBLANK(H390), ISBLANK(J390) ), "", 1.5*SQRT(   EXP(2.21*(E390-1)) + EXP(2.21*(G390-1)) + EXP(2.21*(#REF!-1)) + EXP(2.21*(H390-1)) + EXP(2.21*J390)   )/100 )</f>
        <v/>
      </c>
      <c r="M390" s="9"/>
      <c r="N390" s="185" t="str">
        <f>IF( OR( ISBLANK(H390),ISBLANK(J390), ISBLANK(K390), ISBLANK(L390), ISBLANK(M390) ), "", 1.5*SQRT(   EXP(2.21*(H390-1)) + EXP(2.21*(J390-1)) + EXP(2.21*(K390-1)) + EXP(2.21*(L390-1)) + EXP(2.21*M390)   )/100*2.45 )</f>
        <v/>
      </c>
      <c r="O390" s="159" t="str">
        <f>IF( OR( ISBLANK(I390),ISBLANK(J390), ISBLANK(K390), ISBLANK(L390), ISBLANK(M390) ), "", 1.5*SQRT( EXP(2.21*(I390-1)) + EXP(2.21*(J390-1)) + EXP(2.21*(K390-1)) + EXP(2.21*(L390-1)) + EXP(2.21*M390)   )/100*2.45 )</f>
        <v/>
      </c>
      <c r="P390" s="34"/>
    </row>
    <row r="391" spans="1:16">
      <c r="A391" s="34" t="s">
        <v>201</v>
      </c>
      <c r="B391" s="40" t="s">
        <v>361</v>
      </c>
      <c r="C391" s="34" t="s">
        <v>139</v>
      </c>
      <c r="D391" s="40" t="s">
        <v>85</v>
      </c>
      <c r="E391" s="237">
        <v>0</v>
      </c>
      <c r="F391" s="168">
        <v>2</v>
      </c>
      <c r="G391" s="34" t="s">
        <v>362</v>
      </c>
      <c r="H391" s="29"/>
      <c r="I391" s="9"/>
      <c r="J391" s="9"/>
      <c r="K391" s="9"/>
      <c r="L391" s="9"/>
      <c r="M391" s="9"/>
      <c r="N391" s="185" t="str">
        <f>IF( OR( ISBLANK(H391),ISBLANK(J391), ISBLANK(K391), ISBLANK(L391), ISBLANK(M391) ), "", 1.5*SQRT(   EXP(2.21*(H391-1)) + EXP(2.21*(J391-1)) + EXP(2.21*(K391-1)) + EXP(2.21*(L391-1)) + EXP(2.21*M391)   )/100*2.45 )</f>
        <v/>
      </c>
      <c r="O391" s="159" t="str">
        <f>IF( OR( ISBLANK(I391),ISBLANK(J391), ISBLANK(K391), ISBLANK(L391), ISBLANK(M391) ), "", 1.5*SQRT( EXP(2.21*(I391-1)) + EXP(2.21*(J391-1)) + EXP(2.21*(K391-1)) + EXP(2.21*(L391-1)) + EXP(2.21*M391)   )/100*2.45 )</f>
        <v/>
      </c>
      <c r="P391" s="34"/>
    </row>
    <row r="392" spans="1:16">
      <c r="A392" s="34" t="s">
        <v>201</v>
      </c>
      <c r="B392" s="40" t="s">
        <v>361</v>
      </c>
      <c r="C392" s="34" t="s">
        <v>139</v>
      </c>
      <c r="D392" s="40" t="s">
        <v>86</v>
      </c>
      <c r="E392" s="237">
        <v>0</v>
      </c>
      <c r="F392" s="168">
        <v>2</v>
      </c>
      <c r="G392" s="34" t="s">
        <v>362</v>
      </c>
      <c r="H392" s="29"/>
      <c r="I392" s="9"/>
      <c r="J392" s="9"/>
      <c r="K392" s="9"/>
      <c r="L392" s="9"/>
      <c r="M392" s="9"/>
      <c r="N392" s="185" t="str">
        <f>IF( OR( ISBLANK(H392),ISBLANK(J392), ISBLANK(K392), ISBLANK(L392), ISBLANK(M392) ), "", 1.5*SQRT(   EXP(2.21*(H392-1)) + EXP(2.21*(J392-1)) + EXP(2.21*(K392-1)) + EXP(2.21*(L392-1)) + EXP(2.21*M392)   )/100*2.45 )</f>
        <v/>
      </c>
      <c r="O392" s="159" t="str">
        <f>IF( OR( ISBLANK(I392),ISBLANK(J392), ISBLANK(K392), ISBLANK(L392), ISBLANK(M392) ), "", 1.5*SQRT( EXP(2.21*(I392-1)) + EXP(2.21*(J392-1)) + EXP(2.21*(K392-1)) + EXP(2.21*(L392-1)) + EXP(2.21*M392)   )/100*2.45 )</f>
        <v/>
      </c>
      <c r="P392" s="34"/>
    </row>
    <row r="393" spans="1:16">
      <c r="A393" s="34" t="s">
        <v>201</v>
      </c>
      <c r="B393" s="40" t="s">
        <v>361</v>
      </c>
      <c r="C393" s="34" t="s">
        <v>139</v>
      </c>
      <c r="D393" s="40" t="s">
        <v>87</v>
      </c>
      <c r="E393" s="237">
        <v>0</v>
      </c>
      <c r="F393" s="168">
        <v>2</v>
      </c>
      <c r="G393" s="34" t="s">
        <v>362</v>
      </c>
      <c r="H393" s="29"/>
      <c r="I393" s="9"/>
      <c r="J393" s="9"/>
      <c r="K393" s="9"/>
      <c r="L393" s="9"/>
      <c r="M393" s="9"/>
      <c r="N393" s="185" t="str">
        <f>IF( OR( ISBLANK(H393),ISBLANK(J393), ISBLANK(K393), ISBLANK(L393), ISBLANK(M393) ), "", 1.5*SQRT(   EXP(2.21*(H393-1)) + EXP(2.21*(J393-1)) + EXP(2.21*(K393-1)) + EXP(2.21*(L393-1)) + EXP(2.21*M393)   )/100*2.45 )</f>
        <v/>
      </c>
      <c r="O393" s="159" t="str">
        <f>IF( OR( ISBLANK(I393),ISBLANK(J393), ISBLANK(K393), ISBLANK(L393), ISBLANK(M393) ), "", 1.5*SQRT( EXP(2.21*(I393-1)) + EXP(2.21*(J393-1)) + EXP(2.21*(K393-1)) + EXP(2.21*(L393-1)) + EXP(2.21*M393)   )/100*2.45 )</f>
        <v/>
      </c>
      <c r="P393" s="34"/>
    </row>
    <row r="394" spans="1:16">
      <c r="A394" s="34" t="s">
        <v>201</v>
      </c>
      <c r="B394" s="40" t="s">
        <v>361</v>
      </c>
      <c r="C394" s="34" t="s">
        <v>139</v>
      </c>
      <c r="D394" s="40" t="s">
        <v>88</v>
      </c>
      <c r="E394" s="237">
        <v>0.35439999999999999</v>
      </c>
      <c r="F394" s="168">
        <v>2</v>
      </c>
      <c r="G394" s="34" t="s">
        <v>362</v>
      </c>
      <c r="H394" s="29">
        <v>2</v>
      </c>
      <c r="I394" s="9">
        <v>2</v>
      </c>
      <c r="J394" s="9">
        <v>2</v>
      </c>
      <c r="K394" s="9">
        <v>1</v>
      </c>
      <c r="L394" s="9">
        <v>1</v>
      </c>
      <c r="M394" s="9">
        <v>2</v>
      </c>
      <c r="N394" s="185">
        <f>IF( OR( ISBLANK(H394),ISBLANK(J394), ISBLANK(K394), ISBLANK(L394), ISBLANK(M394) ), "", 1.5*SQRT(   EXP(2.21*(H394-1)) + EXP(2.21*(J394-1)) + EXP(2.21*(K394-1)) + EXP(2.21*(L394-1)) + EXP(2.21*M394)   )/100*2.45 )</f>
        <v>0.37356464144298934</v>
      </c>
      <c r="O394" s="159">
        <f>IF( OR( ISBLANK(I394),ISBLANK(J394), ISBLANK(K394), ISBLANK(L394), ISBLANK(M394) ), "", 1.5*SQRT( EXP(2.21*(I394-1)) + EXP(2.21*(J394-1)) + EXP(2.21*(K394-1)) + EXP(2.21*(L394-1)) + EXP(2.21*M394)   )/100*2.45 )</f>
        <v>0.37356464144298934</v>
      </c>
      <c r="P394" s="34"/>
    </row>
    <row r="395" spans="1:16">
      <c r="A395" s="34" t="s">
        <v>201</v>
      </c>
      <c r="B395" s="40" t="s">
        <v>361</v>
      </c>
      <c r="C395" s="34" t="s">
        <v>139</v>
      </c>
      <c r="D395" s="40" t="s">
        <v>89</v>
      </c>
      <c r="E395" s="237">
        <v>0</v>
      </c>
      <c r="F395" s="168">
        <v>2</v>
      </c>
      <c r="G395" s="34" t="s">
        <v>362</v>
      </c>
      <c r="H395" s="29"/>
      <c r="I395" s="9"/>
      <c r="J395" s="9"/>
      <c r="K395" s="9"/>
      <c r="L395" s="9"/>
      <c r="M395" s="9"/>
      <c r="N395" s="185" t="str">
        <f>IF( OR( ISBLANK(H395),ISBLANK(J395), ISBLANK(K395), ISBLANK(L395), ISBLANK(M395) ), "", 1.5*SQRT(   EXP(2.21*(H395-1)) + EXP(2.21*(J395-1)) + EXP(2.21*(K395-1)) + EXP(2.21*(L395-1)) + EXP(2.21*M395)   )/100*2.45 )</f>
        <v/>
      </c>
      <c r="O395" s="159" t="str">
        <f>IF( OR( ISBLANK(I395),ISBLANK(J395), ISBLANK(K395), ISBLANK(L395), ISBLANK(M395) ), "", 1.5*SQRT( EXP(2.21*(I395-1)) + EXP(2.21*(J395-1)) + EXP(2.21*(K395-1)) + EXP(2.21*(L395-1)) + EXP(2.21*M395)   )/100*2.45 )</f>
        <v/>
      </c>
      <c r="P395" s="34"/>
    </row>
    <row r="396" spans="1:16">
      <c r="A396" s="34" t="s">
        <v>201</v>
      </c>
      <c r="B396" s="40" t="s">
        <v>361</v>
      </c>
      <c r="C396" s="34" t="s">
        <v>139</v>
      </c>
      <c r="D396" s="40" t="s">
        <v>90</v>
      </c>
      <c r="E396" s="237">
        <v>0</v>
      </c>
      <c r="F396" s="168">
        <v>2</v>
      </c>
      <c r="G396" s="34" t="s">
        <v>362</v>
      </c>
      <c r="H396" s="29"/>
      <c r="I396" s="9"/>
      <c r="J396" s="9"/>
      <c r="K396" s="9"/>
      <c r="L396" s="9"/>
      <c r="M396" s="9"/>
      <c r="N396" s="185" t="str">
        <f>IF( OR( ISBLANK(H396),ISBLANK(J396), ISBLANK(K396), ISBLANK(L396), ISBLANK(M396) ), "", 1.5*SQRT(   EXP(2.21*(H396-1)) + EXP(2.21*(J396-1)) + EXP(2.21*(K396-1)) + EXP(2.21*(L396-1)) + EXP(2.21*M396)   )/100*2.45 )</f>
        <v/>
      </c>
      <c r="O396" s="159" t="str">
        <f>IF( OR( ISBLANK(I396),ISBLANK(J396), ISBLANK(K396), ISBLANK(L396), ISBLANK(M396) ), "", 1.5*SQRT( EXP(2.21*(I396-1)) + EXP(2.21*(J396-1)) + EXP(2.21*(K396-1)) + EXP(2.21*(L396-1)) + EXP(2.21*M396)   )/100*2.45 )</f>
        <v/>
      </c>
      <c r="P396" s="34"/>
    </row>
    <row r="397" spans="1:16">
      <c r="A397" s="34" t="s">
        <v>201</v>
      </c>
      <c r="B397" s="40" t="s">
        <v>361</v>
      </c>
      <c r="C397" s="34" t="s">
        <v>139</v>
      </c>
      <c r="D397" s="40" t="s">
        <v>91</v>
      </c>
      <c r="E397" s="237">
        <v>0.35439999999999999</v>
      </c>
      <c r="F397" s="168">
        <v>2</v>
      </c>
      <c r="G397" s="34" t="s">
        <v>362</v>
      </c>
      <c r="H397" s="29">
        <v>2</v>
      </c>
      <c r="I397" s="9">
        <v>2</v>
      </c>
      <c r="J397" s="9">
        <v>2</v>
      </c>
      <c r="K397" s="9">
        <v>1</v>
      </c>
      <c r="L397" s="9">
        <v>1</v>
      </c>
      <c r="M397" s="9">
        <v>2</v>
      </c>
      <c r="N397" s="185">
        <f>IF( OR( ISBLANK(H397),ISBLANK(J397), ISBLANK(K397), ISBLANK(L397), ISBLANK(M397) ), "", 1.5*SQRT(   EXP(2.21*(H397-1)) + EXP(2.21*(J397-1)) + EXP(2.21*(K397-1)) + EXP(2.21*(L397-1)) + EXP(2.21*M397)   )/100*2.45 )</f>
        <v>0.37356464144298934</v>
      </c>
      <c r="O397" s="159">
        <f>IF( OR( ISBLANK(I397),ISBLANK(J397), ISBLANK(K397), ISBLANK(L397), ISBLANK(M397) ), "", 1.5*SQRT( EXP(2.21*(I397-1)) + EXP(2.21*(J397-1)) + EXP(2.21*(K397-1)) + EXP(2.21*(L397-1)) + EXP(2.21*M397)   )/100*2.45 )</f>
        <v>0.37356464144298934</v>
      </c>
      <c r="P397" s="34"/>
    </row>
    <row r="398" spans="1:16">
      <c r="A398" s="34" t="s">
        <v>201</v>
      </c>
      <c r="B398" s="40" t="s">
        <v>244</v>
      </c>
      <c r="C398" s="34" t="s">
        <v>139</v>
      </c>
      <c r="D398" s="40" t="s">
        <v>85</v>
      </c>
      <c r="E398" s="237">
        <v>1.075268817204301E-2</v>
      </c>
      <c r="F398" s="168">
        <v>1</v>
      </c>
      <c r="G398" s="34" t="s">
        <v>145</v>
      </c>
      <c r="H398" s="29">
        <v>2</v>
      </c>
      <c r="I398" s="9">
        <v>2</v>
      </c>
      <c r="J398" s="9">
        <v>2</v>
      </c>
      <c r="K398" s="9">
        <v>3</v>
      </c>
      <c r="L398" s="9">
        <v>1</v>
      </c>
      <c r="M398" s="9">
        <v>2</v>
      </c>
      <c r="N398" s="185">
        <f>IF( OR( ISBLANK(H398),ISBLANK(J398), ISBLANK(K398), ISBLANK(L398), ISBLANK(M398) ), "", 1.5*SQRT(   EXP(2.21*(H398-1)) + EXP(2.21*(J398-1)) + EXP(2.21*(K398-1)) + EXP(2.21*(L398-1)) + EXP(2.21*M398)   )/100*2.45 )</f>
        <v>0.50042652380814845</v>
      </c>
      <c r="O398" s="159">
        <f>IF( OR( ISBLANK(I398),ISBLANK(J398), ISBLANK(K398), ISBLANK(L398), ISBLANK(M398) ), "", 1.5*SQRT( EXP(2.21*(I398-1)) + EXP(2.21*(J398-1)) + EXP(2.21*(K398-1)) + EXP(2.21*(L398-1)) + EXP(2.21*M398)   )/100*2.45 )</f>
        <v>0.50042652380814845</v>
      </c>
      <c r="P398" s="34" t="s">
        <v>375</v>
      </c>
    </row>
    <row r="399" spans="1:16">
      <c r="A399" s="34" t="s">
        <v>201</v>
      </c>
      <c r="B399" s="40" t="s">
        <v>244</v>
      </c>
      <c r="C399" s="34" t="s">
        <v>139</v>
      </c>
      <c r="D399" s="40" t="s">
        <v>86</v>
      </c>
      <c r="E399" s="237">
        <v>0.5376344086021505</v>
      </c>
      <c r="F399" s="168">
        <v>1</v>
      </c>
      <c r="G399" s="34" t="s">
        <v>145</v>
      </c>
      <c r="H399" s="29">
        <v>2</v>
      </c>
      <c r="I399" s="9">
        <v>2</v>
      </c>
      <c r="J399" s="9">
        <v>2</v>
      </c>
      <c r="K399" s="9">
        <v>3</v>
      </c>
      <c r="L399" s="9">
        <v>1</v>
      </c>
      <c r="M399" s="9">
        <v>2</v>
      </c>
      <c r="N399" s="185">
        <f>IF( OR( ISBLANK(H399),ISBLANK(J399), ISBLANK(K399), ISBLANK(L399), ISBLANK(M399) ), "", 1.5*SQRT(   EXP(2.21*(H399-1)) + EXP(2.21*(J399-1)) + EXP(2.21*(K399-1)) + EXP(2.21*(L399-1)) + EXP(2.21*M399)   )/100*2.45 )</f>
        <v>0.50042652380814845</v>
      </c>
      <c r="O399" s="159">
        <f>IF( OR( ISBLANK(I399),ISBLANK(J399), ISBLANK(K399), ISBLANK(L399), ISBLANK(M399) ), "", 1.5*SQRT( EXP(2.21*(I399-1)) + EXP(2.21*(J399-1)) + EXP(2.21*(K399-1)) + EXP(2.21*(L399-1)) + EXP(2.21*M399)   )/100*2.45 )</f>
        <v>0.50042652380814845</v>
      </c>
      <c r="P399" s="34" t="s">
        <v>375</v>
      </c>
    </row>
    <row r="400" spans="1:16">
      <c r="A400" s="34" t="s">
        <v>201</v>
      </c>
      <c r="B400" s="40" t="s">
        <v>244</v>
      </c>
      <c r="C400" s="34" t="s">
        <v>139</v>
      </c>
      <c r="D400" s="40" t="s">
        <v>87</v>
      </c>
      <c r="E400" s="237">
        <v>1.075268817204301E-2</v>
      </c>
      <c r="F400" s="168">
        <v>1</v>
      </c>
      <c r="G400" s="34" t="s">
        <v>145</v>
      </c>
      <c r="H400" s="29">
        <v>2</v>
      </c>
      <c r="I400" s="9">
        <v>2</v>
      </c>
      <c r="J400" s="9">
        <v>2</v>
      </c>
      <c r="K400" s="9">
        <v>3</v>
      </c>
      <c r="L400" s="9">
        <v>1</v>
      </c>
      <c r="M400" s="9">
        <v>2</v>
      </c>
      <c r="N400" s="185">
        <f>IF( OR( ISBLANK(H400),ISBLANK(J400), ISBLANK(K400), ISBLANK(L400), ISBLANK(M400) ), "", 1.5*SQRT(   EXP(2.21*(H400-1)) + EXP(2.21*(J400-1)) + EXP(2.21*(K400-1)) + EXP(2.21*(L400-1)) + EXP(2.21*M400)   )/100*2.45 )</f>
        <v>0.50042652380814845</v>
      </c>
      <c r="O400" s="159">
        <f>IF( OR( ISBLANK(I400),ISBLANK(J400), ISBLANK(K400), ISBLANK(L400), ISBLANK(M400) ), "", 1.5*SQRT( EXP(2.21*(I400-1)) + EXP(2.21*(J400-1)) + EXP(2.21*(K400-1)) + EXP(2.21*(L400-1)) + EXP(2.21*M400)   )/100*2.45 )</f>
        <v>0.50042652380814845</v>
      </c>
      <c r="P400" s="34" t="s">
        <v>375</v>
      </c>
    </row>
    <row r="401" spans="1:16">
      <c r="A401" s="34" t="s">
        <v>201</v>
      </c>
      <c r="B401" s="40" t="s">
        <v>244</v>
      </c>
      <c r="C401" s="34" t="s">
        <v>139</v>
      </c>
      <c r="D401" s="40" t="s">
        <v>88</v>
      </c>
      <c r="E401" s="237">
        <v>1.075268817204301E-2</v>
      </c>
      <c r="F401" s="168">
        <v>1</v>
      </c>
      <c r="G401" s="34" t="s">
        <v>145</v>
      </c>
      <c r="H401" s="29">
        <v>2</v>
      </c>
      <c r="I401" s="9">
        <v>2</v>
      </c>
      <c r="J401" s="9">
        <v>2</v>
      </c>
      <c r="K401" s="9">
        <v>3</v>
      </c>
      <c r="L401" s="9">
        <v>1</v>
      </c>
      <c r="M401" s="9">
        <v>2</v>
      </c>
      <c r="N401" s="185">
        <f>IF( OR( ISBLANK(H401),ISBLANK(J401), ISBLANK(K401), ISBLANK(L401), ISBLANK(M401) ), "", 1.5*SQRT(   EXP(2.21*(H401-1)) + EXP(2.21*(J401-1)) + EXP(2.21*(K401-1)) + EXP(2.21*(L401-1)) + EXP(2.21*M401)   )/100*2.45 )</f>
        <v>0.50042652380814845</v>
      </c>
      <c r="O401" s="159">
        <f>IF( OR( ISBLANK(I401),ISBLANK(J401), ISBLANK(K401), ISBLANK(L401), ISBLANK(M401) ), "", 1.5*SQRT( EXP(2.21*(I401-1)) + EXP(2.21*(J401-1)) + EXP(2.21*(K401-1)) + EXP(2.21*(L401-1)) + EXP(2.21*M401)   )/100*2.45 )</f>
        <v>0.50042652380814845</v>
      </c>
      <c r="P401" s="34" t="s">
        <v>375</v>
      </c>
    </row>
    <row r="402" spans="1:16">
      <c r="A402" s="34" t="s">
        <v>201</v>
      </c>
      <c r="B402" s="40" t="s">
        <v>244</v>
      </c>
      <c r="C402" s="34" t="s">
        <v>139</v>
      </c>
      <c r="D402" s="40" t="s">
        <v>89</v>
      </c>
      <c r="E402" s="237">
        <v>1.075268817204301E-2</v>
      </c>
      <c r="F402" s="168">
        <v>1</v>
      </c>
      <c r="G402" s="34" t="s">
        <v>145</v>
      </c>
      <c r="H402" s="29">
        <v>2</v>
      </c>
      <c r="I402" s="9">
        <v>2</v>
      </c>
      <c r="J402" s="9">
        <v>2</v>
      </c>
      <c r="K402" s="9">
        <v>3</v>
      </c>
      <c r="L402" s="9">
        <v>1</v>
      </c>
      <c r="M402" s="9">
        <v>2</v>
      </c>
      <c r="N402" s="185">
        <f>IF( OR( ISBLANK(H402),ISBLANK(J402), ISBLANK(K402), ISBLANK(L402), ISBLANK(M402) ), "", 1.5*SQRT(   EXP(2.21*(H402-1)) + EXP(2.21*(J402-1)) + EXP(2.21*(K402-1)) + EXP(2.21*(L402-1)) + EXP(2.21*M402)   )/100*2.45 )</f>
        <v>0.50042652380814845</v>
      </c>
      <c r="O402" s="159">
        <f>IF( OR( ISBLANK(I402),ISBLANK(J402), ISBLANK(K402), ISBLANK(L402), ISBLANK(M402) ), "", 1.5*SQRT( EXP(2.21*(I402-1)) + EXP(2.21*(J402-1)) + EXP(2.21*(K402-1)) + EXP(2.21*(L402-1)) + EXP(2.21*M402)   )/100*2.45 )</f>
        <v>0.50042652380814845</v>
      </c>
      <c r="P402" s="34" t="s">
        <v>375</v>
      </c>
    </row>
    <row r="403" spans="1:16">
      <c r="A403" s="34" t="s">
        <v>201</v>
      </c>
      <c r="B403" s="40" t="s">
        <v>244</v>
      </c>
      <c r="C403" s="34" t="s">
        <v>139</v>
      </c>
      <c r="D403" s="40" t="s">
        <v>90</v>
      </c>
      <c r="E403" s="237">
        <v>1.075268817204301E-2</v>
      </c>
      <c r="F403" s="168">
        <v>1</v>
      </c>
      <c r="G403" s="34" t="s">
        <v>145</v>
      </c>
      <c r="H403" s="29">
        <v>2</v>
      </c>
      <c r="I403" s="9">
        <v>2</v>
      </c>
      <c r="J403" s="9">
        <v>2</v>
      </c>
      <c r="K403" s="9">
        <v>3</v>
      </c>
      <c r="L403" s="9">
        <v>1</v>
      </c>
      <c r="M403" s="9">
        <v>2</v>
      </c>
      <c r="N403" s="185">
        <f>IF( OR( ISBLANK(H403),ISBLANK(J403), ISBLANK(K403), ISBLANK(L403), ISBLANK(M403) ), "", 1.5*SQRT(   EXP(2.21*(H403-1)) + EXP(2.21*(J403-1)) + EXP(2.21*(K403-1)) + EXP(2.21*(L403-1)) + EXP(2.21*M403)   )/100*2.45 )</f>
        <v>0.50042652380814845</v>
      </c>
      <c r="O403" s="159">
        <f>IF( OR( ISBLANK(I403),ISBLANK(J403), ISBLANK(K403), ISBLANK(L403), ISBLANK(M403) ), "", 1.5*SQRT( EXP(2.21*(I403-1)) + EXP(2.21*(J403-1)) + EXP(2.21*(K403-1)) + EXP(2.21*(L403-1)) + EXP(2.21*M403)   )/100*2.45 )</f>
        <v>0.50042652380814845</v>
      </c>
      <c r="P403" s="34" t="s">
        <v>375</v>
      </c>
    </row>
    <row r="404" spans="1:16">
      <c r="A404" s="34" t="s">
        <v>201</v>
      </c>
      <c r="B404" s="40" t="s">
        <v>244</v>
      </c>
      <c r="C404" s="34" t="s">
        <v>139</v>
      </c>
      <c r="D404" s="40" t="s">
        <v>91</v>
      </c>
      <c r="E404" s="237">
        <v>0.82</v>
      </c>
      <c r="F404" s="168">
        <v>1</v>
      </c>
      <c r="G404" s="34" t="s">
        <v>376</v>
      </c>
      <c r="H404" s="29">
        <v>2</v>
      </c>
      <c r="I404" s="9">
        <v>2</v>
      </c>
      <c r="J404" s="9">
        <v>1</v>
      </c>
      <c r="K404" s="9">
        <v>1</v>
      </c>
      <c r="L404" s="9">
        <v>1</v>
      </c>
      <c r="M404" s="9">
        <v>1</v>
      </c>
      <c r="N404" s="185">
        <f>IF( OR( ISBLANK(H404),ISBLANK(J404), ISBLANK(K404), ISBLANK(L404), ISBLANK(M404) ), "", 1.5*SQRT(   EXP(2.21*(H404-1)) + EXP(2.21*(J404-1)) + EXP(2.21*(K404-1)) + EXP(2.21*(L404-1)) + EXP(2.21*M404)   )/100*2.45 )</f>
        <v>0.16933510251023262</v>
      </c>
      <c r="O404" s="159">
        <f>IF( OR( ISBLANK(I404),ISBLANK(J404), ISBLANK(K404), ISBLANK(L404), ISBLANK(M404) ), "", 1.5*SQRT( EXP(2.21*(I404-1)) + EXP(2.21*(J404-1)) + EXP(2.21*(K404-1)) + EXP(2.21*(L404-1)) + EXP(2.21*M404)   )/100*2.45 )</f>
        <v>0.16933510251023262</v>
      </c>
      <c r="P404" s="34"/>
    </row>
    <row r="405" spans="1:16">
      <c r="A405" s="34" t="s">
        <v>202</v>
      </c>
      <c r="B405" s="40" t="s">
        <v>167</v>
      </c>
      <c r="C405" s="34" t="s">
        <v>139</v>
      </c>
      <c r="D405" s="40" t="s">
        <v>139</v>
      </c>
      <c r="E405" s="237">
        <v>3.5000000000000003E-2</v>
      </c>
      <c r="F405" s="168">
        <v>2</v>
      </c>
      <c r="G405" s="34" t="s">
        <v>199</v>
      </c>
      <c r="H405" s="29">
        <v>1</v>
      </c>
      <c r="I405" s="9"/>
      <c r="J405" s="9">
        <v>3</v>
      </c>
      <c r="K405" s="9">
        <v>3</v>
      </c>
      <c r="L405" s="9">
        <v>3</v>
      </c>
      <c r="M405" s="9">
        <v>2</v>
      </c>
      <c r="N405" s="185">
        <f>IF( OR( ISBLANK(H405),ISBLANK(J405), ISBLANK(K405), ISBLANK(L405), ISBLANK(M405) ), "", 1.5*SQRT(   EXP(2.21*(H405-1)) + EXP(2.21*(J405-1)) + EXP(2.21*(K405-1)) + EXP(2.21*(L405-1)) + EXP(2.21*M405)   )/100*2.45 )</f>
        <v>0.67101227267249941</v>
      </c>
      <c r="O405" s="159" t="str">
        <f>IF( OR( ISBLANK(I405),ISBLANK(J405), ISBLANK(K405), ISBLANK(L405), ISBLANK(M405) ), "", 1.5*SQRT( EXP(2.21*(I405-1)) + EXP(2.21*(J405-1)) + EXP(2.21*(K405-1)) + EXP(2.21*(L405-1)) + EXP(2.21*M405)   )/100*2.45 )</f>
        <v/>
      </c>
      <c r="P405" s="34"/>
    </row>
    <row r="406" spans="1:16">
      <c r="A406" s="34" t="s">
        <v>202</v>
      </c>
      <c r="B406" s="40" t="s">
        <v>204</v>
      </c>
      <c r="C406" s="34" t="s">
        <v>139</v>
      </c>
      <c r="D406" s="40" t="s">
        <v>139</v>
      </c>
      <c r="E406" s="237">
        <v>2.7E-4</v>
      </c>
      <c r="F406" s="168">
        <v>2</v>
      </c>
      <c r="G406" s="34" t="s">
        <v>205</v>
      </c>
      <c r="H406" s="29">
        <v>1</v>
      </c>
      <c r="I406" s="9">
        <v>2</v>
      </c>
      <c r="J406" s="9">
        <v>1</v>
      </c>
      <c r="K406" s="9">
        <v>3</v>
      </c>
      <c r="L406" s="9">
        <v>3</v>
      </c>
      <c r="M406" s="9">
        <v>3</v>
      </c>
      <c r="N406" s="185">
        <f>IF( OR( ISBLANK(H406),ISBLANK(J406), ISBLANK(K406), ISBLANK(L406), ISBLANK(M406) ), "", 1.5*SQRT(   EXP(2.21*(H406-1)) + EXP(2.21*(J406-1)) + EXP(2.21*(K406-1)) + EXP(2.21*(L406-1)) + EXP(2.21*M406)   )/100*2.45 )</f>
        <v>1.1181151966036349</v>
      </c>
      <c r="O406" s="159">
        <f>IF( OR( ISBLANK(I406),ISBLANK(J406), ISBLANK(K406), ISBLANK(L406), ISBLANK(M406) ), "", 1.5*SQRT( EXP(2.21*(I406-1)) + EXP(2.21*(J406-1)) + EXP(2.21*(K406-1)) + EXP(2.21*(L406-1)) + EXP(2.21*M406)   )/100*2.45 )</f>
        <v>1.123005955058592</v>
      </c>
      <c r="P406" s="34"/>
    </row>
    <row r="407" spans="1:16">
      <c r="A407" s="34" t="s">
        <v>202</v>
      </c>
      <c r="B407" s="40" t="s">
        <v>223</v>
      </c>
      <c r="C407" s="34" t="s">
        <v>139</v>
      </c>
      <c r="D407" s="40" t="s">
        <v>139</v>
      </c>
      <c r="E407" s="237" t="s">
        <v>150</v>
      </c>
      <c r="F407" s="168">
        <v>1</v>
      </c>
      <c r="G407" s="34"/>
      <c r="H407" s="29"/>
      <c r="I407" s="9"/>
      <c r="J407" s="9"/>
      <c r="K407" s="9" t="str">
        <f>IF( OR( ISBLANK(#REF!),ISBLANK(G407), ISBLANK(#REF!), ISBLANK(H407), ISBLANK(J407) ), "", 1.5*SQRT(   EXP(2.21*(#REF!-1)) + EXP(2.21*(G407-1)) + EXP(2.21*(#REF!-1)) + EXP(2.21*(H407-1)) + EXP(2.21*J407)   )/100 )</f>
        <v/>
      </c>
      <c r="L407" s="9" t="str">
        <f>IF( OR( ISBLANK(E407),ISBLANK(G407), ISBLANK(#REF!), ISBLANK(H407), ISBLANK(J407) ), "", 1.5*SQRT(   EXP(2.21*(E407-1)) + EXP(2.21*(G407-1)) + EXP(2.21*(#REF!-1)) + EXP(2.21*(H407-1)) + EXP(2.21*J407)   )/100 )</f>
        <v/>
      </c>
      <c r="M407" s="9"/>
      <c r="N407" s="185" t="str">
        <f>IF( OR( ISBLANK(H407),ISBLANK(J407), ISBLANK(K407), ISBLANK(L407), ISBLANK(M407) ), "", 1.5*SQRT(   EXP(2.21*(H407-1)) + EXP(2.21*(J407-1)) + EXP(2.21*(K407-1)) + EXP(2.21*(L407-1)) + EXP(2.21*M407)   )/100*2.45 )</f>
        <v/>
      </c>
      <c r="O407" s="159" t="str">
        <f>IF( OR( ISBLANK(I407),ISBLANK(J407), ISBLANK(K407), ISBLANK(L407), ISBLANK(M407) ), "", 1.5*SQRT( EXP(2.21*(I407-1)) + EXP(2.21*(J407-1)) + EXP(2.21*(K407-1)) + EXP(2.21*(L407-1)) + EXP(2.21*M407)   )/100*2.45 )</f>
        <v/>
      </c>
      <c r="P407" s="34"/>
    </row>
    <row r="408" spans="1:16">
      <c r="A408" s="34" t="s">
        <v>202</v>
      </c>
      <c r="B408" s="40" t="s">
        <v>361</v>
      </c>
      <c r="C408" s="34" t="s">
        <v>139</v>
      </c>
      <c r="D408" s="40" t="s">
        <v>85</v>
      </c>
      <c r="E408" s="237">
        <v>0.1017</v>
      </c>
      <c r="F408" s="168">
        <v>2</v>
      </c>
      <c r="G408" s="34" t="s">
        <v>362</v>
      </c>
      <c r="H408" s="29">
        <v>2</v>
      </c>
      <c r="I408" s="9">
        <v>2</v>
      </c>
      <c r="J408" s="9">
        <v>2</v>
      </c>
      <c r="K408" s="9">
        <v>1</v>
      </c>
      <c r="L408" s="9">
        <v>1</v>
      </c>
      <c r="M408" s="9">
        <v>2</v>
      </c>
      <c r="N408" s="185">
        <f>IF( OR( ISBLANK(H408),ISBLANK(J408), ISBLANK(K408), ISBLANK(L408), ISBLANK(M408) ), "", 1.5*SQRT(   EXP(2.21*(H408-1)) + EXP(2.21*(J408-1)) + EXP(2.21*(K408-1)) + EXP(2.21*(L408-1)) + EXP(2.21*M408)   )/100*2.45 )</f>
        <v>0.37356464144298934</v>
      </c>
      <c r="O408" s="159">
        <f>IF( OR( ISBLANK(I408),ISBLANK(J408), ISBLANK(K408), ISBLANK(L408), ISBLANK(M408) ), "", 1.5*SQRT( EXP(2.21*(I408-1)) + EXP(2.21*(J408-1)) + EXP(2.21*(K408-1)) + EXP(2.21*(L408-1)) + EXP(2.21*M408)   )/100*2.45 )</f>
        <v>0.37356464144298934</v>
      </c>
      <c r="P408" s="34"/>
    </row>
    <row r="409" spans="1:16">
      <c r="A409" s="34" t="s">
        <v>202</v>
      </c>
      <c r="B409" s="40" t="s">
        <v>361</v>
      </c>
      <c r="C409" s="34" t="s">
        <v>139</v>
      </c>
      <c r="D409" s="40" t="s">
        <v>86</v>
      </c>
      <c r="E409" s="237">
        <v>0.28570000000000001</v>
      </c>
      <c r="F409" s="168">
        <v>2</v>
      </c>
      <c r="G409" s="34" t="s">
        <v>362</v>
      </c>
      <c r="H409" s="29">
        <v>2</v>
      </c>
      <c r="I409" s="9">
        <v>2</v>
      </c>
      <c r="J409" s="9">
        <v>2</v>
      </c>
      <c r="K409" s="9">
        <v>1</v>
      </c>
      <c r="L409" s="9">
        <v>1</v>
      </c>
      <c r="M409" s="9">
        <v>2</v>
      </c>
      <c r="N409" s="185">
        <f>IF( OR( ISBLANK(H409),ISBLANK(J409), ISBLANK(K409), ISBLANK(L409), ISBLANK(M409) ), "", 1.5*SQRT(   EXP(2.21*(H409-1)) + EXP(2.21*(J409-1)) + EXP(2.21*(K409-1)) + EXP(2.21*(L409-1)) + EXP(2.21*M409)   )/100*2.45 )</f>
        <v>0.37356464144298934</v>
      </c>
      <c r="O409" s="159">
        <f>IF( OR( ISBLANK(I409),ISBLANK(J409), ISBLANK(K409), ISBLANK(L409), ISBLANK(M409) ), "", 1.5*SQRT( EXP(2.21*(I409-1)) + EXP(2.21*(J409-1)) + EXP(2.21*(K409-1)) + EXP(2.21*(L409-1)) + EXP(2.21*M409)   )/100*2.45 )</f>
        <v>0.37356464144298934</v>
      </c>
      <c r="P409" s="34"/>
    </row>
    <row r="410" spans="1:16">
      <c r="A410" s="34" t="s">
        <v>202</v>
      </c>
      <c r="B410" s="40" t="s">
        <v>361</v>
      </c>
      <c r="C410" s="34" t="s">
        <v>139</v>
      </c>
      <c r="D410" s="40" t="s">
        <v>87</v>
      </c>
      <c r="E410" s="237">
        <v>0.18840000000000001</v>
      </c>
      <c r="F410" s="168">
        <v>2</v>
      </c>
      <c r="G410" s="34" t="s">
        <v>362</v>
      </c>
      <c r="H410" s="29">
        <v>2</v>
      </c>
      <c r="I410" s="9">
        <v>2</v>
      </c>
      <c r="J410" s="9">
        <v>2</v>
      </c>
      <c r="K410" s="9">
        <v>1</v>
      </c>
      <c r="L410" s="9">
        <v>1</v>
      </c>
      <c r="M410" s="9">
        <v>2</v>
      </c>
      <c r="N410" s="185">
        <f>IF( OR( ISBLANK(H410),ISBLANK(J410), ISBLANK(K410), ISBLANK(L410), ISBLANK(M410) ), "", 1.5*SQRT(   EXP(2.21*(H410-1)) + EXP(2.21*(J410-1)) + EXP(2.21*(K410-1)) + EXP(2.21*(L410-1)) + EXP(2.21*M410)   )/100*2.45 )</f>
        <v>0.37356464144298934</v>
      </c>
      <c r="O410" s="159">
        <f>IF( OR( ISBLANK(I410),ISBLANK(J410), ISBLANK(K410), ISBLANK(L410), ISBLANK(M410) ), "", 1.5*SQRT( EXP(2.21*(I410-1)) + EXP(2.21*(J410-1)) + EXP(2.21*(K410-1)) + EXP(2.21*(L410-1)) + EXP(2.21*M410)   )/100*2.45 )</f>
        <v>0.37356464144298934</v>
      </c>
      <c r="P410" s="34"/>
    </row>
    <row r="411" spans="1:16">
      <c r="A411" s="34" t="s">
        <v>202</v>
      </c>
      <c r="B411" s="40" t="s">
        <v>361</v>
      </c>
      <c r="C411" s="34" t="s">
        <v>139</v>
      </c>
      <c r="D411" s="40" t="s">
        <v>88</v>
      </c>
      <c r="E411" s="237">
        <v>0.2</v>
      </c>
      <c r="F411" s="168">
        <v>2</v>
      </c>
      <c r="G411" s="34" t="s">
        <v>362</v>
      </c>
      <c r="H411" s="29">
        <v>2</v>
      </c>
      <c r="I411" s="9">
        <v>2</v>
      </c>
      <c r="J411" s="9">
        <v>2</v>
      </c>
      <c r="K411" s="9">
        <v>1</v>
      </c>
      <c r="L411" s="9">
        <v>1</v>
      </c>
      <c r="M411" s="9">
        <v>2</v>
      </c>
      <c r="N411" s="185">
        <f>IF( OR( ISBLANK(H411),ISBLANK(J411), ISBLANK(K411), ISBLANK(L411), ISBLANK(M411) ), "", 1.5*SQRT(   EXP(2.21*(H411-1)) + EXP(2.21*(J411-1)) + EXP(2.21*(K411-1)) + EXP(2.21*(L411-1)) + EXP(2.21*M411)   )/100*2.45 )</f>
        <v>0.37356464144298934</v>
      </c>
      <c r="O411" s="159">
        <f>IF( OR( ISBLANK(I411),ISBLANK(J411), ISBLANK(K411), ISBLANK(L411), ISBLANK(M411) ), "", 1.5*SQRT( EXP(2.21*(I411-1)) + EXP(2.21*(J411-1)) + EXP(2.21*(K411-1)) + EXP(2.21*(L411-1)) + EXP(2.21*M411)   )/100*2.45 )</f>
        <v>0.37356464144298934</v>
      </c>
      <c r="P411" s="34"/>
    </row>
    <row r="412" spans="1:16">
      <c r="A412" s="34" t="s">
        <v>202</v>
      </c>
      <c r="B412" s="40" t="s">
        <v>361</v>
      </c>
      <c r="C412" s="34" t="s">
        <v>139</v>
      </c>
      <c r="D412" s="40" t="s">
        <v>89</v>
      </c>
      <c r="E412" s="237">
        <v>0.2</v>
      </c>
      <c r="F412" s="168">
        <v>2</v>
      </c>
      <c r="G412" s="34" t="s">
        <v>362</v>
      </c>
      <c r="H412" s="29">
        <v>2</v>
      </c>
      <c r="I412" s="9">
        <v>2</v>
      </c>
      <c r="J412" s="9">
        <v>2</v>
      </c>
      <c r="K412" s="9">
        <v>1</v>
      </c>
      <c r="L412" s="9">
        <v>1</v>
      </c>
      <c r="M412" s="9">
        <v>2</v>
      </c>
      <c r="N412" s="185">
        <f>IF( OR( ISBLANK(H412),ISBLANK(J412), ISBLANK(K412), ISBLANK(L412), ISBLANK(M412) ), "", 1.5*SQRT(   EXP(2.21*(H412-1)) + EXP(2.21*(J412-1)) + EXP(2.21*(K412-1)) + EXP(2.21*(L412-1)) + EXP(2.21*M412)   )/100*2.45 )</f>
        <v>0.37356464144298934</v>
      </c>
      <c r="O412" s="159">
        <f>IF( OR( ISBLANK(I412),ISBLANK(J412), ISBLANK(K412), ISBLANK(L412), ISBLANK(M412) ), "", 1.5*SQRT( EXP(2.21*(I412-1)) + EXP(2.21*(J412-1)) + EXP(2.21*(K412-1)) + EXP(2.21*(L412-1)) + EXP(2.21*M412)   )/100*2.45 )</f>
        <v>0.37356464144298934</v>
      </c>
      <c r="P412" s="34"/>
    </row>
    <row r="413" spans="1:16">
      <c r="A413" s="34" t="s">
        <v>202</v>
      </c>
      <c r="B413" s="40" t="s">
        <v>361</v>
      </c>
      <c r="C413" s="34" t="s">
        <v>139</v>
      </c>
      <c r="D413" s="40" t="s">
        <v>90</v>
      </c>
      <c r="E413" s="237">
        <v>0.2</v>
      </c>
      <c r="F413" s="168">
        <v>2</v>
      </c>
      <c r="G413" s="34" t="s">
        <v>362</v>
      </c>
      <c r="H413" s="29">
        <v>2</v>
      </c>
      <c r="I413" s="9">
        <v>2</v>
      </c>
      <c r="J413" s="9">
        <v>2</v>
      </c>
      <c r="K413" s="9">
        <v>1</v>
      </c>
      <c r="L413" s="9">
        <v>1</v>
      </c>
      <c r="M413" s="9">
        <v>2</v>
      </c>
      <c r="N413" s="185">
        <f>IF( OR( ISBLANK(H413),ISBLANK(J413), ISBLANK(K413), ISBLANK(L413), ISBLANK(M413) ), "", 1.5*SQRT(   EXP(2.21*(H413-1)) + EXP(2.21*(J413-1)) + EXP(2.21*(K413-1)) + EXP(2.21*(L413-1)) + EXP(2.21*M413)   )/100*2.45 )</f>
        <v>0.37356464144298934</v>
      </c>
      <c r="O413" s="159">
        <f>IF( OR( ISBLANK(I413),ISBLANK(J413), ISBLANK(K413), ISBLANK(L413), ISBLANK(M413) ), "", 1.5*SQRT( EXP(2.21*(I413-1)) + EXP(2.21*(J413-1)) + EXP(2.21*(K413-1)) + EXP(2.21*(L413-1)) + EXP(2.21*M413)   )/100*2.45 )</f>
        <v>0.37356464144298934</v>
      </c>
      <c r="P413" s="34"/>
    </row>
    <row r="414" spans="1:16">
      <c r="A414" s="34" t="s">
        <v>202</v>
      </c>
      <c r="B414" s="40" t="s">
        <v>361</v>
      </c>
      <c r="C414" s="34" t="s">
        <v>139</v>
      </c>
      <c r="D414" s="40" t="s">
        <v>91</v>
      </c>
      <c r="E414" s="237">
        <v>0.2</v>
      </c>
      <c r="F414" s="168">
        <v>2</v>
      </c>
      <c r="G414" s="34" t="s">
        <v>362</v>
      </c>
      <c r="H414" s="29">
        <v>2</v>
      </c>
      <c r="I414" s="9">
        <v>2</v>
      </c>
      <c r="J414" s="9">
        <v>2</v>
      </c>
      <c r="K414" s="9">
        <v>1</v>
      </c>
      <c r="L414" s="9">
        <v>1</v>
      </c>
      <c r="M414" s="9">
        <v>2</v>
      </c>
      <c r="N414" s="185">
        <f>IF( OR( ISBLANK(H414),ISBLANK(J414), ISBLANK(K414), ISBLANK(L414), ISBLANK(M414) ), "", 1.5*SQRT(   EXP(2.21*(H414-1)) + EXP(2.21*(J414-1)) + EXP(2.21*(K414-1)) + EXP(2.21*(L414-1)) + EXP(2.21*M414)   )/100*2.45 )</f>
        <v>0.37356464144298934</v>
      </c>
      <c r="O414" s="159">
        <f>IF( OR( ISBLANK(I414),ISBLANK(J414), ISBLANK(K414), ISBLANK(L414), ISBLANK(M414) ), "", 1.5*SQRT( EXP(2.21*(I414-1)) + EXP(2.21*(J414-1)) + EXP(2.21*(K414-1)) + EXP(2.21*(L414-1)) + EXP(2.21*M414)   )/100*2.45 )</f>
        <v>0.37356464144298934</v>
      </c>
      <c r="P414" s="34"/>
    </row>
    <row r="415" spans="1:16">
      <c r="A415" s="34" t="s">
        <v>202</v>
      </c>
      <c r="B415" s="40" t="s">
        <v>244</v>
      </c>
      <c r="C415" s="34" t="s">
        <v>139</v>
      </c>
      <c r="D415" s="40" t="s">
        <v>139</v>
      </c>
      <c r="E415" s="237">
        <v>0</v>
      </c>
      <c r="F415" s="168">
        <v>1</v>
      </c>
      <c r="G415" s="34" t="s">
        <v>145</v>
      </c>
      <c r="H415" s="29"/>
      <c r="I415" s="9"/>
      <c r="J415" s="9"/>
      <c r="K415" s="9"/>
      <c r="L415" s="9"/>
      <c r="M415" s="9"/>
      <c r="N415" s="185" t="str">
        <f>IF( OR( ISBLANK(H415),ISBLANK(J415), ISBLANK(K415), ISBLANK(L415), ISBLANK(M415) ), "", 1.5*SQRT(   EXP(2.21*(H415-1)) + EXP(2.21*(J415-1)) + EXP(2.21*(K415-1)) + EXP(2.21*(L415-1)) + EXP(2.21*M415)   )/100*2.45 )</f>
        <v/>
      </c>
      <c r="O415" s="159" t="str">
        <f>IF( OR( ISBLANK(I415),ISBLANK(J415), ISBLANK(K415), ISBLANK(L415), ISBLANK(M415) ), "", 1.5*SQRT( EXP(2.21*(I415-1)) + EXP(2.21*(J415-1)) + EXP(2.21*(K415-1)) + EXP(2.21*(L415-1)) + EXP(2.21*M415)   )/100*2.45 )</f>
        <v/>
      </c>
      <c r="P415" s="34"/>
    </row>
    <row r="416" spans="1:16">
      <c r="A416" s="34" t="s">
        <v>156</v>
      </c>
      <c r="B416" s="40" t="s">
        <v>155</v>
      </c>
      <c r="C416" s="34" t="s">
        <v>139</v>
      </c>
      <c r="D416" s="40" t="s">
        <v>139</v>
      </c>
      <c r="E416" s="237" t="s">
        <v>150</v>
      </c>
      <c r="F416" s="168">
        <v>1</v>
      </c>
      <c r="G416" s="1180" t="s">
        <v>157</v>
      </c>
      <c r="H416" s="29">
        <v>1</v>
      </c>
      <c r="I416" s="9">
        <v>1</v>
      </c>
      <c r="J416" s="9">
        <v>1</v>
      </c>
      <c r="K416" s="9">
        <v>3</v>
      </c>
      <c r="L416" s="9">
        <v>3</v>
      </c>
      <c r="M416" s="9">
        <v>3</v>
      </c>
      <c r="N416" s="185">
        <f>IF( OR( ISBLANK(H416),ISBLANK(J416), ISBLANK(K416), ISBLANK(L416), ISBLANK(M416) ), "", 1.5*SQRT(   EXP(2.21*(H416-1)) + EXP(2.21*(J416-1)) + EXP(2.21*(K416-1)) + EXP(2.21*(L416-1)) + EXP(2.21*M416)   )/100*2.45 )</f>
        <v>1.1181151966036349</v>
      </c>
      <c r="O416" s="159">
        <f>IF( OR( ISBLANK(I416),ISBLANK(J416), ISBLANK(K416), ISBLANK(L416), ISBLANK(M416) ), "", 1.5*SQRT( EXP(2.21*(I416-1)) + EXP(2.21*(J416-1)) + EXP(2.21*(K416-1)) + EXP(2.21*(L416-1)) + EXP(2.21*M416)   )/100*2.45 )</f>
        <v>1.1181151966036349</v>
      </c>
      <c r="P416" s="34" t="s">
        <v>158</v>
      </c>
    </row>
    <row r="417" spans="1:16">
      <c r="A417" s="34" t="s">
        <v>156</v>
      </c>
      <c r="B417" s="40" t="s">
        <v>143</v>
      </c>
      <c r="C417" s="34" t="s">
        <v>139</v>
      </c>
      <c r="D417" s="40" t="s">
        <v>139</v>
      </c>
      <c r="E417" s="237">
        <v>0.05</v>
      </c>
      <c r="F417" s="168">
        <v>2</v>
      </c>
      <c r="G417" s="34" t="s">
        <v>166</v>
      </c>
      <c r="H417" s="29">
        <v>1</v>
      </c>
      <c r="I417" s="9">
        <v>1</v>
      </c>
      <c r="J417" s="9">
        <v>1</v>
      </c>
      <c r="K417" s="9">
        <v>3</v>
      </c>
      <c r="L417" s="9">
        <v>3</v>
      </c>
      <c r="M417" s="9">
        <v>3</v>
      </c>
      <c r="N417" s="185">
        <f>IF( OR( ISBLANK(H417),ISBLANK(J417), ISBLANK(K417), ISBLANK(L417), ISBLANK(M417) ), "", 1.5*SQRT(   EXP(2.21*(H417-1)) + EXP(2.21*(J417-1)) + EXP(2.21*(K417-1)) + EXP(2.21*(L417-1)) + EXP(2.21*M417)   )/100*2.45 )</f>
        <v>1.1181151966036349</v>
      </c>
      <c r="O417" s="159">
        <f>IF( OR( ISBLANK(I417),ISBLANK(J417), ISBLANK(K417), ISBLANK(L417), ISBLANK(M417) ), "", 1.5*SQRT( EXP(2.21*(I417-1)) + EXP(2.21*(J417-1)) + EXP(2.21*(K417-1)) + EXP(2.21*(L417-1)) + EXP(2.21*M417)   )/100*2.45 )</f>
        <v>1.1181151966036349</v>
      </c>
      <c r="P417" s="34" t="s">
        <v>158</v>
      </c>
    </row>
    <row r="418" spans="1:16">
      <c r="A418" s="34" t="s">
        <v>227</v>
      </c>
      <c r="B418" s="40" t="s">
        <v>327</v>
      </c>
      <c r="C418" s="34" t="s">
        <v>139</v>
      </c>
      <c r="D418" s="40" t="s">
        <v>139</v>
      </c>
      <c r="E418" s="237">
        <v>0.05</v>
      </c>
      <c r="F418" s="168">
        <v>2</v>
      </c>
      <c r="G418" s="34" t="s">
        <v>344</v>
      </c>
      <c r="H418" s="29">
        <v>1</v>
      </c>
      <c r="I418" s="9">
        <v>1</v>
      </c>
      <c r="J418" s="9">
        <v>2</v>
      </c>
      <c r="K418" s="9">
        <v>3</v>
      </c>
      <c r="L418" s="9">
        <v>1</v>
      </c>
      <c r="M418" s="9">
        <v>3</v>
      </c>
      <c r="N418" s="185">
        <f>IF( OR( ISBLANK(H418),ISBLANK(J418), ISBLANK(K418), ISBLANK(L418), ISBLANK(M418) ), "", 1.5*SQRT(   EXP(2.21*(H418-1)) + EXP(2.21*(J418-1)) + EXP(2.21*(K418-1)) + EXP(2.21*(L418-1)) + EXP(2.21*M418)   )/100*2.45 )</f>
        <v>1.0725046436742278</v>
      </c>
      <c r="O418" s="159">
        <f>IF( OR( ISBLANK(I418),ISBLANK(J418), ISBLANK(K418), ISBLANK(L418), ISBLANK(M418) ), "", 1.5*SQRT( EXP(2.21*(I418-1)) + EXP(2.21*(J418-1)) + EXP(2.21*(K418-1)) + EXP(2.21*(L418-1)) + EXP(2.21*M418)   )/100*2.45 )</f>
        <v>1.0725046436742278</v>
      </c>
      <c r="P418" s="34" t="s">
        <v>345</v>
      </c>
    </row>
    <row r="419" spans="1:16">
      <c r="A419" s="34" t="s">
        <v>227</v>
      </c>
      <c r="B419" s="40" t="s">
        <v>232</v>
      </c>
      <c r="C419" s="34" t="s">
        <v>139</v>
      </c>
      <c r="D419" s="40" t="s">
        <v>139</v>
      </c>
      <c r="E419" s="237" t="s">
        <v>150</v>
      </c>
      <c r="F419" s="168">
        <v>1</v>
      </c>
      <c r="G419" s="34"/>
      <c r="H419" s="29"/>
      <c r="I419" s="9"/>
      <c r="J419" s="9"/>
      <c r="K419" s="9"/>
      <c r="L419" s="9"/>
      <c r="M419" s="9"/>
      <c r="N419" s="185" t="str">
        <f>IF( OR( ISBLANK(H419),ISBLANK(J419), ISBLANK(K419), ISBLANK(L419), ISBLANK(M419) ), "", 1.5*SQRT(   EXP(2.21*(H419-1)) + EXP(2.21*(J419-1)) + EXP(2.21*(K419-1)) + EXP(2.21*(L419-1)) + EXP(2.21*M419)   )/100*2.45 )</f>
        <v/>
      </c>
      <c r="O419" s="159" t="str">
        <f>IF( OR( ISBLANK(I419),ISBLANK(J419), ISBLANK(K419), ISBLANK(L419), ISBLANK(M419) ), "", 1.5*SQRT( EXP(2.21*(I419-1)) + EXP(2.21*(J419-1)) + EXP(2.21*(K419-1)) + EXP(2.21*(L419-1)) + EXP(2.21*M419)   )/100*2.45 )</f>
        <v/>
      </c>
      <c r="P419" s="34"/>
    </row>
    <row r="420" spans="1:16">
      <c r="A420" s="34" t="s">
        <v>234</v>
      </c>
      <c r="B420" s="260" t="s">
        <v>204</v>
      </c>
      <c r="C420" s="55" t="s">
        <v>139</v>
      </c>
      <c r="D420" s="260" t="s">
        <v>139</v>
      </c>
      <c r="E420" s="237">
        <v>2.7E-4</v>
      </c>
      <c r="F420" s="168">
        <v>2</v>
      </c>
      <c r="G420" s="55" t="s">
        <v>163</v>
      </c>
      <c r="H420" s="29">
        <v>2</v>
      </c>
      <c r="I420" s="9">
        <v>2</v>
      </c>
      <c r="J420" s="9">
        <v>2</v>
      </c>
      <c r="K420" s="9">
        <v>3</v>
      </c>
      <c r="L420" s="9">
        <v>3</v>
      </c>
      <c r="M420" s="9">
        <v>3</v>
      </c>
      <c r="N420" s="185">
        <f>IF( OR( ISBLANK(H420),ISBLANK(J420), ISBLANK(K420), ISBLANK(L420), ISBLANK(M420) ), "", 1.5*SQRT(   EXP(2.21*(H420-1)) + EXP(2.21*(J420-1)) + EXP(2.21*(K420-1)) + EXP(2.21*(L420-1)) + EXP(2.21*M420)   )/100*2.45 )</f>
        <v>1.1278755061256258</v>
      </c>
      <c r="O420" s="159">
        <f>IF( OR( ISBLANK(I420),ISBLANK(J420), ISBLANK(K420), ISBLANK(L420), ISBLANK(M420) ), "", 1.5*SQRT( EXP(2.21*(I420-1)) + EXP(2.21*(J420-1)) + EXP(2.21*(K420-1)) + EXP(2.21*(L420-1)) + EXP(2.21*M420)   )/100*2.45 )</f>
        <v>1.1278755061256258</v>
      </c>
      <c r="P420" s="34"/>
    </row>
    <row r="421" spans="1:16">
      <c r="A421" s="34" t="s">
        <v>234</v>
      </c>
      <c r="B421" s="260" t="s">
        <v>223</v>
      </c>
      <c r="C421" s="55" t="s">
        <v>139</v>
      </c>
      <c r="D421" s="260" t="s">
        <v>139</v>
      </c>
      <c r="E421" s="237" t="s">
        <v>150</v>
      </c>
      <c r="F421" s="168">
        <v>1</v>
      </c>
      <c r="G421" s="55" t="s">
        <v>340</v>
      </c>
      <c r="H421" s="29"/>
      <c r="I421" s="9"/>
      <c r="J421" s="9"/>
      <c r="K421" s="9"/>
      <c r="L421" s="9"/>
      <c r="M421" s="9"/>
      <c r="N421" s="185" t="str">
        <f>IF( OR( ISBLANK(H421),ISBLANK(J421), ISBLANK(K421), ISBLANK(L421), ISBLANK(M421) ), "", 1.5*SQRT(   EXP(2.21*(H421-1)) + EXP(2.21*(J421-1)) + EXP(2.21*(K421-1)) + EXP(2.21*(L421-1)) + EXP(2.21*M421)   )/100*2.45 )</f>
        <v/>
      </c>
      <c r="O421" s="159" t="str">
        <f>IF( OR( ISBLANK(I421),ISBLANK(J421), ISBLANK(K421), ISBLANK(L421), ISBLANK(M421) ), "", 1.5*SQRT( EXP(2.21*(I421-1)) + EXP(2.21*(J421-1)) + EXP(2.21*(K421-1)) + EXP(2.21*(L421-1)) + EXP(2.21*M421)   )/100*2.45 )</f>
        <v/>
      </c>
      <c r="P421" s="34"/>
    </row>
    <row r="422" spans="1:16">
      <c r="A422" s="55" t="s">
        <v>234</v>
      </c>
      <c r="B422" s="260" t="s">
        <v>232</v>
      </c>
      <c r="C422" s="55" t="s">
        <v>139</v>
      </c>
      <c r="D422" s="260" t="s">
        <v>139</v>
      </c>
      <c r="E422" s="237">
        <v>1.7569999999999999E-2</v>
      </c>
      <c r="F422" s="168">
        <v>2</v>
      </c>
      <c r="G422" s="55" t="s">
        <v>168</v>
      </c>
      <c r="H422" s="29">
        <v>2</v>
      </c>
      <c r="I422" s="9">
        <v>2</v>
      </c>
      <c r="J422" s="9">
        <v>3</v>
      </c>
      <c r="K422" s="9">
        <v>1</v>
      </c>
      <c r="L422" s="9">
        <v>1</v>
      </c>
      <c r="M422" s="9">
        <v>1</v>
      </c>
      <c r="N422" s="185">
        <f>IF( OR( ISBLANK(H422),ISBLANK(J422), ISBLANK(K422), ISBLANK(L422), ISBLANK(M422) ), "", 1.5*SQRT(   EXP(2.21*(H422-1)) + EXP(2.21*(J422-1)) + EXP(2.21*(K422-1)) + EXP(2.21*(L422-1)) + EXP(2.21*M422)   )/100*2.45 )</f>
        <v>0.37356464144298934</v>
      </c>
      <c r="O422" s="159">
        <f>IF( OR( ISBLANK(I422),ISBLANK(J422), ISBLANK(K422), ISBLANK(L422), ISBLANK(M422) ), "", 1.5*SQRT( EXP(2.21*(I422-1)) + EXP(2.21*(J422-1)) + EXP(2.21*(K422-1)) + EXP(2.21*(L422-1)) + EXP(2.21*M422)   )/100*2.45 )</f>
        <v>0.37356464144298934</v>
      </c>
      <c r="P422" s="34"/>
    </row>
    <row r="423" spans="1:16">
      <c r="A423" s="34" t="s">
        <v>109</v>
      </c>
      <c r="B423" s="40" t="s">
        <v>256</v>
      </c>
      <c r="C423" s="34" t="s">
        <v>139</v>
      </c>
      <c r="D423" s="40" t="s">
        <v>139</v>
      </c>
      <c r="E423" s="237" t="s">
        <v>150</v>
      </c>
      <c r="F423" s="40">
        <v>1</v>
      </c>
      <c r="G423" s="34"/>
      <c r="H423" s="29">
        <v>1</v>
      </c>
      <c r="I423" s="9"/>
      <c r="J423" s="9">
        <v>1</v>
      </c>
      <c r="K423" s="9">
        <v>1</v>
      </c>
      <c r="L423" s="9">
        <v>2</v>
      </c>
      <c r="M423" s="9">
        <v>2</v>
      </c>
      <c r="N423" s="185">
        <f>IF( OR( ISBLANK(H423),ISBLANK(J423), ISBLANK(K423), ISBLANK(L423), ISBLANK(M423) ), "", 1.5*SQRT(   EXP(2.21*(H423-1)) + EXP(2.21*(J423-1)) + EXP(2.21*(K423-1)) + EXP(2.21*(L423-1)) + EXP(2.21*M423)   )/100*2.45 )</f>
        <v>0.35859414261160716</v>
      </c>
      <c r="O423" s="159" t="str">
        <f>IF( OR( ISBLANK(I423),ISBLANK(J423), ISBLANK(K423), ISBLANK(L423), ISBLANK(M423) ), "", 1.5*SQRT( EXP(2.21*(I423-1)) + EXP(2.21*(J423-1)) + EXP(2.21*(K423-1)) + EXP(2.21*(L423-1)) + EXP(2.21*M423)   )/100*2.45 )</f>
        <v/>
      </c>
      <c r="P423" s="34"/>
    </row>
    <row r="424" spans="1:16">
      <c r="A424" s="34" t="s">
        <v>109</v>
      </c>
      <c r="B424" s="40" t="s">
        <v>261</v>
      </c>
      <c r="C424" s="34" t="s">
        <v>139</v>
      </c>
      <c r="D424" s="40" t="s">
        <v>139</v>
      </c>
      <c r="E424" s="1195">
        <v>9.9999999999999995E-7</v>
      </c>
      <c r="F424" s="40">
        <v>2</v>
      </c>
      <c r="G424" s="37" t="s">
        <v>1974</v>
      </c>
      <c r="H424" s="29">
        <v>2</v>
      </c>
      <c r="I424" s="9">
        <v>2</v>
      </c>
      <c r="J424" s="9">
        <v>3</v>
      </c>
      <c r="K424" s="9">
        <v>3</v>
      </c>
      <c r="L424" s="9">
        <v>3</v>
      </c>
      <c r="M424" s="9">
        <v>2</v>
      </c>
      <c r="N424" s="185">
        <f>IF( OR( ISBLANK(H424),ISBLANK(J424), ISBLANK(K424), ISBLANK(L424), ISBLANK(M424) ), "", 1.5*SQRT(   EXP(2.21*(H424-1)) + EXP(2.21*(J424-1)) + EXP(2.21*(K424-1)) + EXP(2.21*(L424-1)) + EXP(2.21*M424)   )/100*2.45 )</f>
        <v>0.67913051197703389</v>
      </c>
      <c r="O424" s="159">
        <f>IF( OR( ISBLANK(I424),ISBLANK(J424), ISBLANK(K424), ISBLANK(L424), ISBLANK(M424) ), "", 1.5*SQRT( EXP(2.21*(I424-1)) + EXP(2.21*(J424-1)) + EXP(2.21*(K424-1)) + EXP(2.21*(L424-1)) + EXP(2.21*M424)   )/100*2.45 )</f>
        <v>0.67913051197703389</v>
      </c>
      <c r="P424" s="34" t="s">
        <v>504</v>
      </c>
    </row>
    <row r="425" spans="1:16">
      <c r="A425" s="34" t="s">
        <v>109</v>
      </c>
      <c r="B425" s="40" t="s">
        <v>261</v>
      </c>
      <c r="C425" s="34" t="s">
        <v>139</v>
      </c>
      <c r="D425" s="40" t="s">
        <v>139</v>
      </c>
      <c r="E425" s="1195">
        <v>4.0000000000000002E-4</v>
      </c>
      <c r="F425" s="40">
        <v>2</v>
      </c>
      <c r="G425" s="37" t="s">
        <v>1974</v>
      </c>
      <c r="H425" s="29">
        <v>2</v>
      </c>
      <c r="I425" s="9">
        <v>2</v>
      </c>
      <c r="J425" s="9">
        <v>3</v>
      </c>
      <c r="K425" s="9">
        <v>3</v>
      </c>
      <c r="L425" s="9">
        <v>3</v>
      </c>
      <c r="M425" s="9">
        <v>2</v>
      </c>
      <c r="N425" s="185">
        <f>IF( OR( ISBLANK(H425),ISBLANK(J425), ISBLANK(K425), ISBLANK(L425), ISBLANK(M425) ), "", 1.5*SQRT(   EXP(2.21*(H425-1)) + EXP(2.21*(J425-1)) + EXP(2.21*(K425-1)) + EXP(2.21*(L425-1)) + EXP(2.21*M425)   )/100*2.45 )</f>
        <v>0.67913051197703389</v>
      </c>
      <c r="O425" s="159">
        <f>IF( OR( ISBLANK(I425),ISBLANK(J425), ISBLANK(K425), ISBLANK(L425), ISBLANK(M425) ), "", 1.5*SQRT( EXP(2.21*(I425-1)) + EXP(2.21*(J425-1)) + EXP(2.21*(K425-1)) + EXP(2.21*(L425-1)) + EXP(2.21*M425)   )/100*2.45 )</f>
        <v>0.67913051197703389</v>
      </c>
      <c r="P425" s="34" t="s">
        <v>504</v>
      </c>
    </row>
    <row r="426" spans="1:16">
      <c r="A426" s="34" t="str">
        <f>Clothing!A487</f>
        <v>Dresses skirts and jumpsuits</v>
      </c>
      <c r="B426" s="40" t="str">
        <f>Clothing!B487</f>
        <v>Clothing washed (in use)</v>
      </c>
      <c r="C426" s="34" t="str">
        <f>Clothing!C487</f>
        <v>any</v>
      </c>
      <c r="D426" s="40" t="str">
        <f>Clothing!D487</f>
        <v>any</v>
      </c>
      <c r="E426" s="34">
        <f>Clothing!E487</f>
        <v>1.3554814450000001E-2</v>
      </c>
      <c r="F426" s="40">
        <f>Clothing!F487</f>
        <v>2</v>
      </c>
      <c r="G426" s="34" t="str">
        <f>Clothing!G487</f>
        <v>Computed from wearing, washing, drying TCs</v>
      </c>
      <c r="H426" s="1188">
        <f>Clothing!H487</f>
        <v>2</v>
      </c>
      <c r="I426" s="307">
        <f>Clothing!I487</f>
        <v>2</v>
      </c>
      <c r="J426" s="307">
        <f>Clothing!J487</f>
        <v>2</v>
      </c>
      <c r="K426" s="307">
        <f>Clothing!K487</f>
        <v>2</v>
      </c>
      <c r="L426" s="307">
        <f>Clothing!L487</f>
        <v>2</v>
      </c>
      <c r="M426" s="307">
        <f>Clothing!M487</f>
        <v>2</v>
      </c>
      <c r="N426" s="185">
        <f>IF( OR( ISBLANK(H426),ISBLANK(J426), ISBLANK(K426), ISBLANK(L426), ISBLANK(M426) ), "", 1.5*SQRT(   EXP(2.21*(H426-1)) + EXP(2.21*(J426-1)) + EXP(2.21*(K426-1)) + EXP(2.21*(L426-1)) + EXP(2.21*M426)   )/100*2.45 )</f>
        <v>0.40183591897512122</v>
      </c>
      <c r="O426" s="159">
        <f>IF( OR( ISBLANK(I426),ISBLANK(J426), ISBLANK(K426), ISBLANK(L426), ISBLANK(M426) ), "", 1.5*SQRT( EXP(2.21*(I426-1)) + EXP(2.21*(J426-1)) + EXP(2.21*(K426-1)) + EXP(2.21*(L426-1)) + EXP(2.21*M426)   )/100*2.45 )</f>
        <v>0.40183591897512122</v>
      </c>
      <c r="P426" s="973"/>
    </row>
    <row r="427" spans="1:16">
      <c r="A427" s="34" t="str">
        <f>Clothing!A488</f>
        <v>Dresses skirts and jumpsuits</v>
      </c>
      <c r="B427" s="40" t="str">
        <f>Clothing!B488</f>
        <v>Clothing washed (discarded)</v>
      </c>
      <c r="C427" s="34" t="str">
        <f>Clothing!C488</f>
        <v>any</v>
      </c>
      <c r="D427" s="40" t="str">
        <f>Clothing!D488</f>
        <v>any</v>
      </c>
      <c r="E427" s="34" t="str">
        <f>Clothing!E488</f>
        <v>rest</v>
      </c>
      <c r="F427" s="40">
        <f>Clothing!F488</f>
        <v>1</v>
      </c>
      <c r="G427" s="34"/>
      <c r="H427" s="1188"/>
      <c r="I427" s="307"/>
      <c r="J427" s="307"/>
      <c r="K427" s="307"/>
      <c r="L427" s="307"/>
      <c r="M427" s="307"/>
      <c r="N427" s="185" t="str">
        <f>IF( OR( ISBLANK(H427),ISBLANK(J427), ISBLANK(K427), ISBLANK(L427), ISBLANK(M427) ), "", 1.5*SQRT(   EXP(2.21*(H427-1)) + EXP(2.21*(J427-1)) + EXP(2.21*(K427-1)) + EXP(2.21*(L427-1)) + EXP(2.21*M427)   )/100*2.45 )</f>
        <v/>
      </c>
      <c r="O427" s="159" t="str">
        <f>IF( OR( ISBLANK(I427),ISBLANK(J427), ISBLANK(K427), ISBLANK(L427), ISBLANK(M427) ), "", 1.5*SQRT( EXP(2.21*(I427-1)) + EXP(2.21*(J427-1)) + EXP(2.21*(K427-1)) + EXP(2.21*(L427-1)) + EXP(2.21*M427)   )/100*2.45 )</f>
        <v/>
      </c>
      <c r="P427" s="973"/>
    </row>
    <row r="428" spans="1:16">
      <c r="A428" s="34" t="s">
        <v>204</v>
      </c>
      <c r="B428" s="40" t="s">
        <v>315</v>
      </c>
      <c r="C428" s="34" t="s">
        <v>139</v>
      </c>
      <c r="D428" s="40" t="s">
        <v>139</v>
      </c>
      <c r="E428" s="237">
        <v>0.33</v>
      </c>
      <c r="F428" s="168">
        <v>2</v>
      </c>
      <c r="G428" s="34" t="s">
        <v>316</v>
      </c>
      <c r="H428" s="29">
        <v>2</v>
      </c>
      <c r="I428" s="9"/>
      <c r="J428" s="9">
        <v>1</v>
      </c>
      <c r="K428" s="9">
        <v>3</v>
      </c>
      <c r="L428" s="9">
        <v>1</v>
      </c>
      <c r="M428" s="9">
        <v>2</v>
      </c>
      <c r="N428" s="185">
        <f>IF( OR( ISBLANK(H428),ISBLANK(J428), ISBLANK(K428), ISBLANK(L428), ISBLANK(M428) ), "", 1.5*SQRT(   EXP(2.21*(H428-1)) + EXP(2.21*(J428-1)) + EXP(2.21*(K428-1)) + EXP(2.21*(L428-1)) + EXP(2.21*M428)   )/100*2.45 )</f>
        <v>0.48935255543384243</v>
      </c>
      <c r="O428" s="159" t="str">
        <f>IF( OR( ISBLANK(I428),ISBLANK(J428), ISBLANK(K428), ISBLANK(L428), ISBLANK(M428) ), "", 1.5*SQRT( EXP(2.21*(I428-1)) + EXP(2.21*(J428-1)) + EXP(2.21*(K428-1)) + EXP(2.21*(L428-1)) + EXP(2.21*M428)   )/100*2.45 )</f>
        <v/>
      </c>
      <c r="P428" s="34"/>
    </row>
    <row r="429" spans="1:16">
      <c r="A429" s="34" t="s">
        <v>204</v>
      </c>
      <c r="B429" s="40" t="s">
        <v>319</v>
      </c>
      <c r="C429" s="34" t="s">
        <v>139</v>
      </c>
      <c r="D429" s="40" t="s">
        <v>139</v>
      </c>
      <c r="E429" s="237">
        <v>0.16</v>
      </c>
      <c r="F429" s="168">
        <v>2</v>
      </c>
      <c r="G429" s="34" t="s">
        <v>316</v>
      </c>
      <c r="H429" s="29">
        <v>2</v>
      </c>
      <c r="I429" s="9"/>
      <c r="J429" s="9">
        <v>1</v>
      </c>
      <c r="K429" s="9">
        <v>3</v>
      </c>
      <c r="L429" s="9">
        <v>1</v>
      </c>
      <c r="M429" s="9">
        <v>2</v>
      </c>
      <c r="N429" s="185">
        <f>IF( OR( ISBLANK(H429),ISBLANK(J429), ISBLANK(K429), ISBLANK(L429), ISBLANK(M429) ), "", 1.5*SQRT(   EXP(2.21*(H429-1)) + EXP(2.21*(J429-1)) + EXP(2.21*(K429-1)) + EXP(2.21*(L429-1)) + EXP(2.21*M429)   )/100*2.45 )</f>
        <v>0.48935255543384243</v>
      </c>
      <c r="O429" s="159" t="str">
        <f>IF( OR( ISBLANK(I429),ISBLANK(J429), ISBLANK(K429), ISBLANK(L429), ISBLANK(M429) ), "", 1.5*SQRT( EXP(2.21*(I429-1)) + EXP(2.21*(J429-1)) + EXP(2.21*(K429-1)) + EXP(2.21*(L429-1)) + EXP(2.21*M429)   )/100*2.45 )</f>
        <v/>
      </c>
      <c r="P429" s="34"/>
    </row>
    <row r="430" spans="1:16">
      <c r="A430" s="34" t="s">
        <v>204</v>
      </c>
      <c r="B430" s="40" t="s">
        <v>308</v>
      </c>
      <c r="C430" s="34" t="s">
        <v>139</v>
      </c>
      <c r="D430" s="40" t="s">
        <v>139</v>
      </c>
      <c r="E430" s="237">
        <v>0.51</v>
      </c>
      <c r="F430" s="168">
        <v>2</v>
      </c>
      <c r="G430" s="34" t="s">
        <v>316</v>
      </c>
      <c r="H430" s="29">
        <v>2</v>
      </c>
      <c r="I430" s="9"/>
      <c r="J430" s="9">
        <v>1</v>
      </c>
      <c r="K430" s="9">
        <v>3</v>
      </c>
      <c r="L430" s="9">
        <v>1</v>
      </c>
      <c r="M430" s="9">
        <v>2</v>
      </c>
      <c r="N430" s="185">
        <f>IF( OR( ISBLANK(H430),ISBLANK(J430), ISBLANK(K430), ISBLANK(L430), ISBLANK(M430) ), "", 1.5*SQRT(   EXP(2.21*(H430-1)) + EXP(2.21*(J430-1)) + EXP(2.21*(K430-1)) + EXP(2.21*(L430-1)) + EXP(2.21*M430)   )/100*2.45 )</f>
        <v>0.48935255543384243</v>
      </c>
      <c r="O430" s="159" t="str">
        <f>IF( OR( ISBLANK(I430),ISBLANK(J430), ISBLANK(K430), ISBLANK(L430), ISBLANK(M430) ), "", 1.5*SQRT( EXP(2.21*(I430-1)) + EXP(2.21*(J430-1)) + EXP(2.21*(K430-1)) + EXP(2.21*(L430-1)) + EXP(2.21*M430)   )/100*2.45 )</f>
        <v/>
      </c>
      <c r="P430" s="34"/>
    </row>
    <row r="431" spans="1:16">
      <c r="A431" s="55" t="s">
        <v>178</v>
      </c>
      <c r="B431" s="260" t="s">
        <v>184</v>
      </c>
      <c r="C431" s="55" t="s">
        <v>139</v>
      </c>
      <c r="D431" s="260" t="s">
        <v>139</v>
      </c>
      <c r="E431" s="237" t="s">
        <v>150</v>
      </c>
      <c r="F431" s="168">
        <v>1</v>
      </c>
      <c r="G431" s="55"/>
      <c r="H431" s="29"/>
      <c r="I431" s="9"/>
      <c r="J431" s="9"/>
      <c r="K431" s="9"/>
      <c r="L431" s="9"/>
      <c r="M431" s="9"/>
      <c r="N431" s="185" t="str">
        <f>IF( OR( ISBLANK(H431),ISBLANK(J431), ISBLANK(K431), ISBLANK(L431), ISBLANK(M431) ), "", 1.5*SQRT(   EXP(2.21*(H431-1)) + EXP(2.21*(J431-1)) + EXP(2.21*(K431-1)) + EXP(2.21*(L431-1)) + EXP(2.21*M431)   )/100*2.45 )</f>
        <v/>
      </c>
      <c r="O431" s="159" t="str">
        <f>IF( OR( ISBLANK(I431),ISBLANK(J431), ISBLANK(K431), ISBLANK(L431), ISBLANK(M431) ), "", 1.5*SQRT( EXP(2.21*(I431-1)) + EXP(2.21*(J431-1)) + EXP(2.21*(K431-1)) + EXP(2.21*(L431-1)) + EXP(2.21*M431)   )/100*2.45 )</f>
        <v/>
      </c>
      <c r="P431" s="34"/>
    </row>
    <row r="432" spans="1:16">
      <c r="A432" s="55" t="s">
        <v>178</v>
      </c>
      <c r="B432" s="260" t="s">
        <v>179</v>
      </c>
      <c r="C432" s="55" t="s">
        <v>180</v>
      </c>
      <c r="D432" s="260" t="s">
        <v>139</v>
      </c>
      <c r="E432" s="237">
        <v>1</v>
      </c>
      <c r="F432" s="168">
        <v>2</v>
      </c>
      <c r="G432" s="55" t="s">
        <v>181</v>
      </c>
      <c r="H432" s="29"/>
      <c r="I432" s="9"/>
      <c r="J432" s="9"/>
      <c r="K432" s="9"/>
      <c r="L432" s="9"/>
      <c r="M432" s="9"/>
      <c r="N432" s="185" t="str">
        <f>IF( OR( ISBLANK(H432),ISBLANK(J432), ISBLANK(K432), ISBLANK(L432), ISBLANK(M432) ), "", 1.5*SQRT(   EXP(2.21*(H432-1)) + EXP(2.21*(J432-1)) + EXP(2.21*(K432-1)) + EXP(2.21*(L432-1)) + EXP(2.21*M432)   )/100*2.45 )</f>
        <v/>
      </c>
      <c r="O432" s="159" t="str">
        <f>IF( OR( ISBLANK(I432),ISBLANK(J432), ISBLANK(K432), ISBLANK(L432), ISBLANK(M432) ), "", 1.5*SQRT( EXP(2.21*(I432-1)) + EXP(2.21*(J432-1)) + EXP(2.21*(K432-1)) + EXP(2.21*(L432-1)) + EXP(2.21*M432)   )/100*2.45 )</f>
        <v/>
      </c>
      <c r="P432" s="34"/>
    </row>
    <row r="433" spans="1:16">
      <c r="A433" s="55" t="s">
        <v>178</v>
      </c>
      <c r="B433" s="260" t="s">
        <v>179</v>
      </c>
      <c r="C433" s="55" t="s">
        <v>182</v>
      </c>
      <c r="D433" s="260" t="s">
        <v>139</v>
      </c>
      <c r="E433" s="237">
        <v>0.5</v>
      </c>
      <c r="F433" s="168">
        <v>2</v>
      </c>
      <c r="G433" s="55" t="s">
        <v>181</v>
      </c>
      <c r="H433" s="29"/>
      <c r="I433" s="9">
        <v>1</v>
      </c>
      <c r="J433" s="9">
        <v>2</v>
      </c>
      <c r="K433" s="9">
        <v>2</v>
      </c>
      <c r="L433" s="9">
        <v>2</v>
      </c>
      <c r="M433" s="9">
        <v>3</v>
      </c>
      <c r="N433" s="185" t="str">
        <f>IF( OR( ISBLANK(H433),ISBLANK(J433), ISBLANK(K433), ISBLANK(L433), ISBLANK(M433) ), "", 1.5*SQRT(   EXP(2.21*(H433-1)) + EXP(2.21*(J433-1)) + EXP(2.21*(K433-1)) + EXP(2.21*(L433-1)) + EXP(2.21*M433)   )/100*2.45 )</f>
        <v/>
      </c>
      <c r="O433" s="159">
        <f>IF( OR( ISBLANK(I433),ISBLANK(J433), ISBLANK(K433), ISBLANK(L433), ISBLANK(M433) ), "", 1.5*SQRT( EXP(2.21*(I433-1)) + EXP(2.21*(J433-1)) + EXP(2.21*(K433-1)) + EXP(2.21*(L433-1)) + EXP(2.21*M433)   )/100*2.45 )</f>
        <v>1.0301997916669636</v>
      </c>
      <c r="P433" s="34"/>
    </row>
    <row r="434" spans="1:16">
      <c r="A434" s="55" t="s">
        <v>178</v>
      </c>
      <c r="B434" s="260" t="s">
        <v>179</v>
      </c>
      <c r="C434" s="55" t="s">
        <v>182</v>
      </c>
      <c r="D434" s="260" t="s">
        <v>139</v>
      </c>
      <c r="E434" s="237">
        <v>1</v>
      </c>
      <c r="F434" s="168">
        <v>2</v>
      </c>
      <c r="G434" s="55" t="s">
        <v>181</v>
      </c>
      <c r="H434" s="29"/>
      <c r="I434" s="9"/>
      <c r="J434" s="9"/>
      <c r="K434" s="9"/>
      <c r="L434" s="9"/>
      <c r="M434" s="9"/>
      <c r="N434" s="185" t="str">
        <f>IF( OR( ISBLANK(H434),ISBLANK(J434), ISBLANK(K434), ISBLANK(L434), ISBLANK(M434) ), "", 1.5*SQRT(   EXP(2.21*(H434-1)) + EXP(2.21*(J434-1)) + EXP(2.21*(K434-1)) + EXP(2.21*(L434-1)) + EXP(2.21*M434)   )/100*2.45 )</f>
        <v/>
      </c>
      <c r="O434" s="159" t="str">
        <f>IF( OR( ISBLANK(I434),ISBLANK(J434), ISBLANK(K434), ISBLANK(L434), ISBLANK(M434) ), "", 1.5*SQRT( EXP(2.21*(I434-1)) + EXP(2.21*(J434-1)) + EXP(2.21*(K434-1)) + EXP(2.21*(L434-1)) + EXP(2.21*M434)   )/100*2.45 )</f>
        <v/>
      </c>
      <c r="P434" s="34"/>
    </row>
    <row r="435" spans="1:16">
      <c r="A435" s="34" t="s">
        <v>159</v>
      </c>
      <c r="B435" s="40" t="s">
        <v>155</v>
      </c>
      <c r="C435" s="34" t="s">
        <v>139</v>
      </c>
      <c r="D435" s="40" t="s">
        <v>139</v>
      </c>
      <c r="E435" s="237" t="s">
        <v>150</v>
      </c>
      <c r="F435" s="168">
        <v>1</v>
      </c>
      <c r="G435" s="34" t="s">
        <v>157</v>
      </c>
      <c r="H435" s="29">
        <v>1</v>
      </c>
      <c r="I435" s="9">
        <v>1</v>
      </c>
      <c r="J435" s="9">
        <v>1</v>
      </c>
      <c r="K435" s="9">
        <v>3</v>
      </c>
      <c r="L435" s="9">
        <v>3</v>
      </c>
      <c r="M435" s="9">
        <v>3</v>
      </c>
      <c r="N435" s="185">
        <f>IF( OR( ISBLANK(H435),ISBLANK(J435), ISBLANK(K435), ISBLANK(L435), ISBLANK(M435) ), "", 1.5*SQRT(   EXP(2.21*(H435-1)) + EXP(2.21*(J435-1)) + EXP(2.21*(K435-1)) + EXP(2.21*(L435-1)) + EXP(2.21*M435)   )/100*2.45 )</f>
        <v>1.1181151966036349</v>
      </c>
      <c r="O435" s="159">
        <f>IF( OR( ISBLANK(I435),ISBLANK(J435), ISBLANK(K435), ISBLANK(L435), ISBLANK(M435) ), "", 1.5*SQRT( EXP(2.21*(I435-1)) + EXP(2.21*(J435-1)) + EXP(2.21*(K435-1)) + EXP(2.21*(L435-1)) + EXP(2.21*M435)   )/100*2.45 )</f>
        <v>1.1181151966036349</v>
      </c>
      <c r="P435" s="34" t="s">
        <v>158</v>
      </c>
    </row>
    <row r="436" spans="1:16">
      <c r="A436" s="34" t="s">
        <v>159</v>
      </c>
      <c r="B436" s="40" t="s">
        <v>143</v>
      </c>
      <c r="C436" s="34" t="s">
        <v>139</v>
      </c>
      <c r="D436" s="40" t="s">
        <v>139</v>
      </c>
      <c r="E436" s="237">
        <v>0.05</v>
      </c>
      <c r="F436" s="168">
        <v>2</v>
      </c>
      <c r="G436" s="34" t="s">
        <v>166</v>
      </c>
      <c r="H436" s="29">
        <v>1</v>
      </c>
      <c r="I436" s="9">
        <v>1</v>
      </c>
      <c r="J436" s="9">
        <v>1</v>
      </c>
      <c r="K436" s="9">
        <v>3</v>
      </c>
      <c r="L436" s="9">
        <v>3</v>
      </c>
      <c r="M436" s="9">
        <v>3</v>
      </c>
      <c r="N436" s="185">
        <f>IF( OR( ISBLANK(H436),ISBLANK(J436), ISBLANK(K436), ISBLANK(L436), ISBLANK(M436) ), "", 1.5*SQRT(   EXP(2.21*(H436-1)) + EXP(2.21*(J436-1)) + EXP(2.21*(K436-1)) + EXP(2.21*(L436-1)) + EXP(2.21*M436)   )/100*2.45 )</f>
        <v>1.1181151966036349</v>
      </c>
      <c r="O436" s="159">
        <f>IF( OR( ISBLANK(I436),ISBLANK(J436), ISBLANK(K436), ISBLANK(L436), ISBLANK(M436) ), "", 1.5*SQRT( EXP(2.21*(I436-1)) + EXP(2.21*(J436-1)) + EXP(2.21*(K436-1)) + EXP(2.21*(L436-1)) + EXP(2.21*M436)   )/100*2.45 )</f>
        <v>1.1181151966036349</v>
      </c>
      <c r="P436" s="34" t="s">
        <v>158</v>
      </c>
    </row>
    <row r="437" spans="1:16">
      <c r="A437" s="34" t="s">
        <v>268</v>
      </c>
      <c r="B437" s="40" t="s">
        <v>327</v>
      </c>
      <c r="C437" s="34" t="s">
        <v>139</v>
      </c>
      <c r="D437" s="40" t="s">
        <v>139</v>
      </c>
      <c r="E437" s="237">
        <v>0.05</v>
      </c>
      <c r="F437" s="168">
        <v>2</v>
      </c>
      <c r="G437" s="34" t="s">
        <v>344</v>
      </c>
      <c r="H437" s="29">
        <v>1</v>
      </c>
      <c r="I437" s="9">
        <v>1</v>
      </c>
      <c r="J437" s="9">
        <v>2</v>
      </c>
      <c r="K437" s="9">
        <v>3</v>
      </c>
      <c r="L437" s="9">
        <v>1</v>
      </c>
      <c r="M437" s="9">
        <v>3</v>
      </c>
      <c r="N437" s="185">
        <f>IF( OR( ISBLANK(H437),ISBLANK(J437), ISBLANK(K437), ISBLANK(L437), ISBLANK(M437) ), "", 1.5*SQRT(   EXP(2.21*(H437-1)) + EXP(2.21*(J437-1)) + EXP(2.21*(K437-1)) + EXP(2.21*(L437-1)) + EXP(2.21*M437)   )/100*2.45 )</f>
        <v>1.0725046436742278</v>
      </c>
      <c r="O437" s="159">
        <f>IF( OR( ISBLANK(I437),ISBLANK(J437), ISBLANK(K437), ISBLANK(L437), ISBLANK(M437) ), "", 1.5*SQRT( EXP(2.21*(I437-1)) + EXP(2.21*(J437-1)) + EXP(2.21*(K437-1)) + EXP(2.21*(L437-1)) + EXP(2.21*M437)   )/100*2.45 )</f>
        <v>1.0725046436742278</v>
      </c>
      <c r="P437" s="34" t="s">
        <v>345</v>
      </c>
    </row>
    <row r="438" spans="1:16">
      <c r="A438" s="34" t="s">
        <v>268</v>
      </c>
      <c r="B438" s="40" t="s">
        <v>232</v>
      </c>
      <c r="C438" s="34" t="s">
        <v>139</v>
      </c>
      <c r="D438" s="40" t="s">
        <v>139</v>
      </c>
      <c r="E438" s="237" t="s">
        <v>150</v>
      </c>
      <c r="F438" s="168">
        <v>1</v>
      </c>
      <c r="G438" s="34"/>
      <c r="H438" s="29"/>
      <c r="I438" s="9"/>
      <c r="J438" s="9"/>
      <c r="K438" s="9"/>
      <c r="L438" s="9"/>
      <c r="M438" s="9"/>
      <c r="N438" s="185" t="str">
        <f>IF( OR( ISBLANK(H438),ISBLANK(J438), ISBLANK(K438), ISBLANK(L438), ISBLANK(M438) ), "", 1.5*SQRT(   EXP(2.21*(H438-1)) + EXP(2.21*(J438-1)) + EXP(2.21*(K438-1)) + EXP(2.21*(L438-1)) + EXP(2.21*M438)   )/100*2.45 )</f>
        <v/>
      </c>
      <c r="O438" s="159" t="str">
        <f>IF( OR( ISBLANK(I438),ISBLANK(J438), ISBLANK(K438), ISBLANK(L438), ISBLANK(M438) ), "", 1.5*SQRT( EXP(2.21*(I438-1)) + EXP(2.21*(J438-1)) + EXP(2.21*(K438-1)) + EXP(2.21*(L438-1)) + EXP(2.21*M438)   )/100*2.45 )</f>
        <v/>
      </c>
      <c r="P438" s="34"/>
    </row>
    <row r="439" spans="1:16">
      <c r="A439" s="68" t="str">
        <f>'Textile waste collection'!A55</f>
        <v>Footwear waste collection</v>
      </c>
      <c r="B439" s="304" t="str">
        <f>'Textile waste collection'!B55</f>
        <v>Incineration</v>
      </c>
      <c r="C439" s="69" t="str">
        <f>'Textile waste collection'!C55</f>
        <v>any</v>
      </c>
      <c r="D439" s="823" t="str">
        <f>'Textile waste collection'!D55</f>
        <v>any</v>
      </c>
      <c r="E439" s="69" t="str">
        <f>'Textile waste collection'!E55</f>
        <v>rest</v>
      </c>
      <c r="F439" s="823">
        <f>'Textile waste collection'!F55</f>
        <v>1</v>
      </c>
      <c r="G439" s="69"/>
      <c r="H439" s="1188"/>
      <c r="I439" s="307"/>
      <c r="J439" s="307"/>
      <c r="K439" s="307"/>
      <c r="L439" s="307"/>
      <c r="M439" s="307"/>
      <c r="N439" s="616" t="str">
        <f>IF( OR( ISBLANK(H439),ISBLANK(J439), ISBLANK(K439), ISBLANK(L439), ISBLANK(M439) ), "", 1.5*SQRT(   EXP(2.21*(H439-1)) + EXP(2.21*(J439-1)) + EXP(2.21*(K439-1)) + EXP(2.21*(L439-1)) + EXP(2.21*M439)   )/100*2.45 )</f>
        <v/>
      </c>
      <c r="O439" s="1282" t="str">
        <f>IF( OR( ISBLANK(I439),ISBLANK(J439), ISBLANK(K439), ISBLANK(L439), ISBLANK(M439) ), "", 1.5*SQRT( EXP(2.21*(I439-1)) + EXP(2.21*(J439-1)) + EXP(2.21*(K439-1)) + EXP(2.21*(L439-1)) + EXP(2.21*M439)   )/100*2.45 )</f>
        <v/>
      </c>
      <c r="P439" s="68"/>
    </row>
    <row r="440" spans="1:16">
      <c r="A440" s="68" t="str">
        <f>'Textile waste collection'!A54</f>
        <v>Footwear waste collection</v>
      </c>
      <c r="B440" s="304" t="str">
        <f>'Textile waste collection'!B54</f>
        <v>Footwear reuse</v>
      </c>
      <c r="C440" s="69" t="str">
        <f>'Textile waste collection'!C54</f>
        <v>any</v>
      </c>
      <c r="D440" s="823" t="str">
        <f>'Textile waste collection'!D54</f>
        <v>any</v>
      </c>
      <c r="E440" s="69">
        <f>'Textile waste collection'!E54</f>
        <v>0.1</v>
      </c>
      <c r="F440" s="823">
        <f>'Textile waste collection'!F54</f>
        <v>2</v>
      </c>
      <c r="G440" s="69" t="str">
        <f>'Textile waste collection'!G54</f>
        <v>(de Waart et al., 2023)</v>
      </c>
      <c r="H440" s="1188">
        <f>'Textile waste collection'!H54</f>
        <v>2</v>
      </c>
      <c r="I440" s="307">
        <f>'Textile waste collection'!I54</f>
        <v>2</v>
      </c>
      <c r="J440" s="307">
        <f>'Textile waste collection'!J54</f>
        <v>2</v>
      </c>
      <c r="K440" s="307">
        <f>'Textile waste collection'!K54</f>
        <v>3</v>
      </c>
      <c r="L440" s="307">
        <f>'Textile waste collection'!L54</f>
        <v>2</v>
      </c>
      <c r="M440" s="307">
        <f>'Textile waste collection'!M54</f>
        <v>2</v>
      </c>
      <c r="N440" s="616">
        <f>IF( OR( ISBLANK(H440),ISBLANK(J440), ISBLANK(K440), ISBLANK(L440), ISBLANK(M440) ), "", 1.5*SQRT(   EXP(2.21*(H440-1)) + EXP(2.21*(J440-1)) + EXP(2.21*(K440-1)) + EXP(2.21*(L440-1)) + EXP(2.21*M440)   )/100*2.45 )</f>
        <v>0.51126068492676302</v>
      </c>
      <c r="O440" s="1282">
        <f>IF( OR( ISBLANK(I440),ISBLANK(J440), ISBLANK(K440), ISBLANK(L440), ISBLANK(M440) ), "", 1.5*SQRT( EXP(2.21*(I440-1)) + EXP(2.21*(J440-1)) + EXP(2.21*(K440-1)) + EXP(2.21*(L440-1)) + EXP(2.21*M440)   )/100*2.45 )</f>
        <v>0.51126068492676302</v>
      </c>
      <c r="P440" s="68"/>
    </row>
    <row r="441" spans="1:16">
      <c r="A441" s="68" t="str">
        <f>'Textile waste collection'!A56</f>
        <v>Footwear waste collection</v>
      </c>
      <c r="B441" s="304" t="str">
        <f>'Textile waste collection'!B56</f>
        <v>Landfill</v>
      </c>
      <c r="C441" s="69" t="str">
        <f>'Textile waste collection'!C56</f>
        <v>any</v>
      </c>
      <c r="D441" s="823" t="str">
        <f>'Textile waste collection'!D56</f>
        <v>any</v>
      </c>
      <c r="E441" s="69">
        <f>'Textile waste collection'!E56</f>
        <v>3.0000000000000001E-3</v>
      </c>
      <c r="F441" s="823">
        <f>'Textile waste collection'!F56</f>
        <v>2</v>
      </c>
      <c r="G441" s="69" t="str">
        <f>'Textile waste collection'!G56</f>
        <v>Massabalans textiel, 2018</v>
      </c>
      <c r="H441" s="1188">
        <f>'Textile waste collection'!H56</f>
        <v>1</v>
      </c>
      <c r="I441" s="307">
        <f>'Textile waste collection'!I56</f>
        <v>2</v>
      </c>
      <c r="J441" s="307">
        <f>'Textile waste collection'!J56</f>
        <v>2</v>
      </c>
      <c r="K441" s="307">
        <f>'Textile waste collection'!K56</f>
        <v>1</v>
      </c>
      <c r="L441" s="307">
        <f>'Textile waste collection'!L56</f>
        <v>2</v>
      </c>
      <c r="M441" s="307">
        <f>'Textile waste collection'!M56</f>
        <v>2</v>
      </c>
      <c r="N441" s="616">
        <f>IF( OR( ISBLANK(H441),ISBLANK(J441), ISBLANK(K441), ISBLANK(L441), ISBLANK(M441) ), "", 1.5*SQRT(   EXP(2.21*(H441-1)) + EXP(2.21*(J441-1)) + EXP(2.21*(K441-1)) + EXP(2.21*(L441-1)) + EXP(2.21*M441)   )/100*2.45 )</f>
        <v>0.37356464144298934</v>
      </c>
      <c r="O441" s="1282">
        <f>IF( OR( ISBLANK(I441),ISBLANK(J441), ISBLANK(K441), ISBLANK(L441), ISBLANK(M441) ), "", 1.5*SQRT( EXP(2.21*(I441-1)) + EXP(2.21*(J441-1)) + EXP(2.21*(K441-1)) + EXP(2.21*(L441-1)) + EXP(2.21*M441)   )/100*2.45 )</f>
        <v>0.38795788889711302</v>
      </c>
      <c r="P441" s="68"/>
    </row>
    <row r="442" spans="1:16">
      <c r="A442" s="68" t="str">
        <f>'Textile waste collection'!A57</f>
        <v>Footwear waste collection</v>
      </c>
      <c r="B442" s="304" t="str">
        <f>'Textile waste collection'!B57</f>
        <v>Residential soil (macro)</v>
      </c>
      <c r="C442" s="69" t="str">
        <f>'Textile waste collection'!C57</f>
        <v>any</v>
      </c>
      <c r="D442" s="823" t="str">
        <f>'Textile waste collection'!D57</f>
        <v>any</v>
      </c>
      <c r="E442" s="69">
        <f>'Textile waste collection'!E57</f>
        <v>1E-4</v>
      </c>
      <c r="F442" s="823">
        <f>'Textile waste collection'!F57</f>
        <v>3</v>
      </c>
      <c r="G442" s="69" t="str">
        <f>'Textile waste collection'!G57</f>
        <v>assumption based on similar losses estimated for other waste collection systems</v>
      </c>
      <c r="H442" s="1188">
        <f>'Textile waste collection'!H57</f>
        <v>1</v>
      </c>
      <c r="I442" s="307">
        <f>'Textile waste collection'!I57</f>
        <v>2</v>
      </c>
      <c r="J442" s="307">
        <f>'Textile waste collection'!J57</f>
        <v>2</v>
      </c>
      <c r="K442" s="307">
        <f>'Textile waste collection'!K57</f>
        <v>2</v>
      </c>
      <c r="L442" s="307">
        <f>'Textile waste collection'!L57</f>
        <v>2</v>
      </c>
      <c r="M442" s="307">
        <f>'Textile waste collection'!M57</f>
        <v>2</v>
      </c>
      <c r="N442" s="616">
        <f>IF( OR( ISBLANK(H442),ISBLANK(J442), ISBLANK(K442), ISBLANK(L442), ISBLANK(M442) ), "", 1.5*SQRT(   EXP(2.21*(H442-1)) + EXP(2.21*(J442-1)) + EXP(2.21*(K442-1)) + EXP(2.21*(L442-1)) + EXP(2.21*M442)   )/100*2.45 )</f>
        <v>0.38795788889711302</v>
      </c>
      <c r="O442" s="1282">
        <f>IF( OR( ISBLANK(I442),ISBLANK(J442), ISBLANK(K442), ISBLANK(L442), ISBLANK(M442) ), "", 1.5*SQRT( EXP(2.21*(I442-1)) + EXP(2.21*(J442-1)) + EXP(2.21*(K442-1)) + EXP(2.21*(L442-1)) + EXP(2.21*M442)   )/100*2.45 )</f>
        <v>0.40183591897512122</v>
      </c>
      <c r="P442" s="68"/>
    </row>
    <row r="443" spans="1:16">
      <c r="A443" s="68" t="str">
        <f>'Textile waste collection'!A58</f>
        <v>Footwear waste collection</v>
      </c>
      <c r="B443" s="304" t="str">
        <f>'Textile waste collection'!B58</f>
        <v>Textile recycling</v>
      </c>
      <c r="C443" s="69" t="str">
        <f>'Textile waste collection'!C58</f>
        <v>any</v>
      </c>
      <c r="D443" s="823" t="str">
        <f>'Textile waste collection'!D58</f>
        <v>any</v>
      </c>
      <c r="E443" s="69">
        <f>'Textile waste collection'!E58</f>
        <v>1E-3</v>
      </c>
      <c r="F443" s="823">
        <f>'Textile waste collection'!F58</f>
        <v>3</v>
      </c>
      <c r="G443" s="69" t="str">
        <f>'Textile waste collection'!G58</f>
        <v>Assume 0.01% recycling based on barely any collected footwear is recycled (de Waart et al., 2023)</v>
      </c>
      <c r="H443" s="1188">
        <f>'Textile waste collection'!H58</f>
        <v>2</v>
      </c>
      <c r="I443" s="307">
        <f>'Textile waste collection'!I58</f>
        <v>2</v>
      </c>
      <c r="J443" s="307">
        <f>'Textile waste collection'!J58</f>
        <v>2</v>
      </c>
      <c r="K443" s="307">
        <f>'Textile waste collection'!K58</f>
        <v>3</v>
      </c>
      <c r="L443" s="307">
        <f>'Textile waste collection'!L58</f>
        <v>2</v>
      </c>
      <c r="M443" s="307">
        <f>'Textile waste collection'!M58</f>
        <v>2</v>
      </c>
      <c r="N443" s="616">
        <f>IF( OR( ISBLANK(H443),ISBLANK(J443), ISBLANK(K443), ISBLANK(L443), ISBLANK(M443) ), "", 1.5*SQRT(   EXP(2.21*(H443-1)) + EXP(2.21*(J443-1)) + EXP(2.21*(K443-1)) + EXP(2.21*(L443-1)) + EXP(2.21*M443)   )/100*2.45 )</f>
        <v>0.51126068492676302</v>
      </c>
      <c r="O443" s="1282">
        <f>IF( OR( ISBLANK(I443),ISBLANK(J443), ISBLANK(K443), ISBLANK(L443), ISBLANK(M443) ), "", 1.5*SQRT( EXP(2.21*(I443-1)) + EXP(2.21*(J443-1)) + EXP(2.21*(K443-1)) + EXP(2.21*(L443-1)) + EXP(2.21*M443)   )/100*2.45 )</f>
        <v>0.51126068492676302</v>
      </c>
      <c r="P443" s="68"/>
    </row>
    <row r="444" spans="1:16">
      <c r="A444" s="68" t="str">
        <f>Clothing!A610</f>
        <v>Footwear wearing (soles)</v>
      </c>
      <c r="B444" s="304" t="str">
        <f>Clothing!B610</f>
        <v>Indoor floors (micro)</v>
      </c>
      <c r="C444" s="69" t="str">
        <f>Clothing!C610</f>
        <v>any</v>
      </c>
      <c r="D444" s="823" t="str">
        <f>Clothing!D610</f>
        <v>any</v>
      </c>
      <c r="E444" s="69" t="str">
        <f>Clothing!E610</f>
        <v>rest</v>
      </c>
      <c r="F444" s="823">
        <f>Clothing!F610</f>
        <v>1</v>
      </c>
      <c r="G444" s="69" t="str">
        <f>Clothing!G610</f>
        <v>Assumption: 30% of the wearing of shoes happens inside, rest outside</v>
      </c>
      <c r="H444" s="1188"/>
      <c r="I444" s="307"/>
      <c r="J444" s="307"/>
      <c r="K444" s="307"/>
      <c r="L444" s="307"/>
      <c r="M444" s="307"/>
      <c r="N444" s="616" t="str">
        <f>IF( OR( ISBLANK(H444),ISBLANK(J444), ISBLANK(K444), ISBLANK(L444), ISBLANK(M444) ), "", 1.5*SQRT(   EXP(2.21*(H444-1)) + EXP(2.21*(J444-1)) + EXP(2.21*(K444-1)) + EXP(2.21*(L444-1)) + EXP(2.21*M444)   )/100*2.45 )</f>
        <v/>
      </c>
      <c r="O444" s="1282" t="str">
        <f>IF( OR( ISBLANK(I444),ISBLANK(J444), ISBLANK(K444), ISBLANK(L444), ISBLANK(M444) ), "", 1.5*SQRT( EXP(2.21*(I444-1)) + EXP(2.21*(J444-1)) + EXP(2.21*(K444-1)) + EXP(2.21*(L444-1)) + EXP(2.21*M444)   )/100*2.45 )</f>
        <v/>
      </c>
      <c r="P444" s="68"/>
    </row>
    <row r="445" spans="1:16">
      <c r="A445" s="68" t="str">
        <f>Clothing!A611</f>
        <v>Footwear wearing (soles)</v>
      </c>
      <c r="B445" s="304" t="str">
        <f>Clothing!B611</f>
        <v>Natural soil (micro)</v>
      </c>
      <c r="C445" s="69" t="str">
        <f>Clothing!C611</f>
        <v>any</v>
      </c>
      <c r="D445" s="823" t="str">
        <f>Clothing!D611</f>
        <v>any</v>
      </c>
      <c r="E445" s="69">
        <f>Clothing!E611</f>
        <v>0.1</v>
      </c>
      <c r="F445" s="823">
        <f>Clothing!F611</f>
        <v>2</v>
      </c>
      <c r="G445" s="69" t="str">
        <f>Clothing!G611</f>
        <v>Assumption: 10% of the wearing of shoes happens in nature</v>
      </c>
      <c r="H445" s="1188">
        <f>Clothing!H611</f>
        <v>3</v>
      </c>
      <c r="I445" s="307">
        <f>Clothing!I611</f>
        <v>3</v>
      </c>
      <c r="J445" s="307">
        <f>Clothing!J611</f>
        <v>3</v>
      </c>
      <c r="K445" s="307">
        <f>Clothing!K611</f>
        <v>3</v>
      </c>
      <c r="L445" s="307">
        <f>Clothing!L611</f>
        <v>3</v>
      </c>
      <c r="M445" s="307">
        <f>Clothing!M611</f>
        <v>3</v>
      </c>
      <c r="N445" s="616">
        <f>IF( OR( ISBLANK(H445),ISBLANK(J445), ISBLANK(K445), ISBLANK(L445), ISBLANK(M445) ), "", 1.5*SQRT(   EXP(2.21*(H445-1)) + EXP(2.21*(J445-1)) + EXP(2.21*(K445-1)) + EXP(2.21*(L445-1)) + EXP(2.21*M445)   )/100*2.45 )</f>
        <v>1.2132328390150593</v>
      </c>
      <c r="O445" s="1282">
        <f>IF( OR( ISBLANK(I445),ISBLANK(J445), ISBLANK(K445), ISBLANK(L445), ISBLANK(M445) ), "", 1.5*SQRT( EXP(2.21*(I445-1)) + EXP(2.21*(J445-1)) + EXP(2.21*(K445-1)) + EXP(2.21*(L445-1)) + EXP(2.21*M445)   )/100*2.45 )</f>
        <v>1.2132328390150593</v>
      </c>
      <c r="P445" s="68"/>
    </row>
    <row r="446" spans="1:16">
      <c r="A446" s="68" t="str">
        <f>Clothing!A612</f>
        <v>Footwear wearing (soles)</v>
      </c>
      <c r="B446" s="304" t="str">
        <f>Clothing!B612</f>
        <v>Urban roads</v>
      </c>
      <c r="C446" s="69" t="str">
        <f>Clothing!C612</f>
        <v>any</v>
      </c>
      <c r="D446" s="823" t="str">
        <f>Clothing!D612</f>
        <v>any</v>
      </c>
      <c r="E446" s="69">
        <f>Clothing!E612</f>
        <v>0.6</v>
      </c>
      <c r="F446" s="823">
        <f>Clothing!F612</f>
        <v>2</v>
      </c>
      <c r="G446" s="69" t="str">
        <f>Clothing!G612</f>
        <v>Assumption: 30% of the wearing of shoes happens inside, rest outside</v>
      </c>
      <c r="H446" s="1188">
        <f>Clothing!H612</f>
        <v>3</v>
      </c>
      <c r="I446" s="307">
        <f>Clothing!I612</f>
        <v>3</v>
      </c>
      <c r="J446" s="307">
        <f>Clothing!J612</f>
        <v>3</v>
      </c>
      <c r="K446" s="307">
        <f>Clothing!K612</f>
        <v>3</v>
      </c>
      <c r="L446" s="307">
        <f>Clothing!L612</f>
        <v>3</v>
      </c>
      <c r="M446" s="307">
        <f>Clothing!M612</f>
        <v>3</v>
      </c>
      <c r="N446" s="616">
        <f>IF( OR( ISBLANK(H446),ISBLANK(J446), ISBLANK(K446), ISBLANK(L446), ISBLANK(M446) ), "", 1.5*SQRT(   EXP(2.21*(H446-1)) + EXP(2.21*(J446-1)) + EXP(2.21*(K446-1)) + EXP(2.21*(L446-1)) + EXP(2.21*M446)   )/100*2.45 )</f>
        <v>1.2132328390150593</v>
      </c>
      <c r="O446" s="1282">
        <f>IF( OR( ISBLANK(I446),ISBLANK(J446), ISBLANK(K446), ISBLANK(L446), ISBLANK(M446) ), "", 1.5*SQRT( EXP(2.21*(I446-1)) + EXP(2.21*(J446-1)) + EXP(2.21*(K446-1)) + EXP(2.21*(L446-1)) + EXP(2.21*M446)   )/100*2.45 )</f>
        <v>1.2132328390150593</v>
      </c>
      <c r="P446" s="68"/>
    </row>
    <row r="447" spans="1:16">
      <c r="A447" s="68" t="str">
        <f>Clothing!A614</f>
        <v>Footwear wearing (uppers)</v>
      </c>
      <c r="B447" s="304" t="str">
        <f>Clothing!B614</f>
        <v>Indoor air (micro)</v>
      </c>
      <c r="C447" s="69" t="str">
        <f>Clothing!C614</f>
        <v>any</v>
      </c>
      <c r="D447" s="823" t="str">
        <f>Clothing!D614</f>
        <v>any</v>
      </c>
      <c r="E447" s="69">
        <f>Clothing!E614</f>
        <v>0.30000000000000004</v>
      </c>
      <c r="F447" s="823">
        <f>Clothing!F614</f>
        <v>2</v>
      </c>
      <c r="G447" s="69" t="str">
        <f>Clothing!G614</f>
        <v>Assumption: 30% of the wearing of shoes happens inside, rest outside</v>
      </c>
      <c r="H447" s="1188">
        <f>Clothing!H614</f>
        <v>3</v>
      </c>
      <c r="I447" s="307">
        <f>Clothing!I614</f>
        <v>3</v>
      </c>
      <c r="J447" s="307">
        <f>Clothing!J614</f>
        <v>3</v>
      </c>
      <c r="K447" s="307">
        <f>Clothing!K614</f>
        <v>3</v>
      </c>
      <c r="L447" s="307">
        <f>Clothing!L614</f>
        <v>3</v>
      </c>
      <c r="M447" s="307">
        <f>Clothing!M614</f>
        <v>3</v>
      </c>
      <c r="N447" s="616">
        <f>IF( OR( ISBLANK(H447),ISBLANK(J447), ISBLANK(K447), ISBLANK(L447), ISBLANK(M447) ), "", 1.5*SQRT(   EXP(2.21*(H447-1)) + EXP(2.21*(J447-1)) + EXP(2.21*(K447-1)) + EXP(2.21*(L447-1)) + EXP(2.21*M447)   )/100*2.45 )</f>
        <v>1.2132328390150593</v>
      </c>
      <c r="O447" s="1282">
        <f>IF( OR( ISBLANK(I447),ISBLANK(J447), ISBLANK(K447), ISBLANK(L447), ISBLANK(M447) ), "", 1.5*SQRT( EXP(2.21*(I447-1)) + EXP(2.21*(J447-1)) + EXP(2.21*(K447-1)) + EXP(2.21*(L447-1)) + EXP(2.21*M447)   )/100*2.45 )</f>
        <v>1.2132328390150593</v>
      </c>
      <c r="P447" s="68"/>
    </row>
    <row r="448" spans="1:16">
      <c r="A448" s="68" t="str">
        <f>Clothing!A615</f>
        <v>Footwear wearing (uppers)</v>
      </c>
      <c r="B448" s="304" t="str">
        <f>Clothing!B615</f>
        <v>Outdoor air (micro)</v>
      </c>
      <c r="C448" s="69" t="str">
        <f>Clothing!C615</f>
        <v>any</v>
      </c>
      <c r="D448" s="823" t="str">
        <f>Clothing!D615</f>
        <v>any</v>
      </c>
      <c r="E448" s="69" t="str">
        <f>Clothing!E615</f>
        <v>rest</v>
      </c>
      <c r="F448" s="823">
        <f>Clothing!F615</f>
        <v>1</v>
      </c>
      <c r="G448" s="69" t="str">
        <f>Clothing!G615</f>
        <v>Assumption: 30% of the wearing of shoes happens inside, rest outside</v>
      </c>
      <c r="H448" s="1188"/>
      <c r="I448" s="307"/>
      <c r="J448" s="307"/>
      <c r="K448" s="307"/>
      <c r="L448" s="307"/>
      <c r="M448" s="307"/>
      <c r="N448" s="616" t="str">
        <f>IF( OR( ISBLANK(H448),ISBLANK(J448), ISBLANK(K448), ISBLANK(L448), ISBLANK(M448) ), "", 1.5*SQRT(   EXP(2.21*(H448-1)) + EXP(2.21*(J448-1)) + EXP(2.21*(K448-1)) + EXP(2.21*(L448-1)) + EXP(2.21*M448)   )/100*2.45 )</f>
        <v/>
      </c>
      <c r="O448" s="1282" t="str">
        <f>IF( OR( ISBLANK(I448),ISBLANK(J448), ISBLANK(K448), ISBLANK(L448), ISBLANK(M448) ), "", 1.5*SQRT( EXP(2.21*(I448-1)) + EXP(2.21*(J448-1)) + EXP(2.21*(K448-1)) + EXP(2.21*(L448-1)) + EXP(2.21*M448)   )/100*2.45 )</f>
        <v/>
      </c>
      <c r="P448" s="68"/>
    </row>
    <row r="449" spans="1:868">
      <c r="A449" s="55" t="s">
        <v>185</v>
      </c>
      <c r="B449" s="260" t="s">
        <v>186</v>
      </c>
      <c r="C449" s="55" t="s">
        <v>139</v>
      </c>
      <c r="D449" s="260" t="s">
        <v>139</v>
      </c>
      <c r="E449" s="237" t="s">
        <v>150</v>
      </c>
      <c r="F449" s="168">
        <v>1</v>
      </c>
      <c r="G449" s="55"/>
      <c r="H449" s="29"/>
      <c r="I449" s="9"/>
      <c r="J449" s="9"/>
      <c r="K449" s="9"/>
      <c r="L449" s="9"/>
      <c r="M449" s="9"/>
      <c r="N449" s="185" t="str">
        <f>IF( OR( ISBLANK(H449),ISBLANK(J449), ISBLANK(K449), ISBLANK(L449), ISBLANK(M449) ), "", 1.5*SQRT(   EXP(2.21*(H449-1)) + EXP(2.21*(J449-1)) + EXP(2.21*(K449-1)) + EXP(2.21*(L449-1)) + EXP(2.21*M449)   )/100*2.45 )</f>
        <v/>
      </c>
      <c r="O449" s="159" t="str">
        <f>IF( OR( ISBLANK(I449),ISBLANK(J449), ISBLANK(K449), ISBLANK(L449), ISBLANK(M449) ), "", 1.5*SQRT( EXP(2.21*(I449-1)) + EXP(2.21*(J449-1)) + EXP(2.21*(K449-1)) + EXP(2.21*(L449-1)) + EXP(2.21*M449)   )/100*2.45 )</f>
        <v/>
      </c>
      <c r="P449" s="34"/>
    </row>
    <row r="450" spans="1:868">
      <c r="A450" s="55" t="s">
        <v>185</v>
      </c>
      <c r="B450" s="260" t="s">
        <v>187</v>
      </c>
      <c r="C450" s="55" t="s">
        <v>139</v>
      </c>
      <c r="D450" s="260" t="s">
        <v>139</v>
      </c>
      <c r="E450" s="237">
        <v>1.3299999999999999E-2</v>
      </c>
      <c r="F450" s="168">
        <v>2</v>
      </c>
      <c r="G450" s="55" t="s">
        <v>163</v>
      </c>
      <c r="H450" s="29">
        <v>2</v>
      </c>
      <c r="I450" s="9">
        <v>2</v>
      </c>
      <c r="J450" s="9">
        <v>2</v>
      </c>
      <c r="K450" s="9">
        <v>3</v>
      </c>
      <c r="L450" s="9">
        <v>2</v>
      </c>
      <c r="M450" s="9">
        <v>2</v>
      </c>
      <c r="N450" s="185">
        <f>IF( OR( ISBLANK(H450),ISBLANK(J450), ISBLANK(K450), ISBLANK(L450), ISBLANK(M450) ), "", 1.5*SQRT(   EXP(2.21*(H450-1)) + EXP(2.21*(J450-1)) + EXP(2.21*(K450-1)) + EXP(2.21*(L450-1)) + EXP(2.21*M450)   )/100*2.45 )</f>
        <v>0.51126068492676302</v>
      </c>
      <c r="O450" s="159">
        <f>IF( OR( ISBLANK(I450),ISBLANK(J450), ISBLANK(K450), ISBLANK(L450), ISBLANK(M450) ), "", 1.5*SQRT( EXP(2.21*(I450-1)) + EXP(2.21*(J450-1)) + EXP(2.21*(K450-1)) + EXP(2.21*(L450-1)) + EXP(2.21*M450)   )/100*2.45 )</f>
        <v>0.51126068492676302</v>
      </c>
      <c r="P450" s="34" t="s">
        <v>173</v>
      </c>
    </row>
    <row r="451" spans="1:868">
      <c r="A451" s="55" t="s">
        <v>185</v>
      </c>
      <c r="B451" s="260" t="s">
        <v>187</v>
      </c>
      <c r="C451" s="55" t="s">
        <v>139</v>
      </c>
      <c r="D451" s="260" t="s">
        <v>139</v>
      </c>
      <c r="E451" s="237">
        <v>2.6700000000000002E-2</v>
      </c>
      <c r="F451" s="168">
        <v>2</v>
      </c>
      <c r="G451" s="55" t="s">
        <v>163</v>
      </c>
      <c r="H451" s="29">
        <v>2</v>
      </c>
      <c r="I451" s="9">
        <v>2</v>
      </c>
      <c r="J451" s="9">
        <v>2</v>
      </c>
      <c r="K451" s="9">
        <v>3</v>
      </c>
      <c r="L451" s="9">
        <v>2</v>
      </c>
      <c r="M451" s="9">
        <v>2</v>
      </c>
      <c r="N451" s="185">
        <f>IF( OR( ISBLANK(H451),ISBLANK(J451), ISBLANK(K451), ISBLANK(L451), ISBLANK(M451) ), "", 1.5*SQRT(   EXP(2.21*(H451-1)) + EXP(2.21*(J451-1)) + EXP(2.21*(K451-1)) + EXP(2.21*(L451-1)) + EXP(2.21*M451)   )/100*2.45 )</f>
        <v>0.51126068492676302</v>
      </c>
      <c r="O451" s="159">
        <f>IF( OR( ISBLANK(I451),ISBLANK(J451), ISBLANK(K451), ISBLANK(L451), ISBLANK(M451) ), "", 1.5*SQRT( EXP(2.21*(I451-1)) + EXP(2.21*(J451-1)) + EXP(2.21*(K451-1)) + EXP(2.21*(L451-1)) + EXP(2.21*M451)   )/100*2.45 )</f>
        <v>0.51126068492676302</v>
      </c>
      <c r="P451" s="34" t="s">
        <v>174</v>
      </c>
    </row>
    <row r="452" spans="1:868">
      <c r="A452" s="55" t="s">
        <v>186</v>
      </c>
      <c r="B452" s="260" t="s">
        <v>175</v>
      </c>
      <c r="C452" s="55" t="s">
        <v>139</v>
      </c>
      <c r="D452" s="260" t="s">
        <v>139</v>
      </c>
      <c r="E452" s="237" t="s">
        <v>150</v>
      </c>
      <c r="F452" s="168">
        <v>1</v>
      </c>
      <c r="G452" s="55" t="s">
        <v>163</v>
      </c>
      <c r="H452" s="29"/>
      <c r="I452" s="9"/>
      <c r="J452" s="9"/>
      <c r="K452" s="9"/>
      <c r="L452" s="9"/>
      <c r="M452" s="9"/>
      <c r="N452" s="185" t="str">
        <f>IF( OR( ISBLANK(H452),ISBLANK(J452), ISBLANK(K452), ISBLANK(L452), ISBLANK(M452) ), "", 1.5*SQRT(   EXP(2.21*(H452-1)) + EXP(2.21*(J452-1)) + EXP(2.21*(K452-1)) + EXP(2.21*(L452-1)) + EXP(2.21*M452)   )/100*2.45 )</f>
        <v/>
      </c>
      <c r="O452" s="159" t="str">
        <f>IF( OR( ISBLANK(I452),ISBLANK(J452), ISBLANK(K452), ISBLANK(L452), ISBLANK(M452) ), "", 1.5*SQRT( EXP(2.21*(I452-1)) + EXP(2.21*(J452-1)) + EXP(2.21*(K452-1)) + EXP(2.21*(L452-1)) + EXP(2.21*M452)   )/100*2.45 )</f>
        <v/>
      </c>
      <c r="P452" s="34"/>
    </row>
    <row r="453" spans="1:868">
      <c r="A453" s="55" t="s">
        <v>186</v>
      </c>
      <c r="B453" s="260" t="s">
        <v>204</v>
      </c>
      <c r="C453" s="55" t="s">
        <v>139</v>
      </c>
      <c r="D453" s="260" t="s">
        <v>139</v>
      </c>
      <c r="E453" s="237">
        <v>2.7E-4</v>
      </c>
      <c r="F453" s="168">
        <v>2</v>
      </c>
      <c r="G453" s="55" t="s">
        <v>163</v>
      </c>
      <c r="H453" s="29">
        <v>2</v>
      </c>
      <c r="I453" s="9">
        <v>2</v>
      </c>
      <c r="J453" s="9">
        <v>2</v>
      </c>
      <c r="K453" s="9">
        <v>3</v>
      </c>
      <c r="L453" s="9">
        <v>3</v>
      </c>
      <c r="M453" s="9">
        <v>3</v>
      </c>
      <c r="N453" s="185">
        <f>IF( OR( ISBLANK(H453),ISBLANK(J453), ISBLANK(K453), ISBLANK(L453), ISBLANK(M453) ), "", 1.5*SQRT(   EXP(2.21*(H453-1)) + EXP(2.21*(J453-1)) + EXP(2.21*(K453-1)) + EXP(2.21*(L453-1)) + EXP(2.21*M453)   )/100*2.45 )</f>
        <v>1.1278755061256258</v>
      </c>
      <c r="O453" s="159">
        <f>IF( OR( ISBLANK(I453),ISBLANK(J453), ISBLANK(K453), ISBLANK(L453), ISBLANK(M453) ), "", 1.5*SQRT( EXP(2.21*(I453-1)) + EXP(2.21*(J453-1)) + EXP(2.21*(K453-1)) + EXP(2.21*(L453-1)) + EXP(2.21*M453)   )/100*2.45 )</f>
        <v>1.1278755061256258</v>
      </c>
      <c r="P453" s="34"/>
    </row>
    <row r="454" spans="1:868">
      <c r="A454" s="55" t="s">
        <v>187</v>
      </c>
      <c r="B454" s="260" t="s">
        <v>176</v>
      </c>
      <c r="C454" s="55" t="s">
        <v>139</v>
      </c>
      <c r="D454" s="260" t="s">
        <v>139</v>
      </c>
      <c r="E454" s="237">
        <v>9.7744360902255634E-2</v>
      </c>
      <c r="F454" s="168">
        <v>2</v>
      </c>
      <c r="G454" s="55" t="s">
        <v>163</v>
      </c>
      <c r="H454" s="29">
        <v>2</v>
      </c>
      <c r="I454" s="9">
        <v>2</v>
      </c>
      <c r="J454" s="9">
        <v>2</v>
      </c>
      <c r="K454" s="9">
        <v>3</v>
      </c>
      <c r="L454" s="9">
        <v>2</v>
      </c>
      <c r="M454" s="9">
        <v>2</v>
      </c>
      <c r="N454" s="185">
        <f>IF( OR( ISBLANK(H454),ISBLANK(J454), ISBLANK(K454), ISBLANK(L454), ISBLANK(M454) ), "", 1.5*SQRT(   EXP(2.21*(H454-1)) + EXP(2.21*(J454-1)) + EXP(2.21*(K454-1)) + EXP(2.21*(L454-1)) + EXP(2.21*M454)   )/100*2.45 )</f>
        <v>0.51126068492676302</v>
      </c>
      <c r="O454" s="159">
        <f>IF( OR( ISBLANK(I454),ISBLANK(J454), ISBLANK(K454), ISBLANK(L454), ISBLANK(M454) ), "", 1.5*SQRT( EXP(2.21*(I454-1)) + EXP(2.21*(J454-1)) + EXP(2.21*(K454-1)) + EXP(2.21*(L454-1)) + EXP(2.21*M454)   )/100*2.45 )</f>
        <v>0.51126068492676302</v>
      </c>
      <c r="P454" s="34" t="s">
        <v>173</v>
      </c>
    </row>
    <row r="455" spans="1:868" s="819" customFormat="1">
      <c r="A455" s="55" t="s">
        <v>187</v>
      </c>
      <c r="B455" s="260" t="s">
        <v>176</v>
      </c>
      <c r="C455" s="55" t="s">
        <v>139</v>
      </c>
      <c r="D455" s="260" t="s">
        <v>139</v>
      </c>
      <c r="E455" s="237">
        <v>0.55056179775280889</v>
      </c>
      <c r="F455" s="168">
        <v>2</v>
      </c>
      <c r="G455" s="55" t="s">
        <v>163</v>
      </c>
      <c r="H455" s="29">
        <v>2</v>
      </c>
      <c r="I455" s="9">
        <v>2</v>
      </c>
      <c r="J455" s="9">
        <v>2</v>
      </c>
      <c r="K455" s="9">
        <v>3</v>
      </c>
      <c r="L455" s="9">
        <v>2</v>
      </c>
      <c r="M455" s="9">
        <v>2</v>
      </c>
      <c r="N455" s="185">
        <f>IF( OR( ISBLANK(H455),ISBLANK(J455), ISBLANK(K455), ISBLANK(L455), ISBLANK(M455) ), "", 1.5*SQRT(   EXP(2.21*(H455-1)) + EXP(2.21*(J455-1)) + EXP(2.21*(K455-1)) + EXP(2.21*(L455-1)) + EXP(2.21*M455)   )/100*2.45 )</f>
        <v>0.51126068492676302</v>
      </c>
      <c r="O455" s="159">
        <f>IF( OR( ISBLANK(I455),ISBLANK(J455), ISBLANK(K455), ISBLANK(L455), ISBLANK(M455) ), "", 1.5*SQRT( EXP(2.21*(I455-1)) + EXP(2.21*(J455-1)) + EXP(2.21*(K455-1)) + EXP(2.21*(L455-1)) + EXP(2.21*M455)   )/100*2.45 )</f>
        <v>0.51126068492676302</v>
      </c>
      <c r="P455" s="34" t="s">
        <v>174</v>
      </c>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c r="BK455" s="16"/>
      <c r="BL455" s="16"/>
      <c r="BM455" s="16"/>
      <c r="BN455" s="16"/>
      <c r="BO455" s="16"/>
      <c r="BP455" s="16"/>
      <c r="BQ455" s="16"/>
      <c r="BR455" s="16"/>
      <c r="BS455" s="16"/>
      <c r="BT455" s="16"/>
      <c r="BU455" s="16"/>
      <c r="BV455" s="16"/>
      <c r="BW455" s="16"/>
      <c r="BX455" s="16"/>
      <c r="BY455" s="16"/>
      <c r="BZ455" s="16"/>
      <c r="CA455" s="16"/>
      <c r="CB455" s="16"/>
      <c r="CC455" s="16"/>
      <c r="CD455" s="16"/>
      <c r="CE455" s="16"/>
      <c r="CF455" s="16"/>
      <c r="CG455" s="16"/>
      <c r="CH455" s="16"/>
      <c r="CI455" s="16"/>
      <c r="CJ455" s="16"/>
      <c r="CK455" s="16"/>
      <c r="CL455" s="16"/>
      <c r="CM455" s="16"/>
      <c r="CN455" s="16"/>
      <c r="CO455" s="16"/>
      <c r="CP455" s="16"/>
      <c r="CQ455" s="16"/>
      <c r="CR455" s="16"/>
      <c r="CS455" s="16"/>
      <c r="CT455" s="16"/>
      <c r="CU455" s="16"/>
      <c r="CV455" s="16"/>
      <c r="CW455" s="16"/>
      <c r="CX455" s="16"/>
      <c r="CY455" s="16"/>
      <c r="CZ455" s="16"/>
      <c r="DA455" s="16"/>
      <c r="DB455" s="16"/>
      <c r="DC455" s="16"/>
      <c r="DD455" s="16"/>
      <c r="DE455" s="16"/>
      <c r="DF455" s="16"/>
      <c r="DG455" s="16"/>
      <c r="DH455" s="16"/>
      <c r="DI455" s="16"/>
      <c r="DJ455" s="16"/>
      <c r="DK455" s="16"/>
      <c r="DL455" s="16"/>
      <c r="DM455" s="16"/>
      <c r="DN455" s="16"/>
      <c r="DO455" s="16"/>
      <c r="DP455" s="16"/>
      <c r="DQ455" s="16"/>
      <c r="DR455" s="16"/>
      <c r="DS455" s="16"/>
      <c r="DT455" s="16"/>
      <c r="DU455" s="16"/>
      <c r="DV455" s="16"/>
      <c r="DW455" s="16"/>
      <c r="DX455" s="16"/>
      <c r="DY455" s="16"/>
      <c r="DZ455" s="16"/>
      <c r="EA455" s="16"/>
      <c r="EB455" s="16"/>
      <c r="EC455" s="16"/>
      <c r="ED455" s="16"/>
      <c r="EE455" s="16"/>
      <c r="EF455" s="16"/>
      <c r="EG455" s="16"/>
      <c r="EH455" s="16"/>
      <c r="EI455" s="16"/>
      <c r="EJ455" s="16"/>
      <c r="EK455" s="16"/>
      <c r="EL455" s="16"/>
      <c r="EM455" s="16"/>
      <c r="EN455" s="16"/>
      <c r="EO455" s="16"/>
      <c r="EP455" s="16"/>
      <c r="EQ455" s="16"/>
      <c r="ER455" s="16"/>
      <c r="ES455" s="16"/>
      <c r="ET455" s="16"/>
      <c r="EU455" s="16"/>
      <c r="EV455" s="16"/>
      <c r="EW455" s="16"/>
      <c r="EX455" s="16"/>
      <c r="EY455" s="16"/>
      <c r="EZ455" s="16"/>
      <c r="FA455" s="16"/>
      <c r="FB455" s="16"/>
      <c r="FC455" s="16"/>
      <c r="FD455" s="16"/>
      <c r="FE455" s="16"/>
      <c r="FF455" s="16"/>
      <c r="FG455" s="16"/>
      <c r="FH455" s="16"/>
      <c r="FI455" s="16"/>
      <c r="FJ455" s="16"/>
      <c r="FK455" s="16"/>
      <c r="FL455" s="16"/>
      <c r="FM455" s="16"/>
      <c r="FN455" s="16"/>
      <c r="FO455" s="16"/>
      <c r="FP455" s="16"/>
      <c r="FQ455" s="16"/>
      <c r="FR455" s="16"/>
      <c r="FS455" s="16"/>
      <c r="FT455" s="16"/>
      <c r="FU455" s="16"/>
      <c r="FV455" s="16"/>
      <c r="FW455" s="16"/>
      <c r="FX455" s="16"/>
      <c r="FY455" s="16"/>
      <c r="FZ455" s="16"/>
      <c r="GA455" s="16"/>
      <c r="GB455" s="16"/>
      <c r="GC455" s="16"/>
      <c r="GD455" s="16"/>
      <c r="GE455" s="16"/>
      <c r="GF455" s="16"/>
      <c r="GG455" s="16"/>
      <c r="GH455" s="16"/>
      <c r="GI455" s="16"/>
      <c r="GJ455" s="16"/>
      <c r="GK455" s="16"/>
      <c r="GL455" s="16"/>
      <c r="GM455" s="16"/>
      <c r="GN455" s="16"/>
      <c r="GO455" s="16"/>
      <c r="GP455" s="16"/>
      <c r="GQ455" s="16"/>
      <c r="GR455" s="16"/>
      <c r="GS455" s="16"/>
      <c r="GT455" s="16"/>
      <c r="GU455" s="16"/>
      <c r="GV455" s="16"/>
      <c r="GW455" s="16"/>
      <c r="GX455" s="16"/>
      <c r="GY455" s="16"/>
      <c r="GZ455" s="16"/>
      <c r="HA455" s="16"/>
      <c r="HB455" s="16"/>
      <c r="HC455" s="16"/>
      <c r="HD455" s="16"/>
      <c r="HE455" s="16"/>
      <c r="HF455" s="16"/>
      <c r="HG455" s="16"/>
      <c r="HH455" s="16"/>
      <c r="HI455" s="16"/>
      <c r="HJ455" s="16"/>
      <c r="HK455" s="16"/>
      <c r="HL455" s="16"/>
      <c r="HM455" s="16"/>
      <c r="HN455" s="16"/>
      <c r="HO455" s="16"/>
      <c r="HP455" s="16"/>
      <c r="HQ455" s="16"/>
      <c r="HR455" s="16"/>
      <c r="HS455" s="16"/>
      <c r="HT455" s="16"/>
      <c r="HU455" s="16"/>
      <c r="HV455" s="16"/>
      <c r="HW455" s="16"/>
      <c r="HX455" s="16"/>
      <c r="HY455" s="16"/>
      <c r="HZ455" s="16"/>
      <c r="IA455" s="16"/>
      <c r="IB455" s="16"/>
      <c r="IC455" s="16"/>
      <c r="ID455" s="16"/>
      <c r="IE455" s="16"/>
      <c r="IF455" s="16"/>
      <c r="IG455" s="16"/>
      <c r="IH455" s="16"/>
      <c r="II455" s="16"/>
      <c r="IJ455" s="16"/>
      <c r="IK455" s="16"/>
      <c r="IL455" s="16"/>
      <c r="IM455" s="16"/>
      <c r="IN455" s="16"/>
      <c r="IO455" s="16"/>
      <c r="IP455" s="16"/>
      <c r="IQ455" s="16"/>
      <c r="IR455" s="16"/>
      <c r="IS455" s="16"/>
      <c r="IT455" s="16"/>
      <c r="IU455" s="16"/>
      <c r="IV455" s="16"/>
      <c r="IW455" s="16"/>
      <c r="IX455" s="16"/>
      <c r="IY455" s="16"/>
      <c r="IZ455" s="16"/>
      <c r="JA455" s="16"/>
      <c r="JB455" s="16"/>
      <c r="JC455" s="16"/>
      <c r="JD455" s="16"/>
      <c r="JE455" s="16"/>
      <c r="JF455" s="16"/>
      <c r="JG455" s="16"/>
      <c r="JH455" s="16"/>
      <c r="JI455" s="16"/>
      <c r="JJ455" s="16"/>
      <c r="JK455" s="16"/>
      <c r="JL455" s="16"/>
      <c r="JM455" s="16"/>
      <c r="JN455" s="16"/>
      <c r="JO455" s="16"/>
      <c r="JP455" s="16"/>
      <c r="JQ455" s="16"/>
      <c r="JR455" s="16"/>
      <c r="JS455" s="16"/>
      <c r="JT455" s="16"/>
      <c r="JU455" s="16"/>
      <c r="JV455" s="16"/>
      <c r="JW455" s="16"/>
      <c r="JX455" s="16"/>
      <c r="JY455" s="16"/>
      <c r="JZ455" s="16"/>
      <c r="KA455" s="16"/>
      <c r="KB455" s="16"/>
      <c r="KC455" s="16"/>
      <c r="KD455" s="16"/>
      <c r="KE455" s="16"/>
      <c r="KF455" s="16"/>
      <c r="KG455" s="16"/>
      <c r="KH455" s="16"/>
      <c r="KI455" s="16"/>
      <c r="KJ455" s="16"/>
      <c r="KK455" s="16"/>
      <c r="KL455" s="16"/>
      <c r="KM455" s="16"/>
      <c r="KN455" s="16"/>
      <c r="KO455" s="16"/>
      <c r="KP455" s="16"/>
      <c r="KQ455" s="16"/>
      <c r="KR455" s="16"/>
      <c r="KS455" s="16"/>
      <c r="KT455" s="16"/>
      <c r="KU455" s="16"/>
      <c r="KV455" s="16"/>
      <c r="KW455" s="16"/>
      <c r="KX455" s="16"/>
      <c r="KY455" s="16"/>
      <c r="KZ455" s="16"/>
      <c r="LA455" s="16"/>
      <c r="LB455" s="16"/>
      <c r="LC455" s="16"/>
      <c r="LD455" s="16"/>
      <c r="LE455" s="16"/>
      <c r="LF455" s="16"/>
      <c r="LG455" s="16"/>
      <c r="LH455" s="16"/>
      <c r="LI455" s="16"/>
      <c r="LJ455" s="16"/>
      <c r="LK455" s="16"/>
      <c r="LL455" s="16"/>
      <c r="LM455" s="16"/>
      <c r="LN455" s="16"/>
      <c r="LO455" s="16"/>
      <c r="LP455" s="16"/>
      <c r="LQ455" s="16"/>
      <c r="LR455" s="16"/>
      <c r="LS455" s="16"/>
      <c r="LT455" s="16"/>
      <c r="LU455" s="16"/>
      <c r="LV455" s="16"/>
      <c r="LW455" s="16"/>
      <c r="LX455" s="16"/>
      <c r="LY455" s="16"/>
      <c r="LZ455" s="16"/>
      <c r="MA455" s="16"/>
      <c r="MB455" s="16"/>
      <c r="MC455" s="16"/>
      <c r="MD455" s="16"/>
      <c r="ME455" s="16"/>
      <c r="MF455" s="16"/>
      <c r="MG455" s="16"/>
      <c r="MH455" s="16"/>
      <c r="MI455" s="16"/>
      <c r="MJ455" s="16"/>
      <c r="MK455" s="16"/>
      <c r="ML455" s="16"/>
      <c r="MM455" s="16"/>
      <c r="MN455" s="16"/>
      <c r="MO455" s="16"/>
      <c r="MP455" s="16"/>
      <c r="MQ455" s="16"/>
      <c r="MR455" s="16"/>
      <c r="MS455" s="16"/>
      <c r="MT455" s="16"/>
      <c r="MU455" s="16"/>
      <c r="MV455" s="16"/>
      <c r="MW455" s="16"/>
      <c r="MX455" s="16"/>
      <c r="MY455" s="16"/>
      <c r="MZ455" s="16"/>
      <c r="NA455" s="16"/>
      <c r="NB455" s="16"/>
      <c r="NC455" s="16"/>
      <c r="ND455" s="16"/>
      <c r="NE455" s="16"/>
      <c r="NF455" s="16"/>
      <c r="NG455" s="16"/>
      <c r="NH455" s="16"/>
      <c r="NI455" s="16"/>
      <c r="NJ455" s="16"/>
      <c r="NK455" s="16"/>
      <c r="NL455" s="16"/>
      <c r="NM455" s="16"/>
      <c r="NN455" s="16"/>
      <c r="NO455" s="16"/>
      <c r="NP455" s="16"/>
      <c r="NQ455" s="16"/>
      <c r="NR455" s="16"/>
      <c r="NS455" s="16"/>
      <c r="NT455" s="16"/>
      <c r="NU455" s="16"/>
      <c r="NV455" s="16"/>
      <c r="NW455" s="16"/>
      <c r="NX455" s="16"/>
      <c r="NY455" s="16"/>
      <c r="NZ455" s="16"/>
      <c r="OA455" s="16"/>
      <c r="OB455" s="16"/>
      <c r="OC455" s="16"/>
      <c r="OD455" s="16"/>
      <c r="OE455" s="16"/>
      <c r="OF455" s="16"/>
      <c r="OG455" s="16"/>
      <c r="OH455" s="16"/>
      <c r="OI455" s="16"/>
      <c r="OJ455" s="16"/>
      <c r="OK455" s="16"/>
      <c r="OL455" s="16"/>
      <c r="OM455" s="16"/>
      <c r="ON455" s="16"/>
      <c r="OO455" s="16"/>
      <c r="OP455" s="16"/>
      <c r="OQ455" s="16"/>
      <c r="OR455" s="16"/>
      <c r="OS455" s="16"/>
      <c r="OT455" s="16"/>
      <c r="OU455" s="16"/>
      <c r="OV455" s="16"/>
      <c r="OW455" s="16"/>
      <c r="OX455" s="16"/>
      <c r="OY455" s="16"/>
      <c r="OZ455" s="16"/>
      <c r="PA455" s="16"/>
      <c r="PB455" s="16"/>
      <c r="PC455" s="16"/>
      <c r="PD455" s="16"/>
      <c r="PE455" s="16"/>
      <c r="PF455" s="16"/>
      <c r="PG455" s="16"/>
      <c r="PH455" s="16"/>
      <c r="PI455" s="16"/>
      <c r="PJ455" s="16"/>
      <c r="PK455" s="16"/>
      <c r="PL455" s="16"/>
      <c r="PM455" s="16"/>
      <c r="PN455" s="16"/>
      <c r="PO455" s="16"/>
      <c r="PP455" s="16"/>
      <c r="PQ455" s="16"/>
      <c r="PR455" s="16"/>
      <c r="PS455" s="16"/>
      <c r="PT455" s="16"/>
      <c r="PU455" s="16"/>
      <c r="PV455" s="16"/>
      <c r="PW455" s="16"/>
      <c r="PX455" s="16"/>
      <c r="PY455" s="16"/>
      <c r="PZ455" s="16"/>
      <c r="QA455" s="16"/>
      <c r="QB455" s="16"/>
      <c r="QC455" s="16"/>
      <c r="QD455" s="16"/>
      <c r="QE455" s="16"/>
      <c r="QF455" s="16"/>
      <c r="QG455" s="16"/>
      <c r="QH455" s="16"/>
      <c r="QI455" s="16"/>
      <c r="QJ455" s="16"/>
      <c r="QK455" s="16"/>
      <c r="QL455" s="16"/>
      <c r="QM455" s="16"/>
      <c r="QN455" s="16"/>
      <c r="QO455" s="16"/>
      <c r="QP455" s="16"/>
      <c r="QQ455" s="16"/>
      <c r="QR455" s="16"/>
      <c r="QS455" s="16"/>
      <c r="QT455" s="16"/>
      <c r="QU455" s="16"/>
      <c r="QV455" s="16"/>
      <c r="QW455" s="16"/>
      <c r="QX455" s="16"/>
      <c r="QY455" s="16"/>
      <c r="QZ455" s="16"/>
      <c r="RA455" s="16"/>
      <c r="RB455" s="16"/>
      <c r="RC455" s="16"/>
      <c r="RD455" s="16"/>
      <c r="RE455" s="16"/>
      <c r="RF455" s="16"/>
      <c r="RG455" s="16"/>
      <c r="RH455" s="16"/>
      <c r="RI455" s="16"/>
      <c r="RJ455" s="16"/>
      <c r="RK455" s="16"/>
      <c r="RL455" s="16"/>
      <c r="RM455" s="16"/>
      <c r="RN455" s="16"/>
      <c r="RO455" s="16"/>
      <c r="RP455" s="16"/>
      <c r="RQ455" s="16"/>
      <c r="RR455" s="16"/>
      <c r="RS455" s="16"/>
      <c r="RT455" s="16"/>
      <c r="RU455" s="16"/>
      <c r="RV455" s="16"/>
      <c r="RW455" s="16"/>
      <c r="RX455" s="16"/>
      <c r="RY455" s="16"/>
      <c r="RZ455" s="16"/>
      <c r="SA455" s="16"/>
      <c r="SB455" s="16"/>
      <c r="SC455" s="16"/>
      <c r="SD455" s="16"/>
      <c r="SE455" s="16"/>
      <c r="SF455" s="16"/>
      <c r="SG455" s="16"/>
      <c r="SH455" s="16"/>
      <c r="SI455" s="16"/>
      <c r="SJ455" s="16"/>
      <c r="SK455" s="16"/>
      <c r="SL455" s="16"/>
      <c r="SM455" s="16"/>
      <c r="SN455" s="16"/>
      <c r="SO455" s="16"/>
      <c r="SP455" s="16"/>
      <c r="SQ455" s="16"/>
      <c r="SR455" s="16"/>
      <c r="SS455" s="16"/>
      <c r="ST455" s="16"/>
      <c r="SU455" s="16"/>
      <c r="SV455" s="16"/>
      <c r="SW455" s="16"/>
      <c r="SX455" s="16"/>
      <c r="SY455" s="16"/>
      <c r="SZ455" s="16"/>
      <c r="TA455" s="16"/>
      <c r="TB455" s="16"/>
      <c r="TC455" s="16"/>
      <c r="TD455" s="16"/>
      <c r="TE455" s="16"/>
      <c r="TF455" s="16"/>
      <c r="TG455" s="16"/>
      <c r="TH455" s="16"/>
      <c r="TI455" s="16"/>
      <c r="TJ455" s="16"/>
      <c r="TK455" s="16"/>
      <c r="TL455" s="16"/>
      <c r="TM455" s="16"/>
      <c r="TN455" s="16"/>
      <c r="TO455" s="16"/>
      <c r="TP455" s="16"/>
      <c r="TQ455" s="16"/>
      <c r="TR455" s="16"/>
      <c r="TS455" s="16"/>
      <c r="TT455" s="16"/>
      <c r="TU455" s="16"/>
      <c r="TV455" s="16"/>
      <c r="TW455" s="16"/>
      <c r="TX455" s="16"/>
      <c r="TY455" s="16"/>
      <c r="TZ455" s="16"/>
      <c r="UA455" s="16"/>
      <c r="UB455" s="16"/>
      <c r="UC455" s="16"/>
      <c r="UD455" s="16"/>
      <c r="UE455" s="16"/>
      <c r="UF455" s="16"/>
      <c r="UG455" s="16"/>
      <c r="UH455" s="16"/>
      <c r="UI455" s="16"/>
      <c r="UJ455" s="16"/>
      <c r="UK455" s="16"/>
      <c r="UL455" s="16"/>
      <c r="UM455" s="16"/>
      <c r="UN455" s="16"/>
      <c r="UO455" s="16"/>
      <c r="UP455" s="16"/>
      <c r="UQ455" s="16"/>
      <c r="UR455" s="16"/>
      <c r="US455" s="16"/>
      <c r="UT455" s="16"/>
      <c r="UU455" s="16"/>
      <c r="UV455" s="16"/>
      <c r="UW455" s="16"/>
      <c r="UX455" s="16"/>
      <c r="UY455" s="16"/>
      <c r="UZ455" s="16"/>
      <c r="VA455" s="16"/>
      <c r="VB455" s="16"/>
      <c r="VC455" s="16"/>
      <c r="VD455" s="16"/>
      <c r="VE455" s="16"/>
      <c r="VF455" s="16"/>
      <c r="VG455" s="16"/>
      <c r="VH455" s="16"/>
      <c r="VI455" s="16"/>
      <c r="VJ455" s="16"/>
      <c r="VK455" s="16"/>
      <c r="VL455" s="16"/>
      <c r="VM455" s="16"/>
      <c r="VN455" s="16"/>
      <c r="VO455" s="16"/>
      <c r="VP455" s="16"/>
      <c r="VQ455" s="16"/>
      <c r="VR455" s="16"/>
      <c r="VS455" s="16"/>
      <c r="VT455" s="16"/>
      <c r="VU455" s="16"/>
      <c r="VV455" s="16"/>
      <c r="VW455" s="16"/>
      <c r="VX455" s="16"/>
      <c r="VY455" s="16"/>
      <c r="VZ455" s="16"/>
      <c r="WA455" s="16"/>
      <c r="WB455" s="16"/>
      <c r="WC455" s="16"/>
      <c r="WD455" s="16"/>
      <c r="WE455" s="16"/>
      <c r="WF455" s="16"/>
      <c r="WG455" s="16"/>
      <c r="WH455" s="16"/>
      <c r="WI455" s="16"/>
      <c r="WJ455" s="16"/>
      <c r="WK455" s="16"/>
      <c r="WL455" s="16"/>
      <c r="WM455" s="16"/>
      <c r="WN455" s="16"/>
      <c r="WO455" s="16"/>
      <c r="WP455" s="16"/>
      <c r="WQ455" s="16"/>
      <c r="WR455" s="16"/>
      <c r="WS455" s="16"/>
      <c r="WT455" s="16"/>
      <c r="WU455" s="16"/>
      <c r="WV455" s="16"/>
      <c r="WW455" s="16"/>
      <c r="WX455" s="16"/>
      <c r="WY455" s="16"/>
      <c r="WZ455" s="16"/>
      <c r="XA455" s="16"/>
      <c r="XB455" s="16"/>
      <c r="XC455" s="16"/>
      <c r="XD455" s="16"/>
      <c r="XE455" s="16"/>
      <c r="XF455" s="16"/>
      <c r="XG455" s="16"/>
      <c r="XH455" s="16"/>
      <c r="XI455" s="16"/>
      <c r="XJ455" s="16"/>
      <c r="XK455" s="16"/>
      <c r="XL455" s="16"/>
      <c r="XM455" s="16"/>
      <c r="XN455" s="16"/>
      <c r="XO455" s="16"/>
      <c r="XP455" s="16"/>
      <c r="XQ455" s="16"/>
      <c r="XR455" s="16"/>
      <c r="XS455" s="16"/>
      <c r="XT455" s="16"/>
      <c r="XU455" s="16"/>
      <c r="XV455" s="16"/>
      <c r="XW455" s="16"/>
      <c r="XX455" s="16"/>
      <c r="XY455" s="16"/>
      <c r="XZ455" s="16"/>
      <c r="YA455" s="16"/>
      <c r="YB455" s="16"/>
      <c r="YC455" s="16"/>
      <c r="YD455" s="16"/>
      <c r="YE455" s="16"/>
      <c r="YF455" s="16"/>
      <c r="YG455" s="16"/>
      <c r="YH455" s="16"/>
      <c r="YI455" s="16"/>
      <c r="YJ455" s="16"/>
      <c r="YK455" s="16"/>
      <c r="YL455" s="16"/>
      <c r="YM455" s="16"/>
      <c r="YN455" s="16"/>
      <c r="YO455" s="16"/>
      <c r="YP455" s="16"/>
      <c r="YQ455" s="16"/>
      <c r="YR455" s="16"/>
      <c r="YS455" s="16"/>
      <c r="YT455" s="16"/>
      <c r="YU455" s="16"/>
      <c r="YV455" s="16"/>
      <c r="YW455" s="16"/>
      <c r="YX455" s="16"/>
      <c r="YY455" s="16"/>
      <c r="YZ455" s="16"/>
      <c r="ZA455" s="16"/>
      <c r="ZB455" s="16"/>
      <c r="ZC455" s="16"/>
      <c r="ZD455" s="16"/>
      <c r="ZE455" s="16"/>
      <c r="ZF455" s="16"/>
      <c r="ZG455" s="16"/>
      <c r="ZH455" s="16"/>
      <c r="ZI455" s="16"/>
      <c r="ZJ455" s="16"/>
      <c r="ZK455" s="16"/>
      <c r="ZL455" s="16"/>
      <c r="ZM455" s="16"/>
      <c r="ZN455" s="16"/>
      <c r="ZO455" s="16"/>
      <c r="ZP455" s="16"/>
      <c r="ZQ455" s="16"/>
      <c r="ZR455" s="16"/>
      <c r="ZS455" s="16"/>
      <c r="ZT455" s="16"/>
      <c r="ZU455" s="16"/>
      <c r="ZV455" s="16"/>
      <c r="ZW455" s="16"/>
      <c r="ZX455" s="16"/>
      <c r="ZY455" s="16"/>
      <c r="ZZ455" s="16"/>
      <c r="AAA455" s="16"/>
      <c r="AAB455" s="16"/>
      <c r="AAC455" s="16"/>
      <c r="AAD455" s="16"/>
      <c r="AAE455" s="16"/>
      <c r="AAF455" s="16"/>
      <c r="AAG455" s="16"/>
      <c r="AAH455" s="16"/>
      <c r="AAI455" s="16"/>
      <c r="AAJ455" s="16"/>
      <c r="AAK455" s="16"/>
      <c r="AAL455" s="16"/>
      <c r="AAM455" s="16"/>
      <c r="AAN455" s="16"/>
      <c r="AAO455" s="16"/>
      <c r="AAP455" s="16"/>
      <c r="AAQ455" s="16"/>
      <c r="AAR455" s="16"/>
      <c r="AAS455" s="16"/>
      <c r="AAT455" s="16"/>
      <c r="AAU455" s="16"/>
      <c r="AAV455" s="16"/>
      <c r="AAW455" s="16"/>
      <c r="AAX455" s="16"/>
      <c r="AAY455" s="16"/>
      <c r="AAZ455" s="16"/>
      <c r="ABA455" s="16"/>
      <c r="ABB455" s="16"/>
      <c r="ABC455" s="16"/>
      <c r="ABD455" s="16"/>
      <c r="ABE455" s="16"/>
      <c r="ABF455" s="16"/>
      <c r="ABG455" s="16"/>
      <c r="ABH455" s="16"/>
      <c r="ABI455" s="16"/>
      <c r="ABJ455" s="16"/>
      <c r="ABK455" s="16"/>
      <c r="ABL455" s="16"/>
      <c r="ABM455" s="16"/>
      <c r="ABN455" s="16"/>
      <c r="ABO455" s="16"/>
      <c r="ABP455" s="16"/>
      <c r="ABQ455" s="16"/>
      <c r="ABR455" s="16"/>
      <c r="ABS455" s="16"/>
      <c r="ABT455" s="16"/>
      <c r="ABU455" s="16"/>
      <c r="ABV455" s="16"/>
      <c r="ABW455" s="16"/>
      <c r="ABX455" s="16"/>
      <c r="ABY455" s="16"/>
      <c r="ABZ455" s="16"/>
      <c r="ACA455" s="16"/>
      <c r="ACB455" s="16"/>
      <c r="ACC455" s="16"/>
      <c r="ACD455" s="16"/>
      <c r="ACE455" s="16"/>
      <c r="ACF455" s="16"/>
      <c r="ACG455" s="16"/>
      <c r="ACH455" s="16"/>
      <c r="ACI455" s="16"/>
      <c r="ACJ455" s="16"/>
      <c r="ACK455" s="16"/>
      <c r="ACL455" s="16"/>
      <c r="ACM455" s="16"/>
      <c r="ACN455" s="16"/>
      <c r="ACO455" s="16"/>
      <c r="ACP455" s="16"/>
      <c r="ACQ455" s="16"/>
      <c r="ACR455" s="16"/>
      <c r="ACS455" s="16"/>
      <c r="ACT455" s="16"/>
      <c r="ACU455" s="16"/>
      <c r="ACV455" s="16"/>
      <c r="ACW455" s="16"/>
      <c r="ACX455" s="16"/>
      <c r="ACY455" s="16"/>
      <c r="ACZ455" s="16"/>
      <c r="ADA455" s="16"/>
      <c r="ADB455" s="16"/>
      <c r="ADC455" s="16"/>
      <c r="ADD455" s="16"/>
      <c r="ADE455" s="16"/>
      <c r="ADF455" s="16"/>
      <c r="ADG455" s="16"/>
      <c r="ADH455" s="16"/>
      <c r="ADI455" s="16"/>
      <c r="ADJ455" s="16"/>
      <c r="ADK455" s="16"/>
      <c r="ADL455" s="16"/>
      <c r="ADM455" s="16"/>
      <c r="ADN455" s="16"/>
      <c r="ADO455" s="16"/>
      <c r="ADP455" s="16"/>
      <c r="ADQ455" s="16"/>
      <c r="ADR455" s="16"/>
      <c r="ADS455" s="16"/>
      <c r="ADT455" s="16"/>
      <c r="ADU455" s="16"/>
      <c r="ADV455" s="16"/>
      <c r="ADW455" s="16"/>
      <c r="ADX455" s="16"/>
      <c r="ADY455" s="16"/>
      <c r="ADZ455" s="16"/>
      <c r="AEA455" s="16"/>
      <c r="AEB455" s="16"/>
      <c r="AEC455" s="16"/>
      <c r="AED455" s="16"/>
      <c r="AEE455" s="16"/>
      <c r="AEF455" s="16"/>
      <c r="AEG455" s="16"/>
      <c r="AEH455" s="16"/>
      <c r="AEI455" s="16"/>
      <c r="AEJ455" s="16"/>
      <c r="AEK455" s="16"/>
      <c r="AEL455" s="16"/>
      <c r="AEM455" s="16"/>
      <c r="AEN455" s="16"/>
      <c r="AEO455" s="16"/>
      <c r="AEP455" s="16"/>
      <c r="AEQ455" s="16"/>
      <c r="AER455" s="16"/>
      <c r="AES455" s="16"/>
      <c r="AET455" s="16"/>
      <c r="AEU455" s="16"/>
      <c r="AEV455" s="16"/>
      <c r="AEW455" s="16"/>
      <c r="AEX455" s="16"/>
      <c r="AEY455" s="16"/>
      <c r="AEZ455" s="16"/>
      <c r="AFA455" s="16"/>
      <c r="AFB455" s="16"/>
      <c r="AFC455" s="16"/>
      <c r="AFD455" s="16"/>
      <c r="AFE455" s="16"/>
      <c r="AFF455" s="16"/>
      <c r="AFG455" s="16"/>
      <c r="AFH455" s="16"/>
      <c r="AFI455" s="16"/>
      <c r="AFJ455" s="16"/>
      <c r="AFK455" s="16"/>
      <c r="AFL455" s="16"/>
      <c r="AFM455" s="16"/>
      <c r="AFN455" s="16"/>
      <c r="AFO455" s="16"/>
      <c r="AFP455" s="16"/>
      <c r="AFQ455" s="16"/>
      <c r="AFR455" s="16"/>
      <c r="AFS455" s="16"/>
      <c r="AFT455" s="16"/>
      <c r="AFU455" s="16"/>
      <c r="AFV455" s="16"/>
      <c r="AFW455" s="16"/>
      <c r="AFX455" s="16"/>
      <c r="AFY455" s="16"/>
      <c r="AFZ455" s="16"/>
      <c r="AGA455" s="16"/>
      <c r="AGB455" s="16"/>
      <c r="AGC455" s="16"/>
      <c r="AGD455" s="16"/>
      <c r="AGE455" s="16"/>
      <c r="AGF455" s="16"/>
      <c r="AGG455" s="16"/>
      <c r="AGH455" s="16"/>
      <c r="AGI455" s="16"/>
      <c r="AGJ455" s="16"/>
    </row>
    <row r="456" spans="1:868">
      <c r="A456" s="55" t="s">
        <v>187</v>
      </c>
      <c r="B456" s="260" t="s">
        <v>188</v>
      </c>
      <c r="C456" s="55" t="s">
        <v>139</v>
      </c>
      <c r="D456" s="260" t="s">
        <v>139</v>
      </c>
      <c r="E456" s="237" t="s">
        <v>150</v>
      </c>
      <c r="F456" s="168">
        <v>1</v>
      </c>
      <c r="G456" s="55" t="s">
        <v>163</v>
      </c>
      <c r="H456" s="29"/>
      <c r="I456" s="9"/>
      <c r="J456" s="9"/>
      <c r="K456" s="9"/>
      <c r="L456" s="9"/>
      <c r="M456" s="9"/>
      <c r="N456" s="185" t="str">
        <f>IF( OR( ISBLANK(H456),ISBLANK(J456), ISBLANK(K456), ISBLANK(L456), ISBLANK(M456) ), "", 1.5*SQRT(   EXP(2.21*(H456-1)) + EXP(2.21*(J456-1)) + EXP(2.21*(K456-1)) + EXP(2.21*(L456-1)) + EXP(2.21*M456)   )/100*2.45 )</f>
        <v/>
      </c>
      <c r="O456" s="159" t="str">
        <f>IF( OR( ISBLANK(I456),ISBLANK(J456), ISBLANK(K456), ISBLANK(L456), ISBLANK(M456) ), "", 1.5*SQRT( EXP(2.21*(I456-1)) + EXP(2.21*(J456-1)) + EXP(2.21*(K456-1)) + EXP(2.21*(L456-1)) + EXP(2.21*M456)   )/100*2.45 )</f>
        <v/>
      </c>
      <c r="P456" s="34"/>
    </row>
    <row r="457" spans="1:868">
      <c r="A457" s="34" t="s">
        <v>269</v>
      </c>
      <c r="B457" s="40" t="s">
        <v>270</v>
      </c>
      <c r="C457" s="34" t="s">
        <v>180</v>
      </c>
      <c r="D457" s="40" t="s">
        <v>139</v>
      </c>
      <c r="E457" s="1195" t="s">
        <v>150</v>
      </c>
      <c r="F457" s="40">
        <v>1</v>
      </c>
      <c r="G457" s="34"/>
      <c r="H457" s="29"/>
      <c r="I457" s="9"/>
      <c r="J457" s="9"/>
      <c r="K457" s="9"/>
      <c r="L457" s="9"/>
      <c r="M457" s="9"/>
      <c r="N457" s="185" t="str">
        <f>IF( OR( ISBLANK(H457),ISBLANK(J457), ISBLANK(K457), ISBLANK(L457), ISBLANK(M457) ), "", 1.5*SQRT(   EXP(2.21*(H457-1)) + EXP(2.21*(J457-1)) + EXP(2.21*(K457-1)) + EXP(2.21*(L457-1)) + EXP(2.21*M457)   )/100*2.45 )</f>
        <v/>
      </c>
      <c r="O457" s="159" t="str">
        <f>IF( OR( ISBLANK(I457),ISBLANK(J457), ISBLANK(K457), ISBLANK(L457), ISBLANK(M457) ), "", 1.5*SQRT( EXP(2.21*(I457-1)) + EXP(2.21*(J457-1)) + EXP(2.21*(K457-1)) + EXP(2.21*(L457-1)) + EXP(2.21*M457)   )/100*2.45 )</f>
        <v/>
      </c>
      <c r="P457" s="34"/>
    </row>
    <row r="458" spans="1:868">
      <c r="A458" s="34" t="s">
        <v>269</v>
      </c>
      <c r="B458" s="40" t="s">
        <v>270</v>
      </c>
      <c r="C458" s="34" t="s">
        <v>182</v>
      </c>
      <c r="D458" s="40" t="s">
        <v>139</v>
      </c>
      <c r="E458" s="1195" t="s">
        <v>150</v>
      </c>
      <c r="F458" s="40">
        <v>1</v>
      </c>
      <c r="G458" s="34"/>
      <c r="H458" s="29"/>
      <c r="I458" s="9"/>
      <c r="J458" s="9"/>
      <c r="K458" s="9"/>
      <c r="L458" s="9"/>
      <c r="M458" s="9"/>
      <c r="N458" s="185" t="str">
        <f>IF( OR( ISBLANK(H458),ISBLANK(J458), ISBLANK(K458), ISBLANK(L458), ISBLANK(M458) ), "", 1.5*SQRT(   EXP(2.21*(H458-1)) + EXP(2.21*(J458-1)) + EXP(2.21*(K458-1)) + EXP(2.21*(L458-1)) + EXP(2.21*M458)   )/100*2.45 )</f>
        <v/>
      </c>
      <c r="O458" s="159" t="str">
        <f>IF( OR( ISBLANK(I458),ISBLANK(J458), ISBLANK(K458), ISBLANK(L458), ISBLANK(M458) ), "", 1.5*SQRT( EXP(2.21*(I458-1)) + EXP(2.21*(J458-1)) + EXP(2.21*(K458-1)) + EXP(2.21*(L458-1)) + EXP(2.21*M458)   )/100*2.45 )</f>
        <v/>
      </c>
      <c r="P458" s="973"/>
    </row>
    <row r="459" spans="1:868">
      <c r="A459" s="34" t="s">
        <v>269</v>
      </c>
      <c r="B459" s="40" t="s">
        <v>271</v>
      </c>
      <c r="C459" s="34" t="s">
        <v>180</v>
      </c>
      <c r="D459" s="40" t="s">
        <v>139</v>
      </c>
      <c r="E459" s="1195">
        <v>0.9</v>
      </c>
      <c r="F459" s="40">
        <v>2</v>
      </c>
      <c r="G459" s="34"/>
      <c r="H459" s="29">
        <v>1</v>
      </c>
      <c r="I459" s="9"/>
      <c r="J459" s="9">
        <v>1</v>
      </c>
      <c r="K459" s="9">
        <v>1</v>
      </c>
      <c r="L459" s="9">
        <v>1</v>
      </c>
      <c r="M459" s="9">
        <v>1</v>
      </c>
      <c r="N459" s="185">
        <f>IF( OR( ISBLANK(H459),ISBLANK(J459), ISBLANK(K459), ISBLANK(L459), ISBLANK(M459) ), "", 1.5*SQRT(   EXP(2.21*(H459-1)) + EXP(2.21*(J459-1)) + EXP(2.21*(K459-1)) + EXP(2.21*(L459-1)) + EXP(2.21*M459)   )/100*2.45 )</f>
        <v>0.13309242924026707</v>
      </c>
      <c r="O459" s="159" t="str">
        <f>IF( OR( ISBLANK(I459),ISBLANK(J459), ISBLANK(K459), ISBLANK(L459), ISBLANK(M459) ), "", 1.5*SQRT( EXP(2.21*(I459-1)) + EXP(2.21*(J459-1)) + EXP(2.21*(K459-1)) + EXP(2.21*(L459-1)) + EXP(2.21*M459)   )/100*2.45 )</f>
        <v/>
      </c>
      <c r="P459" s="34" t="s">
        <v>272</v>
      </c>
    </row>
    <row r="460" spans="1:868">
      <c r="A460" s="34" t="s">
        <v>269</v>
      </c>
      <c r="B460" s="40" t="s">
        <v>271</v>
      </c>
      <c r="C460" s="34" t="s">
        <v>182</v>
      </c>
      <c r="D460" s="40" t="s">
        <v>139</v>
      </c>
      <c r="E460" s="1195">
        <v>0.05</v>
      </c>
      <c r="F460" s="40">
        <v>2</v>
      </c>
      <c r="G460" s="34" t="s">
        <v>273</v>
      </c>
      <c r="H460" s="29"/>
      <c r="I460" s="9">
        <v>1</v>
      </c>
      <c r="J460" s="9">
        <v>1</v>
      </c>
      <c r="K460" s="9">
        <v>2</v>
      </c>
      <c r="L460" s="9">
        <v>1</v>
      </c>
      <c r="M460" s="9">
        <v>4</v>
      </c>
      <c r="N460" s="185" t="str">
        <f>IF( OR( ISBLANK(H460),ISBLANK(J460), ISBLANK(K460), ISBLANK(L460), ISBLANK(M460) ), "", 1.5*SQRT(   EXP(2.21*(H460-1)) + EXP(2.21*(J460-1)) + EXP(2.21*(K460-1)) + EXP(2.21*(L460-1)) + EXP(2.21*M460)   )/100*2.45 )</f>
        <v/>
      </c>
      <c r="O460" s="159">
        <f>IF( OR( ISBLANK(I460),ISBLANK(J460), ISBLANK(K460), ISBLANK(L460), ISBLANK(M460) ), "", 1.5*SQRT( EXP(2.21*(I460-1)) + EXP(2.21*(J460-1)) + EXP(2.21*(K460-1)) + EXP(2.21*(L460-1)) + EXP(2.21*M460)   )/100*2.45 )</f>
        <v>3.0564664491960198</v>
      </c>
      <c r="P460" s="34" t="s">
        <v>274</v>
      </c>
    </row>
    <row r="461" spans="1:868">
      <c r="A461" s="34" t="s">
        <v>270</v>
      </c>
      <c r="B461" s="40" t="s">
        <v>275</v>
      </c>
      <c r="C461" s="34" t="s">
        <v>139</v>
      </c>
      <c r="D461" s="40" t="s">
        <v>139</v>
      </c>
      <c r="E461" s="1195" t="s">
        <v>150</v>
      </c>
      <c r="F461" s="40">
        <v>1</v>
      </c>
      <c r="G461" s="34"/>
      <c r="H461" s="29"/>
      <c r="I461" s="9"/>
      <c r="J461" s="9"/>
      <c r="K461" s="9"/>
      <c r="L461" s="9"/>
      <c r="M461" s="9"/>
      <c r="N461" s="185"/>
      <c r="O461" s="159"/>
      <c r="P461" s="34"/>
    </row>
    <row r="462" spans="1:868">
      <c r="A462" s="34" t="s">
        <v>270</v>
      </c>
      <c r="B462" s="40" t="s">
        <v>231</v>
      </c>
      <c r="C462" s="34" t="s">
        <v>139</v>
      </c>
      <c r="D462" s="40" t="s">
        <v>139</v>
      </c>
      <c r="E462" s="1195">
        <v>0.05</v>
      </c>
      <c r="F462" s="40">
        <v>2</v>
      </c>
      <c r="G462" s="34" t="s">
        <v>276</v>
      </c>
      <c r="H462" s="29">
        <v>1</v>
      </c>
      <c r="I462" s="9">
        <v>2</v>
      </c>
      <c r="J462" s="9">
        <v>1</v>
      </c>
      <c r="K462" s="9">
        <v>1</v>
      </c>
      <c r="L462" s="9">
        <v>2</v>
      </c>
      <c r="M462" s="9">
        <v>3</v>
      </c>
      <c r="N462" s="185">
        <f>IF( OR( ISBLANK(H462),ISBLANK(J462), ISBLANK(K462), ISBLANK(L462), ISBLANK(M462) ), "", 1.5*SQRT(   EXP(2.21*(H462-1)) + EXP(2.21*(J462-1)) + EXP(2.21*(K462-1)) + EXP(2.21*(L462-1)) + EXP(2.21*M462)   )/100*2.45 )</f>
        <v>1.0195048044558224</v>
      </c>
      <c r="O462" s="159">
        <f>IF( OR( ISBLANK(I462),ISBLANK(J462), ISBLANK(K462), ISBLANK(L462), ISBLANK(M462) ), "", 1.5*SQRT( EXP(2.21*(I462-1)) + EXP(2.21*(J462-1)) + EXP(2.21*(K462-1)) + EXP(2.21*(L462-1)) + EXP(2.21*M462)   )/100*2.45 )</f>
        <v>1.0248662490928169</v>
      </c>
      <c r="P462" s="973"/>
    </row>
    <row r="463" spans="1:868">
      <c r="A463" s="34" t="s">
        <v>270</v>
      </c>
      <c r="B463" s="40" t="s">
        <v>231</v>
      </c>
      <c r="C463" s="34" t="s">
        <v>139</v>
      </c>
      <c r="D463" s="40" t="s">
        <v>139</v>
      </c>
      <c r="E463" s="1195">
        <v>0.1</v>
      </c>
      <c r="F463" s="40">
        <v>2</v>
      </c>
      <c r="G463" s="1189" t="s">
        <v>277</v>
      </c>
      <c r="H463" s="29">
        <v>1</v>
      </c>
      <c r="I463" s="9">
        <v>2</v>
      </c>
      <c r="J463" s="9">
        <v>2</v>
      </c>
      <c r="K463" s="9">
        <v>1</v>
      </c>
      <c r="L463" s="9">
        <v>2</v>
      </c>
      <c r="M463" s="9">
        <v>3</v>
      </c>
      <c r="N463" s="185">
        <f>IF( OR( ISBLANK(H463),ISBLANK(J463), ISBLANK(K463), ISBLANK(L463), ISBLANK(M463) ), "", 1.5*SQRT(   EXP(2.21*(H463-1)) + EXP(2.21*(J463-1)) + EXP(2.21*(K463-1)) + EXP(2.21*(L463-1)) + EXP(2.21*M463)   )/100*2.45 )</f>
        <v>1.0248662490928169</v>
      </c>
      <c r="O463" s="159">
        <f>IF( OR( ISBLANK(I463),ISBLANK(J463), ISBLANK(K463), ISBLANK(L463), ISBLANK(M463) ), "", 1.5*SQRT( EXP(2.21*(I463-1)) + EXP(2.21*(J463-1)) + EXP(2.21*(K463-1)) + EXP(2.21*(L463-1)) + EXP(2.21*M463)   )/100*2.45 )</f>
        <v>1.0301997916669636</v>
      </c>
      <c r="P463" s="973"/>
    </row>
    <row r="464" spans="1:868">
      <c r="A464" s="34" t="s">
        <v>270</v>
      </c>
      <c r="B464" s="40" t="s">
        <v>294</v>
      </c>
      <c r="C464" s="34" t="s">
        <v>139</v>
      </c>
      <c r="D464" s="40" t="s">
        <v>139</v>
      </c>
      <c r="E464" s="1195">
        <v>0.01</v>
      </c>
      <c r="F464" s="40">
        <v>2</v>
      </c>
      <c r="G464" s="34" t="s">
        <v>295</v>
      </c>
      <c r="H464" s="29">
        <v>2</v>
      </c>
      <c r="I464" s="9">
        <v>2</v>
      </c>
      <c r="J464" s="9">
        <v>2</v>
      </c>
      <c r="K464" s="9">
        <v>2</v>
      </c>
      <c r="L464" s="9">
        <v>1</v>
      </c>
      <c r="M464" s="9">
        <v>1</v>
      </c>
      <c r="N464" s="185">
        <f>IF( OR( ISBLANK(H464),ISBLANK(J464), ISBLANK(K464), ISBLANK(L464), ISBLANK(M464) ), "", 1.5*SQRT(   EXP(2.21*(H464-1)) + EXP(2.21*(J464-1)) + EXP(2.21*(K464-1)) + EXP(2.21*(L464-1)) + EXP(2.21*M464)   )/100*2.45 )</f>
        <v>0.2249354160293616</v>
      </c>
      <c r="O464" s="159">
        <f>IF( OR( ISBLANK(I464),ISBLANK(J464), ISBLANK(K464), ISBLANK(L464), ISBLANK(M464) ), "", 1.5*SQRT( EXP(2.21*(I464-1)) + EXP(2.21*(J464-1)) + EXP(2.21*(K464-1)) + EXP(2.21*(L464-1)) + EXP(2.21*M464)   )/100*2.45 )</f>
        <v>0.2249354160293616</v>
      </c>
      <c r="P464" s="973"/>
    </row>
    <row r="465" spans="1:16">
      <c r="A465" s="34" t="s">
        <v>270</v>
      </c>
      <c r="B465" s="40" t="s">
        <v>294</v>
      </c>
      <c r="C465" s="34" t="s">
        <v>139</v>
      </c>
      <c r="D465" s="40" t="s">
        <v>139</v>
      </c>
      <c r="E465" s="1195">
        <v>0.02</v>
      </c>
      <c r="F465" s="40">
        <v>2</v>
      </c>
      <c r="G465" s="34" t="s">
        <v>295</v>
      </c>
      <c r="H465" s="29">
        <v>2</v>
      </c>
      <c r="I465" s="9">
        <v>2</v>
      </c>
      <c r="J465" s="9">
        <v>2</v>
      </c>
      <c r="K465" s="9">
        <v>2</v>
      </c>
      <c r="L465" s="9">
        <v>1</v>
      </c>
      <c r="M465" s="9">
        <v>1</v>
      </c>
      <c r="N465" s="185">
        <f>IF( OR( ISBLANK(H465),ISBLANK(J465), ISBLANK(K465), ISBLANK(L465), ISBLANK(M465) ), "", 1.5*SQRT(   EXP(2.21*(H465-1)) + EXP(2.21*(J465-1)) + EXP(2.21*(K465-1)) + EXP(2.21*(L465-1)) + EXP(2.21*M465)   )/100*2.45 )</f>
        <v>0.2249354160293616</v>
      </c>
      <c r="O465" s="159">
        <f>IF( OR( ISBLANK(I465),ISBLANK(J465), ISBLANK(K465), ISBLANK(L465), ISBLANK(M465) ), "", 1.5*SQRT( EXP(2.21*(I465-1)) + EXP(2.21*(J465-1)) + EXP(2.21*(K465-1)) + EXP(2.21*(L465-1)) + EXP(2.21*M465)   )/100*2.45 )</f>
        <v>0.2249354160293616</v>
      </c>
      <c r="P465" s="973"/>
    </row>
    <row r="466" spans="1:16">
      <c r="A466" s="34" t="s">
        <v>275</v>
      </c>
      <c r="B466" s="40" t="s">
        <v>371</v>
      </c>
      <c r="C466" s="34" t="s">
        <v>139</v>
      </c>
      <c r="D466" s="40" t="s">
        <v>139</v>
      </c>
      <c r="E466" s="1195">
        <v>0.9</v>
      </c>
      <c r="F466" s="40">
        <v>1</v>
      </c>
      <c r="G466" s="34" t="s">
        <v>372</v>
      </c>
      <c r="H466" s="29">
        <v>1</v>
      </c>
      <c r="I466" s="9">
        <v>3</v>
      </c>
      <c r="J466" s="9">
        <v>2</v>
      </c>
      <c r="K466" s="9">
        <v>1</v>
      </c>
      <c r="L466" s="9">
        <v>1</v>
      </c>
      <c r="M466" s="9">
        <v>2</v>
      </c>
      <c r="N466" s="185">
        <f>IF( OR( ISBLANK(H466),ISBLANK(J466), ISBLANK(K466), ISBLANK(L466), ISBLANK(M466) ), "", 1.5*SQRT(   EXP(2.21*(H466-1)) + EXP(2.21*(J466-1)) + EXP(2.21*(K466-1)) + EXP(2.21*(L466-1)) + EXP(2.21*M466)   )/100*2.45 )</f>
        <v>0.35859414261160716</v>
      </c>
      <c r="O466" s="159">
        <f>IF( OR( ISBLANK(I466),ISBLANK(J466), ISBLANK(K466), ISBLANK(L466), ISBLANK(M466) ), "", 1.5*SQRT( EXP(2.21*(I466-1)) + EXP(2.21*(J466-1)) + EXP(2.21*(K466-1)) + EXP(2.21*(L466-1)) + EXP(2.21*M466)   )/100*2.45 )</f>
        <v>0.48935255543384243</v>
      </c>
      <c r="P466" s="973"/>
    </row>
    <row r="467" spans="1:16">
      <c r="A467" s="34" t="s">
        <v>275</v>
      </c>
      <c r="B467" s="40" t="s">
        <v>258</v>
      </c>
      <c r="C467" s="34" t="s">
        <v>139</v>
      </c>
      <c r="D467" s="40" t="s">
        <v>139</v>
      </c>
      <c r="E467" s="1195">
        <v>0.1</v>
      </c>
      <c r="F467" s="40">
        <v>1</v>
      </c>
      <c r="G467" s="34" t="s">
        <v>372</v>
      </c>
      <c r="H467" s="29">
        <v>1</v>
      </c>
      <c r="I467" s="9">
        <v>3</v>
      </c>
      <c r="J467" s="9">
        <v>2</v>
      </c>
      <c r="K467" s="9">
        <v>1</v>
      </c>
      <c r="L467" s="9">
        <v>1</v>
      </c>
      <c r="M467" s="9">
        <v>2</v>
      </c>
      <c r="N467" s="185">
        <f>IF( OR( ISBLANK(H467),ISBLANK(J467), ISBLANK(K467), ISBLANK(L467), ISBLANK(M467) ), "", 1.5*SQRT(   EXP(2.21*(H467-1)) + EXP(2.21*(J467-1)) + EXP(2.21*(K467-1)) + EXP(2.21*(L467-1)) + EXP(2.21*M467)   )/100*2.45 )</f>
        <v>0.35859414261160716</v>
      </c>
      <c r="O467" s="159">
        <f>IF( OR( ISBLANK(I467),ISBLANK(J467), ISBLANK(K467), ISBLANK(L467), ISBLANK(M467) ), "", 1.5*SQRT( EXP(2.21*(I467-1)) + EXP(2.21*(J467-1)) + EXP(2.21*(K467-1)) + EXP(2.21*(L467-1)) + EXP(2.21*M467)   )/100*2.45 )</f>
        <v>0.48935255543384243</v>
      </c>
      <c r="P467" s="973"/>
    </row>
    <row r="468" spans="1:16">
      <c r="A468" s="34" t="s">
        <v>271</v>
      </c>
      <c r="B468" s="40" t="s">
        <v>373</v>
      </c>
      <c r="C468" s="34" t="s">
        <v>139</v>
      </c>
      <c r="D468" s="40" t="s">
        <v>139</v>
      </c>
      <c r="E468" s="1195" t="s">
        <v>150</v>
      </c>
      <c r="F468" s="40">
        <v>1</v>
      </c>
      <c r="G468" s="34"/>
      <c r="H468" s="29"/>
      <c r="I468" s="9"/>
      <c r="J468" s="9"/>
      <c r="K468" s="9"/>
      <c r="L468" s="9"/>
      <c r="M468" s="9"/>
      <c r="N468" s="185" t="str">
        <f>IF( OR( ISBLANK(H468),ISBLANK(J468), ISBLANK(K468), ISBLANK(L468), ISBLANK(M468) ), "", 1.5*SQRT(   EXP(2.21*(H468-1)) + EXP(2.21*(J468-1)) + EXP(2.21*(K468-1)) + EXP(2.21*(L468-1)) + EXP(2.21*M468)   )/100*2.45 )</f>
        <v/>
      </c>
      <c r="O468" s="159" t="str">
        <f>IF( OR( ISBLANK(I468),ISBLANK(J468), ISBLANK(K468), ISBLANK(L468), ISBLANK(M468) ), "", 1.5*SQRT( EXP(2.21*(I468-1)) + EXP(2.21*(J468-1)) + EXP(2.21*(K468-1)) + EXP(2.21*(L468-1)) + EXP(2.21*M468)   )/100*2.45 )</f>
        <v/>
      </c>
      <c r="P468" s="973"/>
    </row>
    <row r="469" spans="1:16">
      <c r="A469" s="34" t="s">
        <v>271</v>
      </c>
      <c r="B469" s="40" t="s">
        <v>231</v>
      </c>
      <c r="C469" s="34" t="s">
        <v>139</v>
      </c>
      <c r="D469" s="40" t="s">
        <v>139</v>
      </c>
      <c r="E469" s="1195">
        <v>0.05</v>
      </c>
      <c r="F469" s="40">
        <v>2</v>
      </c>
      <c r="G469" s="34" t="s">
        <v>276</v>
      </c>
      <c r="H469" s="29">
        <v>1</v>
      </c>
      <c r="I469" s="9">
        <v>2</v>
      </c>
      <c r="J469" s="9">
        <v>1</v>
      </c>
      <c r="K469" s="9">
        <v>1</v>
      </c>
      <c r="L469" s="9">
        <v>2</v>
      </c>
      <c r="M469" s="9">
        <v>3</v>
      </c>
      <c r="N469" s="185">
        <f>IF( OR( ISBLANK(H469),ISBLANK(J469), ISBLANK(K469), ISBLANK(L469), ISBLANK(M469) ), "", 1.5*SQRT(   EXP(2.21*(H469-1)) + EXP(2.21*(J469-1)) + EXP(2.21*(K469-1)) + EXP(2.21*(L469-1)) + EXP(2.21*M469)   )/100*2.45 )</f>
        <v>1.0195048044558224</v>
      </c>
      <c r="O469" s="159">
        <f>IF( OR( ISBLANK(I469),ISBLANK(J469), ISBLANK(K469), ISBLANK(L469), ISBLANK(M469) ), "", 1.5*SQRT( EXP(2.21*(I469-1)) + EXP(2.21*(J469-1)) + EXP(2.21*(K469-1)) + EXP(2.21*(L469-1)) + EXP(2.21*M469)   )/100*2.45 )</f>
        <v>1.0248662490928169</v>
      </c>
      <c r="P469" s="973"/>
    </row>
    <row r="470" spans="1:16">
      <c r="A470" s="34" t="s">
        <v>271</v>
      </c>
      <c r="B470" s="40" t="s">
        <v>231</v>
      </c>
      <c r="C470" s="34" t="s">
        <v>139</v>
      </c>
      <c r="D470" s="40" t="s">
        <v>139</v>
      </c>
      <c r="E470" s="1195">
        <v>0.1</v>
      </c>
      <c r="F470" s="40">
        <v>2</v>
      </c>
      <c r="G470" s="1189" t="s">
        <v>277</v>
      </c>
      <c r="H470" s="29">
        <v>1</v>
      </c>
      <c r="I470" s="9">
        <v>2</v>
      </c>
      <c r="J470" s="9">
        <v>2</v>
      </c>
      <c r="K470" s="9">
        <v>1</v>
      </c>
      <c r="L470" s="9">
        <v>2</v>
      </c>
      <c r="M470" s="9">
        <v>3</v>
      </c>
      <c r="N470" s="185">
        <f>IF( OR( ISBLANK(H470),ISBLANK(J470), ISBLANK(K470), ISBLANK(L470), ISBLANK(M470) ), "", 1.5*SQRT(   EXP(2.21*(H470-1)) + EXP(2.21*(J470-1)) + EXP(2.21*(K470-1)) + EXP(2.21*(L470-1)) + EXP(2.21*M470)   )/100*2.45 )</f>
        <v>1.0248662490928169</v>
      </c>
      <c r="O470" s="159">
        <f>IF( OR( ISBLANK(I470),ISBLANK(J470), ISBLANK(K470), ISBLANK(L470), ISBLANK(M470) ), "", 1.5*SQRT( EXP(2.21*(I470-1)) + EXP(2.21*(J470-1)) + EXP(2.21*(K470-1)) + EXP(2.21*(L470-1)) + EXP(2.21*M470)   )/100*2.45 )</f>
        <v>1.0301997916669636</v>
      </c>
      <c r="P470" s="973"/>
    </row>
    <row r="471" spans="1:16">
      <c r="A471" s="34" t="s">
        <v>271</v>
      </c>
      <c r="B471" s="40" t="s">
        <v>294</v>
      </c>
      <c r="C471" s="34" t="s">
        <v>139</v>
      </c>
      <c r="D471" s="40" t="s">
        <v>139</v>
      </c>
      <c r="E471" s="1195">
        <v>0.8</v>
      </c>
      <c r="F471" s="40">
        <v>2</v>
      </c>
      <c r="G471" s="34" t="s">
        <v>374</v>
      </c>
      <c r="H471" s="29">
        <v>1</v>
      </c>
      <c r="I471" s="9">
        <v>2</v>
      </c>
      <c r="J471" s="9">
        <v>1</v>
      </c>
      <c r="K471" s="9">
        <v>1</v>
      </c>
      <c r="L471" s="9">
        <v>3</v>
      </c>
      <c r="M471" s="9">
        <v>3</v>
      </c>
      <c r="N471" s="185">
        <f>IF( OR( ISBLANK(H471),ISBLANK(J471), ISBLANK(K471), ISBLANK(L471), ISBLANK(M471) ), "", 1.5*SQRT(   EXP(2.21*(H471-1)) + EXP(2.21*(J471-1)) + EXP(2.21*(K471-1)) + EXP(2.21*(L471-1)) + EXP(2.21*M471)   )/100*2.45 )</f>
        <v>1.0673825127299523</v>
      </c>
      <c r="O471" s="159">
        <f>IF( OR( ISBLANK(I471),ISBLANK(J471), ISBLANK(K471), ISBLANK(L471), ISBLANK(M471) ), "", 1.5*SQRT( EXP(2.21*(I471-1)) + EXP(2.21*(J471-1)) + EXP(2.21*(K471-1)) + EXP(2.21*(L471-1)) + EXP(2.21*M471)   )/100*2.45 )</f>
        <v>1.0725046436742278</v>
      </c>
      <c r="P471" s="973"/>
    </row>
    <row r="472" spans="1:16">
      <c r="A472" s="34" t="s">
        <v>271</v>
      </c>
      <c r="B472" s="40" t="s">
        <v>294</v>
      </c>
      <c r="C472" s="34" t="s">
        <v>139</v>
      </c>
      <c r="D472" s="40" t="s">
        <v>139</v>
      </c>
      <c r="E472" s="1195">
        <v>0.9</v>
      </c>
      <c r="F472" s="40">
        <v>2</v>
      </c>
      <c r="G472" s="34" t="s">
        <v>372</v>
      </c>
      <c r="H472" s="29">
        <v>1</v>
      </c>
      <c r="I472" s="9">
        <v>2</v>
      </c>
      <c r="J472" s="9">
        <v>1</v>
      </c>
      <c r="K472" s="9">
        <v>1</v>
      </c>
      <c r="L472" s="9">
        <v>3</v>
      </c>
      <c r="M472" s="9">
        <v>3</v>
      </c>
      <c r="N472" s="185">
        <f>IF( OR( ISBLANK(H472),ISBLANK(J472), ISBLANK(K472), ISBLANK(L472), ISBLANK(M472) ), "", 1.5*SQRT(   EXP(2.21*(H472-1)) + EXP(2.21*(J472-1)) + EXP(2.21*(K472-1)) + EXP(2.21*(L472-1)) + EXP(2.21*M472)   )/100*2.45 )</f>
        <v>1.0673825127299523</v>
      </c>
      <c r="O472" s="159">
        <f>IF( OR( ISBLANK(I472),ISBLANK(J472), ISBLANK(K472), ISBLANK(L472), ISBLANK(M472) ), "", 1.5*SQRT( EXP(2.21*(I472-1)) + EXP(2.21*(J472-1)) + EXP(2.21*(K472-1)) + EXP(2.21*(L472-1)) + EXP(2.21*M472)   )/100*2.45 )</f>
        <v>1.0725046436742278</v>
      </c>
      <c r="P472" s="973"/>
    </row>
    <row r="473" spans="1:16">
      <c r="A473" s="34" t="s">
        <v>373</v>
      </c>
      <c r="B473" s="40" t="s">
        <v>371</v>
      </c>
      <c r="C473" s="34" t="s">
        <v>139</v>
      </c>
      <c r="D473" s="40" t="s">
        <v>139</v>
      </c>
      <c r="E473" s="1195">
        <v>0.9</v>
      </c>
      <c r="F473" s="40">
        <v>1</v>
      </c>
      <c r="G473" s="34" t="s">
        <v>385</v>
      </c>
      <c r="H473" s="29">
        <v>1</v>
      </c>
      <c r="I473" s="9">
        <v>3</v>
      </c>
      <c r="J473" s="9">
        <v>2</v>
      </c>
      <c r="K473" s="9">
        <v>1</v>
      </c>
      <c r="L473" s="9">
        <v>1</v>
      </c>
      <c r="M473" s="9">
        <v>2</v>
      </c>
      <c r="N473" s="185">
        <f>IF( OR( ISBLANK(H473),ISBLANK(J473), ISBLANK(K473), ISBLANK(L473), ISBLANK(M473) ), "", 1.5*SQRT(   EXP(2.21*(H473-1)) + EXP(2.21*(J473-1)) + EXP(2.21*(K473-1)) + EXP(2.21*(L473-1)) + EXP(2.21*M473)   )/100*2.45 )</f>
        <v>0.35859414261160716</v>
      </c>
      <c r="O473" s="159">
        <f>IF( OR( ISBLANK(I473),ISBLANK(J473), ISBLANK(K473), ISBLANK(L473), ISBLANK(M473) ), "", 1.5*SQRT( EXP(2.21*(I473-1)) + EXP(2.21*(J473-1)) + EXP(2.21*(K473-1)) + EXP(2.21*(L473-1)) + EXP(2.21*M473)   )/100*2.45 )</f>
        <v>0.48935255543384243</v>
      </c>
      <c r="P473" s="973"/>
    </row>
    <row r="474" spans="1:16">
      <c r="A474" s="34" t="s">
        <v>373</v>
      </c>
      <c r="B474" s="40" t="s">
        <v>258</v>
      </c>
      <c r="C474" s="34" t="s">
        <v>139</v>
      </c>
      <c r="D474" s="40" t="s">
        <v>139</v>
      </c>
      <c r="E474" s="1195">
        <v>0.1</v>
      </c>
      <c r="F474" s="40">
        <v>1</v>
      </c>
      <c r="G474" s="34" t="s">
        <v>372</v>
      </c>
      <c r="H474" s="29">
        <v>1</v>
      </c>
      <c r="I474" s="9">
        <v>3</v>
      </c>
      <c r="J474" s="9">
        <v>2</v>
      </c>
      <c r="K474" s="9">
        <v>1</v>
      </c>
      <c r="L474" s="9">
        <v>1</v>
      </c>
      <c r="M474" s="9">
        <v>2</v>
      </c>
      <c r="N474" s="185">
        <f>IF( OR( ISBLANK(H474),ISBLANK(J474), ISBLANK(K474), ISBLANK(L474), ISBLANK(M474) ), "", 1.5*SQRT(   EXP(2.21*(H474-1)) + EXP(2.21*(J474-1)) + EXP(2.21*(K474-1)) + EXP(2.21*(L474-1)) + EXP(2.21*M474)   )/100*2.45 )</f>
        <v>0.35859414261160716</v>
      </c>
      <c r="O474" s="159">
        <f>IF( OR( ISBLANK(I474),ISBLANK(J474), ISBLANK(K474), ISBLANK(L474), ISBLANK(M474) ), "", 1.5*SQRT( EXP(2.21*(I474-1)) + EXP(2.21*(J474-1)) + EXP(2.21*(K474-1)) + EXP(2.21*(L474-1)) + EXP(2.21*M474)   )/100*2.45 )</f>
        <v>0.48935255543384243</v>
      </c>
      <c r="P474" s="973"/>
    </row>
    <row r="475" spans="1:16">
      <c r="A475" s="68" t="str">
        <f>'Textile waste collection'!A46</f>
        <v>Home textile waste collection</v>
      </c>
      <c r="B475" s="304" t="str">
        <f>'Textile waste collection'!B46</f>
        <v>Incineration</v>
      </c>
      <c r="C475" s="69" t="str">
        <f>'Textile waste collection'!C46</f>
        <v>any</v>
      </c>
      <c r="D475" s="823" t="str">
        <f>'Textile waste collection'!D46</f>
        <v>any</v>
      </c>
      <c r="E475" s="69">
        <f>'Textile waste collection'!E46</f>
        <v>6.5437788018433182E-2</v>
      </c>
      <c r="F475" s="823">
        <f>'Textile waste collection'!F46</f>
        <v>2</v>
      </c>
      <c r="G475" s="69" t="str">
        <f>'Textile waste collection'!G46</f>
        <v>Massabalans textiel, 2022</v>
      </c>
      <c r="H475" s="1188">
        <f>'Textile waste collection'!H46</f>
        <v>1</v>
      </c>
      <c r="I475" s="307">
        <f>'Textile waste collection'!I46</f>
        <v>2</v>
      </c>
      <c r="J475" s="307">
        <f>'Textile waste collection'!J46</f>
        <v>2</v>
      </c>
      <c r="K475" s="307">
        <f>'Textile waste collection'!K46</f>
        <v>1</v>
      </c>
      <c r="L475" s="307">
        <f>'Textile waste collection'!L46</f>
        <v>2</v>
      </c>
      <c r="M475" s="307">
        <f>'Textile waste collection'!M46</f>
        <v>2</v>
      </c>
      <c r="N475" s="616">
        <f>IF( OR( ISBLANK(H475),ISBLANK(J475), ISBLANK(K475), ISBLANK(L475), ISBLANK(M475) ), "", 1.5*SQRT(   EXP(2.21*(H475-1)) + EXP(2.21*(J475-1)) + EXP(2.21*(K475-1)) + EXP(2.21*(L475-1)) + EXP(2.21*M475)   )/100*2.45 )</f>
        <v>0.37356464144298934</v>
      </c>
      <c r="O475" s="1282">
        <f>IF( OR( ISBLANK(I475),ISBLANK(J475), ISBLANK(K475), ISBLANK(L475), ISBLANK(M475) ), "", 1.5*SQRT( EXP(2.21*(I475-1)) + EXP(2.21*(J475-1)) + EXP(2.21*(K475-1)) + EXP(2.21*(L475-1)) + EXP(2.21*M475)   )/100*2.45 )</f>
        <v>0.38795788889711302</v>
      </c>
      <c r="P475" s="68"/>
    </row>
    <row r="476" spans="1:16">
      <c r="A476" s="68" t="str">
        <f>'Textile waste collection'!A42</f>
        <v>Home textile waste collection</v>
      </c>
      <c r="B476" s="304" t="str">
        <f>'Textile waste collection'!B42</f>
        <v>Textile reuse</v>
      </c>
      <c r="C476" s="69" t="str">
        <f>'Textile waste collection'!C42</f>
        <v>any</v>
      </c>
      <c r="D476" s="823" t="str">
        <f>'Textile waste collection'!D42</f>
        <v>any</v>
      </c>
      <c r="E476" s="69">
        <f>'Textile waste collection'!E42</f>
        <v>6.7281105990783407E-2</v>
      </c>
      <c r="F476" s="823">
        <f>'Textile waste collection'!F42</f>
        <v>2</v>
      </c>
      <c r="G476" s="69" t="str">
        <f>'Textile waste collection'!G42</f>
        <v>Massabalans textiel, 2022</v>
      </c>
      <c r="H476" s="1188">
        <f>'Textile waste collection'!H42</f>
        <v>1</v>
      </c>
      <c r="I476" s="307">
        <f>'Textile waste collection'!I42</f>
        <v>2</v>
      </c>
      <c r="J476" s="307">
        <f>'Textile waste collection'!J42</f>
        <v>2</v>
      </c>
      <c r="K476" s="307">
        <f>'Textile waste collection'!K42</f>
        <v>1</v>
      </c>
      <c r="L476" s="307">
        <f>'Textile waste collection'!L42</f>
        <v>2</v>
      </c>
      <c r="M476" s="307">
        <f>'Textile waste collection'!M42</f>
        <v>2</v>
      </c>
      <c r="N476" s="616">
        <f>IF( OR( ISBLANK(H476),ISBLANK(J476), ISBLANK(K476), ISBLANK(L476), ISBLANK(M476) ), "", 1.5*SQRT(   EXP(2.21*(H476-1)) + EXP(2.21*(J476-1)) + EXP(2.21*(K476-1)) + EXP(2.21*(L476-1)) + EXP(2.21*M476)   )/100*2.45 )</f>
        <v>0.37356464144298934</v>
      </c>
      <c r="O476" s="1282">
        <f>IF( OR( ISBLANK(I476),ISBLANK(J476), ISBLANK(K476), ISBLANK(L476), ISBLANK(M476) ), "", 1.5*SQRT( EXP(2.21*(I476-1)) + EXP(2.21*(J476-1)) + EXP(2.21*(K476-1)) + EXP(2.21*(L476-1)) + EXP(2.21*M476)   )/100*2.45 )</f>
        <v>0.38795788889711302</v>
      </c>
      <c r="P476" s="68"/>
    </row>
    <row r="477" spans="1:16">
      <c r="A477" s="68" t="str">
        <f>'Textile waste collection'!A43</f>
        <v>Home textile waste collection</v>
      </c>
      <c r="B477" s="304" t="str">
        <f>'Textile waste collection'!B43</f>
        <v>Textile recycling</v>
      </c>
      <c r="C477" s="69" t="str">
        <f>'Textile waste collection'!C43</f>
        <v>any</v>
      </c>
      <c r="D477" s="823" t="str">
        <f>'Textile waste collection'!D43</f>
        <v>any</v>
      </c>
      <c r="E477" s="69">
        <f>'Textile waste collection'!E43</f>
        <v>5.7142857142857141E-2</v>
      </c>
      <c r="F477" s="823">
        <f>'Textile waste collection'!F43</f>
        <v>3</v>
      </c>
      <c r="G477" s="69" t="str">
        <f>'Textile waste collection'!G43</f>
        <v>Massabalans textiel, 2022</v>
      </c>
      <c r="H477" s="1188">
        <f>'Textile waste collection'!H43</f>
        <v>1</v>
      </c>
      <c r="I477" s="307">
        <f>'Textile waste collection'!I43</f>
        <v>2</v>
      </c>
      <c r="J477" s="307">
        <f>'Textile waste collection'!J43</f>
        <v>2</v>
      </c>
      <c r="K477" s="307">
        <f>'Textile waste collection'!K43</f>
        <v>1</v>
      </c>
      <c r="L477" s="307">
        <f>'Textile waste collection'!L43</f>
        <v>2</v>
      </c>
      <c r="M477" s="307">
        <f>'Textile waste collection'!M43</f>
        <v>2</v>
      </c>
      <c r="N477" s="616">
        <f>IF( OR( ISBLANK(H477),ISBLANK(J477), ISBLANK(K477), ISBLANK(L477), ISBLANK(M477) ), "", 1.5*SQRT(   EXP(2.21*(H477-1)) + EXP(2.21*(J477-1)) + EXP(2.21*(K477-1)) + EXP(2.21*(L477-1)) + EXP(2.21*M477)   )/100*2.45 )</f>
        <v>0.37356464144298934</v>
      </c>
      <c r="O477" s="1282">
        <f>IF( OR( ISBLANK(I477),ISBLANK(J477), ISBLANK(K477), ISBLANK(L477), ISBLANK(M477) ), "", 1.5*SQRT( EXP(2.21*(I477-1)) + EXP(2.21*(J477-1)) + EXP(2.21*(K477-1)) + EXP(2.21*(L477-1)) + EXP(2.21*M477)   )/100*2.45 )</f>
        <v>0.38795788889711302</v>
      </c>
      <c r="P477" s="68"/>
    </row>
    <row r="478" spans="1:16">
      <c r="A478" s="68" t="str">
        <f>'Textile waste collection'!A44</f>
        <v>Home textile waste collection</v>
      </c>
      <c r="B478" s="304" t="str">
        <f>'Textile waste collection'!B44</f>
        <v>Residential soil (macro)</v>
      </c>
      <c r="C478" s="69" t="str">
        <f>'Textile waste collection'!C44</f>
        <v>any</v>
      </c>
      <c r="D478" s="823" t="str">
        <f>'Textile waste collection'!D44</f>
        <v>any</v>
      </c>
      <c r="E478" s="69">
        <f>'Textile waste collection'!E44</f>
        <v>1E-4</v>
      </c>
      <c r="F478" s="823">
        <f>'Textile waste collection'!F44</f>
        <v>3</v>
      </c>
      <c r="G478" s="69" t="str">
        <f>'Textile waste collection'!G44</f>
        <v>assumption based on similar losses estimated for other waste collection systems</v>
      </c>
      <c r="H478" s="1188">
        <f>'Textile waste collection'!H44</f>
        <v>1</v>
      </c>
      <c r="I478" s="307">
        <f>'Textile waste collection'!I44</f>
        <v>2</v>
      </c>
      <c r="J478" s="307">
        <f>'Textile waste collection'!J44</f>
        <v>2</v>
      </c>
      <c r="K478" s="307">
        <f>'Textile waste collection'!K44</f>
        <v>2</v>
      </c>
      <c r="L478" s="307">
        <f>'Textile waste collection'!L44</f>
        <v>2</v>
      </c>
      <c r="M478" s="307">
        <f>'Textile waste collection'!M44</f>
        <v>2</v>
      </c>
      <c r="N478" s="185">
        <f>IF( OR( ISBLANK(H478),ISBLANK(J478), ISBLANK(K478), ISBLANK(L478), ISBLANK(M478) ), "", 1.5*SQRT(   EXP(2.21*(H478-1)) + EXP(2.21*(J478-1)) + EXP(2.21*(K478-1)) + EXP(2.21*(L478-1)) + EXP(2.21*M478)   )/100*2.45 )</f>
        <v>0.38795788889711302</v>
      </c>
      <c r="O478" s="159">
        <f>IF( OR( ISBLANK(I478),ISBLANK(J478), ISBLANK(K478), ISBLANK(L478), ISBLANK(M478) ), "", 1.5*SQRT( EXP(2.21*(I478-1)) + EXP(2.21*(J478-1)) + EXP(2.21*(K478-1)) + EXP(2.21*(L478-1)) + EXP(2.21*M478)   )/100*2.45 )</f>
        <v>0.40183591897512122</v>
      </c>
      <c r="P478" s="68"/>
    </row>
    <row r="479" spans="1:16">
      <c r="A479" s="68" t="str">
        <f>'Textile waste collection'!A45</f>
        <v>Home textile waste collection</v>
      </c>
      <c r="B479" s="304" t="str">
        <f>'Textile waste collection'!B45</f>
        <v>Landfill</v>
      </c>
      <c r="C479" s="69" t="str">
        <f>'Textile waste collection'!C45</f>
        <v>any</v>
      </c>
      <c r="D479" s="823" t="str">
        <f>'Textile waste collection'!D45</f>
        <v>any</v>
      </c>
      <c r="E479" s="69">
        <f>'Textile waste collection'!E45</f>
        <v>3.0000000000000001E-3</v>
      </c>
      <c r="F479" s="823">
        <f>'Textile waste collection'!F45</f>
        <v>2</v>
      </c>
      <c r="G479" s="69" t="str">
        <f>'Textile waste collection'!G45</f>
        <v>Massabalans textiel, 2018</v>
      </c>
      <c r="H479" s="1188">
        <f>'Textile waste collection'!H45</f>
        <v>1</v>
      </c>
      <c r="I479" s="307">
        <f>'Textile waste collection'!I45</f>
        <v>2</v>
      </c>
      <c r="J479" s="307">
        <f>'Textile waste collection'!J45</f>
        <v>2</v>
      </c>
      <c r="K479" s="307">
        <f>'Textile waste collection'!K45</f>
        <v>1</v>
      </c>
      <c r="L479" s="307">
        <f>'Textile waste collection'!L45</f>
        <v>2</v>
      </c>
      <c r="M479" s="307">
        <f>'Textile waste collection'!M45</f>
        <v>2</v>
      </c>
      <c r="N479" s="616">
        <f>IF( OR( ISBLANK(H479),ISBLANK(J479), ISBLANK(K479), ISBLANK(L479), ISBLANK(M479) ), "", 1.5*SQRT(   EXP(2.21*(H479-1)) + EXP(2.21*(J479-1)) + EXP(2.21*(K479-1)) + EXP(2.21*(L479-1)) + EXP(2.21*M479)   )/100*2.45 )</f>
        <v>0.37356464144298934</v>
      </c>
      <c r="O479" s="1282">
        <f>IF( OR( ISBLANK(I479),ISBLANK(J479), ISBLANK(K479), ISBLANK(L479), ISBLANK(M479) ), "", 1.5*SQRT( EXP(2.21*(I479-1)) + EXP(2.21*(J479-1)) + EXP(2.21*(K479-1)) + EXP(2.21*(L479-1)) + EXP(2.21*M479)   )/100*2.45 )</f>
        <v>0.38795788889711302</v>
      </c>
      <c r="P479" s="68"/>
    </row>
    <row r="480" spans="1:16">
      <c r="A480" s="68" t="str">
        <f>'Textile waste collection'!A47</f>
        <v>Home textile waste collection</v>
      </c>
      <c r="B480" s="304" t="str">
        <f>'Textile waste collection'!B47</f>
        <v>Export</v>
      </c>
      <c r="C480" s="69" t="str">
        <f>'Textile waste collection'!C47</f>
        <v>any</v>
      </c>
      <c r="D480" s="823" t="str">
        <f>'Textile waste collection'!D47</f>
        <v>any</v>
      </c>
      <c r="E480" s="69" t="str">
        <f>'Textile waste collection'!E47</f>
        <v>rest</v>
      </c>
      <c r="F480" s="823">
        <f>'Textile waste collection'!F47</f>
        <v>1</v>
      </c>
      <c r="G480" s="69" t="str">
        <f>'Textile waste collection'!G47</f>
        <v>Massabalans textiel, 2022</v>
      </c>
      <c r="H480" s="1188"/>
      <c r="I480" s="307"/>
      <c r="J480" s="307"/>
      <c r="K480" s="307"/>
      <c r="L480" s="307"/>
      <c r="M480" s="307"/>
      <c r="N480" s="616" t="str">
        <f>IF( OR( ISBLANK(H480),ISBLANK(J480), ISBLANK(K480), ISBLANK(L480), ISBLANK(M480) ), "", 1.5*SQRT(   EXP(2.21*(H480-1)) + EXP(2.21*(J480-1)) + EXP(2.21*(K480-1)) + EXP(2.21*(L480-1)) + EXP(2.21*M480)   )/100*2.45 )</f>
        <v/>
      </c>
      <c r="O480" s="1282" t="str">
        <f>IF( OR( ISBLANK(I480),ISBLANK(J480), ISBLANK(K480), ISBLANK(L480), ISBLANK(M480) ), "", 1.5*SQRT( EXP(2.21*(I480-1)) + EXP(2.21*(J480-1)) + EXP(2.21*(K480-1)) + EXP(2.21*(L480-1)) + EXP(2.21*M480)   )/100*2.45 )</f>
        <v/>
      </c>
      <c r="P480" s="68"/>
    </row>
    <row r="481" spans="1:16">
      <c r="A481" s="55" t="s">
        <v>189</v>
      </c>
      <c r="B481" s="260" t="s">
        <v>190</v>
      </c>
      <c r="C481" s="55" t="s">
        <v>139</v>
      </c>
      <c r="D481" s="260" t="s">
        <v>139</v>
      </c>
      <c r="E481" s="237" t="s">
        <v>150</v>
      </c>
      <c r="F481" s="168">
        <v>1</v>
      </c>
      <c r="G481" s="55"/>
      <c r="H481" s="29"/>
      <c r="I481" s="9"/>
      <c r="J481" s="9"/>
      <c r="K481" s="9"/>
      <c r="L481" s="9"/>
      <c r="M481" s="9"/>
      <c r="N481" s="185" t="str">
        <f>IF( OR( ISBLANK(H481),ISBLANK(J481), ISBLANK(K481), ISBLANK(L481), ISBLANK(M481) ), "", 1.5*SQRT(   EXP(2.21*(H481-1)) + EXP(2.21*(J481-1)) + EXP(2.21*(K481-1)) + EXP(2.21*(L481-1)) + EXP(2.21*M481)   )/100*2.45 )</f>
        <v/>
      </c>
      <c r="O481" s="159" t="str">
        <f>IF( OR( ISBLANK(I481),ISBLANK(J481), ISBLANK(K481), ISBLANK(L481), ISBLANK(M481) ), "", 1.5*SQRT( EXP(2.21*(I481-1)) + EXP(2.21*(J481-1)) + EXP(2.21*(K481-1)) + EXP(2.21*(L481-1)) + EXP(2.21*M481)   )/100*2.45 )</f>
        <v/>
      </c>
      <c r="P481" s="34"/>
    </row>
    <row r="482" spans="1:16">
      <c r="A482" s="34" t="s">
        <v>189</v>
      </c>
      <c r="B482" s="40" t="s">
        <v>191</v>
      </c>
      <c r="C482" s="34" t="s">
        <v>139</v>
      </c>
      <c r="D482" s="40" t="s">
        <v>139</v>
      </c>
      <c r="E482" s="237">
        <v>2.6169999999999999E-2</v>
      </c>
      <c r="F482" s="168">
        <v>2</v>
      </c>
      <c r="G482" s="237" t="s">
        <v>163</v>
      </c>
      <c r="H482" s="29">
        <v>2</v>
      </c>
      <c r="I482" s="9">
        <v>2</v>
      </c>
      <c r="J482" s="9">
        <v>3</v>
      </c>
      <c r="K482" s="9">
        <v>1</v>
      </c>
      <c r="L482" s="9">
        <v>1</v>
      </c>
      <c r="M482" s="9">
        <v>1</v>
      </c>
      <c r="N482" s="185">
        <f>IF( OR( ISBLANK(H482),ISBLANK(J482), ISBLANK(K482), ISBLANK(L482), ISBLANK(M482) ), "", 1.5*SQRT(   EXP(2.21*(H482-1)) + EXP(2.21*(J482-1)) + EXP(2.21*(K482-1)) + EXP(2.21*(L482-1)) + EXP(2.21*M482)   )/100*2.45 )</f>
        <v>0.37356464144298934</v>
      </c>
      <c r="O482" s="159">
        <f>IF( OR( ISBLANK(I482),ISBLANK(J482), ISBLANK(K482), ISBLANK(L482), ISBLANK(M482) ), "", 1.5*SQRT( EXP(2.21*(I482-1)) + EXP(2.21*(J482-1)) + EXP(2.21*(K482-1)) + EXP(2.21*(L482-1)) + EXP(2.21*M482)   )/100*2.45 )</f>
        <v>0.37356464144298934</v>
      </c>
      <c r="P482" s="34" t="s">
        <v>192</v>
      </c>
    </row>
    <row r="483" spans="1:16">
      <c r="A483" s="34" t="s">
        <v>189</v>
      </c>
      <c r="B483" s="40" t="s">
        <v>191</v>
      </c>
      <c r="C483" s="34" t="s">
        <v>139</v>
      </c>
      <c r="D483" s="40" t="s">
        <v>139</v>
      </c>
      <c r="E483" s="237">
        <v>3.057E-2</v>
      </c>
      <c r="F483" s="168">
        <v>2</v>
      </c>
      <c r="G483" s="237" t="s">
        <v>163</v>
      </c>
      <c r="H483" s="29">
        <v>2</v>
      </c>
      <c r="I483" s="9">
        <v>2</v>
      </c>
      <c r="J483" s="9">
        <v>3</v>
      </c>
      <c r="K483" s="9">
        <v>1</v>
      </c>
      <c r="L483" s="9">
        <v>1</v>
      </c>
      <c r="M483" s="9">
        <v>1</v>
      </c>
      <c r="N483" s="185">
        <f>IF( OR( ISBLANK(H483),ISBLANK(J483), ISBLANK(K483), ISBLANK(L483), ISBLANK(M483) ), "", 1.5*SQRT(   EXP(2.21*(H483-1)) + EXP(2.21*(J483-1)) + EXP(2.21*(K483-1)) + EXP(2.21*(L483-1)) + EXP(2.21*M483)   )/100*2.45 )</f>
        <v>0.37356464144298934</v>
      </c>
      <c r="O483" s="159">
        <f>IF( OR( ISBLANK(I483),ISBLANK(J483), ISBLANK(K483), ISBLANK(L483), ISBLANK(M483) ), "", 1.5*SQRT( EXP(2.21*(I483-1)) + EXP(2.21*(J483-1)) + EXP(2.21*(K483-1)) + EXP(2.21*(L483-1)) + EXP(2.21*M483)   )/100*2.45 )</f>
        <v>0.37356464144298934</v>
      </c>
      <c r="P483" s="34" t="s">
        <v>193</v>
      </c>
    </row>
    <row r="484" spans="1:16">
      <c r="A484" s="55" t="s">
        <v>190</v>
      </c>
      <c r="B484" s="260" t="s">
        <v>204</v>
      </c>
      <c r="C484" s="55" t="s">
        <v>139</v>
      </c>
      <c r="D484" s="260" t="s">
        <v>139</v>
      </c>
      <c r="E484" s="237">
        <v>2.7E-4</v>
      </c>
      <c r="F484" s="168">
        <v>2</v>
      </c>
      <c r="G484" s="55" t="s">
        <v>163</v>
      </c>
      <c r="H484" s="29">
        <v>2</v>
      </c>
      <c r="I484" s="9">
        <v>2</v>
      </c>
      <c r="J484" s="9">
        <v>2</v>
      </c>
      <c r="K484" s="9">
        <v>3</v>
      </c>
      <c r="L484" s="9">
        <v>3</v>
      </c>
      <c r="M484" s="9">
        <v>3</v>
      </c>
      <c r="N484" s="185">
        <f>IF( OR( ISBLANK(H484),ISBLANK(J484), ISBLANK(K484), ISBLANK(L484), ISBLANK(M484) ), "", 1.5*SQRT(   EXP(2.21*(H484-1)) + EXP(2.21*(J484-1)) + EXP(2.21*(K484-1)) + EXP(2.21*(L484-1)) + EXP(2.21*M484)   )/100*2.45 )</f>
        <v>1.1278755061256258</v>
      </c>
      <c r="O484" s="159">
        <f>IF( OR( ISBLANK(I484),ISBLANK(J484), ISBLANK(K484), ISBLANK(L484), ISBLANK(M484) ), "", 1.5*SQRT( EXP(2.21*(I484-1)) + EXP(2.21*(J484-1)) + EXP(2.21*(K484-1)) + EXP(2.21*(L484-1)) + EXP(2.21*M484)   )/100*2.45 )</f>
        <v>1.1278755061256258</v>
      </c>
      <c r="P484" s="34"/>
    </row>
    <row r="485" spans="1:16">
      <c r="A485" s="55" t="s">
        <v>190</v>
      </c>
      <c r="B485" s="260" t="s">
        <v>223</v>
      </c>
      <c r="C485" s="55" t="s">
        <v>139</v>
      </c>
      <c r="D485" s="260" t="s">
        <v>139</v>
      </c>
      <c r="E485" s="237" t="s">
        <v>150</v>
      </c>
      <c r="F485" s="168">
        <v>1</v>
      </c>
      <c r="G485" s="55" t="s">
        <v>224</v>
      </c>
      <c r="H485" s="29">
        <v>1</v>
      </c>
      <c r="I485" s="9">
        <v>2</v>
      </c>
      <c r="J485" s="9">
        <v>2</v>
      </c>
      <c r="K485" s="9">
        <v>1</v>
      </c>
      <c r="L485" s="9">
        <v>1</v>
      </c>
      <c r="M485" s="9">
        <v>2</v>
      </c>
      <c r="N485" s="185">
        <f>IF( OR( ISBLANK(H485),ISBLANK(J485), ISBLANK(K485), ISBLANK(L485), ISBLANK(M485) ), "", 1.5*SQRT(   EXP(2.21*(H485-1)) + EXP(2.21*(J485-1)) + EXP(2.21*(K485-1)) + EXP(2.21*(L485-1)) + EXP(2.21*M485)   )/100*2.45 )</f>
        <v>0.35859414261160716</v>
      </c>
      <c r="O485" s="159">
        <f>IF( OR( ISBLANK(I485),ISBLANK(J485), ISBLANK(K485), ISBLANK(L485), ISBLANK(M485) ), "", 1.5*SQRT( EXP(2.21*(I485-1)) + EXP(2.21*(J485-1)) + EXP(2.21*(K485-1)) + EXP(2.21*(L485-1)) + EXP(2.21*M485)   )/100*2.45 )</f>
        <v>0.37356464144298934</v>
      </c>
      <c r="P485" s="34"/>
    </row>
    <row r="486" spans="1:16">
      <c r="A486" s="68" t="str">
        <f>'Textile waste collection'!A32</f>
        <v>Home textiles (discarded)</v>
      </c>
      <c r="B486" s="304" t="str">
        <f>'Textile waste collection'!B32</f>
        <v>Home textile waste collection</v>
      </c>
      <c r="C486" s="69" t="str">
        <f>'Textile waste collection'!C32</f>
        <v>any</v>
      </c>
      <c r="D486" s="823" t="str">
        <f>'Textile waste collection'!D32</f>
        <v>any</v>
      </c>
      <c r="E486" s="69">
        <f>'Textile waste collection'!E32</f>
        <v>0.50465116279069766</v>
      </c>
      <c r="F486" s="823">
        <f>'Textile waste collection'!F32</f>
        <v>2</v>
      </c>
      <c r="G486" s="69" t="str">
        <f>'Textile waste collection'!G32</f>
        <v>Massabalans textiel, 2022</v>
      </c>
      <c r="H486" s="1188">
        <f>'Textile waste collection'!H32</f>
        <v>1</v>
      </c>
      <c r="I486" s="307">
        <f>'Textile waste collection'!I32</f>
        <v>2</v>
      </c>
      <c r="J486" s="307">
        <f>'Textile waste collection'!J32</f>
        <v>2</v>
      </c>
      <c r="K486" s="307">
        <f>'Textile waste collection'!K32</f>
        <v>1</v>
      </c>
      <c r="L486" s="307">
        <f>'Textile waste collection'!L32</f>
        <v>2</v>
      </c>
      <c r="M486" s="307">
        <f>'Textile waste collection'!M32</f>
        <v>2</v>
      </c>
      <c r="N486" s="616">
        <f>IF( OR( ISBLANK(H486),ISBLANK(J486), ISBLANK(K486), ISBLANK(L486), ISBLANK(M486) ), "", 1.5*SQRT(   EXP(2.21*(H486-1)) + EXP(2.21*(J486-1)) + EXP(2.21*(K486-1)) + EXP(2.21*(L486-1)) + EXP(2.21*M486)   )/100*2.45 )</f>
        <v>0.37356464144298934</v>
      </c>
      <c r="O486" s="1282">
        <f>IF( OR( ISBLANK(I486),ISBLANK(J486), ISBLANK(K486), ISBLANK(L486), ISBLANK(M486) ), "", 1.5*SQRT( EXP(2.21*(I486-1)) + EXP(2.21*(J486-1)) + EXP(2.21*(K486-1)) + EXP(2.21*(L486-1)) + EXP(2.21*M486)   )/100*2.45 )</f>
        <v>0.38795788889711302</v>
      </c>
      <c r="P486" s="68"/>
    </row>
    <row r="487" spans="1:16">
      <c r="A487" s="55" t="s">
        <v>191</v>
      </c>
      <c r="B487" s="260" t="s">
        <v>228</v>
      </c>
      <c r="C487" s="55" t="s">
        <v>139</v>
      </c>
      <c r="D487" s="260" t="s">
        <v>139</v>
      </c>
      <c r="E487" s="237">
        <v>0.32862055789071459</v>
      </c>
      <c r="F487" s="168">
        <v>2</v>
      </c>
      <c r="G487" s="55" t="s">
        <v>163</v>
      </c>
      <c r="H487" s="29">
        <v>2</v>
      </c>
      <c r="I487" s="9">
        <v>2</v>
      </c>
      <c r="J487" s="9">
        <v>3</v>
      </c>
      <c r="K487" s="9">
        <v>1</v>
      </c>
      <c r="L487" s="9">
        <v>1</v>
      </c>
      <c r="M487" s="9">
        <v>1</v>
      </c>
      <c r="N487" s="185">
        <f>IF( OR( ISBLANK(H487),ISBLANK(J487), ISBLANK(K487), ISBLANK(L487), ISBLANK(M487) ), "", 1.5*SQRT(   EXP(2.21*(H487-1)) + EXP(2.21*(J487-1)) + EXP(2.21*(K487-1)) + EXP(2.21*(L487-1)) + EXP(2.21*M487)   )/100*2.45 )</f>
        <v>0.37356464144298934</v>
      </c>
      <c r="O487" s="159">
        <f>IF( OR( ISBLANK(I487),ISBLANK(J487), ISBLANK(K487), ISBLANK(L487), ISBLANK(M487) ), "", 1.5*SQRT( EXP(2.21*(I487-1)) + EXP(2.21*(J487-1)) + EXP(2.21*(K487-1)) + EXP(2.21*(L487-1)) + EXP(2.21*M487)   )/100*2.45 )</f>
        <v>0.37356464144298934</v>
      </c>
      <c r="P487" s="34" t="s">
        <v>229</v>
      </c>
    </row>
    <row r="488" spans="1:16">
      <c r="A488" s="55" t="s">
        <v>191</v>
      </c>
      <c r="B488" s="260" t="s">
        <v>228</v>
      </c>
      <c r="C488" s="55" t="s">
        <v>139</v>
      </c>
      <c r="D488" s="260" t="s">
        <v>139</v>
      </c>
      <c r="E488" s="237">
        <v>0.42525351651946353</v>
      </c>
      <c r="F488" s="168">
        <v>2</v>
      </c>
      <c r="G488" s="55" t="s">
        <v>163</v>
      </c>
      <c r="H488" s="29">
        <v>2</v>
      </c>
      <c r="I488" s="9">
        <v>2</v>
      </c>
      <c r="J488" s="9">
        <v>3</v>
      </c>
      <c r="K488" s="9">
        <v>1</v>
      </c>
      <c r="L488" s="9">
        <v>1</v>
      </c>
      <c r="M488" s="9">
        <v>1</v>
      </c>
      <c r="N488" s="185">
        <f>IF( OR( ISBLANK(H488),ISBLANK(J488), ISBLANK(K488), ISBLANK(L488), ISBLANK(M488) ), "", 1.5*SQRT(   EXP(2.21*(H488-1)) + EXP(2.21*(J488-1)) + EXP(2.21*(K488-1)) + EXP(2.21*(L488-1)) + EXP(2.21*M488)   )/100*2.45 )</f>
        <v>0.37356464144298934</v>
      </c>
      <c r="O488" s="159">
        <f>IF( OR( ISBLANK(I488),ISBLANK(J488), ISBLANK(K488), ISBLANK(L488), ISBLANK(M488) ), "", 1.5*SQRT( EXP(2.21*(I488-1)) + EXP(2.21*(J488-1)) + EXP(2.21*(K488-1)) + EXP(2.21*(L488-1)) + EXP(2.21*M488)   )/100*2.45 )</f>
        <v>0.37356464144298934</v>
      </c>
      <c r="P488" s="34" t="s">
        <v>230</v>
      </c>
    </row>
    <row r="489" spans="1:16">
      <c r="A489" s="55" t="s">
        <v>191</v>
      </c>
      <c r="B489" s="260" t="s">
        <v>231</v>
      </c>
      <c r="C489" s="55" t="s">
        <v>139</v>
      </c>
      <c r="D489" s="260" t="s">
        <v>139</v>
      </c>
      <c r="E489" s="237">
        <v>0</v>
      </c>
      <c r="F489" s="168">
        <v>2</v>
      </c>
      <c r="G489" s="55" t="s">
        <v>163</v>
      </c>
      <c r="H489" s="29"/>
      <c r="I489" s="9"/>
      <c r="J489" s="9"/>
      <c r="K489" s="9"/>
      <c r="L489" s="9"/>
      <c r="M489" s="9"/>
      <c r="N489" s="185" t="str">
        <f>IF( OR( ISBLANK(H489),ISBLANK(J489), ISBLANK(K489), ISBLANK(L489), ISBLANK(M489) ), "", 1.5*SQRT(   EXP(2.21*(H489-1)) + EXP(2.21*(J489-1)) + EXP(2.21*(K489-1)) + EXP(2.21*(L489-1)) + EXP(2.21*M489)   )/100*2.45 )</f>
        <v/>
      </c>
      <c r="O489" s="159" t="str">
        <f>IF( OR( ISBLANK(I489),ISBLANK(J489), ISBLANK(K489), ISBLANK(L489), ISBLANK(M489) ), "", 1.5*SQRT( EXP(2.21*(I489-1)) + EXP(2.21*(J489-1)) + EXP(2.21*(K489-1)) + EXP(2.21*(L489-1)) + EXP(2.21*M489)   )/100*2.45 )</f>
        <v/>
      </c>
      <c r="P489" s="34"/>
    </row>
    <row r="490" spans="1:16">
      <c r="A490" s="55" t="s">
        <v>191</v>
      </c>
      <c r="B490" s="260" t="s">
        <v>232</v>
      </c>
      <c r="C490" s="55" t="s">
        <v>139</v>
      </c>
      <c r="D490" s="260" t="s">
        <v>139</v>
      </c>
      <c r="E490" s="237" t="s">
        <v>150</v>
      </c>
      <c r="F490" s="168">
        <v>1</v>
      </c>
      <c r="G490" s="55" t="s">
        <v>168</v>
      </c>
      <c r="H490" s="29"/>
      <c r="I490" s="9"/>
      <c r="J490" s="9"/>
      <c r="K490" s="9"/>
      <c r="L490" s="9"/>
      <c r="M490" s="9"/>
      <c r="N490" s="185" t="str">
        <f>IF( OR( ISBLANK(H490),ISBLANK(J490), ISBLANK(K490), ISBLANK(L490), ISBLANK(M490) ), "", 1.5*SQRT(   EXP(2.21*(H490-1)) + EXP(2.21*(J490-1)) + EXP(2.21*(K490-1)) + EXP(2.21*(L490-1)) + EXP(2.21*M490)   )/100*2.45 )</f>
        <v/>
      </c>
      <c r="O490" s="159" t="str">
        <f>IF( OR( ISBLANK(I490),ISBLANK(J490), ISBLANK(K490), ISBLANK(L490), ISBLANK(M490) ), "", 1.5*SQRT( EXP(2.21*(I490-1)) + EXP(2.21*(J490-1)) + EXP(2.21*(K490-1)) + EXP(2.21*(L490-1)) + EXP(2.21*M490)   )/100*2.45 )</f>
        <v/>
      </c>
      <c r="P490" s="34" t="s">
        <v>233</v>
      </c>
    </row>
    <row r="491" spans="1:16">
      <c r="A491" s="34" t="s">
        <v>112</v>
      </c>
      <c r="B491" s="40" t="s">
        <v>234</v>
      </c>
      <c r="C491" s="34" t="s">
        <v>139</v>
      </c>
      <c r="D491" s="40" t="s">
        <v>85</v>
      </c>
      <c r="E491" s="237">
        <v>0</v>
      </c>
      <c r="F491" s="168">
        <v>1</v>
      </c>
      <c r="G491" s="34"/>
      <c r="H491" s="29"/>
      <c r="I491" s="9"/>
      <c r="J491" s="9"/>
      <c r="K491" s="9"/>
      <c r="L491" s="9"/>
      <c r="M491" s="9"/>
      <c r="N491" s="185" t="str">
        <f>IF( OR( ISBLANK(H491),ISBLANK(J491), ISBLANK(K491), ISBLANK(L491), ISBLANK(M491) ), "", 1.5*SQRT(   EXP(2.21*(H491-1)) + EXP(2.21*(J491-1)) + EXP(2.21*(K491-1)) + EXP(2.21*(L491-1)) + EXP(2.21*M491)   )/100*2.45 )</f>
        <v/>
      </c>
      <c r="O491" s="159" t="str">
        <f>IF( OR( ISBLANK(I491),ISBLANK(J491), ISBLANK(K491), ISBLANK(L491), ISBLANK(M491) ), "", 1.5*SQRT( EXP(2.21*(I491-1)) + EXP(2.21*(J491-1)) + EXP(2.21*(K491-1)) + EXP(2.21*(L491-1)) + EXP(2.21*M491)   )/100*2.45 )</f>
        <v/>
      </c>
      <c r="P491" s="34"/>
    </row>
    <row r="492" spans="1:16">
      <c r="A492" s="34" t="s">
        <v>112</v>
      </c>
      <c r="B492" s="40" t="s">
        <v>234</v>
      </c>
      <c r="C492" s="34" t="s">
        <v>139</v>
      </c>
      <c r="D492" s="40" t="s">
        <v>86</v>
      </c>
      <c r="E492" s="237">
        <v>0</v>
      </c>
      <c r="F492" s="168">
        <v>1</v>
      </c>
      <c r="G492" s="34"/>
      <c r="H492" s="29"/>
      <c r="I492" s="9"/>
      <c r="J492" s="9"/>
      <c r="K492" s="9"/>
      <c r="L492" s="9"/>
      <c r="M492" s="9"/>
      <c r="N492" s="185" t="str">
        <f>IF( OR( ISBLANK(H492),ISBLANK(J492), ISBLANK(K492), ISBLANK(L492), ISBLANK(M492) ), "", 1.5*SQRT(   EXP(2.21*(H492-1)) + EXP(2.21*(J492-1)) + EXP(2.21*(K492-1)) + EXP(2.21*(L492-1)) + EXP(2.21*M492)   )/100*2.45 )</f>
        <v/>
      </c>
      <c r="O492" s="159" t="str">
        <f>IF( OR( ISBLANK(I492),ISBLANK(J492), ISBLANK(K492), ISBLANK(L492), ISBLANK(M492) ), "", 1.5*SQRT( EXP(2.21*(I492-1)) + EXP(2.21*(J492-1)) + EXP(2.21*(K492-1)) + EXP(2.21*(L492-1)) + EXP(2.21*M492)   )/100*2.45 )</f>
        <v/>
      </c>
      <c r="P492" s="34"/>
    </row>
    <row r="493" spans="1:16">
      <c r="A493" s="34" t="s">
        <v>112</v>
      </c>
      <c r="B493" s="40" t="s">
        <v>234</v>
      </c>
      <c r="C493" s="34" t="s">
        <v>139</v>
      </c>
      <c r="D493" s="40" t="s">
        <v>87</v>
      </c>
      <c r="E493" s="237">
        <v>0</v>
      </c>
      <c r="F493" s="168">
        <v>1</v>
      </c>
      <c r="G493" s="34"/>
      <c r="H493" s="29"/>
      <c r="I493" s="9"/>
      <c r="J493" s="9"/>
      <c r="K493" s="9"/>
      <c r="L493" s="9"/>
      <c r="M493" s="9"/>
      <c r="N493" s="185" t="str">
        <f>IF( OR( ISBLANK(H493),ISBLANK(J493), ISBLANK(K493), ISBLANK(L493), ISBLANK(M493) ), "", 1.5*SQRT(   EXP(2.21*(H493-1)) + EXP(2.21*(J493-1)) + EXP(2.21*(K493-1)) + EXP(2.21*(L493-1)) + EXP(2.21*M493)   )/100*2.45 )</f>
        <v/>
      </c>
      <c r="O493" s="159" t="str">
        <f>IF( OR( ISBLANK(I493),ISBLANK(J493), ISBLANK(K493), ISBLANK(L493), ISBLANK(M493) ), "", 1.5*SQRT( EXP(2.21*(I493-1)) + EXP(2.21*(J493-1)) + EXP(2.21*(K493-1)) + EXP(2.21*(L493-1)) + EXP(2.21*M493)   )/100*2.45 )</f>
        <v/>
      </c>
      <c r="P493" s="34"/>
    </row>
    <row r="494" spans="1:16">
      <c r="A494" s="34" t="s">
        <v>112</v>
      </c>
      <c r="B494" s="40" t="s">
        <v>234</v>
      </c>
      <c r="C494" s="34" t="s">
        <v>139</v>
      </c>
      <c r="D494" s="40" t="s">
        <v>88</v>
      </c>
      <c r="E494" s="237">
        <v>0</v>
      </c>
      <c r="F494" s="168">
        <v>1</v>
      </c>
      <c r="G494" s="34"/>
      <c r="H494" s="29"/>
      <c r="I494" s="9"/>
      <c r="J494" s="9"/>
      <c r="K494" s="9"/>
      <c r="L494" s="9"/>
      <c r="M494" s="9"/>
      <c r="N494" s="185" t="str">
        <f>IF( OR( ISBLANK(H494),ISBLANK(J494), ISBLANK(K494), ISBLANK(L494), ISBLANK(M494) ), "", 1.5*SQRT(   EXP(2.21*(H494-1)) + EXP(2.21*(J494-1)) + EXP(2.21*(K494-1)) + EXP(2.21*(L494-1)) + EXP(2.21*M494)   )/100*2.45 )</f>
        <v/>
      </c>
      <c r="O494" s="159" t="str">
        <f>IF( OR( ISBLANK(I494),ISBLANK(J494), ISBLANK(K494), ISBLANK(L494), ISBLANK(M494) ), "", 1.5*SQRT( EXP(2.21*(I494-1)) + EXP(2.21*(J494-1)) + EXP(2.21*(K494-1)) + EXP(2.21*(L494-1)) + EXP(2.21*M494)   )/100*2.45 )</f>
        <v/>
      </c>
      <c r="P494" s="34"/>
    </row>
    <row r="495" spans="1:16">
      <c r="A495" s="34" t="s">
        <v>112</v>
      </c>
      <c r="B495" s="40" t="s">
        <v>234</v>
      </c>
      <c r="C495" s="34" t="s">
        <v>139</v>
      </c>
      <c r="D495" s="40" t="s">
        <v>89</v>
      </c>
      <c r="E495" s="237">
        <v>0</v>
      </c>
      <c r="F495" s="168">
        <v>1</v>
      </c>
      <c r="G495" s="34"/>
      <c r="H495" s="29"/>
      <c r="I495" s="9"/>
      <c r="J495" s="9"/>
      <c r="K495" s="9"/>
      <c r="L495" s="9"/>
      <c r="M495" s="9"/>
      <c r="N495" s="185" t="str">
        <f>IF( OR( ISBLANK(H495),ISBLANK(J495), ISBLANK(K495), ISBLANK(L495), ISBLANK(M495) ), "", 1.5*SQRT(   EXP(2.21*(H495-1)) + EXP(2.21*(J495-1)) + EXP(2.21*(K495-1)) + EXP(2.21*(L495-1)) + EXP(2.21*M495)   )/100*2.45 )</f>
        <v/>
      </c>
      <c r="O495" s="159" t="str">
        <f>IF( OR( ISBLANK(I495),ISBLANK(J495), ISBLANK(K495), ISBLANK(L495), ISBLANK(M495) ), "", 1.5*SQRT( EXP(2.21*(I495-1)) + EXP(2.21*(J495-1)) + EXP(2.21*(K495-1)) + EXP(2.21*(L495-1)) + EXP(2.21*M495)   )/100*2.45 )</f>
        <v/>
      </c>
      <c r="P495" s="34"/>
    </row>
    <row r="496" spans="1:16">
      <c r="A496" s="34" t="s">
        <v>112</v>
      </c>
      <c r="B496" s="40" t="s">
        <v>234</v>
      </c>
      <c r="C496" s="34" t="s">
        <v>139</v>
      </c>
      <c r="D496" s="40" t="s">
        <v>90</v>
      </c>
      <c r="E496" s="237">
        <v>0</v>
      </c>
      <c r="F496" s="168">
        <v>1</v>
      </c>
      <c r="G496" s="34"/>
      <c r="H496" s="29"/>
      <c r="I496" s="9"/>
      <c r="J496" s="9"/>
      <c r="K496" s="9"/>
      <c r="L496" s="9"/>
      <c r="M496" s="9"/>
      <c r="N496" s="185" t="str">
        <f>IF( OR( ISBLANK(H496),ISBLANK(J496), ISBLANK(K496), ISBLANK(L496), ISBLANK(M496) ), "", 1.5*SQRT(   EXP(2.21*(H496-1)) + EXP(2.21*(J496-1)) + EXP(2.21*(K496-1)) + EXP(2.21*(L496-1)) + EXP(2.21*M496)   )/100*2.45 )</f>
        <v/>
      </c>
      <c r="O496" s="159" t="str">
        <f>IF( OR( ISBLANK(I496),ISBLANK(J496), ISBLANK(K496), ISBLANK(L496), ISBLANK(M496) ), "", 1.5*SQRT( EXP(2.21*(I496-1)) + EXP(2.21*(J496-1)) + EXP(2.21*(K496-1)) + EXP(2.21*(L496-1)) + EXP(2.21*M496)   )/100*2.45 )</f>
        <v/>
      </c>
      <c r="P496" s="34"/>
    </row>
    <row r="497" spans="1:16">
      <c r="A497" s="34" t="s">
        <v>112</v>
      </c>
      <c r="B497" s="40" t="s">
        <v>234</v>
      </c>
      <c r="C497" s="34" t="s">
        <v>139</v>
      </c>
      <c r="D497" s="40" t="s">
        <v>91</v>
      </c>
      <c r="E497" s="237">
        <v>2.7068708019976597E-2</v>
      </c>
      <c r="F497" s="168">
        <v>1</v>
      </c>
      <c r="G497" s="34" t="s">
        <v>163</v>
      </c>
      <c r="H497" s="29">
        <v>2</v>
      </c>
      <c r="I497" s="9">
        <v>2</v>
      </c>
      <c r="J497" s="9">
        <v>2</v>
      </c>
      <c r="K497" s="9">
        <v>2</v>
      </c>
      <c r="L497" s="9">
        <v>1</v>
      </c>
      <c r="M497" s="9">
        <v>2</v>
      </c>
      <c r="N497" s="185">
        <f>IF( OR( ISBLANK(H497),ISBLANK(J497), ISBLANK(K497), ISBLANK(L497), ISBLANK(M497) ), "", 1.5*SQRT(   EXP(2.21*(H497-1)) + EXP(2.21*(J497-1)) + EXP(2.21*(K497-1)) + EXP(2.21*(L497-1)) + EXP(2.21*M497)   )/100*2.45 )</f>
        <v>0.38795788889711302</v>
      </c>
      <c r="O497" s="159">
        <f>IF( OR( ISBLANK(I497),ISBLANK(J497), ISBLANK(K497), ISBLANK(L497), ISBLANK(M497) ), "", 1.5*SQRT( EXP(2.21*(I497-1)) + EXP(2.21*(J497-1)) + EXP(2.21*(K497-1)) + EXP(2.21*(L497-1)) + EXP(2.21*M497)   )/100*2.45 )</f>
        <v>0.38795788889711302</v>
      </c>
      <c r="P497" s="34"/>
    </row>
    <row r="498" spans="1:16">
      <c r="A498" s="34" t="s">
        <v>112</v>
      </c>
      <c r="B498" s="40" t="s">
        <v>234</v>
      </c>
      <c r="C498" s="34" t="s">
        <v>139</v>
      </c>
      <c r="D498" s="40" t="s">
        <v>95</v>
      </c>
      <c r="E498" s="237">
        <v>0.18991471314722469</v>
      </c>
      <c r="F498" s="168">
        <v>1</v>
      </c>
      <c r="G498" s="34" t="s">
        <v>163</v>
      </c>
      <c r="H498" s="29">
        <v>2</v>
      </c>
      <c r="I498" s="9">
        <v>2</v>
      </c>
      <c r="J498" s="9">
        <v>2</v>
      </c>
      <c r="K498" s="9">
        <v>2</v>
      </c>
      <c r="L498" s="9">
        <v>1</v>
      </c>
      <c r="M498" s="9">
        <v>2</v>
      </c>
      <c r="N498" s="185">
        <f>IF( OR( ISBLANK(H498),ISBLANK(J498), ISBLANK(K498), ISBLANK(L498), ISBLANK(M498) ), "", 1.5*SQRT(   EXP(2.21*(H498-1)) + EXP(2.21*(J498-1)) + EXP(2.21*(K498-1)) + EXP(2.21*(L498-1)) + EXP(2.21*M498)   )/100*2.45 )</f>
        <v>0.38795788889711302</v>
      </c>
      <c r="O498" s="159">
        <f>IF( OR( ISBLANK(I498),ISBLANK(J498), ISBLANK(K498), ISBLANK(L498), ISBLANK(M498) ), "", 1.5*SQRT( EXP(2.21*(I498-1)) + EXP(2.21*(J498-1)) + EXP(2.21*(K498-1)) + EXP(2.21*(L498-1)) + EXP(2.21*M498)   )/100*2.45 )</f>
        <v>0.38795788889711302</v>
      </c>
      <c r="P498" s="34"/>
    </row>
    <row r="499" spans="1:16">
      <c r="A499" s="34" t="s">
        <v>112</v>
      </c>
      <c r="B499" s="40" t="s">
        <v>234</v>
      </c>
      <c r="C499" s="34" t="s">
        <v>139</v>
      </c>
      <c r="D499" s="40" t="s">
        <v>99</v>
      </c>
      <c r="E499" s="237">
        <v>0</v>
      </c>
      <c r="F499" s="168">
        <v>1</v>
      </c>
      <c r="G499" s="34"/>
      <c r="H499" s="29"/>
      <c r="I499" s="9"/>
      <c r="J499" s="9"/>
      <c r="K499" s="9"/>
      <c r="L499" s="9"/>
      <c r="M499" s="9"/>
      <c r="N499" s="185" t="str">
        <f>IF( OR( ISBLANK(H499),ISBLANK(J499), ISBLANK(K499), ISBLANK(L499), ISBLANK(M499) ), "", 1.5*SQRT(   EXP(2.21*(H499-1)) + EXP(2.21*(J499-1)) + EXP(2.21*(K499-1)) + EXP(2.21*(L499-1)) + EXP(2.21*M499)   )/100*2.45 )</f>
        <v/>
      </c>
      <c r="O499" s="159" t="str">
        <f>IF( OR( ISBLANK(I499),ISBLANK(J499), ISBLANK(K499), ISBLANK(L499), ISBLANK(M499) ), "", 1.5*SQRT( EXP(2.21*(I499-1)) + EXP(2.21*(J499-1)) + EXP(2.21*(K499-1)) + EXP(2.21*(L499-1)) + EXP(2.21*M499)   )/100*2.45 )</f>
        <v/>
      </c>
      <c r="P499" s="34"/>
    </row>
    <row r="500" spans="1:16">
      <c r="A500" s="34" t="s">
        <v>112</v>
      </c>
      <c r="B500" s="40" t="s">
        <v>189</v>
      </c>
      <c r="C500" s="34" t="s">
        <v>139</v>
      </c>
      <c r="D500" s="40" t="s">
        <v>85</v>
      </c>
      <c r="E500" s="237">
        <v>0</v>
      </c>
      <c r="F500" s="168">
        <v>1</v>
      </c>
      <c r="G500" s="34"/>
      <c r="H500" s="29"/>
      <c r="I500" s="9"/>
      <c r="J500" s="9"/>
      <c r="K500" s="9"/>
      <c r="L500" s="9"/>
      <c r="M500" s="9"/>
      <c r="N500" s="185" t="str">
        <f>IF( OR( ISBLANK(H500),ISBLANK(J500), ISBLANK(K500), ISBLANK(L500), ISBLANK(M500) ), "", 1.5*SQRT(   EXP(2.21*(H500-1)) + EXP(2.21*(J500-1)) + EXP(2.21*(K500-1)) + EXP(2.21*(L500-1)) + EXP(2.21*M500)   )/100*2.45 )</f>
        <v/>
      </c>
      <c r="O500" s="159" t="str">
        <f>IF( OR( ISBLANK(I500),ISBLANK(J500), ISBLANK(K500), ISBLANK(L500), ISBLANK(M500) ), "", 1.5*SQRT( EXP(2.21*(I500-1)) + EXP(2.21*(J500-1)) + EXP(2.21*(K500-1)) + EXP(2.21*(L500-1)) + EXP(2.21*M500)   )/100*2.45 )</f>
        <v/>
      </c>
      <c r="P500" s="34"/>
    </row>
    <row r="501" spans="1:16">
      <c r="A501" s="34" t="s">
        <v>112</v>
      </c>
      <c r="B501" s="40" t="s">
        <v>189</v>
      </c>
      <c r="C501" s="34" t="s">
        <v>139</v>
      </c>
      <c r="D501" s="40" t="s">
        <v>86</v>
      </c>
      <c r="E501" s="237">
        <v>3.9813826497656801E-2</v>
      </c>
      <c r="F501" s="168">
        <v>1</v>
      </c>
      <c r="G501" s="34" t="s">
        <v>195</v>
      </c>
      <c r="H501" s="29">
        <v>1</v>
      </c>
      <c r="I501" s="9">
        <v>2</v>
      </c>
      <c r="J501" s="9">
        <v>2</v>
      </c>
      <c r="K501" s="9">
        <v>2</v>
      </c>
      <c r="L501" s="9">
        <v>1</v>
      </c>
      <c r="M501" s="9">
        <v>2</v>
      </c>
      <c r="N501" s="185">
        <f>IF( OR( ISBLANK(H501),ISBLANK(J501), ISBLANK(K501), ISBLANK(L501), ISBLANK(M501) ), "", 1.5*SQRT(   EXP(2.21*(H501-1)) + EXP(2.21*(J501-1)) + EXP(2.21*(K501-1)) + EXP(2.21*(L501-1)) + EXP(2.21*M501)   )/100*2.45 )</f>
        <v>0.37356464144298934</v>
      </c>
      <c r="O501" s="159">
        <f>IF( OR( ISBLANK(I501),ISBLANK(J501), ISBLANK(K501), ISBLANK(L501), ISBLANK(M501) ), "", 1.5*SQRT( EXP(2.21*(I501-1)) + EXP(2.21*(J501-1)) + EXP(2.21*(K501-1)) + EXP(2.21*(L501-1)) + EXP(2.21*M501)   )/100*2.45 )</f>
        <v>0.38795788889711302</v>
      </c>
      <c r="P501" s="34"/>
    </row>
    <row r="502" spans="1:16">
      <c r="A502" s="34" t="s">
        <v>112</v>
      </c>
      <c r="B502" s="40" t="s">
        <v>189</v>
      </c>
      <c r="C502" s="34" t="s">
        <v>139</v>
      </c>
      <c r="D502" s="40" t="s">
        <v>87</v>
      </c>
      <c r="E502" s="237">
        <v>6.8545874707195309E-2</v>
      </c>
      <c r="F502" s="168">
        <v>1</v>
      </c>
      <c r="G502" s="34" t="s">
        <v>195</v>
      </c>
      <c r="H502" s="29">
        <v>1</v>
      </c>
      <c r="I502" s="9">
        <v>2</v>
      </c>
      <c r="J502" s="9">
        <v>2</v>
      </c>
      <c r="K502" s="9">
        <v>2</v>
      </c>
      <c r="L502" s="9">
        <v>1</v>
      </c>
      <c r="M502" s="9">
        <v>2</v>
      </c>
      <c r="N502" s="185">
        <f>IF( OR( ISBLANK(H502),ISBLANK(J502), ISBLANK(K502), ISBLANK(L502), ISBLANK(M502) ), "", 1.5*SQRT(   EXP(2.21*(H502-1)) + EXP(2.21*(J502-1)) + EXP(2.21*(K502-1)) + EXP(2.21*(L502-1)) + EXP(2.21*M502)   )/100*2.45 )</f>
        <v>0.37356464144298934</v>
      </c>
      <c r="O502" s="159">
        <f>IF( OR( ISBLANK(I502),ISBLANK(J502), ISBLANK(K502), ISBLANK(L502), ISBLANK(M502) ), "", 1.5*SQRT( EXP(2.21*(I502-1)) + EXP(2.21*(J502-1)) + EXP(2.21*(K502-1)) + EXP(2.21*(L502-1)) + EXP(2.21*M502)   )/100*2.45 )</f>
        <v>0.38795788889711302</v>
      </c>
      <c r="P502" s="34"/>
    </row>
    <row r="503" spans="1:16">
      <c r="A503" s="34" t="s">
        <v>112</v>
      </c>
      <c r="B503" s="40" t="s">
        <v>189</v>
      </c>
      <c r="C503" s="34" t="s">
        <v>139</v>
      </c>
      <c r="D503" s="40" t="s">
        <v>88</v>
      </c>
      <c r="E503" s="237">
        <v>0</v>
      </c>
      <c r="F503" s="168">
        <v>1</v>
      </c>
      <c r="G503" s="34"/>
      <c r="H503" s="29"/>
      <c r="I503" s="9"/>
      <c r="J503" s="9"/>
      <c r="K503" s="9"/>
      <c r="L503" s="9"/>
      <c r="M503" s="9"/>
      <c r="N503" s="185" t="str">
        <f>IF( OR( ISBLANK(H503),ISBLANK(J503), ISBLANK(K503), ISBLANK(L503), ISBLANK(M503) ), "", 1.5*SQRT(   EXP(2.21*(H503-1)) + EXP(2.21*(J503-1)) + EXP(2.21*(K503-1)) + EXP(2.21*(L503-1)) + EXP(2.21*M503)   )/100*2.45 )</f>
        <v/>
      </c>
      <c r="O503" s="159" t="str">
        <f>IF( OR( ISBLANK(I503),ISBLANK(J503), ISBLANK(K503), ISBLANK(L503), ISBLANK(M503) ), "", 1.5*SQRT( EXP(2.21*(I503-1)) + EXP(2.21*(J503-1)) + EXP(2.21*(K503-1)) + EXP(2.21*(L503-1)) + EXP(2.21*M503)   )/100*2.45 )</f>
        <v/>
      </c>
      <c r="P503" s="34"/>
    </row>
    <row r="504" spans="1:16">
      <c r="A504" s="34" t="s">
        <v>112</v>
      </c>
      <c r="B504" s="40" t="s">
        <v>189</v>
      </c>
      <c r="C504" s="34" t="s">
        <v>139</v>
      </c>
      <c r="D504" s="40" t="s">
        <v>89</v>
      </c>
      <c r="E504" s="237">
        <v>0</v>
      </c>
      <c r="F504" s="168">
        <v>1</v>
      </c>
      <c r="G504" s="34"/>
      <c r="H504" s="29"/>
      <c r="I504" s="9"/>
      <c r="J504" s="9"/>
      <c r="K504" s="9"/>
      <c r="L504" s="9"/>
      <c r="M504" s="9"/>
      <c r="N504" s="185" t="str">
        <f>IF( OR( ISBLANK(H504),ISBLANK(J504), ISBLANK(K504), ISBLANK(L504), ISBLANK(M504) ), "", 1.5*SQRT(   EXP(2.21*(H504-1)) + EXP(2.21*(J504-1)) + EXP(2.21*(K504-1)) + EXP(2.21*(L504-1)) + EXP(2.21*M504)   )/100*2.45 )</f>
        <v/>
      </c>
      <c r="O504" s="159" t="str">
        <f>IF( OR( ISBLANK(I504),ISBLANK(J504), ISBLANK(K504), ISBLANK(L504), ISBLANK(M504) ), "", 1.5*SQRT( EXP(2.21*(I504-1)) + EXP(2.21*(J504-1)) + EXP(2.21*(K504-1)) + EXP(2.21*(L504-1)) + EXP(2.21*M504)   )/100*2.45 )</f>
        <v/>
      </c>
      <c r="P504" s="34"/>
    </row>
    <row r="505" spans="1:16">
      <c r="A505" s="34" t="s">
        <v>112</v>
      </c>
      <c r="B505" s="40" t="s">
        <v>189</v>
      </c>
      <c r="C505" s="34" t="s">
        <v>139</v>
      </c>
      <c r="D505" s="40" t="s">
        <v>90</v>
      </c>
      <c r="E505" s="237">
        <v>0</v>
      </c>
      <c r="F505" s="168">
        <v>1</v>
      </c>
      <c r="G505" s="34"/>
      <c r="H505" s="29"/>
      <c r="I505" s="9"/>
      <c r="J505" s="9"/>
      <c r="K505" s="9"/>
      <c r="L505" s="9"/>
      <c r="M505" s="9"/>
      <c r="N505" s="185" t="str">
        <f>IF( OR( ISBLANK(H505),ISBLANK(J505), ISBLANK(K505), ISBLANK(L505), ISBLANK(M505) ), "", 1.5*SQRT(   EXP(2.21*(H505-1)) + EXP(2.21*(J505-1)) + EXP(2.21*(K505-1)) + EXP(2.21*(L505-1)) + EXP(2.21*M505)   )/100*2.45 )</f>
        <v/>
      </c>
      <c r="O505" s="159" t="str">
        <f>IF( OR( ISBLANK(I505),ISBLANK(J505), ISBLANK(K505), ISBLANK(L505), ISBLANK(M505) ), "", 1.5*SQRT( EXP(2.21*(I505-1)) + EXP(2.21*(J505-1)) + EXP(2.21*(K505-1)) + EXP(2.21*(L505-1)) + EXP(2.21*M505)   )/100*2.45 )</f>
        <v/>
      </c>
      <c r="P505" s="34"/>
    </row>
    <row r="506" spans="1:16">
      <c r="A506" s="34" t="s">
        <v>112</v>
      </c>
      <c r="B506" s="40" t="s">
        <v>189</v>
      </c>
      <c r="C506" s="34" t="s">
        <v>139</v>
      </c>
      <c r="D506" s="40" t="s">
        <v>91</v>
      </c>
      <c r="E506" s="237">
        <v>0.74088216310529564</v>
      </c>
      <c r="F506" s="168">
        <v>1</v>
      </c>
      <c r="G506" s="34" t="s">
        <v>195</v>
      </c>
      <c r="H506" s="29">
        <v>1</v>
      </c>
      <c r="I506" s="9">
        <v>2</v>
      </c>
      <c r="J506" s="9">
        <v>2</v>
      </c>
      <c r="K506" s="9">
        <v>2</v>
      </c>
      <c r="L506" s="9">
        <v>1</v>
      </c>
      <c r="M506" s="9">
        <v>2</v>
      </c>
      <c r="N506" s="185">
        <f>IF( OR( ISBLANK(H506),ISBLANK(J506), ISBLANK(K506), ISBLANK(L506), ISBLANK(M506) ), "", 1.5*SQRT(   EXP(2.21*(H506-1)) + EXP(2.21*(J506-1)) + EXP(2.21*(K506-1)) + EXP(2.21*(L506-1)) + EXP(2.21*M506)   )/100*2.45 )</f>
        <v>0.37356464144298934</v>
      </c>
      <c r="O506" s="159">
        <f>IF( OR( ISBLANK(I506),ISBLANK(J506), ISBLANK(K506), ISBLANK(L506), ISBLANK(M506) ), "", 1.5*SQRT( EXP(2.21*(I506-1)) + EXP(2.21*(J506-1)) + EXP(2.21*(K506-1)) + EXP(2.21*(L506-1)) + EXP(2.21*M506)   )/100*2.45 )</f>
        <v>0.38795788889711302</v>
      </c>
      <c r="P506" s="34"/>
    </row>
    <row r="507" spans="1:16">
      <c r="A507" s="34" t="s">
        <v>112</v>
      </c>
      <c r="B507" s="40" t="s">
        <v>189</v>
      </c>
      <c r="C507" s="34" t="s">
        <v>139</v>
      </c>
      <c r="D507" s="40" t="s">
        <v>95</v>
      </c>
      <c r="E507" s="237">
        <v>0.81008528685277537</v>
      </c>
      <c r="F507" s="168">
        <v>1</v>
      </c>
      <c r="G507" s="34" t="s">
        <v>195</v>
      </c>
      <c r="H507" s="29">
        <v>1</v>
      </c>
      <c r="I507" s="9">
        <v>2</v>
      </c>
      <c r="J507" s="9">
        <v>2</v>
      </c>
      <c r="K507" s="9">
        <v>2</v>
      </c>
      <c r="L507" s="9">
        <v>1</v>
      </c>
      <c r="M507" s="9">
        <v>2</v>
      </c>
      <c r="N507" s="185">
        <f>IF( OR( ISBLANK(H507),ISBLANK(J507), ISBLANK(K507), ISBLANK(L507), ISBLANK(M507) ), "", 1.5*SQRT(   EXP(2.21*(H507-1)) + EXP(2.21*(J507-1)) + EXP(2.21*(K507-1)) + EXP(2.21*(L507-1)) + EXP(2.21*M507)   )/100*2.45 )</f>
        <v>0.37356464144298934</v>
      </c>
      <c r="O507" s="159">
        <f>IF( OR( ISBLANK(I507),ISBLANK(J507), ISBLANK(K507), ISBLANK(L507), ISBLANK(M507) ), "", 1.5*SQRT( EXP(2.21*(I507-1)) + EXP(2.21*(J507-1)) + EXP(2.21*(K507-1)) + EXP(2.21*(L507-1)) + EXP(2.21*M507)   )/100*2.45 )</f>
        <v>0.38795788889711302</v>
      </c>
      <c r="P507" s="34"/>
    </row>
    <row r="508" spans="1:16">
      <c r="A508" s="34" t="s">
        <v>112</v>
      </c>
      <c r="B508" s="40" t="s">
        <v>189</v>
      </c>
      <c r="C508" s="34" t="s">
        <v>139</v>
      </c>
      <c r="D508" s="40" t="s">
        <v>99</v>
      </c>
      <c r="E508" s="237">
        <v>1</v>
      </c>
      <c r="F508" s="168">
        <v>1</v>
      </c>
      <c r="G508" s="34" t="s">
        <v>195</v>
      </c>
      <c r="H508" s="29">
        <v>1</v>
      </c>
      <c r="I508" s="9">
        <v>2</v>
      </c>
      <c r="J508" s="9">
        <v>2</v>
      </c>
      <c r="K508" s="9">
        <v>2</v>
      </c>
      <c r="L508" s="9">
        <v>1</v>
      </c>
      <c r="M508" s="9">
        <v>2</v>
      </c>
      <c r="N508" s="185">
        <f>IF( OR( ISBLANK(H508),ISBLANK(J508), ISBLANK(K508), ISBLANK(L508), ISBLANK(M508) ), "", 1.5*SQRT(   EXP(2.21*(H508-1)) + EXP(2.21*(J508-1)) + EXP(2.21*(K508-1)) + EXP(2.21*(L508-1)) + EXP(2.21*M508)   )/100*2.45 )</f>
        <v>0.37356464144298934</v>
      </c>
      <c r="O508" s="159">
        <f>IF( OR( ISBLANK(I508),ISBLANK(J508), ISBLANK(K508), ISBLANK(L508), ISBLANK(M508) ), "", 1.5*SQRT( EXP(2.21*(I508-1)) + EXP(2.21*(J508-1)) + EXP(2.21*(K508-1)) + EXP(2.21*(L508-1)) + EXP(2.21*M508)   )/100*2.45 )</f>
        <v>0.38795788889711302</v>
      </c>
      <c r="P508" s="34"/>
    </row>
    <row r="509" spans="1:16">
      <c r="A509" s="34" t="s">
        <v>112</v>
      </c>
      <c r="B509" s="40" t="s">
        <v>239</v>
      </c>
      <c r="C509" s="34" t="s">
        <v>139</v>
      </c>
      <c r="D509" s="40" t="s">
        <v>85</v>
      </c>
      <c r="E509" s="237">
        <v>0</v>
      </c>
      <c r="F509" s="168">
        <v>1</v>
      </c>
      <c r="G509" s="34"/>
      <c r="H509" s="29"/>
      <c r="I509" s="9"/>
      <c r="J509" s="9"/>
      <c r="K509" s="9"/>
      <c r="L509" s="9"/>
      <c r="M509" s="9"/>
      <c r="N509" s="185" t="str">
        <f>IF( OR( ISBLANK(H509),ISBLANK(J509), ISBLANK(K509), ISBLANK(L509), ISBLANK(M509) ), "", 1.5*SQRT(   EXP(2.21*(H509-1)) + EXP(2.21*(J509-1)) + EXP(2.21*(K509-1)) + EXP(2.21*(L509-1)) + EXP(2.21*M509)   )/100*2.45 )</f>
        <v/>
      </c>
      <c r="O509" s="159" t="str">
        <f>IF( OR( ISBLANK(I509),ISBLANK(J509), ISBLANK(K509), ISBLANK(L509), ISBLANK(M509) ), "", 1.5*SQRT( EXP(2.21*(I509-1)) + EXP(2.21*(J509-1)) + EXP(2.21*(K509-1)) + EXP(2.21*(L509-1)) + EXP(2.21*M509)   )/100*2.45 )</f>
        <v/>
      </c>
      <c r="P509" s="34"/>
    </row>
    <row r="510" spans="1:16">
      <c r="A510" s="34" t="s">
        <v>112</v>
      </c>
      <c r="B510" s="40" t="s">
        <v>239</v>
      </c>
      <c r="C510" s="34" t="s">
        <v>139</v>
      </c>
      <c r="D510" s="40" t="s">
        <v>86</v>
      </c>
      <c r="E510" s="237">
        <v>0</v>
      </c>
      <c r="F510" s="168">
        <v>1</v>
      </c>
      <c r="G510" s="34"/>
      <c r="H510" s="29"/>
      <c r="I510" s="9"/>
      <c r="J510" s="9"/>
      <c r="K510" s="9"/>
      <c r="L510" s="9"/>
      <c r="M510" s="9"/>
      <c r="N510" s="185" t="str">
        <f>IF( OR( ISBLANK(H510),ISBLANK(J510), ISBLANK(K510), ISBLANK(L510), ISBLANK(M510) ), "", 1.5*SQRT(   EXP(2.21*(H510-1)) + EXP(2.21*(J510-1)) + EXP(2.21*(K510-1)) + EXP(2.21*(L510-1)) + EXP(2.21*M510)   )/100*2.45 )</f>
        <v/>
      </c>
      <c r="O510" s="159" t="str">
        <f>IF( OR( ISBLANK(I510),ISBLANK(J510), ISBLANK(K510), ISBLANK(L510), ISBLANK(M510) ), "", 1.5*SQRT( EXP(2.21*(I510-1)) + EXP(2.21*(J510-1)) + EXP(2.21*(K510-1)) + EXP(2.21*(L510-1)) + EXP(2.21*M510)   )/100*2.45 )</f>
        <v/>
      </c>
      <c r="P510" s="34"/>
    </row>
    <row r="511" spans="1:16">
      <c r="A511" s="34" t="s">
        <v>112</v>
      </c>
      <c r="B511" s="40" t="s">
        <v>239</v>
      </c>
      <c r="C511" s="34" t="s">
        <v>139</v>
      </c>
      <c r="D511" s="40" t="s">
        <v>87</v>
      </c>
      <c r="E511" s="237">
        <v>9.7010040144805229E-2</v>
      </c>
      <c r="F511" s="168">
        <v>1</v>
      </c>
      <c r="G511" s="34" t="s">
        <v>163</v>
      </c>
      <c r="H511" s="29">
        <v>2</v>
      </c>
      <c r="I511" s="9">
        <v>2</v>
      </c>
      <c r="J511" s="9">
        <v>2</v>
      </c>
      <c r="K511" s="9">
        <v>2</v>
      </c>
      <c r="L511" s="9">
        <v>1</v>
      </c>
      <c r="M511" s="9">
        <v>2</v>
      </c>
      <c r="N511" s="185">
        <f>IF( OR( ISBLANK(H511),ISBLANK(J511), ISBLANK(K511), ISBLANK(L511), ISBLANK(M511) ), "", 1.5*SQRT(   EXP(2.21*(H511-1)) + EXP(2.21*(J511-1)) + EXP(2.21*(K511-1)) + EXP(2.21*(L511-1)) + EXP(2.21*M511)   )/100*2.45 )</f>
        <v>0.38795788889711302</v>
      </c>
      <c r="O511" s="159">
        <f>IF( OR( ISBLANK(I511),ISBLANK(J511), ISBLANK(K511), ISBLANK(L511), ISBLANK(M511) ), "", 1.5*SQRT( EXP(2.21*(I511-1)) + EXP(2.21*(J511-1)) + EXP(2.21*(K511-1)) + EXP(2.21*(L511-1)) + EXP(2.21*M511)   )/100*2.45 )</f>
        <v>0.38795788889711302</v>
      </c>
      <c r="P511" s="34"/>
    </row>
    <row r="512" spans="1:16">
      <c r="A512" s="34" t="s">
        <v>112</v>
      </c>
      <c r="B512" s="40" t="s">
        <v>239</v>
      </c>
      <c r="C512" s="34" t="s">
        <v>139</v>
      </c>
      <c r="D512" s="40" t="s">
        <v>88</v>
      </c>
      <c r="E512" s="237">
        <v>0</v>
      </c>
      <c r="F512" s="168">
        <v>1</v>
      </c>
      <c r="G512" s="34"/>
      <c r="H512" s="29"/>
      <c r="I512" s="9"/>
      <c r="J512" s="9"/>
      <c r="K512" s="9"/>
      <c r="L512" s="9"/>
      <c r="M512" s="9"/>
      <c r="N512" s="185" t="str">
        <f>IF( OR( ISBLANK(H512),ISBLANK(J512), ISBLANK(K512), ISBLANK(L512), ISBLANK(M512) ), "", 1.5*SQRT(   EXP(2.21*(H512-1)) + EXP(2.21*(J512-1)) + EXP(2.21*(K512-1)) + EXP(2.21*(L512-1)) + EXP(2.21*M512)   )/100*2.45 )</f>
        <v/>
      </c>
      <c r="O512" s="159" t="str">
        <f>IF( OR( ISBLANK(I512),ISBLANK(J512), ISBLANK(K512), ISBLANK(L512), ISBLANK(M512) ), "", 1.5*SQRT( EXP(2.21*(I512-1)) + EXP(2.21*(J512-1)) + EXP(2.21*(K512-1)) + EXP(2.21*(L512-1)) + EXP(2.21*M512)   )/100*2.45 )</f>
        <v/>
      </c>
      <c r="P512" s="34"/>
    </row>
    <row r="513" spans="1:16">
      <c r="A513" s="34" t="s">
        <v>112</v>
      </c>
      <c r="B513" s="40" t="s">
        <v>239</v>
      </c>
      <c r="C513" s="34" t="s">
        <v>139</v>
      </c>
      <c r="D513" s="40" t="s">
        <v>89</v>
      </c>
      <c r="E513" s="237">
        <v>0</v>
      </c>
      <c r="F513" s="168">
        <v>1</v>
      </c>
      <c r="G513" s="34"/>
      <c r="H513" s="29"/>
      <c r="I513" s="9"/>
      <c r="J513" s="9"/>
      <c r="K513" s="9"/>
      <c r="L513" s="9"/>
      <c r="M513" s="9"/>
      <c r="N513" s="185" t="str">
        <f>IF( OR( ISBLANK(H513),ISBLANK(J513), ISBLANK(K513), ISBLANK(L513), ISBLANK(M513) ), "", 1.5*SQRT(   EXP(2.21*(H513-1)) + EXP(2.21*(J513-1)) + EXP(2.21*(K513-1)) + EXP(2.21*(L513-1)) + EXP(2.21*M513)   )/100*2.45 )</f>
        <v/>
      </c>
      <c r="O513" s="159" t="str">
        <f>IF( OR( ISBLANK(I513),ISBLANK(J513), ISBLANK(K513), ISBLANK(L513), ISBLANK(M513) ), "", 1.5*SQRT( EXP(2.21*(I513-1)) + EXP(2.21*(J513-1)) + EXP(2.21*(K513-1)) + EXP(2.21*(L513-1)) + EXP(2.21*M513)   )/100*2.45 )</f>
        <v/>
      </c>
      <c r="P513" s="34"/>
    </row>
    <row r="514" spans="1:16">
      <c r="A514" s="34" t="s">
        <v>112</v>
      </c>
      <c r="B514" s="40" t="s">
        <v>239</v>
      </c>
      <c r="C514" s="34" t="s">
        <v>139</v>
      </c>
      <c r="D514" s="40" t="s">
        <v>90</v>
      </c>
      <c r="E514" s="237">
        <v>0</v>
      </c>
      <c r="F514" s="168">
        <v>1</v>
      </c>
      <c r="G514" s="34"/>
      <c r="H514" s="29"/>
      <c r="I514" s="9"/>
      <c r="J514" s="9"/>
      <c r="K514" s="9"/>
      <c r="L514" s="9"/>
      <c r="M514" s="9"/>
      <c r="N514" s="185" t="str">
        <f>IF( OR( ISBLANK(H514),ISBLANK(J514), ISBLANK(K514), ISBLANK(L514), ISBLANK(M514) ), "", 1.5*SQRT(   EXP(2.21*(H514-1)) + EXP(2.21*(J514-1)) + EXP(2.21*(K514-1)) + EXP(2.21*(L514-1)) + EXP(2.21*M514)   )/100*2.45 )</f>
        <v/>
      </c>
      <c r="O514" s="159" t="str">
        <f>IF( OR( ISBLANK(I514),ISBLANK(J514), ISBLANK(K514), ISBLANK(L514), ISBLANK(M514) ), "", 1.5*SQRT( EXP(2.21*(I514-1)) + EXP(2.21*(J514-1)) + EXP(2.21*(K514-1)) + EXP(2.21*(L514-1)) + EXP(2.21*M514)   )/100*2.45 )</f>
        <v/>
      </c>
      <c r="P514" s="34"/>
    </row>
    <row r="515" spans="1:16">
      <c r="A515" s="34" t="s">
        <v>112</v>
      </c>
      <c r="B515" s="40" t="s">
        <v>239</v>
      </c>
      <c r="C515" s="34" t="s">
        <v>139</v>
      </c>
      <c r="D515" s="40" t="s">
        <v>91</v>
      </c>
      <c r="E515" s="237">
        <v>0</v>
      </c>
      <c r="F515" s="168">
        <v>1</v>
      </c>
      <c r="G515" s="34"/>
      <c r="H515" s="29"/>
      <c r="I515" s="9"/>
      <c r="J515" s="9"/>
      <c r="K515" s="9"/>
      <c r="L515" s="9"/>
      <c r="M515" s="9"/>
      <c r="N515" s="185" t="str">
        <f>IF( OR( ISBLANK(H515),ISBLANK(J515), ISBLANK(K515), ISBLANK(L515), ISBLANK(M515) ), "", 1.5*SQRT(   EXP(2.21*(H515-1)) + EXP(2.21*(J515-1)) + EXP(2.21*(K515-1)) + EXP(2.21*(L515-1)) + EXP(2.21*M515)   )/100*2.45 )</f>
        <v/>
      </c>
      <c r="O515" s="159" t="str">
        <f>IF( OR( ISBLANK(I515),ISBLANK(J515), ISBLANK(K515), ISBLANK(L515), ISBLANK(M515) ), "", 1.5*SQRT( EXP(2.21*(I515-1)) + EXP(2.21*(J515-1)) + EXP(2.21*(K515-1)) + EXP(2.21*(L515-1)) + EXP(2.21*M515)   )/100*2.45 )</f>
        <v/>
      </c>
      <c r="P515" s="34"/>
    </row>
    <row r="516" spans="1:16">
      <c r="A516" s="34" t="s">
        <v>112</v>
      </c>
      <c r="B516" s="40" t="s">
        <v>239</v>
      </c>
      <c r="C516" s="34" t="s">
        <v>139</v>
      </c>
      <c r="D516" s="40" t="s">
        <v>95</v>
      </c>
      <c r="E516" s="237">
        <v>0</v>
      </c>
      <c r="F516" s="168">
        <v>1</v>
      </c>
      <c r="G516" s="34"/>
      <c r="H516" s="29"/>
      <c r="I516" s="9"/>
      <c r="J516" s="9"/>
      <c r="K516" s="9"/>
      <c r="L516" s="9"/>
      <c r="M516" s="9"/>
      <c r="N516" s="185" t="str">
        <f>IF( OR( ISBLANK(H516),ISBLANK(J516), ISBLANK(K516), ISBLANK(L516), ISBLANK(M516) ), "", 1.5*SQRT(   EXP(2.21*(H516-1)) + EXP(2.21*(J516-1)) + EXP(2.21*(K516-1)) + EXP(2.21*(L516-1)) + EXP(2.21*M516)   )/100*2.45 )</f>
        <v/>
      </c>
      <c r="O516" s="159" t="str">
        <f>IF( OR( ISBLANK(I516),ISBLANK(J516), ISBLANK(K516), ISBLANK(L516), ISBLANK(M516) ), "", 1.5*SQRT( EXP(2.21*(I516-1)) + EXP(2.21*(J516-1)) + EXP(2.21*(K516-1)) + EXP(2.21*(L516-1)) + EXP(2.21*M516)   )/100*2.45 )</f>
        <v/>
      </c>
      <c r="P516" s="34"/>
    </row>
    <row r="517" spans="1:16">
      <c r="A517" s="34" t="s">
        <v>112</v>
      </c>
      <c r="B517" s="40" t="s">
        <v>239</v>
      </c>
      <c r="C517" s="34" t="s">
        <v>139</v>
      </c>
      <c r="D517" s="40" t="s">
        <v>99</v>
      </c>
      <c r="E517" s="237">
        <v>0</v>
      </c>
      <c r="F517" s="168">
        <v>1</v>
      </c>
      <c r="G517" s="34"/>
      <c r="H517" s="29"/>
      <c r="I517" s="9"/>
      <c r="J517" s="9"/>
      <c r="K517" s="9"/>
      <c r="L517" s="9"/>
      <c r="M517" s="9"/>
      <c r="N517" s="185" t="str">
        <f>IF( OR( ISBLANK(H517),ISBLANK(J517), ISBLANK(K517), ISBLANK(L517), ISBLANK(M517) ), "", 1.5*SQRT(   EXP(2.21*(H517-1)) + EXP(2.21*(J517-1)) + EXP(2.21*(K517-1)) + EXP(2.21*(L517-1)) + EXP(2.21*M517)   )/100*2.45 )</f>
        <v/>
      </c>
      <c r="O517" s="159" t="str">
        <f>IF( OR( ISBLANK(I517),ISBLANK(J517), ISBLANK(K517), ISBLANK(L517), ISBLANK(M517) ), "", 1.5*SQRT( EXP(2.21*(I517-1)) + EXP(2.21*(J517-1)) + EXP(2.21*(K517-1)) + EXP(2.21*(L517-1)) + EXP(2.21*M517)   )/100*2.45 )</f>
        <v/>
      </c>
      <c r="P517" s="34"/>
    </row>
    <row r="518" spans="1:16">
      <c r="A518" s="34" t="s">
        <v>112</v>
      </c>
      <c r="B518" s="40" t="s">
        <v>240</v>
      </c>
      <c r="C518" s="34" t="s">
        <v>139</v>
      </c>
      <c r="D518" s="40" t="s">
        <v>85</v>
      </c>
      <c r="E518" s="237">
        <v>0</v>
      </c>
      <c r="F518" s="168">
        <v>1</v>
      </c>
      <c r="G518" s="34"/>
      <c r="H518" s="29"/>
      <c r="I518" s="9"/>
      <c r="J518" s="9"/>
      <c r="K518" s="9"/>
      <c r="L518" s="9"/>
      <c r="M518" s="9"/>
      <c r="N518" s="185" t="str">
        <f>IF( OR( ISBLANK(H518),ISBLANK(J518), ISBLANK(K518), ISBLANK(L518), ISBLANK(M518) ), "", 1.5*SQRT(   EXP(2.21*(H518-1)) + EXP(2.21*(J518-1)) + EXP(2.21*(K518-1)) + EXP(2.21*(L518-1)) + EXP(2.21*M518)   )/100*2.45 )</f>
        <v/>
      </c>
      <c r="O518" s="159" t="str">
        <f>IF( OR( ISBLANK(I518),ISBLANK(J518), ISBLANK(K518), ISBLANK(L518), ISBLANK(M518) ), "", 1.5*SQRT( EXP(2.21*(I518-1)) + EXP(2.21*(J518-1)) + EXP(2.21*(K518-1)) + EXP(2.21*(L518-1)) + EXP(2.21*M518)   )/100*2.45 )</f>
        <v/>
      </c>
      <c r="P518" s="34"/>
    </row>
    <row r="519" spans="1:16">
      <c r="A519" s="34" t="s">
        <v>112</v>
      </c>
      <c r="B519" s="40" t="s">
        <v>240</v>
      </c>
      <c r="C519" s="34" t="s">
        <v>139</v>
      </c>
      <c r="D519" s="40" t="s">
        <v>86</v>
      </c>
      <c r="E519" s="237">
        <v>0.48467412765528584</v>
      </c>
      <c r="F519" s="168">
        <v>1</v>
      </c>
      <c r="G519" s="34" t="s">
        <v>163</v>
      </c>
      <c r="H519" s="29">
        <v>2</v>
      </c>
      <c r="I519" s="9">
        <v>2</v>
      </c>
      <c r="J519" s="9">
        <v>2</v>
      </c>
      <c r="K519" s="9">
        <v>2</v>
      </c>
      <c r="L519" s="9">
        <v>1</v>
      </c>
      <c r="M519" s="9">
        <v>2</v>
      </c>
      <c r="N519" s="185">
        <f>IF( OR( ISBLANK(H519),ISBLANK(J519), ISBLANK(K519), ISBLANK(L519), ISBLANK(M519) ), "", 1.5*SQRT(   EXP(2.21*(H519-1)) + EXP(2.21*(J519-1)) + EXP(2.21*(K519-1)) + EXP(2.21*(L519-1)) + EXP(2.21*M519)   )/100*2.45 )</f>
        <v>0.38795788889711302</v>
      </c>
      <c r="O519" s="159">
        <f>IF( OR( ISBLANK(I519),ISBLANK(J519), ISBLANK(K519), ISBLANK(L519), ISBLANK(M519) ), "", 1.5*SQRT( EXP(2.21*(I519-1)) + EXP(2.21*(J519-1)) + EXP(2.21*(K519-1)) + EXP(2.21*(L519-1)) + EXP(2.21*M519)   )/100*2.45 )</f>
        <v>0.38795788889711302</v>
      </c>
      <c r="P519" s="34"/>
    </row>
    <row r="520" spans="1:16">
      <c r="A520" s="34" t="s">
        <v>112</v>
      </c>
      <c r="B520" s="40" t="s">
        <v>240</v>
      </c>
      <c r="C520" s="34" t="s">
        <v>139</v>
      </c>
      <c r="D520" s="40" t="s">
        <v>87</v>
      </c>
      <c r="E520" s="237">
        <v>0.8344440851479995</v>
      </c>
      <c r="F520" s="168">
        <v>1</v>
      </c>
      <c r="G520" s="34" t="s">
        <v>163</v>
      </c>
      <c r="H520" s="29">
        <v>2</v>
      </c>
      <c r="I520" s="9">
        <v>2</v>
      </c>
      <c r="J520" s="9">
        <v>2</v>
      </c>
      <c r="K520" s="9">
        <v>2</v>
      </c>
      <c r="L520" s="9">
        <v>1</v>
      </c>
      <c r="M520" s="9">
        <v>2</v>
      </c>
      <c r="N520" s="185">
        <f>IF( OR( ISBLANK(H520),ISBLANK(J520), ISBLANK(K520), ISBLANK(L520), ISBLANK(M520) ), "", 1.5*SQRT(   EXP(2.21*(H520-1)) + EXP(2.21*(J520-1)) + EXP(2.21*(K520-1)) + EXP(2.21*(L520-1)) + EXP(2.21*M520)   )/100*2.45 )</f>
        <v>0.38795788889711302</v>
      </c>
      <c r="O520" s="159">
        <f>IF( OR( ISBLANK(I520),ISBLANK(J520), ISBLANK(K520), ISBLANK(L520), ISBLANK(M520) ), "", 1.5*SQRT( EXP(2.21*(I520-1)) + EXP(2.21*(J520-1)) + EXP(2.21*(K520-1)) + EXP(2.21*(L520-1)) + EXP(2.21*M520)   )/100*2.45 )</f>
        <v>0.38795788889711302</v>
      </c>
      <c r="P520" s="34"/>
    </row>
    <row r="521" spans="1:16">
      <c r="A521" s="34" t="s">
        <v>112</v>
      </c>
      <c r="B521" s="40" t="s">
        <v>240</v>
      </c>
      <c r="C521" s="34" t="s">
        <v>139</v>
      </c>
      <c r="D521" s="40" t="s">
        <v>88</v>
      </c>
      <c r="E521" s="237">
        <v>0</v>
      </c>
      <c r="F521" s="168">
        <v>1</v>
      </c>
      <c r="G521" s="34"/>
      <c r="H521" s="29"/>
      <c r="I521" s="9"/>
      <c r="J521" s="9"/>
      <c r="K521" s="9"/>
      <c r="L521" s="9"/>
      <c r="M521" s="9"/>
      <c r="N521" s="185" t="str">
        <f>IF( OR( ISBLANK(H521),ISBLANK(J521), ISBLANK(K521), ISBLANK(L521), ISBLANK(M521) ), "", 1.5*SQRT(   EXP(2.21*(H521-1)) + EXP(2.21*(J521-1)) + EXP(2.21*(K521-1)) + EXP(2.21*(L521-1)) + EXP(2.21*M521)   )/100*2.45 )</f>
        <v/>
      </c>
      <c r="O521" s="159" t="str">
        <f>IF( OR( ISBLANK(I521),ISBLANK(J521), ISBLANK(K521), ISBLANK(L521), ISBLANK(M521) ), "", 1.5*SQRT( EXP(2.21*(I521-1)) + EXP(2.21*(J521-1)) + EXP(2.21*(K521-1)) + EXP(2.21*(L521-1)) + EXP(2.21*M521)   )/100*2.45 )</f>
        <v/>
      </c>
      <c r="P521" s="34"/>
    </row>
    <row r="522" spans="1:16">
      <c r="A522" s="34" t="s">
        <v>112</v>
      </c>
      <c r="B522" s="40" t="s">
        <v>240</v>
      </c>
      <c r="C522" s="34" t="s">
        <v>139</v>
      </c>
      <c r="D522" s="40" t="s">
        <v>89</v>
      </c>
      <c r="E522" s="237">
        <v>0</v>
      </c>
      <c r="F522" s="168">
        <v>1</v>
      </c>
      <c r="G522" s="34"/>
      <c r="H522" s="29"/>
      <c r="I522" s="9"/>
      <c r="J522" s="9"/>
      <c r="K522" s="9"/>
      <c r="L522" s="9"/>
      <c r="M522" s="9"/>
      <c r="N522" s="185" t="str">
        <f>IF( OR( ISBLANK(H522),ISBLANK(J522), ISBLANK(K522), ISBLANK(L522), ISBLANK(M522) ), "", 1.5*SQRT(   EXP(2.21*(H522-1)) + EXP(2.21*(J522-1)) + EXP(2.21*(K522-1)) + EXP(2.21*(L522-1)) + EXP(2.21*M522)   )/100*2.45 )</f>
        <v/>
      </c>
      <c r="O522" s="159" t="str">
        <f>IF( OR( ISBLANK(I522),ISBLANK(J522), ISBLANK(K522), ISBLANK(L522), ISBLANK(M522) ), "", 1.5*SQRT( EXP(2.21*(I522-1)) + EXP(2.21*(J522-1)) + EXP(2.21*(K522-1)) + EXP(2.21*(L522-1)) + EXP(2.21*M522)   )/100*2.45 )</f>
        <v/>
      </c>
      <c r="P522" s="34"/>
    </row>
    <row r="523" spans="1:16">
      <c r="A523" s="34" t="s">
        <v>112</v>
      </c>
      <c r="B523" s="40" t="s">
        <v>240</v>
      </c>
      <c r="C523" s="34" t="s">
        <v>139</v>
      </c>
      <c r="D523" s="40" t="s">
        <v>90</v>
      </c>
      <c r="E523" s="237">
        <v>0</v>
      </c>
      <c r="F523" s="168">
        <v>1</v>
      </c>
      <c r="G523" s="34"/>
      <c r="H523" s="29"/>
      <c r="I523" s="9"/>
      <c r="J523" s="9"/>
      <c r="K523" s="9"/>
      <c r="L523" s="9"/>
      <c r="M523" s="9"/>
      <c r="N523" s="185" t="str">
        <f>IF( OR( ISBLANK(H523),ISBLANK(J523), ISBLANK(K523), ISBLANK(L523), ISBLANK(M523) ), "", 1.5*SQRT(   EXP(2.21*(H523-1)) + EXP(2.21*(J523-1)) + EXP(2.21*(K523-1)) + EXP(2.21*(L523-1)) + EXP(2.21*M523)   )/100*2.45 )</f>
        <v/>
      </c>
      <c r="O523" s="159" t="str">
        <f>IF( OR( ISBLANK(I523),ISBLANK(J523), ISBLANK(K523), ISBLANK(L523), ISBLANK(M523) ), "", 1.5*SQRT( EXP(2.21*(I523-1)) + EXP(2.21*(J523-1)) + EXP(2.21*(K523-1)) + EXP(2.21*(L523-1)) + EXP(2.21*M523)   )/100*2.45 )</f>
        <v/>
      </c>
      <c r="P523" s="34"/>
    </row>
    <row r="524" spans="1:16">
      <c r="A524" s="34" t="s">
        <v>112</v>
      </c>
      <c r="B524" s="40" t="s">
        <v>240</v>
      </c>
      <c r="C524" s="34" t="s">
        <v>139</v>
      </c>
      <c r="D524" s="40" t="s">
        <v>91</v>
      </c>
      <c r="E524" s="237">
        <v>0.11713166905985782</v>
      </c>
      <c r="F524" s="168">
        <v>1</v>
      </c>
      <c r="G524" s="34" t="s">
        <v>163</v>
      </c>
      <c r="H524" s="29">
        <v>2</v>
      </c>
      <c r="I524" s="9">
        <v>2</v>
      </c>
      <c r="J524" s="9">
        <v>2</v>
      </c>
      <c r="K524" s="9">
        <v>2</v>
      </c>
      <c r="L524" s="9">
        <v>1</v>
      </c>
      <c r="M524" s="9">
        <v>2</v>
      </c>
      <c r="N524" s="185">
        <f>IF( OR( ISBLANK(H524),ISBLANK(J524), ISBLANK(K524), ISBLANK(L524), ISBLANK(M524) ), "", 1.5*SQRT(   EXP(2.21*(H524-1)) + EXP(2.21*(J524-1)) + EXP(2.21*(K524-1)) + EXP(2.21*(L524-1)) + EXP(2.21*M524)   )/100*2.45 )</f>
        <v>0.38795788889711302</v>
      </c>
      <c r="O524" s="159">
        <f>IF( OR( ISBLANK(I524),ISBLANK(J524), ISBLANK(K524), ISBLANK(L524), ISBLANK(M524) ), "", 1.5*SQRT( EXP(2.21*(I524-1)) + EXP(2.21*(J524-1)) + EXP(2.21*(K524-1)) + EXP(2.21*(L524-1)) + EXP(2.21*M524)   )/100*2.45 )</f>
        <v>0.38795788889711302</v>
      </c>
      <c r="P524" s="34"/>
    </row>
    <row r="525" spans="1:16">
      <c r="A525" s="34" t="s">
        <v>112</v>
      </c>
      <c r="B525" s="40" t="s">
        <v>240</v>
      </c>
      <c r="C525" s="34" t="s">
        <v>139</v>
      </c>
      <c r="D525" s="40" t="s">
        <v>95</v>
      </c>
      <c r="E525" s="237">
        <v>0</v>
      </c>
      <c r="F525" s="168">
        <v>1</v>
      </c>
      <c r="G525" s="34"/>
      <c r="H525" s="29"/>
      <c r="I525" s="9"/>
      <c r="J525" s="9"/>
      <c r="K525" s="9"/>
      <c r="L525" s="9"/>
      <c r="M525" s="9"/>
      <c r="N525" s="185" t="str">
        <f>IF( OR( ISBLANK(H525),ISBLANK(J525), ISBLANK(K525), ISBLANK(L525), ISBLANK(M525) ), "", 1.5*SQRT(   EXP(2.21*(H525-1)) + EXP(2.21*(J525-1)) + EXP(2.21*(K525-1)) + EXP(2.21*(L525-1)) + EXP(2.21*M525)   )/100*2.45 )</f>
        <v/>
      </c>
      <c r="O525" s="159" t="str">
        <f>IF( OR( ISBLANK(I525),ISBLANK(J525), ISBLANK(K525), ISBLANK(L525), ISBLANK(M525) ), "", 1.5*SQRT( EXP(2.21*(I525-1)) + EXP(2.21*(J525-1)) + EXP(2.21*(K525-1)) + EXP(2.21*(L525-1)) + EXP(2.21*M525)   )/100*2.45 )</f>
        <v/>
      </c>
      <c r="P525" s="34"/>
    </row>
    <row r="526" spans="1:16">
      <c r="A526" s="34" t="s">
        <v>112</v>
      </c>
      <c r="B526" s="40" t="s">
        <v>240</v>
      </c>
      <c r="C526" s="34" t="s">
        <v>139</v>
      </c>
      <c r="D526" s="40" t="s">
        <v>99</v>
      </c>
      <c r="E526" s="237">
        <v>0</v>
      </c>
      <c r="F526" s="168">
        <v>1</v>
      </c>
      <c r="G526" s="34"/>
      <c r="H526" s="29"/>
      <c r="I526" s="9"/>
      <c r="J526" s="9"/>
      <c r="K526" s="9"/>
      <c r="L526" s="9"/>
      <c r="M526" s="9"/>
      <c r="N526" s="185" t="str">
        <f>IF( OR( ISBLANK(H526),ISBLANK(J526), ISBLANK(K526), ISBLANK(L526), ISBLANK(M526) ), "", 1.5*SQRT(   EXP(2.21*(H526-1)) + EXP(2.21*(J526-1)) + EXP(2.21*(K526-1)) + EXP(2.21*(L526-1)) + EXP(2.21*M526)   )/100*2.45 )</f>
        <v/>
      </c>
      <c r="O526" s="159" t="str">
        <f>IF( OR( ISBLANK(I526),ISBLANK(J526), ISBLANK(K526), ISBLANK(L526), ISBLANK(M526) ), "", 1.5*SQRT( EXP(2.21*(I526-1)) + EXP(2.21*(J526-1)) + EXP(2.21*(K526-1)) + EXP(2.21*(L526-1)) + EXP(2.21*M526)   )/100*2.45 )</f>
        <v/>
      </c>
      <c r="P526" s="34"/>
    </row>
    <row r="527" spans="1:16">
      <c r="A527" s="34" t="s">
        <v>112</v>
      </c>
      <c r="B527" s="40" t="s">
        <v>241</v>
      </c>
      <c r="C527" s="34" t="s">
        <v>139</v>
      </c>
      <c r="D527" s="40" t="s">
        <v>85</v>
      </c>
      <c r="E527" s="237">
        <v>0</v>
      </c>
      <c r="F527" s="168">
        <v>1</v>
      </c>
      <c r="G527" s="34"/>
      <c r="H527" s="29"/>
      <c r="I527" s="9"/>
      <c r="J527" s="9"/>
      <c r="K527" s="9"/>
      <c r="L527" s="9"/>
      <c r="M527" s="9"/>
      <c r="N527" s="185" t="str">
        <f>IF( OR( ISBLANK(H527),ISBLANK(J527), ISBLANK(K527), ISBLANK(L527), ISBLANK(M527) ), "", 1.5*SQRT(   EXP(2.21*(H527-1)) + EXP(2.21*(J527-1)) + EXP(2.21*(K527-1)) + EXP(2.21*(L527-1)) + EXP(2.21*M527)   )/100*2.45 )</f>
        <v/>
      </c>
      <c r="O527" s="159" t="str">
        <f>IF( OR( ISBLANK(I527),ISBLANK(J527), ISBLANK(K527), ISBLANK(L527), ISBLANK(M527) ), "", 1.5*SQRT( EXP(2.21*(I527-1)) + EXP(2.21*(J527-1)) + EXP(2.21*(K527-1)) + EXP(2.21*(L527-1)) + EXP(2.21*M527)   )/100*2.45 )</f>
        <v/>
      </c>
      <c r="P527" s="34"/>
    </row>
    <row r="528" spans="1:16">
      <c r="A528" s="34" t="s">
        <v>112</v>
      </c>
      <c r="B528" s="40" t="s">
        <v>241</v>
      </c>
      <c r="C528" s="34" t="s">
        <v>139</v>
      </c>
      <c r="D528" s="40" t="s">
        <v>86</v>
      </c>
      <c r="E528" s="237">
        <v>8.3833048545290459E-2</v>
      </c>
      <c r="F528" s="168">
        <v>1</v>
      </c>
      <c r="G528" s="34" t="s">
        <v>163</v>
      </c>
      <c r="H528" s="29">
        <v>2</v>
      </c>
      <c r="I528" s="9">
        <v>2</v>
      </c>
      <c r="J528" s="9">
        <v>2</v>
      </c>
      <c r="K528" s="9">
        <v>2</v>
      </c>
      <c r="L528" s="9">
        <v>1</v>
      </c>
      <c r="M528" s="9">
        <v>2</v>
      </c>
      <c r="N528" s="185">
        <f>IF( OR( ISBLANK(H528),ISBLANK(J528), ISBLANK(K528), ISBLANK(L528), ISBLANK(M528) ), "", 1.5*SQRT(   EXP(2.21*(H528-1)) + EXP(2.21*(J528-1)) + EXP(2.21*(K528-1)) + EXP(2.21*(L528-1)) + EXP(2.21*M528)   )/100*2.45 )</f>
        <v>0.38795788889711302</v>
      </c>
      <c r="O528" s="159">
        <f>IF( OR( ISBLANK(I528),ISBLANK(J528), ISBLANK(K528), ISBLANK(L528), ISBLANK(M528) ), "", 1.5*SQRT( EXP(2.21*(I528-1)) + EXP(2.21*(J528-1)) + EXP(2.21*(K528-1)) + EXP(2.21*(L528-1)) + EXP(2.21*M528)   )/100*2.45 )</f>
        <v>0.38795788889711302</v>
      </c>
      <c r="P528" s="34"/>
    </row>
    <row r="529" spans="1:16">
      <c r="A529" s="34" t="s">
        <v>112</v>
      </c>
      <c r="B529" s="40" t="s">
        <v>241</v>
      </c>
      <c r="C529" s="34" t="s">
        <v>139</v>
      </c>
      <c r="D529" s="40" t="s">
        <v>87</v>
      </c>
      <c r="E529" s="237">
        <v>0</v>
      </c>
      <c r="F529" s="168">
        <v>1</v>
      </c>
      <c r="G529" s="34"/>
      <c r="H529" s="29"/>
      <c r="I529" s="9"/>
      <c r="J529" s="9"/>
      <c r="K529" s="9"/>
      <c r="L529" s="9"/>
      <c r="M529" s="9"/>
      <c r="N529" s="185" t="str">
        <f>IF( OR( ISBLANK(H529),ISBLANK(J529), ISBLANK(K529), ISBLANK(L529), ISBLANK(M529) ), "", 1.5*SQRT(   EXP(2.21*(H529-1)) + EXP(2.21*(J529-1)) + EXP(2.21*(K529-1)) + EXP(2.21*(L529-1)) + EXP(2.21*M529)   )/100*2.45 )</f>
        <v/>
      </c>
      <c r="O529" s="159" t="str">
        <f>IF( OR( ISBLANK(I529),ISBLANK(J529), ISBLANK(K529), ISBLANK(L529), ISBLANK(M529) ), "", 1.5*SQRT( EXP(2.21*(I529-1)) + EXP(2.21*(J529-1)) + EXP(2.21*(K529-1)) + EXP(2.21*(L529-1)) + EXP(2.21*M529)   )/100*2.45 )</f>
        <v/>
      </c>
      <c r="P529" s="34"/>
    </row>
    <row r="530" spans="1:16">
      <c r="A530" s="34" t="s">
        <v>112</v>
      </c>
      <c r="B530" s="40" t="s">
        <v>241</v>
      </c>
      <c r="C530" s="34" t="s">
        <v>139</v>
      </c>
      <c r="D530" s="40" t="s">
        <v>88</v>
      </c>
      <c r="E530" s="237">
        <v>0</v>
      </c>
      <c r="F530" s="168">
        <v>1</v>
      </c>
      <c r="G530" s="34"/>
      <c r="H530" s="29"/>
      <c r="I530" s="9"/>
      <c r="J530" s="9"/>
      <c r="K530" s="9"/>
      <c r="L530" s="9"/>
      <c r="M530" s="9"/>
      <c r="N530" s="185" t="str">
        <f>IF( OR( ISBLANK(H530),ISBLANK(J530), ISBLANK(K530), ISBLANK(L530), ISBLANK(M530) ), "", 1.5*SQRT(   EXP(2.21*(H530-1)) + EXP(2.21*(J530-1)) + EXP(2.21*(K530-1)) + EXP(2.21*(L530-1)) + EXP(2.21*M530)   )/100*2.45 )</f>
        <v/>
      </c>
      <c r="O530" s="159" t="str">
        <f>IF( OR( ISBLANK(I530),ISBLANK(J530), ISBLANK(K530), ISBLANK(L530), ISBLANK(M530) ), "", 1.5*SQRT( EXP(2.21*(I530-1)) + EXP(2.21*(J530-1)) + EXP(2.21*(K530-1)) + EXP(2.21*(L530-1)) + EXP(2.21*M530)   )/100*2.45 )</f>
        <v/>
      </c>
      <c r="P530" s="34"/>
    </row>
    <row r="531" spans="1:16">
      <c r="A531" s="34" t="s">
        <v>112</v>
      </c>
      <c r="B531" s="40" t="s">
        <v>241</v>
      </c>
      <c r="C531" s="34" t="s">
        <v>139</v>
      </c>
      <c r="D531" s="40" t="s">
        <v>89</v>
      </c>
      <c r="E531" s="237">
        <v>0</v>
      </c>
      <c r="F531" s="168">
        <v>1</v>
      </c>
      <c r="G531" s="34"/>
      <c r="H531" s="29"/>
      <c r="I531" s="9"/>
      <c r="J531" s="9"/>
      <c r="K531" s="9"/>
      <c r="L531" s="9"/>
      <c r="M531" s="9"/>
      <c r="N531" s="185" t="str">
        <f>IF( OR( ISBLANK(H531),ISBLANK(J531), ISBLANK(K531), ISBLANK(L531), ISBLANK(M531) ), "", 1.5*SQRT(   EXP(2.21*(H531-1)) + EXP(2.21*(J531-1)) + EXP(2.21*(K531-1)) + EXP(2.21*(L531-1)) + EXP(2.21*M531)   )/100*2.45 )</f>
        <v/>
      </c>
      <c r="O531" s="159" t="str">
        <f>IF( OR( ISBLANK(I531),ISBLANK(J531), ISBLANK(K531), ISBLANK(L531), ISBLANK(M531) ), "", 1.5*SQRT( EXP(2.21*(I531-1)) + EXP(2.21*(J531-1)) + EXP(2.21*(K531-1)) + EXP(2.21*(L531-1)) + EXP(2.21*M531)   )/100*2.45 )</f>
        <v/>
      </c>
      <c r="P531" s="34"/>
    </row>
    <row r="532" spans="1:16">
      <c r="A532" s="34" t="s">
        <v>112</v>
      </c>
      <c r="B532" s="40" t="s">
        <v>241</v>
      </c>
      <c r="C532" s="34" t="s">
        <v>139</v>
      </c>
      <c r="D532" s="40" t="s">
        <v>90</v>
      </c>
      <c r="E532" s="237">
        <v>0</v>
      </c>
      <c r="F532" s="168">
        <v>1</v>
      </c>
      <c r="G532" s="34"/>
      <c r="H532" s="29"/>
      <c r="I532" s="9"/>
      <c r="J532" s="9"/>
      <c r="K532" s="9"/>
      <c r="L532" s="9"/>
      <c r="M532" s="9"/>
      <c r="N532" s="185" t="str">
        <f>IF( OR( ISBLANK(H532),ISBLANK(J532), ISBLANK(K532), ISBLANK(L532), ISBLANK(M532) ), "", 1.5*SQRT(   EXP(2.21*(H532-1)) + EXP(2.21*(J532-1)) + EXP(2.21*(K532-1)) + EXP(2.21*(L532-1)) + EXP(2.21*M532)   )/100*2.45 )</f>
        <v/>
      </c>
      <c r="O532" s="159" t="str">
        <f>IF( OR( ISBLANK(I532),ISBLANK(J532), ISBLANK(K532), ISBLANK(L532), ISBLANK(M532) ), "", 1.5*SQRT( EXP(2.21*(I532-1)) + EXP(2.21*(J532-1)) + EXP(2.21*(K532-1)) + EXP(2.21*(L532-1)) + EXP(2.21*M532)   )/100*2.45 )</f>
        <v/>
      </c>
      <c r="P532" s="34"/>
    </row>
    <row r="533" spans="1:16">
      <c r="A533" s="34" t="s">
        <v>112</v>
      </c>
      <c r="B533" s="40" t="s">
        <v>241</v>
      </c>
      <c r="C533" s="34" t="s">
        <v>139</v>
      </c>
      <c r="D533" s="40" t="s">
        <v>91</v>
      </c>
      <c r="E533" s="237">
        <v>2.0260014591638925E-2</v>
      </c>
      <c r="F533" s="168">
        <v>1</v>
      </c>
      <c r="G533" s="34" t="s">
        <v>163</v>
      </c>
      <c r="H533" s="29">
        <v>2</v>
      </c>
      <c r="I533" s="9">
        <v>2</v>
      </c>
      <c r="J533" s="9">
        <v>2</v>
      </c>
      <c r="K533" s="9">
        <v>2</v>
      </c>
      <c r="L533" s="9">
        <v>1</v>
      </c>
      <c r="M533" s="9">
        <v>2</v>
      </c>
      <c r="N533" s="185">
        <f>IF( OR( ISBLANK(H533),ISBLANK(J533), ISBLANK(K533), ISBLANK(L533), ISBLANK(M533) ), "", 1.5*SQRT(   EXP(2.21*(H533-1)) + EXP(2.21*(J533-1)) + EXP(2.21*(K533-1)) + EXP(2.21*(L533-1)) + EXP(2.21*M533)   )/100*2.45 )</f>
        <v>0.38795788889711302</v>
      </c>
      <c r="O533" s="159">
        <f>IF( OR( ISBLANK(I533),ISBLANK(J533), ISBLANK(K533), ISBLANK(L533), ISBLANK(M533) ), "", 1.5*SQRT( EXP(2.21*(I533-1)) + EXP(2.21*(J533-1)) + EXP(2.21*(K533-1)) + EXP(2.21*(L533-1)) + EXP(2.21*M533)   )/100*2.45 )</f>
        <v>0.38795788889711302</v>
      </c>
      <c r="P533" s="34"/>
    </row>
    <row r="534" spans="1:16">
      <c r="A534" s="34" t="s">
        <v>112</v>
      </c>
      <c r="B534" s="40" t="s">
        <v>241</v>
      </c>
      <c r="C534" s="34" t="s">
        <v>139</v>
      </c>
      <c r="D534" s="40" t="s">
        <v>95</v>
      </c>
      <c r="E534" s="237">
        <v>0</v>
      </c>
      <c r="F534" s="168">
        <v>1</v>
      </c>
      <c r="G534" s="34"/>
      <c r="H534" s="29"/>
      <c r="I534" s="9"/>
      <c r="J534" s="9"/>
      <c r="K534" s="9"/>
      <c r="L534" s="9"/>
      <c r="M534" s="9"/>
      <c r="N534" s="185" t="str">
        <f>IF( OR( ISBLANK(H534),ISBLANK(J534), ISBLANK(K534), ISBLANK(L534), ISBLANK(M534) ), "", 1.5*SQRT(   EXP(2.21*(H534-1)) + EXP(2.21*(J534-1)) + EXP(2.21*(K534-1)) + EXP(2.21*(L534-1)) + EXP(2.21*M534)   )/100*2.45 )</f>
        <v/>
      </c>
      <c r="O534" s="159" t="str">
        <f>IF( OR( ISBLANK(I534),ISBLANK(J534), ISBLANK(K534), ISBLANK(L534), ISBLANK(M534) ), "", 1.5*SQRT( EXP(2.21*(I534-1)) + EXP(2.21*(J534-1)) + EXP(2.21*(K534-1)) + EXP(2.21*(L534-1)) + EXP(2.21*M534)   )/100*2.45 )</f>
        <v/>
      </c>
      <c r="P534" s="34"/>
    </row>
    <row r="535" spans="1:16">
      <c r="A535" s="34" t="s">
        <v>112</v>
      </c>
      <c r="B535" s="40" t="s">
        <v>241</v>
      </c>
      <c r="C535" s="34" t="s">
        <v>139</v>
      </c>
      <c r="D535" s="40" t="s">
        <v>99</v>
      </c>
      <c r="E535" s="237">
        <v>0</v>
      </c>
      <c r="F535" s="168">
        <v>1</v>
      </c>
      <c r="G535" s="34"/>
      <c r="H535" s="29"/>
      <c r="I535" s="9"/>
      <c r="J535" s="9"/>
      <c r="K535" s="9"/>
      <c r="L535" s="9"/>
      <c r="M535" s="9"/>
      <c r="N535" s="185" t="str">
        <f>IF( OR( ISBLANK(H535),ISBLANK(J535), ISBLANK(K535), ISBLANK(L535), ISBLANK(M535) ), "", 1.5*SQRT(   EXP(2.21*(H535-1)) + EXP(2.21*(J535-1)) + EXP(2.21*(K535-1)) + EXP(2.21*(L535-1)) + EXP(2.21*M535)   )/100*2.45 )</f>
        <v/>
      </c>
      <c r="O535" s="159" t="str">
        <f>IF( OR( ISBLANK(I535),ISBLANK(J535), ISBLANK(K535), ISBLANK(L535), ISBLANK(M535) ), "", 1.5*SQRT( EXP(2.21*(I535-1)) + EXP(2.21*(J535-1)) + EXP(2.21*(K535-1)) + EXP(2.21*(L535-1)) + EXP(2.21*M535)   )/100*2.45 )</f>
        <v/>
      </c>
      <c r="P535" s="34"/>
    </row>
    <row r="536" spans="1:16">
      <c r="A536" s="34" t="s">
        <v>112</v>
      </c>
      <c r="B536" s="40" t="s">
        <v>330</v>
      </c>
      <c r="C536" s="34" t="s">
        <v>139</v>
      </c>
      <c r="D536" s="40" t="s">
        <v>85</v>
      </c>
      <c r="E536" s="237">
        <v>0</v>
      </c>
      <c r="F536" s="168">
        <v>1</v>
      </c>
      <c r="G536" s="34"/>
      <c r="H536" s="29"/>
      <c r="I536" s="9"/>
      <c r="J536" s="9"/>
      <c r="K536" s="9"/>
      <c r="L536" s="9"/>
      <c r="M536" s="9"/>
      <c r="N536" s="185" t="str">
        <f>IF( OR( ISBLANK(H536),ISBLANK(J536), ISBLANK(K536), ISBLANK(L536), ISBLANK(M536) ), "", 1.5*SQRT(   EXP(2.21*(H536-1)) + EXP(2.21*(J536-1)) + EXP(2.21*(K536-1)) + EXP(2.21*(L536-1)) + EXP(2.21*M536)   )/100*2.45 )</f>
        <v/>
      </c>
      <c r="O536" s="159" t="str">
        <f>IF( OR( ISBLANK(I536),ISBLANK(J536), ISBLANK(K536), ISBLANK(L536), ISBLANK(M536) ), "", 1.5*SQRT( EXP(2.21*(I536-1)) + EXP(2.21*(J536-1)) + EXP(2.21*(K536-1)) + EXP(2.21*(L536-1)) + EXP(2.21*M536)   )/100*2.45 )</f>
        <v/>
      </c>
      <c r="P536" s="34"/>
    </row>
    <row r="537" spans="1:16">
      <c r="A537" s="34" t="s">
        <v>112</v>
      </c>
      <c r="B537" s="40" t="s">
        <v>330</v>
      </c>
      <c r="C537" s="34" t="s">
        <v>139</v>
      </c>
      <c r="D537" s="40" t="s">
        <v>86</v>
      </c>
      <c r="E537" s="237">
        <v>0.39167899730176692</v>
      </c>
      <c r="F537" s="168">
        <v>1</v>
      </c>
      <c r="G537" s="34" t="s">
        <v>163</v>
      </c>
      <c r="H537" s="29">
        <v>2</v>
      </c>
      <c r="I537" s="9">
        <v>2</v>
      </c>
      <c r="J537" s="9">
        <v>2</v>
      </c>
      <c r="K537" s="9">
        <v>2</v>
      </c>
      <c r="L537" s="9">
        <v>1</v>
      </c>
      <c r="M537" s="9">
        <v>2</v>
      </c>
      <c r="N537" s="185">
        <f>IF( OR( ISBLANK(H537),ISBLANK(J537), ISBLANK(K537), ISBLANK(L537), ISBLANK(M537) ), "", 1.5*SQRT(   EXP(2.21*(H537-1)) + EXP(2.21*(J537-1)) + EXP(2.21*(K537-1)) + EXP(2.21*(L537-1)) + EXP(2.21*M537)   )/100*2.45 )</f>
        <v>0.38795788889711302</v>
      </c>
      <c r="O537" s="159">
        <f>IF( OR( ISBLANK(I537),ISBLANK(J537), ISBLANK(K537), ISBLANK(L537), ISBLANK(M537) ), "", 1.5*SQRT( EXP(2.21*(I537-1)) + EXP(2.21*(J537-1)) + EXP(2.21*(K537-1)) + EXP(2.21*(L537-1)) + EXP(2.21*M537)   )/100*2.45 )</f>
        <v>0.38795788889711302</v>
      </c>
      <c r="P537" s="34"/>
    </row>
    <row r="538" spans="1:16">
      <c r="A538" s="34" t="s">
        <v>112</v>
      </c>
      <c r="B538" s="40" t="s">
        <v>330</v>
      </c>
      <c r="C538" s="34" t="s">
        <v>139</v>
      </c>
      <c r="D538" s="40" t="s">
        <v>87</v>
      </c>
      <c r="E538" s="237">
        <v>0</v>
      </c>
      <c r="F538" s="168">
        <v>1</v>
      </c>
      <c r="G538" s="34"/>
      <c r="H538" s="29"/>
      <c r="I538" s="9"/>
      <c r="J538" s="9"/>
      <c r="K538" s="9"/>
      <c r="L538" s="9"/>
      <c r="M538" s="9"/>
      <c r="N538" s="185" t="str">
        <f>IF( OR( ISBLANK(H538),ISBLANK(J538), ISBLANK(K538), ISBLANK(L538), ISBLANK(M538) ), "", 1.5*SQRT(   EXP(2.21*(H538-1)) + EXP(2.21*(J538-1)) + EXP(2.21*(K538-1)) + EXP(2.21*(L538-1)) + EXP(2.21*M538)   )/100*2.45 )</f>
        <v/>
      </c>
      <c r="O538" s="159" t="str">
        <f>IF( OR( ISBLANK(I538),ISBLANK(J538), ISBLANK(K538), ISBLANK(L538), ISBLANK(M538) ), "", 1.5*SQRT( EXP(2.21*(I538-1)) + EXP(2.21*(J538-1)) + EXP(2.21*(K538-1)) + EXP(2.21*(L538-1)) + EXP(2.21*M538)   )/100*2.45 )</f>
        <v/>
      </c>
      <c r="P538" s="34"/>
    </row>
    <row r="539" spans="1:16">
      <c r="A539" s="34" t="s">
        <v>112</v>
      </c>
      <c r="B539" s="40" t="s">
        <v>330</v>
      </c>
      <c r="C539" s="34" t="s">
        <v>139</v>
      </c>
      <c r="D539" s="40" t="s">
        <v>88</v>
      </c>
      <c r="E539" s="237">
        <v>0</v>
      </c>
      <c r="F539" s="168">
        <v>1</v>
      </c>
      <c r="G539" s="34"/>
      <c r="H539" s="29"/>
      <c r="I539" s="9"/>
      <c r="J539" s="9"/>
      <c r="K539" s="9"/>
      <c r="L539" s="9"/>
      <c r="M539" s="9"/>
      <c r="N539" s="185" t="str">
        <f>IF( OR( ISBLANK(H539),ISBLANK(J539), ISBLANK(K539), ISBLANK(L539), ISBLANK(M539) ), "", 1.5*SQRT(   EXP(2.21*(H539-1)) + EXP(2.21*(J539-1)) + EXP(2.21*(K539-1)) + EXP(2.21*(L539-1)) + EXP(2.21*M539)   )/100*2.45 )</f>
        <v/>
      </c>
      <c r="O539" s="159" t="str">
        <f>IF( OR( ISBLANK(I539),ISBLANK(J539), ISBLANK(K539), ISBLANK(L539), ISBLANK(M539) ), "", 1.5*SQRT( EXP(2.21*(I539-1)) + EXP(2.21*(J539-1)) + EXP(2.21*(K539-1)) + EXP(2.21*(L539-1)) + EXP(2.21*M539)   )/100*2.45 )</f>
        <v/>
      </c>
      <c r="P539" s="34"/>
    </row>
    <row r="540" spans="1:16">
      <c r="A540" s="34" t="s">
        <v>112</v>
      </c>
      <c r="B540" s="40" t="s">
        <v>330</v>
      </c>
      <c r="C540" s="34" t="s">
        <v>139</v>
      </c>
      <c r="D540" s="40" t="s">
        <v>89</v>
      </c>
      <c r="E540" s="237">
        <v>0</v>
      </c>
      <c r="F540" s="168">
        <v>1</v>
      </c>
      <c r="G540" s="34"/>
      <c r="H540" s="29"/>
      <c r="I540" s="9"/>
      <c r="J540" s="9"/>
      <c r="K540" s="9"/>
      <c r="L540" s="9"/>
      <c r="M540" s="9"/>
      <c r="N540" s="185" t="str">
        <f>IF( OR( ISBLANK(H540),ISBLANK(J540), ISBLANK(K540), ISBLANK(L540), ISBLANK(M540) ), "", 1.5*SQRT(   EXP(2.21*(H540-1)) + EXP(2.21*(J540-1)) + EXP(2.21*(K540-1)) + EXP(2.21*(L540-1)) + EXP(2.21*M540)   )/100*2.45 )</f>
        <v/>
      </c>
      <c r="O540" s="159" t="str">
        <f>IF( OR( ISBLANK(I540),ISBLANK(J540), ISBLANK(K540), ISBLANK(L540), ISBLANK(M540) ), "", 1.5*SQRT( EXP(2.21*(I540-1)) + EXP(2.21*(J540-1)) + EXP(2.21*(K540-1)) + EXP(2.21*(L540-1)) + EXP(2.21*M540)   )/100*2.45 )</f>
        <v/>
      </c>
      <c r="P540" s="34"/>
    </row>
    <row r="541" spans="1:16">
      <c r="A541" s="34" t="s">
        <v>112</v>
      </c>
      <c r="B541" s="40" t="s">
        <v>330</v>
      </c>
      <c r="C541" s="34" t="s">
        <v>139</v>
      </c>
      <c r="D541" s="40" t="s">
        <v>90</v>
      </c>
      <c r="E541" s="237">
        <v>0</v>
      </c>
      <c r="F541" s="168">
        <v>1</v>
      </c>
      <c r="G541" s="34"/>
      <c r="H541" s="29"/>
      <c r="I541" s="9"/>
      <c r="J541" s="9"/>
      <c r="K541" s="9"/>
      <c r="L541" s="9"/>
      <c r="M541" s="9"/>
      <c r="N541" s="185" t="str">
        <f>IF( OR( ISBLANK(H541),ISBLANK(J541), ISBLANK(K541), ISBLANK(L541), ISBLANK(M541) ), "", 1.5*SQRT(   EXP(2.21*(H541-1)) + EXP(2.21*(J541-1)) + EXP(2.21*(K541-1)) + EXP(2.21*(L541-1)) + EXP(2.21*M541)   )/100*2.45 )</f>
        <v/>
      </c>
      <c r="O541" s="159" t="str">
        <f>IF( OR( ISBLANK(I541),ISBLANK(J541), ISBLANK(K541), ISBLANK(L541), ISBLANK(M541) ), "", 1.5*SQRT( EXP(2.21*(I541-1)) + EXP(2.21*(J541-1)) + EXP(2.21*(K541-1)) + EXP(2.21*(L541-1)) + EXP(2.21*M541)   )/100*2.45 )</f>
        <v/>
      </c>
      <c r="P541" s="34"/>
    </row>
    <row r="542" spans="1:16">
      <c r="A542" s="34" t="s">
        <v>112</v>
      </c>
      <c r="B542" s="40" t="s">
        <v>330</v>
      </c>
      <c r="C542" s="34" t="s">
        <v>139</v>
      </c>
      <c r="D542" s="40" t="s">
        <v>91</v>
      </c>
      <c r="E542" s="237">
        <v>9.4657445223231051E-2</v>
      </c>
      <c r="F542" s="168">
        <v>1</v>
      </c>
      <c r="G542" s="34" t="s">
        <v>163</v>
      </c>
      <c r="H542" s="29">
        <v>2</v>
      </c>
      <c r="I542" s="9">
        <v>2</v>
      </c>
      <c r="J542" s="9">
        <v>2</v>
      </c>
      <c r="K542" s="9">
        <v>2</v>
      </c>
      <c r="L542" s="9">
        <v>1</v>
      </c>
      <c r="M542" s="9">
        <v>2</v>
      </c>
      <c r="N542" s="185">
        <f>IF( OR( ISBLANK(H542),ISBLANK(J542), ISBLANK(K542), ISBLANK(L542), ISBLANK(M542) ), "", 1.5*SQRT(   EXP(2.21*(H542-1)) + EXP(2.21*(J542-1)) + EXP(2.21*(K542-1)) + EXP(2.21*(L542-1)) + EXP(2.21*M542)   )/100*2.45 )</f>
        <v>0.38795788889711302</v>
      </c>
      <c r="O542" s="159">
        <f>IF( OR( ISBLANK(I542),ISBLANK(J542), ISBLANK(K542), ISBLANK(L542), ISBLANK(M542) ), "", 1.5*SQRT( EXP(2.21*(I542-1)) + EXP(2.21*(J542-1)) + EXP(2.21*(K542-1)) + EXP(2.21*(L542-1)) + EXP(2.21*M542)   )/100*2.45 )</f>
        <v>0.38795788889711302</v>
      </c>
      <c r="P542" s="34"/>
    </row>
    <row r="543" spans="1:16">
      <c r="A543" s="34" t="s">
        <v>112</v>
      </c>
      <c r="B543" s="40" t="s">
        <v>330</v>
      </c>
      <c r="C543" s="34" t="s">
        <v>139</v>
      </c>
      <c r="D543" s="40" t="s">
        <v>95</v>
      </c>
      <c r="E543" s="237">
        <v>0</v>
      </c>
      <c r="F543" s="168">
        <v>1</v>
      </c>
      <c r="G543" s="34"/>
      <c r="H543" s="29"/>
      <c r="I543" s="9"/>
      <c r="J543" s="9"/>
      <c r="K543" s="9"/>
      <c r="L543" s="9"/>
      <c r="M543" s="9"/>
      <c r="N543" s="185" t="str">
        <f>IF( OR( ISBLANK(H543),ISBLANK(J543), ISBLANK(K543), ISBLANK(L543), ISBLANK(M543) ), "", 1.5*SQRT(   EXP(2.21*(H543-1)) + EXP(2.21*(J543-1)) + EXP(2.21*(K543-1)) + EXP(2.21*(L543-1)) + EXP(2.21*M543)   )/100*2.45 )</f>
        <v/>
      </c>
      <c r="O543" s="159" t="str">
        <f>IF( OR( ISBLANK(I543),ISBLANK(J543), ISBLANK(K543), ISBLANK(L543), ISBLANK(M543) ), "", 1.5*SQRT( EXP(2.21*(I543-1)) + EXP(2.21*(J543-1)) + EXP(2.21*(K543-1)) + EXP(2.21*(L543-1)) + EXP(2.21*M543)   )/100*2.45 )</f>
        <v/>
      </c>
      <c r="P543" s="34"/>
    </row>
    <row r="544" spans="1:16">
      <c r="A544" s="34" t="s">
        <v>112</v>
      </c>
      <c r="B544" s="40" t="s">
        <v>330</v>
      </c>
      <c r="C544" s="34" t="s">
        <v>139</v>
      </c>
      <c r="D544" s="40" t="s">
        <v>99</v>
      </c>
      <c r="E544" s="237">
        <v>0</v>
      </c>
      <c r="F544" s="168">
        <v>1</v>
      </c>
      <c r="G544" s="34"/>
      <c r="H544" s="29"/>
      <c r="I544" s="9"/>
      <c r="J544" s="9"/>
      <c r="K544" s="9"/>
      <c r="L544" s="9"/>
      <c r="M544" s="9"/>
      <c r="N544" s="185" t="str">
        <f>IF( OR( ISBLANK(H544),ISBLANK(J544), ISBLANK(K544), ISBLANK(L544), ISBLANK(M544) ), "", 1.5*SQRT(   EXP(2.21*(H544-1)) + EXP(2.21*(J544-1)) + EXP(2.21*(K544-1)) + EXP(2.21*(L544-1)) + EXP(2.21*M544)   )/100*2.45 )</f>
        <v/>
      </c>
      <c r="O544" s="159" t="str">
        <f>IF( OR( ISBLANK(I544),ISBLANK(J544), ISBLANK(K544), ISBLANK(L544), ISBLANK(M544) ), "", 1.5*SQRT( EXP(2.21*(I544-1)) + EXP(2.21*(J544-1)) + EXP(2.21*(K544-1)) + EXP(2.21*(L544-1)) + EXP(2.21*M544)   )/100*2.45 )</f>
        <v/>
      </c>
      <c r="P544" s="34"/>
    </row>
    <row r="545" spans="1:16">
      <c r="A545" s="68" t="s">
        <v>2018</v>
      </c>
      <c r="B545" s="304" t="s">
        <v>108</v>
      </c>
      <c r="C545" s="69" t="s">
        <v>180</v>
      </c>
      <c r="D545" s="823" t="s">
        <v>139</v>
      </c>
      <c r="E545" s="69">
        <v>1</v>
      </c>
      <c r="F545" s="823">
        <v>1</v>
      </c>
      <c r="G545" s="69" t="s">
        <v>157</v>
      </c>
      <c r="H545" s="1188">
        <v>1</v>
      </c>
      <c r="I545" s="307"/>
      <c r="J545" s="9">
        <v>1</v>
      </c>
      <c r="K545" s="9">
        <v>1</v>
      </c>
      <c r="L545" s="9">
        <v>1</v>
      </c>
      <c r="M545" s="9">
        <v>1</v>
      </c>
      <c r="N545" s="185">
        <f>IF( OR( ISBLANK(H545),ISBLANK(J545), ISBLANK(K545), ISBLANK(L545), ISBLANK(M545) ), "", 1.5*SQRT(   EXP(2.21*(H545-1)) + EXP(2.21*(J545-1)) + EXP(2.21*(K545-1)) + EXP(2.21*(L545-1)) + EXP(2.21*M545)   )/100*2.45 )</f>
        <v>0.13309242924026707</v>
      </c>
      <c r="O545" s="159" t="str">
        <f>IF( OR( ISBLANK(I545),ISBLANK(J545), ISBLANK(K545), ISBLANK(L545), ISBLANK(M545) ), "", 1.5*SQRT( EXP(2.21*(I545-1)) + EXP(2.21*(J545-1)) + EXP(2.21*(K545-1)) + EXP(2.21*(L545-1)) + EXP(2.21*M545)   )/100*2.45 )</f>
        <v/>
      </c>
      <c r="P545" s="68"/>
    </row>
    <row r="546" spans="1:16">
      <c r="A546" s="68" t="str">
        <f>Clothing!A474</f>
        <v>Import of clothing (Global)</v>
      </c>
      <c r="B546" s="304" t="str">
        <f>Clothing!B474</f>
        <v>Clothing (product sector)</v>
      </c>
      <c r="C546" s="69" t="str">
        <f>Clothing!C474</f>
        <v>any</v>
      </c>
      <c r="D546" s="823" t="str">
        <f>Clothing!D474</f>
        <v>any</v>
      </c>
      <c r="E546" s="69">
        <f>Clothing!E474</f>
        <v>1</v>
      </c>
      <c r="F546" s="823">
        <f>Clothing!F474</f>
        <v>1</v>
      </c>
      <c r="G546" s="69" t="str">
        <f>Clothing!G474</f>
        <v>Assumption</v>
      </c>
      <c r="H546" s="1188">
        <v>1</v>
      </c>
      <c r="I546" s="307">
        <v>1</v>
      </c>
      <c r="J546" s="307">
        <v>1</v>
      </c>
      <c r="K546" s="307">
        <v>1</v>
      </c>
      <c r="L546" s="307">
        <v>1</v>
      </c>
      <c r="M546" s="307">
        <v>1</v>
      </c>
      <c r="N546" s="616">
        <f>IF( OR( ISBLANK(H546),ISBLANK(J546), ISBLANK(K546), ISBLANK(L546), ISBLANK(M546) ), "", 1.5*SQRT(   EXP(2.21*(H546-1)) + EXP(2.21*(J546-1)) + EXP(2.21*(K546-1)) + EXP(2.21*(L546-1)) + EXP(2.21*M546)   )/100*2.45 )</f>
        <v>0.13309242924026707</v>
      </c>
      <c r="O546" s="1282">
        <f>IF( OR( ISBLANK(I546),ISBLANK(J546), ISBLANK(K546), ISBLANK(L546), ISBLANK(M546) ), "", 1.5*SQRT( EXP(2.21*(I546-1)) + EXP(2.21*(J546-1)) + EXP(2.21*(K546-1)) + EXP(2.21*(L546-1)) + EXP(2.21*M546)   )/100*2.45 )</f>
        <v>0.13309242924026707</v>
      </c>
      <c r="P546" s="68"/>
    </row>
    <row r="547" spans="1:16">
      <c r="A547" s="68" t="str">
        <f>Clothing!A478</f>
        <v>Import of plastic sheets</v>
      </c>
      <c r="B547" s="304" t="str">
        <f>Clothing!B478</f>
        <v>Manufacturing of clothing</v>
      </c>
      <c r="C547" s="69" t="str">
        <f>Clothing!C478</f>
        <v>any</v>
      </c>
      <c r="D547" s="823" t="str">
        <f>Clothing!D478</f>
        <v>any</v>
      </c>
      <c r="E547" s="69">
        <f>Clothing!E478</f>
        <v>1</v>
      </c>
      <c r="F547" s="823">
        <f>Clothing!F478</f>
        <v>1</v>
      </c>
      <c r="G547" s="69" t="str">
        <f>Clothing!G478</f>
        <v>Assumption</v>
      </c>
      <c r="H547" s="1188">
        <v>1</v>
      </c>
      <c r="I547" s="307">
        <v>1</v>
      </c>
      <c r="J547" s="307">
        <v>1</v>
      </c>
      <c r="K547" s="307">
        <v>1</v>
      </c>
      <c r="L547" s="307">
        <v>1</v>
      </c>
      <c r="M547" s="307">
        <v>1</v>
      </c>
      <c r="N547" s="616">
        <f>IF( OR( ISBLANK(H547),ISBLANK(J547), ISBLANK(K547), ISBLANK(L547), ISBLANK(M547) ), "", 1.5*SQRT(   EXP(2.21*(H547-1)) + EXP(2.21*(J547-1)) + EXP(2.21*(K547-1)) + EXP(2.21*(L547-1)) + EXP(2.21*M547)   )/100*2.45 )</f>
        <v>0.13309242924026707</v>
      </c>
      <c r="O547" s="1282">
        <f>IF( OR( ISBLANK(I547),ISBLANK(J547), ISBLANK(K547), ISBLANK(L547), ISBLANK(M547) ), "", 1.5*SQRT( EXP(2.21*(I547-1)) + EXP(2.21*(J547-1)) + EXP(2.21*(K547-1)) + EXP(2.21*(L547-1)) + EXP(2.21*M547)   )/100*2.45 )</f>
        <v>0.13309242924026707</v>
      </c>
      <c r="P547" s="68"/>
    </row>
    <row r="548" spans="1:16">
      <c r="A548" s="34" t="s">
        <v>114</v>
      </c>
      <c r="B548" s="40" t="s">
        <v>256</v>
      </c>
      <c r="C548" s="34" t="s">
        <v>139</v>
      </c>
      <c r="D548" s="40" t="s">
        <v>139</v>
      </c>
      <c r="E548" s="237">
        <v>1</v>
      </c>
      <c r="F548" s="40">
        <v>1</v>
      </c>
      <c r="G548" s="34"/>
      <c r="H548" s="29">
        <v>1</v>
      </c>
      <c r="I548" s="9">
        <v>1</v>
      </c>
      <c r="J548" s="9">
        <v>1</v>
      </c>
      <c r="K548" s="9">
        <v>1</v>
      </c>
      <c r="L548" s="9">
        <v>2</v>
      </c>
      <c r="M548" s="9">
        <v>2</v>
      </c>
      <c r="N548" s="185">
        <f>IF( OR( ISBLANK(H548),ISBLANK(J548), ISBLANK(K548), ISBLANK(L548), ISBLANK(M548) ), "", 1.5*SQRT(   EXP(2.21*(H548-1)) + EXP(2.21*(J548-1)) + EXP(2.21*(K548-1)) + EXP(2.21*(L548-1)) + EXP(2.21*M548)   )/100*2.45 )</f>
        <v>0.35859414261160716</v>
      </c>
      <c r="O548" s="159">
        <f>IF( OR( ISBLANK(I548),ISBLANK(J548), ISBLANK(K548), ISBLANK(L548), ISBLANK(M548) ), "", 1.5*SQRT( EXP(2.21*(I548-1)) + EXP(2.21*(J548-1)) + EXP(2.21*(K548-1)) + EXP(2.21*(L548-1)) + EXP(2.21*M548)   )/100*2.45 )</f>
        <v>0.35859414261160716</v>
      </c>
      <c r="P548" s="34"/>
    </row>
    <row r="549" spans="1:16">
      <c r="A549" s="68" t="str">
        <f>Clothing!A479</f>
        <v>Import of yarn</v>
      </c>
      <c r="B549" s="304" t="str">
        <f>Clothing!B479</f>
        <v>Manufacturing of clothing</v>
      </c>
      <c r="C549" s="69" t="str">
        <f>Clothing!C479</f>
        <v>any</v>
      </c>
      <c r="D549" s="823" t="str">
        <f>Clothing!D479</f>
        <v>any</v>
      </c>
      <c r="E549" s="69">
        <f>Clothing!E479</f>
        <v>1</v>
      </c>
      <c r="F549" s="823">
        <f>Clothing!F479</f>
        <v>1</v>
      </c>
      <c r="G549" s="69" t="str">
        <f>Clothing!G479</f>
        <v>Assumption</v>
      </c>
      <c r="H549" s="1188">
        <v>1</v>
      </c>
      <c r="I549" s="307">
        <v>1</v>
      </c>
      <c r="J549" s="307">
        <v>1</v>
      </c>
      <c r="K549" s="307">
        <v>1</v>
      </c>
      <c r="L549" s="307">
        <v>1</v>
      </c>
      <c r="M549" s="307">
        <v>1</v>
      </c>
      <c r="N549" s="185">
        <f>IF( OR( ISBLANK(H549),ISBLANK(J549), ISBLANK(K549), ISBLANK(L549), ISBLANK(M549) ), "", 1.5*SQRT(   EXP(2.21*(H549-1)) + EXP(2.21*(J549-1)) + EXP(2.21*(K549-1)) + EXP(2.21*(L549-1)) + EXP(2.21*M549)   )/100*2.45 )</f>
        <v>0.13309242924026707</v>
      </c>
      <c r="O549" s="159">
        <f>IF( OR( ISBLANK(I549),ISBLANK(J549), ISBLANK(K549), ISBLANK(L549), ISBLANK(M549) ), "", 1.5*SQRT( EXP(2.21*(I549-1)) + EXP(2.21*(J549-1)) + EXP(2.21*(K549-1)) + EXP(2.21*(L549-1)) + EXP(2.21*M549)   )/100*2.45 )</f>
        <v>0.13309242924026707</v>
      </c>
      <c r="P549" s="68"/>
    </row>
    <row r="550" spans="1:16">
      <c r="A550" s="34" t="s">
        <v>179</v>
      </c>
      <c r="B550" s="40" t="s">
        <v>243</v>
      </c>
      <c r="C550" s="34" t="s">
        <v>139</v>
      </c>
      <c r="D550" s="40" t="s">
        <v>139</v>
      </c>
      <c r="E550" s="237">
        <v>1</v>
      </c>
      <c r="F550" s="168">
        <v>1</v>
      </c>
      <c r="G550" s="34"/>
      <c r="H550" s="29"/>
      <c r="I550" s="9"/>
      <c r="J550" s="9"/>
      <c r="K550" s="9"/>
      <c r="L550" s="9"/>
      <c r="M550" s="9"/>
      <c r="N550" s="185" t="str">
        <f>IF( OR( ISBLANK(H550),ISBLANK(J550), ISBLANK(K550), ISBLANK(L550), ISBLANK(M550) ), "", 1.5*SQRT(   EXP(2.21*(H550-1)) + EXP(2.21*(J550-1)) + EXP(2.21*(K550-1)) + EXP(2.21*(L550-1)) + EXP(2.21*M550)   )/100*2.45 )</f>
        <v/>
      </c>
      <c r="O550" s="159" t="str">
        <f>IF( OR( ISBLANK(I550),ISBLANK(J550), ISBLANK(K550), ISBLANK(L550), ISBLANK(M550) ), "", 1.5*SQRT( EXP(2.21*(I550-1)) + EXP(2.21*(J550-1)) + EXP(2.21*(K550-1)) + EXP(2.21*(L550-1)) + EXP(2.21*M550)   )/100*2.45 )</f>
        <v/>
      </c>
      <c r="P550" s="34"/>
    </row>
    <row r="551" spans="1:16">
      <c r="A551" s="34" t="s">
        <v>228</v>
      </c>
      <c r="B551" s="40" t="s">
        <v>297</v>
      </c>
      <c r="C551" s="34" t="s">
        <v>139</v>
      </c>
      <c r="D551" s="40" t="s">
        <v>139</v>
      </c>
      <c r="E551" s="237" t="s">
        <v>150</v>
      </c>
      <c r="F551" s="168">
        <v>1</v>
      </c>
      <c r="G551" s="34"/>
      <c r="H551" s="29"/>
      <c r="I551" s="9"/>
      <c r="J551" s="9"/>
      <c r="K551" s="9"/>
      <c r="L551" s="9"/>
      <c r="M551" s="9"/>
      <c r="N551" s="185" t="str">
        <f>IF( OR( ISBLANK(H551),ISBLANK(J551), ISBLANK(K551), ISBLANK(L551), ISBLANK(M551) ), "", 1.5*SQRT(   EXP(2.21*(H551-1)) + EXP(2.21*(J551-1)) + EXP(2.21*(K551-1)) + EXP(2.21*(L551-1)) + EXP(2.21*M551)   )/100*2.45 )</f>
        <v/>
      </c>
      <c r="O551" s="159" t="str">
        <f>IF( OR( ISBLANK(I551),ISBLANK(J551), ISBLANK(K551), ISBLANK(L551), ISBLANK(M551) ), "", 1.5*SQRT( EXP(2.21*(I551-1)) + EXP(2.21*(J551-1)) + EXP(2.21*(K551-1)) + EXP(2.21*(L551-1)) + EXP(2.21*M551)   )/100*2.45 )</f>
        <v/>
      </c>
      <c r="P551" s="34"/>
    </row>
    <row r="552" spans="1:16">
      <c r="A552" s="34" t="s">
        <v>228</v>
      </c>
      <c r="B552" s="40" t="s">
        <v>231</v>
      </c>
      <c r="C552" s="34" t="s">
        <v>139</v>
      </c>
      <c r="D552" s="40" t="s">
        <v>139</v>
      </c>
      <c r="E552" s="237">
        <v>0.52205999999999997</v>
      </c>
      <c r="F552" s="168">
        <v>2</v>
      </c>
      <c r="G552" s="34" t="s">
        <v>366</v>
      </c>
      <c r="H552" s="29">
        <v>3</v>
      </c>
      <c r="I552" s="9"/>
      <c r="J552" s="9">
        <v>3</v>
      </c>
      <c r="K552" s="9">
        <v>3</v>
      </c>
      <c r="L552" s="9">
        <v>3</v>
      </c>
      <c r="M552" s="9">
        <v>3</v>
      </c>
      <c r="N552" s="185">
        <f>IF( OR( ISBLANK(H552),ISBLANK(J552), ISBLANK(K552), ISBLANK(L552), ISBLANK(M552) ), "", 1.5*SQRT(   EXP(2.21*(H552-1)) + EXP(2.21*(J552-1)) + EXP(2.21*(K552-1)) + EXP(2.21*(L552-1)) + EXP(2.21*M552)   )/100*2.45 )</f>
        <v>1.2132328390150593</v>
      </c>
      <c r="O552" s="159" t="str">
        <f>IF( OR( ISBLANK(I552),ISBLANK(J552), ISBLANK(K552), ISBLANK(L552), ISBLANK(M552) ), "", 1.5*SQRT( EXP(2.21*(I552-1)) + EXP(2.21*(J552-1)) + EXP(2.21*(K552-1)) + EXP(2.21*(L552-1)) + EXP(2.21*M552)   )/100*2.45 )</f>
        <v/>
      </c>
      <c r="P552" s="34" t="s">
        <v>367</v>
      </c>
    </row>
    <row r="553" spans="1:16">
      <c r="A553" s="34" t="s">
        <v>228</v>
      </c>
      <c r="B553" s="40" t="s">
        <v>231</v>
      </c>
      <c r="C553" s="34" t="s">
        <v>139</v>
      </c>
      <c r="D553" s="40" t="s">
        <v>139</v>
      </c>
      <c r="E553" s="237">
        <v>0.19137000000000001</v>
      </c>
      <c r="F553" s="168">
        <v>2</v>
      </c>
      <c r="G553" s="34" t="s">
        <v>366</v>
      </c>
      <c r="H553" s="29">
        <v>3</v>
      </c>
      <c r="I553" s="9"/>
      <c r="J553" s="9">
        <v>3</v>
      </c>
      <c r="K553" s="9">
        <v>3</v>
      </c>
      <c r="L553" s="9">
        <v>3</v>
      </c>
      <c r="M553" s="9">
        <v>3</v>
      </c>
      <c r="N553" s="185">
        <f>IF( OR( ISBLANK(H553),ISBLANK(J553), ISBLANK(K553), ISBLANK(L553), ISBLANK(M553) ), "", 1.5*SQRT(   EXP(2.21*(H553-1)) + EXP(2.21*(J553-1)) + EXP(2.21*(K553-1)) + EXP(2.21*(L553-1)) + EXP(2.21*M553)   )/100*2.45 )</f>
        <v>1.2132328390150593</v>
      </c>
      <c r="O553" s="159" t="str">
        <f>IF( OR( ISBLANK(I553),ISBLANK(J553), ISBLANK(K553), ISBLANK(L553), ISBLANK(M553) ), "", 1.5*SQRT( EXP(2.21*(I553-1)) + EXP(2.21*(J553-1)) + EXP(2.21*(K553-1)) + EXP(2.21*(L553-1)) + EXP(2.21*M553)   )/100*2.45 )</f>
        <v/>
      </c>
      <c r="P553" s="34" t="s">
        <v>368</v>
      </c>
    </row>
    <row r="554" spans="1:16">
      <c r="A554" s="34" t="s">
        <v>228</v>
      </c>
      <c r="B554" s="40" t="s">
        <v>231</v>
      </c>
      <c r="C554" s="34" t="s">
        <v>139</v>
      </c>
      <c r="D554" s="40" t="s">
        <v>139</v>
      </c>
      <c r="E554" s="237">
        <v>0.11433</v>
      </c>
      <c r="F554" s="168">
        <v>2</v>
      </c>
      <c r="G554" s="34" t="s">
        <v>366</v>
      </c>
      <c r="H554" s="29">
        <v>3</v>
      </c>
      <c r="I554" s="9"/>
      <c r="J554" s="9">
        <v>3</v>
      </c>
      <c r="K554" s="9">
        <v>3</v>
      </c>
      <c r="L554" s="9">
        <v>3</v>
      </c>
      <c r="M554" s="9">
        <v>3</v>
      </c>
      <c r="N554" s="185">
        <f>IF( OR( ISBLANK(H554),ISBLANK(J554), ISBLANK(K554), ISBLANK(L554), ISBLANK(M554) ), "", 1.5*SQRT(   EXP(2.21*(H554-1)) + EXP(2.21*(J554-1)) + EXP(2.21*(K554-1)) + EXP(2.21*(L554-1)) + EXP(2.21*M554)   )/100*2.45 )</f>
        <v>1.2132328390150593</v>
      </c>
      <c r="O554" s="159" t="str">
        <f>IF( OR( ISBLANK(I554),ISBLANK(J554), ISBLANK(K554), ISBLANK(L554), ISBLANK(M554) ), "", 1.5*SQRT( EXP(2.21*(I554-1)) + EXP(2.21*(J554-1)) + EXP(2.21*(K554-1)) + EXP(2.21*(L554-1)) + EXP(2.21*M554)   )/100*2.45 )</f>
        <v/>
      </c>
      <c r="P554" s="34" t="s">
        <v>369</v>
      </c>
    </row>
    <row r="555" spans="1:16">
      <c r="A555" s="34" t="s">
        <v>228</v>
      </c>
      <c r="B555" s="40" t="s">
        <v>231</v>
      </c>
      <c r="C555" s="34" t="s">
        <v>139</v>
      </c>
      <c r="D555" s="40" t="s">
        <v>139</v>
      </c>
      <c r="E555" s="237">
        <v>0.25267000000000001</v>
      </c>
      <c r="F555" s="168">
        <v>2</v>
      </c>
      <c r="G555" s="34" t="s">
        <v>366</v>
      </c>
      <c r="H555" s="29">
        <v>3</v>
      </c>
      <c r="I555" s="9"/>
      <c r="J555" s="9">
        <v>3</v>
      </c>
      <c r="K555" s="9">
        <v>3</v>
      </c>
      <c r="L555" s="9">
        <v>3</v>
      </c>
      <c r="M555" s="9">
        <v>3</v>
      </c>
      <c r="N555" s="185">
        <f>IF( OR( ISBLANK(H555),ISBLANK(J555), ISBLANK(K555), ISBLANK(L555), ISBLANK(M555) ), "", 1.5*SQRT(   EXP(2.21*(H555-1)) + EXP(2.21*(J555-1)) + EXP(2.21*(K555-1)) + EXP(2.21*(L555-1)) + EXP(2.21*M555)   )/100*2.45 )</f>
        <v>1.2132328390150593</v>
      </c>
      <c r="O555" s="159" t="str">
        <f>IF( OR( ISBLANK(I555),ISBLANK(J555), ISBLANK(K555), ISBLANK(L555), ISBLANK(M555) ), "", 1.5*SQRT( EXP(2.21*(I555-1)) + EXP(2.21*(J555-1)) + EXP(2.21*(K555-1)) + EXP(2.21*(L555-1)) + EXP(2.21*M555)   )/100*2.45 )</f>
        <v/>
      </c>
      <c r="P555" s="34" t="s">
        <v>370</v>
      </c>
    </row>
    <row r="556" spans="1:16">
      <c r="A556" s="34" t="s">
        <v>297</v>
      </c>
      <c r="B556" s="1201" t="s">
        <v>327</v>
      </c>
      <c r="C556" s="34" t="s">
        <v>139</v>
      </c>
      <c r="D556" s="40" t="s">
        <v>139</v>
      </c>
      <c r="E556" s="237" t="s">
        <v>150</v>
      </c>
      <c r="F556" s="168">
        <v>1</v>
      </c>
      <c r="G556" s="34"/>
      <c r="H556" s="29"/>
      <c r="I556" s="9"/>
      <c r="J556" s="9"/>
      <c r="K556" s="9"/>
      <c r="L556" s="9"/>
      <c r="M556" s="9"/>
      <c r="N556" s="185" t="str">
        <f>IF( OR( ISBLANK(H556),ISBLANK(J556), ISBLANK(K556), ISBLANK(L556), ISBLANK(M556) ), "", 1.5*SQRT(   EXP(2.21*(H556-1)) + EXP(2.21*(J556-1)) + EXP(2.21*(K556-1)) + EXP(2.21*(L556-1)) + EXP(2.21*M556)   )/100*2.45 )</f>
        <v/>
      </c>
      <c r="O556" s="159" t="str">
        <f>IF( OR( ISBLANK(I556),ISBLANK(J556), ISBLANK(K556), ISBLANK(L556), ISBLANK(M556) ), "", 1.5*SQRT( EXP(2.21*(I556-1)) + EXP(2.21*(J556-1)) + EXP(2.21*(K556-1)) + EXP(2.21*(L556-1)) + EXP(2.21*M556)   )/100*2.45 )</f>
        <v/>
      </c>
      <c r="P556" s="34"/>
    </row>
    <row r="557" spans="1:16">
      <c r="A557" s="34" t="s">
        <v>297</v>
      </c>
      <c r="B557" s="40" t="s">
        <v>232</v>
      </c>
      <c r="C557" s="34" t="s">
        <v>139</v>
      </c>
      <c r="D557" s="40" t="s">
        <v>139</v>
      </c>
      <c r="E557" s="237">
        <v>0.151</v>
      </c>
      <c r="F557" s="168">
        <v>2</v>
      </c>
      <c r="G557" s="34" t="s">
        <v>408</v>
      </c>
      <c r="H557" s="29">
        <v>3</v>
      </c>
      <c r="I557" s="9"/>
      <c r="J557" s="9">
        <v>2</v>
      </c>
      <c r="K557" s="9">
        <v>3</v>
      </c>
      <c r="L557" s="9">
        <v>3</v>
      </c>
      <c r="M557" s="9">
        <v>1</v>
      </c>
      <c r="N557" s="185">
        <f>IF( OR( ISBLANK(H557),ISBLANK(J557), ISBLANK(K557), ISBLANK(L557), ISBLANK(M557) ), "", 1.5*SQRT(   EXP(2.21*(H557-1)) + EXP(2.21*(J557-1)) + EXP(2.21*(K557-1)) + EXP(2.21*(L557-1)) + EXP(2.21*M557)   )/100*2.45 )</f>
        <v>0.60108474454521421</v>
      </c>
      <c r="O557" s="159" t="str">
        <f>IF( OR( ISBLANK(I557),ISBLANK(J557), ISBLANK(K557), ISBLANK(L557), ISBLANK(M557) ), "", 1.5*SQRT( EXP(2.21*(I557-1)) + EXP(2.21*(J557-1)) + EXP(2.21*(K557-1)) + EXP(2.21*(L557-1)) + EXP(2.21*M557)   )/100*2.45 )</f>
        <v/>
      </c>
      <c r="P557" s="34" t="s">
        <v>409</v>
      </c>
    </row>
    <row r="558" spans="1:16">
      <c r="A558" s="34" t="s">
        <v>254</v>
      </c>
      <c r="B558" s="40" t="s">
        <v>251</v>
      </c>
      <c r="C558" s="34" t="s">
        <v>139</v>
      </c>
      <c r="D558" s="40" t="s">
        <v>139</v>
      </c>
      <c r="E558" s="237">
        <v>0.3</v>
      </c>
      <c r="F558" s="168">
        <v>2</v>
      </c>
      <c r="G558" s="34" t="s">
        <v>257</v>
      </c>
      <c r="H558" s="29">
        <v>2</v>
      </c>
      <c r="I558" s="9">
        <v>2</v>
      </c>
      <c r="J558" s="9">
        <v>1</v>
      </c>
      <c r="K558" s="9">
        <v>1</v>
      </c>
      <c r="L558" s="9">
        <v>1</v>
      </c>
      <c r="M558" s="9">
        <v>3</v>
      </c>
      <c r="N558" s="185">
        <f>IF( OR( ISBLANK(H558),ISBLANK(J558), ISBLANK(K558), ISBLANK(L558), ISBLANK(M558) ), "", 1.5*SQRT(   EXP(2.21*(H558-1)) + EXP(2.21*(J558-1)) + EXP(2.21*(K558-1)) + EXP(2.21*(L558-1)) + EXP(2.21*M558)   )/100*2.45 )</f>
        <v>1.0195048044558224</v>
      </c>
      <c r="O558" s="159">
        <f>IF( OR( ISBLANK(I558),ISBLANK(J558), ISBLANK(K558), ISBLANK(L558), ISBLANK(M558) ), "", 1.5*SQRT( EXP(2.21*(I558-1)) + EXP(2.21*(J558-1)) + EXP(2.21*(K558-1)) + EXP(2.21*(L558-1)) + EXP(2.21*M558)   )/100*2.45 )</f>
        <v>1.0195048044558224</v>
      </c>
      <c r="P558" s="34"/>
    </row>
    <row r="559" spans="1:16">
      <c r="A559" s="34" t="s">
        <v>254</v>
      </c>
      <c r="B559" s="40" t="s">
        <v>258</v>
      </c>
      <c r="C559" s="34" t="s">
        <v>139</v>
      </c>
      <c r="D559" s="40" t="s">
        <v>139</v>
      </c>
      <c r="E559" s="237">
        <v>0.1</v>
      </c>
      <c r="F559" s="168">
        <v>2</v>
      </c>
      <c r="G559" s="34" t="s">
        <v>257</v>
      </c>
      <c r="H559" s="29">
        <v>2</v>
      </c>
      <c r="I559" s="9">
        <v>2</v>
      </c>
      <c r="J559" s="9">
        <v>1</v>
      </c>
      <c r="K559" s="9">
        <v>1</v>
      </c>
      <c r="L559" s="9">
        <v>1</v>
      </c>
      <c r="M559" s="9">
        <v>3</v>
      </c>
      <c r="N559" s="185">
        <f>IF( OR( ISBLANK(H559),ISBLANK(J559), ISBLANK(K559), ISBLANK(L559), ISBLANK(M559) ), "", 1.5*SQRT(   EXP(2.21*(H559-1)) + EXP(2.21*(J559-1)) + EXP(2.21*(K559-1)) + EXP(2.21*(L559-1)) + EXP(2.21*M559)   )/100*2.45 )</f>
        <v>1.0195048044558224</v>
      </c>
      <c r="O559" s="159">
        <f>IF( OR( ISBLANK(I559),ISBLANK(J559), ISBLANK(K559), ISBLANK(L559), ISBLANK(M559) ), "", 1.5*SQRT( EXP(2.21*(I559-1)) + EXP(2.21*(J559-1)) + EXP(2.21*(K559-1)) + EXP(2.21*(L559-1)) + EXP(2.21*M559)   )/100*2.45 )</f>
        <v>1.0195048044558224</v>
      </c>
      <c r="P559" s="34"/>
    </row>
    <row r="560" spans="1:16">
      <c r="A560" s="34" t="s">
        <v>254</v>
      </c>
      <c r="B560" s="40" t="s">
        <v>215</v>
      </c>
      <c r="C560" s="34" t="s">
        <v>139</v>
      </c>
      <c r="D560" s="40" t="s">
        <v>139</v>
      </c>
      <c r="E560" s="237">
        <v>0.6</v>
      </c>
      <c r="F560" s="168">
        <v>2</v>
      </c>
      <c r="G560" s="34" t="s">
        <v>257</v>
      </c>
      <c r="H560" s="29">
        <v>2</v>
      </c>
      <c r="I560" s="9">
        <v>2</v>
      </c>
      <c r="J560" s="9">
        <v>1</v>
      </c>
      <c r="K560" s="9">
        <v>1</v>
      </c>
      <c r="L560" s="9">
        <v>1</v>
      </c>
      <c r="M560" s="9">
        <v>3</v>
      </c>
      <c r="N560" s="185">
        <f>IF( OR( ISBLANK(H560),ISBLANK(J560), ISBLANK(K560), ISBLANK(L560), ISBLANK(M560) ), "", 1.5*SQRT(   EXP(2.21*(H560-1)) + EXP(2.21*(J560-1)) + EXP(2.21*(K560-1)) + EXP(2.21*(L560-1)) + EXP(2.21*M560)   )/100*2.45 )</f>
        <v>1.0195048044558224</v>
      </c>
      <c r="O560" s="159">
        <f>IF( OR( ISBLANK(I560),ISBLANK(J560), ISBLANK(K560), ISBLANK(L560), ISBLANK(M560) ), "", 1.5*SQRT( EXP(2.21*(I560-1)) + EXP(2.21*(J560-1)) + EXP(2.21*(K560-1)) + EXP(2.21*(L560-1)) + EXP(2.21*M560)   )/100*2.45 )</f>
        <v>1.0195048044558224</v>
      </c>
      <c r="P560" s="34"/>
    </row>
    <row r="561" spans="1:16">
      <c r="A561" s="34" t="s">
        <v>302</v>
      </c>
      <c r="B561" s="40" t="s">
        <v>304</v>
      </c>
      <c r="C561" s="37" t="s">
        <v>139</v>
      </c>
      <c r="D561" s="512" t="s">
        <v>139</v>
      </c>
      <c r="E561" s="37" t="s">
        <v>150</v>
      </c>
      <c r="F561" s="512">
        <v>1</v>
      </c>
      <c r="G561" s="34"/>
      <c r="H561" s="29"/>
      <c r="I561" s="9"/>
      <c r="J561" s="9"/>
      <c r="K561" s="9"/>
      <c r="L561" s="9"/>
      <c r="M561" s="9"/>
      <c r="N561" s="185" t="str">
        <f>IF( OR( ISBLANK(H561),ISBLANK(J561), ISBLANK(K561), ISBLANK(L561), ISBLANK(M561) ), "", 1.5*SQRT(   EXP(2.21*(H561-1)) + EXP(2.21*(J561-1)) + EXP(2.21*(K561-1)) + EXP(2.21*(L561-1)) + EXP(2.21*M561)   )/100*2.45 )</f>
        <v/>
      </c>
      <c r="O561" s="159" t="str">
        <f>IF( OR( ISBLANK(I561),ISBLANK(J561), ISBLANK(K561), ISBLANK(L561), ISBLANK(M561) ), "", 1.5*SQRT( EXP(2.21*(I561-1)) + EXP(2.21*(J561-1)) + EXP(2.21*(K561-1)) + EXP(2.21*(L561-1)) + EXP(2.21*M561)   )/100*2.45 )</f>
        <v/>
      </c>
      <c r="P561" s="34"/>
    </row>
    <row r="562" spans="1:16">
      <c r="A562" s="34" t="s">
        <v>302</v>
      </c>
      <c r="B562" s="40" t="s">
        <v>305</v>
      </c>
      <c r="C562" s="37" t="s">
        <v>139</v>
      </c>
      <c r="D562" s="512" t="s">
        <v>139</v>
      </c>
      <c r="E562" s="1196">
        <v>0.11</v>
      </c>
      <c r="F562" s="512">
        <v>2</v>
      </c>
      <c r="G562" s="34" t="s">
        <v>306</v>
      </c>
      <c r="H562" s="29">
        <v>2</v>
      </c>
      <c r="I562" s="9">
        <v>2</v>
      </c>
      <c r="J562" s="9">
        <v>1</v>
      </c>
      <c r="K562" s="9">
        <v>1</v>
      </c>
      <c r="L562" s="9">
        <v>1</v>
      </c>
      <c r="M562" s="9">
        <v>1</v>
      </c>
      <c r="N562" s="185">
        <f>IF( OR( ISBLANK(H562),ISBLANK(J562), ISBLANK(K562), ISBLANK(L562), ISBLANK(M562) ), "", 1.5*SQRT(   EXP(2.21*(H562-1)) + EXP(2.21*(J562-1)) + EXP(2.21*(K562-1)) + EXP(2.21*(L562-1)) + EXP(2.21*M562)   )/100*2.45 )</f>
        <v>0.16933510251023262</v>
      </c>
      <c r="O562" s="159">
        <f>IF( OR( ISBLANK(I562),ISBLANK(J562), ISBLANK(K562), ISBLANK(L562), ISBLANK(M562) ), "", 1.5*SQRT( EXP(2.21*(I562-1)) + EXP(2.21*(J562-1)) + EXP(2.21*(K562-1)) + EXP(2.21*(L562-1)) + EXP(2.21*M562)   )/100*2.45 )</f>
        <v>0.16933510251023262</v>
      </c>
      <c r="P562" s="34"/>
    </row>
    <row r="563" spans="1:16">
      <c r="A563" s="34" t="s">
        <v>304</v>
      </c>
      <c r="B563" s="40" t="s">
        <v>327</v>
      </c>
      <c r="C563" s="37" t="s">
        <v>139</v>
      </c>
      <c r="D563" s="512" t="s">
        <v>139</v>
      </c>
      <c r="E563" s="37">
        <v>1</v>
      </c>
      <c r="F563" s="512">
        <v>1</v>
      </c>
      <c r="G563" s="37"/>
      <c r="H563" s="29"/>
      <c r="I563" s="9"/>
      <c r="J563" s="9"/>
      <c r="K563" s="9"/>
      <c r="L563" s="9"/>
      <c r="M563" s="9"/>
      <c r="N563" s="185" t="str">
        <f>IF( OR( ISBLANK(H563),ISBLANK(J563), ISBLANK(K563), ISBLANK(L563), ISBLANK(M563) ), "", 1.5*SQRT(   EXP(2.21*(H563-1)) + EXP(2.21*(J563-1)) + EXP(2.21*(K563-1)) + EXP(2.21*(L563-1)) + EXP(2.21*M563)   )/100*2.45 )</f>
        <v/>
      </c>
      <c r="O563" s="159" t="str">
        <f>IF( OR( ISBLANK(I563),ISBLANK(J563), ISBLANK(K563), ISBLANK(L563), ISBLANK(M563) ), "", 1.5*SQRT( EXP(2.21*(I563-1)) + EXP(2.21*(J563-1)) + EXP(2.21*(K563-1)) + EXP(2.21*(L563-1)) + EXP(2.21*M563)   )/100*2.45 )</f>
        <v/>
      </c>
      <c r="P563" s="34"/>
    </row>
    <row r="564" spans="1:16">
      <c r="A564" s="34" t="s">
        <v>305</v>
      </c>
      <c r="B564" s="40" t="s">
        <v>327</v>
      </c>
      <c r="C564" s="37" t="s">
        <v>139</v>
      </c>
      <c r="D564" s="512" t="s">
        <v>139</v>
      </c>
      <c r="E564" s="1196">
        <v>0.4</v>
      </c>
      <c r="F564" s="512">
        <v>1</v>
      </c>
      <c r="G564" s="34" t="s">
        <v>346</v>
      </c>
      <c r="H564" s="29">
        <v>2</v>
      </c>
      <c r="I564" s="9">
        <v>2</v>
      </c>
      <c r="J564" s="9">
        <v>1</v>
      </c>
      <c r="K564" s="9">
        <v>1</v>
      </c>
      <c r="L564" s="9">
        <v>1</v>
      </c>
      <c r="M564" s="9">
        <v>1</v>
      </c>
      <c r="N564" s="185">
        <f>IF( OR( ISBLANK(H564),ISBLANK(J564), ISBLANK(K564), ISBLANK(L564), ISBLANK(M564) ), "", 1.5*SQRT(   EXP(2.21*(H564-1)) + EXP(2.21*(J564-1)) + EXP(2.21*(K564-1)) + EXP(2.21*(L564-1)) + EXP(2.21*M564)   )/100*2.45 )</f>
        <v>0.16933510251023262</v>
      </c>
      <c r="O564" s="159">
        <f>IF( OR( ISBLANK(I564),ISBLANK(J564), ISBLANK(K564), ISBLANK(L564), ISBLANK(M564) ), "", 1.5*SQRT( EXP(2.21*(I564-1)) + EXP(2.21*(J564-1)) + EXP(2.21*(K564-1)) + EXP(2.21*(L564-1)) + EXP(2.21*M564)   )/100*2.45 )</f>
        <v>0.16933510251023262</v>
      </c>
      <c r="P564" s="34"/>
    </row>
    <row r="565" spans="1:16">
      <c r="A565" s="34" t="s">
        <v>305</v>
      </c>
      <c r="B565" s="40" t="s">
        <v>251</v>
      </c>
      <c r="C565" s="37" t="s">
        <v>139</v>
      </c>
      <c r="D565" s="512" t="s">
        <v>139</v>
      </c>
      <c r="E565" s="1196">
        <v>0.52</v>
      </c>
      <c r="F565" s="512">
        <v>1</v>
      </c>
      <c r="G565" s="34" t="s">
        <v>346</v>
      </c>
      <c r="H565" s="29">
        <v>2</v>
      </c>
      <c r="I565" s="9">
        <v>2</v>
      </c>
      <c r="J565" s="9">
        <v>1</v>
      </c>
      <c r="K565" s="9">
        <v>1</v>
      </c>
      <c r="L565" s="9">
        <v>1</v>
      </c>
      <c r="M565" s="9">
        <v>1</v>
      </c>
      <c r="N565" s="185">
        <f>IF( OR( ISBLANK(H565),ISBLANK(J565), ISBLANK(K565), ISBLANK(L565), ISBLANK(M565) ), "", 1.5*SQRT(   EXP(2.21*(H565-1)) + EXP(2.21*(J565-1)) + EXP(2.21*(K565-1)) + EXP(2.21*(L565-1)) + EXP(2.21*M565)   )/100*2.45 )</f>
        <v>0.16933510251023262</v>
      </c>
      <c r="O565" s="159">
        <f>IF( OR( ISBLANK(I565),ISBLANK(J565), ISBLANK(K565), ISBLANK(L565), ISBLANK(M565) ), "", 1.5*SQRT( EXP(2.21*(I565-1)) + EXP(2.21*(J565-1)) + EXP(2.21*(K565-1)) + EXP(2.21*(L565-1)) + EXP(2.21*M565)   )/100*2.45 )</f>
        <v>0.16933510251023262</v>
      </c>
      <c r="P565" s="34"/>
    </row>
    <row r="566" spans="1:16">
      <c r="A566" s="34" t="s">
        <v>305</v>
      </c>
      <c r="B566" s="40" t="s">
        <v>232</v>
      </c>
      <c r="C566" s="37" t="s">
        <v>139</v>
      </c>
      <c r="D566" s="512" t="s">
        <v>139</v>
      </c>
      <c r="E566" s="1196">
        <v>0.08</v>
      </c>
      <c r="F566" s="512">
        <v>1</v>
      </c>
      <c r="G566" s="34" t="s">
        <v>346</v>
      </c>
      <c r="H566" s="29">
        <v>2</v>
      </c>
      <c r="I566" s="9">
        <v>2</v>
      </c>
      <c r="J566" s="9">
        <v>1</v>
      </c>
      <c r="K566" s="9">
        <v>1</v>
      </c>
      <c r="L566" s="9">
        <v>1</v>
      </c>
      <c r="M566" s="9">
        <v>1</v>
      </c>
      <c r="N566" s="185">
        <f>IF( OR( ISBLANK(H566),ISBLANK(J566), ISBLANK(K566), ISBLANK(L566), ISBLANK(M566) ), "", 1.5*SQRT(   EXP(2.21*(H566-1)) + EXP(2.21*(J566-1)) + EXP(2.21*(K566-1)) + EXP(2.21*(L566-1)) + EXP(2.21*M566)   )/100*2.45 )</f>
        <v>0.16933510251023262</v>
      </c>
      <c r="O566" s="159">
        <f>IF( OR( ISBLANK(I566),ISBLANK(J566), ISBLANK(K566), ISBLANK(L566), ISBLANK(M566) ), "", 1.5*SQRT( EXP(2.21*(I566-1)) + EXP(2.21*(J566-1)) + EXP(2.21*(K566-1)) + EXP(2.21*(L566-1)) + EXP(2.21*M566)   )/100*2.45 )</f>
        <v>0.16933510251023262</v>
      </c>
      <c r="P566" s="34"/>
    </row>
    <row r="567" spans="1:16">
      <c r="A567" s="34" t="s">
        <v>37</v>
      </c>
      <c r="B567" s="40" t="s">
        <v>156</v>
      </c>
      <c r="C567" s="34" t="s">
        <v>139</v>
      </c>
      <c r="D567" s="40" t="s">
        <v>85</v>
      </c>
      <c r="E567" s="237">
        <f>Intentionally_produced_MPs!F127</f>
        <v>0.88888888888888895</v>
      </c>
      <c r="F567" s="168">
        <v>1</v>
      </c>
      <c r="G567" s="34"/>
      <c r="H567" s="29">
        <v>3</v>
      </c>
      <c r="I567" s="9">
        <v>2</v>
      </c>
      <c r="J567" s="9">
        <v>3</v>
      </c>
      <c r="K567" s="9">
        <v>3</v>
      </c>
      <c r="L567" s="9">
        <v>3</v>
      </c>
      <c r="M567" s="9">
        <v>3</v>
      </c>
      <c r="N567" s="185">
        <f>IF( OR( ISBLANK(H567),ISBLANK(J567), ISBLANK(K567), ISBLANK(L567), ISBLANK(M567) ), "", 1.5*SQRT(   EXP(2.21*(H567-1)) + EXP(2.21*(J567-1)) + EXP(2.21*(K567-1)) + EXP(2.21*(L567-1)) + EXP(2.21*M567)   )/100*2.45 )</f>
        <v>1.2132328390150593</v>
      </c>
      <c r="O567" s="159">
        <f>IF( OR( ISBLANK(I567),ISBLANK(J567), ISBLANK(K567), ISBLANK(L567), ISBLANK(M567) ), "", 1.5*SQRT( EXP(2.21*(I567-1)) + EXP(2.21*(J567-1)) + EXP(2.21*(K567-1)) + EXP(2.21*(L567-1)) + EXP(2.21*M567)   )/100*2.45 )</f>
        <v>1.1713319510247036</v>
      </c>
      <c r="P567" s="34"/>
    </row>
    <row r="568" spans="1:16">
      <c r="A568" s="34" t="s">
        <v>37</v>
      </c>
      <c r="B568" s="40" t="s">
        <v>156</v>
      </c>
      <c r="C568" s="34" t="s">
        <v>139</v>
      </c>
      <c r="D568" s="40" t="s">
        <v>86</v>
      </c>
      <c r="E568" s="237">
        <f>Intentionally_produced_MPs!F128</f>
        <v>0.14218906731735478</v>
      </c>
      <c r="F568" s="168">
        <v>1</v>
      </c>
      <c r="G568" s="34"/>
      <c r="H568" s="29">
        <v>3</v>
      </c>
      <c r="I568" s="9">
        <v>2</v>
      </c>
      <c r="J568" s="9">
        <v>3</v>
      </c>
      <c r="K568" s="9">
        <v>3</v>
      </c>
      <c r="L568" s="9">
        <v>3</v>
      </c>
      <c r="M568" s="9">
        <v>3</v>
      </c>
      <c r="N568" s="185">
        <f>IF( OR( ISBLANK(H568),ISBLANK(J568), ISBLANK(K568), ISBLANK(L568), ISBLANK(M568) ), "", 1.5*SQRT(   EXP(2.21*(H568-1)) + EXP(2.21*(J568-1)) + EXP(2.21*(K568-1)) + EXP(2.21*(L568-1)) + EXP(2.21*M568)   )/100*2.45 )</f>
        <v>1.2132328390150593</v>
      </c>
      <c r="O568" s="159">
        <f>IF( OR( ISBLANK(I568),ISBLANK(J568), ISBLANK(K568), ISBLANK(L568), ISBLANK(M568) ), "", 1.5*SQRT( EXP(2.21*(I568-1)) + EXP(2.21*(J568-1)) + EXP(2.21*(K568-1)) + EXP(2.21*(L568-1)) + EXP(2.21*M568)   )/100*2.45 )</f>
        <v>1.1713319510247036</v>
      </c>
      <c r="P568" s="34"/>
    </row>
    <row r="569" spans="1:16">
      <c r="A569" s="34" t="s">
        <v>37</v>
      </c>
      <c r="B569" s="40" t="s">
        <v>156</v>
      </c>
      <c r="C569" s="34" t="s">
        <v>139</v>
      </c>
      <c r="D569" s="40" t="s">
        <v>87</v>
      </c>
      <c r="E569" s="237">
        <f>Intentionally_produced_MPs!F129</f>
        <v>1</v>
      </c>
      <c r="F569" s="168">
        <v>1</v>
      </c>
      <c r="G569" s="34"/>
      <c r="H569" s="29">
        <v>3</v>
      </c>
      <c r="I569" s="9">
        <v>2</v>
      </c>
      <c r="J569" s="9">
        <v>3</v>
      </c>
      <c r="K569" s="9">
        <v>3</v>
      </c>
      <c r="L569" s="9">
        <v>3</v>
      </c>
      <c r="M569" s="9">
        <v>3</v>
      </c>
      <c r="N569" s="185">
        <f>IF( OR( ISBLANK(H569),ISBLANK(J569), ISBLANK(K569), ISBLANK(L569), ISBLANK(M569) ), "", 1.5*SQRT(   EXP(2.21*(H569-1)) + EXP(2.21*(J569-1)) + EXP(2.21*(K569-1)) + EXP(2.21*(L569-1)) + EXP(2.21*M569)   )/100*2.45 )</f>
        <v>1.2132328390150593</v>
      </c>
      <c r="O569" s="159">
        <f>IF( OR( ISBLANK(I569),ISBLANK(J569), ISBLANK(K569), ISBLANK(L569), ISBLANK(M569) ), "", 1.5*SQRT( EXP(2.21*(I569-1)) + EXP(2.21*(J569-1)) + EXP(2.21*(K569-1)) + EXP(2.21*(L569-1)) + EXP(2.21*M569)   )/100*2.45 )</f>
        <v>1.1713319510247036</v>
      </c>
      <c r="P569" s="34"/>
    </row>
    <row r="570" spans="1:16">
      <c r="A570" s="34" t="s">
        <v>37</v>
      </c>
      <c r="B570" s="40" t="s">
        <v>156</v>
      </c>
      <c r="C570" s="34" t="s">
        <v>139</v>
      </c>
      <c r="D570" s="40" t="s">
        <v>88</v>
      </c>
      <c r="E570" s="237">
        <f>Intentionally_produced_MPs!F130</f>
        <v>0</v>
      </c>
      <c r="F570" s="168">
        <v>1</v>
      </c>
      <c r="G570" s="34"/>
      <c r="H570" s="29"/>
      <c r="I570" s="9"/>
      <c r="J570" s="9"/>
      <c r="K570" s="9"/>
      <c r="L570" s="9"/>
      <c r="M570" s="9"/>
      <c r="N570" s="185" t="str">
        <f>IF( OR( ISBLANK(H570),ISBLANK(J570), ISBLANK(K570), ISBLANK(L570), ISBLANK(M570) ), "", 1.5*SQRT(   EXP(2.21*(H570-1)) + EXP(2.21*(J570-1)) + EXP(2.21*(K570-1)) + EXP(2.21*(L570-1)) + EXP(2.21*M570)   )/100*2.45 )</f>
        <v/>
      </c>
      <c r="O570" s="159" t="str">
        <f>IF( OR( ISBLANK(I570),ISBLANK(J570), ISBLANK(K570), ISBLANK(L570), ISBLANK(M570) ), "", 1.5*SQRT( EXP(2.21*(I570-1)) + EXP(2.21*(J570-1)) + EXP(2.21*(K570-1)) + EXP(2.21*(L570-1)) + EXP(2.21*M570)   )/100*2.45 )</f>
        <v/>
      </c>
      <c r="P570" s="34"/>
    </row>
    <row r="571" spans="1:16">
      <c r="A571" s="34" t="s">
        <v>37</v>
      </c>
      <c r="B571" s="40" t="s">
        <v>156</v>
      </c>
      <c r="C571" s="34" t="s">
        <v>139</v>
      </c>
      <c r="D571" s="40" t="s">
        <v>89</v>
      </c>
      <c r="E571" s="237">
        <f>Intentionally_produced_MPs!F131</f>
        <v>0</v>
      </c>
      <c r="F571" s="168">
        <v>1</v>
      </c>
      <c r="G571" s="34"/>
      <c r="H571" s="29"/>
      <c r="I571" s="9"/>
      <c r="J571" s="9"/>
      <c r="K571" s="9"/>
      <c r="L571" s="9"/>
      <c r="M571" s="9"/>
      <c r="N571" s="185" t="str">
        <f>IF( OR( ISBLANK(H571),ISBLANK(J571), ISBLANK(K571), ISBLANK(L571), ISBLANK(M571) ), "", 1.5*SQRT(   EXP(2.21*(H571-1)) + EXP(2.21*(J571-1)) + EXP(2.21*(K571-1)) + EXP(2.21*(L571-1)) + EXP(2.21*M571)   )/100*2.45 )</f>
        <v/>
      </c>
      <c r="O571" s="159" t="str">
        <f>IF( OR( ISBLANK(I571),ISBLANK(J571), ISBLANK(K571), ISBLANK(L571), ISBLANK(M571) ), "", 1.5*SQRT( EXP(2.21*(I571-1)) + EXP(2.21*(J571-1)) + EXP(2.21*(K571-1)) + EXP(2.21*(L571-1)) + EXP(2.21*M571)   )/100*2.45 )</f>
        <v/>
      </c>
      <c r="P571" s="34"/>
    </row>
    <row r="572" spans="1:16">
      <c r="A572" s="34" t="s">
        <v>37</v>
      </c>
      <c r="B572" s="40" t="s">
        <v>156</v>
      </c>
      <c r="C572" s="34" t="s">
        <v>139</v>
      </c>
      <c r="D572" s="40" t="s">
        <v>90</v>
      </c>
      <c r="E572" s="237">
        <f>Intentionally_produced_MPs!F132</f>
        <v>0.88888888888888895</v>
      </c>
      <c r="F572" s="168">
        <v>1</v>
      </c>
      <c r="G572" s="34"/>
      <c r="H572" s="29">
        <v>3</v>
      </c>
      <c r="I572" s="9">
        <v>2</v>
      </c>
      <c r="J572" s="9">
        <v>3</v>
      </c>
      <c r="K572" s="9">
        <v>3</v>
      </c>
      <c r="L572" s="9">
        <v>3</v>
      </c>
      <c r="M572" s="9">
        <v>3</v>
      </c>
      <c r="N572" s="185">
        <f>IF( OR( ISBLANK(H572),ISBLANK(J572), ISBLANK(K572), ISBLANK(L572), ISBLANK(M572) ), "", 1.5*SQRT(   EXP(2.21*(H572-1)) + EXP(2.21*(J572-1)) + EXP(2.21*(K572-1)) + EXP(2.21*(L572-1)) + EXP(2.21*M572)   )/100*2.45 )</f>
        <v>1.2132328390150593</v>
      </c>
      <c r="O572" s="159">
        <f>IF( OR( ISBLANK(I572),ISBLANK(J572), ISBLANK(K572), ISBLANK(L572), ISBLANK(M572) ), "", 1.5*SQRT( EXP(2.21*(I572-1)) + EXP(2.21*(J572-1)) + EXP(2.21*(K572-1)) + EXP(2.21*(L572-1)) + EXP(2.21*M572)   )/100*2.45 )</f>
        <v>1.1713319510247036</v>
      </c>
      <c r="P572" s="34"/>
    </row>
    <row r="573" spans="1:16">
      <c r="A573" s="34" t="s">
        <v>37</v>
      </c>
      <c r="B573" s="40" t="s">
        <v>156</v>
      </c>
      <c r="C573" s="34" t="s">
        <v>139</v>
      </c>
      <c r="D573" s="40" t="s">
        <v>91</v>
      </c>
      <c r="E573" s="237">
        <f>Intentionally_produced_MPs!F133</f>
        <v>0</v>
      </c>
      <c r="F573" s="168">
        <v>1</v>
      </c>
      <c r="G573" s="34"/>
      <c r="H573" s="29"/>
      <c r="I573" s="9"/>
      <c r="J573" s="9"/>
      <c r="K573" s="9"/>
      <c r="L573" s="9"/>
      <c r="M573" s="9"/>
      <c r="N573" s="185" t="str">
        <f>IF( OR( ISBLANK(H573),ISBLANK(J573), ISBLANK(K573), ISBLANK(L573), ISBLANK(M573) ), "", 1.5*SQRT(   EXP(2.21*(H573-1)) + EXP(2.21*(J573-1)) + EXP(2.21*(K573-1)) + EXP(2.21*(L573-1)) + EXP(2.21*M573)   )/100*2.45 )</f>
        <v/>
      </c>
      <c r="O573" s="159" t="str">
        <f>IF( OR( ISBLANK(I573),ISBLANK(J573), ISBLANK(K573), ISBLANK(L573), ISBLANK(M573) ), "", 1.5*SQRT( EXP(2.21*(I573-1)) + EXP(2.21*(J573-1)) + EXP(2.21*(K573-1)) + EXP(2.21*(L573-1)) + EXP(2.21*M573)   )/100*2.45 )</f>
        <v/>
      </c>
      <c r="P573" s="34"/>
    </row>
    <row r="574" spans="1:16">
      <c r="A574" s="34" t="s">
        <v>37</v>
      </c>
      <c r="B574" s="40" t="s">
        <v>156</v>
      </c>
      <c r="C574" s="34" t="s">
        <v>139</v>
      </c>
      <c r="D574" s="40" t="s">
        <v>92</v>
      </c>
      <c r="E574" s="237">
        <f>Intentionally_produced_MPs!F134</f>
        <v>0</v>
      </c>
      <c r="F574" s="168">
        <v>1</v>
      </c>
      <c r="G574" s="34"/>
      <c r="H574" s="29"/>
      <c r="I574" s="9"/>
      <c r="J574" s="9"/>
      <c r="K574" s="9"/>
      <c r="L574" s="9"/>
      <c r="M574" s="9"/>
      <c r="N574" s="185" t="str">
        <f>IF( OR( ISBLANK(H574),ISBLANK(J574), ISBLANK(K574), ISBLANK(L574), ISBLANK(M574) ), "", 1.5*SQRT(   EXP(2.21*(H574-1)) + EXP(2.21*(J574-1)) + EXP(2.21*(K574-1)) + EXP(2.21*(L574-1)) + EXP(2.21*M574)   )/100*2.45 )</f>
        <v/>
      </c>
      <c r="O574" s="159" t="str">
        <f>IF( OR( ISBLANK(I574),ISBLANK(J574), ISBLANK(K574), ISBLANK(L574), ISBLANK(M574) ), "", 1.5*SQRT( EXP(2.21*(I574-1)) + EXP(2.21*(J574-1)) + EXP(2.21*(K574-1)) + EXP(2.21*(L574-1)) + EXP(2.21*M574)   )/100*2.45 )</f>
        <v/>
      </c>
      <c r="P574" s="34"/>
    </row>
    <row r="575" spans="1:16">
      <c r="A575" s="34" t="s">
        <v>37</v>
      </c>
      <c r="B575" s="40" t="s">
        <v>156</v>
      </c>
      <c r="C575" s="34" t="s">
        <v>139</v>
      </c>
      <c r="D575" s="40" t="s">
        <v>93</v>
      </c>
      <c r="E575" s="237">
        <f>Intentionally_produced_MPs!F135</f>
        <v>7.5795900719019996E-2</v>
      </c>
      <c r="F575" s="168">
        <v>1</v>
      </c>
      <c r="G575" s="34"/>
      <c r="H575" s="29">
        <v>3</v>
      </c>
      <c r="I575" s="9">
        <v>2</v>
      </c>
      <c r="J575" s="9">
        <v>3</v>
      </c>
      <c r="K575" s="9">
        <v>3</v>
      </c>
      <c r="L575" s="9">
        <v>3</v>
      </c>
      <c r="M575" s="9">
        <v>3</v>
      </c>
      <c r="N575" s="185">
        <f>IF( OR( ISBLANK(H575),ISBLANK(J575), ISBLANK(K575), ISBLANK(L575), ISBLANK(M575) ), "", 1.5*SQRT(   EXP(2.21*(H575-1)) + EXP(2.21*(J575-1)) + EXP(2.21*(K575-1)) + EXP(2.21*(L575-1)) + EXP(2.21*M575)   )/100*2.45 )</f>
        <v>1.2132328390150593</v>
      </c>
      <c r="O575" s="159">
        <f>IF( OR( ISBLANK(I575),ISBLANK(J575), ISBLANK(K575), ISBLANK(L575), ISBLANK(M575) ), "", 1.5*SQRT( EXP(2.21*(I575-1)) + EXP(2.21*(J575-1)) + EXP(2.21*(K575-1)) + EXP(2.21*(L575-1)) + EXP(2.21*M575)   )/100*2.45 )</f>
        <v>1.1713319510247036</v>
      </c>
      <c r="P575" s="34"/>
    </row>
    <row r="576" spans="1:16">
      <c r="A576" s="34" t="s">
        <v>37</v>
      </c>
      <c r="B576" s="40" t="s">
        <v>156</v>
      </c>
      <c r="C576" s="34" t="s">
        <v>139</v>
      </c>
      <c r="D576" s="40" t="s">
        <v>94</v>
      </c>
      <c r="E576" s="237">
        <f>Intentionally_produced_MPs!F136</f>
        <v>0</v>
      </c>
      <c r="F576" s="168">
        <v>1</v>
      </c>
      <c r="G576" s="34"/>
      <c r="H576" s="29"/>
      <c r="I576" s="9"/>
      <c r="J576" s="9"/>
      <c r="K576" s="9"/>
      <c r="L576" s="9"/>
      <c r="M576" s="9"/>
      <c r="N576" s="185" t="str">
        <f>IF( OR( ISBLANK(H576),ISBLANK(J576), ISBLANK(K576), ISBLANK(L576), ISBLANK(M576) ), "", 1.5*SQRT(   EXP(2.21*(H576-1)) + EXP(2.21*(J576-1)) + EXP(2.21*(K576-1)) + EXP(2.21*(L576-1)) + EXP(2.21*M576)   )/100*2.45 )</f>
        <v/>
      </c>
      <c r="O576" s="159" t="str">
        <f>IF( OR( ISBLANK(I576),ISBLANK(J576), ISBLANK(K576), ISBLANK(L576), ISBLANK(M576) ), "", 1.5*SQRT( EXP(2.21*(I576-1)) + EXP(2.21*(J576-1)) + EXP(2.21*(K576-1)) + EXP(2.21*(L576-1)) + EXP(2.21*M576)   )/100*2.45 )</f>
        <v/>
      </c>
      <c r="P576" s="34"/>
    </row>
    <row r="577" spans="1:16">
      <c r="A577" s="34" t="s">
        <v>37</v>
      </c>
      <c r="B577" s="40" t="s">
        <v>156</v>
      </c>
      <c r="C577" s="34" t="s">
        <v>139</v>
      </c>
      <c r="D577" s="40" t="s">
        <v>95</v>
      </c>
      <c r="E577" s="237">
        <f>Intentionally_produced_MPs!F137</f>
        <v>0.70934316508109096</v>
      </c>
      <c r="F577" s="168">
        <v>1</v>
      </c>
      <c r="G577" s="34"/>
      <c r="H577" s="29">
        <v>3</v>
      </c>
      <c r="I577" s="9">
        <v>2</v>
      </c>
      <c r="J577" s="9">
        <v>3</v>
      </c>
      <c r="K577" s="9">
        <v>3</v>
      </c>
      <c r="L577" s="9">
        <v>3</v>
      </c>
      <c r="M577" s="9">
        <v>3</v>
      </c>
      <c r="N577" s="185">
        <f>IF( OR( ISBLANK(H577),ISBLANK(J577), ISBLANK(K577), ISBLANK(L577), ISBLANK(M577) ), "", 1.5*SQRT(   EXP(2.21*(H577-1)) + EXP(2.21*(J577-1)) + EXP(2.21*(K577-1)) + EXP(2.21*(L577-1)) + EXP(2.21*M577)   )/100*2.45 )</f>
        <v>1.2132328390150593</v>
      </c>
      <c r="O577" s="159">
        <f>IF( OR( ISBLANK(I577),ISBLANK(J577), ISBLANK(K577), ISBLANK(L577), ISBLANK(M577) ), "", 1.5*SQRT( EXP(2.21*(I577-1)) + EXP(2.21*(J577-1)) + EXP(2.21*(K577-1)) + EXP(2.21*(L577-1)) + EXP(2.21*M577)   )/100*2.45 )</f>
        <v>1.1713319510247036</v>
      </c>
      <c r="P577" s="34"/>
    </row>
    <row r="578" spans="1:16">
      <c r="A578" s="34" t="s">
        <v>37</v>
      </c>
      <c r="B578" s="40" t="s">
        <v>156</v>
      </c>
      <c r="C578" s="34" t="s">
        <v>139</v>
      </c>
      <c r="D578" s="40" t="s">
        <v>96</v>
      </c>
      <c r="E578" s="237">
        <f>Intentionally_produced_MPs!F138</f>
        <v>0</v>
      </c>
      <c r="F578" s="168">
        <v>1</v>
      </c>
      <c r="G578" s="34"/>
      <c r="H578" s="29"/>
      <c r="I578" s="9"/>
      <c r="J578" s="9"/>
      <c r="K578" s="9"/>
      <c r="L578" s="9"/>
      <c r="M578" s="9"/>
      <c r="N578" s="185" t="str">
        <f>IF( OR( ISBLANK(H578),ISBLANK(J578), ISBLANK(K578), ISBLANK(L578), ISBLANK(M578) ), "", 1.5*SQRT(   EXP(2.21*(H578-1)) + EXP(2.21*(J578-1)) + EXP(2.21*(K578-1)) + EXP(2.21*(L578-1)) + EXP(2.21*M578)   )/100*2.45 )</f>
        <v/>
      </c>
      <c r="O578" s="159" t="str">
        <f>IF( OR( ISBLANK(I578),ISBLANK(J578), ISBLANK(K578), ISBLANK(L578), ISBLANK(M578) ), "", 1.5*SQRT( EXP(2.21*(I578-1)) + EXP(2.21*(J578-1)) + EXP(2.21*(K578-1)) + EXP(2.21*(L578-1)) + EXP(2.21*M578)   )/100*2.45 )</f>
        <v/>
      </c>
      <c r="P578" s="34"/>
    </row>
    <row r="579" spans="1:16">
      <c r="A579" s="34" t="s">
        <v>37</v>
      </c>
      <c r="B579" s="40" t="s">
        <v>156</v>
      </c>
      <c r="C579" s="34" t="s">
        <v>139</v>
      </c>
      <c r="D579" s="40" t="s">
        <v>97</v>
      </c>
      <c r="E579" s="237">
        <f>Intentionally_produced_MPs!F139</f>
        <v>0.71338128368314402</v>
      </c>
      <c r="F579" s="168">
        <v>1</v>
      </c>
      <c r="G579" s="34"/>
      <c r="H579" s="29">
        <v>3</v>
      </c>
      <c r="I579" s="9">
        <v>2</v>
      </c>
      <c r="J579" s="9">
        <v>3</v>
      </c>
      <c r="K579" s="9">
        <v>3</v>
      </c>
      <c r="L579" s="9">
        <v>3</v>
      </c>
      <c r="M579" s="9">
        <v>3</v>
      </c>
      <c r="N579" s="185">
        <f>IF( OR( ISBLANK(H579),ISBLANK(J579), ISBLANK(K579), ISBLANK(L579), ISBLANK(M579) ), "", 1.5*SQRT(   EXP(2.21*(H579-1)) + EXP(2.21*(J579-1)) + EXP(2.21*(K579-1)) + EXP(2.21*(L579-1)) + EXP(2.21*M579)   )/100*2.45 )</f>
        <v>1.2132328390150593</v>
      </c>
      <c r="O579" s="159">
        <f>IF( OR( ISBLANK(I579),ISBLANK(J579), ISBLANK(K579), ISBLANK(L579), ISBLANK(M579) ), "", 1.5*SQRT( EXP(2.21*(I579-1)) + EXP(2.21*(J579-1)) + EXP(2.21*(K579-1)) + EXP(2.21*(L579-1)) + EXP(2.21*M579)   )/100*2.45 )</f>
        <v>1.1713319510247036</v>
      </c>
      <c r="P579" s="34"/>
    </row>
    <row r="580" spans="1:16">
      <c r="A580" s="34" t="s">
        <v>37</v>
      </c>
      <c r="B580" s="40" t="s">
        <v>156</v>
      </c>
      <c r="C580" s="34" t="s">
        <v>139</v>
      </c>
      <c r="D580" s="40" t="s">
        <v>98</v>
      </c>
      <c r="E580" s="237">
        <f>Intentionally_produced_MPs!F140</f>
        <v>0.3279842619534431</v>
      </c>
      <c r="F580" s="168">
        <v>1</v>
      </c>
      <c r="G580" s="34"/>
      <c r="H580" s="29">
        <v>3</v>
      </c>
      <c r="I580" s="9">
        <v>2</v>
      </c>
      <c r="J580" s="9">
        <v>3</v>
      </c>
      <c r="K580" s="9">
        <v>3</v>
      </c>
      <c r="L580" s="9">
        <v>3</v>
      </c>
      <c r="M580" s="9">
        <v>3</v>
      </c>
      <c r="N580" s="185">
        <f>IF( OR( ISBLANK(H580),ISBLANK(J580), ISBLANK(K580), ISBLANK(L580), ISBLANK(M580) ), "", 1.5*SQRT(   EXP(2.21*(H580-1)) + EXP(2.21*(J580-1)) + EXP(2.21*(K580-1)) + EXP(2.21*(L580-1)) + EXP(2.21*M580)   )/100*2.45 )</f>
        <v>1.2132328390150593</v>
      </c>
      <c r="O580" s="159">
        <f>IF( OR( ISBLANK(I580),ISBLANK(J580), ISBLANK(K580), ISBLANK(L580), ISBLANK(M580) ), "", 1.5*SQRT( EXP(2.21*(I580-1)) + EXP(2.21*(J580-1)) + EXP(2.21*(K580-1)) + EXP(2.21*(L580-1)) + EXP(2.21*M580)   )/100*2.45 )</f>
        <v>1.1713319510247036</v>
      </c>
      <c r="P580" s="34"/>
    </row>
    <row r="581" spans="1:16">
      <c r="A581" s="34" t="s">
        <v>37</v>
      </c>
      <c r="B581" s="40" t="s">
        <v>227</v>
      </c>
      <c r="C581" s="34" t="s">
        <v>139</v>
      </c>
      <c r="D581" s="40" t="s">
        <v>85</v>
      </c>
      <c r="E581" s="237">
        <f>Intentionally_produced_MPs!D127</f>
        <v>0</v>
      </c>
      <c r="F581" s="168">
        <v>1</v>
      </c>
      <c r="G581" s="34"/>
      <c r="H581" s="29"/>
      <c r="I581" s="9"/>
      <c r="J581" s="9"/>
      <c r="K581" s="9"/>
      <c r="L581" s="9"/>
      <c r="M581" s="9"/>
      <c r="N581" s="185" t="str">
        <f>IF( OR( ISBLANK(H581),ISBLANK(J581), ISBLANK(K581), ISBLANK(L581), ISBLANK(M581) ), "", 1.5*SQRT(   EXP(2.21*(H581-1)) + EXP(2.21*(J581-1)) + EXP(2.21*(K581-1)) + EXP(2.21*(L581-1)) + EXP(2.21*M581)   )/100*2.45 )</f>
        <v/>
      </c>
      <c r="O581" s="159" t="str">
        <f>IF( OR( ISBLANK(I581),ISBLANK(J581), ISBLANK(K581), ISBLANK(L581), ISBLANK(M581) ), "", 1.5*SQRT( EXP(2.21*(I581-1)) + EXP(2.21*(J581-1)) + EXP(2.21*(K581-1)) + EXP(2.21*(L581-1)) + EXP(2.21*M581)   )/100*2.45 )</f>
        <v/>
      </c>
      <c r="P581" s="34"/>
    </row>
    <row r="582" spans="1:16">
      <c r="A582" s="34" t="s">
        <v>37</v>
      </c>
      <c r="B582" s="40" t="s">
        <v>227</v>
      </c>
      <c r="C582" s="34" t="s">
        <v>139</v>
      </c>
      <c r="D582" s="40" t="s">
        <v>86</v>
      </c>
      <c r="E582" s="237">
        <f>Intentionally_produced_MPs!D128</f>
        <v>0</v>
      </c>
      <c r="F582" s="168">
        <v>1</v>
      </c>
      <c r="G582" s="34"/>
      <c r="H582" s="29"/>
      <c r="I582" s="9"/>
      <c r="J582" s="9"/>
      <c r="K582" s="9"/>
      <c r="L582" s="9"/>
      <c r="M582" s="9"/>
      <c r="N582" s="185" t="str">
        <f>IF( OR( ISBLANK(H582),ISBLANK(J582), ISBLANK(K582), ISBLANK(L582), ISBLANK(M582) ), "", 1.5*SQRT(   EXP(2.21*(H582-1)) + EXP(2.21*(J582-1)) + EXP(2.21*(K582-1)) + EXP(2.21*(L582-1)) + EXP(2.21*M582)   )/100*2.45 )</f>
        <v/>
      </c>
      <c r="O582" s="159" t="str">
        <f>IF( OR( ISBLANK(I582),ISBLANK(J582), ISBLANK(K582), ISBLANK(L582), ISBLANK(M582) ), "", 1.5*SQRT( EXP(2.21*(I582-1)) + EXP(2.21*(J582-1)) + EXP(2.21*(K582-1)) + EXP(2.21*(L582-1)) + EXP(2.21*M582)   )/100*2.45 )</f>
        <v/>
      </c>
      <c r="P582" s="34"/>
    </row>
    <row r="583" spans="1:16">
      <c r="A583" s="34" t="s">
        <v>37</v>
      </c>
      <c r="B583" s="40" t="s">
        <v>227</v>
      </c>
      <c r="C583" s="34" t="s">
        <v>139</v>
      </c>
      <c r="D583" s="40" t="s">
        <v>87</v>
      </c>
      <c r="E583" s="237">
        <f>Intentionally_produced_MPs!D129</f>
        <v>0</v>
      </c>
      <c r="F583" s="168">
        <v>1</v>
      </c>
      <c r="G583" s="34"/>
      <c r="H583" s="29"/>
      <c r="I583" s="9"/>
      <c r="J583" s="9"/>
      <c r="K583" s="9"/>
      <c r="L583" s="9"/>
      <c r="M583" s="9"/>
      <c r="N583" s="185" t="str">
        <f>IF( OR( ISBLANK(H583),ISBLANK(J583), ISBLANK(K583), ISBLANK(L583), ISBLANK(M583) ), "", 1.5*SQRT(   EXP(2.21*(H583-1)) + EXP(2.21*(J583-1)) + EXP(2.21*(K583-1)) + EXP(2.21*(L583-1)) + EXP(2.21*M583)   )/100*2.45 )</f>
        <v/>
      </c>
      <c r="O583" s="159" t="str">
        <f>IF( OR( ISBLANK(I583),ISBLANK(J583), ISBLANK(K583), ISBLANK(L583), ISBLANK(M583) ), "", 1.5*SQRT( EXP(2.21*(I583-1)) + EXP(2.21*(J583-1)) + EXP(2.21*(K583-1)) + EXP(2.21*(L583-1)) + EXP(2.21*M583)   )/100*2.45 )</f>
        <v/>
      </c>
      <c r="P583" s="34"/>
    </row>
    <row r="584" spans="1:16">
      <c r="A584" s="34" t="s">
        <v>37</v>
      </c>
      <c r="B584" s="40" t="s">
        <v>227</v>
      </c>
      <c r="C584" s="34" t="s">
        <v>139</v>
      </c>
      <c r="D584" s="40" t="s">
        <v>88</v>
      </c>
      <c r="E584" s="237">
        <f>Intentionally_produced_MPs!D130</f>
        <v>0</v>
      </c>
      <c r="F584" s="168">
        <v>1</v>
      </c>
      <c r="G584" s="34"/>
      <c r="H584" s="29"/>
      <c r="I584" s="9"/>
      <c r="J584" s="9"/>
      <c r="K584" s="9"/>
      <c r="L584" s="9"/>
      <c r="M584" s="9"/>
      <c r="N584" s="185" t="str">
        <f>IF( OR( ISBLANK(H584),ISBLANK(J584), ISBLANK(K584), ISBLANK(L584), ISBLANK(M584) ), "", 1.5*SQRT(   EXP(2.21*(H584-1)) + EXP(2.21*(J584-1)) + EXP(2.21*(K584-1)) + EXP(2.21*(L584-1)) + EXP(2.21*M584)   )/100*2.45 )</f>
        <v/>
      </c>
      <c r="O584" s="159" t="str">
        <f>IF( OR( ISBLANK(I584),ISBLANK(J584), ISBLANK(K584), ISBLANK(L584), ISBLANK(M584) ), "", 1.5*SQRT( EXP(2.21*(I584-1)) + EXP(2.21*(J584-1)) + EXP(2.21*(K584-1)) + EXP(2.21*(L584-1)) + EXP(2.21*M584)   )/100*2.45 )</f>
        <v/>
      </c>
      <c r="P584" s="34"/>
    </row>
    <row r="585" spans="1:16">
      <c r="A585" s="34" t="s">
        <v>37</v>
      </c>
      <c r="B585" s="40" t="s">
        <v>227</v>
      </c>
      <c r="C585" s="34" t="s">
        <v>139</v>
      </c>
      <c r="D585" s="40" t="s">
        <v>89</v>
      </c>
      <c r="E585" s="237">
        <f>Intentionally_produced_MPs!D131</f>
        <v>0</v>
      </c>
      <c r="F585" s="168">
        <v>1</v>
      </c>
      <c r="G585" s="34"/>
      <c r="H585" s="29"/>
      <c r="I585" s="9"/>
      <c r="J585" s="9"/>
      <c r="K585" s="9"/>
      <c r="L585" s="9"/>
      <c r="M585" s="9"/>
      <c r="N585" s="185" t="str">
        <f>IF( OR( ISBLANK(H585),ISBLANK(J585), ISBLANK(K585), ISBLANK(L585), ISBLANK(M585) ), "", 1.5*SQRT(   EXP(2.21*(H585-1)) + EXP(2.21*(J585-1)) + EXP(2.21*(K585-1)) + EXP(2.21*(L585-1)) + EXP(2.21*M585)   )/100*2.45 )</f>
        <v/>
      </c>
      <c r="O585" s="159" t="str">
        <f>IF( OR( ISBLANK(I585),ISBLANK(J585), ISBLANK(K585), ISBLANK(L585), ISBLANK(M585) ), "", 1.5*SQRT( EXP(2.21*(I585-1)) + EXP(2.21*(J585-1)) + EXP(2.21*(K585-1)) + EXP(2.21*(L585-1)) + EXP(2.21*M585)   )/100*2.45 )</f>
        <v/>
      </c>
      <c r="P585" s="34"/>
    </row>
    <row r="586" spans="1:16">
      <c r="A586" s="34" t="s">
        <v>37</v>
      </c>
      <c r="B586" s="40" t="s">
        <v>227</v>
      </c>
      <c r="C586" s="34" t="s">
        <v>139</v>
      </c>
      <c r="D586" s="40" t="s">
        <v>90</v>
      </c>
      <c r="E586" s="237">
        <f>Intentionally_produced_MPs!D132</f>
        <v>0</v>
      </c>
      <c r="F586" s="168">
        <v>1</v>
      </c>
      <c r="G586" s="34"/>
      <c r="H586" s="29"/>
      <c r="I586" s="9"/>
      <c r="J586" s="9"/>
      <c r="K586" s="9"/>
      <c r="L586" s="9"/>
      <c r="M586" s="9"/>
      <c r="N586" s="185" t="str">
        <f>IF( OR( ISBLANK(H586),ISBLANK(J586), ISBLANK(K586), ISBLANK(L586), ISBLANK(M586) ), "", 1.5*SQRT(   EXP(2.21*(H586-1)) + EXP(2.21*(J586-1)) + EXP(2.21*(K586-1)) + EXP(2.21*(L586-1)) + EXP(2.21*M586)   )/100*2.45 )</f>
        <v/>
      </c>
      <c r="O586" s="159" t="str">
        <f>IF( OR( ISBLANK(I586),ISBLANK(J586), ISBLANK(K586), ISBLANK(L586), ISBLANK(M586) ), "", 1.5*SQRT( EXP(2.21*(I586-1)) + EXP(2.21*(J586-1)) + EXP(2.21*(K586-1)) + EXP(2.21*(L586-1)) + EXP(2.21*M586)   )/100*2.45 )</f>
        <v/>
      </c>
      <c r="P586" s="34"/>
    </row>
    <row r="587" spans="1:16">
      <c r="A587" s="34" t="s">
        <v>37</v>
      </c>
      <c r="B587" s="40" t="s">
        <v>227</v>
      </c>
      <c r="C587" s="34" t="s">
        <v>139</v>
      </c>
      <c r="D587" s="40" t="s">
        <v>91</v>
      </c>
      <c r="E587" s="237">
        <f>Intentionally_produced_MPs!D133</f>
        <v>0.68888053925336512</v>
      </c>
      <c r="F587" s="168">
        <v>1</v>
      </c>
      <c r="G587" s="34"/>
      <c r="H587" s="29">
        <v>3</v>
      </c>
      <c r="I587" s="9">
        <v>2</v>
      </c>
      <c r="J587" s="9">
        <v>3</v>
      </c>
      <c r="K587" s="9">
        <v>3</v>
      </c>
      <c r="L587" s="9">
        <v>3</v>
      </c>
      <c r="M587" s="9">
        <v>3</v>
      </c>
      <c r="N587" s="185">
        <f>IF( OR( ISBLANK(H587),ISBLANK(J587), ISBLANK(K587), ISBLANK(L587), ISBLANK(M587) ), "", 1.5*SQRT(   EXP(2.21*(H587-1)) + EXP(2.21*(J587-1)) + EXP(2.21*(K587-1)) + EXP(2.21*(L587-1)) + EXP(2.21*M587)   )/100*2.45 )</f>
        <v>1.2132328390150593</v>
      </c>
      <c r="O587" s="159">
        <f>IF( OR( ISBLANK(I587),ISBLANK(J587), ISBLANK(K587), ISBLANK(L587), ISBLANK(M587) ), "", 1.5*SQRT( EXP(2.21*(I587-1)) + EXP(2.21*(J587-1)) + EXP(2.21*(K587-1)) + EXP(2.21*(L587-1)) + EXP(2.21*M587)   )/100*2.45 )</f>
        <v>1.1713319510247036</v>
      </c>
      <c r="P587" s="34"/>
    </row>
    <row r="588" spans="1:16">
      <c r="A588" s="34" t="s">
        <v>37</v>
      </c>
      <c r="B588" s="40" t="s">
        <v>227</v>
      </c>
      <c r="C588" s="34" t="s">
        <v>139</v>
      </c>
      <c r="D588" s="40" t="s">
        <v>92</v>
      </c>
      <c r="E588" s="237">
        <f>Intentionally_produced_MPs!D134</f>
        <v>0</v>
      </c>
      <c r="F588" s="168">
        <v>1</v>
      </c>
      <c r="G588" s="34"/>
      <c r="H588" s="29"/>
      <c r="I588" s="9"/>
      <c r="J588" s="9"/>
      <c r="K588" s="9"/>
      <c r="L588" s="9"/>
      <c r="M588" s="9"/>
      <c r="N588" s="185" t="str">
        <f>IF( OR( ISBLANK(H588),ISBLANK(J588), ISBLANK(K588), ISBLANK(L588), ISBLANK(M588) ), "", 1.5*SQRT(   EXP(2.21*(H588-1)) + EXP(2.21*(J588-1)) + EXP(2.21*(K588-1)) + EXP(2.21*(L588-1)) + EXP(2.21*M588)   )/100*2.45 )</f>
        <v/>
      </c>
      <c r="O588" s="159" t="str">
        <f>IF( OR( ISBLANK(I588),ISBLANK(J588), ISBLANK(K588), ISBLANK(L588), ISBLANK(M588) ), "", 1.5*SQRT( EXP(2.21*(I588-1)) + EXP(2.21*(J588-1)) + EXP(2.21*(K588-1)) + EXP(2.21*(L588-1)) + EXP(2.21*M588)   )/100*2.45 )</f>
        <v/>
      </c>
      <c r="P588" s="34"/>
    </row>
    <row r="589" spans="1:16">
      <c r="A589" s="34" t="s">
        <v>37</v>
      </c>
      <c r="B589" s="40" t="s">
        <v>227</v>
      </c>
      <c r="C589" s="34" t="s">
        <v>139</v>
      </c>
      <c r="D589" s="40" t="s">
        <v>93</v>
      </c>
      <c r="E589" s="237">
        <f>Intentionally_produced_MPs!D135</f>
        <v>0.67917586906964822</v>
      </c>
      <c r="F589" s="168">
        <v>1</v>
      </c>
      <c r="G589" s="34"/>
      <c r="H589" s="29">
        <v>3</v>
      </c>
      <c r="I589" s="9">
        <v>2</v>
      </c>
      <c r="J589" s="9">
        <v>3</v>
      </c>
      <c r="K589" s="9">
        <v>3</v>
      </c>
      <c r="L589" s="9">
        <v>3</v>
      </c>
      <c r="M589" s="9">
        <v>3</v>
      </c>
      <c r="N589" s="185">
        <f>IF( OR( ISBLANK(H589),ISBLANK(J589), ISBLANK(K589), ISBLANK(L589), ISBLANK(M589) ), "", 1.5*SQRT(   EXP(2.21*(H589-1)) + EXP(2.21*(J589-1)) + EXP(2.21*(K589-1)) + EXP(2.21*(L589-1)) + EXP(2.21*M589)   )/100*2.45 )</f>
        <v>1.2132328390150593</v>
      </c>
      <c r="O589" s="159">
        <f>IF( OR( ISBLANK(I589),ISBLANK(J589), ISBLANK(K589), ISBLANK(L589), ISBLANK(M589) ), "", 1.5*SQRT( EXP(2.21*(I589-1)) + EXP(2.21*(J589-1)) + EXP(2.21*(K589-1)) + EXP(2.21*(L589-1)) + EXP(2.21*M589)   )/100*2.45 )</f>
        <v>1.1713319510247036</v>
      </c>
      <c r="P589" s="34"/>
    </row>
    <row r="590" spans="1:16">
      <c r="A590" s="34" t="s">
        <v>37</v>
      </c>
      <c r="B590" s="40" t="s">
        <v>227</v>
      </c>
      <c r="C590" s="34" t="s">
        <v>139</v>
      </c>
      <c r="D590" s="40" t="s">
        <v>94</v>
      </c>
      <c r="E590" s="237">
        <f>Intentionally_produced_MPs!D136</f>
        <v>0</v>
      </c>
      <c r="F590" s="168">
        <v>1</v>
      </c>
      <c r="G590" s="34"/>
      <c r="H590" s="29"/>
      <c r="I590" s="9"/>
      <c r="J590" s="9"/>
      <c r="K590" s="9"/>
      <c r="L590" s="9"/>
      <c r="M590" s="9"/>
      <c r="N590" s="185" t="str">
        <f>IF( OR( ISBLANK(H590),ISBLANK(J590), ISBLANK(K590), ISBLANK(L590), ISBLANK(M590) ), "", 1.5*SQRT(   EXP(2.21*(H590-1)) + EXP(2.21*(J590-1)) + EXP(2.21*(K590-1)) + EXP(2.21*(L590-1)) + EXP(2.21*M590)   )/100*2.45 )</f>
        <v/>
      </c>
      <c r="O590" s="159" t="str">
        <f>IF( OR( ISBLANK(I590),ISBLANK(J590), ISBLANK(K590), ISBLANK(L590), ISBLANK(M590) ), "", 1.5*SQRT( EXP(2.21*(I590-1)) + EXP(2.21*(J590-1)) + EXP(2.21*(K590-1)) + EXP(2.21*(L590-1)) + EXP(2.21*M590)   )/100*2.45 )</f>
        <v/>
      </c>
      <c r="P590" s="34"/>
    </row>
    <row r="591" spans="1:16">
      <c r="A591" s="34" t="s">
        <v>37</v>
      </c>
      <c r="B591" s="40" t="s">
        <v>227</v>
      </c>
      <c r="C591" s="34" t="s">
        <v>139</v>
      </c>
      <c r="D591" s="40" t="s">
        <v>95</v>
      </c>
      <c r="E591" s="237">
        <f>Intentionally_produced_MPs!D137</f>
        <v>0.19632840585737768</v>
      </c>
      <c r="F591" s="168">
        <v>1</v>
      </c>
      <c r="G591" s="34"/>
      <c r="H591" s="29">
        <v>3</v>
      </c>
      <c r="I591" s="9">
        <v>2</v>
      </c>
      <c r="J591" s="9">
        <v>3</v>
      </c>
      <c r="K591" s="9">
        <v>3</v>
      </c>
      <c r="L591" s="9">
        <v>3</v>
      </c>
      <c r="M591" s="9">
        <v>3</v>
      </c>
      <c r="N591" s="185">
        <f>IF( OR( ISBLANK(H591),ISBLANK(J591), ISBLANK(K591), ISBLANK(L591), ISBLANK(M591) ), "", 1.5*SQRT(   EXP(2.21*(H591-1)) + EXP(2.21*(J591-1)) + EXP(2.21*(K591-1)) + EXP(2.21*(L591-1)) + EXP(2.21*M591)   )/100*2.45 )</f>
        <v>1.2132328390150593</v>
      </c>
      <c r="O591" s="159">
        <f>IF( OR( ISBLANK(I591),ISBLANK(J591), ISBLANK(K591), ISBLANK(L591), ISBLANK(M591) ), "", 1.5*SQRT( EXP(2.21*(I591-1)) + EXP(2.21*(J591-1)) + EXP(2.21*(K591-1)) + EXP(2.21*(L591-1)) + EXP(2.21*M591)   )/100*2.45 )</f>
        <v>1.1713319510247036</v>
      </c>
      <c r="P591" s="34"/>
    </row>
    <row r="592" spans="1:16">
      <c r="A592" s="34" t="s">
        <v>37</v>
      </c>
      <c r="B592" s="40" t="s">
        <v>227</v>
      </c>
      <c r="C592" s="34" t="s">
        <v>139</v>
      </c>
      <c r="D592" s="40" t="s">
        <v>96</v>
      </c>
      <c r="E592" s="237">
        <f>Intentionally_produced_MPs!D138</f>
        <v>0</v>
      </c>
      <c r="F592" s="168">
        <v>1</v>
      </c>
      <c r="G592" s="34"/>
      <c r="H592" s="29"/>
      <c r="I592" s="9"/>
      <c r="J592" s="9"/>
      <c r="K592" s="9"/>
      <c r="L592" s="9"/>
      <c r="M592" s="9"/>
      <c r="N592" s="185" t="str">
        <f>IF( OR( ISBLANK(H592),ISBLANK(J592), ISBLANK(K592), ISBLANK(L592), ISBLANK(M592) ), "", 1.5*SQRT(   EXP(2.21*(H592-1)) + EXP(2.21*(J592-1)) + EXP(2.21*(K592-1)) + EXP(2.21*(L592-1)) + EXP(2.21*M592)   )/100*2.45 )</f>
        <v/>
      </c>
      <c r="O592" s="159" t="str">
        <f>IF( OR( ISBLANK(I592),ISBLANK(J592), ISBLANK(K592), ISBLANK(L592), ISBLANK(M592) ), "", 1.5*SQRT( EXP(2.21*(I592-1)) + EXP(2.21*(J592-1)) + EXP(2.21*(K592-1)) + EXP(2.21*(L592-1)) + EXP(2.21*M592)   )/100*2.45 )</f>
        <v/>
      </c>
      <c r="P592" s="34"/>
    </row>
    <row r="593" spans="1:16">
      <c r="A593" s="34" t="s">
        <v>37</v>
      </c>
      <c r="B593" s="40" t="s">
        <v>227</v>
      </c>
      <c r="C593" s="34" t="s">
        <v>139</v>
      </c>
      <c r="D593" s="40" t="s">
        <v>97</v>
      </c>
      <c r="E593" s="237">
        <f>Intentionally_produced_MPs!D139</f>
        <v>0.19744605585646305</v>
      </c>
      <c r="F593" s="168">
        <v>1</v>
      </c>
      <c r="G593" s="34"/>
      <c r="H593" s="29">
        <v>3</v>
      </c>
      <c r="I593" s="9">
        <v>2</v>
      </c>
      <c r="J593" s="9">
        <v>3</v>
      </c>
      <c r="K593" s="9">
        <v>3</v>
      </c>
      <c r="L593" s="9">
        <v>3</v>
      </c>
      <c r="M593" s="9">
        <v>3</v>
      </c>
      <c r="N593" s="185">
        <f>IF( OR( ISBLANK(H593),ISBLANK(J593), ISBLANK(K593), ISBLANK(L593), ISBLANK(M593) ), "", 1.5*SQRT(   EXP(2.21*(H593-1)) + EXP(2.21*(J593-1)) + EXP(2.21*(K593-1)) + EXP(2.21*(L593-1)) + EXP(2.21*M593)   )/100*2.45 )</f>
        <v>1.2132328390150593</v>
      </c>
      <c r="O593" s="159">
        <f>IF( OR( ISBLANK(I593),ISBLANK(J593), ISBLANK(K593), ISBLANK(L593), ISBLANK(M593) ), "", 1.5*SQRT( EXP(2.21*(I593-1)) + EXP(2.21*(J593-1)) + EXP(2.21*(K593-1)) + EXP(2.21*(L593-1)) + EXP(2.21*M593)   )/100*2.45 )</f>
        <v>1.1713319510247036</v>
      </c>
      <c r="P593" s="34"/>
    </row>
    <row r="594" spans="1:16">
      <c r="A594" s="34" t="s">
        <v>37</v>
      </c>
      <c r="B594" s="40" t="s">
        <v>227</v>
      </c>
      <c r="C594" s="34" t="s">
        <v>139</v>
      </c>
      <c r="D594" s="40" t="s">
        <v>98</v>
      </c>
      <c r="E594" s="237">
        <f>Intentionally_produced_MPs!D140</f>
        <v>3.7824092334929553E-4</v>
      </c>
      <c r="F594" s="168">
        <v>1</v>
      </c>
      <c r="G594" s="34"/>
      <c r="H594" s="29">
        <v>3</v>
      </c>
      <c r="I594" s="9">
        <v>2</v>
      </c>
      <c r="J594" s="9">
        <v>3</v>
      </c>
      <c r="K594" s="9">
        <v>3</v>
      </c>
      <c r="L594" s="9">
        <v>3</v>
      </c>
      <c r="M594" s="9">
        <v>3</v>
      </c>
      <c r="N594" s="185">
        <f>IF( OR( ISBLANK(H594),ISBLANK(J594), ISBLANK(K594), ISBLANK(L594), ISBLANK(M594) ), "", 1.5*SQRT(   EXP(2.21*(H594-1)) + EXP(2.21*(J594-1)) + EXP(2.21*(K594-1)) + EXP(2.21*(L594-1)) + EXP(2.21*M594)   )/100*2.45 )</f>
        <v>1.2132328390150593</v>
      </c>
      <c r="O594" s="159">
        <f>IF( OR( ISBLANK(I594),ISBLANK(J594), ISBLANK(K594), ISBLANK(L594), ISBLANK(M594) ), "", 1.5*SQRT( EXP(2.21*(I594-1)) + EXP(2.21*(J594-1)) + EXP(2.21*(K594-1)) + EXP(2.21*(L594-1)) + EXP(2.21*M594)   )/100*2.45 )</f>
        <v>1.1713319510247036</v>
      </c>
      <c r="P594" s="34"/>
    </row>
    <row r="595" spans="1:16">
      <c r="A595" s="34" t="s">
        <v>37</v>
      </c>
      <c r="B595" s="40" t="s">
        <v>159</v>
      </c>
      <c r="C595" s="34" t="s">
        <v>139</v>
      </c>
      <c r="D595" s="40" t="s">
        <v>85</v>
      </c>
      <c r="E595" s="237">
        <f>Intentionally_produced_MPs!H127</f>
        <v>0</v>
      </c>
      <c r="F595" s="168">
        <v>1</v>
      </c>
      <c r="G595" s="34"/>
      <c r="H595" s="29"/>
      <c r="I595" s="9"/>
      <c r="J595" s="9"/>
      <c r="K595" s="9"/>
      <c r="L595" s="9"/>
      <c r="M595" s="9"/>
      <c r="N595" s="185" t="str">
        <f>IF( OR( ISBLANK(H595),ISBLANK(J595), ISBLANK(K595), ISBLANK(L595), ISBLANK(M595) ), "", 1.5*SQRT(   EXP(2.21*(H595-1)) + EXP(2.21*(J595-1)) + EXP(2.21*(K595-1)) + EXP(2.21*(L595-1)) + EXP(2.21*M595)   )/100*2.45 )</f>
        <v/>
      </c>
      <c r="O595" s="159" t="str">
        <f>IF( OR( ISBLANK(I595),ISBLANK(J595), ISBLANK(K595), ISBLANK(L595), ISBLANK(M595) ), "", 1.5*SQRT( EXP(2.21*(I595-1)) + EXP(2.21*(J595-1)) + EXP(2.21*(K595-1)) + EXP(2.21*(L595-1)) + EXP(2.21*M595)   )/100*2.45 )</f>
        <v/>
      </c>
      <c r="P595" s="34"/>
    </row>
    <row r="596" spans="1:16">
      <c r="A596" s="34" t="s">
        <v>37</v>
      </c>
      <c r="B596" s="40" t="s">
        <v>159</v>
      </c>
      <c r="C596" s="34" t="s">
        <v>139</v>
      </c>
      <c r="D596" s="40" t="s">
        <v>86</v>
      </c>
      <c r="E596" s="237">
        <f>Intentionally_produced_MPs!H128</f>
        <v>0.56875626926941902</v>
      </c>
      <c r="F596" s="168">
        <v>1</v>
      </c>
      <c r="G596" s="34"/>
      <c r="H596" s="29">
        <v>3</v>
      </c>
      <c r="I596" s="9">
        <v>2</v>
      </c>
      <c r="J596" s="9">
        <v>3</v>
      </c>
      <c r="K596" s="9">
        <v>3</v>
      </c>
      <c r="L596" s="9">
        <v>3</v>
      </c>
      <c r="M596" s="9">
        <v>3</v>
      </c>
      <c r="N596" s="185">
        <f>IF( OR( ISBLANK(H596),ISBLANK(J596), ISBLANK(K596), ISBLANK(L596), ISBLANK(M596) ), "", 1.5*SQRT(   EXP(2.21*(H596-1)) + EXP(2.21*(J596-1)) + EXP(2.21*(K596-1)) + EXP(2.21*(L596-1)) + EXP(2.21*M596)   )/100*2.45 )</f>
        <v>1.2132328390150593</v>
      </c>
      <c r="O596" s="159">
        <f>IF( OR( ISBLANK(I596),ISBLANK(J596), ISBLANK(K596), ISBLANK(L596), ISBLANK(M596) ), "", 1.5*SQRT( EXP(2.21*(I596-1)) + EXP(2.21*(J596-1)) + EXP(2.21*(K596-1)) + EXP(2.21*(L596-1)) + EXP(2.21*M596)   )/100*2.45 )</f>
        <v>1.1713319510247036</v>
      </c>
      <c r="P596" s="34"/>
    </row>
    <row r="597" spans="1:16">
      <c r="A597" s="34" t="s">
        <v>37</v>
      </c>
      <c r="B597" s="40" t="s">
        <v>159</v>
      </c>
      <c r="C597" s="34" t="s">
        <v>139</v>
      </c>
      <c r="D597" s="40" t="s">
        <v>87</v>
      </c>
      <c r="E597" s="237">
        <f>Intentionally_produced_MPs!H129</f>
        <v>0</v>
      </c>
      <c r="F597" s="168">
        <v>1</v>
      </c>
      <c r="G597" s="34"/>
      <c r="H597" s="29"/>
      <c r="I597" s="9"/>
      <c r="J597" s="9"/>
      <c r="K597" s="9"/>
      <c r="L597" s="9"/>
      <c r="M597" s="9"/>
      <c r="N597" s="185" t="str">
        <f>IF( OR( ISBLANK(H597),ISBLANK(J597), ISBLANK(K597), ISBLANK(L597), ISBLANK(M597) ), "", 1.5*SQRT(   EXP(2.21*(H597-1)) + EXP(2.21*(J597-1)) + EXP(2.21*(K597-1)) + EXP(2.21*(L597-1)) + EXP(2.21*M597)   )/100*2.45 )</f>
        <v/>
      </c>
      <c r="O597" s="159" t="str">
        <f>IF( OR( ISBLANK(I597),ISBLANK(J597), ISBLANK(K597), ISBLANK(L597), ISBLANK(M597) ), "", 1.5*SQRT( EXP(2.21*(I597-1)) + EXP(2.21*(J597-1)) + EXP(2.21*(K597-1)) + EXP(2.21*(L597-1)) + EXP(2.21*M597)   )/100*2.45 )</f>
        <v/>
      </c>
      <c r="P597" s="34"/>
    </row>
    <row r="598" spans="1:16">
      <c r="A598" s="34" t="s">
        <v>37</v>
      </c>
      <c r="B598" s="40" t="s">
        <v>159</v>
      </c>
      <c r="C598" s="34" t="s">
        <v>139</v>
      </c>
      <c r="D598" s="40" t="s">
        <v>88</v>
      </c>
      <c r="E598" s="237">
        <f>Intentionally_produced_MPs!H130</f>
        <v>0</v>
      </c>
      <c r="F598" s="168">
        <v>1</v>
      </c>
      <c r="G598" s="34"/>
      <c r="H598" s="29"/>
      <c r="I598" s="9"/>
      <c r="J598" s="9"/>
      <c r="K598" s="9"/>
      <c r="L598" s="9"/>
      <c r="M598" s="9"/>
      <c r="N598" s="185" t="str">
        <f>IF( OR( ISBLANK(H598),ISBLANK(J598), ISBLANK(K598), ISBLANK(L598), ISBLANK(M598) ), "", 1.5*SQRT(   EXP(2.21*(H598-1)) + EXP(2.21*(J598-1)) + EXP(2.21*(K598-1)) + EXP(2.21*(L598-1)) + EXP(2.21*M598)   )/100*2.45 )</f>
        <v/>
      </c>
      <c r="O598" s="159" t="str">
        <f>IF( OR( ISBLANK(I598),ISBLANK(J598), ISBLANK(K598), ISBLANK(L598), ISBLANK(M598) ), "", 1.5*SQRT( EXP(2.21*(I598-1)) + EXP(2.21*(J598-1)) + EXP(2.21*(K598-1)) + EXP(2.21*(L598-1)) + EXP(2.21*M598)   )/100*2.45 )</f>
        <v/>
      </c>
      <c r="P598" s="34"/>
    </row>
    <row r="599" spans="1:16">
      <c r="A599" s="34" t="s">
        <v>37</v>
      </c>
      <c r="B599" s="40" t="s">
        <v>159</v>
      </c>
      <c r="C599" s="34" t="s">
        <v>139</v>
      </c>
      <c r="D599" s="40" t="s">
        <v>89</v>
      </c>
      <c r="E599" s="237">
        <f>Intentionally_produced_MPs!H131</f>
        <v>0</v>
      </c>
      <c r="F599" s="168">
        <v>1</v>
      </c>
      <c r="G599" s="34"/>
      <c r="H599" s="29"/>
      <c r="I599" s="9"/>
      <c r="J599" s="9"/>
      <c r="K599" s="9"/>
      <c r="L599" s="9"/>
      <c r="M599" s="9"/>
      <c r="N599" s="185" t="str">
        <f>IF( OR( ISBLANK(H599),ISBLANK(J599), ISBLANK(K599), ISBLANK(L599), ISBLANK(M599) ), "", 1.5*SQRT(   EXP(2.21*(H599-1)) + EXP(2.21*(J599-1)) + EXP(2.21*(K599-1)) + EXP(2.21*(L599-1)) + EXP(2.21*M599)   )/100*2.45 )</f>
        <v/>
      </c>
      <c r="O599" s="159" t="str">
        <f>IF( OR( ISBLANK(I599),ISBLANK(J599), ISBLANK(K599), ISBLANK(L599), ISBLANK(M599) ), "", 1.5*SQRT( EXP(2.21*(I599-1)) + EXP(2.21*(J599-1)) + EXP(2.21*(K599-1)) + EXP(2.21*(L599-1)) + EXP(2.21*M599)   )/100*2.45 )</f>
        <v/>
      </c>
      <c r="P599" s="34"/>
    </row>
    <row r="600" spans="1:16">
      <c r="A600" s="34" t="s">
        <v>37</v>
      </c>
      <c r="B600" s="40" t="s">
        <v>159</v>
      </c>
      <c r="C600" s="34" t="s">
        <v>139</v>
      </c>
      <c r="D600" s="40" t="s">
        <v>90</v>
      </c>
      <c r="E600" s="237">
        <f>Intentionally_produced_MPs!H132</f>
        <v>0</v>
      </c>
      <c r="F600" s="168">
        <v>1</v>
      </c>
      <c r="G600" s="34"/>
      <c r="H600" s="29"/>
      <c r="I600" s="9"/>
      <c r="J600" s="9"/>
      <c r="K600" s="9"/>
      <c r="L600" s="9"/>
      <c r="M600" s="9"/>
      <c r="N600" s="185" t="str">
        <f>IF( OR( ISBLANK(H600),ISBLANK(J600), ISBLANK(K600), ISBLANK(L600), ISBLANK(M600) ), "", 1.5*SQRT(   EXP(2.21*(H600-1)) + EXP(2.21*(J600-1)) + EXP(2.21*(K600-1)) + EXP(2.21*(L600-1)) + EXP(2.21*M600)   )/100*2.45 )</f>
        <v/>
      </c>
      <c r="O600" s="159" t="str">
        <f>IF( OR( ISBLANK(I600),ISBLANK(J600), ISBLANK(K600), ISBLANK(L600), ISBLANK(M600) ), "", 1.5*SQRT( EXP(2.21*(I600-1)) + EXP(2.21*(J600-1)) + EXP(2.21*(K600-1)) + EXP(2.21*(L600-1)) + EXP(2.21*M600)   )/100*2.45 )</f>
        <v/>
      </c>
      <c r="P600" s="34"/>
    </row>
    <row r="601" spans="1:16">
      <c r="A601" s="34" t="s">
        <v>37</v>
      </c>
      <c r="B601" s="40" t="s">
        <v>159</v>
      </c>
      <c r="C601" s="34" t="s">
        <v>139</v>
      </c>
      <c r="D601" s="40" t="s">
        <v>91</v>
      </c>
      <c r="E601" s="237">
        <f>Intentionally_produced_MPs!H133</f>
        <v>0</v>
      </c>
      <c r="F601" s="168">
        <v>1</v>
      </c>
      <c r="G601" s="34"/>
      <c r="H601" s="29"/>
      <c r="I601" s="9"/>
      <c r="J601" s="9"/>
      <c r="K601" s="9"/>
      <c r="L601" s="9"/>
      <c r="M601" s="9"/>
      <c r="N601" s="185" t="str">
        <f>IF( OR( ISBLANK(H601),ISBLANK(J601), ISBLANK(K601), ISBLANK(L601), ISBLANK(M601) ), "", 1.5*SQRT(   EXP(2.21*(H601-1)) + EXP(2.21*(J601-1)) + EXP(2.21*(K601-1)) + EXP(2.21*(L601-1)) + EXP(2.21*M601)   )/100*2.45 )</f>
        <v/>
      </c>
      <c r="O601" s="159" t="str">
        <f>IF( OR( ISBLANK(I601),ISBLANK(J601), ISBLANK(K601), ISBLANK(L601), ISBLANK(M601) ), "", 1.5*SQRT( EXP(2.21*(I601-1)) + EXP(2.21*(J601-1)) + EXP(2.21*(K601-1)) + EXP(2.21*(L601-1)) + EXP(2.21*M601)   )/100*2.45 )</f>
        <v/>
      </c>
      <c r="P601" s="34"/>
    </row>
    <row r="602" spans="1:16">
      <c r="A602" s="34" t="s">
        <v>37</v>
      </c>
      <c r="B602" s="40" t="s">
        <v>159</v>
      </c>
      <c r="C602" s="34" t="s">
        <v>139</v>
      </c>
      <c r="D602" s="40" t="s">
        <v>92</v>
      </c>
      <c r="E602" s="237">
        <f>Intentionally_produced_MPs!H134</f>
        <v>0</v>
      </c>
      <c r="F602" s="168">
        <v>1</v>
      </c>
      <c r="G602" s="34"/>
      <c r="H602" s="29"/>
      <c r="I602" s="9"/>
      <c r="J602" s="9"/>
      <c r="K602" s="9"/>
      <c r="L602" s="9"/>
      <c r="M602" s="9"/>
      <c r="N602" s="185" t="str">
        <f>IF( OR( ISBLANK(H602),ISBLANK(J602), ISBLANK(K602), ISBLANK(L602), ISBLANK(M602) ), "", 1.5*SQRT(   EXP(2.21*(H602-1)) + EXP(2.21*(J602-1)) + EXP(2.21*(K602-1)) + EXP(2.21*(L602-1)) + EXP(2.21*M602)   )/100*2.45 )</f>
        <v/>
      </c>
      <c r="O602" s="159" t="str">
        <f>IF( OR( ISBLANK(I602),ISBLANK(J602), ISBLANK(K602), ISBLANK(L602), ISBLANK(M602) ), "", 1.5*SQRT( EXP(2.21*(I602-1)) + EXP(2.21*(J602-1)) + EXP(2.21*(K602-1)) + EXP(2.21*(L602-1)) + EXP(2.21*M602)   )/100*2.45 )</f>
        <v/>
      </c>
      <c r="P602" s="34"/>
    </row>
    <row r="603" spans="1:16">
      <c r="A603" s="34" t="s">
        <v>37</v>
      </c>
      <c r="B603" s="40" t="s">
        <v>159</v>
      </c>
      <c r="C603" s="34" t="s">
        <v>139</v>
      </c>
      <c r="D603" s="40" t="s">
        <v>93</v>
      </c>
      <c r="E603" s="237">
        <f>Intentionally_produced_MPs!H135</f>
        <v>0</v>
      </c>
      <c r="F603" s="168">
        <v>1</v>
      </c>
      <c r="G603" s="34"/>
      <c r="H603" s="29"/>
      <c r="I603" s="9"/>
      <c r="J603" s="9"/>
      <c r="K603" s="9"/>
      <c r="L603" s="9"/>
      <c r="M603" s="9"/>
      <c r="N603" s="185" t="str">
        <f>IF( OR( ISBLANK(H603),ISBLANK(J603), ISBLANK(K603), ISBLANK(L603), ISBLANK(M603) ), "", 1.5*SQRT(   EXP(2.21*(H603-1)) + EXP(2.21*(J603-1)) + EXP(2.21*(K603-1)) + EXP(2.21*(L603-1)) + EXP(2.21*M603)   )/100*2.45 )</f>
        <v/>
      </c>
      <c r="O603" s="159" t="str">
        <f>IF( OR( ISBLANK(I603),ISBLANK(J603), ISBLANK(K603), ISBLANK(L603), ISBLANK(M603) ), "", 1.5*SQRT( EXP(2.21*(I603-1)) + EXP(2.21*(J603-1)) + EXP(2.21*(K603-1)) + EXP(2.21*(L603-1)) + EXP(2.21*M603)   )/100*2.45 )</f>
        <v/>
      </c>
      <c r="P603" s="34"/>
    </row>
    <row r="604" spans="1:16">
      <c r="A604" s="34" t="s">
        <v>37</v>
      </c>
      <c r="B604" s="40" t="s">
        <v>159</v>
      </c>
      <c r="C604" s="34" t="s">
        <v>139</v>
      </c>
      <c r="D604" s="40" t="s">
        <v>94</v>
      </c>
      <c r="E604" s="237">
        <f>Intentionally_produced_MPs!H136</f>
        <v>0</v>
      </c>
      <c r="F604" s="168">
        <v>1</v>
      </c>
      <c r="G604" s="34"/>
      <c r="H604" s="29"/>
      <c r="I604" s="9"/>
      <c r="J604" s="9"/>
      <c r="K604" s="9"/>
      <c r="L604" s="9"/>
      <c r="M604" s="9"/>
      <c r="N604" s="185" t="str">
        <f>IF( OR( ISBLANK(H604),ISBLANK(J604), ISBLANK(K604), ISBLANK(L604), ISBLANK(M604) ), "", 1.5*SQRT(   EXP(2.21*(H604-1)) + EXP(2.21*(J604-1)) + EXP(2.21*(K604-1)) + EXP(2.21*(L604-1)) + EXP(2.21*M604)   )/100*2.45 )</f>
        <v/>
      </c>
      <c r="O604" s="159" t="str">
        <f>IF( OR( ISBLANK(I604),ISBLANK(J604), ISBLANK(K604), ISBLANK(L604), ISBLANK(M604) ), "", 1.5*SQRT( EXP(2.21*(I604-1)) + EXP(2.21*(J604-1)) + EXP(2.21*(K604-1)) + EXP(2.21*(L604-1)) + EXP(2.21*M604)   )/100*2.45 )</f>
        <v/>
      </c>
      <c r="P604" s="34"/>
    </row>
    <row r="605" spans="1:16">
      <c r="A605" s="34" t="s">
        <v>37</v>
      </c>
      <c r="B605" s="40" t="s">
        <v>159</v>
      </c>
      <c r="C605" s="34" t="s">
        <v>139</v>
      </c>
      <c r="D605" s="40" t="s">
        <v>95</v>
      </c>
      <c r="E605" s="237">
        <f>Intentionally_produced_MPs!H137</f>
        <v>0</v>
      </c>
      <c r="F605" s="168">
        <v>1</v>
      </c>
      <c r="G605" s="34"/>
      <c r="H605" s="29"/>
      <c r="I605" s="9"/>
      <c r="J605" s="9"/>
      <c r="K605" s="9"/>
      <c r="L605" s="9"/>
      <c r="M605" s="9"/>
      <c r="N605" s="185" t="str">
        <f>IF( OR( ISBLANK(H605),ISBLANK(J605), ISBLANK(K605), ISBLANK(L605), ISBLANK(M605) ), "", 1.5*SQRT(   EXP(2.21*(H605-1)) + EXP(2.21*(J605-1)) + EXP(2.21*(K605-1)) + EXP(2.21*(L605-1)) + EXP(2.21*M605)   )/100*2.45 )</f>
        <v/>
      </c>
      <c r="O605" s="159" t="str">
        <f>IF( OR( ISBLANK(I605),ISBLANK(J605), ISBLANK(K605), ISBLANK(L605), ISBLANK(M605) ), "", 1.5*SQRT( EXP(2.21*(I605-1)) + EXP(2.21*(J605-1)) + EXP(2.21*(K605-1)) + EXP(2.21*(L605-1)) + EXP(2.21*M605)   )/100*2.45 )</f>
        <v/>
      </c>
      <c r="P605" s="34"/>
    </row>
    <row r="606" spans="1:16">
      <c r="A606" s="34" t="s">
        <v>37</v>
      </c>
      <c r="B606" s="40" t="s">
        <v>159</v>
      </c>
      <c r="C606" s="34" t="s">
        <v>139</v>
      </c>
      <c r="D606" s="40" t="s">
        <v>96</v>
      </c>
      <c r="E606" s="237">
        <f>Intentionally_produced_MPs!H138</f>
        <v>0</v>
      </c>
      <c r="F606" s="168">
        <v>1</v>
      </c>
      <c r="G606" s="34"/>
      <c r="H606" s="29"/>
      <c r="I606" s="9"/>
      <c r="J606" s="9"/>
      <c r="K606" s="9"/>
      <c r="L606" s="9"/>
      <c r="M606" s="9"/>
      <c r="N606" s="185" t="str">
        <f>IF( OR( ISBLANK(H606),ISBLANK(J606), ISBLANK(K606), ISBLANK(L606), ISBLANK(M606) ), "", 1.5*SQRT(   EXP(2.21*(H606-1)) + EXP(2.21*(J606-1)) + EXP(2.21*(K606-1)) + EXP(2.21*(L606-1)) + EXP(2.21*M606)   )/100*2.45 )</f>
        <v/>
      </c>
      <c r="O606" s="159" t="str">
        <f>IF( OR( ISBLANK(I606),ISBLANK(J606), ISBLANK(K606), ISBLANK(L606), ISBLANK(M606) ), "", 1.5*SQRT( EXP(2.21*(I606-1)) + EXP(2.21*(J606-1)) + EXP(2.21*(K606-1)) + EXP(2.21*(L606-1)) + EXP(2.21*M606)   )/100*2.45 )</f>
        <v/>
      </c>
      <c r="P606" s="34"/>
    </row>
    <row r="607" spans="1:16">
      <c r="A607" s="34" t="s">
        <v>37</v>
      </c>
      <c r="B607" s="40" t="s">
        <v>159</v>
      </c>
      <c r="C607" s="34" t="s">
        <v>139</v>
      </c>
      <c r="D607" s="40" t="s">
        <v>97</v>
      </c>
      <c r="E607" s="237">
        <f>Intentionally_produced_MPs!H139</f>
        <v>0</v>
      </c>
      <c r="F607" s="168">
        <v>1</v>
      </c>
      <c r="G607" s="34"/>
      <c r="H607" s="29"/>
      <c r="I607" s="9"/>
      <c r="J607" s="9"/>
      <c r="K607" s="9"/>
      <c r="L607" s="9"/>
      <c r="M607" s="9"/>
      <c r="N607" s="185" t="str">
        <f>IF( OR( ISBLANK(H607),ISBLANK(J607), ISBLANK(K607), ISBLANK(L607), ISBLANK(M607) ), "", 1.5*SQRT(   EXP(2.21*(H607-1)) + EXP(2.21*(J607-1)) + EXP(2.21*(K607-1)) + EXP(2.21*(L607-1)) + EXP(2.21*M607)   )/100*2.45 )</f>
        <v/>
      </c>
      <c r="O607" s="159" t="str">
        <f>IF( OR( ISBLANK(I607),ISBLANK(J607), ISBLANK(K607), ISBLANK(L607), ISBLANK(M607) ), "", 1.5*SQRT( EXP(2.21*(I607-1)) + EXP(2.21*(J607-1)) + EXP(2.21*(K607-1)) + EXP(2.21*(L607-1)) + EXP(2.21*M607)   )/100*2.45 )</f>
        <v/>
      </c>
      <c r="P607" s="34"/>
    </row>
    <row r="608" spans="1:16">
      <c r="A608" s="34" t="s">
        <v>37</v>
      </c>
      <c r="B608" s="40" t="s">
        <v>159</v>
      </c>
      <c r="C608" s="34" t="s">
        <v>139</v>
      </c>
      <c r="D608" s="40" t="s">
        <v>98</v>
      </c>
      <c r="E608" s="237">
        <f>Intentionally_produced_MPs!H140</f>
        <v>0</v>
      </c>
      <c r="F608" s="168">
        <v>1</v>
      </c>
      <c r="G608" s="34"/>
      <c r="H608" s="29"/>
      <c r="I608" s="9"/>
      <c r="J608" s="9"/>
      <c r="K608" s="9"/>
      <c r="L608" s="9"/>
      <c r="M608" s="9"/>
      <c r="N608" s="185" t="str">
        <f>IF( OR( ISBLANK(H608),ISBLANK(J608), ISBLANK(K608), ISBLANK(L608), ISBLANK(M608) ), "", 1.5*SQRT(   EXP(2.21*(H608-1)) + EXP(2.21*(J608-1)) + EXP(2.21*(K608-1)) + EXP(2.21*(L608-1)) + EXP(2.21*M608)   )/100*2.45 )</f>
        <v/>
      </c>
      <c r="O608" s="159" t="str">
        <f>IF( OR( ISBLANK(I608),ISBLANK(J608), ISBLANK(K608), ISBLANK(L608), ISBLANK(M608) ), "", 1.5*SQRT( EXP(2.21*(I608-1)) + EXP(2.21*(J608-1)) + EXP(2.21*(K608-1)) + EXP(2.21*(L608-1)) + EXP(2.21*M608)   )/100*2.45 )</f>
        <v/>
      </c>
      <c r="P608" s="34"/>
    </row>
    <row r="609" spans="1:16">
      <c r="A609" s="34" t="s">
        <v>37</v>
      </c>
      <c r="B609" s="40" t="s">
        <v>268</v>
      </c>
      <c r="C609" s="34" t="s">
        <v>139</v>
      </c>
      <c r="D609" s="40" t="s">
        <v>85</v>
      </c>
      <c r="E609" s="237">
        <f>Intentionally_produced_MPs!R127</f>
        <v>0</v>
      </c>
      <c r="F609" s="168">
        <v>1</v>
      </c>
      <c r="G609" s="34"/>
      <c r="H609" s="29"/>
      <c r="I609" s="9"/>
      <c r="J609" s="9"/>
      <c r="K609" s="9"/>
      <c r="L609" s="9"/>
      <c r="M609" s="9"/>
      <c r="N609" s="185" t="str">
        <f>IF( OR( ISBLANK(H609),ISBLANK(J609), ISBLANK(K609), ISBLANK(L609), ISBLANK(M609) ), "", 1.5*SQRT(   EXP(2.21*(H609-1)) + EXP(2.21*(J609-1)) + EXP(2.21*(K609-1)) + EXP(2.21*(L609-1)) + EXP(2.21*M609)   )/100*2.45 )</f>
        <v/>
      </c>
      <c r="O609" s="159" t="str">
        <f>IF( OR( ISBLANK(I609),ISBLANK(J609), ISBLANK(K609), ISBLANK(L609), ISBLANK(M609) ), "", 1.5*SQRT( EXP(2.21*(I609-1)) + EXP(2.21*(J609-1)) + EXP(2.21*(K609-1)) + EXP(2.21*(L609-1)) + EXP(2.21*M609)   )/100*2.45 )</f>
        <v/>
      </c>
      <c r="P609" s="34"/>
    </row>
    <row r="610" spans="1:16">
      <c r="A610" s="34" t="s">
        <v>37</v>
      </c>
      <c r="B610" s="40" t="s">
        <v>268</v>
      </c>
      <c r="C610" s="34" t="s">
        <v>139</v>
      </c>
      <c r="D610" s="40" t="s">
        <v>86</v>
      </c>
      <c r="E610" s="237">
        <f>Intentionally_produced_MPs!R128</f>
        <v>0</v>
      </c>
      <c r="F610" s="168">
        <v>1</v>
      </c>
      <c r="G610" s="34"/>
      <c r="H610" s="29"/>
      <c r="I610" s="9"/>
      <c r="J610" s="9"/>
      <c r="K610" s="9"/>
      <c r="L610" s="9"/>
      <c r="M610" s="9"/>
      <c r="N610" s="185" t="str">
        <f>IF( OR( ISBLANK(H610),ISBLANK(J610), ISBLANK(K610), ISBLANK(L610), ISBLANK(M610) ), "", 1.5*SQRT(   EXP(2.21*(H610-1)) + EXP(2.21*(J610-1)) + EXP(2.21*(K610-1)) + EXP(2.21*(L610-1)) + EXP(2.21*M610)   )/100*2.45 )</f>
        <v/>
      </c>
      <c r="O610" s="159" t="str">
        <f>IF( OR( ISBLANK(I610),ISBLANK(J610), ISBLANK(K610), ISBLANK(L610), ISBLANK(M610) ), "", 1.5*SQRT( EXP(2.21*(I610-1)) + EXP(2.21*(J610-1)) + EXP(2.21*(K610-1)) + EXP(2.21*(L610-1)) + EXP(2.21*M610)   )/100*2.45 )</f>
        <v/>
      </c>
      <c r="P610" s="34"/>
    </row>
    <row r="611" spans="1:16">
      <c r="A611" s="34" t="s">
        <v>37</v>
      </c>
      <c r="B611" s="40" t="s">
        <v>268</v>
      </c>
      <c r="C611" s="34" t="s">
        <v>139</v>
      </c>
      <c r="D611" s="40" t="s">
        <v>87</v>
      </c>
      <c r="E611" s="237">
        <f>Intentionally_produced_MPs!R129</f>
        <v>0</v>
      </c>
      <c r="F611" s="168">
        <v>1</v>
      </c>
      <c r="G611" s="34"/>
      <c r="H611" s="29"/>
      <c r="I611" s="9"/>
      <c r="J611" s="9"/>
      <c r="K611" s="9"/>
      <c r="L611" s="9"/>
      <c r="M611" s="9"/>
      <c r="N611" s="185" t="str">
        <f>IF( OR( ISBLANK(H611),ISBLANK(J611), ISBLANK(K611), ISBLANK(L611), ISBLANK(M611) ), "", 1.5*SQRT(   EXP(2.21*(H611-1)) + EXP(2.21*(J611-1)) + EXP(2.21*(K611-1)) + EXP(2.21*(L611-1)) + EXP(2.21*M611)   )/100*2.45 )</f>
        <v/>
      </c>
      <c r="O611" s="159" t="str">
        <f>IF( OR( ISBLANK(I611),ISBLANK(J611), ISBLANK(K611), ISBLANK(L611), ISBLANK(M611) ), "", 1.5*SQRT( EXP(2.21*(I611-1)) + EXP(2.21*(J611-1)) + EXP(2.21*(K611-1)) + EXP(2.21*(L611-1)) + EXP(2.21*M611)   )/100*2.45 )</f>
        <v/>
      </c>
      <c r="P611" s="34"/>
    </row>
    <row r="612" spans="1:16">
      <c r="A612" s="34" t="s">
        <v>37</v>
      </c>
      <c r="B612" s="40" t="s">
        <v>268</v>
      </c>
      <c r="C612" s="34" t="s">
        <v>139</v>
      </c>
      <c r="D612" s="40" t="s">
        <v>88</v>
      </c>
      <c r="E612" s="237">
        <f>Intentionally_produced_MPs!R130</f>
        <v>0</v>
      </c>
      <c r="F612" s="168">
        <v>1</v>
      </c>
      <c r="G612" s="34"/>
      <c r="H612" s="29"/>
      <c r="I612" s="9"/>
      <c r="J612" s="9"/>
      <c r="K612" s="9"/>
      <c r="L612" s="9"/>
      <c r="M612" s="9"/>
      <c r="N612" s="185" t="str">
        <f>IF( OR( ISBLANK(H612),ISBLANK(J612), ISBLANK(K612), ISBLANK(L612), ISBLANK(M612) ), "", 1.5*SQRT(   EXP(2.21*(H612-1)) + EXP(2.21*(J612-1)) + EXP(2.21*(K612-1)) + EXP(2.21*(L612-1)) + EXP(2.21*M612)   )/100*2.45 )</f>
        <v/>
      </c>
      <c r="O612" s="159" t="str">
        <f>IF( OR( ISBLANK(I612),ISBLANK(J612), ISBLANK(K612), ISBLANK(L612), ISBLANK(M612) ), "", 1.5*SQRT( EXP(2.21*(I612-1)) + EXP(2.21*(J612-1)) + EXP(2.21*(K612-1)) + EXP(2.21*(L612-1)) + EXP(2.21*M612)   )/100*2.45 )</f>
        <v/>
      </c>
      <c r="P612" s="34"/>
    </row>
    <row r="613" spans="1:16">
      <c r="A613" s="34" t="s">
        <v>37</v>
      </c>
      <c r="B613" s="40" t="s">
        <v>268</v>
      </c>
      <c r="C613" s="34" t="s">
        <v>139</v>
      </c>
      <c r="D613" s="40" t="s">
        <v>89</v>
      </c>
      <c r="E613" s="237">
        <f>Intentionally_produced_MPs!R131</f>
        <v>0</v>
      </c>
      <c r="F613" s="168">
        <v>1</v>
      </c>
      <c r="G613" s="34"/>
      <c r="H613" s="29"/>
      <c r="I613" s="9"/>
      <c r="J613" s="9"/>
      <c r="K613" s="9"/>
      <c r="L613" s="9"/>
      <c r="M613" s="9"/>
      <c r="N613" s="185" t="str">
        <f>IF( OR( ISBLANK(H613),ISBLANK(J613), ISBLANK(K613), ISBLANK(L613), ISBLANK(M613) ), "", 1.5*SQRT(   EXP(2.21*(H613-1)) + EXP(2.21*(J613-1)) + EXP(2.21*(K613-1)) + EXP(2.21*(L613-1)) + EXP(2.21*M613)   )/100*2.45 )</f>
        <v/>
      </c>
      <c r="O613" s="159" t="str">
        <f>IF( OR( ISBLANK(I613),ISBLANK(J613), ISBLANK(K613), ISBLANK(L613), ISBLANK(M613) ), "", 1.5*SQRT( EXP(2.21*(I613-1)) + EXP(2.21*(J613-1)) + EXP(2.21*(K613-1)) + EXP(2.21*(L613-1)) + EXP(2.21*M613)   )/100*2.45 )</f>
        <v/>
      </c>
      <c r="P613" s="34"/>
    </row>
    <row r="614" spans="1:16">
      <c r="A614" s="34" t="s">
        <v>37</v>
      </c>
      <c r="B614" s="40" t="s">
        <v>268</v>
      </c>
      <c r="C614" s="34" t="s">
        <v>139</v>
      </c>
      <c r="D614" s="40" t="s">
        <v>90</v>
      </c>
      <c r="E614" s="237">
        <f>Intentionally_produced_MPs!R132</f>
        <v>0</v>
      </c>
      <c r="F614" s="168">
        <v>1</v>
      </c>
      <c r="G614" s="34"/>
      <c r="H614" s="29"/>
      <c r="I614" s="9"/>
      <c r="J614" s="9"/>
      <c r="K614" s="9"/>
      <c r="L614" s="9"/>
      <c r="M614" s="9"/>
      <c r="N614" s="185" t="str">
        <f>IF( OR( ISBLANK(H614),ISBLANK(J614), ISBLANK(K614), ISBLANK(L614), ISBLANK(M614) ), "", 1.5*SQRT(   EXP(2.21*(H614-1)) + EXP(2.21*(J614-1)) + EXP(2.21*(K614-1)) + EXP(2.21*(L614-1)) + EXP(2.21*M614)   )/100*2.45 )</f>
        <v/>
      </c>
      <c r="O614" s="159" t="str">
        <f>IF( OR( ISBLANK(I614),ISBLANK(J614), ISBLANK(K614), ISBLANK(L614), ISBLANK(M614) ), "", 1.5*SQRT( EXP(2.21*(I614-1)) + EXP(2.21*(J614-1)) + EXP(2.21*(K614-1)) + EXP(2.21*(L614-1)) + EXP(2.21*M614)   )/100*2.45 )</f>
        <v/>
      </c>
      <c r="P614" s="34"/>
    </row>
    <row r="615" spans="1:16">
      <c r="A615" s="34" t="s">
        <v>37</v>
      </c>
      <c r="B615" s="40" t="s">
        <v>268</v>
      </c>
      <c r="C615" s="34" t="s">
        <v>139</v>
      </c>
      <c r="D615" s="40" t="s">
        <v>91</v>
      </c>
      <c r="E615" s="237">
        <f>Intentionally_produced_MPs!R133</f>
        <v>0</v>
      </c>
      <c r="F615" s="168">
        <v>1</v>
      </c>
      <c r="G615" s="34"/>
      <c r="H615" s="29"/>
      <c r="I615" s="9"/>
      <c r="J615" s="9"/>
      <c r="K615" s="9"/>
      <c r="L615" s="9"/>
      <c r="M615" s="9"/>
      <c r="N615" s="185" t="str">
        <f>IF( OR( ISBLANK(H615),ISBLANK(J615), ISBLANK(K615), ISBLANK(L615), ISBLANK(M615) ), "", 1.5*SQRT(   EXP(2.21*(H615-1)) + EXP(2.21*(J615-1)) + EXP(2.21*(K615-1)) + EXP(2.21*(L615-1)) + EXP(2.21*M615)   )/100*2.45 )</f>
        <v/>
      </c>
      <c r="O615" s="159" t="str">
        <f>IF( OR( ISBLANK(I615),ISBLANK(J615), ISBLANK(K615), ISBLANK(L615), ISBLANK(M615) ), "", 1.5*SQRT( EXP(2.21*(I615-1)) + EXP(2.21*(J615-1)) + EXP(2.21*(K615-1)) + EXP(2.21*(L615-1)) + EXP(2.21*M615)   )/100*2.45 )</f>
        <v/>
      </c>
      <c r="P615" s="34"/>
    </row>
    <row r="616" spans="1:16">
      <c r="A616" s="34" t="s">
        <v>37</v>
      </c>
      <c r="B616" s="40" t="s">
        <v>268</v>
      </c>
      <c r="C616" s="34" t="s">
        <v>139</v>
      </c>
      <c r="D616" s="40" t="s">
        <v>92</v>
      </c>
      <c r="E616" s="237">
        <f>Intentionally_produced_MPs!R134</f>
        <v>0</v>
      </c>
      <c r="F616" s="168">
        <v>1</v>
      </c>
      <c r="G616" s="34"/>
      <c r="H616" s="29"/>
      <c r="I616" s="9"/>
      <c r="J616" s="9"/>
      <c r="K616" s="9"/>
      <c r="L616" s="9"/>
      <c r="M616" s="9"/>
      <c r="N616" s="185" t="str">
        <f>IF( OR( ISBLANK(H616),ISBLANK(J616), ISBLANK(K616), ISBLANK(L616), ISBLANK(M616) ), "", 1.5*SQRT(   EXP(2.21*(H616-1)) + EXP(2.21*(J616-1)) + EXP(2.21*(K616-1)) + EXP(2.21*(L616-1)) + EXP(2.21*M616)   )/100*2.45 )</f>
        <v/>
      </c>
      <c r="O616" s="159" t="str">
        <f>IF( OR( ISBLANK(I616),ISBLANK(J616), ISBLANK(K616), ISBLANK(L616), ISBLANK(M616) ), "", 1.5*SQRT( EXP(2.21*(I616-1)) + EXP(2.21*(J616-1)) + EXP(2.21*(K616-1)) + EXP(2.21*(L616-1)) + EXP(2.21*M616)   )/100*2.45 )</f>
        <v/>
      </c>
      <c r="P616" s="34"/>
    </row>
    <row r="617" spans="1:16">
      <c r="A617" s="34" t="s">
        <v>37</v>
      </c>
      <c r="B617" s="40" t="s">
        <v>268</v>
      </c>
      <c r="C617" s="34" t="s">
        <v>139</v>
      </c>
      <c r="D617" s="40" t="s">
        <v>93</v>
      </c>
      <c r="E617" s="237">
        <f>Intentionally_produced_MPs!R135</f>
        <v>0</v>
      </c>
      <c r="F617" s="168">
        <v>1</v>
      </c>
      <c r="G617" s="34"/>
      <c r="H617" s="29"/>
      <c r="I617" s="9"/>
      <c r="J617" s="9"/>
      <c r="K617" s="9"/>
      <c r="L617" s="9"/>
      <c r="M617" s="9"/>
      <c r="N617" s="185" t="str">
        <f>IF( OR( ISBLANK(H617),ISBLANK(J617), ISBLANK(K617), ISBLANK(L617), ISBLANK(M617) ), "", 1.5*SQRT(   EXP(2.21*(H617-1)) + EXP(2.21*(J617-1)) + EXP(2.21*(K617-1)) + EXP(2.21*(L617-1)) + EXP(2.21*M617)   )/100*2.45 )</f>
        <v/>
      </c>
      <c r="O617" s="159" t="str">
        <f>IF( OR( ISBLANK(I617),ISBLANK(J617), ISBLANK(K617), ISBLANK(L617), ISBLANK(M617) ), "", 1.5*SQRT( EXP(2.21*(I617-1)) + EXP(2.21*(J617-1)) + EXP(2.21*(K617-1)) + EXP(2.21*(L617-1)) + EXP(2.21*M617)   )/100*2.45 )</f>
        <v/>
      </c>
      <c r="P617" s="34"/>
    </row>
    <row r="618" spans="1:16">
      <c r="A618" s="34" t="s">
        <v>37</v>
      </c>
      <c r="B618" s="40" t="s">
        <v>268</v>
      </c>
      <c r="C618" s="34" t="s">
        <v>139</v>
      </c>
      <c r="D618" s="40" t="s">
        <v>94</v>
      </c>
      <c r="E618" s="237">
        <f>Intentionally_produced_MPs!R136</f>
        <v>0</v>
      </c>
      <c r="F618" s="168">
        <v>1</v>
      </c>
      <c r="G618" s="34"/>
      <c r="H618" s="29"/>
      <c r="I618" s="9"/>
      <c r="J618" s="9"/>
      <c r="K618" s="9"/>
      <c r="L618" s="9"/>
      <c r="M618" s="9"/>
      <c r="N618" s="185" t="str">
        <f>IF( OR( ISBLANK(H618),ISBLANK(J618), ISBLANK(K618), ISBLANK(L618), ISBLANK(M618) ), "", 1.5*SQRT(   EXP(2.21*(H618-1)) + EXP(2.21*(J618-1)) + EXP(2.21*(K618-1)) + EXP(2.21*(L618-1)) + EXP(2.21*M618)   )/100*2.45 )</f>
        <v/>
      </c>
      <c r="O618" s="159" t="str">
        <f>IF( OR( ISBLANK(I618),ISBLANK(J618), ISBLANK(K618), ISBLANK(L618), ISBLANK(M618) ), "", 1.5*SQRT( EXP(2.21*(I618-1)) + EXP(2.21*(J618-1)) + EXP(2.21*(K618-1)) + EXP(2.21*(L618-1)) + EXP(2.21*M618)   )/100*2.45 )</f>
        <v/>
      </c>
      <c r="P618" s="34"/>
    </row>
    <row r="619" spans="1:16">
      <c r="A619" s="34" t="s">
        <v>37</v>
      </c>
      <c r="B619" s="40" t="s">
        <v>268</v>
      </c>
      <c r="C619" s="34" t="s">
        <v>139</v>
      </c>
      <c r="D619" s="40" t="s">
        <v>95</v>
      </c>
      <c r="E619" s="237">
        <f>Intentionally_produced_MPs!R137</f>
        <v>0</v>
      </c>
      <c r="F619" s="168">
        <v>1</v>
      </c>
      <c r="G619" s="34"/>
      <c r="H619" s="29"/>
      <c r="I619" s="9"/>
      <c r="J619" s="9"/>
      <c r="K619" s="9"/>
      <c r="L619" s="9"/>
      <c r="M619" s="9"/>
      <c r="N619" s="185" t="str">
        <f>IF( OR( ISBLANK(H619),ISBLANK(J619), ISBLANK(K619), ISBLANK(L619), ISBLANK(M619) ), "", 1.5*SQRT(   EXP(2.21*(H619-1)) + EXP(2.21*(J619-1)) + EXP(2.21*(K619-1)) + EXP(2.21*(L619-1)) + EXP(2.21*M619)   )/100*2.45 )</f>
        <v/>
      </c>
      <c r="O619" s="159" t="str">
        <f>IF( OR( ISBLANK(I619),ISBLANK(J619), ISBLANK(K619), ISBLANK(L619), ISBLANK(M619) ), "", 1.5*SQRT( EXP(2.21*(I619-1)) + EXP(2.21*(J619-1)) + EXP(2.21*(K619-1)) + EXP(2.21*(L619-1)) + EXP(2.21*M619)   )/100*2.45 )</f>
        <v/>
      </c>
      <c r="P619" s="34"/>
    </row>
    <row r="620" spans="1:16">
      <c r="A620" s="34" t="s">
        <v>37</v>
      </c>
      <c r="B620" s="40" t="s">
        <v>268</v>
      </c>
      <c r="C620" s="34" t="s">
        <v>139</v>
      </c>
      <c r="D620" s="40" t="s">
        <v>96</v>
      </c>
      <c r="E620" s="237">
        <f>Intentionally_produced_MPs!R138</f>
        <v>0</v>
      </c>
      <c r="F620" s="168">
        <v>1</v>
      </c>
      <c r="G620" s="34"/>
      <c r="H620" s="29"/>
      <c r="I620" s="9"/>
      <c r="J620" s="9"/>
      <c r="K620" s="9"/>
      <c r="L620" s="9"/>
      <c r="M620" s="9"/>
      <c r="N620" s="185" t="str">
        <f>IF( OR( ISBLANK(H620),ISBLANK(J620), ISBLANK(K620), ISBLANK(L620), ISBLANK(M620) ), "", 1.5*SQRT(   EXP(2.21*(H620-1)) + EXP(2.21*(J620-1)) + EXP(2.21*(K620-1)) + EXP(2.21*(L620-1)) + EXP(2.21*M620)   )/100*2.45 )</f>
        <v/>
      </c>
      <c r="O620" s="159" t="str">
        <f>IF( OR( ISBLANK(I620),ISBLANK(J620), ISBLANK(K620), ISBLANK(L620), ISBLANK(M620) ), "", 1.5*SQRT( EXP(2.21*(I620-1)) + EXP(2.21*(J620-1)) + EXP(2.21*(K620-1)) + EXP(2.21*(L620-1)) + EXP(2.21*M620)   )/100*2.45 )</f>
        <v/>
      </c>
      <c r="P620" s="34"/>
    </row>
    <row r="621" spans="1:16">
      <c r="A621" s="34" t="s">
        <v>37</v>
      </c>
      <c r="B621" s="40" t="s">
        <v>268</v>
      </c>
      <c r="C621" s="34" t="s">
        <v>139</v>
      </c>
      <c r="D621" s="40" t="s">
        <v>97</v>
      </c>
      <c r="E621" s="237">
        <f>Intentionally_produced_MPs!R139</f>
        <v>0</v>
      </c>
      <c r="F621" s="168">
        <v>1</v>
      </c>
      <c r="G621" s="34"/>
      <c r="H621" s="29"/>
      <c r="I621" s="9"/>
      <c r="J621" s="9"/>
      <c r="K621" s="9"/>
      <c r="L621" s="9"/>
      <c r="M621" s="9"/>
      <c r="N621" s="185" t="str">
        <f>IF( OR( ISBLANK(H621),ISBLANK(J621), ISBLANK(K621), ISBLANK(L621), ISBLANK(M621) ), "", 1.5*SQRT(   EXP(2.21*(H621-1)) + EXP(2.21*(J621-1)) + EXP(2.21*(K621-1)) + EXP(2.21*(L621-1)) + EXP(2.21*M621)   )/100*2.45 )</f>
        <v/>
      </c>
      <c r="O621" s="159" t="str">
        <f>IF( OR( ISBLANK(I621),ISBLANK(J621), ISBLANK(K621), ISBLANK(L621), ISBLANK(M621) ), "", 1.5*SQRT( EXP(2.21*(I621-1)) + EXP(2.21*(J621-1)) + EXP(2.21*(K621-1)) + EXP(2.21*(L621-1)) + EXP(2.21*M621)   )/100*2.45 )</f>
        <v/>
      </c>
      <c r="P621" s="34"/>
    </row>
    <row r="622" spans="1:16">
      <c r="A622" s="34" t="s">
        <v>37</v>
      </c>
      <c r="B622" s="40" t="s">
        <v>268</v>
      </c>
      <c r="C622" s="34" t="s">
        <v>139</v>
      </c>
      <c r="D622" s="40" t="s">
        <v>98</v>
      </c>
      <c r="E622" s="237">
        <f>Intentionally_produced_MPs!R140</f>
        <v>0.14573018486415787</v>
      </c>
      <c r="F622" s="168">
        <v>1</v>
      </c>
      <c r="G622" s="34"/>
      <c r="H622" s="29">
        <v>3</v>
      </c>
      <c r="I622" s="9">
        <v>2</v>
      </c>
      <c r="J622" s="9">
        <v>3</v>
      </c>
      <c r="K622" s="9">
        <v>3</v>
      </c>
      <c r="L622" s="9">
        <v>3</v>
      </c>
      <c r="M622" s="9">
        <v>3</v>
      </c>
      <c r="N622" s="185">
        <f>IF( OR( ISBLANK(H622),ISBLANK(J622), ISBLANK(K622), ISBLANK(L622), ISBLANK(M622) ), "", 1.5*SQRT(   EXP(2.21*(H622-1)) + EXP(2.21*(J622-1)) + EXP(2.21*(K622-1)) + EXP(2.21*(L622-1)) + EXP(2.21*M622)   )/100*2.45 )</f>
        <v>1.2132328390150593</v>
      </c>
      <c r="O622" s="159">
        <f>IF( OR( ISBLANK(I622),ISBLANK(J622), ISBLANK(K622), ISBLANK(L622), ISBLANK(M622) ), "", 1.5*SQRT( EXP(2.21*(I622-1)) + EXP(2.21*(J622-1)) + EXP(2.21*(K622-1)) + EXP(2.21*(L622-1)) + EXP(2.21*M622)   )/100*2.45 )</f>
        <v>1.1713319510247036</v>
      </c>
      <c r="P622" s="34"/>
    </row>
    <row r="623" spans="1:16">
      <c r="A623" s="34" t="s">
        <v>37</v>
      </c>
      <c r="B623" s="40" t="s">
        <v>302</v>
      </c>
      <c r="C623" s="34" t="s">
        <v>139</v>
      </c>
      <c r="D623" s="40" t="s">
        <v>85</v>
      </c>
      <c r="E623" s="237">
        <f>Intentionally_produced_MPs!V127</f>
        <v>0</v>
      </c>
      <c r="F623" s="168">
        <v>1</v>
      </c>
      <c r="G623" s="34"/>
      <c r="H623" s="29"/>
      <c r="I623" s="9"/>
      <c r="J623" s="9"/>
      <c r="K623" s="9"/>
      <c r="L623" s="9"/>
      <c r="M623" s="9"/>
      <c r="N623" s="185" t="str">
        <f>IF( OR( ISBLANK(H623),ISBLANK(J623), ISBLANK(K623), ISBLANK(L623), ISBLANK(M623) ), "", 1.5*SQRT(   EXP(2.21*(H623-1)) + EXP(2.21*(J623-1)) + EXP(2.21*(K623-1)) + EXP(2.21*(L623-1)) + EXP(2.21*M623)   )/100*2.45 )</f>
        <v/>
      </c>
      <c r="O623" s="159" t="str">
        <f>IF( OR( ISBLANK(I623),ISBLANK(J623), ISBLANK(K623), ISBLANK(L623), ISBLANK(M623) ), "", 1.5*SQRT( EXP(2.21*(I623-1)) + EXP(2.21*(J623-1)) + EXP(2.21*(K623-1)) + EXP(2.21*(L623-1)) + EXP(2.21*M623)   )/100*2.45 )</f>
        <v/>
      </c>
      <c r="P623" s="34"/>
    </row>
    <row r="624" spans="1:16">
      <c r="A624" s="34" t="s">
        <v>37</v>
      </c>
      <c r="B624" s="40" t="s">
        <v>302</v>
      </c>
      <c r="C624" s="34" t="s">
        <v>139</v>
      </c>
      <c r="D624" s="40" t="s">
        <v>86</v>
      </c>
      <c r="E624" s="237">
        <f>Intentionally_produced_MPs!V128</f>
        <v>0</v>
      </c>
      <c r="F624" s="168">
        <v>1</v>
      </c>
      <c r="G624" s="34"/>
      <c r="H624" s="29"/>
      <c r="I624" s="9"/>
      <c r="J624" s="9"/>
      <c r="K624" s="9"/>
      <c r="L624" s="9"/>
      <c r="M624" s="9"/>
      <c r="N624" s="185" t="str">
        <f>IF( OR( ISBLANK(H624),ISBLANK(J624), ISBLANK(K624), ISBLANK(L624), ISBLANK(M624) ), "", 1.5*SQRT(   EXP(2.21*(H624-1)) + EXP(2.21*(J624-1)) + EXP(2.21*(K624-1)) + EXP(2.21*(L624-1)) + EXP(2.21*M624)   )/100*2.45 )</f>
        <v/>
      </c>
      <c r="O624" s="159" t="str">
        <f>IF( OR( ISBLANK(I624),ISBLANK(J624), ISBLANK(K624), ISBLANK(L624), ISBLANK(M624) ), "", 1.5*SQRT( EXP(2.21*(I624-1)) + EXP(2.21*(J624-1)) + EXP(2.21*(K624-1)) + EXP(2.21*(L624-1)) + EXP(2.21*M624)   )/100*2.45 )</f>
        <v/>
      </c>
      <c r="P624" s="34"/>
    </row>
    <row r="625" spans="1:16">
      <c r="A625" s="34" t="s">
        <v>37</v>
      </c>
      <c r="B625" s="40" t="s">
        <v>302</v>
      </c>
      <c r="C625" s="34" t="s">
        <v>139</v>
      </c>
      <c r="D625" s="40" t="s">
        <v>87</v>
      </c>
      <c r="E625" s="237">
        <f>Intentionally_produced_MPs!V129</f>
        <v>0</v>
      </c>
      <c r="F625" s="168">
        <v>1</v>
      </c>
      <c r="G625" s="34"/>
      <c r="H625" s="29"/>
      <c r="I625" s="9"/>
      <c r="J625" s="9"/>
      <c r="K625" s="9"/>
      <c r="L625" s="9"/>
      <c r="M625" s="9"/>
      <c r="N625" s="185" t="str">
        <f>IF( OR( ISBLANK(H625),ISBLANK(J625), ISBLANK(K625), ISBLANK(L625), ISBLANK(M625) ), "", 1.5*SQRT(   EXP(2.21*(H625-1)) + EXP(2.21*(J625-1)) + EXP(2.21*(K625-1)) + EXP(2.21*(L625-1)) + EXP(2.21*M625)   )/100*2.45 )</f>
        <v/>
      </c>
      <c r="O625" s="159" t="str">
        <f>IF( OR( ISBLANK(I625),ISBLANK(J625), ISBLANK(K625), ISBLANK(L625), ISBLANK(M625) ), "", 1.5*SQRT( EXP(2.21*(I625-1)) + EXP(2.21*(J625-1)) + EXP(2.21*(K625-1)) + EXP(2.21*(L625-1)) + EXP(2.21*M625)   )/100*2.45 )</f>
        <v/>
      </c>
      <c r="P625" s="34"/>
    </row>
    <row r="626" spans="1:16">
      <c r="A626" s="34" t="s">
        <v>37</v>
      </c>
      <c r="B626" s="40" t="s">
        <v>302</v>
      </c>
      <c r="C626" s="34" t="s">
        <v>139</v>
      </c>
      <c r="D626" s="40" t="s">
        <v>88</v>
      </c>
      <c r="E626" s="237">
        <f>Intentionally_produced_MPs!V130</f>
        <v>0</v>
      </c>
      <c r="F626" s="168">
        <v>1</v>
      </c>
      <c r="G626" s="34"/>
      <c r="H626" s="29"/>
      <c r="I626" s="9"/>
      <c r="J626" s="9"/>
      <c r="K626" s="9"/>
      <c r="L626" s="9"/>
      <c r="M626" s="9"/>
      <c r="N626" s="185" t="str">
        <f>IF( OR( ISBLANK(H626),ISBLANK(J626), ISBLANK(K626), ISBLANK(L626), ISBLANK(M626) ), "", 1.5*SQRT(   EXP(2.21*(H626-1)) + EXP(2.21*(J626-1)) + EXP(2.21*(K626-1)) + EXP(2.21*(L626-1)) + EXP(2.21*M626)   )/100*2.45 )</f>
        <v/>
      </c>
      <c r="O626" s="159" t="str">
        <f>IF( OR( ISBLANK(I626),ISBLANK(J626), ISBLANK(K626), ISBLANK(L626), ISBLANK(M626) ), "", 1.5*SQRT( EXP(2.21*(I626-1)) + EXP(2.21*(J626-1)) + EXP(2.21*(K626-1)) + EXP(2.21*(L626-1)) + EXP(2.21*M626)   )/100*2.45 )</f>
        <v/>
      </c>
      <c r="P626" s="34"/>
    </row>
    <row r="627" spans="1:16">
      <c r="A627" s="34" t="s">
        <v>37</v>
      </c>
      <c r="B627" s="40" t="s">
        <v>302</v>
      </c>
      <c r="C627" s="34" t="s">
        <v>139</v>
      </c>
      <c r="D627" s="40" t="s">
        <v>89</v>
      </c>
      <c r="E627" s="237">
        <f>Intentionally_produced_MPs!V131</f>
        <v>0</v>
      </c>
      <c r="F627" s="168">
        <v>1</v>
      </c>
      <c r="G627" s="34"/>
      <c r="H627" s="29"/>
      <c r="I627" s="9"/>
      <c r="J627" s="9"/>
      <c r="K627" s="9"/>
      <c r="L627" s="9"/>
      <c r="M627" s="9"/>
      <c r="N627" s="185" t="str">
        <f>IF( OR( ISBLANK(H627),ISBLANK(J627), ISBLANK(K627), ISBLANK(L627), ISBLANK(M627) ), "", 1.5*SQRT(   EXP(2.21*(H627-1)) + EXP(2.21*(J627-1)) + EXP(2.21*(K627-1)) + EXP(2.21*(L627-1)) + EXP(2.21*M627)   )/100*2.45 )</f>
        <v/>
      </c>
      <c r="O627" s="159" t="str">
        <f>IF( OR( ISBLANK(I627),ISBLANK(J627), ISBLANK(K627), ISBLANK(L627), ISBLANK(M627) ), "", 1.5*SQRT( EXP(2.21*(I627-1)) + EXP(2.21*(J627-1)) + EXP(2.21*(K627-1)) + EXP(2.21*(L627-1)) + EXP(2.21*M627)   )/100*2.45 )</f>
        <v/>
      </c>
      <c r="P627" s="34"/>
    </row>
    <row r="628" spans="1:16">
      <c r="A628" s="34" t="s">
        <v>37</v>
      </c>
      <c r="B628" s="40" t="s">
        <v>302</v>
      </c>
      <c r="C628" s="34" t="s">
        <v>139</v>
      </c>
      <c r="D628" s="40" t="s">
        <v>90</v>
      </c>
      <c r="E628" s="237">
        <f>Intentionally_produced_MPs!V132</f>
        <v>0</v>
      </c>
      <c r="F628" s="168">
        <v>1</v>
      </c>
      <c r="G628" s="34"/>
      <c r="H628" s="29"/>
      <c r="I628" s="9"/>
      <c r="J628" s="9"/>
      <c r="K628" s="9"/>
      <c r="L628" s="9"/>
      <c r="M628" s="9"/>
      <c r="N628" s="185" t="str">
        <f>IF( OR( ISBLANK(H628),ISBLANK(J628), ISBLANK(K628), ISBLANK(L628), ISBLANK(M628) ), "", 1.5*SQRT(   EXP(2.21*(H628-1)) + EXP(2.21*(J628-1)) + EXP(2.21*(K628-1)) + EXP(2.21*(L628-1)) + EXP(2.21*M628)   )/100*2.45 )</f>
        <v/>
      </c>
      <c r="O628" s="159" t="str">
        <f>IF( OR( ISBLANK(I628),ISBLANK(J628), ISBLANK(K628), ISBLANK(L628), ISBLANK(M628) ), "", 1.5*SQRT( EXP(2.21*(I628-1)) + EXP(2.21*(J628-1)) + EXP(2.21*(K628-1)) + EXP(2.21*(L628-1)) + EXP(2.21*M628)   )/100*2.45 )</f>
        <v/>
      </c>
      <c r="P628" s="34"/>
    </row>
    <row r="629" spans="1:16">
      <c r="A629" s="34" t="s">
        <v>37</v>
      </c>
      <c r="B629" s="40" t="s">
        <v>302</v>
      </c>
      <c r="C629" s="34" t="s">
        <v>139</v>
      </c>
      <c r="D629" s="40" t="s">
        <v>91</v>
      </c>
      <c r="E629" s="237">
        <f>Intentionally_produced_MPs!V133</f>
        <v>0</v>
      </c>
      <c r="F629" s="168">
        <v>1</v>
      </c>
      <c r="G629" s="34"/>
      <c r="H629" s="29"/>
      <c r="I629" s="9"/>
      <c r="J629" s="9"/>
      <c r="K629" s="9"/>
      <c r="L629" s="9"/>
      <c r="M629" s="9"/>
      <c r="N629" s="185" t="str">
        <f>IF( OR( ISBLANK(H629),ISBLANK(J629), ISBLANK(K629), ISBLANK(L629), ISBLANK(M629) ), "", 1.5*SQRT(   EXP(2.21*(H629-1)) + EXP(2.21*(J629-1)) + EXP(2.21*(K629-1)) + EXP(2.21*(L629-1)) + EXP(2.21*M629)   )/100*2.45 )</f>
        <v/>
      </c>
      <c r="O629" s="159" t="str">
        <f>IF( OR( ISBLANK(I629),ISBLANK(J629), ISBLANK(K629), ISBLANK(L629), ISBLANK(M629) ), "", 1.5*SQRT( EXP(2.21*(I629-1)) + EXP(2.21*(J629-1)) + EXP(2.21*(K629-1)) + EXP(2.21*(L629-1)) + EXP(2.21*M629)   )/100*2.45 )</f>
        <v/>
      </c>
      <c r="P629" s="34"/>
    </row>
    <row r="630" spans="1:16">
      <c r="A630" s="34" t="s">
        <v>37</v>
      </c>
      <c r="B630" s="40" t="s">
        <v>302</v>
      </c>
      <c r="C630" s="34" t="s">
        <v>139</v>
      </c>
      <c r="D630" s="40" t="s">
        <v>92</v>
      </c>
      <c r="E630" s="237">
        <f>Intentionally_produced_MPs!V134</f>
        <v>1</v>
      </c>
      <c r="F630" s="168">
        <v>1</v>
      </c>
      <c r="G630" s="34" t="s">
        <v>303</v>
      </c>
      <c r="H630" s="29"/>
      <c r="I630" s="9"/>
      <c r="J630" s="9"/>
      <c r="K630" s="9"/>
      <c r="L630" s="9"/>
      <c r="M630" s="9"/>
      <c r="N630" s="185" t="str">
        <f>IF( OR( ISBLANK(H630),ISBLANK(J630), ISBLANK(K630), ISBLANK(L630), ISBLANK(M630) ), "", 1.5*SQRT(   EXP(2.21*(H630-1)) + EXP(2.21*(J630-1)) + EXP(2.21*(K630-1)) + EXP(2.21*(L630-1)) + EXP(2.21*M630)   )/100*2.45 )</f>
        <v/>
      </c>
      <c r="O630" s="159" t="str">
        <f>IF( OR( ISBLANK(I630),ISBLANK(J630), ISBLANK(K630), ISBLANK(L630), ISBLANK(M630) ), "", 1.5*SQRT( EXP(2.21*(I630-1)) + EXP(2.21*(J630-1)) + EXP(2.21*(K630-1)) + EXP(2.21*(L630-1)) + EXP(2.21*M630)   )/100*2.45 )</f>
        <v/>
      </c>
      <c r="P630" s="34"/>
    </row>
    <row r="631" spans="1:16">
      <c r="A631" s="34" t="s">
        <v>37</v>
      </c>
      <c r="B631" s="40" t="s">
        <v>302</v>
      </c>
      <c r="C631" s="34" t="s">
        <v>139</v>
      </c>
      <c r="D631" s="40" t="s">
        <v>93</v>
      </c>
      <c r="E631" s="237">
        <f>Intentionally_produced_MPs!V135</f>
        <v>0</v>
      </c>
      <c r="F631" s="168">
        <v>1</v>
      </c>
      <c r="G631" s="34"/>
      <c r="H631" s="29"/>
      <c r="I631" s="9"/>
      <c r="J631" s="9"/>
      <c r="K631" s="9"/>
      <c r="L631" s="9"/>
      <c r="M631" s="9"/>
      <c r="N631" s="185" t="str">
        <f>IF( OR( ISBLANK(H631),ISBLANK(J631), ISBLANK(K631), ISBLANK(L631), ISBLANK(M631) ), "", 1.5*SQRT(   EXP(2.21*(H631-1)) + EXP(2.21*(J631-1)) + EXP(2.21*(K631-1)) + EXP(2.21*(L631-1)) + EXP(2.21*M631)   )/100*2.45 )</f>
        <v/>
      </c>
      <c r="O631" s="159" t="str">
        <f>IF( OR( ISBLANK(I631),ISBLANK(J631), ISBLANK(K631), ISBLANK(L631), ISBLANK(M631) ), "", 1.5*SQRT( EXP(2.21*(I631-1)) + EXP(2.21*(J631-1)) + EXP(2.21*(K631-1)) + EXP(2.21*(L631-1)) + EXP(2.21*M631)   )/100*2.45 )</f>
        <v/>
      </c>
      <c r="P631" s="34"/>
    </row>
    <row r="632" spans="1:16">
      <c r="A632" s="34" t="s">
        <v>37</v>
      </c>
      <c r="B632" s="40" t="s">
        <v>302</v>
      </c>
      <c r="C632" s="34" t="s">
        <v>139</v>
      </c>
      <c r="D632" s="40" t="s">
        <v>94</v>
      </c>
      <c r="E632" s="237">
        <f>Intentionally_produced_MPs!V136</f>
        <v>0</v>
      </c>
      <c r="F632" s="168">
        <v>1</v>
      </c>
      <c r="G632" s="34"/>
      <c r="H632" s="29"/>
      <c r="I632" s="9"/>
      <c r="J632" s="9"/>
      <c r="K632" s="9"/>
      <c r="L632" s="9"/>
      <c r="M632" s="9"/>
      <c r="N632" s="185" t="str">
        <f>IF( OR( ISBLANK(H632),ISBLANK(J632), ISBLANK(K632), ISBLANK(L632), ISBLANK(M632) ), "", 1.5*SQRT(   EXP(2.21*(H632-1)) + EXP(2.21*(J632-1)) + EXP(2.21*(K632-1)) + EXP(2.21*(L632-1)) + EXP(2.21*M632)   )/100*2.45 )</f>
        <v/>
      </c>
      <c r="O632" s="159" t="str">
        <f>IF( OR( ISBLANK(I632),ISBLANK(J632), ISBLANK(K632), ISBLANK(L632), ISBLANK(M632) ), "", 1.5*SQRT( EXP(2.21*(I632-1)) + EXP(2.21*(J632-1)) + EXP(2.21*(K632-1)) + EXP(2.21*(L632-1)) + EXP(2.21*M632)   )/100*2.45 )</f>
        <v/>
      </c>
      <c r="P632" s="34"/>
    </row>
    <row r="633" spans="1:16">
      <c r="A633" s="34" t="s">
        <v>37</v>
      </c>
      <c r="B633" s="40" t="s">
        <v>302</v>
      </c>
      <c r="C633" s="34" t="s">
        <v>139</v>
      </c>
      <c r="D633" s="40" t="s">
        <v>95</v>
      </c>
      <c r="E633" s="237">
        <f>Intentionally_produced_MPs!V137</f>
        <v>0</v>
      </c>
      <c r="F633" s="168">
        <v>1</v>
      </c>
      <c r="G633" s="34"/>
      <c r="H633" s="29"/>
      <c r="I633" s="9"/>
      <c r="J633" s="9"/>
      <c r="K633" s="9"/>
      <c r="L633" s="9"/>
      <c r="M633" s="9"/>
      <c r="N633" s="185" t="str">
        <f>IF( OR( ISBLANK(H633),ISBLANK(J633), ISBLANK(K633), ISBLANK(L633), ISBLANK(M633) ), "", 1.5*SQRT(   EXP(2.21*(H633-1)) + EXP(2.21*(J633-1)) + EXP(2.21*(K633-1)) + EXP(2.21*(L633-1)) + EXP(2.21*M633)   )/100*2.45 )</f>
        <v/>
      </c>
      <c r="O633" s="159" t="str">
        <f>IF( OR( ISBLANK(I633),ISBLANK(J633), ISBLANK(K633), ISBLANK(L633), ISBLANK(M633) ), "", 1.5*SQRT( EXP(2.21*(I633-1)) + EXP(2.21*(J633-1)) + EXP(2.21*(K633-1)) + EXP(2.21*(L633-1)) + EXP(2.21*M633)   )/100*2.45 )</f>
        <v/>
      </c>
      <c r="P633" s="34"/>
    </row>
    <row r="634" spans="1:16">
      <c r="A634" s="34" t="s">
        <v>37</v>
      </c>
      <c r="B634" s="40" t="s">
        <v>302</v>
      </c>
      <c r="C634" s="34" t="s">
        <v>139</v>
      </c>
      <c r="D634" s="40" t="s">
        <v>96</v>
      </c>
      <c r="E634" s="237">
        <f>Intentionally_produced_MPs!V138</f>
        <v>0</v>
      </c>
      <c r="F634" s="168">
        <v>1</v>
      </c>
      <c r="G634" s="34"/>
      <c r="H634" s="29"/>
      <c r="I634" s="9"/>
      <c r="J634" s="9"/>
      <c r="K634" s="9"/>
      <c r="L634" s="9"/>
      <c r="M634" s="9"/>
      <c r="N634" s="185" t="str">
        <f>IF( OR( ISBLANK(H634),ISBLANK(J634), ISBLANK(K634), ISBLANK(L634), ISBLANK(M634) ), "", 1.5*SQRT(   EXP(2.21*(H634-1)) + EXP(2.21*(J634-1)) + EXP(2.21*(K634-1)) + EXP(2.21*(L634-1)) + EXP(2.21*M634)   )/100*2.45 )</f>
        <v/>
      </c>
      <c r="O634" s="159" t="str">
        <f>IF( OR( ISBLANK(I634),ISBLANK(J634), ISBLANK(K634), ISBLANK(L634), ISBLANK(M634) ), "", 1.5*SQRT( EXP(2.21*(I634-1)) + EXP(2.21*(J634-1)) + EXP(2.21*(K634-1)) + EXP(2.21*(L634-1)) + EXP(2.21*M634)   )/100*2.45 )</f>
        <v/>
      </c>
      <c r="P634" s="34"/>
    </row>
    <row r="635" spans="1:16">
      <c r="A635" s="34" t="s">
        <v>37</v>
      </c>
      <c r="B635" s="40" t="s">
        <v>302</v>
      </c>
      <c r="C635" s="34" t="s">
        <v>139</v>
      </c>
      <c r="D635" s="40" t="s">
        <v>97</v>
      </c>
      <c r="E635" s="237">
        <f>Intentionally_produced_MPs!V139</f>
        <v>0</v>
      </c>
      <c r="F635" s="168">
        <v>1</v>
      </c>
      <c r="G635" s="34"/>
      <c r="H635" s="29"/>
      <c r="I635" s="9"/>
      <c r="J635" s="9"/>
      <c r="K635" s="9"/>
      <c r="L635" s="9"/>
      <c r="M635" s="9"/>
      <c r="N635" s="185" t="str">
        <f>IF( OR( ISBLANK(H635),ISBLANK(J635), ISBLANK(K635), ISBLANK(L635), ISBLANK(M635) ), "", 1.5*SQRT(   EXP(2.21*(H635-1)) + EXP(2.21*(J635-1)) + EXP(2.21*(K635-1)) + EXP(2.21*(L635-1)) + EXP(2.21*M635)   )/100*2.45 )</f>
        <v/>
      </c>
      <c r="O635" s="159" t="str">
        <f>IF( OR( ISBLANK(I635),ISBLANK(J635), ISBLANK(K635), ISBLANK(L635), ISBLANK(M635) ), "", 1.5*SQRT( EXP(2.21*(I635-1)) + EXP(2.21*(J635-1)) + EXP(2.21*(K635-1)) + EXP(2.21*(L635-1)) + EXP(2.21*M635)   )/100*2.45 )</f>
        <v/>
      </c>
      <c r="P635" s="34"/>
    </row>
    <row r="636" spans="1:16">
      <c r="A636" s="34" t="s">
        <v>37</v>
      </c>
      <c r="B636" s="40" t="s">
        <v>302</v>
      </c>
      <c r="C636" s="34" t="s">
        <v>139</v>
      </c>
      <c r="D636" s="40" t="s">
        <v>98</v>
      </c>
      <c r="E636" s="237">
        <f>Intentionally_produced_MPs!V140</f>
        <v>0</v>
      </c>
      <c r="F636" s="168">
        <v>1</v>
      </c>
      <c r="G636" s="34"/>
      <c r="H636" s="29"/>
      <c r="I636" s="9"/>
      <c r="J636" s="9"/>
      <c r="K636" s="9"/>
      <c r="L636" s="9"/>
      <c r="M636" s="9"/>
      <c r="N636" s="185" t="str">
        <f>IF( OR( ISBLANK(H636),ISBLANK(J636), ISBLANK(K636), ISBLANK(L636), ISBLANK(M636) ), "", 1.5*SQRT(   EXP(2.21*(H636-1)) + EXP(2.21*(J636-1)) + EXP(2.21*(K636-1)) + EXP(2.21*(L636-1)) + EXP(2.21*M636)   )/100*2.45 )</f>
        <v/>
      </c>
      <c r="O636" s="159" t="str">
        <f>IF( OR( ISBLANK(I636),ISBLANK(J636), ISBLANK(K636), ISBLANK(L636), ISBLANK(M636) ), "", 1.5*SQRT( EXP(2.21*(I636-1)) + EXP(2.21*(J636-1)) + EXP(2.21*(K636-1)) + EXP(2.21*(L636-1)) + EXP(2.21*M636)   )/100*2.45 )</f>
        <v/>
      </c>
      <c r="P636" s="34"/>
    </row>
    <row r="637" spans="1:16">
      <c r="A637" s="34" t="s">
        <v>37</v>
      </c>
      <c r="B637" s="40" t="s">
        <v>307</v>
      </c>
      <c r="C637" s="34" t="s">
        <v>139</v>
      </c>
      <c r="D637" s="40" t="s">
        <v>85</v>
      </c>
      <c r="E637" s="237">
        <f>Intentionally_produced_MPs!N127</f>
        <v>0</v>
      </c>
      <c r="F637" s="168">
        <v>1</v>
      </c>
      <c r="G637" s="34"/>
      <c r="H637" s="29"/>
      <c r="I637" s="9"/>
      <c r="J637" s="9"/>
      <c r="K637" s="9"/>
      <c r="L637" s="9"/>
      <c r="M637" s="9"/>
      <c r="N637" s="185" t="str">
        <f>IF( OR( ISBLANK(H637),ISBLANK(J637), ISBLANK(K637), ISBLANK(L637), ISBLANK(M637) ), "", 1.5*SQRT(   EXP(2.21*(H637-1)) + EXP(2.21*(J637-1)) + EXP(2.21*(K637-1)) + EXP(2.21*(L637-1)) + EXP(2.21*M637)   )/100*2.45 )</f>
        <v/>
      </c>
      <c r="O637" s="159" t="str">
        <f>IF( OR( ISBLANK(I637),ISBLANK(J637), ISBLANK(K637), ISBLANK(L637), ISBLANK(M637) ), "", 1.5*SQRT( EXP(2.21*(I637-1)) + EXP(2.21*(J637-1)) + EXP(2.21*(K637-1)) + EXP(2.21*(L637-1)) + EXP(2.21*M637)   )/100*2.45 )</f>
        <v/>
      </c>
      <c r="P637" s="34"/>
    </row>
    <row r="638" spans="1:16">
      <c r="A638" s="34" t="s">
        <v>37</v>
      </c>
      <c r="B638" s="40" t="s">
        <v>307</v>
      </c>
      <c r="C638" s="34" t="s">
        <v>139</v>
      </c>
      <c r="D638" s="40" t="s">
        <v>86</v>
      </c>
      <c r="E638" s="237">
        <f>Intentionally_produced_MPs!N128</f>
        <v>0</v>
      </c>
      <c r="F638" s="168">
        <v>1</v>
      </c>
      <c r="G638" s="34"/>
      <c r="H638" s="29"/>
      <c r="I638" s="9"/>
      <c r="J638" s="9"/>
      <c r="K638" s="9"/>
      <c r="L638" s="9"/>
      <c r="M638" s="9"/>
      <c r="N638" s="185" t="str">
        <f>IF( OR( ISBLANK(H638),ISBLANK(J638), ISBLANK(K638), ISBLANK(L638), ISBLANK(M638) ), "", 1.5*SQRT(   EXP(2.21*(H638-1)) + EXP(2.21*(J638-1)) + EXP(2.21*(K638-1)) + EXP(2.21*(L638-1)) + EXP(2.21*M638)   )/100*2.45 )</f>
        <v/>
      </c>
      <c r="O638" s="159" t="str">
        <f>IF( OR( ISBLANK(I638),ISBLANK(J638), ISBLANK(K638), ISBLANK(L638), ISBLANK(M638) ), "", 1.5*SQRT( EXP(2.21*(I638-1)) + EXP(2.21*(J638-1)) + EXP(2.21*(K638-1)) + EXP(2.21*(L638-1)) + EXP(2.21*M638)   )/100*2.45 )</f>
        <v/>
      </c>
      <c r="P638" s="34"/>
    </row>
    <row r="639" spans="1:16">
      <c r="A639" s="34" t="s">
        <v>37</v>
      </c>
      <c r="B639" s="40" t="s">
        <v>307</v>
      </c>
      <c r="C639" s="34" t="s">
        <v>139</v>
      </c>
      <c r="D639" s="40" t="s">
        <v>87</v>
      </c>
      <c r="E639" s="237">
        <f>Intentionally_produced_MPs!N129</f>
        <v>0</v>
      </c>
      <c r="F639" s="168">
        <v>1</v>
      </c>
      <c r="G639" s="34"/>
      <c r="H639" s="29"/>
      <c r="I639" s="9"/>
      <c r="J639" s="9"/>
      <c r="K639" s="9"/>
      <c r="L639" s="9"/>
      <c r="M639" s="9"/>
      <c r="N639" s="185" t="str">
        <f>IF( OR( ISBLANK(H639),ISBLANK(J639), ISBLANK(K639), ISBLANK(L639), ISBLANK(M639) ), "", 1.5*SQRT(   EXP(2.21*(H639-1)) + EXP(2.21*(J639-1)) + EXP(2.21*(K639-1)) + EXP(2.21*(L639-1)) + EXP(2.21*M639)   )/100*2.45 )</f>
        <v/>
      </c>
      <c r="O639" s="159" t="str">
        <f>IF( OR( ISBLANK(I639),ISBLANK(J639), ISBLANK(K639), ISBLANK(L639), ISBLANK(M639) ), "", 1.5*SQRT( EXP(2.21*(I639-1)) + EXP(2.21*(J639-1)) + EXP(2.21*(K639-1)) + EXP(2.21*(L639-1)) + EXP(2.21*M639)   )/100*2.45 )</f>
        <v/>
      </c>
      <c r="P639" s="34"/>
    </row>
    <row r="640" spans="1:16">
      <c r="A640" s="34" t="s">
        <v>37</v>
      </c>
      <c r="B640" s="40" t="s">
        <v>307</v>
      </c>
      <c r="C640" s="34" t="s">
        <v>139</v>
      </c>
      <c r="D640" s="40" t="s">
        <v>88</v>
      </c>
      <c r="E640" s="237">
        <f>Intentionally_produced_MPs!N130</f>
        <v>0</v>
      </c>
      <c r="F640" s="168">
        <v>1</v>
      </c>
      <c r="G640" s="34"/>
      <c r="H640" s="29"/>
      <c r="I640" s="9"/>
      <c r="J640" s="9"/>
      <c r="K640" s="9"/>
      <c r="L640" s="9"/>
      <c r="M640" s="9"/>
      <c r="N640" s="185" t="str">
        <f>IF( OR( ISBLANK(H640),ISBLANK(J640), ISBLANK(K640), ISBLANK(L640), ISBLANK(M640) ), "", 1.5*SQRT(   EXP(2.21*(H640-1)) + EXP(2.21*(J640-1)) + EXP(2.21*(K640-1)) + EXP(2.21*(L640-1)) + EXP(2.21*M640)   )/100*2.45 )</f>
        <v/>
      </c>
      <c r="O640" s="159" t="str">
        <f>IF( OR( ISBLANK(I640),ISBLANK(J640), ISBLANK(K640), ISBLANK(L640), ISBLANK(M640) ), "", 1.5*SQRT( EXP(2.21*(I640-1)) + EXP(2.21*(J640-1)) + EXP(2.21*(K640-1)) + EXP(2.21*(L640-1)) + EXP(2.21*M640)   )/100*2.45 )</f>
        <v/>
      </c>
      <c r="P640" s="34"/>
    </row>
    <row r="641" spans="1:16">
      <c r="A641" s="34" t="s">
        <v>37</v>
      </c>
      <c r="B641" s="40" t="s">
        <v>307</v>
      </c>
      <c r="C641" s="34" t="s">
        <v>139</v>
      </c>
      <c r="D641" s="40" t="s">
        <v>89</v>
      </c>
      <c r="E641" s="237">
        <f>Intentionally_produced_MPs!N131</f>
        <v>0</v>
      </c>
      <c r="F641" s="168">
        <v>1</v>
      </c>
      <c r="G641" s="34"/>
      <c r="H641" s="29"/>
      <c r="I641" s="9"/>
      <c r="J641" s="9"/>
      <c r="K641" s="9"/>
      <c r="L641" s="9"/>
      <c r="M641" s="9"/>
      <c r="N641" s="185" t="str">
        <f>IF( OR( ISBLANK(H641),ISBLANK(J641), ISBLANK(K641), ISBLANK(L641), ISBLANK(M641) ), "", 1.5*SQRT(   EXP(2.21*(H641-1)) + EXP(2.21*(J641-1)) + EXP(2.21*(K641-1)) + EXP(2.21*(L641-1)) + EXP(2.21*M641)   )/100*2.45 )</f>
        <v/>
      </c>
      <c r="O641" s="159" t="str">
        <f>IF( OR( ISBLANK(I641),ISBLANK(J641), ISBLANK(K641), ISBLANK(L641), ISBLANK(M641) ), "", 1.5*SQRT( EXP(2.21*(I641-1)) + EXP(2.21*(J641-1)) + EXP(2.21*(K641-1)) + EXP(2.21*(L641-1)) + EXP(2.21*M641)   )/100*2.45 )</f>
        <v/>
      </c>
      <c r="P641" s="34"/>
    </row>
    <row r="642" spans="1:16">
      <c r="A642" s="34" t="s">
        <v>37</v>
      </c>
      <c r="B642" s="40" t="s">
        <v>307</v>
      </c>
      <c r="C642" s="34" t="s">
        <v>139</v>
      </c>
      <c r="D642" s="40" t="s">
        <v>90</v>
      </c>
      <c r="E642" s="237">
        <f>Intentionally_produced_MPs!N132</f>
        <v>0</v>
      </c>
      <c r="F642" s="168">
        <v>1</v>
      </c>
      <c r="G642" s="34"/>
      <c r="H642" s="29"/>
      <c r="I642" s="9"/>
      <c r="J642" s="9"/>
      <c r="K642" s="9"/>
      <c r="L642" s="9"/>
      <c r="M642" s="9"/>
      <c r="N642" s="185" t="str">
        <f>IF( OR( ISBLANK(H642),ISBLANK(J642), ISBLANK(K642), ISBLANK(L642), ISBLANK(M642) ), "", 1.5*SQRT(   EXP(2.21*(H642-1)) + EXP(2.21*(J642-1)) + EXP(2.21*(K642-1)) + EXP(2.21*(L642-1)) + EXP(2.21*M642)   )/100*2.45 )</f>
        <v/>
      </c>
      <c r="O642" s="159" t="str">
        <f>IF( OR( ISBLANK(I642),ISBLANK(J642), ISBLANK(K642), ISBLANK(L642), ISBLANK(M642) ), "", 1.5*SQRT( EXP(2.21*(I642-1)) + EXP(2.21*(J642-1)) + EXP(2.21*(K642-1)) + EXP(2.21*(L642-1)) + EXP(2.21*M642)   )/100*2.45 )</f>
        <v/>
      </c>
      <c r="P642" s="34"/>
    </row>
    <row r="643" spans="1:16">
      <c r="A643" s="34" t="s">
        <v>37</v>
      </c>
      <c r="B643" s="40" t="s">
        <v>307</v>
      </c>
      <c r="C643" s="34" t="s">
        <v>139</v>
      </c>
      <c r="D643" s="40" t="s">
        <v>91</v>
      </c>
      <c r="E643" s="237">
        <f>Intentionally_produced_MPs!N133</f>
        <v>0</v>
      </c>
      <c r="F643" s="168">
        <v>1</v>
      </c>
      <c r="G643" s="34"/>
      <c r="H643" s="29"/>
      <c r="I643" s="9"/>
      <c r="J643" s="9"/>
      <c r="K643" s="9"/>
      <c r="L643" s="9"/>
      <c r="M643" s="9"/>
      <c r="N643" s="185" t="str">
        <f>IF( OR( ISBLANK(H643),ISBLANK(J643), ISBLANK(K643), ISBLANK(L643), ISBLANK(M643) ), "", 1.5*SQRT(   EXP(2.21*(H643-1)) + EXP(2.21*(J643-1)) + EXP(2.21*(K643-1)) + EXP(2.21*(L643-1)) + EXP(2.21*M643)   )/100*2.45 )</f>
        <v/>
      </c>
      <c r="O643" s="159" t="str">
        <f>IF( OR( ISBLANK(I643),ISBLANK(J643), ISBLANK(K643), ISBLANK(L643), ISBLANK(M643) ), "", 1.5*SQRT( EXP(2.21*(I643-1)) + EXP(2.21*(J643-1)) + EXP(2.21*(K643-1)) + EXP(2.21*(L643-1)) + EXP(2.21*M643)   )/100*2.45 )</f>
        <v/>
      </c>
      <c r="P643" s="34"/>
    </row>
    <row r="644" spans="1:16">
      <c r="A644" s="34" t="s">
        <v>37</v>
      </c>
      <c r="B644" s="40" t="s">
        <v>307</v>
      </c>
      <c r="C644" s="34" t="s">
        <v>139</v>
      </c>
      <c r="D644" s="40" t="s">
        <v>92</v>
      </c>
      <c r="E644" s="237">
        <f>Intentionally_produced_MPs!N134</f>
        <v>0</v>
      </c>
      <c r="F644" s="168">
        <v>1</v>
      </c>
      <c r="G644" s="34"/>
      <c r="H644" s="29"/>
      <c r="I644" s="9"/>
      <c r="J644" s="9"/>
      <c r="K644" s="9"/>
      <c r="L644" s="9"/>
      <c r="M644" s="9"/>
      <c r="N644" s="185" t="str">
        <f>IF( OR( ISBLANK(H644),ISBLANK(J644), ISBLANK(K644), ISBLANK(L644), ISBLANK(M644) ), "", 1.5*SQRT(   EXP(2.21*(H644-1)) + EXP(2.21*(J644-1)) + EXP(2.21*(K644-1)) + EXP(2.21*(L644-1)) + EXP(2.21*M644)   )/100*2.45 )</f>
        <v/>
      </c>
      <c r="O644" s="159" t="str">
        <f>IF( OR( ISBLANK(I644),ISBLANK(J644), ISBLANK(K644), ISBLANK(L644), ISBLANK(M644) ), "", 1.5*SQRT( EXP(2.21*(I644-1)) + EXP(2.21*(J644-1)) + EXP(2.21*(K644-1)) + EXP(2.21*(L644-1)) + EXP(2.21*M644)   )/100*2.45 )</f>
        <v/>
      </c>
      <c r="P644" s="34"/>
    </row>
    <row r="645" spans="1:16">
      <c r="A645" s="34" t="s">
        <v>37</v>
      </c>
      <c r="B645" s="40" t="s">
        <v>307</v>
      </c>
      <c r="C645" s="34" t="s">
        <v>139</v>
      </c>
      <c r="D645" s="40" t="s">
        <v>93</v>
      </c>
      <c r="E645" s="237">
        <f>Intentionally_produced_MPs!N135</f>
        <v>0</v>
      </c>
      <c r="F645" s="168">
        <v>1</v>
      </c>
      <c r="G645" s="34"/>
      <c r="H645" s="29"/>
      <c r="I645" s="9"/>
      <c r="J645" s="9"/>
      <c r="K645" s="9"/>
      <c r="L645" s="9"/>
      <c r="M645" s="9"/>
      <c r="N645" s="185" t="str">
        <f>IF( OR( ISBLANK(H645),ISBLANK(J645), ISBLANK(K645), ISBLANK(L645), ISBLANK(M645) ), "", 1.5*SQRT(   EXP(2.21*(H645-1)) + EXP(2.21*(J645-1)) + EXP(2.21*(K645-1)) + EXP(2.21*(L645-1)) + EXP(2.21*M645)   )/100*2.45 )</f>
        <v/>
      </c>
      <c r="O645" s="159" t="str">
        <f>IF( OR( ISBLANK(I645),ISBLANK(J645), ISBLANK(K645), ISBLANK(L645), ISBLANK(M645) ), "", 1.5*SQRT( EXP(2.21*(I645-1)) + EXP(2.21*(J645-1)) + EXP(2.21*(K645-1)) + EXP(2.21*(L645-1)) + EXP(2.21*M645)   )/100*2.45 )</f>
        <v/>
      </c>
      <c r="P645" s="34"/>
    </row>
    <row r="646" spans="1:16">
      <c r="A646" s="34" t="s">
        <v>37</v>
      </c>
      <c r="B646" s="40" t="s">
        <v>307</v>
      </c>
      <c r="C646" s="34" t="s">
        <v>139</v>
      </c>
      <c r="D646" s="40" t="s">
        <v>94</v>
      </c>
      <c r="E646" s="237">
        <f>Intentionally_produced_MPs!N136</f>
        <v>0</v>
      </c>
      <c r="F646" s="168">
        <v>1</v>
      </c>
      <c r="G646" s="34"/>
      <c r="H646" s="29"/>
      <c r="I646" s="9"/>
      <c r="J646" s="9"/>
      <c r="K646" s="9"/>
      <c r="L646" s="9"/>
      <c r="M646" s="9"/>
      <c r="N646" s="185" t="str">
        <f>IF( OR( ISBLANK(H646),ISBLANK(J646), ISBLANK(K646), ISBLANK(L646), ISBLANK(M646) ), "", 1.5*SQRT(   EXP(2.21*(H646-1)) + EXP(2.21*(J646-1)) + EXP(2.21*(K646-1)) + EXP(2.21*(L646-1)) + EXP(2.21*M646)   )/100*2.45 )</f>
        <v/>
      </c>
      <c r="O646" s="159" t="str">
        <f>IF( OR( ISBLANK(I646),ISBLANK(J646), ISBLANK(K646), ISBLANK(L646), ISBLANK(M646) ), "", 1.5*SQRT( EXP(2.21*(I646-1)) + EXP(2.21*(J646-1)) + EXP(2.21*(K646-1)) + EXP(2.21*(L646-1)) + EXP(2.21*M646)   )/100*2.45 )</f>
        <v/>
      </c>
      <c r="P646" s="34"/>
    </row>
    <row r="647" spans="1:16">
      <c r="A647" s="34" t="s">
        <v>37</v>
      </c>
      <c r="B647" s="40" t="s">
        <v>307</v>
      </c>
      <c r="C647" s="34" t="s">
        <v>139</v>
      </c>
      <c r="D647" s="40" t="s">
        <v>95</v>
      </c>
      <c r="E647" s="237">
        <f>Intentionally_produced_MPs!N137</f>
        <v>0</v>
      </c>
      <c r="F647" s="168">
        <v>1</v>
      </c>
      <c r="G647" s="34"/>
      <c r="H647" s="29"/>
      <c r="I647" s="9"/>
      <c r="J647" s="9"/>
      <c r="K647" s="9"/>
      <c r="L647" s="9"/>
      <c r="M647" s="9"/>
      <c r="N647" s="185" t="str">
        <f>IF( OR( ISBLANK(H647),ISBLANK(J647), ISBLANK(K647), ISBLANK(L647), ISBLANK(M647) ), "", 1.5*SQRT(   EXP(2.21*(H647-1)) + EXP(2.21*(J647-1)) + EXP(2.21*(K647-1)) + EXP(2.21*(L647-1)) + EXP(2.21*M647)   )/100*2.45 )</f>
        <v/>
      </c>
      <c r="O647" s="159" t="str">
        <f>IF( OR( ISBLANK(I647),ISBLANK(J647), ISBLANK(K647), ISBLANK(L647), ISBLANK(M647) ), "", 1.5*SQRT( EXP(2.21*(I647-1)) + EXP(2.21*(J647-1)) + EXP(2.21*(K647-1)) + EXP(2.21*(L647-1)) + EXP(2.21*M647)   )/100*2.45 )</f>
        <v/>
      </c>
      <c r="P647" s="34"/>
    </row>
    <row r="648" spans="1:16">
      <c r="A648" s="34" t="s">
        <v>37</v>
      </c>
      <c r="B648" s="40" t="s">
        <v>307</v>
      </c>
      <c r="C648" s="34" t="s">
        <v>139</v>
      </c>
      <c r="D648" s="40" t="s">
        <v>96</v>
      </c>
      <c r="E648" s="237">
        <f>Intentionally_produced_MPs!N138</f>
        <v>0</v>
      </c>
      <c r="F648" s="168">
        <v>1</v>
      </c>
      <c r="G648" s="34"/>
      <c r="H648" s="29"/>
      <c r="I648" s="9"/>
      <c r="J648" s="9"/>
      <c r="K648" s="9"/>
      <c r="L648" s="9"/>
      <c r="M648" s="9"/>
      <c r="N648" s="185" t="str">
        <f>IF( OR( ISBLANK(H648),ISBLANK(J648), ISBLANK(K648), ISBLANK(L648), ISBLANK(M648) ), "", 1.5*SQRT(   EXP(2.21*(H648-1)) + EXP(2.21*(J648-1)) + EXP(2.21*(K648-1)) + EXP(2.21*(L648-1)) + EXP(2.21*M648)   )/100*2.45 )</f>
        <v/>
      </c>
      <c r="O648" s="159" t="str">
        <f>IF( OR( ISBLANK(I648),ISBLANK(J648), ISBLANK(K648), ISBLANK(L648), ISBLANK(M648) ), "", 1.5*SQRT( EXP(2.21*(I648-1)) + EXP(2.21*(J648-1)) + EXP(2.21*(K648-1)) + EXP(2.21*(L648-1)) + EXP(2.21*M648)   )/100*2.45 )</f>
        <v/>
      </c>
      <c r="P648" s="34"/>
    </row>
    <row r="649" spans="1:16">
      <c r="A649" s="34" t="s">
        <v>37</v>
      </c>
      <c r="B649" s="40" t="s">
        <v>307</v>
      </c>
      <c r="C649" s="34" t="s">
        <v>139</v>
      </c>
      <c r="D649" s="40" t="s">
        <v>97</v>
      </c>
      <c r="E649" s="237">
        <f>Intentionally_produced_MPs!N139</f>
        <v>0</v>
      </c>
      <c r="F649" s="168">
        <v>1</v>
      </c>
      <c r="G649" s="34"/>
      <c r="H649" s="29"/>
      <c r="I649" s="9"/>
      <c r="J649" s="9"/>
      <c r="K649" s="9"/>
      <c r="L649" s="9"/>
      <c r="M649" s="9"/>
      <c r="N649" s="185" t="str">
        <f>IF( OR( ISBLANK(H649),ISBLANK(J649), ISBLANK(K649), ISBLANK(L649), ISBLANK(M649) ), "", 1.5*SQRT(   EXP(2.21*(H649-1)) + EXP(2.21*(J649-1)) + EXP(2.21*(K649-1)) + EXP(2.21*(L649-1)) + EXP(2.21*M649)   )/100*2.45 )</f>
        <v/>
      </c>
      <c r="O649" s="159" t="str">
        <f>IF( OR( ISBLANK(I649),ISBLANK(J649), ISBLANK(K649), ISBLANK(L649), ISBLANK(M649) ), "", 1.5*SQRT( EXP(2.21*(I649-1)) + EXP(2.21*(J649-1)) + EXP(2.21*(K649-1)) + EXP(2.21*(L649-1)) + EXP(2.21*M649)   )/100*2.45 )</f>
        <v/>
      </c>
      <c r="P649" s="34"/>
    </row>
    <row r="650" spans="1:16">
      <c r="A650" s="34" t="s">
        <v>37</v>
      </c>
      <c r="B650" s="40" t="s">
        <v>307</v>
      </c>
      <c r="C650" s="34" t="s">
        <v>139</v>
      </c>
      <c r="D650" s="40" t="s">
        <v>98</v>
      </c>
      <c r="E650" s="237">
        <f>Intentionally_produced_MPs!N140</f>
        <v>6.6532165485482164E-3</v>
      </c>
      <c r="F650" s="168">
        <v>1</v>
      </c>
      <c r="G650" s="34"/>
      <c r="H650" s="29">
        <v>3</v>
      </c>
      <c r="I650" s="9">
        <v>2</v>
      </c>
      <c r="J650" s="9">
        <v>3</v>
      </c>
      <c r="K650" s="9">
        <v>3</v>
      </c>
      <c r="L650" s="9">
        <v>3</v>
      </c>
      <c r="M650" s="9">
        <v>3</v>
      </c>
      <c r="N650" s="185">
        <f>IF( OR( ISBLANK(H650),ISBLANK(J650), ISBLANK(K650), ISBLANK(L650), ISBLANK(M650) ), "", 1.5*SQRT(   EXP(2.21*(H650-1)) + EXP(2.21*(J650-1)) + EXP(2.21*(K650-1)) + EXP(2.21*(L650-1)) + EXP(2.21*M650)   )/100*2.45 )</f>
        <v>1.2132328390150593</v>
      </c>
      <c r="O650" s="159">
        <f>IF( OR( ISBLANK(I650),ISBLANK(J650), ISBLANK(K650), ISBLANK(L650), ISBLANK(M650) ), "", 1.5*SQRT( EXP(2.21*(I650-1)) + EXP(2.21*(J650-1)) + EXP(2.21*(K650-1)) + EXP(2.21*(L650-1)) + EXP(2.21*M650)   )/100*2.45 )</f>
        <v>1.1713319510247036</v>
      </c>
      <c r="P650" s="34"/>
    </row>
    <row r="651" spans="1:16">
      <c r="A651" s="34" t="s">
        <v>37</v>
      </c>
      <c r="B651" s="40" t="s">
        <v>331</v>
      </c>
      <c r="C651" s="34" t="s">
        <v>139</v>
      </c>
      <c r="D651" s="40" t="s">
        <v>85</v>
      </c>
      <c r="E651" s="237">
        <f>Intentionally_produced_MPs!P127</f>
        <v>0</v>
      </c>
      <c r="F651" s="168">
        <v>1</v>
      </c>
      <c r="G651" s="34"/>
      <c r="H651" s="29"/>
      <c r="I651" s="9"/>
      <c r="J651" s="9"/>
      <c r="K651" s="9"/>
      <c r="L651" s="9"/>
      <c r="M651" s="9"/>
      <c r="N651" s="185" t="str">
        <f>IF( OR( ISBLANK(H651),ISBLANK(J651), ISBLANK(K651), ISBLANK(L651), ISBLANK(M651) ), "", 1.5*SQRT(   EXP(2.21*(H651-1)) + EXP(2.21*(J651-1)) + EXP(2.21*(K651-1)) + EXP(2.21*(L651-1)) + EXP(2.21*M651)   )/100*2.45 )</f>
        <v/>
      </c>
      <c r="O651" s="159" t="str">
        <f>IF( OR( ISBLANK(I651),ISBLANK(J651), ISBLANK(K651), ISBLANK(L651), ISBLANK(M651) ), "", 1.5*SQRT( EXP(2.21*(I651-1)) + EXP(2.21*(J651-1)) + EXP(2.21*(K651-1)) + EXP(2.21*(L651-1)) + EXP(2.21*M651)   )/100*2.45 )</f>
        <v/>
      </c>
      <c r="P651" s="34"/>
    </row>
    <row r="652" spans="1:16">
      <c r="A652" s="34" t="s">
        <v>37</v>
      </c>
      <c r="B652" s="40" t="s">
        <v>331</v>
      </c>
      <c r="C652" s="34" t="s">
        <v>139</v>
      </c>
      <c r="D652" s="40" t="s">
        <v>86</v>
      </c>
      <c r="E652" s="237">
        <f>Intentionally_produced_MPs!P128</f>
        <v>0</v>
      </c>
      <c r="F652" s="168">
        <v>1</v>
      </c>
      <c r="G652" s="34"/>
      <c r="H652" s="29"/>
      <c r="I652" s="9"/>
      <c r="J652" s="9"/>
      <c r="K652" s="9"/>
      <c r="L652" s="9"/>
      <c r="M652" s="9"/>
      <c r="N652" s="185" t="str">
        <f>IF( OR( ISBLANK(H652),ISBLANK(J652), ISBLANK(K652), ISBLANK(L652), ISBLANK(M652) ), "", 1.5*SQRT(   EXP(2.21*(H652-1)) + EXP(2.21*(J652-1)) + EXP(2.21*(K652-1)) + EXP(2.21*(L652-1)) + EXP(2.21*M652)   )/100*2.45 )</f>
        <v/>
      </c>
      <c r="O652" s="159" t="str">
        <f>IF( OR( ISBLANK(I652),ISBLANK(J652), ISBLANK(K652), ISBLANK(L652), ISBLANK(M652) ), "", 1.5*SQRT( EXP(2.21*(I652-1)) + EXP(2.21*(J652-1)) + EXP(2.21*(K652-1)) + EXP(2.21*(L652-1)) + EXP(2.21*M652)   )/100*2.45 )</f>
        <v/>
      </c>
      <c r="P652" s="34"/>
    </row>
    <row r="653" spans="1:16">
      <c r="A653" s="34" t="s">
        <v>37</v>
      </c>
      <c r="B653" s="40" t="s">
        <v>331</v>
      </c>
      <c r="C653" s="34" t="s">
        <v>139</v>
      </c>
      <c r="D653" s="40" t="s">
        <v>87</v>
      </c>
      <c r="E653" s="237">
        <f>Intentionally_produced_MPs!P129</f>
        <v>0</v>
      </c>
      <c r="F653" s="168">
        <v>1</v>
      </c>
      <c r="G653" s="34"/>
      <c r="H653" s="29"/>
      <c r="I653" s="9"/>
      <c r="J653" s="9"/>
      <c r="K653" s="9"/>
      <c r="L653" s="9"/>
      <c r="M653" s="9"/>
      <c r="N653" s="185" t="str">
        <f>IF( OR( ISBLANK(H653),ISBLANK(J653), ISBLANK(K653), ISBLANK(L653), ISBLANK(M653) ), "", 1.5*SQRT(   EXP(2.21*(H653-1)) + EXP(2.21*(J653-1)) + EXP(2.21*(K653-1)) + EXP(2.21*(L653-1)) + EXP(2.21*M653)   )/100*2.45 )</f>
        <v/>
      </c>
      <c r="O653" s="159" t="str">
        <f>IF( OR( ISBLANK(I653),ISBLANK(J653), ISBLANK(K653), ISBLANK(L653), ISBLANK(M653) ), "", 1.5*SQRT( EXP(2.21*(I653-1)) + EXP(2.21*(J653-1)) + EXP(2.21*(K653-1)) + EXP(2.21*(L653-1)) + EXP(2.21*M653)   )/100*2.45 )</f>
        <v/>
      </c>
      <c r="P653" s="34"/>
    </row>
    <row r="654" spans="1:16">
      <c r="A654" s="34" t="s">
        <v>37</v>
      </c>
      <c r="B654" s="40" t="s">
        <v>331</v>
      </c>
      <c r="C654" s="34" t="s">
        <v>139</v>
      </c>
      <c r="D654" s="40" t="s">
        <v>88</v>
      </c>
      <c r="E654" s="237">
        <f>Intentionally_produced_MPs!P130</f>
        <v>0</v>
      </c>
      <c r="F654" s="168">
        <v>1</v>
      </c>
      <c r="G654" s="34"/>
      <c r="H654" s="29"/>
      <c r="I654" s="9"/>
      <c r="J654" s="9"/>
      <c r="K654" s="9"/>
      <c r="L654" s="9"/>
      <c r="M654" s="9"/>
      <c r="N654" s="185" t="str">
        <f>IF( OR( ISBLANK(H654),ISBLANK(J654), ISBLANK(K654), ISBLANK(L654), ISBLANK(M654) ), "", 1.5*SQRT(   EXP(2.21*(H654-1)) + EXP(2.21*(J654-1)) + EXP(2.21*(K654-1)) + EXP(2.21*(L654-1)) + EXP(2.21*M654)   )/100*2.45 )</f>
        <v/>
      </c>
      <c r="O654" s="159" t="str">
        <f>IF( OR( ISBLANK(I654),ISBLANK(J654), ISBLANK(K654), ISBLANK(L654), ISBLANK(M654) ), "", 1.5*SQRT( EXP(2.21*(I654-1)) + EXP(2.21*(J654-1)) + EXP(2.21*(K654-1)) + EXP(2.21*(L654-1)) + EXP(2.21*M654)   )/100*2.45 )</f>
        <v/>
      </c>
      <c r="P654" s="34"/>
    </row>
    <row r="655" spans="1:16">
      <c r="A655" s="34" t="s">
        <v>37</v>
      </c>
      <c r="B655" s="40" t="s">
        <v>331</v>
      </c>
      <c r="C655" s="34" t="s">
        <v>139</v>
      </c>
      <c r="D655" s="40" t="s">
        <v>89</v>
      </c>
      <c r="E655" s="237">
        <f>Intentionally_produced_MPs!P131</f>
        <v>0</v>
      </c>
      <c r="F655" s="168">
        <v>1</v>
      </c>
      <c r="G655" s="34"/>
      <c r="H655" s="29"/>
      <c r="I655" s="9"/>
      <c r="J655" s="9"/>
      <c r="K655" s="9"/>
      <c r="L655" s="9"/>
      <c r="M655" s="9"/>
      <c r="N655" s="185" t="str">
        <f>IF( OR( ISBLANK(H655),ISBLANK(J655), ISBLANK(K655), ISBLANK(L655), ISBLANK(M655) ), "", 1.5*SQRT(   EXP(2.21*(H655-1)) + EXP(2.21*(J655-1)) + EXP(2.21*(K655-1)) + EXP(2.21*(L655-1)) + EXP(2.21*M655)   )/100*2.45 )</f>
        <v/>
      </c>
      <c r="O655" s="159" t="str">
        <f>IF( OR( ISBLANK(I655),ISBLANK(J655), ISBLANK(K655), ISBLANK(L655), ISBLANK(M655) ), "", 1.5*SQRT( EXP(2.21*(I655-1)) + EXP(2.21*(J655-1)) + EXP(2.21*(K655-1)) + EXP(2.21*(L655-1)) + EXP(2.21*M655)   )/100*2.45 )</f>
        <v/>
      </c>
      <c r="P655" s="34"/>
    </row>
    <row r="656" spans="1:16">
      <c r="A656" s="34" t="s">
        <v>37</v>
      </c>
      <c r="B656" s="40" t="s">
        <v>331</v>
      </c>
      <c r="C656" s="34" t="s">
        <v>139</v>
      </c>
      <c r="D656" s="40" t="s">
        <v>90</v>
      </c>
      <c r="E656" s="237">
        <f>Intentionally_produced_MPs!P132</f>
        <v>0</v>
      </c>
      <c r="F656" s="168">
        <v>1</v>
      </c>
      <c r="G656" s="34"/>
      <c r="H656" s="29"/>
      <c r="I656" s="9"/>
      <c r="J656" s="9"/>
      <c r="K656" s="9"/>
      <c r="L656" s="9"/>
      <c r="M656" s="9"/>
      <c r="N656" s="185" t="str">
        <f>IF( OR( ISBLANK(H656),ISBLANK(J656), ISBLANK(K656), ISBLANK(L656), ISBLANK(M656) ), "", 1.5*SQRT(   EXP(2.21*(H656-1)) + EXP(2.21*(J656-1)) + EXP(2.21*(K656-1)) + EXP(2.21*(L656-1)) + EXP(2.21*M656)   )/100*2.45 )</f>
        <v/>
      </c>
      <c r="O656" s="159" t="str">
        <f>IF( OR( ISBLANK(I656),ISBLANK(J656), ISBLANK(K656), ISBLANK(L656), ISBLANK(M656) ), "", 1.5*SQRT( EXP(2.21*(I656-1)) + EXP(2.21*(J656-1)) + EXP(2.21*(K656-1)) + EXP(2.21*(L656-1)) + EXP(2.21*M656)   )/100*2.45 )</f>
        <v/>
      </c>
      <c r="P656" s="34"/>
    </row>
    <row r="657" spans="1:16">
      <c r="A657" s="34" t="s">
        <v>37</v>
      </c>
      <c r="B657" s="40" t="s">
        <v>331</v>
      </c>
      <c r="C657" s="34" t="s">
        <v>139</v>
      </c>
      <c r="D657" s="40" t="s">
        <v>91</v>
      </c>
      <c r="E657" s="237">
        <f>Intentionally_produced_MPs!P133</f>
        <v>0</v>
      </c>
      <c r="F657" s="168">
        <v>1</v>
      </c>
      <c r="G657" s="34"/>
      <c r="H657" s="29"/>
      <c r="I657" s="9"/>
      <c r="J657" s="9"/>
      <c r="K657" s="9"/>
      <c r="L657" s="9"/>
      <c r="M657" s="9"/>
      <c r="N657" s="185" t="str">
        <f>IF( OR( ISBLANK(H657),ISBLANK(J657), ISBLANK(K657), ISBLANK(L657), ISBLANK(M657) ), "", 1.5*SQRT(   EXP(2.21*(H657-1)) + EXP(2.21*(J657-1)) + EXP(2.21*(K657-1)) + EXP(2.21*(L657-1)) + EXP(2.21*M657)   )/100*2.45 )</f>
        <v/>
      </c>
      <c r="O657" s="159" t="str">
        <f>IF( OR( ISBLANK(I657),ISBLANK(J657), ISBLANK(K657), ISBLANK(L657), ISBLANK(M657) ), "", 1.5*SQRT( EXP(2.21*(I657-1)) + EXP(2.21*(J657-1)) + EXP(2.21*(K657-1)) + EXP(2.21*(L657-1)) + EXP(2.21*M657)   )/100*2.45 )</f>
        <v/>
      </c>
      <c r="P657" s="34"/>
    </row>
    <row r="658" spans="1:16">
      <c r="A658" s="34" t="s">
        <v>37</v>
      </c>
      <c r="B658" s="40" t="s">
        <v>331</v>
      </c>
      <c r="C658" s="34" t="s">
        <v>139</v>
      </c>
      <c r="D658" s="40" t="s">
        <v>92</v>
      </c>
      <c r="E658" s="237">
        <f>Intentionally_produced_MPs!P134</f>
        <v>0</v>
      </c>
      <c r="F658" s="168">
        <v>1</v>
      </c>
      <c r="G658" s="34"/>
      <c r="H658" s="29"/>
      <c r="I658" s="9"/>
      <c r="J658" s="9"/>
      <c r="K658" s="9"/>
      <c r="L658" s="9"/>
      <c r="M658" s="9"/>
      <c r="N658" s="185" t="str">
        <f>IF( OR( ISBLANK(H658),ISBLANK(J658), ISBLANK(K658), ISBLANK(L658), ISBLANK(M658) ), "", 1.5*SQRT(   EXP(2.21*(H658-1)) + EXP(2.21*(J658-1)) + EXP(2.21*(K658-1)) + EXP(2.21*(L658-1)) + EXP(2.21*M658)   )/100*2.45 )</f>
        <v/>
      </c>
      <c r="O658" s="159" t="str">
        <f>IF( OR( ISBLANK(I658),ISBLANK(J658), ISBLANK(K658), ISBLANK(L658), ISBLANK(M658) ), "", 1.5*SQRT( EXP(2.21*(I658-1)) + EXP(2.21*(J658-1)) + EXP(2.21*(K658-1)) + EXP(2.21*(L658-1)) + EXP(2.21*M658)   )/100*2.45 )</f>
        <v/>
      </c>
      <c r="P658" s="34"/>
    </row>
    <row r="659" spans="1:16">
      <c r="A659" s="34" t="s">
        <v>37</v>
      </c>
      <c r="B659" s="40" t="s">
        <v>331</v>
      </c>
      <c r="C659" s="34" t="s">
        <v>139</v>
      </c>
      <c r="D659" s="40" t="s">
        <v>93</v>
      </c>
      <c r="E659" s="237">
        <f>Intentionally_produced_MPs!P135</f>
        <v>0</v>
      </c>
      <c r="F659" s="168">
        <v>1</v>
      </c>
      <c r="G659" s="34"/>
      <c r="H659" s="29"/>
      <c r="I659" s="9"/>
      <c r="J659" s="9"/>
      <c r="K659" s="9"/>
      <c r="L659" s="9"/>
      <c r="M659" s="9"/>
      <c r="N659" s="185" t="str">
        <f>IF( OR( ISBLANK(H659),ISBLANK(J659), ISBLANK(K659), ISBLANK(L659), ISBLANK(M659) ), "", 1.5*SQRT(   EXP(2.21*(H659-1)) + EXP(2.21*(J659-1)) + EXP(2.21*(K659-1)) + EXP(2.21*(L659-1)) + EXP(2.21*M659)   )/100*2.45 )</f>
        <v/>
      </c>
      <c r="O659" s="159" t="str">
        <f>IF( OR( ISBLANK(I659),ISBLANK(J659), ISBLANK(K659), ISBLANK(L659), ISBLANK(M659) ), "", 1.5*SQRT( EXP(2.21*(I659-1)) + EXP(2.21*(J659-1)) + EXP(2.21*(K659-1)) + EXP(2.21*(L659-1)) + EXP(2.21*M659)   )/100*2.45 )</f>
        <v/>
      </c>
      <c r="P659" s="34"/>
    </row>
    <row r="660" spans="1:16">
      <c r="A660" s="34" t="s">
        <v>37</v>
      </c>
      <c r="B660" s="40" t="s">
        <v>331</v>
      </c>
      <c r="C660" s="34" t="s">
        <v>139</v>
      </c>
      <c r="D660" s="40" t="s">
        <v>94</v>
      </c>
      <c r="E660" s="237">
        <f>Intentionally_produced_MPs!P136</f>
        <v>0</v>
      </c>
      <c r="F660" s="168">
        <v>1</v>
      </c>
      <c r="G660" s="34"/>
      <c r="H660" s="29"/>
      <c r="I660" s="9"/>
      <c r="J660" s="9"/>
      <c r="K660" s="9"/>
      <c r="L660" s="9"/>
      <c r="M660" s="9"/>
      <c r="N660" s="185" t="str">
        <f>IF( OR( ISBLANK(H660),ISBLANK(J660), ISBLANK(K660), ISBLANK(L660), ISBLANK(M660) ), "", 1.5*SQRT(   EXP(2.21*(H660-1)) + EXP(2.21*(J660-1)) + EXP(2.21*(K660-1)) + EXP(2.21*(L660-1)) + EXP(2.21*M660)   )/100*2.45 )</f>
        <v/>
      </c>
      <c r="O660" s="159" t="str">
        <f>IF( OR( ISBLANK(I660),ISBLANK(J660), ISBLANK(K660), ISBLANK(L660), ISBLANK(M660) ), "", 1.5*SQRT( EXP(2.21*(I660-1)) + EXP(2.21*(J660-1)) + EXP(2.21*(K660-1)) + EXP(2.21*(L660-1)) + EXP(2.21*M660)   )/100*2.45 )</f>
        <v/>
      </c>
      <c r="P660" s="34"/>
    </row>
    <row r="661" spans="1:16">
      <c r="A661" s="34" t="s">
        <v>37</v>
      </c>
      <c r="B661" s="40" t="s">
        <v>331</v>
      </c>
      <c r="C661" s="34" t="s">
        <v>139</v>
      </c>
      <c r="D661" s="40" t="s">
        <v>95</v>
      </c>
      <c r="E661" s="237">
        <f>Intentionally_produced_MPs!P137</f>
        <v>0</v>
      </c>
      <c r="F661" s="168">
        <v>1</v>
      </c>
      <c r="G661" s="34"/>
      <c r="H661" s="29"/>
      <c r="I661" s="9"/>
      <c r="J661" s="9"/>
      <c r="K661" s="9"/>
      <c r="L661" s="9"/>
      <c r="M661" s="9"/>
      <c r="N661" s="185" t="str">
        <f>IF( OR( ISBLANK(H661),ISBLANK(J661), ISBLANK(K661), ISBLANK(L661), ISBLANK(M661) ), "", 1.5*SQRT(   EXP(2.21*(H661-1)) + EXP(2.21*(J661-1)) + EXP(2.21*(K661-1)) + EXP(2.21*(L661-1)) + EXP(2.21*M661)   )/100*2.45 )</f>
        <v/>
      </c>
      <c r="O661" s="159" t="str">
        <f>IF( OR( ISBLANK(I661),ISBLANK(J661), ISBLANK(K661), ISBLANK(L661), ISBLANK(M661) ), "", 1.5*SQRT( EXP(2.21*(I661-1)) + EXP(2.21*(J661-1)) + EXP(2.21*(K661-1)) + EXP(2.21*(L661-1)) + EXP(2.21*M661)   )/100*2.45 )</f>
        <v/>
      </c>
      <c r="P661" s="34"/>
    </row>
    <row r="662" spans="1:16">
      <c r="A662" s="34" t="s">
        <v>37</v>
      </c>
      <c r="B662" s="40" t="s">
        <v>331</v>
      </c>
      <c r="C662" s="34" t="s">
        <v>139</v>
      </c>
      <c r="D662" s="40" t="s">
        <v>96</v>
      </c>
      <c r="E662" s="237">
        <f>Intentionally_produced_MPs!P138</f>
        <v>0</v>
      </c>
      <c r="F662" s="168">
        <v>1</v>
      </c>
      <c r="G662" s="34"/>
      <c r="H662" s="29"/>
      <c r="I662" s="9"/>
      <c r="J662" s="9"/>
      <c r="K662" s="9"/>
      <c r="L662" s="9"/>
      <c r="M662" s="9"/>
      <c r="N662" s="185" t="str">
        <f>IF( OR( ISBLANK(H662),ISBLANK(J662), ISBLANK(K662), ISBLANK(L662), ISBLANK(M662) ), "", 1.5*SQRT(   EXP(2.21*(H662-1)) + EXP(2.21*(J662-1)) + EXP(2.21*(K662-1)) + EXP(2.21*(L662-1)) + EXP(2.21*M662)   )/100*2.45 )</f>
        <v/>
      </c>
      <c r="O662" s="159" t="str">
        <f>IF( OR( ISBLANK(I662),ISBLANK(J662), ISBLANK(K662), ISBLANK(L662), ISBLANK(M662) ), "", 1.5*SQRT( EXP(2.21*(I662-1)) + EXP(2.21*(J662-1)) + EXP(2.21*(K662-1)) + EXP(2.21*(L662-1)) + EXP(2.21*M662)   )/100*2.45 )</f>
        <v/>
      </c>
      <c r="P662" s="34"/>
    </row>
    <row r="663" spans="1:16">
      <c r="A663" s="34" t="s">
        <v>37</v>
      </c>
      <c r="B663" s="40" t="s">
        <v>331</v>
      </c>
      <c r="C663" s="34" t="s">
        <v>139</v>
      </c>
      <c r="D663" s="40" t="s">
        <v>97</v>
      </c>
      <c r="E663" s="237">
        <f>Intentionally_produced_MPs!P139</f>
        <v>0</v>
      </c>
      <c r="F663" s="168">
        <v>1</v>
      </c>
      <c r="G663" s="34"/>
      <c r="H663" s="29"/>
      <c r="I663" s="9"/>
      <c r="J663" s="9"/>
      <c r="K663" s="9"/>
      <c r="L663" s="9"/>
      <c r="M663" s="9"/>
      <c r="N663" s="185" t="str">
        <f>IF( OR( ISBLANK(H663),ISBLANK(J663), ISBLANK(K663), ISBLANK(L663), ISBLANK(M663) ), "", 1.5*SQRT(   EXP(2.21*(H663-1)) + EXP(2.21*(J663-1)) + EXP(2.21*(K663-1)) + EXP(2.21*(L663-1)) + EXP(2.21*M663)   )/100*2.45 )</f>
        <v/>
      </c>
      <c r="O663" s="159" t="str">
        <f>IF( OR( ISBLANK(I663),ISBLANK(J663), ISBLANK(K663), ISBLANK(L663), ISBLANK(M663) ), "", 1.5*SQRT( EXP(2.21*(I663-1)) + EXP(2.21*(J663-1)) + EXP(2.21*(K663-1)) + EXP(2.21*(L663-1)) + EXP(2.21*M663)   )/100*2.45 )</f>
        <v/>
      </c>
      <c r="P663" s="34"/>
    </row>
    <row r="664" spans="1:16">
      <c r="A664" s="34" t="s">
        <v>37</v>
      </c>
      <c r="B664" s="40" t="s">
        <v>331</v>
      </c>
      <c r="C664" s="34" t="s">
        <v>139</v>
      </c>
      <c r="D664" s="40" t="s">
        <v>98</v>
      </c>
      <c r="E664" s="237">
        <f>Intentionally_produced_MPs!P140</f>
        <v>0.14573018486415787</v>
      </c>
      <c r="F664" s="168">
        <v>1</v>
      </c>
      <c r="G664" s="34"/>
      <c r="H664" s="29">
        <v>3</v>
      </c>
      <c r="I664" s="9">
        <v>2</v>
      </c>
      <c r="J664" s="9">
        <v>3</v>
      </c>
      <c r="K664" s="9">
        <v>3</v>
      </c>
      <c r="L664" s="9">
        <v>3</v>
      </c>
      <c r="M664" s="9">
        <v>3</v>
      </c>
      <c r="N664" s="185">
        <f>IF( OR( ISBLANK(H664),ISBLANK(J664), ISBLANK(K664), ISBLANK(L664), ISBLANK(M664) ), "", 1.5*SQRT(   EXP(2.21*(H664-1)) + EXP(2.21*(J664-1)) + EXP(2.21*(K664-1)) + EXP(2.21*(L664-1)) + EXP(2.21*M664)   )/100*2.45 )</f>
        <v>1.2132328390150593</v>
      </c>
      <c r="O664" s="159">
        <f>IF( OR( ISBLANK(I664),ISBLANK(J664), ISBLANK(K664), ISBLANK(L664), ISBLANK(M664) ), "", 1.5*SQRT( EXP(2.21*(I664-1)) + EXP(2.21*(J664-1)) + EXP(2.21*(K664-1)) + EXP(2.21*(L664-1)) + EXP(2.21*M664)   )/100*2.45 )</f>
        <v>1.1713319510247036</v>
      </c>
      <c r="P664" s="34"/>
    </row>
    <row r="665" spans="1:16">
      <c r="A665" s="34" t="s">
        <v>37</v>
      </c>
      <c r="B665" s="40" t="s">
        <v>355</v>
      </c>
      <c r="C665" s="34" t="s">
        <v>139</v>
      </c>
      <c r="D665" s="40" t="s">
        <v>85</v>
      </c>
      <c r="E665" s="237">
        <f>Intentionally_produced_MPs!T127</f>
        <v>0</v>
      </c>
      <c r="F665" s="168">
        <v>1</v>
      </c>
      <c r="G665" s="34"/>
      <c r="H665" s="29"/>
      <c r="I665" s="9"/>
      <c r="J665" s="9"/>
      <c r="K665" s="9"/>
      <c r="L665" s="9"/>
      <c r="M665" s="9"/>
      <c r="N665" s="185" t="str">
        <f>IF( OR( ISBLANK(H665),ISBLANK(J665), ISBLANK(K665), ISBLANK(L665), ISBLANK(M665) ), "", 1.5*SQRT(   EXP(2.21*(H665-1)) + EXP(2.21*(J665-1)) + EXP(2.21*(K665-1)) + EXP(2.21*(L665-1)) + EXP(2.21*M665)   )/100*2.45 )</f>
        <v/>
      </c>
      <c r="O665" s="159" t="str">
        <f>IF( OR( ISBLANK(I665),ISBLANK(J665), ISBLANK(K665), ISBLANK(L665), ISBLANK(M665) ), "", 1.5*SQRT( EXP(2.21*(I665-1)) + EXP(2.21*(J665-1)) + EXP(2.21*(K665-1)) + EXP(2.21*(L665-1)) + EXP(2.21*M665)   )/100*2.45 )</f>
        <v/>
      </c>
      <c r="P665" s="34"/>
    </row>
    <row r="666" spans="1:16">
      <c r="A666" s="34" t="s">
        <v>37</v>
      </c>
      <c r="B666" s="40" t="s">
        <v>355</v>
      </c>
      <c r="C666" s="34" t="s">
        <v>139</v>
      </c>
      <c r="D666" s="40" t="s">
        <v>86</v>
      </c>
      <c r="E666" s="237">
        <f>Intentionally_produced_MPs!T128</f>
        <v>0</v>
      </c>
      <c r="F666" s="168">
        <v>1</v>
      </c>
      <c r="G666" s="34"/>
      <c r="H666" s="29"/>
      <c r="I666" s="9"/>
      <c r="J666" s="9"/>
      <c r="K666" s="9"/>
      <c r="L666" s="9"/>
      <c r="M666" s="9"/>
      <c r="N666" s="185" t="str">
        <f>IF( OR( ISBLANK(H666),ISBLANK(J666), ISBLANK(K666), ISBLANK(L666), ISBLANK(M666) ), "", 1.5*SQRT(   EXP(2.21*(H666-1)) + EXP(2.21*(J666-1)) + EXP(2.21*(K666-1)) + EXP(2.21*(L666-1)) + EXP(2.21*M666)   )/100*2.45 )</f>
        <v/>
      </c>
      <c r="O666" s="159" t="str">
        <f>IF( OR( ISBLANK(I666),ISBLANK(J666), ISBLANK(K666), ISBLANK(L666), ISBLANK(M666) ), "", 1.5*SQRT( EXP(2.21*(I666-1)) + EXP(2.21*(J666-1)) + EXP(2.21*(K666-1)) + EXP(2.21*(L666-1)) + EXP(2.21*M666)   )/100*2.45 )</f>
        <v/>
      </c>
      <c r="P666" s="34"/>
    </row>
    <row r="667" spans="1:16">
      <c r="A667" s="34" t="s">
        <v>37</v>
      </c>
      <c r="B667" s="40" t="s">
        <v>355</v>
      </c>
      <c r="C667" s="34" t="s">
        <v>139</v>
      </c>
      <c r="D667" s="40" t="s">
        <v>87</v>
      </c>
      <c r="E667" s="237">
        <f>Intentionally_produced_MPs!T129</f>
        <v>0</v>
      </c>
      <c r="F667" s="168">
        <v>1</v>
      </c>
      <c r="G667" s="34"/>
      <c r="H667" s="29"/>
      <c r="I667" s="9"/>
      <c r="J667" s="9"/>
      <c r="K667" s="9"/>
      <c r="L667" s="9"/>
      <c r="M667" s="9"/>
      <c r="N667" s="185" t="str">
        <f>IF( OR( ISBLANK(H667),ISBLANK(J667), ISBLANK(K667), ISBLANK(L667), ISBLANK(M667) ), "", 1.5*SQRT(   EXP(2.21*(H667-1)) + EXP(2.21*(J667-1)) + EXP(2.21*(K667-1)) + EXP(2.21*(L667-1)) + EXP(2.21*M667)   )/100*2.45 )</f>
        <v/>
      </c>
      <c r="O667" s="159" t="str">
        <f>IF( OR( ISBLANK(I667),ISBLANK(J667), ISBLANK(K667), ISBLANK(L667), ISBLANK(M667) ), "", 1.5*SQRT( EXP(2.21*(I667-1)) + EXP(2.21*(J667-1)) + EXP(2.21*(K667-1)) + EXP(2.21*(L667-1)) + EXP(2.21*M667)   )/100*2.45 )</f>
        <v/>
      </c>
      <c r="P667" s="34"/>
    </row>
    <row r="668" spans="1:16">
      <c r="A668" s="34" t="s">
        <v>37</v>
      </c>
      <c r="B668" s="40" t="s">
        <v>355</v>
      </c>
      <c r="C668" s="34" t="s">
        <v>139</v>
      </c>
      <c r="D668" s="40" t="s">
        <v>88</v>
      </c>
      <c r="E668" s="237">
        <f>Intentionally_produced_MPs!T130</f>
        <v>0</v>
      </c>
      <c r="F668" s="168">
        <v>1</v>
      </c>
      <c r="G668" s="34"/>
      <c r="H668" s="29"/>
      <c r="I668" s="9"/>
      <c r="J668" s="9"/>
      <c r="K668" s="9"/>
      <c r="L668" s="9"/>
      <c r="M668" s="9"/>
      <c r="N668" s="185" t="str">
        <f>IF( OR( ISBLANK(H668),ISBLANK(J668), ISBLANK(K668), ISBLANK(L668), ISBLANK(M668) ), "", 1.5*SQRT(   EXP(2.21*(H668-1)) + EXP(2.21*(J668-1)) + EXP(2.21*(K668-1)) + EXP(2.21*(L668-1)) + EXP(2.21*M668)   )/100*2.45 )</f>
        <v/>
      </c>
      <c r="O668" s="159" t="str">
        <f>IF( OR( ISBLANK(I668),ISBLANK(J668), ISBLANK(K668), ISBLANK(L668), ISBLANK(M668) ), "", 1.5*SQRT( EXP(2.21*(I668-1)) + EXP(2.21*(J668-1)) + EXP(2.21*(K668-1)) + EXP(2.21*(L668-1)) + EXP(2.21*M668)   )/100*2.45 )</f>
        <v/>
      </c>
      <c r="P668" s="34"/>
    </row>
    <row r="669" spans="1:16">
      <c r="A669" s="34" t="s">
        <v>37</v>
      </c>
      <c r="B669" s="40" t="s">
        <v>355</v>
      </c>
      <c r="C669" s="34" t="s">
        <v>139</v>
      </c>
      <c r="D669" s="40" t="s">
        <v>89</v>
      </c>
      <c r="E669" s="237">
        <f>Intentionally_produced_MPs!T131</f>
        <v>0</v>
      </c>
      <c r="F669" s="168">
        <v>1</v>
      </c>
      <c r="G669" s="34"/>
      <c r="H669" s="29"/>
      <c r="I669" s="9"/>
      <c r="J669" s="9"/>
      <c r="K669" s="9"/>
      <c r="L669" s="9"/>
      <c r="M669" s="9"/>
      <c r="N669" s="185" t="str">
        <f>IF( OR( ISBLANK(H669),ISBLANK(J669), ISBLANK(K669), ISBLANK(L669), ISBLANK(M669) ), "", 1.5*SQRT(   EXP(2.21*(H669-1)) + EXP(2.21*(J669-1)) + EXP(2.21*(K669-1)) + EXP(2.21*(L669-1)) + EXP(2.21*M669)   )/100*2.45 )</f>
        <v/>
      </c>
      <c r="O669" s="159" t="str">
        <f>IF( OR( ISBLANK(I669),ISBLANK(J669), ISBLANK(K669), ISBLANK(L669), ISBLANK(M669) ), "", 1.5*SQRT( EXP(2.21*(I669-1)) + EXP(2.21*(J669-1)) + EXP(2.21*(K669-1)) + EXP(2.21*(L669-1)) + EXP(2.21*M669)   )/100*2.45 )</f>
        <v/>
      </c>
      <c r="P669" s="34"/>
    </row>
    <row r="670" spans="1:16">
      <c r="A670" s="34" t="s">
        <v>37</v>
      </c>
      <c r="B670" s="40" t="s">
        <v>355</v>
      </c>
      <c r="C670" s="34" t="s">
        <v>139</v>
      </c>
      <c r="D670" s="40" t="s">
        <v>90</v>
      </c>
      <c r="E670" s="237">
        <f>Intentionally_produced_MPs!T132</f>
        <v>0</v>
      </c>
      <c r="F670" s="168">
        <v>1</v>
      </c>
      <c r="G670" s="34"/>
      <c r="H670" s="29"/>
      <c r="I670" s="9"/>
      <c r="J670" s="9"/>
      <c r="K670" s="9"/>
      <c r="L670" s="9"/>
      <c r="M670" s="9"/>
      <c r="N670" s="185" t="str">
        <f>IF( OR( ISBLANK(H670),ISBLANK(J670), ISBLANK(K670), ISBLANK(L670), ISBLANK(M670) ), "", 1.5*SQRT(   EXP(2.21*(H670-1)) + EXP(2.21*(J670-1)) + EXP(2.21*(K670-1)) + EXP(2.21*(L670-1)) + EXP(2.21*M670)   )/100*2.45 )</f>
        <v/>
      </c>
      <c r="O670" s="159" t="str">
        <f>IF( OR( ISBLANK(I670),ISBLANK(J670), ISBLANK(K670), ISBLANK(L670), ISBLANK(M670) ), "", 1.5*SQRT( EXP(2.21*(I670-1)) + EXP(2.21*(J670-1)) + EXP(2.21*(K670-1)) + EXP(2.21*(L670-1)) + EXP(2.21*M670)   )/100*2.45 )</f>
        <v/>
      </c>
      <c r="P670" s="34"/>
    </row>
    <row r="671" spans="1:16">
      <c r="A671" s="34" t="s">
        <v>37</v>
      </c>
      <c r="B671" s="40" t="s">
        <v>355</v>
      </c>
      <c r="C671" s="34" t="s">
        <v>139</v>
      </c>
      <c r="D671" s="40" t="s">
        <v>91</v>
      </c>
      <c r="E671" s="237">
        <f>Intentionally_produced_MPs!T133</f>
        <v>0</v>
      </c>
      <c r="F671" s="168">
        <v>1</v>
      </c>
      <c r="G671" s="34"/>
      <c r="H671" s="29"/>
      <c r="I671" s="9"/>
      <c r="J671" s="9"/>
      <c r="K671" s="9"/>
      <c r="L671" s="9"/>
      <c r="M671" s="9"/>
      <c r="N671" s="185" t="str">
        <f>IF( OR( ISBLANK(H671),ISBLANK(J671), ISBLANK(K671), ISBLANK(L671), ISBLANK(M671) ), "", 1.5*SQRT(   EXP(2.21*(H671-1)) + EXP(2.21*(J671-1)) + EXP(2.21*(K671-1)) + EXP(2.21*(L671-1)) + EXP(2.21*M671)   )/100*2.45 )</f>
        <v/>
      </c>
      <c r="O671" s="159" t="str">
        <f>IF( OR( ISBLANK(I671),ISBLANK(J671), ISBLANK(K671), ISBLANK(L671), ISBLANK(M671) ), "", 1.5*SQRT( EXP(2.21*(I671-1)) + EXP(2.21*(J671-1)) + EXP(2.21*(K671-1)) + EXP(2.21*(L671-1)) + EXP(2.21*M671)   )/100*2.45 )</f>
        <v/>
      </c>
      <c r="P671" s="34"/>
    </row>
    <row r="672" spans="1:16">
      <c r="A672" s="34" t="s">
        <v>37</v>
      </c>
      <c r="B672" s="40" t="s">
        <v>355</v>
      </c>
      <c r="C672" s="34" t="s">
        <v>139</v>
      </c>
      <c r="D672" s="40" t="s">
        <v>92</v>
      </c>
      <c r="E672" s="237">
        <f>Intentionally_produced_MPs!T134</f>
        <v>0</v>
      </c>
      <c r="F672" s="168">
        <v>1</v>
      </c>
      <c r="G672" s="34"/>
      <c r="H672" s="29"/>
      <c r="I672" s="9"/>
      <c r="J672" s="9"/>
      <c r="K672" s="9"/>
      <c r="L672" s="9"/>
      <c r="M672" s="9"/>
      <c r="N672" s="185" t="str">
        <f>IF( OR( ISBLANK(H672),ISBLANK(J672), ISBLANK(K672), ISBLANK(L672), ISBLANK(M672) ), "", 1.5*SQRT(   EXP(2.21*(H672-1)) + EXP(2.21*(J672-1)) + EXP(2.21*(K672-1)) + EXP(2.21*(L672-1)) + EXP(2.21*M672)   )/100*2.45 )</f>
        <v/>
      </c>
      <c r="O672" s="159" t="str">
        <f>IF( OR( ISBLANK(I672),ISBLANK(J672), ISBLANK(K672), ISBLANK(L672), ISBLANK(M672) ), "", 1.5*SQRT( EXP(2.21*(I672-1)) + EXP(2.21*(J672-1)) + EXP(2.21*(K672-1)) + EXP(2.21*(L672-1)) + EXP(2.21*M672)   )/100*2.45 )</f>
        <v/>
      </c>
      <c r="P672" s="34"/>
    </row>
    <row r="673" spans="1:16">
      <c r="A673" s="34" t="s">
        <v>37</v>
      </c>
      <c r="B673" s="40" t="s">
        <v>355</v>
      </c>
      <c r="C673" s="34" t="s">
        <v>139</v>
      </c>
      <c r="D673" s="40" t="s">
        <v>93</v>
      </c>
      <c r="E673" s="237">
        <f>Intentionally_produced_MPs!T135</f>
        <v>0</v>
      </c>
      <c r="F673" s="168">
        <v>1</v>
      </c>
      <c r="G673" s="34"/>
      <c r="H673" s="29"/>
      <c r="I673" s="9"/>
      <c r="J673" s="9"/>
      <c r="K673" s="9"/>
      <c r="L673" s="9"/>
      <c r="M673" s="9"/>
      <c r="N673" s="185" t="str">
        <f>IF( OR( ISBLANK(H673),ISBLANK(J673), ISBLANK(K673), ISBLANK(L673), ISBLANK(M673) ), "", 1.5*SQRT(   EXP(2.21*(H673-1)) + EXP(2.21*(J673-1)) + EXP(2.21*(K673-1)) + EXP(2.21*(L673-1)) + EXP(2.21*M673)   )/100*2.45 )</f>
        <v/>
      </c>
      <c r="O673" s="159" t="str">
        <f>IF( OR( ISBLANK(I673),ISBLANK(J673), ISBLANK(K673), ISBLANK(L673), ISBLANK(M673) ), "", 1.5*SQRT( EXP(2.21*(I673-1)) + EXP(2.21*(J673-1)) + EXP(2.21*(K673-1)) + EXP(2.21*(L673-1)) + EXP(2.21*M673)   )/100*2.45 )</f>
        <v/>
      </c>
      <c r="P673" s="34"/>
    </row>
    <row r="674" spans="1:16">
      <c r="A674" s="34" t="s">
        <v>37</v>
      </c>
      <c r="B674" s="40" t="s">
        <v>355</v>
      </c>
      <c r="C674" s="34" t="s">
        <v>139</v>
      </c>
      <c r="D674" s="40" t="s">
        <v>94</v>
      </c>
      <c r="E674" s="237">
        <f>Intentionally_produced_MPs!T136</f>
        <v>0</v>
      </c>
      <c r="F674" s="168">
        <v>1</v>
      </c>
      <c r="G674" s="34"/>
      <c r="H674" s="29"/>
      <c r="I674" s="9"/>
      <c r="J674" s="9"/>
      <c r="K674" s="9"/>
      <c r="L674" s="9"/>
      <c r="M674" s="9"/>
      <c r="N674" s="185" t="str">
        <f>IF( OR( ISBLANK(H674),ISBLANK(J674), ISBLANK(K674), ISBLANK(L674), ISBLANK(M674) ), "", 1.5*SQRT(   EXP(2.21*(H674-1)) + EXP(2.21*(J674-1)) + EXP(2.21*(K674-1)) + EXP(2.21*(L674-1)) + EXP(2.21*M674)   )/100*2.45 )</f>
        <v/>
      </c>
      <c r="O674" s="159" t="str">
        <f>IF( OR( ISBLANK(I674),ISBLANK(J674), ISBLANK(K674), ISBLANK(L674), ISBLANK(M674) ), "", 1.5*SQRT( EXP(2.21*(I674-1)) + EXP(2.21*(J674-1)) + EXP(2.21*(K674-1)) + EXP(2.21*(L674-1)) + EXP(2.21*M674)   )/100*2.45 )</f>
        <v/>
      </c>
      <c r="P674" s="34"/>
    </row>
    <row r="675" spans="1:16">
      <c r="A675" s="34" t="s">
        <v>37</v>
      </c>
      <c r="B675" s="40" t="s">
        <v>355</v>
      </c>
      <c r="C675" s="34" t="s">
        <v>139</v>
      </c>
      <c r="D675" s="40" t="s">
        <v>95</v>
      </c>
      <c r="E675" s="237">
        <f>Intentionally_produced_MPs!T137</f>
        <v>0</v>
      </c>
      <c r="F675" s="168">
        <v>1</v>
      </c>
      <c r="G675" s="34"/>
      <c r="H675" s="29"/>
      <c r="I675" s="9"/>
      <c r="J675" s="9"/>
      <c r="K675" s="9"/>
      <c r="L675" s="9"/>
      <c r="M675" s="9"/>
      <c r="N675" s="185" t="str">
        <f>IF( OR( ISBLANK(H675),ISBLANK(J675), ISBLANK(K675), ISBLANK(L675), ISBLANK(M675) ), "", 1.5*SQRT(   EXP(2.21*(H675-1)) + EXP(2.21*(J675-1)) + EXP(2.21*(K675-1)) + EXP(2.21*(L675-1)) + EXP(2.21*M675)   )/100*2.45 )</f>
        <v/>
      </c>
      <c r="O675" s="159" t="str">
        <f>IF( OR( ISBLANK(I675),ISBLANK(J675), ISBLANK(K675), ISBLANK(L675), ISBLANK(M675) ), "", 1.5*SQRT( EXP(2.21*(I675-1)) + EXP(2.21*(J675-1)) + EXP(2.21*(K675-1)) + EXP(2.21*(L675-1)) + EXP(2.21*M675)   )/100*2.45 )</f>
        <v/>
      </c>
      <c r="P675" s="34"/>
    </row>
    <row r="676" spans="1:16">
      <c r="A676" s="34" t="s">
        <v>37</v>
      </c>
      <c r="B676" s="40" t="s">
        <v>355</v>
      </c>
      <c r="C676" s="34" t="s">
        <v>139</v>
      </c>
      <c r="D676" s="40" t="s">
        <v>96</v>
      </c>
      <c r="E676" s="237">
        <f>Intentionally_produced_MPs!T138</f>
        <v>0</v>
      </c>
      <c r="F676" s="168">
        <v>1</v>
      </c>
      <c r="G676" s="34"/>
      <c r="H676" s="29"/>
      <c r="I676" s="9"/>
      <c r="J676" s="9"/>
      <c r="K676" s="9"/>
      <c r="L676" s="9"/>
      <c r="M676" s="9"/>
      <c r="N676" s="185" t="str">
        <f>IF( OR( ISBLANK(H676),ISBLANK(J676), ISBLANK(K676), ISBLANK(L676), ISBLANK(M676) ), "", 1.5*SQRT(   EXP(2.21*(H676-1)) + EXP(2.21*(J676-1)) + EXP(2.21*(K676-1)) + EXP(2.21*(L676-1)) + EXP(2.21*M676)   )/100*2.45 )</f>
        <v/>
      </c>
      <c r="O676" s="159" t="str">
        <f>IF( OR( ISBLANK(I676),ISBLANK(J676), ISBLANK(K676), ISBLANK(L676), ISBLANK(M676) ), "", 1.5*SQRT( EXP(2.21*(I676-1)) + EXP(2.21*(J676-1)) + EXP(2.21*(K676-1)) + EXP(2.21*(L676-1)) + EXP(2.21*M676)   )/100*2.45 )</f>
        <v/>
      </c>
      <c r="P676" s="34"/>
    </row>
    <row r="677" spans="1:16">
      <c r="A677" s="34" t="s">
        <v>37</v>
      </c>
      <c r="B677" s="40" t="s">
        <v>355</v>
      </c>
      <c r="C677" s="34" t="s">
        <v>139</v>
      </c>
      <c r="D677" s="40" t="s">
        <v>97</v>
      </c>
      <c r="E677" s="237">
        <f>Intentionally_produced_MPs!T139</f>
        <v>0</v>
      </c>
      <c r="F677" s="168">
        <v>1</v>
      </c>
      <c r="G677" s="34"/>
      <c r="H677" s="29"/>
      <c r="I677" s="9"/>
      <c r="J677" s="9"/>
      <c r="K677" s="9"/>
      <c r="L677" s="9"/>
      <c r="M677" s="9"/>
      <c r="N677" s="185" t="str">
        <f>IF( OR( ISBLANK(H677),ISBLANK(J677), ISBLANK(K677), ISBLANK(L677), ISBLANK(M677) ), "", 1.5*SQRT(   EXP(2.21*(H677-1)) + EXP(2.21*(J677-1)) + EXP(2.21*(K677-1)) + EXP(2.21*(L677-1)) + EXP(2.21*M677)   )/100*2.45 )</f>
        <v/>
      </c>
      <c r="O677" s="159" t="str">
        <f>IF( OR( ISBLANK(I677),ISBLANK(J677), ISBLANK(K677), ISBLANK(L677), ISBLANK(M677) ), "", 1.5*SQRT( EXP(2.21*(I677-1)) + EXP(2.21*(J677-1)) + EXP(2.21*(K677-1)) + EXP(2.21*(L677-1)) + EXP(2.21*M677)   )/100*2.45 )</f>
        <v/>
      </c>
      <c r="P677" s="34"/>
    </row>
    <row r="678" spans="1:16">
      <c r="A678" s="34" t="s">
        <v>37</v>
      </c>
      <c r="B678" s="40" t="s">
        <v>355</v>
      </c>
      <c r="C678" s="34" t="s">
        <v>139</v>
      </c>
      <c r="D678" s="40" t="s">
        <v>98</v>
      </c>
      <c r="E678" s="237">
        <f>Intentionally_produced_MPs!T140</f>
        <v>0.3578389480384554</v>
      </c>
      <c r="F678" s="168">
        <v>1</v>
      </c>
      <c r="G678" s="34"/>
      <c r="H678" s="29">
        <v>3</v>
      </c>
      <c r="I678" s="9">
        <v>2</v>
      </c>
      <c r="J678" s="9">
        <v>3</v>
      </c>
      <c r="K678" s="9">
        <v>3</v>
      </c>
      <c r="L678" s="9">
        <v>3</v>
      </c>
      <c r="M678" s="9">
        <v>3</v>
      </c>
      <c r="N678" s="185">
        <f>IF( OR( ISBLANK(H678),ISBLANK(J678), ISBLANK(K678), ISBLANK(L678), ISBLANK(M678) ), "", 1.5*SQRT(   EXP(2.21*(H678-1)) + EXP(2.21*(J678-1)) + EXP(2.21*(K678-1)) + EXP(2.21*(L678-1)) + EXP(2.21*M678)   )/100*2.45 )</f>
        <v>1.2132328390150593</v>
      </c>
      <c r="O678" s="159">
        <f>IF( OR( ISBLANK(I678),ISBLANK(J678), ISBLANK(K678), ISBLANK(L678), ISBLANK(M678) ), "", 1.5*SQRT( EXP(2.21*(I678-1)) + EXP(2.21*(J678-1)) + EXP(2.21*(K678-1)) + EXP(2.21*(L678-1)) + EXP(2.21*M678)   )/100*2.45 )</f>
        <v>1.1713319510247036</v>
      </c>
      <c r="P678" s="34"/>
    </row>
    <row r="679" spans="1:16">
      <c r="A679" s="34" t="s">
        <v>37</v>
      </c>
      <c r="B679" s="40" t="s">
        <v>347</v>
      </c>
      <c r="C679" s="34" t="s">
        <v>139</v>
      </c>
      <c r="D679" s="40" t="s">
        <v>85</v>
      </c>
      <c r="E679" s="237">
        <f>Intentionally_produced_MPs!B127</f>
        <v>0</v>
      </c>
      <c r="F679" s="168">
        <v>1</v>
      </c>
      <c r="G679" s="34"/>
      <c r="H679" s="29"/>
      <c r="I679" s="9"/>
      <c r="J679" s="9"/>
      <c r="K679" s="9"/>
      <c r="L679" s="9"/>
      <c r="M679" s="9"/>
      <c r="N679" s="185" t="str">
        <f>IF( OR( ISBLANK(H679),ISBLANK(J679), ISBLANK(K679), ISBLANK(L679), ISBLANK(M679) ), "", 1.5*SQRT(   EXP(2.21*(H679-1)) + EXP(2.21*(J679-1)) + EXP(2.21*(K679-1)) + EXP(2.21*(L679-1)) + EXP(2.21*M679)   )/100*2.45 )</f>
        <v/>
      </c>
      <c r="O679" s="159" t="str">
        <f>IF( OR( ISBLANK(I679),ISBLANK(J679), ISBLANK(K679), ISBLANK(L679), ISBLANK(M679) ), "", 1.5*SQRT( EXP(2.21*(I679-1)) + EXP(2.21*(J679-1)) + EXP(2.21*(K679-1)) + EXP(2.21*(L679-1)) + EXP(2.21*M679)   )/100*2.45 )</f>
        <v/>
      </c>
      <c r="P679" s="34"/>
    </row>
    <row r="680" spans="1:16">
      <c r="A680" s="34" t="s">
        <v>37</v>
      </c>
      <c r="B680" s="40" t="s">
        <v>347</v>
      </c>
      <c r="C680" s="34" t="s">
        <v>139</v>
      </c>
      <c r="D680" s="40" t="s">
        <v>86</v>
      </c>
      <c r="E680" s="237">
        <f>Intentionally_produced_MPs!B128</f>
        <v>0.27128102999855674</v>
      </c>
      <c r="F680" s="168">
        <v>1</v>
      </c>
      <c r="G680" s="34"/>
      <c r="H680" s="29">
        <v>3</v>
      </c>
      <c r="I680" s="9">
        <v>2</v>
      </c>
      <c r="J680" s="9">
        <v>3</v>
      </c>
      <c r="K680" s="9">
        <v>3</v>
      </c>
      <c r="L680" s="9">
        <v>3</v>
      </c>
      <c r="M680" s="9">
        <v>3</v>
      </c>
      <c r="N680" s="185">
        <f>IF( OR( ISBLANK(H680),ISBLANK(J680), ISBLANK(K680), ISBLANK(L680), ISBLANK(M680) ), "", 1.5*SQRT(   EXP(2.21*(H680-1)) + EXP(2.21*(J680-1)) + EXP(2.21*(K680-1)) + EXP(2.21*(L680-1)) + EXP(2.21*M680)   )/100*2.45 )</f>
        <v>1.2132328390150593</v>
      </c>
      <c r="O680" s="159">
        <f>IF( OR( ISBLANK(I680),ISBLANK(J680), ISBLANK(K680), ISBLANK(L680), ISBLANK(M680) ), "", 1.5*SQRT( EXP(2.21*(I680-1)) + EXP(2.21*(J680-1)) + EXP(2.21*(K680-1)) + EXP(2.21*(L680-1)) + EXP(2.21*M680)   )/100*2.45 )</f>
        <v>1.1713319510247036</v>
      </c>
      <c r="P680" s="34" t="s">
        <v>377</v>
      </c>
    </row>
    <row r="681" spans="1:16">
      <c r="A681" s="34" t="s">
        <v>37</v>
      </c>
      <c r="B681" s="40" t="s">
        <v>347</v>
      </c>
      <c r="C681" s="34" t="s">
        <v>139</v>
      </c>
      <c r="D681" s="40" t="s">
        <v>87</v>
      </c>
      <c r="E681" s="237">
        <f>Intentionally_produced_MPs!B129</f>
        <v>0</v>
      </c>
      <c r="F681" s="168">
        <v>1</v>
      </c>
      <c r="G681" s="34"/>
      <c r="H681" s="29"/>
      <c r="I681" s="9"/>
      <c r="J681" s="9"/>
      <c r="K681" s="9"/>
      <c r="L681" s="9"/>
      <c r="M681" s="9"/>
      <c r="N681" s="185" t="str">
        <f>IF( OR( ISBLANK(H681),ISBLANK(J681), ISBLANK(K681), ISBLANK(L681), ISBLANK(M681) ), "", 1.5*SQRT(   EXP(2.21*(H681-1)) + EXP(2.21*(J681-1)) + EXP(2.21*(K681-1)) + EXP(2.21*(L681-1)) + EXP(2.21*M681)   )/100*2.45 )</f>
        <v/>
      </c>
      <c r="O681" s="159" t="str">
        <f>IF( OR( ISBLANK(I681),ISBLANK(J681), ISBLANK(K681), ISBLANK(L681), ISBLANK(M681) ), "", 1.5*SQRT( EXP(2.21*(I681-1)) + EXP(2.21*(J681-1)) + EXP(2.21*(K681-1)) + EXP(2.21*(L681-1)) + EXP(2.21*M681)   )/100*2.45 )</f>
        <v/>
      </c>
      <c r="P681" s="34"/>
    </row>
    <row r="682" spans="1:16">
      <c r="A682" s="34" t="s">
        <v>37</v>
      </c>
      <c r="B682" s="40" t="s">
        <v>347</v>
      </c>
      <c r="C682" s="34" t="s">
        <v>139</v>
      </c>
      <c r="D682" s="40" t="s">
        <v>88</v>
      </c>
      <c r="E682" s="237">
        <f>Intentionally_produced_MPs!B130</f>
        <v>0</v>
      </c>
      <c r="F682" s="168">
        <v>1</v>
      </c>
      <c r="G682" s="34"/>
      <c r="H682" s="29"/>
      <c r="I682" s="9"/>
      <c r="J682" s="9"/>
      <c r="K682" s="9"/>
      <c r="L682" s="9"/>
      <c r="M682" s="9"/>
      <c r="N682" s="185" t="str">
        <f>IF( OR( ISBLANK(H682),ISBLANK(J682), ISBLANK(K682), ISBLANK(L682), ISBLANK(M682) ), "", 1.5*SQRT(   EXP(2.21*(H682-1)) + EXP(2.21*(J682-1)) + EXP(2.21*(K682-1)) + EXP(2.21*(L682-1)) + EXP(2.21*M682)   )/100*2.45 )</f>
        <v/>
      </c>
      <c r="O682" s="159" t="str">
        <f>IF( OR( ISBLANK(I682),ISBLANK(J682), ISBLANK(K682), ISBLANK(L682), ISBLANK(M682) ), "", 1.5*SQRT( EXP(2.21*(I682-1)) + EXP(2.21*(J682-1)) + EXP(2.21*(K682-1)) + EXP(2.21*(L682-1)) + EXP(2.21*M682)   )/100*2.45 )</f>
        <v/>
      </c>
      <c r="P682" s="34"/>
    </row>
    <row r="683" spans="1:16">
      <c r="A683" s="34" t="s">
        <v>37</v>
      </c>
      <c r="B683" s="40" t="s">
        <v>347</v>
      </c>
      <c r="C683" s="34" t="s">
        <v>139</v>
      </c>
      <c r="D683" s="40" t="s">
        <v>89</v>
      </c>
      <c r="E683" s="237">
        <f>Intentionally_produced_MPs!B131</f>
        <v>0</v>
      </c>
      <c r="F683" s="168">
        <v>1</v>
      </c>
      <c r="G683" s="34"/>
      <c r="H683" s="29"/>
      <c r="I683" s="9"/>
      <c r="J683" s="9"/>
      <c r="K683" s="9"/>
      <c r="L683" s="9"/>
      <c r="M683" s="9"/>
      <c r="N683" s="185" t="str">
        <f>IF( OR( ISBLANK(H683),ISBLANK(J683), ISBLANK(K683), ISBLANK(L683), ISBLANK(M683) ), "", 1.5*SQRT(   EXP(2.21*(H683-1)) + EXP(2.21*(J683-1)) + EXP(2.21*(K683-1)) + EXP(2.21*(L683-1)) + EXP(2.21*M683)   )/100*2.45 )</f>
        <v/>
      </c>
      <c r="O683" s="159" t="str">
        <f>IF( OR( ISBLANK(I683),ISBLANK(J683), ISBLANK(K683), ISBLANK(L683), ISBLANK(M683) ), "", 1.5*SQRT( EXP(2.21*(I683-1)) + EXP(2.21*(J683-1)) + EXP(2.21*(K683-1)) + EXP(2.21*(L683-1)) + EXP(2.21*M683)   )/100*2.45 )</f>
        <v/>
      </c>
      <c r="P683" s="34"/>
    </row>
    <row r="684" spans="1:16">
      <c r="A684" s="34" t="s">
        <v>37</v>
      </c>
      <c r="B684" s="40" t="s">
        <v>347</v>
      </c>
      <c r="C684" s="34" t="s">
        <v>139</v>
      </c>
      <c r="D684" s="40" t="s">
        <v>90</v>
      </c>
      <c r="E684" s="237">
        <f>Intentionally_produced_MPs!B132</f>
        <v>0</v>
      </c>
      <c r="F684" s="168">
        <v>1</v>
      </c>
      <c r="G684" s="34"/>
      <c r="H684" s="29"/>
      <c r="I684" s="9"/>
      <c r="J684" s="9"/>
      <c r="K684" s="9"/>
      <c r="L684" s="9"/>
      <c r="M684" s="9"/>
      <c r="N684" s="185" t="str">
        <f>IF( OR( ISBLANK(H684),ISBLANK(J684), ISBLANK(K684), ISBLANK(L684), ISBLANK(M684) ), "", 1.5*SQRT(   EXP(2.21*(H684-1)) + EXP(2.21*(J684-1)) + EXP(2.21*(K684-1)) + EXP(2.21*(L684-1)) + EXP(2.21*M684)   )/100*2.45 )</f>
        <v/>
      </c>
      <c r="O684" s="159" t="str">
        <f>IF( OR( ISBLANK(I684),ISBLANK(J684), ISBLANK(K684), ISBLANK(L684), ISBLANK(M684) ), "", 1.5*SQRT( EXP(2.21*(I684-1)) + EXP(2.21*(J684-1)) + EXP(2.21*(K684-1)) + EXP(2.21*(L684-1)) + EXP(2.21*M684)   )/100*2.45 )</f>
        <v/>
      </c>
      <c r="P684" s="34"/>
    </row>
    <row r="685" spans="1:16">
      <c r="A685" s="34" t="s">
        <v>37</v>
      </c>
      <c r="B685" s="40" t="s">
        <v>347</v>
      </c>
      <c r="C685" s="34" t="s">
        <v>139</v>
      </c>
      <c r="D685" s="40" t="s">
        <v>91</v>
      </c>
      <c r="E685" s="237">
        <f>Intentionally_produced_MPs!B133</f>
        <v>0</v>
      </c>
      <c r="F685" s="168">
        <v>1</v>
      </c>
      <c r="G685" s="34"/>
      <c r="H685" s="29"/>
      <c r="I685" s="9"/>
      <c r="J685" s="9"/>
      <c r="K685" s="9"/>
      <c r="L685" s="9"/>
      <c r="M685" s="9"/>
      <c r="N685" s="185" t="str">
        <f>IF( OR( ISBLANK(H685),ISBLANK(J685), ISBLANK(K685), ISBLANK(L685), ISBLANK(M685) ), "", 1.5*SQRT(   EXP(2.21*(H685-1)) + EXP(2.21*(J685-1)) + EXP(2.21*(K685-1)) + EXP(2.21*(L685-1)) + EXP(2.21*M685)   )/100*2.45 )</f>
        <v/>
      </c>
      <c r="O685" s="159" t="str">
        <f>IF( OR( ISBLANK(I685),ISBLANK(J685), ISBLANK(K685), ISBLANK(L685), ISBLANK(M685) ), "", 1.5*SQRT( EXP(2.21*(I685-1)) + EXP(2.21*(J685-1)) + EXP(2.21*(K685-1)) + EXP(2.21*(L685-1)) + EXP(2.21*M685)   )/100*2.45 )</f>
        <v/>
      </c>
      <c r="P685" s="34"/>
    </row>
    <row r="686" spans="1:16">
      <c r="A686" s="34" t="s">
        <v>37</v>
      </c>
      <c r="B686" s="40" t="s">
        <v>347</v>
      </c>
      <c r="C686" s="34" t="s">
        <v>139</v>
      </c>
      <c r="D686" s="40" t="s">
        <v>92</v>
      </c>
      <c r="E686" s="237">
        <f>Intentionally_produced_MPs!B134</f>
        <v>0</v>
      </c>
      <c r="F686" s="168">
        <v>1</v>
      </c>
      <c r="G686" s="34"/>
      <c r="H686" s="29"/>
      <c r="I686" s="9"/>
      <c r="J686" s="9"/>
      <c r="K686" s="9"/>
      <c r="L686" s="9"/>
      <c r="M686" s="9"/>
      <c r="N686" s="185" t="str">
        <f>IF( OR( ISBLANK(H686),ISBLANK(J686), ISBLANK(K686), ISBLANK(L686), ISBLANK(M686) ), "", 1.5*SQRT(   EXP(2.21*(H686-1)) + EXP(2.21*(J686-1)) + EXP(2.21*(K686-1)) + EXP(2.21*(L686-1)) + EXP(2.21*M686)   )/100*2.45 )</f>
        <v/>
      </c>
      <c r="O686" s="159" t="str">
        <f>IF( OR( ISBLANK(I686),ISBLANK(J686), ISBLANK(K686), ISBLANK(L686), ISBLANK(M686) ), "", 1.5*SQRT( EXP(2.21*(I686-1)) + EXP(2.21*(J686-1)) + EXP(2.21*(K686-1)) + EXP(2.21*(L686-1)) + EXP(2.21*M686)   )/100*2.45 )</f>
        <v/>
      </c>
      <c r="P686" s="34"/>
    </row>
    <row r="687" spans="1:16">
      <c r="A687" s="34" t="s">
        <v>37</v>
      </c>
      <c r="B687" s="40" t="s">
        <v>347</v>
      </c>
      <c r="C687" s="34" t="s">
        <v>139</v>
      </c>
      <c r="D687" s="40" t="s">
        <v>93</v>
      </c>
      <c r="E687" s="237">
        <f>Intentionally_produced_MPs!B135</f>
        <v>0.23555374262145426</v>
      </c>
      <c r="F687" s="168">
        <v>1</v>
      </c>
      <c r="G687" s="34"/>
      <c r="H687" s="29">
        <v>3</v>
      </c>
      <c r="I687" s="9">
        <v>2</v>
      </c>
      <c r="J687" s="9">
        <v>3</v>
      </c>
      <c r="K687" s="9">
        <v>3</v>
      </c>
      <c r="L687" s="9">
        <v>3</v>
      </c>
      <c r="M687" s="9">
        <v>3</v>
      </c>
      <c r="N687" s="185">
        <f>IF( OR( ISBLANK(H687),ISBLANK(J687), ISBLANK(K687), ISBLANK(L687), ISBLANK(M687) ), "", 1.5*SQRT(   EXP(2.21*(H687-1)) + EXP(2.21*(J687-1)) + EXP(2.21*(K687-1)) + EXP(2.21*(L687-1)) + EXP(2.21*M687)   )/100*2.45 )</f>
        <v>1.2132328390150593</v>
      </c>
      <c r="O687" s="159">
        <f>IF( OR( ISBLANK(I687),ISBLANK(J687), ISBLANK(K687), ISBLANK(L687), ISBLANK(M687) ), "", 1.5*SQRT( EXP(2.21*(I687-1)) + EXP(2.21*(J687-1)) + EXP(2.21*(K687-1)) + EXP(2.21*(L687-1)) + EXP(2.21*M687)   )/100*2.45 )</f>
        <v>1.1713319510247036</v>
      </c>
      <c r="P687" s="34"/>
    </row>
    <row r="688" spans="1:16">
      <c r="A688" s="34" t="s">
        <v>37</v>
      </c>
      <c r="B688" s="40" t="s">
        <v>347</v>
      </c>
      <c r="C688" s="34" t="s">
        <v>139</v>
      </c>
      <c r="D688" s="40" t="s">
        <v>94</v>
      </c>
      <c r="E688" s="237">
        <f>Intentionally_produced_MPs!B136</f>
        <v>0</v>
      </c>
      <c r="F688" s="168">
        <v>1</v>
      </c>
      <c r="G688" s="34"/>
      <c r="H688" s="29"/>
      <c r="I688" s="9"/>
      <c r="J688" s="9"/>
      <c r="K688" s="9"/>
      <c r="L688" s="9"/>
      <c r="M688" s="9"/>
      <c r="N688" s="185" t="str">
        <f>IF( OR( ISBLANK(H688),ISBLANK(J688), ISBLANK(K688), ISBLANK(L688), ISBLANK(M688) ), "", 1.5*SQRT(   EXP(2.21*(H688-1)) + EXP(2.21*(J688-1)) + EXP(2.21*(K688-1)) + EXP(2.21*(L688-1)) + EXP(2.21*M688)   )/100*2.45 )</f>
        <v/>
      </c>
      <c r="O688" s="159" t="str">
        <f>IF( OR( ISBLANK(I688),ISBLANK(J688), ISBLANK(K688), ISBLANK(L688), ISBLANK(M688) ), "", 1.5*SQRT( EXP(2.21*(I688-1)) + EXP(2.21*(J688-1)) + EXP(2.21*(K688-1)) + EXP(2.21*(L688-1)) + EXP(2.21*M688)   )/100*2.45 )</f>
        <v/>
      </c>
      <c r="P688" s="34"/>
    </row>
    <row r="689" spans="1:16">
      <c r="A689" s="34" t="s">
        <v>37</v>
      </c>
      <c r="B689" s="40" t="s">
        <v>347</v>
      </c>
      <c r="C689" s="34" t="s">
        <v>139</v>
      </c>
      <c r="D689" s="40" t="s">
        <v>95</v>
      </c>
      <c r="E689" s="237">
        <f>Intentionally_produced_MPs!B137</f>
        <v>5.6605334263949885E-3</v>
      </c>
      <c r="F689" s="168">
        <v>1</v>
      </c>
      <c r="G689" s="34"/>
      <c r="H689" s="29">
        <v>3</v>
      </c>
      <c r="I689" s="9">
        <v>2</v>
      </c>
      <c r="J689" s="9">
        <v>3</v>
      </c>
      <c r="K689" s="9">
        <v>3</v>
      </c>
      <c r="L689" s="9">
        <v>3</v>
      </c>
      <c r="M689" s="9">
        <v>3</v>
      </c>
      <c r="N689" s="185">
        <f>IF( OR( ISBLANK(H689),ISBLANK(J689), ISBLANK(K689), ISBLANK(L689), ISBLANK(M689) ), "", 1.5*SQRT(   EXP(2.21*(H689-1)) + EXP(2.21*(J689-1)) + EXP(2.21*(K689-1)) + EXP(2.21*(L689-1)) + EXP(2.21*M689)   )/100*2.45 )</f>
        <v>1.2132328390150593</v>
      </c>
      <c r="O689" s="159">
        <f>IF( OR( ISBLANK(I689),ISBLANK(J689), ISBLANK(K689), ISBLANK(L689), ISBLANK(M689) ), "", 1.5*SQRT( EXP(2.21*(I689-1)) + EXP(2.21*(J689-1)) + EXP(2.21*(K689-1)) + EXP(2.21*(L689-1)) + EXP(2.21*M689)   )/100*2.45 )</f>
        <v>1.1713319510247036</v>
      </c>
      <c r="P689" s="34"/>
    </row>
    <row r="690" spans="1:16">
      <c r="A690" s="34" t="s">
        <v>37</v>
      </c>
      <c r="B690" s="40" t="s">
        <v>347</v>
      </c>
      <c r="C690" s="34" t="s">
        <v>139</v>
      </c>
      <c r="D690" s="40" t="s">
        <v>96</v>
      </c>
      <c r="E690" s="237">
        <f>Intentionally_produced_MPs!B138</f>
        <v>0</v>
      </c>
      <c r="F690" s="168">
        <v>1</v>
      </c>
      <c r="G690" s="34"/>
      <c r="H690" s="29"/>
      <c r="I690" s="9"/>
      <c r="J690" s="9"/>
      <c r="K690" s="9"/>
      <c r="L690" s="9"/>
      <c r="M690" s="9"/>
      <c r="N690" s="185" t="str">
        <f>IF( OR( ISBLANK(H690),ISBLANK(J690), ISBLANK(K690), ISBLANK(L690), ISBLANK(M690) ), "", 1.5*SQRT(   EXP(2.21*(H690-1)) + EXP(2.21*(J690-1)) + EXP(2.21*(K690-1)) + EXP(2.21*(L690-1)) + EXP(2.21*M690)   )/100*2.45 )</f>
        <v/>
      </c>
      <c r="O690" s="159" t="str">
        <f>IF( OR( ISBLANK(I690),ISBLANK(J690), ISBLANK(K690), ISBLANK(L690), ISBLANK(M690) ), "", 1.5*SQRT( EXP(2.21*(I690-1)) + EXP(2.21*(J690-1)) + EXP(2.21*(K690-1)) + EXP(2.21*(L690-1)) + EXP(2.21*M690)   )/100*2.45 )</f>
        <v/>
      </c>
      <c r="P690" s="34"/>
    </row>
    <row r="691" spans="1:16">
      <c r="A691" s="34" t="s">
        <v>37</v>
      </c>
      <c r="B691" s="40" t="s">
        <v>347</v>
      </c>
      <c r="C691" s="34" t="s">
        <v>139</v>
      </c>
      <c r="D691" s="40" t="s">
        <v>97</v>
      </c>
      <c r="E691" s="237">
        <f>Intentionally_produced_MPs!B139</f>
        <v>0</v>
      </c>
      <c r="F691" s="168">
        <v>1</v>
      </c>
      <c r="G691" s="34"/>
      <c r="H691" s="29">
        <v>3</v>
      </c>
      <c r="I691" s="9">
        <v>2</v>
      </c>
      <c r="J691" s="9">
        <v>3</v>
      </c>
      <c r="K691" s="9">
        <v>3</v>
      </c>
      <c r="L691" s="9">
        <v>3</v>
      </c>
      <c r="M691" s="9">
        <v>3</v>
      </c>
      <c r="N691" s="185">
        <f>IF( OR( ISBLANK(H691),ISBLANK(J691), ISBLANK(K691), ISBLANK(L691), ISBLANK(M691) ), "", 1.5*SQRT(   EXP(2.21*(H691-1)) + EXP(2.21*(J691-1)) + EXP(2.21*(K691-1)) + EXP(2.21*(L691-1)) + EXP(2.21*M691)   )/100*2.45 )</f>
        <v>1.2132328390150593</v>
      </c>
      <c r="O691" s="159">
        <f>IF( OR( ISBLANK(I691),ISBLANK(J691), ISBLANK(K691), ISBLANK(L691), ISBLANK(M691) ), "", 1.5*SQRT( EXP(2.21*(I691-1)) + EXP(2.21*(J691-1)) + EXP(2.21*(K691-1)) + EXP(2.21*(L691-1)) + EXP(2.21*M691)   )/100*2.45 )</f>
        <v>1.1713319510247036</v>
      </c>
      <c r="P691" s="34"/>
    </row>
    <row r="692" spans="1:16">
      <c r="A692" s="34" t="s">
        <v>37</v>
      </c>
      <c r="B692" s="40" t="s">
        <v>347</v>
      </c>
      <c r="C692" s="34" t="s">
        <v>139</v>
      </c>
      <c r="D692" s="40" t="s">
        <v>98</v>
      </c>
      <c r="E692" s="237">
        <f>Intentionally_produced_MPs!B140</f>
        <v>2.0189518931614638E-3</v>
      </c>
      <c r="F692" s="168">
        <v>1</v>
      </c>
      <c r="G692" s="34"/>
      <c r="H692" s="29">
        <v>3</v>
      </c>
      <c r="I692" s="9">
        <v>2</v>
      </c>
      <c r="J692" s="9">
        <v>3</v>
      </c>
      <c r="K692" s="9">
        <v>3</v>
      </c>
      <c r="L692" s="9">
        <v>3</v>
      </c>
      <c r="M692" s="9">
        <v>3</v>
      </c>
      <c r="N692" s="185">
        <f>IF( OR( ISBLANK(H692),ISBLANK(J692), ISBLANK(K692), ISBLANK(L692), ISBLANK(M692) ), "", 1.5*SQRT(   EXP(2.21*(H692-1)) + EXP(2.21*(J692-1)) + EXP(2.21*(K692-1)) + EXP(2.21*(L692-1)) + EXP(2.21*M692)   )/100*2.45 )</f>
        <v>1.2132328390150593</v>
      </c>
      <c r="O692" s="159">
        <f>IF( OR( ISBLANK(I692),ISBLANK(J692), ISBLANK(K692), ISBLANK(L692), ISBLANK(M692) ), "", 1.5*SQRT( EXP(2.21*(I692-1)) + EXP(2.21*(J692-1)) + EXP(2.21*(K692-1)) + EXP(2.21*(L692-1)) + EXP(2.21*M692)   )/100*2.45 )</f>
        <v>1.1713319510247036</v>
      </c>
      <c r="P692" s="34"/>
    </row>
    <row r="693" spans="1:16">
      <c r="A693" s="34" t="s">
        <v>37</v>
      </c>
      <c r="B693" s="40" t="s">
        <v>160</v>
      </c>
      <c r="C693" s="34" t="s">
        <v>139</v>
      </c>
      <c r="D693" s="40" t="s">
        <v>85</v>
      </c>
      <c r="E693" s="237">
        <f>Intentionally_produced_MPs!J127</f>
        <v>5.5555555555555546E-2</v>
      </c>
      <c r="F693" s="168">
        <v>1</v>
      </c>
      <c r="G693" s="34"/>
      <c r="H693" s="29">
        <v>3</v>
      </c>
      <c r="I693" s="9">
        <v>2</v>
      </c>
      <c r="J693" s="9">
        <v>3</v>
      </c>
      <c r="K693" s="9">
        <v>3</v>
      </c>
      <c r="L693" s="9">
        <v>3</v>
      </c>
      <c r="M693" s="9">
        <v>3</v>
      </c>
      <c r="N693" s="185">
        <f>IF( OR( ISBLANK(H693),ISBLANK(J693), ISBLANK(K693), ISBLANK(L693), ISBLANK(M693) ), "", 1.5*SQRT(   EXP(2.21*(H693-1)) + EXP(2.21*(J693-1)) + EXP(2.21*(K693-1)) + EXP(2.21*(L693-1)) + EXP(2.21*M693)   )/100*2.45 )</f>
        <v>1.2132328390150593</v>
      </c>
      <c r="O693" s="159">
        <f>IF( OR( ISBLANK(I693),ISBLANK(J693), ISBLANK(K693), ISBLANK(L693), ISBLANK(M693) ), "", 1.5*SQRT( EXP(2.21*(I693-1)) + EXP(2.21*(J693-1)) + EXP(2.21*(K693-1)) + EXP(2.21*(L693-1)) + EXP(2.21*M693)   )/100*2.45 )</f>
        <v>1.1713319510247036</v>
      </c>
      <c r="P693" s="34"/>
    </row>
    <row r="694" spans="1:16">
      <c r="A694" s="34" t="s">
        <v>37</v>
      </c>
      <c r="B694" s="40" t="s">
        <v>160</v>
      </c>
      <c r="C694" s="34" t="s">
        <v>139</v>
      </c>
      <c r="D694" s="40" t="s">
        <v>86</v>
      </c>
      <c r="E694" s="237">
        <f>Intentionally_produced_MPs!J128</f>
        <v>8.8868167073346722E-3</v>
      </c>
      <c r="F694" s="168">
        <v>1</v>
      </c>
      <c r="G694" s="34"/>
      <c r="H694" s="29">
        <v>3</v>
      </c>
      <c r="I694" s="9">
        <v>2</v>
      </c>
      <c r="J694" s="9">
        <v>3</v>
      </c>
      <c r="K694" s="9">
        <v>3</v>
      </c>
      <c r="L694" s="9">
        <v>3</v>
      </c>
      <c r="M694" s="9">
        <v>3</v>
      </c>
      <c r="N694" s="185">
        <f>IF( OR( ISBLANK(H694),ISBLANK(J694), ISBLANK(K694), ISBLANK(L694), ISBLANK(M694) ), "", 1.5*SQRT(   EXP(2.21*(H694-1)) + EXP(2.21*(J694-1)) + EXP(2.21*(K694-1)) + EXP(2.21*(L694-1)) + EXP(2.21*M694)   )/100*2.45 )</f>
        <v>1.2132328390150593</v>
      </c>
      <c r="O694" s="159">
        <f>IF( OR( ISBLANK(I694),ISBLANK(J694), ISBLANK(K694), ISBLANK(L694), ISBLANK(M694) ), "", 1.5*SQRT( EXP(2.21*(I694-1)) + EXP(2.21*(J694-1)) + EXP(2.21*(K694-1)) + EXP(2.21*(L694-1)) + EXP(2.21*M694)   )/100*2.45 )</f>
        <v>1.1713319510247036</v>
      </c>
      <c r="P694" s="34"/>
    </row>
    <row r="695" spans="1:16">
      <c r="A695" s="34" t="s">
        <v>37</v>
      </c>
      <c r="B695" s="40" t="s">
        <v>160</v>
      </c>
      <c r="C695" s="34" t="s">
        <v>139</v>
      </c>
      <c r="D695" s="40" t="s">
        <v>87</v>
      </c>
      <c r="E695" s="237">
        <f>Intentionally_produced_MPs!J129</f>
        <v>0</v>
      </c>
      <c r="F695" s="168">
        <v>1</v>
      </c>
      <c r="G695" s="34"/>
      <c r="H695" s="29"/>
      <c r="I695" s="9"/>
      <c r="J695" s="9"/>
      <c r="K695" s="9"/>
      <c r="L695" s="9"/>
      <c r="M695" s="9"/>
      <c r="N695" s="185" t="str">
        <f>IF( OR( ISBLANK(H695),ISBLANK(J695), ISBLANK(K695), ISBLANK(L695), ISBLANK(M695) ), "", 1.5*SQRT(   EXP(2.21*(H695-1)) + EXP(2.21*(J695-1)) + EXP(2.21*(K695-1)) + EXP(2.21*(L695-1)) + EXP(2.21*M695)   )/100*2.45 )</f>
        <v/>
      </c>
      <c r="O695" s="159" t="str">
        <f>IF( OR( ISBLANK(I695),ISBLANK(J695), ISBLANK(K695), ISBLANK(L695), ISBLANK(M695) ), "", 1.5*SQRT( EXP(2.21*(I695-1)) + EXP(2.21*(J695-1)) + EXP(2.21*(K695-1)) + EXP(2.21*(L695-1)) + EXP(2.21*M695)   )/100*2.45 )</f>
        <v/>
      </c>
      <c r="P695" s="34"/>
    </row>
    <row r="696" spans="1:16">
      <c r="A696" s="34" t="s">
        <v>37</v>
      </c>
      <c r="B696" s="40" t="s">
        <v>160</v>
      </c>
      <c r="C696" s="34" t="s">
        <v>139</v>
      </c>
      <c r="D696" s="40" t="s">
        <v>88</v>
      </c>
      <c r="E696" s="237">
        <f>Intentionally_produced_MPs!J130</f>
        <v>0</v>
      </c>
      <c r="F696" s="168">
        <v>1</v>
      </c>
      <c r="G696" s="34"/>
      <c r="H696" s="29"/>
      <c r="I696" s="9"/>
      <c r="J696" s="9"/>
      <c r="K696" s="9"/>
      <c r="L696" s="9"/>
      <c r="M696" s="9"/>
      <c r="N696" s="185" t="str">
        <f>IF( OR( ISBLANK(H696),ISBLANK(J696), ISBLANK(K696), ISBLANK(L696), ISBLANK(M696) ), "", 1.5*SQRT(   EXP(2.21*(H696-1)) + EXP(2.21*(J696-1)) + EXP(2.21*(K696-1)) + EXP(2.21*(L696-1)) + EXP(2.21*M696)   )/100*2.45 )</f>
        <v/>
      </c>
      <c r="O696" s="159" t="str">
        <f>IF( OR( ISBLANK(I696),ISBLANK(J696), ISBLANK(K696), ISBLANK(L696), ISBLANK(M696) ), "", 1.5*SQRT( EXP(2.21*(I696-1)) + EXP(2.21*(J696-1)) + EXP(2.21*(K696-1)) + EXP(2.21*(L696-1)) + EXP(2.21*M696)   )/100*2.45 )</f>
        <v/>
      </c>
      <c r="P696" s="34"/>
    </row>
    <row r="697" spans="1:16">
      <c r="A697" s="34" t="s">
        <v>37</v>
      </c>
      <c r="B697" s="40" t="s">
        <v>160</v>
      </c>
      <c r="C697" s="34" t="s">
        <v>139</v>
      </c>
      <c r="D697" s="40" t="s">
        <v>89</v>
      </c>
      <c r="E697" s="237">
        <f>Intentionally_produced_MPs!J131</f>
        <v>0</v>
      </c>
      <c r="F697" s="168">
        <v>1</v>
      </c>
      <c r="G697" s="34"/>
      <c r="H697" s="29"/>
      <c r="I697" s="9"/>
      <c r="J697" s="9"/>
      <c r="K697" s="9"/>
      <c r="L697" s="9"/>
      <c r="M697" s="9"/>
      <c r="N697" s="185" t="str">
        <f>IF( OR( ISBLANK(H697),ISBLANK(J697), ISBLANK(K697), ISBLANK(L697), ISBLANK(M697) ), "", 1.5*SQRT(   EXP(2.21*(H697-1)) + EXP(2.21*(J697-1)) + EXP(2.21*(K697-1)) + EXP(2.21*(L697-1)) + EXP(2.21*M697)   )/100*2.45 )</f>
        <v/>
      </c>
      <c r="O697" s="159" t="str">
        <f>IF( OR( ISBLANK(I697),ISBLANK(J697), ISBLANK(K697), ISBLANK(L697), ISBLANK(M697) ), "", 1.5*SQRT( EXP(2.21*(I697-1)) + EXP(2.21*(J697-1)) + EXP(2.21*(K697-1)) + EXP(2.21*(L697-1)) + EXP(2.21*M697)   )/100*2.45 )</f>
        <v/>
      </c>
      <c r="P697" s="34"/>
    </row>
    <row r="698" spans="1:16">
      <c r="A698" s="34" t="s">
        <v>37</v>
      </c>
      <c r="B698" s="40" t="s">
        <v>160</v>
      </c>
      <c r="C698" s="34" t="s">
        <v>139</v>
      </c>
      <c r="D698" s="40" t="s">
        <v>90</v>
      </c>
      <c r="E698" s="237">
        <f>Intentionally_produced_MPs!J132</f>
        <v>5.5555555555555546E-2</v>
      </c>
      <c r="F698" s="168">
        <v>1</v>
      </c>
      <c r="G698" s="34"/>
      <c r="H698" s="29">
        <v>3</v>
      </c>
      <c r="I698" s="9">
        <v>2</v>
      </c>
      <c r="J698" s="9">
        <v>3</v>
      </c>
      <c r="K698" s="9">
        <v>3</v>
      </c>
      <c r="L698" s="9">
        <v>3</v>
      </c>
      <c r="M698" s="9">
        <v>3</v>
      </c>
      <c r="N698" s="185">
        <f>IF( OR( ISBLANK(H698),ISBLANK(J698), ISBLANK(K698), ISBLANK(L698), ISBLANK(M698) ), "", 1.5*SQRT(   EXP(2.21*(H698-1)) + EXP(2.21*(J698-1)) + EXP(2.21*(K698-1)) + EXP(2.21*(L698-1)) + EXP(2.21*M698)   )/100*2.45 )</f>
        <v>1.2132328390150593</v>
      </c>
      <c r="O698" s="159">
        <f>IF( OR( ISBLANK(I698),ISBLANK(J698), ISBLANK(K698), ISBLANK(L698), ISBLANK(M698) ), "", 1.5*SQRT( EXP(2.21*(I698-1)) + EXP(2.21*(J698-1)) + EXP(2.21*(K698-1)) + EXP(2.21*(L698-1)) + EXP(2.21*M698)   )/100*2.45 )</f>
        <v>1.1713319510247036</v>
      </c>
      <c r="P698" s="34"/>
    </row>
    <row r="699" spans="1:16">
      <c r="A699" s="34" t="s">
        <v>37</v>
      </c>
      <c r="B699" s="40" t="s">
        <v>160</v>
      </c>
      <c r="C699" s="34" t="s">
        <v>139</v>
      </c>
      <c r="D699" s="40" t="s">
        <v>91</v>
      </c>
      <c r="E699" s="237">
        <f>Intentionally_produced_MPs!J133</f>
        <v>0.1555597303733175</v>
      </c>
      <c r="F699" s="168">
        <v>1</v>
      </c>
      <c r="G699" s="34"/>
      <c r="H699" s="29">
        <v>3</v>
      </c>
      <c r="I699" s="9">
        <v>2</v>
      </c>
      <c r="J699" s="9">
        <v>3</v>
      </c>
      <c r="K699" s="9">
        <v>3</v>
      </c>
      <c r="L699" s="9">
        <v>3</v>
      </c>
      <c r="M699" s="9">
        <v>3</v>
      </c>
      <c r="N699" s="185">
        <f>IF( OR( ISBLANK(H699),ISBLANK(J699), ISBLANK(K699), ISBLANK(L699), ISBLANK(M699) ), "", 1.5*SQRT(   EXP(2.21*(H699-1)) + EXP(2.21*(J699-1)) + EXP(2.21*(K699-1)) + EXP(2.21*(L699-1)) + EXP(2.21*M699)   )/100*2.45 )</f>
        <v>1.2132328390150593</v>
      </c>
      <c r="O699" s="159">
        <f>IF( OR( ISBLANK(I699),ISBLANK(J699), ISBLANK(K699), ISBLANK(L699), ISBLANK(M699) ), "", 1.5*SQRT( EXP(2.21*(I699-1)) + EXP(2.21*(J699-1)) + EXP(2.21*(K699-1)) + EXP(2.21*(L699-1)) + EXP(2.21*M699)   )/100*2.45 )</f>
        <v>1.1713319510247036</v>
      </c>
      <c r="P699" s="34"/>
    </row>
    <row r="700" spans="1:16">
      <c r="A700" s="34" t="s">
        <v>37</v>
      </c>
      <c r="B700" s="40" t="s">
        <v>160</v>
      </c>
      <c r="C700" s="34" t="s">
        <v>139</v>
      </c>
      <c r="D700" s="40" t="s">
        <v>92</v>
      </c>
      <c r="E700" s="237">
        <f>Intentionally_produced_MPs!J134</f>
        <v>0</v>
      </c>
      <c r="F700" s="168">
        <v>1</v>
      </c>
      <c r="G700" s="34"/>
      <c r="H700" s="29"/>
      <c r="I700" s="9"/>
      <c r="J700" s="9"/>
      <c r="K700" s="9"/>
      <c r="L700" s="9"/>
      <c r="M700" s="9"/>
      <c r="N700" s="185" t="str">
        <f>IF( OR( ISBLANK(H700),ISBLANK(J700), ISBLANK(K700), ISBLANK(L700), ISBLANK(M700) ), "", 1.5*SQRT(   EXP(2.21*(H700-1)) + EXP(2.21*(J700-1)) + EXP(2.21*(K700-1)) + EXP(2.21*(L700-1)) + EXP(2.21*M700)   )/100*2.45 )</f>
        <v/>
      </c>
      <c r="O700" s="159" t="str">
        <f>IF( OR( ISBLANK(I700),ISBLANK(J700), ISBLANK(K700), ISBLANK(L700), ISBLANK(M700) ), "", 1.5*SQRT( EXP(2.21*(I700-1)) + EXP(2.21*(J700-1)) + EXP(2.21*(K700-1)) + EXP(2.21*(L700-1)) + EXP(2.21*M700)   )/100*2.45 )</f>
        <v/>
      </c>
      <c r="P700" s="34"/>
    </row>
    <row r="701" spans="1:16">
      <c r="A701" s="34" t="s">
        <v>37</v>
      </c>
      <c r="B701" s="40" t="s">
        <v>160</v>
      </c>
      <c r="C701" s="34" t="s">
        <v>139</v>
      </c>
      <c r="D701" s="40" t="s">
        <v>93</v>
      </c>
      <c r="E701" s="237">
        <f>Intentionally_produced_MPs!J135</f>
        <v>4.7372437949387489E-3</v>
      </c>
      <c r="F701" s="168">
        <v>1</v>
      </c>
      <c r="G701" s="34"/>
      <c r="H701" s="29">
        <v>3</v>
      </c>
      <c r="I701" s="9">
        <v>2</v>
      </c>
      <c r="J701" s="9">
        <v>3</v>
      </c>
      <c r="K701" s="9">
        <v>3</v>
      </c>
      <c r="L701" s="9">
        <v>3</v>
      </c>
      <c r="M701" s="9">
        <v>3</v>
      </c>
      <c r="N701" s="185">
        <f>IF( OR( ISBLANK(H701),ISBLANK(J701), ISBLANK(K701), ISBLANK(L701), ISBLANK(M701) ), "", 1.5*SQRT(   EXP(2.21*(H701-1)) + EXP(2.21*(J701-1)) + EXP(2.21*(K701-1)) + EXP(2.21*(L701-1)) + EXP(2.21*M701)   )/100*2.45 )</f>
        <v>1.2132328390150593</v>
      </c>
      <c r="O701" s="159">
        <f>IF( OR( ISBLANK(I701),ISBLANK(J701), ISBLANK(K701), ISBLANK(L701), ISBLANK(M701) ), "", 1.5*SQRT( EXP(2.21*(I701-1)) + EXP(2.21*(J701-1)) + EXP(2.21*(K701-1)) + EXP(2.21*(L701-1)) + EXP(2.21*M701)   )/100*2.45 )</f>
        <v>1.1713319510247036</v>
      </c>
      <c r="P701" s="34"/>
    </row>
    <row r="702" spans="1:16">
      <c r="A702" s="34" t="s">
        <v>37</v>
      </c>
      <c r="B702" s="40" t="s">
        <v>160</v>
      </c>
      <c r="C702" s="34" t="s">
        <v>139</v>
      </c>
      <c r="D702" s="40" t="s">
        <v>94</v>
      </c>
      <c r="E702" s="237">
        <f>Intentionally_produced_MPs!J136</f>
        <v>0</v>
      </c>
      <c r="F702" s="168">
        <v>1</v>
      </c>
      <c r="G702" s="34"/>
      <c r="H702" s="29"/>
      <c r="I702" s="9"/>
      <c r="J702" s="9"/>
      <c r="K702" s="9"/>
      <c r="L702" s="9"/>
      <c r="M702" s="9"/>
      <c r="N702" s="185" t="str">
        <f>IF( OR( ISBLANK(H702),ISBLANK(J702), ISBLANK(K702), ISBLANK(L702), ISBLANK(M702) ), "", 1.5*SQRT(   EXP(2.21*(H702-1)) + EXP(2.21*(J702-1)) + EXP(2.21*(K702-1)) + EXP(2.21*(L702-1)) + EXP(2.21*M702)   )/100*2.45 )</f>
        <v/>
      </c>
      <c r="O702" s="159" t="str">
        <f>IF( OR( ISBLANK(I702),ISBLANK(J702), ISBLANK(K702), ISBLANK(L702), ISBLANK(M702) ), "", 1.5*SQRT( EXP(2.21*(I702-1)) + EXP(2.21*(J702-1)) + EXP(2.21*(K702-1)) + EXP(2.21*(L702-1)) + EXP(2.21*M702)   )/100*2.45 )</f>
        <v/>
      </c>
      <c r="P702" s="34"/>
    </row>
    <row r="703" spans="1:16">
      <c r="A703" s="34" t="s">
        <v>37</v>
      </c>
      <c r="B703" s="40" t="s">
        <v>160</v>
      </c>
      <c r="C703" s="34" t="s">
        <v>139</v>
      </c>
      <c r="D703" s="40" t="s">
        <v>95</v>
      </c>
      <c r="E703" s="237">
        <f>Intentionally_produced_MPs!J137</f>
        <v>4.4333947817568178E-2</v>
      </c>
      <c r="F703" s="168">
        <v>1</v>
      </c>
      <c r="G703" s="34"/>
      <c r="H703" s="29">
        <v>3</v>
      </c>
      <c r="I703" s="9">
        <v>2</v>
      </c>
      <c r="J703" s="9">
        <v>3</v>
      </c>
      <c r="K703" s="9">
        <v>3</v>
      </c>
      <c r="L703" s="9">
        <v>3</v>
      </c>
      <c r="M703" s="9">
        <v>3</v>
      </c>
      <c r="N703" s="185">
        <f>IF( OR( ISBLANK(H703),ISBLANK(J703), ISBLANK(K703), ISBLANK(L703), ISBLANK(M703) ), "", 1.5*SQRT(   EXP(2.21*(H703-1)) + EXP(2.21*(J703-1)) + EXP(2.21*(K703-1)) + EXP(2.21*(L703-1)) + EXP(2.21*M703)   )/100*2.45 )</f>
        <v>1.2132328390150593</v>
      </c>
      <c r="O703" s="159">
        <f>IF( OR( ISBLANK(I703),ISBLANK(J703), ISBLANK(K703), ISBLANK(L703), ISBLANK(M703) ), "", 1.5*SQRT( EXP(2.21*(I703-1)) + EXP(2.21*(J703-1)) + EXP(2.21*(K703-1)) + EXP(2.21*(L703-1)) + EXP(2.21*M703)   )/100*2.45 )</f>
        <v>1.1713319510247036</v>
      </c>
      <c r="P703" s="34"/>
    </row>
    <row r="704" spans="1:16">
      <c r="A704" s="34" t="s">
        <v>37</v>
      </c>
      <c r="B704" s="40" t="s">
        <v>160</v>
      </c>
      <c r="C704" s="34" t="s">
        <v>139</v>
      </c>
      <c r="D704" s="40" t="s">
        <v>96</v>
      </c>
      <c r="E704" s="237">
        <f>Intentionally_produced_MPs!J138</f>
        <v>0</v>
      </c>
      <c r="F704" s="168">
        <v>1</v>
      </c>
      <c r="G704" s="34"/>
      <c r="H704" s="29"/>
      <c r="I704" s="9"/>
      <c r="J704" s="9"/>
      <c r="K704" s="9"/>
      <c r="L704" s="9"/>
      <c r="M704" s="9"/>
      <c r="N704" s="185" t="str">
        <f>IF( OR( ISBLANK(H704),ISBLANK(J704), ISBLANK(K704), ISBLANK(L704), ISBLANK(M704) ), "", 1.5*SQRT(   EXP(2.21*(H704-1)) + EXP(2.21*(J704-1)) + EXP(2.21*(K704-1)) + EXP(2.21*(L704-1)) + EXP(2.21*M704)   )/100*2.45 )</f>
        <v/>
      </c>
      <c r="O704" s="159" t="str">
        <f>IF( OR( ISBLANK(I704),ISBLANK(J704), ISBLANK(K704), ISBLANK(L704), ISBLANK(M704) ), "", 1.5*SQRT( EXP(2.21*(I704-1)) + EXP(2.21*(J704-1)) + EXP(2.21*(K704-1)) + EXP(2.21*(L704-1)) + EXP(2.21*M704)   )/100*2.45 )</f>
        <v/>
      </c>
      <c r="P704" s="34"/>
    </row>
    <row r="705" spans="1:16">
      <c r="A705" s="34" t="s">
        <v>37</v>
      </c>
      <c r="B705" s="40" t="s">
        <v>160</v>
      </c>
      <c r="C705" s="34" t="s">
        <v>139</v>
      </c>
      <c r="D705" s="40" t="s">
        <v>97</v>
      </c>
      <c r="E705" s="237">
        <f>Intentionally_produced_MPs!J139</f>
        <v>4.4586330230196494E-2</v>
      </c>
      <c r="F705" s="168">
        <v>1</v>
      </c>
      <c r="G705" s="34"/>
      <c r="H705" s="29">
        <v>3</v>
      </c>
      <c r="I705" s="9">
        <v>2</v>
      </c>
      <c r="J705" s="9">
        <v>3</v>
      </c>
      <c r="K705" s="9">
        <v>3</v>
      </c>
      <c r="L705" s="9">
        <v>3</v>
      </c>
      <c r="M705" s="9">
        <v>3</v>
      </c>
      <c r="N705" s="185">
        <f>IF( OR( ISBLANK(H705),ISBLANK(J705), ISBLANK(K705), ISBLANK(L705), ISBLANK(M705) ), "", 1.5*SQRT(   EXP(2.21*(H705-1)) + EXP(2.21*(J705-1)) + EXP(2.21*(K705-1)) + EXP(2.21*(L705-1)) + EXP(2.21*M705)   )/100*2.45 )</f>
        <v>1.2132328390150593</v>
      </c>
      <c r="O705" s="159">
        <f>IF( OR( ISBLANK(I705),ISBLANK(J705), ISBLANK(K705), ISBLANK(L705), ISBLANK(M705) ), "", 1.5*SQRT( EXP(2.21*(I705-1)) + EXP(2.21*(J705-1)) + EXP(2.21*(K705-1)) + EXP(2.21*(L705-1)) + EXP(2.21*M705)   )/100*2.45 )</f>
        <v>1.1713319510247036</v>
      </c>
      <c r="P705" s="34"/>
    </row>
    <row r="706" spans="1:16">
      <c r="A706" s="34" t="s">
        <v>37</v>
      </c>
      <c r="B706" s="40" t="s">
        <v>160</v>
      </c>
      <c r="C706" s="34" t="s">
        <v>139</v>
      </c>
      <c r="D706" s="40" t="s">
        <v>98</v>
      </c>
      <c r="E706" s="237">
        <f>Intentionally_produced_MPs!J140</f>
        <v>6.8330054573633985E-3</v>
      </c>
      <c r="F706" s="168">
        <v>1</v>
      </c>
      <c r="G706" s="34"/>
      <c r="H706" s="29">
        <v>3</v>
      </c>
      <c r="I706" s="9">
        <v>2</v>
      </c>
      <c r="J706" s="9">
        <v>3</v>
      </c>
      <c r="K706" s="9">
        <v>3</v>
      </c>
      <c r="L706" s="9">
        <v>3</v>
      </c>
      <c r="M706" s="9">
        <v>3</v>
      </c>
      <c r="N706" s="185">
        <f>IF( OR( ISBLANK(H706),ISBLANK(J706), ISBLANK(K706), ISBLANK(L706), ISBLANK(M706) ), "", 1.5*SQRT(   EXP(2.21*(H706-1)) + EXP(2.21*(J706-1)) + EXP(2.21*(K706-1)) + EXP(2.21*(L706-1)) + EXP(2.21*M706)   )/100*2.45 )</f>
        <v>1.2132328390150593</v>
      </c>
      <c r="O706" s="159">
        <f>IF( OR( ISBLANK(I706),ISBLANK(J706), ISBLANK(K706), ISBLANK(L706), ISBLANK(M706) ), "", 1.5*SQRT( EXP(2.21*(I706-1)) + EXP(2.21*(J706-1)) + EXP(2.21*(K706-1)) + EXP(2.21*(L706-1)) + EXP(2.21*M706)   )/100*2.45 )</f>
        <v>1.1713319510247036</v>
      </c>
      <c r="P706" s="34"/>
    </row>
    <row r="707" spans="1:16">
      <c r="A707" s="34" t="s">
        <v>37</v>
      </c>
      <c r="B707" s="40" t="s">
        <v>161</v>
      </c>
      <c r="C707" s="34" t="s">
        <v>139</v>
      </c>
      <c r="D707" s="40" t="s">
        <v>85</v>
      </c>
      <c r="E707" s="237">
        <f>Intentionally_produced_MPs!L127</f>
        <v>5.5555555555555546E-2</v>
      </c>
      <c r="F707" s="168">
        <v>1</v>
      </c>
      <c r="G707" s="34"/>
      <c r="H707" s="29">
        <v>3</v>
      </c>
      <c r="I707" s="9">
        <v>2</v>
      </c>
      <c r="J707" s="9">
        <v>3</v>
      </c>
      <c r="K707" s="9">
        <v>3</v>
      </c>
      <c r="L707" s="9">
        <v>3</v>
      </c>
      <c r="M707" s="9">
        <v>3</v>
      </c>
      <c r="N707" s="185">
        <f>IF( OR( ISBLANK(H707),ISBLANK(J707), ISBLANK(K707), ISBLANK(L707), ISBLANK(M707) ), "", 1.5*SQRT(   EXP(2.21*(H707-1)) + EXP(2.21*(J707-1)) + EXP(2.21*(K707-1)) + EXP(2.21*(L707-1)) + EXP(2.21*M707)   )/100*2.45 )</f>
        <v>1.2132328390150593</v>
      </c>
      <c r="O707" s="159">
        <f>IF( OR( ISBLANK(I707),ISBLANK(J707), ISBLANK(K707), ISBLANK(L707), ISBLANK(M707) ), "", 1.5*SQRT( EXP(2.21*(I707-1)) + EXP(2.21*(J707-1)) + EXP(2.21*(K707-1)) + EXP(2.21*(L707-1)) + EXP(2.21*M707)   )/100*2.45 )</f>
        <v>1.1713319510247036</v>
      </c>
      <c r="P707" s="34"/>
    </row>
    <row r="708" spans="1:16">
      <c r="A708" s="34" t="s">
        <v>37</v>
      </c>
      <c r="B708" s="40" t="s">
        <v>161</v>
      </c>
      <c r="C708" s="34" t="s">
        <v>139</v>
      </c>
      <c r="D708" s="40" t="s">
        <v>86</v>
      </c>
      <c r="E708" s="237">
        <f>Intentionally_produced_MPs!L128</f>
        <v>8.8868167073346722E-3</v>
      </c>
      <c r="F708" s="168">
        <v>1</v>
      </c>
      <c r="G708" s="34"/>
      <c r="H708" s="29">
        <v>3</v>
      </c>
      <c r="I708" s="9">
        <v>2</v>
      </c>
      <c r="J708" s="9">
        <v>3</v>
      </c>
      <c r="K708" s="9">
        <v>3</v>
      </c>
      <c r="L708" s="9">
        <v>3</v>
      </c>
      <c r="M708" s="9">
        <v>3</v>
      </c>
      <c r="N708" s="185">
        <f>IF( OR( ISBLANK(H708),ISBLANK(J708), ISBLANK(K708), ISBLANK(L708), ISBLANK(M708) ), "", 1.5*SQRT(   EXP(2.21*(H708-1)) + EXP(2.21*(J708-1)) + EXP(2.21*(K708-1)) + EXP(2.21*(L708-1)) + EXP(2.21*M708)   )/100*2.45 )</f>
        <v>1.2132328390150593</v>
      </c>
      <c r="O708" s="159">
        <f>IF( OR( ISBLANK(I708),ISBLANK(J708), ISBLANK(K708), ISBLANK(L708), ISBLANK(M708) ), "", 1.5*SQRT( EXP(2.21*(I708-1)) + EXP(2.21*(J708-1)) + EXP(2.21*(K708-1)) + EXP(2.21*(L708-1)) + EXP(2.21*M708)   )/100*2.45 )</f>
        <v>1.1713319510247036</v>
      </c>
      <c r="P708" s="34"/>
    </row>
    <row r="709" spans="1:16">
      <c r="A709" s="34" t="s">
        <v>37</v>
      </c>
      <c r="B709" s="40" t="s">
        <v>161</v>
      </c>
      <c r="C709" s="34" t="s">
        <v>139</v>
      </c>
      <c r="D709" s="40" t="s">
        <v>87</v>
      </c>
      <c r="E709" s="237">
        <f>Intentionally_produced_MPs!L129</f>
        <v>0</v>
      </c>
      <c r="F709" s="168">
        <v>1</v>
      </c>
      <c r="G709" s="34"/>
      <c r="H709" s="29"/>
      <c r="I709" s="9"/>
      <c r="J709" s="9"/>
      <c r="K709" s="9"/>
      <c r="L709" s="9"/>
      <c r="M709" s="9"/>
      <c r="N709" s="185" t="str">
        <f>IF( OR( ISBLANK(H709),ISBLANK(J709), ISBLANK(K709), ISBLANK(L709), ISBLANK(M709) ), "", 1.5*SQRT(   EXP(2.21*(H709-1)) + EXP(2.21*(J709-1)) + EXP(2.21*(K709-1)) + EXP(2.21*(L709-1)) + EXP(2.21*M709)   )/100*2.45 )</f>
        <v/>
      </c>
      <c r="O709" s="159" t="str">
        <f>IF( OR( ISBLANK(I709),ISBLANK(J709), ISBLANK(K709), ISBLANK(L709), ISBLANK(M709) ), "", 1.5*SQRT( EXP(2.21*(I709-1)) + EXP(2.21*(J709-1)) + EXP(2.21*(K709-1)) + EXP(2.21*(L709-1)) + EXP(2.21*M709)   )/100*2.45 )</f>
        <v/>
      </c>
      <c r="P709" s="34"/>
    </row>
    <row r="710" spans="1:16">
      <c r="A710" s="34" t="s">
        <v>37</v>
      </c>
      <c r="B710" s="40" t="s">
        <v>161</v>
      </c>
      <c r="C710" s="34" t="s">
        <v>139</v>
      </c>
      <c r="D710" s="40" t="s">
        <v>88</v>
      </c>
      <c r="E710" s="237">
        <f>Intentionally_produced_MPs!L130</f>
        <v>0</v>
      </c>
      <c r="F710" s="168">
        <v>1</v>
      </c>
      <c r="G710" s="34"/>
      <c r="H710" s="29"/>
      <c r="I710" s="9"/>
      <c r="J710" s="9"/>
      <c r="K710" s="9"/>
      <c r="L710" s="9"/>
      <c r="M710" s="9"/>
      <c r="N710" s="185" t="str">
        <f>IF( OR( ISBLANK(H710),ISBLANK(J710), ISBLANK(K710), ISBLANK(L710), ISBLANK(M710) ), "", 1.5*SQRT(   EXP(2.21*(H710-1)) + EXP(2.21*(J710-1)) + EXP(2.21*(K710-1)) + EXP(2.21*(L710-1)) + EXP(2.21*M710)   )/100*2.45 )</f>
        <v/>
      </c>
      <c r="O710" s="159" t="str">
        <f>IF( OR( ISBLANK(I710),ISBLANK(J710), ISBLANK(K710), ISBLANK(L710), ISBLANK(M710) ), "", 1.5*SQRT( EXP(2.21*(I710-1)) + EXP(2.21*(J710-1)) + EXP(2.21*(K710-1)) + EXP(2.21*(L710-1)) + EXP(2.21*M710)   )/100*2.45 )</f>
        <v/>
      </c>
      <c r="P710" s="34"/>
    </row>
    <row r="711" spans="1:16">
      <c r="A711" s="34" t="s">
        <v>37</v>
      </c>
      <c r="B711" s="40" t="s">
        <v>161</v>
      </c>
      <c r="C711" s="34" t="s">
        <v>139</v>
      </c>
      <c r="D711" s="40" t="s">
        <v>89</v>
      </c>
      <c r="E711" s="237">
        <f>Intentionally_produced_MPs!L131</f>
        <v>0</v>
      </c>
      <c r="F711" s="168">
        <v>1</v>
      </c>
      <c r="G711" s="34"/>
      <c r="H711" s="29"/>
      <c r="I711" s="9"/>
      <c r="J711" s="9"/>
      <c r="K711" s="9"/>
      <c r="L711" s="9"/>
      <c r="M711" s="9"/>
      <c r="N711" s="185" t="str">
        <f>IF( OR( ISBLANK(H711),ISBLANK(J711), ISBLANK(K711), ISBLANK(L711), ISBLANK(M711) ), "", 1.5*SQRT(   EXP(2.21*(H711-1)) + EXP(2.21*(J711-1)) + EXP(2.21*(K711-1)) + EXP(2.21*(L711-1)) + EXP(2.21*M711)   )/100*2.45 )</f>
        <v/>
      </c>
      <c r="O711" s="159" t="str">
        <f>IF( OR( ISBLANK(I711),ISBLANK(J711), ISBLANK(K711), ISBLANK(L711), ISBLANK(M711) ), "", 1.5*SQRT( EXP(2.21*(I711-1)) + EXP(2.21*(J711-1)) + EXP(2.21*(K711-1)) + EXP(2.21*(L711-1)) + EXP(2.21*M711)   )/100*2.45 )</f>
        <v/>
      </c>
      <c r="P711" s="34"/>
    </row>
    <row r="712" spans="1:16">
      <c r="A712" s="34" t="s">
        <v>37</v>
      </c>
      <c r="B712" s="40" t="s">
        <v>161</v>
      </c>
      <c r="C712" s="34" t="s">
        <v>139</v>
      </c>
      <c r="D712" s="40" t="s">
        <v>90</v>
      </c>
      <c r="E712" s="237">
        <f>Intentionally_produced_MPs!L132</f>
        <v>5.5555555555555546E-2</v>
      </c>
      <c r="F712" s="168">
        <v>1</v>
      </c>
      <c r="G712" s="34"/>
      <c r="H712" s="29">
        <v>3</v>
      </c>
      <c r="I712" s="9">
        <v>2</v>
      </c>
      <c r="J712" s="9">
        <v>3</v>
      </c>
      <c r="K712" s="9">
        <v>3</v>
      </c>
      <c r="L712" s="9">
        <v>3</v>
      </c>
      <c r="M712" s="9">
        <v>3</v>
      </c>
      <c r="N712" s="185">
        <f>IF( OR( ISBLANK(H712),ISBLANK(J712), ISBLANK(K712), ISBLANK(L712), ISBLANK(M712) ), "", 1.5*SQRT(   EXP(2.21*(H712-1)) + EXP(2.21*(J712-1)) + EXP(2.21*(K712-1)) + EXP(2.21*(L712-1)) + EXP(2.21*M712)   )/100*2.45 )</f>
        <v>1.2132328390150593</v>
      </c>
      <c r="O712" s="159">
        <f>IF( OR( ISBLANK(I712),ISBLANK(J712), ISBLANK(K712), ISBLANK(L712), ISBLANK(M712) ), "", 1.5*SQRT( EXP(2.21*(I712-1)) + EXP(2.21*(J712-1)) + EXP(2.21*(K712-1)) + EXP(2.21*(L712-1)) + EXP(2.21*M712)   )/100*2.45 )</f>
        <v>1.1713319510247036</v>
      </c>
      <c r="P712" s="34"/>
    </row>
    <row r="713" spans="1:16">
      <c r="A713" s="34" t="s">
        <v>37</v>
      </c>
      <c r="B713" s="40" t="s">
        <v>161</v>
      </c>
      <c r="C713" s="34" t="s">
        <v>139</v>
      </c>
      <c r="D713" s="40" t="s">
        <v>91</v>
      </c>
      <c r="E713" s="237">
        <f>Intentionally_produced_MPs!L133</f>
        <v>0.1555597303733175</v>
      </c>
      <c r="F713" s="168">
        <v>1</v>
      </c>
      <c r="G713" s="34"/>
      <c r="H713" s="29">
        <v>3</v>
      </c>
      <c r="I713" s="9">
        <v>2</v>
      </c>
      <c r="J713" s="9">
        <v>3</v>
      </c>
      <c r="K713" s="9">
        <v>3</v>
      </c>
      <c r="L713" s="9">
        <v>3</v>
      </c>
      <c r="M713" s="9">
        <v>3</v>
      </c>
      <c r="N713" s="185">
        <f>IF( OR( ISBLANK(H713),ISBLANK(J713), ISBLANK(K713), ISBLANK(L713), ISBLANK(M713) ), "", 1.5*SQRT(   EXP(2.21*(H713-1)) + EXP(2.21*(J713-1)) + EXP(2.21*(K713-1)) + EXP(2.21*(L713-1)) + EXP(2.21*M713)   )/100*2.45 )</f>
        <v>1.2132328390150593</v>
      </c>
      <c r="O713" s="159">
        <f>IF( OR( ISBLANK(I713),ISBLANK(J713), ISBLANK(K713), ISBLANK(L713), ISBLANK(M713) ), "", 1.5*SQRT( EXP(2.21*(I713-1)) + EXP(2.21*(J713-1)) + EXP(2.21*(K713-1)) + EXP(2.21*(L713-1)) + EXP(2.21*M713)   )/100*2.45 )</f>
        <v>1.1713319510247036</v>
      </c>
      <c r="P713" s="34"/>
    </row>
    <row r="714" spans="1:16">
      <c r="A714" s="34" t="s">
        <v>37</v>
      </c>
      <c r="B714" s="40" t="s">
        <v>161</v>
      </c>
      <c r="C714" s="34" t="s">
        <v>139</v>
      </c>
      <c r="D714" s="40" t="s">
        <v>92</v>
      </c>
      <c r="E714" s="237">
        <f>Intentionally_produced_MPs!L134</f>
        <v>0</v>
      </c>
      <c r="F714" s="168">
        <v>1</v>
      </c>
      <c r="G714" s="34"/>
      <c r="H714" s="29"/>
      <c r="I714" s="9"/>
      <c r="J714" s="9"/>
      <c r="K714" s="9"/>
      <c r="L714" s="9"/>
      <c r="M714" s="9"/>
      <c r="N714" s="185" t="str">
        <f>IF( OR( ISBLANK(H714),ISBLANK(J714), ISBLANK(K714), ISBLANK(L714), ISBLANK(M714) ), "", 1.5*SQRT(   EXP(2.21*(H714-1)) + EXP(2.21*(J714-1)) + EXP(2.21*(K714-1)) + EXP(2.21*(L714-1)) + EXP(2.21*M714)   )/100*2.45 )</f>
        <v/>
      </c>
      <c r="O714" s="159" t="str">
        <f>IF( OR( ISBLANK(I714),ISBLANK(J714), ISBLANK(K714), ISBLANK(L714), ISBLANK(M714) ), "", 1.5*SQRT( EXP(2.21*(I714-1)) + EXP(2.21*(J714-1)) + EXP(2.21*(K714-1)) + EXP(2.21*(L714-1)) + EXP(2.21*M714)   )/100*2.45 )</f>
        <v/>
      </c>
      <c r="P714" s="34"/>
    </row>
    <row r="715" spans="1:16">
      <c r="A715" s="34" t="s">
        <v>37</v>
      </c>
      <c r="B715" s="40" t="s">
        <v>161</v>
      </c>
      <c r="C715" s="34" t="s">
        <v>139</v>
      </c>
      <c r="D715" s="40" t="s">
        <v>93</v>
      </c>
      <c r="E715" s="237">
        <f>Intentionally_produced_MPs!L135</f>
        <v>4.7372437949387489E-3</v>
      </c>
      <c r="F715" s="168">
        <v>1</v>
      </c>
      <c r="G715" s="34"/>
      <c r="H715" s="29">
        <v>3</v>
      </c>
      <c r="I715" s="9">
        <v>2</v>
      </c>
      <c r="J715" s="9">
        <v>3</v>
      </c>
      <c r="K715" s="9">
        <v>3</v>
      </c>
      <c r="L715" s="9">
        <v>3</v>
      </c>
      <c r="M715" s="9">
        <v>3</v>
      </c>
      <c r="N715" s="185">
        <f>IF( OR( ISBLANK(H715),ISBLANK(J715), ISBLANK(K715), ISBLANK(L715), ISBLANK(M715) ), "", 1.5*SQRT(   EXP(2.21*(H715-1)) + EXP(2.21*(J715-1)) + EXP(2.21*(K715-1)) + EXP(2.21*(L715-1)) + EXP(2.21*M715)   )/100*2.45 )</f>
        <v>1.2132328390150593</v>
      </c>
      <c r="O715" s="159">
        <f>IF( OR( ISBLANK(I715),ISBLANK(J715), ISBLANK(K715), ISBLANK(L715), ISBLANK(M715) ), "", 1.5*SQRT( EXP(2.21*(I715-1)) + EXP(2.21*(J715-1)) + EXP(2.21*(K715-1)) + EXP(2.21*(L715-1)) + EXP(2.21*M715)   )/100*2.45 )</f>
        <v>1.1713319510247036</v>
      </c>
      <c r="P715" s="34"/>
    </row>
    <row r="716" spans="1:16">
      <c r="A716" s="34" t="s">
        <v>37</v>
      </c>
      <c r="B716" s="40" t="s">
        <v>161</v>
      </c>
      <c r="C716" s="34" t="s">
        <v>139</v>
      </c>
      <c r="D716" s="40" t="s">
        <v>94</v>
      </c>
      <c r="E716" s="237">
        <f>Intentionally_produced_MPs!L136</f>
        <v>0</v>
      </c>
      <c r="F716" s="168">
        <v>1</v>
      </c>
      <c r="G716" s="34"/>
      <c r="H716" s="29"/>
      <c r="I716" s="9"/>
      <c r="J716" s="9"/>
      <c r="K716" s="9"/>
      <c r="L716" s="9"/>
      <c r="M716" s="9"/>
      <c r="N716" s="185" t="str">
        <f>IF( OR( ISBLANK(H716),ISBLANK(J716), ISBLANK(K716), ISBLANK(L716), ISBLANK(M716) ), "", 1.5*SQRT(   EXP(2.21*(H716-1)) + EXP(2.21*(J716-1)) + EXP(2.21*(K716-1)) + EXP(2.21*(L716-1)) + EXP(2.21*M716)   )/100*2.45 )</f>
        <v/>
      </c>
      <c r="O716" s="159" t="str">
        <f>IF( OR( ISBLANK(I716),ISBLANK(J716), ISBLANK(K716), ISBLANK(L716), ISBLANK(M716) ), "", 1.5*SQRT( EXP(2.21*(I716-1)) + EXP(2.21*(J716-1)) + EXP(2.21*(K716-1)) + EXP(2.21*(L716-1)) + EXP(2.21*M716)   )/100*2.45 )</f>
        <v/>
      </c>
      <c r="P716" s="34"/>
    </row>
    <row r="717" spans="1:16">
      <c r="A717" s="34" t="s">
        <v>37</v>
      </c>
      <c r="B717" s="40" t="s">
        <v>161</v>
      </c>
      <c r="C717" s="34" t="s">
        <v>139</v>
      </c>
      <c r="D717" s="40" t="s">
        <v>95</v>
      </c>
      <c r="E717" s="237">
        <f>Intentionally_produced_MPs!L137</f>
        <v>4.4333947817568178E-2</v>
      </c>
      <c r="F717" s="168">
        <v>1</v>
      </c>
      <c r="G717" s="34"/>
      <c r="H717" s="29">
        <v>3</v>
      </c>
      <c r="I717" s="9">
        <v>2</v>
      </c>
      <c r="J717" s="9">
        <v>3</v>
      </c>
      <c r="K717" s="9">
        <v>3</v>
      </c>
      <c r="L717" s="9">
        <v>3</v>
      </c>
      <c r="M717" s="9">
        <v>3</v>
      </c>
      <c r="N717" s="185">
        <f>IF( OR( ISBLANK(H717),ISBLANK(J717), ISBLANK(K717), ISBLANK(L717), ISBLANK(M717) ), "", 1.5*SQRT(   EXP(2.21*(H717-1)) + EXP(2.21*(J717-1)) + EXP(2.21*(K717-1)) + EXP(2.21*(L717-1)) + EXP(2.21*M717)   )/100*2.45 )</f>
        <v>1.2132328390150593</v>
      </c>
      <c r="O717" s="159">
        <f>IF( OR( ISBLANK(I717),ISBLANK(J717), ISBLANK(K717), ISBLANK(L717), ISBLANK(M717) ), "", 1.5*SQRT( EXP(2.21*(I717-1)) + EXP(2.21*(J717-1)) + EXP(2.21*(K717-1)) + EXP(2.21*(L717-1)) + EXP(2.21*M717)   )/100*2.45 )</f>
        <v>1.1713319510247036</v>
      </c>
      <c r="P717" s="34"/>
    </row>
    <row r="718" spans="1:16">
      <c r="A718" s="34" t="s">
        <v>37</v>
      </c>
      <c r="B718" s="40" t="s">
        <v>161</v>
      </c>
      <c r="C718" s="34" t="s">
        <v>139</v>
      </c>
      <c r="D718" s="40" t="s">
        <v>96</v>
      </c>
      <c r="E718" s="237">
        <f>Intentionally_produced_MPs!L138</f>
        <v>0</v>
      </c>
      <c r="F718" s="168">
        <v>1</v>
      </c>
      <c r="G718" s="34"/>
      <c r="H718" s="29"/>
      <c r="I718" s="9"/>
      <c r="J718" s="9"/>
      <c r="K718" s="9"/>
      <c r="L718" s="9"/>
      <c r="M718" s="9"/>
      <c r="N718" s="185" t="str">
        <f>IF( OR( ISBLANK(H718),ISBLANK(J718), ISBLANK(K718), ISBLANK(L718), ISBLANK(M718) ), "", 1.5*SQRT(   EXP(2.21*(H718-1)) + EXP(2.21*(J718-1)) + EXP(2.21*(K718-1)) + EXP(2.21*(L718-1)) + EXP(2.21*M718)   )/100*2.45 )</f>
        <v/>
      </c>
      <c r="O718" s="159" t="str">
        <f>IF( OR( ISBLANK(I718),ISBLANK(J718), ISBLANK(K718), ISBLANK(L718), ISBLANK(M718) ), "", 1.5*SQRT( EXP(2.21*(I718-1)) + EXP(2.21*(J718-1)) + EXP(2.21*(K718-1)) + EXP(2.21*(L718-1)) + EXP(2.21*M718)   )/100*2.45 )</f>
        <v/>
      </c>
      <c r="P718" s="34"/>
    </row>
    <row r="719" spans="1:16">
      <c r="A719" s="34" t="s">
        <v>37</v>
      </c>
      <c r="B719" s="40" t="s">
        <v>161</v>
      </c>
      <c r="C719" s="34" t="s">
        <v>139</v>
      </c>
      <c r="D719" s="40" t="s">
        <v>97</v>
      </c>
      <c r="E719" s="237">
        <f>Intentionally_produced_MPs!L139</f>
        <v>4.4586330230196494E-2</v>
      </c>
      <c r="F719" s="168">
        <v>1</v>
      </c>
      <c r="G719" s="34"/>
      <c r="H719" s="29">
        <v>3</v>
      </c>
      <c r="I719" s="9">
        <v>2</v>
      </c>
      <c r="J719" s="9">
        <v>3</v>
      </c>
      <c r="K719" s="9">
        <v>3</v>
      </c>
      <c r="L719" s="9">
        <v>3</v>
      </c>
      <c r="M719" s="9">
        <v>3</v>
      </c>
      <c r="N719" s="185">
        <f>IF( OR( ISBLANK(H719),ISBLANK(J719), ISBLANK(K719), ISBLANK(L719), ISBLANK(M719) ), "", 1.5*SQRT(   EXP(2.21*(H719-1)) + EXP(2.21*(J719-1)) + EXP(2.21*(K719-1)) + EXP(2.21*(L719-1)) + EXP(2.21*M719)   )/100*2.45 )</f>
        <v>1.2132328390150593</v>
      </c>
      <c r="O719" s="159">
        <f>IF( OR( ISBLANK(I719),ISBLANK(J719), ISBLANK(K719), ISBLANK(L719), ISBLANK(M719) ), "", 1.5*SQRT( EXP(2.21*(I719-1)) + EXP(2.21*(J719-1)) + EXP(2.21*(K719-1)) + EXP(2.21*(L719-1)) + EXP(2.21*M719)   )/100*2.45 )</f>
        <v>1.1713319510247036</v>
      </c>
      <c r="P719" s="34"/>
    </row>
    <row r="720" spans="1:16">
      <c r="A720" s="34" t="s">
        <v>37</v>
      </c>
      <c r="B720" s="40" t="s">
        <v>161</v>
      </c>
      <c r="C720" s="34" t="s">
        <v>139</v>
      </c>
      <c r="D720" s="40" t="s">
        <v>98</v>
      </c>
      <c r="E720" s="237">
        <f>Intentionally_produced_MPs!L140</f>
        <v>6.8330054573633985E-3</v>
      </c>
      <c r="F720" s="168">
        <v>1</v>
      </c>
      <c r="G720" s="34"/>
      <c r="H720" s="29">
        <v>3</v>
      </c>
      <c r="I720" s="9">
        <v>2</v>
      </c>
      <c r="J720" s="9">
        <v>3</v>
      </c>
      <c r="K720" s="9">
        <v>3</v>
      </c>
      <c r="L720" s="9">
        <v>3</v>
      </c>
      <c r="M720" s="9">
        <v>3</v>
      </c>
      <c r="N720" s="185">
        <f>IF( OR( ISBLANK(H720),ISBLANK(J720), ISBLANK(K720), ISBLANK(L720), ISBLANK(M720) ), "", 1.5*SQRT(   EXP(2.21*(H720-1)) + EXP(2.21*(J720-1)) + EXP(2.21*(K720-1)) + EXP(2.21*(L720-1)) + EXP(2.21*M720)   )/100*2.45 )</f>
        <v>1.2132328390150593</v>
      </c>
      <c r="O720" s="159">
        <f>IF( OR( ISBLANK(I720),ISBLANK(J720), ISBLANK(K720), ISBLANK(L720), ISBLANK(M720) ), "", 1.5*SQRT( EXP(2.21*(I720-1)) + EXP(2.21*(J720-1)) + EXP(2.21*(K720-1)) + EXP(2.21*(L720-1)) + EXP(2.21*M720)   )/100*2.45 )</f>
        <v>1.1713319510247036</v>
      </c>
      <c r="P720" s="34"/>
    </row>
    <row r="721" spans="1:16">
      <c r="A721" s="34" t="s">
        <v>307</v>
      </c>
      <c r="B721" s="40" t="s">
        <v>327</v>
      </c>
      <c r="C721" s="34" t="s">
        <v>139</v>
      </c>
      <c r="D721" s="40" t="s">
        <v>139</v>
      </c>
      <c r="E721" s="237">
        <v>0.05</v>
      </c>
      <c r="F721" s="168">
        <v>2</v>
      </c>
      <c r="G721" s="34" t="s">
        <v>344</v>
      </c>
      <c r="H721" s="29">
        <v>1</v>
      </c>
      <c r="I721" s="9">
        <v>1</v>
      </c>
      <c r="J721" s="9">
        <v>2</v>
      </c>
      <c r="K721" s="9">
        <v>3</v>
      </c>
      <c r="L721" s="9">
        <v>3</v>
      </c>
      <c r="M721" s="9">
        <v>3</v>
      </c>
      <c r="N721" s="185">
        <f>IF( OR( ISBLANK(H721),ISBLANK(J721), ISBLANK(K721), ISBLANK(L721), ISBLANK(M721) ), "", 1.5*SQRT(   EXP(2.21*(H721-1)) + EXP(2.21*(J721-1)) + EXP(2.21*(K721-1)) + EXP(2.21*(L721-1)) + EXP(2.21*M721)   )/100*2.45 )</f>
        <v>1.123005955058592</v>
      </c>
      <c r="O721" s="159">
        <f>IF( OR( ISBLANK(I721),ISBLANK(J721), ISBLANK(K721), ISBLANK(L721), ISBLANK(M721) ), "", 1.5*SQRT( EXP(2.21*(I721-1)) + EXP(2.21*(J721-1)) + EXP(2.21*(K721-1)) + EXP(2.21*(L721-1)) + EXP(2.21*M721)   )/100*2.45 )</f>
        <v>1.123005955058592</v>
      </c>
      <c r="P721" s="34" t="s">
        <v>345</v>
      </c>
    </row>
    <row r="722" spans="1:16">
      <c r="A722" s="34" t="s">
        <v>307</v>
      </c>
      <c r="B722" s="40" t="s">
        <v>232</v>
      </c>
      <c r="C722" s="34" t="s">
        <v>139</v>
      </c>
      <c r="D722" s="40" t="s">
        <v>139</v>
      </c>
      <c r="E722" s="237" t="s">
        <v>150</v>
      </c>
      <c r="F722" s="168">
        <v>1</v>
      </c>
      <c r="G722" s="34"/>
      <c r="H722" s="29"/>
      <c r="I722" s="9"/>
      <c r="J722" s="9"/>
      <c r="K722" s="9"/>
      <c r="L722" s="9"/>
      <c r="M722" s="9"/>
      <c r="N722" s="185" t="str">
        <f>IF( OR( ISBLANK(H722),ISBLANK(J722), ISBLANK(K722), ISBLANK(L722), ISBLANK(M722) ), "", 1.5*SQRT(   EXP(2.21*(H722-1)) + EXP(2.21*(J722-1)) + EXP(2.21*(K722-1)) + EXP(2.21*(L722-1)) + EXP(2.21*M722)   )/100*2.45 )</f>
        <v/>
      </c>
      <c r="O722" s="159" t="str">
        <f>IF( OR( ISBLANK(I722),ISBLANK(J722), ISBLANK(K722), ISBLANK(L722), ISBLANK(M722) ), "", 1.5*SQRT( EXP(2.21*(I722-1)) + EXP(2.21*(J722-1)) + EXP(2.21*(K722-1)) + EXP(2.21*(L722-1)) + EXP(2.21*M722)   )/100*2.45 )</f>
        <v/>
      </c>
      <c r="P722" s="34"/>
    </row>
    <row r="723" spans="1:16">
      <c r="A723" s="34" t="str">
        <f>Clothing!A485</f>
        <v>Jackets and coats</v>
      </c>
      <c r="B723" s="40" t="str">
        <f>Clothing!B485</f>
        <v>Clothing rarely washed (in use)</v>
      </c>
      <c r="C723" s="34" t="str">
        <f>Clothing!C485</f>
        <v>any</v>
      </c>
      <c r="D723" s="40" t="str">
        <f>Clothing!D485</f>
        <v>any</v>
      </c>
      <c r="E723" s="34">
        <f>Clothing!E485</f>
        <v>3.3880970500000003E-3</v>
      </c>
      <c r="F723" s="40">
        <f>Clothing!F485</f>
        <v>2</v>
      </c>
      <c r="G723" s="34" t="str">
        <f>Clothing!G485</f>
        <v>Computed from wearing, washing, drying TCs</v>
      </c>
      <c r="H723" s="1188">
        <f>Clothing!H485</f>
        <v>2</v>
      </c>
      <c r="I723" s="307">
        <f>Clothing!I485</f>
        <v>2</v>
      </c>
      <c r="J723" s="307">
        <f>Clothing!J485</f>
        <v>2</v>
      </c>
      <c r="K723" s="307">
        <f>Clothing!K485</f>
        <v>2</v>
      </c>
      <c r="L723" s="307">
        <f>Clothing!L485</f>
        <v>2</v>
      </c>
      <c r="M723" s="307">
        <f>Clothing!M485</f>
        <v>2</v>
      </c>
      <c r="N723" s="185">
        <f>IF( OR( ISBLANK(H723),ISBLANK(J723), ISBLANK(K723), ISBLANK(L723), ISBLANK(M723) ), "", 1.5*SQRT(   EXP(2.21*(H723-1)) + EXP(2.21*(J723-1)) + EXP(2.21*(K723-1)) + EXP(2.21*(L723-1)) + EXP(2.21*M723)   )/100*2.45 )</f>
        <v>0.40183591897512122</v>
      </c>
      <c r="O723" s="159">
        <f>IF( OR( ISBLANK(I723),ISBLANK(J723), ISBLANK(K723), ISBLANK(L723), ISBLANK(M723) ), "", 1.5*SQRT( EXP(2.21*(I723-1)) + EXP(2.21*(J723-1)) + EXP(2.21*(K723-1)) + EXP(2.21*(L723-1)) + EXP(2.21*M723)   )/100*2.45 )</f>
        <v>0.40183591897512122</v>
      </c>
      <c r="P723" s="973"/>
    </row>
    <row r="724" spans="1:16">
      <c r="A724" s="34" t="str">
        <f>Clothing!A486</f>
        <v>Jackets and coats</v>
      </c>
      <c r="B724" s="40" t="str">
        <f>Clothing!B486</f>
        <v>Clothing rarely washed (discarded)</v>
      </c>
      <c r="C724" s="34" t="str">
        <f>Clothing!C486</f>
        <v>any</v>
      </c>
      <c r="D724" s="40" t="str">
        <f>Clothing!D486</f>
        <v>any</v>
      </c>
      <c r="E724" s="34" t="str">
        <f>Clothing!E486</f>
        <v>rest</v>
      </c>
      <c r="F724" s="40">
        <f>Clothing!F486</f>
        <v>1</v>
      </c>
      <c r="G724" s="34"/>
      <c r="H724" s="1188"/>
      <c r="I724" s="307"/>
      <c r="J724" s="307"/>
      <c r="K724" s="307"/>
      <c r="L724" s="307"/>
      <c r="M724" s="307"/>
      <c r="N724" s="185"/>
      <c r="O724" s="159"/>
      <c r="P724" s="973"/>
    </row>
    <row r="725" spans="1:16">
      <c r="A725" s="59" t="s">
        <v>419</v>
      </c>
      <c r="B725" s="336" t="s">
        <v>223</v>
      </c>
      <c r="C725" s="34" t="s">
        <v>139</v>
      </c>
      <c r="D725" s="40" t="s">
        <v>99</v>
      </c>
      <c r="E725" s="237">
        <v>0.15</v>
      </c>
      <c r="F725" s="40">
        <v>1</v>
      </c>
      <c r="G725" s="34" t="s">
        <v>412</v>
      </c>
      <c r="H725" s="29">
        <v>1</v>
      </c>
      <c r="I725" s="9">
        <v>2</v>
      </c>
      <c r="J725" s="9">
        <v>2</v>
      </c>
      <c r="K725" s="9">
        <v>1</v>
      </c>
      <c r="L725" s="9">
        <v>1</v>
      </c>
      <c r="M725" s="9">
        <v>1</v>
      </c>
      <c r="N725" s="185">
        <f>IF( OR( ISBLANK(H725),ISBLANK(J725), ISBLANK(K725), ISBLANK(L725), ISBLANK(M725) ), "", 1.5*SQRT(   EXP(2.21*(H725-1)) + EXP(2.21*(J725-1)) + EXP(2.21*(K725-1)) + EXP(2.21*(L725-1)) + EXP(2.21*M725)   )/100*2.45 )</f>
        <v>0.16933510251023262</v>
      </c>
      <c r="O725" s="159">
        <f>IF( OR( ISBLANK(I725),ISBLANK(J725), ISBLANK(K725), ISBLANK(L725), ISBLANK(M725) ), "", 1.5*SQRT( EXP(2.21*(I725-1)) + EXP(2.21*(J725-1)) + EXP(2.21*(K725-1)) + EXP(2.21*(L725-1)) + EXP(2.21*M725)   )/100*2.45 )</f>
        <v>0.19908580854301616</v>
      </c>
      <c r="P725" s="34" t="s">
        <v>851</v>
      </c>
    </row>
    <row r="726" spans="1:16">
      <c r="A726" s="59" t="s">
        <v>419</v>
      </c>
      <c r="B726" s="336" t="s">
        <v>474</v>
      </c>
      <c r="C726" s="34" t="s">
        <v>139</v>
      </c>
      <c r="D726" s="40" t="s">
        <v>99</v>
      </c>
      <c r="E726" s="237">
        <f>0.85*0.4</f>
        <v>0.34</v>
      </c>
      <c r="F726" s="40">
        <v>2</v>
      </c>
      <c r="G726" s="34" t="s">
        <v>412</v>
      </c>
      <c r="H726" s="29">
        <v>1</v>
      </c>
      <c r="I726" s="9">
        <v>2</v>
      </c>
      <c r="J726" s="9">
        <v>2</v>
      </c>
      <c r="K726" s="9">
        <v>1</v>
      </c>
      <c r="L726" s="9">
        <v>1</v>
      </c>
      <c r="M726" s="9">
        <v>1</v>
      </c>
      <c r="N726" s="185">
        <f>IF( OR( ISBLANK(H726),ISBLANK(J726), ISBLANK(K726), ISBLANK(L726), ISBLANK(M726) ), "", 1.5*SQRT(   EXP(2.21*(H726-1)) + EXP(2.21*(J726-1)) + EXP(2.21*(K726-1)) + EXP(2.21*(L726-1)) + EXP(2.21*M726)   )/100*2.45 )</f>
        <v>0.16933510251023262</v>
      </c>
      <c r="O726" s="159">
        <f>IF( OR( ISBLANK(I726),ISBLANK(J726), ISBLANK(K726), ISBLANK(L726), ISBLANK(M726) ), "", 1.5*SQRT( EXP(2.21*(I726-1)) + EXP(2.21*(J726-1)) + EXP(2.21*(K726-1)) + EXP(2.21*(L726-1)) + EXP(2.21*M726)   )/100*2.45 )</f>
        <v>0.19908580854301616</v>
      </c>
      <c r="P726" s="34" t="s">
        <v>849</v>
      </c>
    </row>
    <row r="727" spans="1:16">
      <c r="A727" s="59" t="s">
        <v>419</v>
      </c>
      <c r="B727" s="336" t="s">
        <v>475</v>
      </c>
      <c r="C727" s="34" t="s">
        <v>139</v>
      </c>
      <c r="D727" s="40" t="s">
        <v>99</v>
      </c>
      <c r="E727" s="237">
        <f>0.85*0.6</f>
        <v>0.51</v>
      </c>
      <c r="F727" s="40">
        <v>2</v>
      </c>
      <c r="G727" s="34" t="s">
        <v>412</v>
      </c>
      <c r="H727" s="29">
        <v>1</v>
      </c>
      <c r="I727" s="9">
        <v>2</v>
      </c>
      <c r="J727" s="9">
        <v>2</v>
      </c>
      <c r="K727" s="9">
        <v>1</v>
      </c>
      <c r="L727" s="9">
        <v>1</v>
      </c>
      <c r="M727" s="9">
        <v>1</v>
      </c>
      <c r="N727" s="185">
        <f>IF( OR( ISBLANK(H727),ISBLANK(J727), ISBLANK(K727), ISBLANK(L727), ISBLANK(M727) ), "", 1.5*SQRT(   EXP(2.21*(H727-1)) + EXP(2.21*(J727-1)) + EXP(2.21*(K727-1)) + EXP(2.21*(L727-1)) + EXP(2.21*M727)   )/100*2.45 )</f>
        <v>0.16933510251023262</v>
      </c>
      <c r="O727" s="159">
        <f>IF( OR( ISBLANK(I727),ISBLANK(J727), ISBLANK(K727), ISBLANK(L727), ISBLANK(M727) ), "", 1.5*SQRT( EXP(2.21*(I727-1)) + EXP(2.21*(J727-1)) + EXP(2.21*(K727-1)) + EXP(2.21*(L727-1)) + EXP(2.21*M727)   )/100*2.45 )</f>
        <v>0.19908580854301616</v>
      </c>
      <c r="P727" s="34" t="s">
        <v>850</v>
      </c>
    </row>
    <row r="728" spans="1:16">
      <c r="A728" s="59" t="s">
        <v>475</v>
      </c>
      <c r="B728" s="336" t="s">
        <v>478</v>
      </c>
      <c r="C728" s="34" t="s">
        <v>139</v>
      </c>
      <c r="D728" s="40" t="s">
        <v>99</v>
      </c>
      <c r="E728" s="237">
        <f>'Paints and Coatings'!E227</f>
        <v>3.0000000000000001E-3</v>
      </c>
      <c r="F728" s="40">
        <v>2</v>
      </c>
      <c r="G728" s="34" t="s">
        <v>412</v>
      </c>
      <c r="H728" s="29">
        <v>1</v>
      </c>
      <c r="I728" s="9">
        <v>2</v>
      </c>
      <c r="J728" s="9">
        <v>2</v>
      </c>
      <c r="K728" s="9">
        <v>1</v>
      </c>
      <c r="L728" s="9">
        <v>1</v>
      </c>
      <c r="M728" s="9">
        <v>1</v>
      </c>
      <c r="N728" s="185">
        <f>IF( OR( ISBLANK(H728),ISBLANK(J728), ISBLANK(K728), ISBLANK(L728), ISBLANK(M728) ), "", 1.5*SQRT(   EXP(2.21*(H728-1)) + EXP(2.21*(J728-1)) + EXP(2.21*(K728-1)) + EXP(2.21*(L728-1)) + EXP(2.21*M728)   )/100*2.45 )</f>
        <v>0.16933510251023262</v>
      </c>
      <c r="O728" s="159">
        <f>IF( OR( ISBLANK(I728),ISBLANK(J728), ISBLANK(K728), ISBLANK(L728), ISBLANK(M728) ), "", 1.5*SQRT( EXP(2.21*(I728-1)) + EXP(2.21*(J728-1)) + EXP(2.21*(K728-1)) + EXP(2.21*(L728-1)) + EXP(2.21*M728)   )/100*2.45 )</f>
        <v>0.19908580854301616</v>
      </c>
      <c r="P728" s="34" t="s">
        <v>835</v>
      </c>
    </row>
    <row r="729" spans="1:16">
      <c r="A729" s="59" t="s">
        <v>475</v>
      </c>
      <c r="B729" s="336" t="s">
        <v>479</v>
      </c>
      <c r="C729" s="34" t="s">
        <v>139</v>
      </c>
      <c r="D729" s="40" t="s">
        <v>99</v>
      </c>
      <c r="E729" s="237" t="s">
        <v>150</v>
      </c>
      <c r="F729" s="40">
        <v>1</v>
      </c>
      <c r="G729" s="34" t="s">
        <v>412</v>
      </c>
      <c r="H729" s="29"/>
      <c r="I729" s="9"/>
      <c r="J729" s="9"/>
      <c r="K729" s="9"/>
      <c r="L729" s="9"/>
      <c r="M729" s="9"/>
      <c r="N729" s="185" t="str">
        <f>IF( OR( ISBLANK(H729),ISBLANK(J729), ISBLANK(K729), ISBLANK(L729), ISBLANK(M729) ), "", 1.5*SQRT(   EXP(2.21*(H729-1)) + EXP(2.21*(J729-1)) + EXP(2.21*(K729-1)) + EXP(2.21*(L729-1)) + EXP(2.21*M729)   )/100*2.45 )</f>
        <v/>
      </c>
      <c r="O729" s="159" t="str">
        <f>IF( OR( ISBLANK(I729),ISBLANK(J729), ISBLANK(K729), ISBLANK(L729), ISBLANK(M729) ), "", 1.5*SQRT( EXP(2.21*(I729-1)) + EXP(2.21*(J729-1)) + EXP(2.21*(K729-1)) + EXP(2.21*(L729-1)) + EXP(2.21*M729)   )/100*2.45 )</f>
        <v/>
      </c>
      <c r="P729" s="34" t="s">
        <v>1929</v>
      </c>
    </row>
    <row r="730" spans="1:16">
      <c r="A730" s="59" t="s">
        <v>479</v>
      </c>
      <c r="B730" s="336" t="s">
        <v>327</v>
      </c>
      <c r="C730" s="34" t="s">
        <v>139</v>
      </c>
      <c r="D730" s="40" t="s">
        <v>99</v>
      </c>
      <c r="E730" s="237" t="s">
        <v>150</v>
      </c>
      <c r="F730" s="40">
        <v>1</v>
      </c>
      <c r="G730" s="34" t="s">
        <v>412</v>
      </c>
      <c r="H730" s="29"/>
      <c r="I730" s="9"/>
      <c r="J730" s="9"/>
      <c r="K730" s="9"/>
      <c r="L730" s="9"/>
      <c r="M730" s="9"/>
      <c r="N730" s="185" t="str">
        <f>IF( OR( ISBLANK(H730),ISBLANK(J730), ISBLANK(K730), ISBLANK(L730), ISBLANK(M730) ), "", 1.5*SQRT(   EXP(2.21*(H730-1)) + EXP(2.21*(J730-1)) + EXP(2.21*(K730-1)) + EXP(2.21*(L730-1)) + EXP(2.21*M730)   )/100*2.45 )</f>
        <v/>
      </c>
      <c r="O730" s="159" t="str">
        <f>IF( OR( ISBLANK(I730),ISBLANK(J730), ISBLANK(K730), ISBLANK(L730), ISBLANK(M730) ), "", 1.5*SQRT( EXP(2.21*(I730-1)) + EXP(2.21*(J730-1)) + EXP(2.21*(K730-1)) + EXP(2.21*(L730-1)) + EXP(2.21*M730)   )/100*2.45 )</f>
        <v/>
      </c>
      <c r="P730" s="34" t="s">
        <v>1930</v>
      </c>
    </row>
    <row r="731" spans="1:16">
      <c r="A731" s="59" t="s">
        <v>479</v>
      </c>
      <c r="B731" s="336" t="s">
        <v>228</v>
      </c>
      <c r="C731" s="34" t="s">
        <v>139</v>
      </c>
      <c r="D731" s="40" t="s">
        <v>99</v>
      </c>
      <c r="E731" s="237">
        <v>6.4000000000000001E-2</v>
      </c>
      <c r="F731" s="40">
        <v>2</v>
      </c>
      <c r="G731" s="34" t="s">
        <v>412</v>
      </c>
      <c r="H731" s="29">
        <v>1</v>
      </c>
      <c r="I731" s="9">
        <v>2</v>
      </c>
      <c r="J731" s="9">
        <v>2</v>
      </c>
      <c r="K731" s="9">
        <v>1</v>
      </c>
      <c r="L731" s="9">
        <v>1</v>
      </c>
      <c r="M731" s="9">
        <v>1</v>
      </c>
      <c r="N731" s="185">
        <f>IF( OR( ISBLANK(H731),ISBLANK(J731), ISBLANK(K731), ISBLANK(L731), ISBLANK(M731) ), "", 1.5*SQRT(   EXP(2.21*(H731-1)) + EXP(2.21*(J731-1)) + EXP(2.21*(K731-1)) + EXP(2.21*(L731-1)) + EXP(2.21*M731)   )/100*2.45 )</f>
        <v>0.16933510251023262</v>
      </c>
      <c r="O731" s="159">
        <f>IF( OR( ISBLANK(I731),ISBLANK(J731), ISBLANK(K731), ISBLANK(L731), ISBLANK(M731) ), "", 1.5*SQRT( EXP(2.21*(I731-1)) + EXP(2.21*(J731-1)) + EXP(2.21*(K731-1)) + EXP(2.21*(L731-1)) + EXP(2.21*M731)   )/100*2.45 )</f>
        <v>0.19908580854301616</v>
      </c>
      <c r="P731" s="34" t="s">
        <v>852</v>
      </c>
    </row>
    <row r="732" spans="1:16">
      <c r="A732" s="59" t="s">
        <v>478</v>
      </c>
      <c r="B732" s="336" t="s">
        <v>228</v>
      </c>
      <c r="C732" s="34" t="s">
        <v>139</v>
      </c>
      <c r="D732" s="40" t="s">
        <v>99</v>
      </c>
      <c r="E732" s="237">
        <v>1</v>
      </c>
      <c r="F732" s="40">
        <v>2</v>
      </c>
      <c r="G732" s="34" t="s">
        <v>412</v>
      </c>
      <c r="H732" s="29">
        <v>1</v>
      </c>
      <c r="I732" s="9">
        <v>2</v>
      </c>
      <c r="J732" s="9">
        <v>2</v>
      </c>
      <c r="K732" s="9">
        <v>1</v>
      </c>
      <c r="L732" s="9">
        <v>1</v>
      </c>
      <c r="M732" s="9">
        <v>1</v>
      </c>
      <c r="N732" s="185">
        <f>IF( OR( ISBLANK(H732),ISBLANK(J732), ISBLANK(K732), ISBLANK(L732), ISBLANK(M732) ), "", 1.5*SQRT(   EXP(2.21*(H732-1)) + EXP(2.21*(J732-1)) + EXP(2.21*(K732-1)) + EXP(2.21*(L732-1)) + EXP(2.21*M732)   )/100*2.45 )</f>
        <v>0.16933510251023262</v>
      </c>
      <c r="O732" s="159">
        <f>IF( OR( ISBLANK(I732),ISBLANK(J732), ISBLANK(K732), ISBLANK(L732), ISBLANK(M732) ), "", 1.5*SQRT( EXP(2.21*(I732-1)) + EXP(2.21*(J732-1)) + EXP(2.21*(K732-1)) + EXP(2.21*(L732-1)) + EXP(2.21*M732)   )/100*2.45 )</f>
        <v>0.19908580854301616</v>
      </c>
      <c r="P732" s="34" t="s">
        <v>836</v>
      </c>
    </row>
    <row r="733" spans="1:16">
      <c r="A733" s="59" t="s">
        <v>474</v>
      </c>
      <c r="B733" s="336" t="s">
        <v>476</v>
      </c>
      <c r="C733" s="34" t="s">
        <v>139</v>
      </c>
      <c r="D733" s="40" t="s">
        <v>99</v>
      </c>
      <c r="E733" s="237">
        <v>0.03</v>
      </c>
      <c r="F733" s="40">
        <v>2</v>
      </c>
      <c r="G733" s="34" t="s">
        <v>412</v>
      </c>
      <c r="H733" s="29">
        <v>1</v>
      </c>
      <c r="I733" s="9">
        <v>2</v>
      </c>
      <c r="J733" s="9">
        <v>2</v>
      </c>
      <c r="K733" s="9">
        <v>1</v>
      </c>
      <c r="L733" s="9">
        <v>1</v>
      </c>
      <c r="M733" s="9">
        <v>1</v>
      </c>
      <c r="N733" s="185">
        <f>IF( OR( ISBLANK(H733),ISBLANK(J733), ISBLANK(K733), ISBLANK(L733), ISBLANK(M733) ), "", 1.5*SQRT(   EXP(2.21*(H733-1)) + EXP(2.21*(J733-1)) + EXP(2.21*(K733-1)) + EXP(2.21*(L733-1)) + EXP(2.21*M733)   )/100*2.45 )</f>
        <v>0.16933510251023262</v>
      </c>
      <c r="O733" s="159">
        <f>IF( OR( ISBLANK(I733),ISBLANK(J733), ISBLANK(K733), ISBLANK(L733), ISBLANK(M733) ), "", 1.5*SQRT( EXP(2.21*(I733-1)) + EXP(2.21*(J733-1)) + EXP(2.21*(K733-1)) + EXP(2.21*(L733-1)) + EXP(2.21*M733)   )/100*2.45 )</f>
        <v>0.19908580854301616</v>
      </c>
      <c r="P733" s="34" t="s">
        <v>834</v>
      </c>
    </row>
    <row r="734" spans="1:16">
      <c r="A734" s="59" t="s">
        <v>474</v>
      </c>
      <c r="B734" s="336" t="s">
        <v>477</v>
      </c>
      <c r="C734" s="34" t="s">
        <v>139</v>
      </c>
      <c r="D734" s="40" t="s">
        <v>99</v>
      </c>
      <c r="E734" s="237" t="s">
        <v>150</v>
      </c>
      <c r="F734" s="40">
        <v>1</v>
      </c>
      <c r="G734" s="34" t="s">
        <v>412</v>
      </c>
      <c r="H734" s="29"/>
      <c r="I734" s="9"/>
      <c r="J734" s="9"/>
      <c r="K734" s="9"/>
      <c r="L734" s="9"/>
      <c r="M734" s="9"/>
      <c r="N734" s="185" t="str">
        <f>IF( OR( ISBLANK(H734),ISBLANK(J734), ISBLANK(K734), ISBLANK(L734), ISBLANK(M734) ), "", 1.5*SQRT(   EXP(2.21*(H734-1)) + EXP(2.21*(J734-1)) + EXP(2.21*(K734-1)) + EXP(2.21*(L734-1)) + EXP(2.21*M734)   )/100*2.45 )</f>
        <v/>
      </c>
      <c r="O734" s="159" t="str">
        <f>IF( OR( ISBLANK(I734),ISBLANK(J734), ISBLANK(K734), ISBLANK(L734), ISBLANK(M734) ), "", 1.5*SQRT( EXP(2.21*(I734-1)) + EXP(2.21*(J734-1)) + EXP(2.21*(K734-1)) + EXP(2.21*(L734-1)) + EXP(2.21*M734)   )/100*2.45 )</f>
        <v/>
      </c>
      <c r="P734" s="34" t="s">
        <v>1929</v>
      </c>
    </row>
    <row r="735" spans="1:16">
      <c r="A735" s="59" t="s">
        <v>477</v>
      </c>
      <c r="B735" s="336" t="s">
        <v>327</v>
      </c>
      <c r="C735" s="34" t="s">
        <v>139</v>
      </c>
      <c r="D735" s="40" t="s">
        <v>99</v>
      </c>
      <c r="E735" s="237" t="s">
        <v>150</v>
      </c>
      <c r="F735" s="40">
        <v>1</v>
      </c>
      <c r="G735" s="34" t="s">
        <v>412</v>
      </c>
      <c r="H735" s="29"/>
      <c r="I735" s="9"/>
      <c r="J735" s="9"/>
      <c r="K735" s="9"/>
      <c r="L735" s="9"/>
      <c r="M735" s="9"/>
      <c r="N735" s="185" t="str">
        <f>IF( OR( ISBLANK(H735),ISBLANK(J735), ISBLANK(K735), ISBLANK(L735), ISBLANK(M735) ), "", 1.5*SQRT(   EXP(2.21*(H735-1)) + EXP(2.21*(J735-1)) + EXP(2.21*(K735-1)) + EXP(2.21*(L735-1)) + EXP(2.21*M735)   )/100*2.45 )</f>
        <v/>
      </c>
      <c r="O735" s="159" t="str">
        <f>IF( OR( ISBLANK(I735),ISBLANK(J735), ISBLANK(K735), ISBLANK(L735), ISBLANK(M735) ), "", 1.5*SQRT( EXP(2.21*(I735-1)) + EXP(2.21*(J735-1)) + EXP(2.21*(K735-1)) + EXP(2.21*(L735-1)) + EXP(2.21*M735)   )/100*2.45 )</f>
        <v/>
      </c>
      <c r="P735" s="34"/>
    </row>
    <row r="736" spans="1:16">
      <c r="A736" s="59" t="s">
        <v>477</v>
      </c>
      <c r="B736" s="336" t="s">
        <v>231</v>
      </c>
      <c r="C736" s="34" t="s">
        <v>139</v>
      </c>
      <c r="D736" s="40" t="s">
        <v>99</v>
      </c>
      <c r="E736" s="237">
        <v>3.2000000000000002E-3</v>
      </c>
      <c r="F736" s="40">
        <v>2</v>
      </c>
      <c r="G736" s="34" t="s">
        <v>1976</v>
      </c>
      <c r="H736" s="29">
        <v>1</v>
      </c>
      <c r="I736" s="9">
        <v>2</v>
      </c>
      <c r="J736" s="9">
        <v>2</v>
      </c>
      <c r="K736" s="9">
        <v>1</v>
      </c>
      <c r="L736" s="9">
        <v>3</v>
      </c>
      <c r="M736" s="9">
        <v>3</v>
      </c>
      <c r="N736" s="185">
        <f>IF( OR( ISBLANK(H736),ISBLANK(J736), ISBLANK(K736), ISBLANK(L736), ISBLANK(M736) ), "", 1.5*SQRT(   EXP(2.21*(H736-1)) + EXP(2.21*(J736-1)) + EXP(2.21*(K736-1)) + EXP(2.21*(L736-1)) + EXP(2.21*M736)   )/100*2.45 )</f>
        <v>1.0725046436742278</v>
      </c>
      <c r="O736" s="159">
        <f>IF( OR( ISBLANK(I736),ISBLANK(J736), ISBLANK(K736), ISBLANK(L736), ISBLANK(M736) ), "", 1.5*SQRT( EXP(2.21*(I736-1)) + EXP(2.21*(J736-1)) + EXP(2.21*(K736-1)) + EXP(2.21*(L736-1)) + EXP(2.21*M736)   )/100*2.45 )</f>
        <v>1.0776024280428556</v>
      </c>
      <c r="P736" s="34" t="s">
        <v>1964</v>
      </c>
    </row>
    <row r="737" spans="1:16">
      <c r="A737" s="59" t="s">
        <v>477</v>
      </c>
      <c r="B737" s="336" t="s">
        <v>232</v>
      </c>
      <c r="C737" s="34" t="s">
        <v>139</v>
      </c>
      <c r="D737" s="40" t="s">
        <v>99</v>
      </c>
      <c r="E737" s="237">
        <v>2.5215999999999999E-2</v>
      </c>
      <c r="F737" s="40">
        <v>2</v>
      </c>
      <c r="G737" s="34" t="s">
        <v>412</v>
      </c>
      <c r="H737" s="29">
        <v>1</v>
      </c>
      <c r="I737" s="9">
        <v>2</v>
      </c>
      <c r="J737" s="9">
        <v>2</v>
      </c>
      <c r="K737" s="9">
        <v>1</v>
      </c>
      <c r="L737" s="9">
        <v>1</v>
      </c>
      <c r="M737" s="9">
        <v>1</v>
      </c>
      <c r="N737" s="185">
        <f>IF( OR( ISBLANK(H737),ISBLANK(J737), ISBLANK(K737), ISBLANK(L737), ISBLANK(M737) ), "", 1.5*SQRT(   EXP(2.21*(H737-1)) + EXP(2.21*(J737-1)) + EXP(2.21*(K737-1)) + EXP(2.21*(L737-1)) + EXP(2.21*M737)   )/100*2.45 )</f>
        <v>0.16933510251023262</v>
      </c>
      <c r="O737" s="159">
        <f>IF( OR( ISBLANK(I737),ISBLANK(J737), ISBLANK(K737), ISBLANK(L737), ISBLANK(M737) ), "", 1.5*SQRT( EXP(2.21*(I737-1)) + EXP(2.21*(J737-1)) + EXP(2.21*(K737-1)) + EXP(2.21*(L737-1)) + EXP(2.21*M737)   )/100*2.45 )</f>
        <v>0.19908580854301616</v>
      </c>
      <c r="P737" s="34" t="s">
        <v>1967</v>
      </c>
    </row>
    <row r="738" spans="1:16">
      <c r="A738" s="59" t="s">
        <v>477</v>
      </c>
      <c r="B738" s="336" t="s">
        <v>251</v>
      </c>
      <c r="C738" s="34" t="s">
        <v>139</v>
      </c>
      <c r="D738" s="40" t="s">
        <v>99</v>
      </c>
      <c r="E738" s="237">
        <v>3.3408E-2</v>
      </c>
      <c r="F738" s="40">
        <v>2</v>
      </c>
      <c r="G738" s="34" t="s">
        <v>412</v>
      </c>
      <c r="H738" s="29">
        <v>1</v>
      </c>
      <c r="I738" s="9">
        <v>2</v>
      </c>
      <c r="J738" s="9">
        <v>2</v>
      </c>
      <c r="K738" s="9">
        <v>1</v>
      </c>
      <c r="L738" s="9">
        <v>1</v>
      </c>
      <c r="M738" s="9">
        <v>1</v>
      </c>
      <c r="N738" s="185">
        <f>IF( OR( ISBLANK(H738),ISBLANK(J738), ISBLANK(K738), ISBLANK(L738), ISBLANK(M738) ), "", 1.5*SQRT(   EXP(2.21*(H738-1)) + EXP(2.21*(J738-1)) + EXP(2.21*(K738-1)) + EXP(2.21*(L738-1)) + EXP(2.21*M738)   )/100*2.45 )</f>
        <v>0.16933510251023262</v>
      </c>
      <c r="O738" s="159">
        <f>IF( OR( ISBLANK(I738),ISBLANK(J738), ISBLANK(K738), ISBLANK(L738), ISBLANK(M738) ), "", 1.5*SQRT( EXP(2.21*(I738-1)) + EXP(2.21*(J738-1)) + EXP(2.21*(K738-1)) + EXP(2.21*(L738-1)) + EXP(2.21*M738)   )/100*2.45 )</f>
        <v>0.19908580854301616</v>
      </c>
      <c r="P738" s="34" t="s">
        <v>1965</v>
      </c>
    </row>
    <row r="739" spans="1:16">
      <c r="A739" s="59" t="s">
        <v>477</v>
      </c>
      <c r="B739" s="336" t="s">
        <v>258</v>
      </c>
      <c r="C739" s="34" t="s">
        <v>139</v>
      </c>
      <c r="D739" s="40" t="s">
        <v>99</v>
      </c>
      <c r="E739" s="237">
        <v>2.176E-3</v>
      </c>
      <c r="F739" s="40">
        <v>2</v>
      </c>
      <c r="G739" s="34" t="s">
        <v>412</v>
      </c>
      <c r="H739" s="29">
        <v>1</v>
      </c>
      <c r="I739" s="9">
        <v>2</v>
      </c>
      <c r="J739" s="9">
        <v>2</v>
      </c>
      <c r="K739" s="9">
        <v>1</v>
      </c>
      <c r="L739" s="9">
        <v>1</v>
      </c>
      <c r="M739" s="9">
        <v>1</v>
      </c>
      <c r="N739" s="185">
        <f>IF( OR( ISBLANK(H739),ISBLANK(J739), ISBLANK(K739), ISBLANK(L739), ISBLANK(M739) ), "", 1.5*SQRT(   EXP(2.21*(H739-1)) + EXP(2.21*(J739-1)) + EXP(2.21*(K739-1)) + EXP(2.21*(L739-1)) + EXP(2.21*M739)   )/100*2.45 )</f>
        <v>0.16933510251023262</v>
      </c>
      <c r="O739" s="159">
        <f>IF( OR( ISBLANK(I739),ISBLANK(J739), ISBLANK(K739), ISBLANK(L739), ISBLANK(M739) ), "", 1.5*SQRT( EXP(2.21*(I739-1)) + EXP(2.21*(J739-1)) + EXP(2.21*(K739-1)) + EXP(2.21*(L739-1)) + EXP(2.21*M739)   )/100*2.45 )</f>
        <v>0.19908580854301616</v>
      </c>
      <c r="P739" s="34" t="s">
        <v>1966</v>
      </c>
    </row>
    <row r="740" spans="1:16">
      <c r="A740" s="59" t="s">
        <v>476</v>
      </c>
      <c r="B740" s="336" t="s">
        <v>231</v>
      </c>
      <c r="C740" s="34" t="s">
        <v>139</v>
      </c>
      <c r="D740" s="40" t="s">
        <v>99</v>
      </c>
      <c r="E740" s="237">
        <v>0.05</v>
      </c>
      <c r="F740" s="40">
        <v>2</v>
      </c>
      <c r="G740" s="34" t="s">
        <v>157</v>
      </c>
      <c r="H740" s="29">
        <v>1</v>
      </c>
      <c r="I740" s="9">
        <v>2</v>
      </c>
      <c r="J740" s="9">
        <v>2</v>
      </c>
      <c r="K740" s="9">
        <v>1</v>
      </c>
      <c r="L740" s="9">
        <v>3</v>
      </c>
      <c r="M740" s="9">
        <v>3</v>
      </c>
      <c r="N740" s="185">
        <f>IF( OR( ISBLANK(H740),ISBLANK(J740), ISBLANK(K740), ISBLANK(L740), ISBLANK(M740) ), "", 1.5*SQRT(   EXP(2.21*(H740-1)) + EXP(2.21*(J740-1)) + EXP(2.21*(K740-1)) + EXP(2.21*(L740-1)) + EXP(2.21*M740)   )/100*2.45 )</f>
        <v>1.0725046436742278</v>
      </c>
      <c r="O740" s="159">
        <f>IF( OR( ISBLANK(I740),ISBLANK(J740), ISBLANK(K740), ISBLANK(L740), ISBLANK(M740) ), "", 1.5*SQRT( EXP(2.21*(I740-1)) + EXP(2.21*(J740-1)) + EXP(2.21*(K740-1)) + EXP(2.21*(L740-1)) + EXP(2.21*M740)   )/100*2.45 )</f>
        <v>1.0776024280428556</v>
      </c>
      <c r="P740" s="34" t="s">
        <v>1916</v>
      </c>
    </row>
    <row r="741" spans="1:16">
      <c r="A741" s="59" t="s">
        <v>476</v>
      </c>
      <c r="B741" s="336" t="s">
        <v>232</v>
      </c>
      <c r="C741" s="34" t="s">
        <v>139</v>
      </c>
      <c r="D741" s="40" t="s">
        <v>99</v>
      </c>
      <c r="E741" s="237">
        <v>0.39400000000000002</v>
      </c>
      <c r="F741" s="40">
        <v>2</v>
      </c>
      <c r="G741" s="34" t="s">
        <v>412</v>
      </c>
      <c r="H741" s="29">
        <v>1</v>
      </c>
      <c r="I741" s="9">
        <v>2</v>
      </c>
      <c r="J741" s="9">
        <v>2</v>
      </c>
      <c r="K741" s="9">
        <v>1</v>
      </c>
      <c r="L741" s="9">
        <v>1</v>
      </c>
      <c r="M741" s="9">
        <v>1</v>
      </c>
      <c r="N741" s="185">
        <f>IF( OR( ISBLANK(H741),ISBLANK(J741), ISBLANK(K741), ISBLANK(L741), ISBLANK(M741) ), "", 1.5*SQRT(   EXP(2.21*(H741-1)) + EXP(2.21*(J741-1)) + EXP(2.21*(K741-1)) + EXP(2.21*(L741-1)) + EXP(2.21*M741)   )/100*2.45 )</f>
        <v>0.16933510251023262</v>
      </c>
      <c r="O741" s="159">
        <f>IF( OR( ISBLANK(I741),ISBLANK(J741), ISBLANK(K741), ISBLANK(L741), ISBLANK(M741) ), "", 1.5*SQRT( EXP(2.21*(I741-1)) + EXP(2.21*(J741-1)) + EXP(2.21*(K741-1)) + EXP(2.21*(L741-1)) + EXP(2.21*M741)   )/100*2.45 )</f>
        <v>0.19908580854301616</v>
      </c>
      <c r="P741" s="34" t="s">
        <v>1940</v>
      </c>
    </row>
    <row r="742" spans="1:16">
      <c r="A742" s="59" t="s">
        <v>476</v>
      </c>
      <c r="B742" s="336" t="s">
        <v>251</v>
      </c>
      <c r="C742" s="34" t="s">
        <v>139</v>
      </c>
      <c r="D742" s="40" t="s">
        <v>99</v>
      </c>
      <c r="E742" s="237">
        <v>0.52200000000000002</v>
      </c>
      <c r="F742" s="40">
        <v>1</v>
      </c>
      <c r="G742" s="34" t="s">
        <v>412</v>
      </c>
      <c r="H742" s="29">
        <v>1</v>
      </c>
      <c r="I742" s="9">
        <v>2</v>
      </c>
      <c r="J742" s="9">
        <v>2</v>
      </c>
      <c r="K742" s="9">
        <v>1</v>
      </c>
      <c r="L742" s="9">
        <v>1</v>
      </c>
      <c r="M742" s="9">
        <v>1</v>
      </c>
      <c r="N742" s="185">
        <f>IF( OR( ISBLANK(H742),ISBLANK(J742), ISBLANK(K742), ISBLANK(L742), ISBLANK(M742) ), "", 1.5*SQRT(   EXP(2.21*(H742-1)) + EXP(2.21*(J742-1)) + EXP(2.21*(K742-1)) + EXP(2.21*(L742-1)) + EXP(2.21*M742)   )/100*2.45 )</f>
        <v>0.16933510251023262</v>
      </c>
      <c r="O742" s="159">
        <f>IF( OR( ISBLANK(I742),ISBLANK(J742), ISBLANK(K742), ISBLANK(L742), ISBLANK(M742) ), "", 1.5*SQRT( EXP(2.21*(I742-1)) + EXP(2.21*(J742-1)) + EXP(2.21*(K742-1)) + EXP(2.21*(L742-1)) + EXP(2.21*M742)   )/100*2.45 )</f>
        <v>0.19908580854301616</v>
      </c>
      <c r="P742" s="34" t="s">
        <v>1941</v>
      </c>
    </row>
    <row r="743" spans="1:16">
      <c r="A743" s="59" t="s">
        <v>476</v>
      </c>
      <c r="B743" s="336" t="s">
        <v>258</v>
      </c>
      <c r="C743" s="34" t="s">
        <v>139</v>
      </c>
      <c r="D743" s="40" t="s">
        <v>99</v>
      </c>
      <c r="E743" s="237">
        <v>3.4000000000000002E-2</v>
      </c>
      <c r="F743" s="40">
        <v>2</v>
      </c>
      <c r="G743" s="34" t="s">
        <v>412</v>
      </c>
      <c r="H743" s="29">
        <v>1</v>
      </c>
      <c r="I743" s="9">
        <v>2</v>
      </c>
      <c r="J743" s="9">
        <v>2</v>
      </c>
      <c r="K743" s="9">
        <v>1</v>
      </c>
      <c r="L743" s="9">
        <v>1</v>
      </c>
      <c r="M743" s="9">
        <v>1</v>
      </c>
      <c r="N743" s="185">
        <f>IF( OR( ISBLANK(H743),ISBLANK(J743), ISBLANK(K743), ISBLANK(L743), ISBLANK(M743) ), "", 1.5*SQRT(   EXP(2.21*(H743-1)) + EXP(2.21*(J743-1)) + EXP(2.21*(K743-1)) + EXP(2.21*(L743-1)) + EXP(2.21*M743)   )/100*2.45 )</f>
        <v>0.16933510251023262</v>
      </c>
      <c r="O743" s="159">
        <f>IF( OR( ISBLANK(I743),ISBLANK(J743), ISBLANK(K743), ISBLANK(L743), ISBLANK(M743) ), "", 1.5*SQRT( EXP(2.21*(I743-1)) + EXP(2.21*(J743-1)) + EXP(2.21*(K743-1)) + EXP(2.21*(L743-1)) + EXP(2.21*M743)   )/100*2.45 )</f>
        <v>0.19908580854301616</v>
      </c>
      <c r="P743" s="34" t="s">
        <v>1942</v>
      </c>
    </row>
    <row r="744" spans="1:16">
      <c r="A744" s="59" t="s">
        <v>413</v>
      </c>
      <c r="B744" s="336" t="s">
        <v>223</v>
      </c>
      <c r="C744" s="34" t="s">
        <v>139</v>
      </c>
      <c r="D744" s="40" t="s">
        <v>99</v>
      </c>
      <c r="E744" s="1197" t="s">
        <v>150</v>
      </c>
      <c r="F744" s="40">
        <v>1</v>
      </c>
      <c r="G744" s="34" t="s">
        <v>412</v>
      </c>
      <c r="H744" s="29">
        <v>1</v>
      </c>
      <c r="I744" s="9">
        <v>2</v>
      </c>
      <c r="J744" s="9">
        <v>2</v>
      </c>
      <c r="K744" s="9">
        <v>1</v>
      </c>
      <c r="L744" s="9">
        <v>1</v>
      </c>
      <c r="M744" s="9">
        <v>1</v>
      </c>
      <c r="N744" s="185">
        <f>IF( OR( ISBLANK(H744),ISBLANK(J744), ISBLANK(K744), ISBLANK(L744), ISBLANK(M744) ), "", 1.5*SQRT(   EXP(2.21*(H744-1)) + EXP(2.21*(J744-1)) + EXP(2.21*(K744-1)) + EXP(2.21*(L744-1)) + EXP(2.21*M744)   )/100*2.45 )</f>
        <v>0.16933510251023262</v>
      </c>
      <c r="O744" s="159">
        <f>IF( OR( ISBLANK(I744),ISBLANK(J744), ISBLANK(K744), ISBLANK(L744), ISBLANK(M744) ), "", 1.5*SQRT( EXP(2.21*(I744-1)) + EXP(2.21*(J744-1)) + EXP(2.21*(K744-1)) + EXP(2.21*(L744-1)) + EXP(2.21*M744)   )/100*2.45 )</f>
        <v>0.19908580854301616</v>
      </c>
      <c r="P744" s="34" t="s">
        <v>833</v>
      </c>
    </row>
    <row r="745" spans="1:16">
      <c r="A745" s="59" t="s">
        <v>413</v>
      </c>
      <c r="B745" s="336" t="s">
        <v>436</v>
      </c>
      <c r="C745" s="34" t="s">
        <v>139</v>
      </c>
      <c r="D745" s="40" t="s">
        <v>99</v>
      </c>
      <c r="E745" s="237">
        <f>0.97*0.4</f>
        <v>0.38800000000000001</v>
      </c>
      <c r="F745" s="40">
        <v>2</v>
      </c>
      <c r="G745" s="34" t="s">
        <v>412</v>
      </c>
      <c r="H745" s="29">
        <v>1</v>
      </c>
      <c r="I745" s="9">
        <v>2</v>
      </c>
      <c r="J745" s="9">
        <v>2</v>
      </c>
      <c r="K745" s="9">
        <v>1</v>
      </c>
      <c r="L745" s="9">
        <v>1</v>
      </c>
      <c r="M745" s="9">
        <v>1</v>
      </c>
      <c r="N745" s="185">
        <f>IF( OR( ISBLANK(H745),ISBLANK(J745), ISBLANK(K745), ISBLANK(L745), ISBLANK(M745) ), "", 1.5*SQRT(   EXP(2.21*(H745-1)) + EXP(2.21*(J745-1)) + EXP(2.21*(K745-1)) + EXP(2.21*(L745-1)) + EXP(2.21*M745)   )/100*2.45 )</f>
        <v>0.16933510251023262</v>
      </c>
      <c r="O745" s="159">
        <f>IF( OR( ISBLANK(I745),ISBLANK(J745), ISBLANK(K745), ISBLANK(L745), ISBLANK(M745) ), "", 1.5*SQRT( EXP(2.21*(I745-1)) + EXP(2.21*(J745-1)) + EXP(2.21*(K745-1)) + EXP(2.21*(L745-1)) + EXP(2.21*M745)   )/100*2.45 )</f>
        <v>0.19908580854301616</v>
      </c>
      <c r="P745" s="34" t="s">
        <v>838</v>
      </c>
    </row>
    <row r="746" spans="1:16">
      <c r="A746" s="59" t="s">
        <v>413</v>
      </c>
      <c r="B746" s="336" t="s">
        <v>437</v>
      </c>
      <c r="C746" s="34" t="s">
        <v>139</v>
      </c>
      <c r="D746" s="40" t="s">
        <v>99</v>
      </c>
      <c r="E746" s="237">
        <f>0.97*0.6</f>
        <v>0.58199999999999996</v>
      </c>
      <c r="F746" s="40">
        <v>2</v>
      </c>
      <c r="G746" s="34" t="s">
        <v>412</v>
      </c>
      <c r="H746" s="29">
        <v>1</v>
      </c>
      <c r="I746" s="9">
        <v>2</v>
      </c>
      <c r="J746" s="9">
        <v>2</v>
      </c>
      <c r="K746" s="9">
        <v>1</v>
      </c>
      <c r="L746" s="9">
        <v>1</v>
      </c>
      <c r="M746" s="9">
        <v>1</v>
      </c>
      <c r="N746" s="185">
        <f>IF( OR( ISBLANK(H746),ISBLANK(J746), ISBLANK(K746), ISBLANK(L746), ISBLANK(M746) ), "", 1.5*SQRT(   EXP(2.21*(H746-1)) + EXP(2.21*(J746-1)) + EXP(2.21*(K746-1)) + EXP(2.21*(L746-1)) + EXP(2.21*M746)   )/100*2.45 )</f>
        <v>0.16933510251023262</v>
      </c>
      <c r="O746" s="159">
        <f>IF( OR( ISBLANK(I746),ISBLANK(J746), ISBLANK(K746), ISBLANK(L746), ISBLANK(M746) ), "", 1.5*SQRT( EXP(2.21*(I746-1)) + EXP(2.21*(J746-1)) + EXP(2.21*(K746-1)) + EXP(2.21*(L746-1)) + EXP(2.21*M746)   )/100*2.45 )</f>
        <v>0.19908580854301616</v>
      </c>
      <c r="P746" s="34" t="s">
        <v>839</v>
      </c>
    </row>
    <row r="747" spans="1:16">
      <c r="A747" s="59" t="s">
        <v>437</v>
      </c>
      <c r="B747" s="336" t="s">
        <v>440</v>
      </c>
      <c r="C747" s="34" t="s">
        <v>139</v>
      </c>
      <c r="D747" s="40" t="s">
        <v>99</v>
      </c>
      <c r="E747" s="237">
        <f>0.1*E741</f>
        <v>3.9400000000000004E-2</v>
      </c>
      <c r="F747" s="40">
        <v>2</v>
      </c>
      <c r="G747" s="34" t="s">
        <v>412</v>
      </c>
      <c r="H747" s="29">
        <v>1</v>
      </c>
      <c r="I747" s="9">
        <v>2</v>
      </c>
      <c r="J747" s="9">
        <v>2</v>
      </c>
      <c r="K747" s="9">
        <v>1</v>
      </c>
      <c r="L747" s="9">
        <v>1</v>
      </c>
      <c r="M747" s="9">
        <v>1</v>
      </c>
      <c r="N747" s="185">
        <f>IF( OR( ISBLANK(H747),ISBLANK(J747), ISBLANK(K747), ISBLANK(L747), ISBLANK(M747) ), "", 1.5*SQRT(   EXP(2.21*(H747-1)) + EXP(2.21*(J747-1)) + EXP(2.21*(K747-1)) + EXP(2.21*(L747-1)) + EXP(2.21*M747)   )/100*2.45 )</f>
        <v>0.16933510251023262</v>
      </c>
      <c r="O747" s="159">
        <f>IF( OR( ISBLANK(I747),ISBLANK(J747), ISBLANK(K747), ISBLANK(L747), ISBLANK(M747) ), "", 1.5*SQRT( EXP(2.21*(I747-1)) + EXP(2.21*(J747-1)) + EXP(2.21*(K747-1)) + EXP(2.21*(L747-1)) + EXP(2.21*M747)   )/100*2.45 )</f>
        <v>0.19908580854301616</v>
      </c>
      <c r="P747" s="34" t="s">
        <v>835</v>
      </c>
    </row>
    <row r="748" spans="1:16">
      <c r="A748" s="59" t="s">
        <v>437</v>
      </c>
      <c r="B748" s="336" t="s">
        <v>441</v>
      </c>
      <c r="C748" s="34" t="s">
        <v>139</v>
      </c>
      <c r="D748" s="40" t="s">
        <v>99</v>
      </c>
      <c r="E748" s="237" t="s">
        <v>150</v>
      </c>
      <c r="F748" s="40">
        <v>1</v>
      </c>
      <c r="G748" s="34" t="s">
        <v>412</v>
      </c>
      <c r="H748" s="29"/>
      <c r="I748" s="9"/>
      <c r="J748" s="9"/>
      <c r="K748" s="9"/>
      <c r="L748" s="9"/>
      <c r="M748" s="9"/>
      <c r="N748" s="185" t="str">
        <f>IF( OR( ISBLANK(H748),ISBLANK(J748), ISBLANK(K748), ISBLANK(L748), ISBLANK(M748) ), "", 1.5*SQRT(   EXP(2.21*(H748-1)) + EXP(2.21*(J748-1)) + EXP(2.21*(K748-1)) + EXP(2.21*(L748-1)) + EXP(2.21*M748)   )/100*2.45 )</f>
        <v/>
      </c>
      <c r="O748" s="159" t="str">
        <f>IF( OR( ISBLANK(I748),ISBLANK(J748), ISBLANK(K748), ISBLANK(L748), ISBLANK(M748) ), "", 1.5*SQRT( EXP(2.21*(I748-1)) + EXP(2.21*(J748-1)) + EXP(2.21*(K748-1)) + EXP(2.21*(L748-1)) + EXP(2.21*M748)   )/100*2.45 )</f>
        <v/>
      </c>
      <c r="P748" s="34" t="s">
        <v>1919</v>
      </c>
    </row>
    <row r="749" spans="1:16">
      <c r="A749" s="59" t="s">
        <v>441</v>
      </c>
      <c r="B749" s="336" t="s">
        <v>327</v>
      </c>
      <c r="C749" s="34" t="s">
        <v>139</v>
      </c>
      <c r="D749" s="40" t="s">
        <v>99</v>
      </c>
      <c r="E749" s="237" t="s">
        <v>150</v>
      </c>
      <c r="F749" s="40">
        <v>1</v>
      </c>
      <c r="G749" s="34" t="s">
        <v>412</v>
      </c>
      <c r="H749" s="29"/>
      <c r="I749" s="9"/>
      <c r="J749" s="9"/>
      <c r="K749" s="9"/>
      <c r="L749" s="9"/>
      <c r="M749" s="9"/>
      <c r="N749" s="185" t="str">
        <f>IF( OR( ISBLANK(H749),ISBLANK(J749), ISBLANK(K749), ISBLANK(L749), ISBLANK(M749) ), "", 1.5*SQRT(   EXP(2.21*(H749-1)) + EXP(2.21*(J749-1)) + EXP(2.21*(K749-1)) + EXP(2.21*(L749-1)) + EXP(2.21*M749)   )/100*2.45 )</f>
        <v/>
      </c>
      <c r="O749" s="159" t="str">
        <f>IF( OR( ISBLANK(I749),ISBLANK(J749), ISBLANK(K749), ISBLANK(L749), ISBLANK(M749) ), "", 1.5*SQRT( EXP(2.21*(I749-1)) + EXP(2.21*(J749-1)) + EXP(2.21*(K749-1)) + EXP(2.21*(L749-1)) + EXP(2.21*M749)   )/100*2.45 )</f>
        <v/>
      </c>
      <c r="P749" s="34" t="s">
        <v>1920</v>
      </c>
    </row>
    <row r="750" spans="1:16">
      <c r="A750" s="59" t="s">
        <v>441</v>
      </c>
      <c r="B750" s="336" t="s">
        <v>228</v>
      </c>
      <c r="C750" s="34" t="s">
        <v>139</v>
      </c>
      <c r="D750" s="40" t="s">
        <v>99</v>
      </c>
      <c r="E750" s="237">
        <v>3.2000000000000001E-2</v>
      </c>
      <c r="F750" s="40">
        <v>2</v>
      </c>
      <c r="G750" s="34" t="s">
        <v>412</v>
      </c>
      <c r="H750" s="29">
        <v>1</v>
      </c>
      <c r="I750" s="9">
        <v>2</v>
      </c>
      <c r="J750" s="9">
        <v>2</v>
      </c>
      <c r="K750" s="9">
        <v>1</v>
      </c>
      <c r="L750" s="9">
        <v>1</v>
      </c>
      <c r="M750" s="9">
        <v>1</v>
      </c>
      <c r="N750" s="185">
        <f>IF( OR( ISBLANK(H750),ISBLANK(J750), ISBLANK(K750), ISBLANK(L750), ISBLANK(M750) ), "", 1.5*SQRT(   EXP(2.21*(H750-1)) + EXP(2.21*(J750-1)) + EXP(2.21*(K750-1)) + EXP(2.21*(L750-1)) + EXP(2.21*M750)   )/100*2.45 )</f>
        <v>0.16933510251023262</v>
      </c>
      <c r="O750" s="159">
        <f>IF( OR( ISBLANK(I750),ISBLANK(J750), ISBLANK(K750), ISBLANK(L750), ISBLANK(M750) ), "", 1.5*SQRT( EXP(2.21*(I750-1)) + EXP(2.21*(J750-1)) + EXP(2.21*(K750-1)) + EXP(2.21*(L750-1)) + EXP(2.21*M750)   )/100*2.45 )</f>
        <v>0.19908580854301616</v>
      </c>
      <c r="P750" s="34" t="s">
        <v>840</v>
      </c>
    </row>
    <row r="751" spans="1:16">
      <c r="A751" s="59" t="s">
        <v>440</v>
      </c>
      <c r="B751" s="336" t="s">
        <v>228</v>
      </c>
      <c r="C751" s="34" t="s">
        <v>139</v>
      </c>
      <c r="D751" s="40" t="s">
        <v>99</v>
      </c>
      <c r="E751" s="237">
        <v>1</v>
      </c>
      <c r="F751" s="40">
        <v>2</v>
      </c>
      <c r="G751" s="34" t="s">
        <v>412</v>
      </c>
      <c r="H751" s="29">
        <v>1</v>
      </c>
      <c r="I751" s="9">
        <v>2</v>
      </c>
      <c r="J751" s="9">
        <v>2</v>
      </c>
      <c r="K751" s="9">
        <v>1</v>
      </c>
      <c r="L751" s="9">
        <v>1</v>
      </c>
      <c r="M751" s="9">
        <v>1</v>
      </c>
      <c r="N751" s="185">
        <f>IF( OR( ISBLANK(H751),ISBLANK(J751), ISBLANK(K751), ISBLANK(L751), ISBLANK(M751) ), "", 1.5*SQRT(   EXP(2.21*(H751-1)) + EXP(2.21*(J751-1)) + EXP(2.21*(K751-1)) + EXP(2.21*(L751-1)) + EXP(2.21*M751)   )/100*2.45 )</f>
        <v>0.16933510251023262</v>
      </c>
      <c r="O751" s="159">
        <f>IF( OR( ISBLANK(I751),ISBLANK(J751), ISBLANK(K751), ISBLANK(L751), ISBLANK(M751) ), "", 1.5*SQRT( EXP(2.21*(I751-1)) + EXP(2.21*(J751-1)) + EXP(2.21*(K751-1)) + EXP(2.21*(L751-1)) + EXP(2.21*M751)   )/100*2.45 )</f>
        <v>0.19908580854301616</v>
      </c>
      <c r="P751" s="34" t="s">
        <v>836</v>
      </c>
    </row>
    <row r="752" spans="1:16">
      <c r="A752" s="59" t="s">
        <v>436</v>
      </c>
      <c r="B752" s="336" t="s">
        <v>438</v>
      </c>
      <c r="C752" s="34" t="s">
        <v>139</v>
      </c>
      <c r="D752" s="40" t="s">
        <v>99</v>
      </c>
      <c r="E752" s="237">
        <v>0.03</v>
      </c>
      <c r="F752" s="40">
        <v>2</v>
      </c>
      <c r="G752" s="34" t="s">
        <v>412</v>
      </c>
      <c r="H752" s="29">
        <v>1</v>
      </c>
      <c r="I752" s="9">
        <v>2</v>
      </c>
      <c r="J752" s="9">
        <v>2</v>
      </c>
      <c r="K752" s="9">
        <v>1</v>
      </c>
      <c r="L752" s="9">
        <v>1</v>
      </c>
      <c r="M752" s="9">
        <v>1</v>
      </c>
      <c r="N752" s="185">
        <f>IF( OR( ISBLANK(H752),ISBLANK(J752), ISBLANK(K752), ISBLANK(L752), ISBLANK(M752) ), "", 1.5*SQRT(   EXP(2.21*(H752-1)) + EXP(2.21*(J752-1)) + EXP(2.21*(K752-1)) + EXP(2.21*(L752-1)) + EXP(2.21*M752)   )/100*2.45 )</f>
        <v>0.16933510251023262</v>
      </c>
      <c r="O752" s="159">
        <f>IF( OR( ISBLANK(I752),ISBLANK(J752), ISBLANK(K752), ISBLANK(L752), ISBLANK(M752) ), "", 1.5*SQRT( EXP(2.21*(I752-1)) + EXP(2.21*(J752-1)) + EXP(2.21*(K752-1)) + EXP(2.21*(L752-1)) + EXP(2.21*M752)   )/100*2.45 )</f>
        <v>0.19908580854301616</v>
      </c>
      <c r="P752" s="34" t="s">
        <v>834</v>
      </c>
    </row>
    <row r="753" spans="1:16">
      <c r="A753" s="59" t="s">
        <v>436</v>
      </c>
      <c r="B753" s="336" t="s">
        <v>439</v>
      </c>
      <c r="C753" s="34" t="s">
        <v>139</v>
      </c>
      <c r="D753" s="40" t="s">
        <v>99</v>
      </c>
      <c r="E753" s="237" t="s">
        <v>150</v>
      </c>
      <c r="F753" s="40">
        <v>1</v>
      </c>
      <c r="G753" s="34" t="s">
        <v>412</v>
      </c>
      <c r="H753" s="29"/>
      <c r="I753" s="9"/>
      <c r="J753" s="9"/>
      <c r="K753" s="9"/>
      <c r="L753" s="9"/>
      <c r="M753" s="9"/>
      <c r="N753" s="185" t="str">
        <f>IF( OR( ISBLANK(H753),ISBLANK(J753), ISBLANK(K753), ISBLANK(L753), ISBLANK(M753) ), "", 1.5*SQRT(   EXP(2.21*(H753-1)) + EXP(2.21*(J753-1)) + EXP(2.21*(K753-1)) + EXP(2.21*(L753-1)) + EXP(2.21*M753)   )/100*2.45 )</f>
        <v/>
      </c>
      <c r="O753" s="159" t="str">
        <f>IF( OR( ISBLANK(I753),ISBLANK(J753), ISBLANK(K753), ISBLANK(L753), ISBLANK(M753) ), "", 1.5*SQRT( EXP(2.21*(I753-1)) + EXP(2.21*(J753-1)) + EXP(2.21*(K753-1)) + EXP(2.21*(L753-1)) + EXP(2.21*M753)   )/100*2.45 )</f>
        <v/>
      </c>
      <c r="P753" s="34" t="s">
        <v>1919</v>
      </c>
    </row>
    <row r="754" spans="1:16">
      <c r="A754" s="59" t="s">
        <v>439</v>
      </c>
      <c r="B754" s="336" t="s">
        <v>327</v>
      </c>
      <c r="C754" s="34" t="s">
        <v>139</v>
      </c>
      <c r="D754" s="40" t="s">
        <v>99</v>
      </c>
      <c r="E754" s="237" t="s">
        <v>150</v>
      </c>
      <c r="F754" s="40">
        <v>1</v>
      </c>
      <c r="G754" s="34" t="s">
        <v>412</v>
      </c>
      <c r="H754" s="29"/>
      <c r="I754" s="9"/>
      <c r="J754" s="9"/>
      <c r="K754" s="9"/>
      <c r="L754" s="9"/>
      <c r="M754" s="9"/>
      <c r="N754" s="185" t="str">
        <f>IF( OR( ISBLANK(H754),ISBLANK(J754), ISBLANK(K754), ISBLANK(L754), ISBLANK(M754) ), "", 1.5*SQRT(   EXP(2.21*(H754-1)) + EXP(2.21*(J754-1)) + EXP(2.21*(K754-1)) + EXP(2.21*(L754-1)) + EXP(2.21*M754)   )/100*2.45 )</f>
        <v/>
      </c>
      <c r="O754" s="159" t="str">
        <f>IF( OR( ISBLANK(I754),ISBLANK(J754), ISBLANK(K754), ISBLANK(L754), ISBLANK(M754) ), "", 1.5*SQRT( EXP(2.21*(I754-1)) + EXP(2.21*(J754-1)) + EXP(2.21*(K754-1)) + EXP(2.21*(L754-1)) + EXP(2.21*M754)   )/100*2.45 )</f>
        <v/>
      </c>
      <c r="P754" s="34"/>
    </row>
    <row r="755" spans="1:16">
      <c r="A755" s="59" t="s">
        <v>439</v>
      </c>
      <c r="B755" s="336" t="s">
        <v>231</v>
      </c>
      <c r="C755" s="34" t="s">
        <v>139</v>
      </c>
      <c r="D755" s="40" t="s">
        <v>99</v>
      </c>
      <c r="E755" s="237">
        <v>1.6000000000000001E-3</v>
      </c>
      <c r="F755" s="40">
        <v>2</v>
      </c>
      <c r="G755" s="34" t="s">
        <v>1976</v>
      </c>
      <c r="H755" s="29">
        <v>1</v>
      </c>
      <c r="I755" s="9">
        <v>2</v>
      </c>
      <c r="J755" s="9">
        <v>2</v>
      </c>
      <c r="K755" s="9">
        <v>1</v>
      </c>
      <c r="L755" s="9">
        <v>3</v>
      </c>
      <c r="M755" s="9">
        <v>3</v>
      </c>
      <c r="N755" s="185">
        <f>IF( OR( ISBLANK(H755),ISBLANK(J755), ISBLANK(K755), ISBLANK(L755), ISBLANK(M755) ), "", 1.5*SQRT(   EXP(2.21*(H755-1)) + EXP(2.21*(J755-1)) + EXP(2.21*(K755-1)) + EXP(2.21*(L755-1)) + EXP(2.21*M755)   )/100*2.45 )</f>
        <v>1.0725046436742278</v>
      </c>
      <c r="O755" s="159">
        <f>IF( OR( ISBLANK(I755),ISBLANK(J755), ISBLANK(K755), ISBLANK(L755), ISBLANK(M755) ), "", 1.5*SQRT( EXP(2.21*(I755-1)) + EXP(2.21*(J755-1)) + EXP(2.21*(K755-1)) + EXP(2.21*(L755-1)) + EXP(2.21*M755)   )/100*2.45 )</f>
        <v>1.0776024280428556</v>
      </c>
      <c r="P755" s="34" t="s">
        <v>1955</v>
      </c>
    </row>
    <row r="756" spans="1:16">
      <c r="A756" s="59" t="s">
        <v>439</v>
      </c>
      <c r="B756" s="336" t="s">
        <v>232</v>
      </c>
      <c r="C756" s="34" t="s">
        <v>139</v>
      </c>
      <c r="D756" s="40" t="s">
        <v>99</v>
      </c>
      <c r="E756" s="237">
        <v>1.26E-2</v>
      </c>
      <c r="F756" s="40">
        <v>2</v>
      </c>
      <c r="G756" s="34" t="s">
        <v>412</v>
      </c>
      <c r="H756" s="29">
        <v>1</v>
      </c>
      <c r="I756" s="9">
        <v>2</v>
      </c>
      <c r="J756" s="9">
        <v>2</v>
      </c>
      <c r="K756" s="9">
        <v>1</v>
      </c>
      <c r="L756" s="9">
        <v>1</v>
      </c>
      <c r="M756" s="9">
        <v>1</v>
      </c>
      <c r="N756" s="185">
        <f>IF( OR( ISBLANK(H756),ISBLANK(J756), ISBLANK(K756), ISBLANK(L756), ISBLANK(M756) ), "", 1.5*SQRT(   EXP(2.21*(H756-1)) + EXP(2.21*(J756-1)) + EXP(2.21*(K756-1)) + EXP(2.21*(L756-1)) + EXP(2.21*M756)   )/100*2.45 )</f>
        <v>0.16933510251023262</v>
      </c>
      <c r="O756" s="159">
        <f>IF( OR( ISBLANK(I756),ISBLANK(J756), ISBLANK(K756), ISBLANK(L756), ISBLANK(M756) ), "", 1.5*SQRT( EXP(2.21*(I756-1)) + EXP(2.21*(J756-1)) + EXP(2.21*(K756-1)) + EXP(2.21*(L756-1)) + EXP(2.21*M756)   )/100*2.45 )</f>
        <v>0.19908580854301616</v>
      </c>
      <c r="P756" s="34" t="s">
        <v>1956</v>
      </c>
    </row>
    <row r="757" spans="1:16">
      <c r="A757" s="59" t="s">
        <v>439</v>
      </c>
      <c r="B757" s="336" t="s">
        <v>251</v>
      </c>
      <c r="C757" s="34" t="s">
        <v>139</v>
      </c>
      <c r="D757" s="40" t="s">
        <v>99</v>
      </c>
      <c r="E757" s="237">
        <v>1.67E-2</v>
      </c>
      <c r="F757" s="40">
        <v>2</v>
      </c>
      <c r="G757" s="34" t="s">
        <v>412</v>
      </c>
      <c r="H757" s="29">
        <v>1</v>
      </c>
      <c r="I757" s="9">
        <v>2</v>
      </c>
      <c r="J757" s="9">
        <v>2</v>
      </c>
      <c r="K757" s="9">
        <v>1</v>
      </c>
      <c r="L757" s="9">
        <v>1</v>
      </c>
      <c r="M757" s="9">
        <v>1</v>
      </c>
      <c r="N757" s="185">
        <f>IF( OR( ISBLANK(H757),ISBLANK(J757), ISBLANK(K757), ISBLANK(L757), ISBLANK(M757) ), "", 1.5*SQRT(   EXP(2.21*(H757-1)) + EXP(2.21*(J757-1)) + EXP(2.21*(K757-1)) + EXP(2.21*(L757-1)) + EXP(2.21*M757)   )/100*2.45 )</f>
        <v>0.16933510251023262</v>
      </c>
      <c r="O757" s="159">
        <f>IF( OR( ISBLANK(I757),ISBLANK(J757), ISBLANK(K757), ISBLANK(L757), ISBLANK(M757) ), "", 1.5*SQRT( EXP(2.21*(I757-1)) + EXP(2.21*(J757-1)) + EXP(2.21*(K757-1)) + EXP(2.21*(L757-1)) + EXP(2.21*M757)   )/100*2.45 )</f>
        <v>0.19908580854301616</v>
      </c>
      <c r="P757" s="34" t="s">
        <v>1960</v>
      </c>
    </row>
    <row r="758" spans="1:16">
      <c r="A758" s="59" t="s">
        <v>439</v>
      </c>
      <c r="B758" s="336" t="s">
        <v>258</v>
      </c>
      <c r="C758" s="34" t="s">
        <v>139</v>
      </c>
      <c r="D758" s="40" t="s">
        <v>99</v>
      </c>
      <c r="E758" s="237">
        <v>1.1000000000000001E-3</v>
      </c>
      <c r="F758" s="40">
        <v>2</v>
      </c>
      <c r="G758" s="34" t="s">
        <v>412</v>
      </c>
      <c r="H758" s="29">
        <v>1</v>
      </c>
      <c r="I758" s="9">
        <v>2</v>
      </c>
      <c r="J758" s="9">
        <v>2</v>
      </c>
      <c r="K758" s="9">
        <v>1</v>
      </c>
      <c r="L758" s="9">
        <v>1</v>
      </c>
      <c r="M758" s="9">
        <v>1</v>
      </c>
      <c r="N758" s="185">
        <f>IF( OR( ISBLANK(H758),ISBLANK(J758), ISBLANK(K758), ISBLANK(L758), ISBLANK(M758) ), "", 1.5*SQRT(   EXP(2.21*(H758-1)) + EXP(2.21*(J758-1)) + EXP(2.21*(K758-1)) + EXP(2.21*(L758-1)) + EXP(2.21*M758)   )/100*2.45 )</f>
        <v>0.16933510251023262</v>
      </c>
      <c r="O758" s="159">
        <f>IF( OR( ISBLANK(I758),ISBLANK(J758), ISBLANK(K758), ISBLANK(L758), ISBLANK(M758) ), "", 1.5*SQRT( EXP(2.21*(I758-1)) + EXP(2.21*(J758-1)) + EXP(2.21*(K758-1)) + EXP(2.21*(L758-1)) + EXP(2.21*M758)   )/100*2.45 )</f>
        <v>0.19908580854301616</v>
      </c>
      <c r="P758" s="34" t="s">
        <v>1957</v>
      </c>
    </row>
    <row r="759" spans="1:16">
      <c r="A759" s="59" t="s">
        <v>438</v>
      </c>
      <c r="B759" s="336" t="s">
        <v>231</v>
      </c>
      <c r="C759" s="34" t="s">
        <v>139</v>
      </c>
      <c r="D759" s="40" t="s">
        <v>99</v>
      </c>
      <c r="E759" s="237">
        <v>0.05</v>
      </c>
      <c r="F759" s="40">
        <v>2</v>
      </c>
      <c r="G759" s="34" t="s">
        <v>157</v>
      </c>
      <c r="H759" s="29">
        <v>1</v>
      </c>
      <c r="I759" s="9">
        <v>2</v>
      </c>
      <c r="J759" s="9">
        <v>2</v>
      </c>
      <c r="K759" s="9">
        <v>1</v>
      </c>
      <c r="L759" s="9">
        <v>3</v>
      </c>
      <c r="M759" s="9">
        <v>3</v>
      </c>
      <c r="N759" s="185">
        <f>IF( OR( ISBLANK(H759),ISBLANK(J759), ISBLANK(K759), ISBLANK(L759), ISBLANK(M759) ), "", 1.5*SQRT(   EXP(2.21*(H759-1)) + EXP(2.21*(J759-1)) + EXP(2.21*(K759-1)) + EXP(2.21*(L759-1)) + EXP(2.21*M759)   )/100*2.45 )</f>
        <v>1.0725046436742278</v>
      </c>
      <c r="O759" s="159">
        <f>IF( OR( ISBLANK(I759),ISBLANK(J759), ISBLANK(K759), ISBLANK(L759), ISBLANK(M759) ), "", 1.5*SQRT( EXP(2.21*(I759-1)) + EXP(2.21*(J759-1)) + EXP(2.21*(K759-1)) + EXP(2.21*(L759-1)) + EXP(2.21*M759)   )/100*2.45 )</f>
        <v>1.0776024280428556</v>
      </c>
      <c r="P759" s="34" t="s">
        <v>1916</v>
      </c>
    </row>
    <row r="760" spans="1:16">
      <c r="A760" s="59" t="s">
        <v>438</v>
      </c>
      <c r="B760" s="336" t="s">
        <v>232</v>
      </c>
      <c r="C760" s="34" t="s">
        <v>139</v>
      </c>
      <c r="D760" s="40" t="s">
        <v>99</v>
      </c>
      <c r="E760" s="237">
        <v>0.39400000000000002</v>
      </c>
      <c r="F760" s="40">
        <v>2</v>
      </c>
      <c r="G760" s="34" t="s">
        <v>412</v>
      </c>
      <c r="H760" s="29">
        <v>1</v>
      </c>
      <c r="I760" s="9">
        <v>2</v>
      </c>
      <c r="J760" s="9">
        <v>2</v>
      </c>
      <c r="K760" s="9">
        <v>1</v>
      </c>
      <c r="L760" s="9">
        <v>1</v>
      </c>
      <c r="M760" s="9">
        <v>1</v>
      </c>
      <c r="N760" s="185">
        <f>IF( OR( ISBLANK(H760),ISBLANK(J760), ISBLANK(K760), ISBLANK(L760), ISBLANK(M760) ), "", 1.5*SQRT(   EXP(2.21*(H760-1)) + EXP(2.21*(J760-1)) + EXP(2.21*(K760-1)) + EXP(2.21*(L760-1)) + EXP(2.21*M760)   )/100*2.45 )</f>
        <v>0.16933510251023262</v>
      </c>
      <c r="O760" s="159">
        <f>IF( OR( ISBLANK(I760),ISBLANK(J760), ISBLANK(K760), ISBLANK(L760), ISBLANK(M760) ), "", 1.5*SQRT( EXP(2.21*(I760-1)) + EXP(2.21*(J760-1)) + EXP(2.21*(K760-1)) + EXP(2.21*(L760-1)) + EXP(2.21*M760)   )/100*2.45 )</f>
        <v>0.19908580854301616</v>
      </c>
      <c r="P760" s="34" t="s">
        <v>1940</v>
      </c>
    </row>
    <row r="761" spans="1:16">
      <c r="A761" s="59" t="s">
        <v>438</v>
      </c>
      <c r="B761" s="336" t="s">
        <v>251</v>
      </c>
      <c r="C761" s="34" t="s">
        <v>139</v>
      </c>
      <c r="D761" s="40" t="s">
        <v>99</v>
      </c>
      <c r="E761" s="237">
        <v>0.52200000000000002</v>
      </c>
      <c r="F761" s="40">
        <v>1</v>
      </c>
      <c r="G761" s="34" t="s">
        <v>412</v>
      </c>
      <c r="H761" s="29">
        <v>1</v>
      </c>
      <c r="I761" s="9">
        <v>2</v>
      </c>
      <c r="J761" s="9">
        <v>2</v>
      </c>
      <c r="K761" s="9">
        <v>1</v>
      </c>
      <c r="L761" s="9">
        <v>1</v>
      </c>
      <c r="M761" s="9">
        <v>1</v>
      </c>
      <c r="N761" s="185">
        <f>IF( OR( ISBLANK(H761),ISBLANK(J761), ISBLANK(K761), ISBLANK(L761), ISBLANK(M761) ), "", 1.5*SQRT(   EXP(2.21*(H761-1)) + EXP(2.21*(J761-1)) + EXP(2.21*(K761-1)) + EXP(2.21*(L761-1)) + EXP(2.21*M761)   )/100*2.45 )</f>
        <v>0.16933510251023262</v>
      </c>
      <c r="O761" s="159">
        <f>IF( OR( ISBLANK(I761),ISBLANK(J761), ISBLANK(K761), ISBLANK(L761), ISBLANK(M761) ), "", 1.5*SQRT( EXP(2.21*(I761-1)) + EXP(2.21*(J761-1)) + EXP(2.21*(K761-1)) + EXP(2.21*(L761-1)) + EXP(2.21*M761)   )/100*2.45 )</f>
        <v>0.19908580854301616</v>
      </c>
      <c r="P761" s="34" t="s">
        <v>1941</v>
      </c>
    </row>
    <row r="762" spans="1:16">
      <c r="A762" s="59" t="s">
        <v>438</v>
      </c>
      <c r="B762" s="336" t="s">
        <v>258</v>
      </c>
      <c r="C762" s="34" t="s">
        <v>139</v>
      </c>
      <c r="D762" s="40" t="s">
        <v>99</v>
      </c>
      <c r="E762" s="237">
        <v>3.4000000000000002E-2</v>
      </c>
      <c r="F762" s="40">
        <v>2</v>
      </c>
      <c r="G762" s="34" t="s">
        <v>412</v>
      </c>
      <c r="H762" s="29">
        <v>1</v>
      </c>
      <c r="I762" s="9">
        <v>2</v>
      </c>
      <c r="J762" s="9">
        <v>2</v>
      </c>
      <c r="K762" s="9">
        <v>1</v>
      </c>
      <c r="L762" s="9">
        <v>1</v>
      </c>
      <c r="M762" s="9">
        <v>1</v>
      </c>
      <c r="N762" s="185">
        <f>IF( OR( ISBLANK(H762),ISBLANK(J762), ISBLANK(K762), ISBLANK(L762), ISBLANK(M762) ), "", 1.5*SQRT(   EXP(2.21*(H762-1)) + EXP(2.21*(J762-1)) + EXP(2.21*(K762-1)) + EXP(2.21*(L762-1)) + EXP(2.21*M762)   )/100*2.45 )</f>
        <v>0.16933510251023262</v>
      </c>
      <c r="O762" s="159">
        <f>IF( OR( ISBLANK(I762),ISBLANK(J762), ISBLANK(K762), ISBLANK(L762), ISBLANK(M762) ), "", 1.5*SQRT( EXP(2.21*(I762-1)) + EXP(2.21*(J762-1)) + EXP(2.21*(K762-1)) + EXP(2.21*(L762-1)) + EXP(2.21*M762)   )/100*2.45 )</f>
        <v>0.19908580854301616</v>
      </c>
      <c r="P762" s="34" t="s">
        <v>1942</v>
      </c>
    </row>
    <row r="763" spans="1:16">
      <c r="A763" s="34" t="str">
        <f>Clothing!A489</f>
        <v>Leggings stockings tights and socks</v>
      </c>
      <c r="B763" s="40" t="str">
        <f>Clothing!B489</f>
        <v>Clothing washed (in use)</v>
      </c>
      <c r="C763" s="34" t="str">
        <f>Clothing!C489</f>
        <v>any</v>
      </c>
      <c r="D763" s="40" t="str">
        <f>Clothing!D489</f>
        <v>any</v>
      </c>
      <c r="E763" s="34">
        <f>Clothing!E489</f>
        <v>1.3554814450000001E-2</v>
      </c>
      <c r="F763" s="40">
        <f>Clothing!F489</f>
        <v>2</v>
      </c>
      <c r="G763" s="34" t="str">
        <f>Clothing!G489</f>
        <v>Computed from wearing, washing, drying TCs</v>
      </c>
      <c r="H763" s="1188">
        <f>Clothing!H489</f>
        <v>2</v>
      </c>
      <c r="I763" s="307">
        <f>Clothing!I489</f>
        <v>2</v>
      </c>
      <c r="J763" s="307">
        <f>Clothing!J489</f>
        <v>2</v>
      </c>
      <c r="K763" s="307">
        <f>Clothing!K489</f>
        <v>2</v>
      </c>
      <c r="L763" s="307">
        <f>Clothing!L489</f>
        <v>2</v>
      </c>
      <c r="M763" s="307">
        <f>Clothing!M489</f>
        <v>2</v>
      </c>
      <c r="N763" s="185">
        <f>IF( OR( ISBLANK(H763),ISBLANK(J763), ISBLANK(K763), ISBLANK(L763), ISBLANK(M763) ), "", 1.5*SQRT(   EXP(2.21*(H763-1)) + EXP(2.21*(J763-1)) + EXP(2.21*(K763-1)) + EXP(2.21*(L763-1)) + EXP(2.21*M763)   )/100*2.45 )</f>
        <v>0.40183591897512122</v>
      </c>
      <c r="O763" s="159">
        <f>IF( OR( ISBLANK(I763),ISBLANK(J763), ISBLANK(K763), ISBLANK(L763), ISBLANK(M763) ), "", 1.5*SQRT( EXP(2.21*(I763-1)) + EXP(2.21*(J763-1)) + EXP(2.21*(K763-1)) + EXP(2.21*(L763-1)) + EXP(2.21*M763)   )/100*2.45 )</f>
        <v>0.40183591897512122</v>
      </c>
      <c r="P763" s="973"/>
    </row>
    <row r="764" spans="1:16">
      <c r="A764" s="34" t="str">
        <f>Clothing!A490</f>
        <v>Leggings stockings tights and socks</v>
      </c>
      <c r="B764" s="40" t="str">
        <f>Clothing!B490</f>
        <v>Clothing washed (discarded)</v>
      </c>
      <c r="C764" s="34" t="str">
        <f>Clothing!C490</f>
        <v>any</v>
      </c>
      <c r="D764" s="40" t="str">
        <f>Clothing!D490</f>
        <v>any</v>
      </c>
      <c r="E764" s="34" t="str">
        <f>Clothing!E490</f>
        <v>rest</v>
      </c>
      <c r="F764" s="40">
        <f>Clothing!F490</f>
        <v>1</v>
      </c>
      <c r="G764" s="34"/>
      <c r="H764" s="1188"/>
      <c r="I764" s="307"/>
      <c r="J764" s="307"/>
      <c r="K764" s="307"/>
      <c r="L764" s="307"/>
      <c r="M764" s="307"/>
      <c r="N764" s="185"/>
      <c r="O764" s="159"/>
      <c r="P764" s="973"/>
    </row>
    <row r="765" spans="1:16">
      <c r="A765" s="68" t="str">
        <f>Clothing!A602</f>
        <v>Lint filter (CHETD)</v>
      </c>
      <c r="B765" s="304" t="str">
        <f>Clothing!B602</f>
        <v>Clean lint filter by hand</v>
      </c>
      <c r="C765" s="69" t="str">
        <f>Clothing!C602</f>
        <v>any</v>
      </c>
      <c r="D765" s="823" t="str">
        <f>Clothing!D602</f>
        <v>any</v>
      </c>
      <c r="E765" s="69">
        <f>Clothing!E602</f>
        <v>0.67</v>
      </c>
      <c r="F765" s="823">
        <f>Clothing!F602</f>
        <v>2</v>
      </c>
      <c r="G765" s="69" t="str">
        <f>Clothing!G602</f>
        <v>Based on data from Cummins et al. (2023)</v>
      </c>
      <c r="H765" s="1188">
        <f>Clothing!H602</f>
        <v>2</v>
      </c>
      <c r="I765" s="307">
        <f>Clothing!I602</f>
        <v>2</v>
      </c>
      <c r="J765" s="307">
        <f>Clothing!J602</f>
        <v>1</v>
      </c>
      <c r="K765" s="307">
        <f>Clothing!K602</f>
        <v>1</v>
      </c>
      <c r="L765" s="307">
        <f>Clothing!L602</f>
        <v>1</v>
      </c>
      <c r="M765" s="307">
        <f>Clothing!M602</f>
        <v>1</v>
      </c>
      <c r="N765" s="616">
        <f>IF( OR( ISBLANK(H765),ISBLANK(J765), ISBLANK(K765), ISBLANK(L765), ISBLANK(M765) ), "", 1.5*SQRT(   EXP(2.21*(H765-1)) + EXP(2.21*(J765-1)) + EXP(2.21*(K765-1)) + EXP(2.21*(L765-1)) + EXP(2.21*M765)   )/100*2.45 )</f>
        <v>0.16933510251023262</v>
      </c>
      <c r="O765" s="1282">
        <f>IF( OR( ISBLANK(I765),ISBLANK(J765), ISBLANK(K765), ISBLANK(L765), ISBLANK(M765) ), "", 1.5*SQRT( EXP(2.21*(I765-1)) + EXP(2.21*(J765-1)) + EXP(2.21*(K765-1)) + EXP(2.21*(L765-1)) + EXP(2.21*M765)   )/100*2.45 )</f>
        <v>0.16933510251023262</v>
      </c>
      <c r="P765" s="68"/>
    </row>
    <row r="766" spans="1:16">
      <c r="A766" s="68" t="str">
        <f>Clothing!A603</f>
        <v>Lint filter (CHETD)</v>
      </c>
      <c r="B766" s="304" t="str">
        <f>Clothing!B603</f>
        <v>Clean lint filter under running water</v>
      </c>
      <c r="C766" s="69" t="str">
        <f>Clothing!C603</f>
        <v>any</v>
      </c>
      <c r="D766" s="823" t="str">
        <f>Clothing!D603</f>
        <v>any</v>
      </c>
      <c r="E766" s="69" t="str">
        <f>Clothing!E603</f>
        <v>rest</v>
      </c>
      <c r="F766" s="823">
        <f>Clothing!F603</f>
        <v>1</v>
      </c>
      <c r="G766" s="69"/>
      <c r="H766" s="1188"/>
      <c r="I766" s="307"/>
      <c r="J766" s="307"/>
      <c r="K766" s="307"/>
      <c r="L766" s="307"/>
      <c r="M766" s="307"/>
      <c r="N766" s="616" t="str">
        <f>IF( OR( ISBLANK(H766),ISBLANK(J766), ISBLANK(K766), ISBLANK(L766), ISBLANK(M766) ), "", 1.5*SQRT(   EXP(2.21*(H766-1)) + EXP(2.21*(J766-1)) + EXP(2.21*(K766-1)) + EXP(2.21*(L766-1)) + EXP(2.21*M766)   )/100*2.45 )</f>
        <v/>
      </c>
      <c r="O766" s="1282" t="str">
        <f>IF( OR( ISBLANK(I766),ISBLANK(J766), ISBLANK(K766), ISBLANK(L766), ISBLANK(M766) ), "", 1.5*SQRT( EXP(2.21*(I766-1)) + EXP(2.21*(J766-1)) + EXP(2.21*(K766-1)) + EXP(2.21*(L766-1)) + EXP(2.21*M766)   )/100*2.45 )</f>
        <v/>
      </c>
      <c r="P766" s="68"/>
    </row>
    <row r="767" spans="1:16">
      <c r="A767" s="68" t="str">
        <f>Clothing!A600</f>
        <v>Lint filter (CHPTD)</v>
      </c>
      <c r="B767" s="304" t="str">
        <f>Clothing!B600</f>
        <v>Clean lint filter by hand</v>
      </c>
      <c r="C767" s="69" t="str">
        <f>Clothing!C600</f>
        <v>any</v>
      </c>
      <c r="D767" s="823" t="str">
        <f>Clothing!D600</f>
        <v>any</v>
      </c>
      <c r="E767" s="69">
        <f>Clothing!E600</f>
        <v>0.83</v>
      </c>
      <c r="F767" s="823">
        <f>Clothing!F600</f>
        <v>2</v>
      </c>
      <c r="G767" s="69" t="str">
        <f>Clothing!G600</f>
        <v>Based on data from Cummins et al. (2023)</v>
      </c>
      <c r="H767" s="1188">
        <f>Clothing!H600</f>
        <v>2</v>
      </c>
      <c r="I767" s="307">
        <f>Clothing!I600</f>
        <v>2</v>
      </c>
      <c r="J767" s="307">
        <f>Clothing!J600</f>
        <v>1</v>
      </c>
      <c r="K767" s="307">
        <f>Clothing!K600</f>
        <v>1</v>
      </c>
      <c r="L767" s="307">
        <f>Clothing!L600</f>
        <v>1</v>
      </c>
      <c r="M767" s="307">
        <f>Clothing!M600</f>
        <v>1</v>
      </c>
      <c r="N767" s="616">
        <f>IF( OR( ISBLANK(H767),ISBLANK(J767), ISBLANK(K767), ISBLANK(L767), ISBLANK(M767) ), "", 1.5*SQRT(   EXP(2.21*(H767-1)) + EXP(2.21*(J767-1)) + EXP(2.21*(K767-1)) + EXP(2.21*(L767-1)) + EXP(2.21*M767)   )/100*2.45 )</f>
        <v>0.16933510251023262</v>
      </c>
      <c r="O767" s="1282">
        <f>IF( OR( ISBLANK(I767),ISBLANK(J767), ISBLANK(K767), ISBLANK(L767), ISBLANK(M767) ), "", 1.5*SQRT( EXP(2.21*(I767-1)) + EXP(2.21*(J767-1)) + EXP(2.21*(K767-1)) + EXP(2.21*(L767-1)) + EXP(2.21*M767)   )/100*2.45 )</f>
        <v>0.16933510251023262</v>
      </c>
      <c r="P767" s="68"/>
    </row>
    <row r="768" spans="1:16">
      <c r="A768" s="68" t="str">
        <f>Clothing!A601</f>
        <v>Lint filter (CHPTD)</v>
      </c>
      <c r="B768" s="304" t="str">
        <f>Clothing!B601</f>
        <v>Clean lint filter under running water</v>
      </c>
      <c r="C768" s="69" t="str">
        <f>Clothing!C601</f>
        <v>any</v>
      </c>
      <c r="D768" s="823" t="str">
        <f>Clothing!D601</f>
        <v>any</v>
      </c>
      <c r="E768" s="69" t="str">
        <f>Clothing!E601</f>
        <v>rest</v>
      </c>
      <c r="F768" s="823">
        <f>Clothing!F601</f>
        <v>1</v>
      </c>
      <c r="G768" s="69"/>
      <c r="H768" s="1188"/>
      <c r="I768" s="307"/>
      <c r="J768" s="307"/>
      <c r="K768" s="307"/>
      <c r="L768" s="307"/>
      <c r="M768" s="307"/>
      <c r="N768" s="616" t="str">
        <f>IF( OR( ISBLANK(H768),ISBLANK(J768), ISBLANK(K768), ISBLANK(L768), ISBLANK(M768) ), "", 1.5*SQRT(   EXP(2.21*(H768-1)) + EXP(2.21*(J768-1)) + EXP(2.21*(K768-1)) + EXP(2.21*(L768-1)) + EXP(2.21*M768)   )/100*2.45 )</f>
        <v/>
      </c>
      <c r="O768" s="1282" t="str">
        <f>IF( OR( ISBLANK(I768),ISBLANK(J768), ISBLANK(K768), ISBLANK(L768), ISBLANK(M768) ), "", 1.5*SQRT( EXP(2.21*(I768-1)) + EXP(2.21*(J768-1)) + EXP(2.21*(K768-1)) + EXP(2.21*(L768-1)) + EXP(2.21*M768)   )/100*2.45 )</f>
        <v/>
      </c>
      <c r="P768" s="68"/>
    </row>
    <row r="769" spans="1:868">
      <c r="A769" s="68" t="str">
        <f>Clothing!A598</f>
        <v>Lint filter (VTD)</v>
      </c>
      <c r="B769" s="304" t="str">
        <f>Clothing!B598</f>
        <v>Clean lint filter by hand</v>
      </c>
      <c r="C769" s="69" t="str">
        <f>Clothing!C598</f>
        <v>any</v>
      </c>
      <c r="D769" s="823" t="str">
        <f>Clothing!D598</f>
        <v>any</v>
      </c>
      <c r="E769" s="69">
        <f>Clothing!E598</f>
        <v>0.625</v>
      </c>
      <c r="F769" s="823">
        <f>Clothing!F598</f>
        <v>2</v>
      </c>
      <c r="G769" s="69" t="str">
        <f>Clothing!G598</f>
        <v>Based on data from Cummins et al. (2023)</v>
      </c>
      <c r="H769" s="1188">
        <f>Clothing!H598</f>
        <v>2</v>
      </c>
      <c r="I769" s="307">
        <f>Clothing!I598</f>
        <v>2</v>
      </c>
      <c r="J769" s="307">
        <f>Clothing!J598</f>
        <v>1</v>
      </c>
      <c r="K769" s="307">
        <f>Clothing!K598</f>
        <v>1</v>
      </c>
      <c r="L769" s="307">
        <f>Clothing!L598</f>
        <v>1</v>
      </c>
      <c r="M769" s="307">
        <f>Clothing!M598</f>
        <v>1</v>
      </c>
      <c r="N769" s="616">
        <f>IF( OR( ISBLANK(H769),ISBLANK(J769), ISBLANK(K769), ISBLANK(L769), ISBLANK(M769) ), "", 1.5*SQRT(   EXP(2.21*(H769-1)) + EXP(2.21*(J769-1)) + EXP(2.21*(K769-1)) + EXP(2.21*(L769-1)) + EXP(2.21*M769)   )/100*2.45 )</f>
        <v>0.16933510251023262</v>
      </c>
      <c r="O769" s="1282">
        <f>IF( OR( ISBLANK(I769),ISBLANK(J769), ISBLANK(K769), ISBLANK(L769), ISBLANK(M769) ), "", 1.5*SQRT( EXP(2.21*(I769-1)) + EXP(2.21*(J769-1)) + EXP(2.21*(K769-1)) + EXP(2.21*(L769-1)) + EXP(2.21*M769)   )/100*2.45 )</f>
        <v>0.16933510251023262</v>
      </c>
      <c r="P769" s="68"/>
    </row>
    <row r="770" spans="1:868">
      <c r="A770" s="68" t="str">
        <f>Clothing!A599</f>
        <v>Lint filter (VTD)</v>
      </c>
      <c r="B770" s="304" t="str">
        <f>Clothing!B599</f>
        <v>Clean lint filter under running water</v>
      </c>
      <c r="C770" s="69" t="str">
        <f>Clothing!C599</f>
        <v>any</v>
      </c>
      <c r="D770" s="823" t="str">
        <f>Clothing!D599</f>
        <v>any</v>
      </c>
      <c r="E770" s="69" t="str">
        <f>Clothing!E599</f>
        <v>rest</v>
      </c>
      <c r="F770" s="823">
        <f>Clothing!F599</f>
        <v>1</v>
      </c>
      <c r="G770" s="69"/>
      <c r="H770" s="1188"/>
      <c r="I770" s="307"/>
      <c r="J770" s="307"/>
      <c r="K770" s="307"/>
      <c r="L770" s="307"/>
      <c r="M770" s="307"/>
      <c r="N770" s="616" t="str">
        <f>IF( OR( ISBLANK(H770),ISBLANK(J770), ISBLANK(K770), ISBLANK(L770), ISBLANK(M770) ), "", 1.5*SQRT(   EXP(2.21*(H770-1)) + EXP(2.21*(J770-1)) + EXP(2.21*(K770-1)) + EXP(2.21*(L770-1)) + EXP(2.21*M770)   )/100*2.45 )</f>
        <v/>
      </c>
      <c r="O770" s="1282" t="str">
        <f>IF( OR( ISBLANK(I770),ISBLANK(J770), ISBLANK(K770), ISBLANK(L770), ISBLANK(M770) ), "", 1.5*SQRT( EXP(2.21*(I770-1)) + EXP(2.21*(J770-1)) + EXP(2.21*(K770-1)) + EXP(2.21*(L770-1)) + EXP(2.21*M770)   )/100*2.45 )</f>
        <v/>
      </c>
      <c r="P770" s="68"/>
    </row>
    <row r="771" spans="1:868">
      <c r="A771" s="34" t="s">
        <v>315</v>
      </c>
      <c r="B771" s="40" t="s">
        <v>335</v>
      </c>
      <c r="C771" s="34" t="s">
        <v>139</v>
      </c>
      <c r="D771" s="40" t="s">
        <v>139</v>
      </c>
      <c r="E771" s="237" t="s">
        <v>150</v>
      </c>
      <c r="F771" s="168">
        <v>1</v>
      </c>
      <c r="G771" s="34" t="s">
        <v>336</v>
      </c>
      <c r="H771" s="29"/>
      <c r="I771" s="9"/>
      <c r="J771" s="9"/>
      <c r="K771" s="9"/>
      <c r="L771" s="9"/>
      <c r="M771" s="9"/>
      <c r="N771" s="185" t="str">
        <f>IF( OR( ISBLANK(H771),ISBLANK(J771), ISBLANK(K771), ISBLANK(L771), ISBLANK(M771) ), "", 1.5*SQRT(   EXP(2.21*(H771-1)) + EXP(2.21*(J771-1)) + EXP(2.21*(K771-1)) + EXP(2.21*(L771-1)) + EXP(2.21*M771)   )/100*2.45 )</f>
        <v/>
      </c>
      <c r="O771" s="159" t="str">
        <f>IF( OR( ISBLANK(I771),ISBLANK(J771), ISBLANK(K771), ISBLANK(L771), ISBLANK(M771) ), "", 1.5*SQRT( EXP(2.21*(I771-1)) + EXP(2.21*(J771-1)) + EXP(2.21*(K771-1)) + EXP(2.21*(L771-1)) + EXP(2.21*M771)   )/100*2.45 )</f>
        <v/>
      </c>
      <c r="P771" s="34" t="s">
        <v>333</v>
      </c>
    </row>
    <row r="772" spans="1:868">
      <c r="A772" s="34" t="s">
        <v>315</v>
      </c>
      <c r="B772" s="40" t="s">
        <v>265</v>
      </c>
      <c r="C772" s="34" t="s">
        <v>139</v>
      </c>
      <c r="D772" s="40" t="s">
        <v>139</v>
      </c>
      <c r="E772" s="237">
        <v>1.0200000000000001E-3</v>
      </c>
      <c r="F772" s="168">
        <v>2</v>
      </c>
      <c r="G772" s="34" t="s">
        <v>337</v>
      </c>
      <c r="H772" s="29">
        <v>2</v>
      </c>
      <c r="I772" s="9"/>
      <c r="J772" s="9">
        <v>3</v>
      </c>
      <c r="K772" s="9">
        <v>3</v>
      </c>
      <c r="L772" s="9">
        <v>3</v>
      </c>
      <c r="M772" s="9">
        <v>2</v>
      </c>
      <c r="N772" s="185">
        <f>IF( OR( ISBLANK(H772),ISBLANK(J772), ISBLANK(K772), ISBLANK(L772), ISBLANK(M772) ), "", 1.5*SQRT(   EXP(2.21*(H772-1)) + EXP(2.21*(J772-1)) + EXP(2.21*(K772-1)) + EXP(2.21*(L772-1)) + EXP(2.21*M772)   )/100*2.45 )</f>
        <v>0.67913051197703389</v>
      </c>
      <c r="O772" s="159" t="str">
        <f>IF( OR( ISBLANK(I772),ISBLANK(J772), ISBLANK(K772), ISBLANK(L772), ISBLANK(M772) ), "", 1.5*SQRT( EXP(2.21*(I772-1)) + EXP(2.21*(J772-1)) + EXP(2.21*(K772-1)) + EXP(2.21*(L772-1)) + EXP(2.21*M772)   )/100*2.45 )</f>
        <v/>
      </c>
      <c r="P772" s="34" t="s">
        <v>338</v>
      </c>
    </row>
    <row r="773" spans="1:868">
      <c r="A773" s="34" t="s">
        <v>315</v>
      </c>
      <c r="B773" s="40" t="s">
        <v>223</v>
      </c>
      <c r="C773" s="34" t="s">
        <v>139</v>
      </c>
      <c r="D773" s="40" t="s">
        <v>139</v>
      </c>
      <c r="E773" s="237">
        <v>0.1</v>
      </c>
      <c r="F773" s="168">
        <v>1</v>
      </c>
      <c r="G773" s="34" t="s">
        <v>332</v>
      </c>
      <c r="H773" s="29"/>
      <c r="I773" s="9"/>
      <c r="J773" s="9"/>
      <c r="K773" s="9"/>
      <c r="L773" s="9"/>
      <c r="M773" s="9"/>
      <c r="N773" s="185" t="str">
        <f>IF( OR( ISBLANK(H773),ISBLANK(J773), ISBLANK(K773), ISBLANK(L773), ISBLANK(M773) ), "", 1.5*SQRT(   EXP(2.21*(H773-1)) + EXP(2.21*(J773-1)) + EXP(2.21*(K773-1)) + EXP(2.21*(L773-1)) + EXP(2.21*M773)   )/100*2.45 )</f>
        <v/>
      </c>
      <c r="O773" s="159" t="str">
        <f>IF( OR( ISBLANK(I773),ISBLANK(J773), ISBLANK(K773), ISBLANK(L773), ISBLANK(M773) ), "", 1.5*SQRT( EXP(2.21*(I773-1)) + EXP(2.21*(J773-1)) + EXP(2.21*(K773-1)) + EXP(2.21*(L773-1)) + EXP(2.21*M773)   )/100*2.45 )</f>
        <v/>
      </c>
      <c r="P773" s="34" t="s">
        <v>333</v>
      </c>
    </row>
    <row r="774" spans="1:868">
      <c r="A774" s="34" t="s">
        <v>315</v>
      </c>
      <c r="B774" s="40" t="s">
        <v>223</v>
      </c>
      <c r="C774" s="34" t="s">
        <v>139</v>
      </c>
      <c r="D774" s="40" t="s">
        <v>139</v>
      </c>
      <c r="E774" s="237">
        <v>0.9</v>
      </c>
      <c r="F774" s="168">
        <v>1</v>
      </c>
      <c r="G774" s="34" t="s">
        <v>334</v>
      </c>
      <c r="H774" s="29"/>
      <c r="I774" s="9"/>
      <c r="J774" s="9"/>
      <c r="K774" s="9"/>
      <c r="L774" s="9"/>
      <c r="M774" s="9"/>
      <c r="N774" s="185" t="str">
        <f>IF( OR( ISBLANK(H774),ISBLANK(J774), ISBLANK(K774), ISBLANK(L774), ISBLANK(M774) ), "", 1.5*SQRT(   EXP(2.21*(H774-1)) + EXP(2.21*(J774-1)) + EXP(2.21*(K774-1)) + EXP(2.21*(L774-1)) + EXP(2.21*M774)   )/100*2.45 )</f>
        <v/>
      </c>
      <c r="O774" s="159" t="str">
        <f>IF( OR( ISBLANK(I774),ISBLANK(J774), ISBLANK(K774), ISBLANK(L774), ISBLANK(M774) ), "", 1.5*SQRT( EXP(2.21*(I774-1)) + EXP(2.21*(J774-1)) + EXP(2.21*(K774-1)) + EXP(2.21*(L774-1)) + EXP(2.21*M774)   )/100*2.45 )</f>
        <v/>
      </c>
      <c r="P774" s="34" t="s">
        <v>333</v>
      </c>
    </row>
    <row r="775" spans="1:868">
      <c r="A775" s="34" t="s">
        <v>319</v>
      </c>
      <c r="B775" s="40" t="s">
        <v>176</v>
      </c>
      <c r="C775" s="34" t="s">
        <v>139</v>
      </c>
      <c r="D775" s="40" t="s">
        <v>139</v>
      </c>
      <c r="E775" s="237">
        <v>1.17E-2</v>
      </c>
      <c r="F775" s="168">
        <v>2</v>
      </c>
      <c r="G775" s="34" t="s">
        <v>337</v>
      </c>
      <c r="H775" s="29">
        <v>2</v>
      </c>
      <c r="I775" s="9"/>
      <c r="J775" s="9">
        <v>3</v>
      </c>
      <c r="K775" s="9">
        <v>3</v>
      </c>
      <c r="L775" s="9">
        <v>3</v>
      </c>
      <c r="M775" s="9">
        <v>2</v>
      </c>
      <c r="N775" s="185">
        <f>IF( OR( ISBLANK(H775),ISBLANK(J775), ISBLANK(K775), ISBLANK(L775), ISBLANK(M775) ), "", 1.5*SQRT(   EXP(2.21*(H775-1)) + EXP(2.21*(J775-1)) + EXP(2.21*(K775-1)) + EXP(2.21*(L775-1)) + EXP(2.21*M775)   )/100*2.45 )</f>
        <v>0.67913051197703389</v>
      </c>
      <c r="O775" s="159" t="str">
        <f>IF( OR( ISBLANK(I775),ISBLANK(J775), ISBLANK(K775), ISBLANK(L775), ISBLANK(M775) ), "", 1.5*SQRT( EXP(2.21*(I775-1)) + EXP(2.21*(J775-1)) + EXP(2.21*(K775-1)) + EXP(2.21*(L775-1)) + EXP(2.21*M775)   )/100*2.45 )</f>
        <v/>
      </c>
      <c r="P775" s="34" t="s">
        <v>352</v>
      </c>
    </row>
    <row r="776" spans="1:868">
      <c r="A776" s="34" t="s">
        <v>319</v>
      </c>
      <c r="B776" s="40" t="s">
        <v>264</v>
      </c>
      <c r="C776" s="34" t="s">
        <v>139</v>
      </c>
      <c r="D776" s="40" t="s">
        <v>139</v>
      </c>
      <c r="E776" s="237">
        <v>0.01</v>
      </c>
      <c r="F776" s="168">
        <v>2</v>
      </c>
      <c r="G776" s="34" t="s">
        <v>382</v>
      </c>
      <c r="H776" s="29">
        <v>3</v>
      </c>
      <c r="I776" s="9"/>
      <c r="J776" s="9">
        <v>3</v>
      </c>
      <c r="K776" s="9">
        <v>3</v>
      </c>
      <c r="L776" s="9">
        <v>3</v>
      </c>
      <c r="M776" s="9">
        <v>3</v>
      </c>
      <c r="N776" s="185">
        <f>IF( OR( ISBLANK(H776),ISBLANK(J776), ISBLANK(K776), ISBLANK(L776), ISBLANK(M776) ), "", 1.5*SQRT(   EXP(2.21*(H776-1)) + EXP(2.21*(J776-1)) + EXP(2.21*(K776-1)) + EXP(2.21*(L776-1)) + EXP(2.21*M776)   )/100*2.45 )</f>
        <v>1.2132328390150593</v>
      </c>
      <c r="O776" s="159" t="str">
        <f>IF( OR( ISBLANK(I776),ISBLANK(J776), ISBLANK(K776), ISBLANK(L776), ISBLANK(M776) ), "", 1.5*SQRT( EXP(2.21*(I776-1)) + EXP(2.21*(J776-1)) + EXP(2.21*(K776-1)) + EXP(2.21*(L776-1)) + EXP(2.21*M776)   )/100*2.45 )</f>
        <v/>
      </c>
      <c r="P776" s="34"/>
    </row>
    <row r="777" spans="1:868">
      <c r="A777" s="34" t="s">
        <v>319</v>
      </c>
      <c r="B777" s="40" t="s">
        <v>265</v>
      </c>
      <c r="C777" s="34" t="s">
        <v>139</v>
      </c>
      <c r="D777" s="40" t="s">
        <v>139</v>
      </c>
      <c r="E777" s="237">
        <v>1.0200000000000001E-3</v>
      </c>
      <c r="F777" s="168">
        <v>2</v>
      </c>
      <c r="G777" s="34" t="s">
        <v>337</v>
      </c>
      <c r="H777" s="29">
        <v>2</v>
      </c>
      <c r="I777" s="9"/>
      <c r="J777" s="9">
        <v>3</v>
      </c>
      <c r="K777" s="9">
        <v>3</v>
      </c>
      <c r="L777" s="9">
        <v>3</v>
      </c>
      <c r="M777" s="9">
        <v>2</v>
      </c>
      <c r="N777" s="185">
        <f>IF( OR( ISBLANK(H777),ISBLANK(J777), ISBLANK(K777), ISBLANK(L777), ISBLANK(M777) ), "", 1.5*SQRT(   EXP(2.21*(H777-1)) + EXP(2.21*(J777-1)) + EXP(2.21*(K777-1)) + EXP(2.21*(L777-1)) + EXP(2.21*M777)   )/100*2.45 )</f>
        <v>0.67913051197703389</v>
      </c>
      <c r="O777" s="159" t="str">
        <f>IF( OR( ISBLANK(I777),ISBLANK(J777), ISBLANK(K777), ISBLANK(L777), ISBLANK(M777) ), "", 1.5*SQRT( EXP(2.21*(I777-1)) + EXP(2.21*(J777-1)) + EXP(2.21*(K777-1)) + EXP(2.21*(L777-1)) + EXP(2.21*M777)   )/100*2.45 )</f>
        <v/>
      </c>
      <c r="P777" s="34" t="s">
        <v>338</v>
      </c>
    </row>
    <row r="778" spans="1:868">
      <c r="A778" s="34" t="s">
        <v>319</v>
      </c>
      <c r="B778" s="40" t="s">
        <v>223</v>
      </c>
      <c r="C778" s="34" t="s">
        <v>139</v>
      </c>
      <c r="D778" s="40" t="s">
        <v>139</v>
      </c>
      <c r="E778" s="237" t="s">
        <v>150</v>
      </c>
      <c r="F778" s="168">
        <v>1</v>
      </c>
      <c r="G778" s="34"/>
      <c r="H778" s="29"/>
      <c r="I778" s="9"/>
      <c r="J778" s="9"/>
      <c r="K778" s="9"/>
      <c r="L778" s="9"/>
      <c r="M778" s="9"/>
      <c r="N778" s="185" t="str">
        <f>IF( OR( ISBLANK(H778),ISBLANK(J778), ISBLANK(K778), ISBLANK(L778), ISBLANK(M778) ), "", 1.5*SQRT(   EXP(2.21*(H778-1)) + EXP(2.21*(J778-1)) + EXP(2.21*(K778-1)) + EXP(2.21*(L778-1)) + EXP(2.21*M778)   )/100*2.45 )</f>
        <v/>
      </c>
      <c r="O778" s="159" t="str">
        <f>IF( OR( ISBLANK(I778),ISBLANK(J778), ISBLANK(K778), ISBLANK(L778), ISBLANK(M778) ), "", 1.5*SQRT( EXP(2.21*(I778-1)) + EXP(2.21*(J778-1)) + EXP(2.21*(K778-1)) + EXP(2.21*(L778-1)) + EXP(2.21*M778)   )/100*2.45 )</f>
        <v/>
      </c>
      <c r="P778" s="34"/>
    </row>
    <row r="779" spans="1:868" ht="15" thickBot="1">
      <c r="A779" s="34" t="s">
        <v>308</v>
      </c>
      <c r="B779" s="40" t="s">
        <v>223</v>
      </c>
      <c r="C779" s="34" t="s">
        <v>139</v>
      </c>
      <c r="D779" s="40" t="s">
        <v>139</v>
      </c>
      <c r="E779" s="237">
        <v>0.1</v>
      </c>
      <c r="F779" s="168">
        <v>2</v>
      </c>
      <c r="G779" s="34" t="s">
        <v>397</v>
      </c>
      <c r="H779" s="29">
        <v>1</v>
      </c>
      <c r="I779" s="9"/>
      <c r="J779" s="9">
        <v>1</v>
      </c>
      <c r="K779" s="9">
        <v>1</v>
      </c>
      <c r="L779" s="9">
        <v>1</v>
      </c>
      <c r="M779" s="9">
        <v>3</v>
      </c>
      <c r="N779" s="185">
        <f>IF( OR( ISBLANK(H779),ISBLANK(J779), ISBLANK(K779), ISBLANK(L779), ISBLANK(M779) ), "", 1.5*SQRT(   EXP(2.21*(H779-1)) + EXP(2.21*(J779-1)) + EXP(2.21*(K779-1)) + EXP(2.21*(L779-1)) + EXP(2.21*M779)   )/100*2.45 )</f>
        <v>1.0141150152164344</v>
      </c>
      <c r="O779" s="159" t="str">
        <f>IF( OR( ISBLANK(I779),ISBLANK(J779), ISBLANK(K779), ISBLANK(L779), ISBLANK(M779) ), "", 1.5*SQRT( EXP(2.21*(I779-1)) + EXP(2.21*(J779-1)) + EXP(2.21*(K779-1)) + EXP(2.21*(L779-1)) + EXP(2.21*M779)   )/100*2.45 )</f>
        <v/>
      </c>
      <c r="P779" s="34"/>
    </row>
    <row r="780" spans="1:868" s="820" customFormat="1">
      <c r="A780" s="34" t="s">
        <v>308</v>
      </c>
      <c r="B780" s="40" t="s">
        <v>400</v>
      </c>
      <c r="C780" s="34" t="s">
        <v>139</v>
      </c>
      <c r="D780" s="40" t="s">
        <v>139</v>
      </c>
      <c r="E780" s="237" t="s">
        <v>150</v>
      </c>
      <c r="F780" s="168">
        <v>1</v>
      </c>
      <c r="G780" s="34"/>
      <c r="H780" s="29"/>
      <c r="I780" s="9"/>
      <c r="J780" s="9"/>
      <c r="K780" s="9"/>
      <c r="L780" s="9"/>
      <c r="M780" s="9"/>
      <c r="N780" s="185" t="str">
        <f>IF( OR( ISBLANK(H780),ISBLANK(J780), ISBLANK(K780), ISBLANK(L780), ISBLANK(M780) ), "", 1.5*SQRT(   EXP(2.21*(H780-1)) + EXP(2.21*(J780-1)) + EXP(2.21*(K780-1)) + EXP(2.21*(L780-1)) + EXP(2.21*M780)   )/100*2.45 )</f>
        <v/>
      </c>
      <c r="O780" s="159" t="str">
        <f>IF( OR( ISBLANK(I780),ISBLANK(J780), ISBLANK(K780), ISBLANK(L780), ISBLANK(M780) ), "", 1.5*SQRT( EXP(2.21*(I780-1)) + EXP(2.21*(J780-1)) + EXP(2.21*(K780-1)) + EXP(2.21*(L780-1)) + EXP(2.21*M780)   )/100*2.45 )</f>
        <v/>
      </c>
      <c r="P780" s="34"/>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c r="AY780" s="16"/>
      <c r="AZ780" s="16"/>
      <c r="BA780" s="16"/>
      <c r="BB780" s="16"/>
      <c r="BC780" s="16"/>
      <c r="BD780" s="16"/>
      <c r="BE780" s="16"/>
      <c r="BF780" s="16"/>
      <c r="BG780" s="16"/>
      <c r="BH780" s="16"/>
      <c r="BI780" s="16"/>
      <c r="BJ780" s="16"/>
      <c r="BK780" s="16"/>
      <c r="BL780" s="16"/>
      <c r="BM780" s="16"/>
      <c r="BN780" s="16"/>
      <c r="BO780" s="16"/>
      <c r="BP780" s="16"/>
      <c r="BQ780" s="16"/>
      <c r="BR780" s="16"/>
      <c r="BS780" s="16"/>
      <c r="BT780" s="16"/>
      <c r="BU780" s="16"/>
      <c r="BV780" s="16"/>
      <c r="BW780" s="16"/>
      <c r="BX780" s="16"/>
      <c r="BY780" s="16"/>
      <c r="BZ780" s="16"/>
      <c r="CA780" s="16"/>
      <c r="CB780" s="16"/>
      <c r="CC780" s="16"/>
      <c r="CD780" s="16"/>
      <c r="CE780" s="16"/>
      <c r="CF780" s="16"/>
      <c r="CG780" s="16"/>
      <c r="CH780" s="16"/>
      <c r="CI780" s="16"/>
      <c r="CJ780" s="16"/>
      <c r="CK780" s="16"/>
      <c r="CL780" s="16"/>
      <c r="CM780" s="16"/>
      <c r="CN780" s="16"/>
      <c r="CO780" s="16"/>
      <c r="CP780" s="16"/>
      <c r="CQ780" s="16"/>
      <c r="CR780" s="16"/>
      <c r="CS780" s="16"/>
      <c r="CT780" s="16"/>
      <c r="CU780" s="16"/>
      <c r="CV780" s="16"/>
      <c r="CW780" s="16"/>
      <c r="CX780" s="16"/>
      <c r="CY780" s="16"/>
      <c r="CZ780" s="16"/>
      <c r="DA780" s="16"/>
      <c r="DB780" s="16"/>
      <c r="DC780" s="16"/>
      <c r="DD780" s="16"/>
      <c r="DE780" s="16"/>
      <c r="DF780" s="16"/>
      <c r="DG780" s="16"/>
      <c r="DH780" s="16"/>
      <c r="DI780" s="16"/>
      <c r="DJ780" s="16"/>
      <c r="DK780" s="16"/>
      <c r="DL780" s="16"/>
      <c r="DM780" s="16"/>
      <c r="DN780" s="16"/>
      <c r="DO780" s="16"/>
      <c r="DP780" s="16"/>
      <c r="DQ780" s="16"/>
      <c r="DR780" s="16"/>
      <c r="DS780" s="16"/>
      <c r="DT780" s="16"/>
      <c r="DU780" s="16"/>
      <c r="DV780" s="16"/>
      <c r="DW780" s="16"/>
      <c r="DX780" s="16"/>
      <c r="DY780" s="16"/>
      <c r="DZ780" s="16"/>
      <c r="EA780" s="16"/>
      <c r="EB780" s="16"/>
      <c r="EC780" s="16"/>
      <c r="ED780" s="16"/>
      <c r="EE780" s="16"/>
      <c r="EF780" s="16"/>
      <c r="EG780" s="16"/>
      <c r="EH780" s="16"/>
      <c r="EI780" s="16"/>
      <c r="EJ780" s="16"/>
      <c r="EK780" s="16"/>
      <c r="EL780" s="16"/>
      <c r="EM780" s="16"/>
      <c r="EN780" s="16"/>
      <c r="EO780" s="16"/>
      <c r="EP780" s="16"/>
      <c r="EQ780" s="16"/>
      <c r="ER780" s="16"/>
      <c r="ES780" s="16"/>
      <c r="ET780" s="16"/>
      <c r="EU780" s="16"/>
      <c r="EV780" s="16"/>
      <c r="EW780" s="16"/>
      <c r="EX780" s="16"/>
      <c r="EY780" s="16"/>
      <c r="EZ780" s="16"/>
      <c r="FA780" s="16"/>
      <c r="FB780" s="16"/>
      <c r="FC780" s="16"/>
      <c r="FD780" s="16"/>
      <c r="FE780" s="16"/>
      <c r="FF780" s="16"/>
      <c r="FG780" s="16"/>
      <c r="FH780" s="16"/>
      <c r="FI780" s="16"/>
      <c r="FJ780" s="16"/>
      <c r="FK780" s="16"/>
      <c r="FL780" s="16"/>
      <c r="FM780" s="16"/>
      <c r="FN780" s="16"/>
      <c r="FO780" s="16"/>
      <c r="FP780" s="16"/>
      <c r="FQ780" s="16"/>
      <c r="FR780" s="16"/>
      <c r="FS780" s="16"/>
      <c r="FT780" s="16"/>
      <c r="FU780" s="16"/>
      <c r="FV780" s="16"/>
      <c r="FW780" s="16"/>
      <c r="FX780" s="16"/>
      <c r="FY780" s="16"/>
      <c r="FZ780" s="16"/>
      <c r="GA780" s="16"/>
      <c r="GB780" s="16"/>
      <c r="GC780" s="16"/>
      <c r="GD780" s="16"/>
      <c r="GE780" s="16"/>
      <c r="GF780" s="16"/>
      <c r="GG780" s="16"/>
      <c r="GH780" s="16"/>
      <c r="GI780" s="16"/>
      <c r="GJ780" s="16"/>
      <c r="GK780" s="16"/>
      <c r="GL780" s="16"/>
      <c r="GM780" s="16"/>
      <c r="GN780" s="16"/>
      <c r="GO780" s="16"/>
      <c r="GP780" s="16"/>
      <c r="GQ780" s="16"/>
      <c r="GR780" s="16"/>
      <c r="GS780" s="16"/>
      <c r="GT780" s="16"/>
      <c r="GU780" s="16"/>
      <c r="GV780" s="16"/>
      <c r="GW780" s="16"/>
      <c r="GX780" s="16"/>
      <c r="GY780" s="16"/>
      <c r="GZ780" s="16"/>
      <c r="HA780" s="16"/>
      <c r="HB780" s="16"/>
      <c r="HC780" s="16"/>
      <c r="HD780" s="16"/>
      <c r="HE780" s="16"/>
      <c r="HF780" s="16"/>
      <c r="HG780" s="16"/>
      <c r="HH780" s="16"/>
      <c r="HI780" s="16"/>
      <c r="HJ780" s="16"/>
      <c r="HK780" s="16"/>
      <c r="HL780" s="16"/>
      <c r="HM780" s="16"/>
      <c r="HN780" s="16"/>
      <c r="HO780" s="16"/>
      <c r="HP780" s="16"/>
      <c r="HQ780" s="16"/>
      <c r="HR780" s="16"/>
      <c r="HS780" s="16"/>
      <c r="HT780" s="16"/>
      <c r="HU780" s="16"/>
      <c r="HV780" s="16"/>
      <c r="HW780" s="16"/>
      <c r="HX780" s="16"/>
      <c r="HY780" s="16"/>
      <c r="HZ780" s="16"/>
      <c r="IA780" s="16"/>
      <c r="IB780" s="16"/>
      <c r="IC780" s="16"/>
      <c r="ID780" s="16"/>
      <c r="IE780" s="16"/>
      <c r="IF780" s="16"/>
      <c r="IG780" s="16"/>
      <c r="IH780" s="16"/>
      <c r="II780" s="16"/>
      <c r="IJ780" s="16"/>
      <c r="IK780" s="16"/>
      <c r="IL780" s="16"/>
      <c r="IM780" s="16"/>
      <c r="IN780" s="16"/>
      <c r="IO780" s="16"/>
      <c r="IP780" s="16"/>
      <c r="IQ780" s="16"/>
      <c r="IR780" s="16"/>
      <c r="IS780" s="16"/>
      <c r="IT780" s="16"/>
      <c r="IU780" s="16"/>
      <c r="IV780" s="16"/>
      <c r="IW780" s="16"/>
      <c r="IX780" s="16"/>
      <c r="IY780" s="16"/>
      <c r="IZ780" s="16"/>
      <c r="JA780" s="16"/>
      <c r="JB780" s="16"/>
      <c r="JC780" s="16"/>
      <c r="JD780" s="16"/>
      <c r="JE780" s="16"/>
      <c r="JF780" s="16"/>
      <c r="JG780" s="16"/>
      <c r="JH780" s="16"/>
      <c r="JI780" s="16"/>
      <c r="JJ780" s="16"/>
      <c r="JK780" s="16"/>
      <c r="JL780" s="16"/>
      <c r="JM780" s="16"/>
      <c r="JN780" s="16"/>
      <c r="JO780" s="16"/>
      <c r="JP780" s="16"/>
      <c r="JQ780" s="16"/>
      <c r="JR780" s="16"/>
      <c r="JS780" s="16"/>
      <c r="JT780" s="16"/>
      <c r="JU780" s="16"/>
      <c r="JV780" s="16"/>
      <c r="JW780" s="16"/>
      <c r="JX780" s="16"/>
      <c r="JY780" s="16"/>
      <c r="JZ780" s="16"/>
      <c r="KA780" s="16"/>
      <c r="KB780" s="16"/>
      <c r="KC780" s="16"/>
      <c r="KD780" s="16"/>
      <c r="KE780" s="16"/>
      <c r="KF780" s="16"/>
      <c r="KG780" s="16"/>
      <c r="KH780" s="16"/>
      <c r="KI780" s="16"/>
      <c r="KJ780" s="16"/>
      <c r="KK780" s="16"/>
      <c r="KL780" s="16"/>
      <c r="KM780" s="16"/>
      <c r="KN780" s="16"/>
      <c r="KO780" s="16"/>
      <c r="KP780" s="16"/>
      <c r="KQ780" s="16"/>
      <c r="KR780" s="16"/>
      <c r="KS780" s="16"/>
      <c r="KT780" s="16"/>
      <c r="KU780" s="16"/>
      <c r="KV780" s="16"/>
      <c r="KW780" s="16"/>
      <c r="KX780" s="16"/>
      <c r="KY780" s="16"/>
      <c r="KZ780" s="16"/>
      <c r="LA780" s="16"/>
      <c r="LB780" s="16"/>
      <c r="LC780" s="16"/>
      <c r="LD780" s="16"/>
      <c r="LE780" s="16"/>
      <c r="LF780" s="16"/>
      <c r="LG780" s="16"/>
      <c r="LH780" s="16"/>
      <c r="LI780" s="16"/>
      <c r="LJ780" s="16"/>
      <c r="LK780" s="16"/>
      <c r="LL780" s="16"/>
      <c r="LM780" s="16"/>
      <c r="LN780" s="16"/>
      <c r="LO780" s="16"/>
      <c r="LP780" s="16"/>
      <c r="LQ780" s="16"/>
      <c r="LR780" s="16"/>
      <c r="LS780" s="16"/>
      <c r="LT780" s="16"/>
      <c r="LU780" s="16"/>
      <c r="LV780" s="16"/>
      <c r="LW780" s="16"/>
      <c r="LX780" s="16"/>
      <c r="LY780" s="16"/>
      <c r="LZ780" s="16"/>
      <c r="MA780" s="16"/>
      <c r="MB780" s="16"/>
      <c r="MC780" s="16"/>
      <c r="MD780" s="16"/>
      <c r="ME780" s="16"/>
      <c r="MF780" s="16"/>
      <c r="MG780" s="16"/>
      <c r="MH780" s="16"/>
      <c r="MI780" s="16"/>
      <c r="MJ780" s="16"/>
      <c r="MK780" s="16"/>
      <c r="ML780" s="16"/>
      <c r="MM780" s="16"/>
      <c r="MN780" s="16"/>
      <c r="MO780" s="16"/>
      <c r="MP780" s="16"/>
      <c r="MQ780" s="16"/>
      <c r="MR780" s="16"/>
      <c r="MS780" s="16"/>
      <c r="MT780" s="16"/>
      <c r="MU780" s="16"/>
      <c r="MV780" s="16"/>
      <c r="MW780" s="16"/>
      <c r="MX780" s="16"/>
      <c r="MY780" s="16"/>
      <c r="MZ780" s="16"/>
      <c r="NA780" s="16"/>
      <c r="NB780" s="16"/>
      <c r="NC780" s="16"/>
      <c r="ND780" s="16"/>
      <c r="NE780" s="16"/>
      <c r="NF780" s="16"/>
      <c r="NG780" s="16"/>
      <c r="NH780" s="16"/>
      <c r="NI780" s="16"/>
      <c r="NJ780" s="16"/>
      <c r="NK780" s="16"/>
      <c r="NL780" s="16"/>
      <c r="NM780" s="16"/>
      <c r="NN780" s="16"/>
      <c r="NO780" s="16"/>
      <c r="NP780" s="16"/>
      <c r="NQ780" s="16"/>
      <c r="NR780" s="16"/>
      <c r="NS780" s="16"/>
      <c r="NT780" s="16"/>
      <c r="NU780" s="16"/>
      <c r="NV780" s="16"/>
      <c r="NW780" s="16"/>
      <c r="NX780" s="16"/>
      <c r="NY780" s="16"/>
      <c r="NZ780" s="16"/>
      <c r="OA780" s="16"/>
      <c r="OB780" s="16"/>
      <c r="OC780" s="16"/>
      <c r="OD780" s="16"/>
      <c r="OE780" s="16"/>
      <c r="OF780" s="16"/>
      <c r="OG780" s="16"/>
      <c r="OH780" s="16"/>
      <c r="OI780" s="16"/>
      <c r="OJ780" s="16"/>
      <c r="OK780" s="16"/>
      <c r="OL780" s="16"/>
      <c r="OM780" s="16"/>
      <c r="ON780" s="16"/>
      <c r="OO780" s="16"/>
      <c r="OP780" s="16"/>
      <c r="OQ780" s="16"/>
      <c r="OR780" s="16"/>
      <c r="OS780" s="16"/>
      <c r="OT780" s="16"/>
      <c r="OU780" s="16"/>
      <c r="OV780" s="16"/>
      <c r="OW780" s="16"/>
      <c r="OX780" s="16"/>
      <c r="OY780" s="16"/>
      <c r="OZ780" s="16"/>
      <c r="PA780" s="16"/>
      <c r="PB780" s="16"/>
      <c r="PC780" s="16"/>
      <c r="PD780" s="16"/>
      <c r="PE780" s="16"/>
      <c r="PF780" s="16"/>
      <c r="PG780" s="16"/>
      <c r="PH780" s="16"/>
      <c r="PI780" s="16"/>
      <c r="PJ780" s="16"/>
      <c r="PK780" s="16"/>
      <c r="PL780" s="16"/>
      <c r="PM780" s="16"/>
      <c r="PN780" s="16"/>
      <c r="PO780" s="16"/>
      <c r="PP780" s="16"/>
      <c r="PQ780" s="16"/>
      <c r="PR780" s="16"/>
      <c r="PS780" s="16"/>
      <c r="PT780" s="16"/>
      <c r="PU780" s="16"/>
      <c r="PV780" s="16"/>
      <c r="PW780" s="16"/>
      <c r="PX780" s="16"/>
      <c r="PY780" s="16"/>
      <c r="PZ780" s="16"/>
      <c r="QA780" s="16"/>
      <c r="QB780" s="16"/>
      <c r="QC780" s="16"/>
      <c r="QD780" s="16"/>
      <c r="QE780" s="16"/>
      <c r="QF780" s="16"/>
      <c r="QG780" s="16"/>
      <c r="QH780" s="16"/>
      <c r="QI780" s="16"/>
      <c r="QJ780" s="16"/>
      <c r="QK780" s="16"/>
      <c r="QL780" s="16"/>
      <c r="QM780" s="16"/>
      <c r="QN780" s="16"/>
      <c r="QO780" s="16"/>
      <c r="QP780" s="16"/>
      <c r="QQ780" s="16"/>
      <c r="QR780" s="16"/>
      <c r="QS780" s="16"/>
      <c r="QT780" s="16"/>
      <c r="QU780" s="16"/>
      <c r="QV780" s="16"/>
      <c r="QW780" s="16"/>
      <c r="QX780" s="16"/>
      <c r="QY780" s="16"/>
      <c r="QZ780" s="16"/>
      <c r="RA780" s="16"/>
      <c r="RB780" s="16"/>
      <c r="RC780" s="16"/>
      <c r="RD780" s="16"/>
      <c r="RE780" s="16"/>
      <c r="RF780" s="16"/>
      <c r="RG780" s="16"/>
      <c r="RH780" s="16"/>
      <c r="RI780" s="16"/>
      <c r="RJ780" s="16"/>
      <c r="RK780" s="16"/>
      <c r="RL780" s="16"/>
      <c r="RM780" s="16"/>
      <c r="RN780" s="16"/>
      <c r="RO780" s="16"/>
      <c r="RP780" s="16"/>
      <c r="RQ780" s="16"/>
      <c r="RR780" s="16"/>
      <c r="RS780" s="16"/>
      <c r="RT780" s="16"/>
      <c r="RU780" s="16"/>
      <c r="RV780" s="16"/>
      <c r="RW780" s="16"/>
      <c r="RX780" s="16"/>
      <c r="RY780" s="16"/>
      <c r="RZ780" s="16"/>
      <c r="SA780" s="16"/>
      <c r="SB780" s="16"/>
      <c r="SC780" s="16"/>
      <c r="SD780" s="16"/>
      <c r="SE780" s="16"/>
      <c r="SF780" s="16"/>
      <c r="SG780" s="16"/>
      <c r="SH780" s="16"/>
      <c r="SI780" s="16"/>
      <c r="SJ780" s="16"/>
      <c r="SK780" s="16"/>
      <c r="SL780" s="16"/>
      <c r="SM780" s="16"/>
      <c r="SN780" s="16"/>
      <c r="SO780" s="16"/>
      <c r="SP780" s="16"/>
      <c r="SQ780" s="16"/>
      <c r="SR780" s="16"/>
      <c r="SS780" s="16"/>
      <c r="ST780" s="16"/>
      <c r="SU780" s="16"/>
      <c r="SV780" s="16"/>
      <c r="SW780" s="16"/>
      <c r="SX780" s="16"/>
      <c r="SY780" s="16"/>
      <c r="SZ780" s="16"/>
      <c r="TA780" s="16"/>
      <c r="TB780" s="16"/>
      <c r="TC780" s="16"/>
      <c r="TD780" s="16"/>
      <c r="TE780" s="16"/>
      <c r="TF780" s="16"/>
      <c r="TG780" s="16"/>
      <c r="TH780" s="16"/>
      <c r="TI780" s="16"/>
      <c r="TJ780" s="16"/>
      <c r="TK780" s="16"/>
      <c r="TL780" s="16"/>
      <c r="TM780" s="16"/>
      <c r="TN780" s="16"/>
      <c r="TO780" s="16"/>
      <c r="TP780" s="16"/>
      <c r="TQ780" s="16"/>
      <c r="TR780" s="16"/>
      <c r="TS780" s="16"/>
      <c r="TT780" s="16"/>
      <c r="TU780" s="16"/>
      <c r="TV780" s="16"/>
      <c r="TW780" s="16"/>
      <c r="TX780" s="16"/>
      <c r="TY780" s="16"/>
      <c r="TZ780" s="16"/>
      <c r="UA780" s="16"/>
      <c r="UB780" s="16"/>
      <c r="UC780" s="16"/>
      <c r="UD780" s="16"/>
      <c r="UE780" s="16"/>
      <c r="UF780" s="16"/>
      <c r="UG780" s="16"/>
      <c r="UH780" s="16"/>
      <c r="UI780" s="16"/>
      <c r="UJ780" s="16"/>
      <c r="UK780" s="16"/>
      <c r="UL780" s="16"/>
      <c r="UM780" s="16"/>
      <c r="UN780" s="16"/>
      <c r="UO780" s="16"/>
      <c r="UP780" s="16"/>
      <c r="UQ780" s="16"/>
      <c r="UR780" s="16"/>
      <c r="US780" s="16"/>
      <c r="UT780" s="16"/>
      <c r="UU780" s="16"/>
      <c r="UV780" s="16"/>
      <c r="UW780" s="16"/>
      <c r="UX780" s="16"/>
      <c r="UY780" s="16"/>
      <c r="UZ780" s="16"/>
      <c r="VA780" s="16"/>
      <c r="VB780" s="16"/>
      <c r="VC780" s="16"/>
      <c r="VD780" s="16"/>
      <c r="VE780" s="16"/>
      <c r="VF780" s="16"/>
      <c r="VG780" s="16"/>
      <c r="VH780" s="16"/>
      <c r="VI780" s="16"/>
      <c r="VJ780" s="16"/>
      <c r="VK780" s="16"/>
      <c r="VL780" s="16"/>
      <c r="VM780" s="16"/>
      <c r="VN780" s="16"/>
      <c r="VO780" s="16"/>
      <c r="VP780" s="16"/>
      <c r="VQ780" s="16"/>
      <c r="VR780" s="16"/>
      <c r="VS780" s="16"/>
      <c r="VT780" s="16"/>
      <c r="VU780" s="16"/>
      <c r="VV780" s="16"/>
      <c r="VW780" s="16"/>
      <c r="VX780" s="16"/>
      <c r="VY780" s="16"/>
      <c r="VZ780" s="16"/>
      <c r="WA780" s="16"/>
      <c r="WB780" s="16"/>
      <c r="WC780" s="16"/>
      <c r="WD780" s="16"/>
      <c r="WE780" s="16"/>
      <c r="WF780" s="16"/>
      <c r="WG780" s="16"/>
      <c r="WH780" s="16"/>
      <c r="WI780" s="16"/>
      <c r="WJ780" s="16"/>
      <c r="WK780" s="16"/>
      <c r="WL780" s="16"/>
      <c r="WM780" s="16"/>
      <c r="WN780" s="16"/>
      <c r="WO780" s="16"/>
      <c r="WP780" s="16"/>
      <c r="WQ780" s="16"/>
      <c r="WR780" s="16"/>
      <c r="WS780" s="16"/>
      <c r="WT780" s="16"/>
      <c r="WU780" s="16"/>
      <c r="WV780" s="16"/>
      <c r="WW780" s="16"/>
      <c r="WX780" s="16"/>
      <c r="WY780" s="16"/>
      <c r="WZ780" s="16"/>
      <c r="XA780" s="16"/>
      <c r="XB780" s="16"/>
      <c r="XC780" s="16"/>
      <c r="XD780" s="16"/>
      <c r="XE780" s="16"/>
      <c r="XF780" s="16"/>
      <c r="XG780" s="16"/>
      <c r="XH780" s="16"/>
      <c r="XI780" s="16"/>
      <c r="XJ780" s="16"/>
      <c r="XK780" s="16"/>
      <c r="XL780" s="16"/>
      <c r="XM780" s="16"/>
      <c r="XN780" s="16"/>
      <c r="XO780" s="16"/>
      <c r="XP780" s="16"/>
      <c r="XQ780" s="16"/>
      <c r="XR780" s="16"/>
      <c r="XS780" s="16"/>
      <c r="XT780" s="16"/>
      <c r="XU780" s="16"/>
      <c r="XV780" s="16"/>
      <c r="XW780" s="16"/>
      <c r="XX780" s="16"/>
      <c r="XY780" s="16"/>
      <c r="XZ780" s="16"/>
      <c r="YA780" s="16"/>
      <c r="YB780" s="16"/>
      <c r="YC780" s="16"/>
      <c r="YD780" s="16"/>
      <c r="YE780" s="16"/>
      <c r="YF780" s="16"/>
      <c r="YG780" s="16"/>
      <c r="YH780" s="16"/>
      <c r="YI780" s="16"/>
      <c r="YJ780" s="16"/>
      <c r="YK780" s="16"/>
      <c r="YL780" s="16"/>
      <c r="YM780" s="16"/>
      <c r="YN780" s="16"/>
      <c r="YO780" s="16"/>
      <c r="YP780" s="16"/>
      <c r="YQ780" s="16"/>
      <c r="YR780" s="16"/>
      <c r="YS780" s="16"/>
      <c r="YT780" s="16"/>
      <c r="YU780" s="16"/>
      <c r="YV780" s="16"/>
      <c r="YW780" s="16"/>
      <c r="YX780" s="16"/>
      <c r="YY780" s="16"/>
      <c r="YZ780" s="16"/>
      <c r="ZA780" s="16"/>
      <c r="ZB780" s="16"/>
      <c r="ZC780" s="16"/>
      <c r="ZD780" s="16"/>
      <c r="ZE780" s="16"/>
      <c r="ZF780" s="16"/>
      <c r="ZG780" s="16"/>
      <c r="ZH780" s="16"/>
      <c r="ZI780" s="16"/>
      <c r="ZJ780" s="16"/>
      <c r="ZK780" s="16"/>
      <c r="ZL780" s="16"/>
      <c r="ZM780" s="16"/>
      <c r="ZN780" s="16"/>
      <c r="ZO780" s="16"/>
      <c r="ZP780" s="16"/>
      <c r="ZQ780" s="16"/>
      <c r="ZR780" s="16"/>
      <c r="ZS780" s="16"/>
      <c r="ZT780" s="16"/>
      <c r="ZU780" s="16"/>
      <c r="ZV780" s="16"/>
      <c r="ZW780" s="16"/>
      <c r="ZX780" s="16"/>
      <c r="ZY780" s="16"/>
      <c r="ZZ780" s="16"/>
      <c r="AAA780" s="16"/>
      <c r="AAB780" s="16"/>
      <c r="AAC780" s="16"/>
      <c r="AAD780" s="16"/>
      <c r="AAE780" s="16"/>
      <c r="AAF780" s="16"/>
      <c r="AAG780" s="16"/>
      <c r="AAH780" s="16"/>
      <c r="AAI780" s="16"/>
      <c r="AAJ780" s="16"/>
      <c r="AAK780" s="16"/>
      <c r="AAL780" s="16"/>
      <c r="AAM780" s="16"/>
      <c r="AAN780" s="16"/>
      <c r="AAO780" s="16"/>
      <c r="AAP780" s="16"/>
      <c r="AAQ780" s="16"/>
      <c r="AAR780" s="16"/>
      <c r="AAS780" s="16"/>
      <c r="AAT780" s="16"/>
      <c r="AAU780" s="16"/>
      <c r="AAV780" s="16"/>
      <c r="AAW780" s="16"/>
      <c r="AAX780" s="16"/>
      <c r="AAY780" s="16"/>
      <c r="AAZ780" s="16"/>
      <c r="ABA780" s="16"/>
      <c r="ABB780" s="16"/>
      <c r="ABC780" s="16"/>
      <c r="ABD780" s="16"/>
      <c r="ABE780" s="16"/>
      <c r="ABF780" s="16"/>
      <c r="ABG780" s="16"/>
      <c r="ABH780" s="16"/>
      <c r="ABI780" s="16"/>
      <c r="ABJ780" s="16"/>
      <c r="ABK780" s="16"/>
      <c r="ABL780" s="16"/>
      <c r="ABM780" s="16"/>
      <c r="ABN780" s="16"/>
      <c r="ABO780" s="16"/>
      <c r="ABP780" s="16"/>
      <c r="ABQ780" s="16"/>
      <c r="ABR780" s="16"/>
      <c r="ABS780" s="16"/>
      <c r="ABT780" s="16"/>
      <c r="ABU780" s="16"/>
      <c r="ABV780" s="16"/>
      <c r="ABW780" s="16"/>
      <c r="ABX780" s="16"/>
      <c r="ABY780" s="16"/>
      <c r="ABZ780" s="16"/>
      <c r="ACA780" s="16"/>
      <c r="ACB780" s="16"/>
      <c r="ACC780" s="16"/>
      <c r="ACD780" s="16"/>
      <c r="ACE780" s="16"/>
      <c r="ACF780" s="16"/>
      <c r="ACG780" s="16"/>
      <c r="ACH780" s="16"/>
      <c r="ACI780" s="16"/>
      <c r="ACJ780" s="16"/>
      <c r="ACK780" s="16"/>
      <c r="ACL780" s="16"/>
      <c r="ACM780" s="16"/>
      <c r="ACN780" s="16"/>
      <c r="ACO780" s="16"/>
      <c r="ACP780" s="16"/>
      <c r="ACQ780" s="16"/>
      <c r="ACR780" s="16"/>
      <c r="ACS780" s="16"/>
      <c r="ACT780" s="16"/>
      <c r="ACU780" s="16"/>
      <c r="ACV780" s="16"/>
      <c r="ACW780" s="16"/>
      <c r="ACX780" s="16"/>
      <c r="ACY780" s="16"/>
      <c r="ACZ780" s="16"/>
      <c r="ADA780" s="16"/>
      <c r="ADB780" s="16"/>
      <c r="ADC780" s="16"/>
      <c r="ADD780" s="16"/>
      <c r="ADE780" s="16"/>
      <c r="ADF780" s="16"/>
      <c r="ADG780" s="16"/>
      <c r="ADH780" s="16"/>
      <c r="ADI780" s="16"/>
      <c r="ADJ780" s="16"/>
      <c r="ADK780" s="16"/>
      <c r="ADL780" s="16"/>
      <c r="ADM780" s="16"/>
      <c r="ADN780" s="16"/>
      <c r="ADO780" s="16"/>
      <c r="ADP780" s="16"/>
      <c r="ADQ780" s="16"/>
      <c r="ADR780" s="16"/>
      <c r="ADS780" s="16"/>
      <c r="ADT780" s="16"/>
      <c r="ADU780" s="16"/>
      <c r="ADV780" s="16"/>
      <c r="ADW780" s="16"/>
      <c r="ADX780" s="16"/>
      <c r="ADY780" s="16"/>
      <c r="ADZ780" s="16"/>
      <c r="AEA780" s="16"/>
      <c r="AEB780" s="16"/>
      <c r="AEC780" s="16"/>
      <c r="AED780" s="16"/>
      <c r="AEE780" s="16"/>
      <c r="AEF780" s="16"/>
      <c r="AEG780" s="16"/>
      <c r="AEH780" s="16"/>
      <c r="AEI780" s="16"/>
      <c r="AEJ780" s="16"/>
      <c r="AEK780" s="16"/>
      <c r="AEL780" s="16"/>
      <c r="AEM780" s="16"/>
      <c r="AEN780" s="16"/>
      <c r="AEO780" s="16"/>
      <c r="AEP780" s="16"/>
      <c r="AEQ780" s="16"/>
      <c r="AER780" s="16"/>
      <c r="AES780" s="16"/>
      <c r="AET780" s="16"/>
      <c r="AEU780" s="16"/>
      <c r="AEV780" s="16"/>
      <c r="AEW780" s="16"/>
      <c r="AEX780" s="16"/>
      <c r="AEY780" s="16"/>
      <c r="AEZ780" s="16"/>
      <c r="AFA780" s="16"/>
      <c r="AFB780" s="16"/>
      <c r="AFC780" s="16"/>
      <c r="AFD780" s="16"/>
      <c r="AFE780" s="16"/>
      <c r="AFF780" s="16"/>
      <c r="AFG780" s="16"/>
      <c r="AFH780" s="16"/>
      <c r="AFI780" s="16"/>
      <c r="AFJ780" s="16"/>
      <c r="AFK780" s="16"/>
      <c r="AFL780" s="16"/>
      <c r="AFM780" s="16"/>
      <c r="AFN780" s="16"/>
      <c r="AFO780" s="16"/>
      <c r="AFP780" s="16"/>
      <c r="AFQ780" s="16"/>
      <c r="AFR780" s="16"/>
      <c r="AFS780" s="16"/>
      <c r="AFT780" s="16"/>
      <c r="AFU780" s="16"/>
      <c r="AFV780" s="16"/>
      <c r="AFW780" s="16"/>
      <c r="AFX780" s="16"/>
      <c r="AFY780" s="16"/>
      <c r="AFZ780" s="16"/>
      <c r="AGA780" s="16"/>
      <c r="AGB780" s="16"/>
      <c r="AGC780" s="16"/>
      <c r="AGD780" s="16"/>
      <c r="AGE780" s="16"/>
      <c r="AGF780" s="16"/>
      <c r="AGG780" s="16"/>
      <c r="AGH780" s="16"/>
      <c r="AGI780" s="16"/>
      <c r="AGJ780" s="16"/>
    </row>
    <row r="781" spans="1:868">
      <c r="A781" s="34" t="s">
        <v>308</v>
      </c>
      <c r="B781" s="40" t="s">
        <v>223</v>
      </c>
      <c r="C781" s="34" t="s">
        <v>139</v>
      </c>
      <c r="D781" s="40" t="s">
        <v>139</v>
      </c>
      <c r="E781" s="237">
        <v>0.9</v>
      </c>
      <c r="F781" s="168">
        <v>2</v>
      </c>
      <c r="G781" s="34" t="s">
        <v>147</v>
      </c>
      <c r="H781" s="29">
        <v>1</v>
      </c>
      <c r="I781" s="9"/>
      <c r="J781" s="9">
        <v>1</v>
      </c>
      <c r="K781" s="9">
        <v>1</v>
      </c>
      <c r="L781" s="9">
        <v>1</v>
      </c>
      <c r="M781" s="9">
        <v>3</v>
      </c>
      <c r="N781" s="185">
        <f>IF( OR( ISBLANK(H781),ISBLANK(J781), ISBLANK(K781), ISBLANK(L781), ISBLANK(M781) ), "", 1.5*SQRT(   EXP(2.21*(H781-1)) + EXP(2.21*(J781-1)) + EXP(2.21*(K781-1)) + EXP(2.21*(L781-1)) + EXP(2.21*M781)   )/100*2.45 )</f>
        <v>1.0141150152164344</v>
      </c>
      <c r="O781" s="159" t="str">
        <f>IF( OR( ISBLANK(I781),ISBLANK(J781), ISBLANK(K781), ISBLANK(L781), ISBLANK(M781) ), "", 1.5*SQRT( EXP(2.21*(I781-1)) + EXP(2.21*(J781-1)) + EXP(2.21*(K781-1)) + EXP(2.21*(L781-1)) + EXP(2.21*M781)   )/100*2.45 )</f>
        <v/>
      </c>
      <c r="P781" s="34"/>
    </row>
    <row r="782" spans="1:868">
      <c r="A782" s="68" t="str">
        <f>Clothing!A475</f>
        <v>Manufacturing of clothing</v>
      </c>
      <c r="B782" s="304" t="str">
        <f>Clothing!B475</f>
        <v>Clothing (product sector)</v>
      </c>
      <c r="C782" s="69" t="str">
        <f>Clothing!C475</f>
        <v>any</v>
      </c>
      <c r="D782" s="823" t="str">
        <f>Clothing!D475</f>
        <v>any</v>
      </c>
      <c r="E782" s="69" t="str">
        <f>Clothing!E475</f>
        <v>rest</v>
      </c>
      <c r="F782" s="823">
        <f>Clothing!F475</f>
        <v>1</v>
      </c>
      <c r="G782" s="69"/>
      <c r="H782" s="1188"/>
      <c r="I782" s="307"/>
      <c r="J782" s="307"/>
      <c r="K782" s="307"/>
      <c r="L782" s="307"/>
      <c r="M782" s="307"/>
      <c r="N782" s="616"/>
      <c r="O782" s="1282"/>
      <c r="P782" s="68"/>
    </row>
    <row r="783" spans="1:868">
      <c r="A783" s="68" t="str">
        <f>Clothing!A476</f>
        <v>Manufacturing of clothing</v>
      </c>
      <c r="B783" s="304" t="str">
        <f>Clothing!B476</f>
        <v>Textile recycling</v>
      </c>
      <c r="C783" s="69" t="str">
        <f>Clothing!C476</f>
        <v>any</v>
      </c>
      <c r="D783" s="823" t="str">
        <f>Clothing!D476</f>
        <v>any</v>
      </c>
      <c r="E783" s="69">
        <f>Clothing!E476</f>
        <v>0.21550000000000002</v>
      </c>
      <c r="F783" s="823">
        <f>Clothing!F476</f>
        <v>2</v>
      </c>
      <c r="G783" s="69" t="str">
        <f>Clothing!G476</f>
        <v>PEFCR (2021), Table 28 - woven clothing</v>
      </c>
      <c r="H783" s="1188">
        <f>Clothing!H476</f>
        <v>2</v>
      </c>
      <c r="I783" s="307">
        <f>Clothing!I476</f>
        <v>2</v>
      </c>
      <c r="J783" s="307">
        <f>Clothing!J476</f>
        <v>2</v>
      </c>
      <c r="K783" s="307">
        <f>Clothing!K476</f>
        <v>3</v>
      </c>
      <c r="L783" s="307">
        <f>Clothing!L476</f>
        <v>2</v>
      </c>
      <c r="M783" s="307">
        <f>Clothing!M476</f>
        <v>1</v>
      </c>
      <c r="N783" s="616">
        <f>IF( OR( ISBLANK(H783),ISBLANK(J783), ISBLANK(K783), ISBLANK(L783), ISBLANK(M783) ), "", 1.5*SQRT(   EXP(2.21*(H783-1)) + EXP(2.21*(J783-1)) + EXP(2.21*(K783-1)) + EXP(2.21*(L783-1)) + EXP(2.21*M783)   )/100*2.45 )</f>
        <v>0.40183591897512122</v>
      </c>
      <c r="O783" s="1282">
        <f>IF( OR( ISBLANK(I783),ISBLANK(J783), ISBLANK(K783), ISBLANK(L783), ISBLANK(M783) ), "", 1.5*SQRT( EXP(2.21*(I783-1)) + EXP(2.21*(J783-1)) + EXP(2.21*(K783-1)) + EXP(2.21*(L783-1)) + EXP(2.21*M783)   )/100*2.45 )</f>
        <v>0.40183591897512122</v>
      </c>
      <c r="P783" s="68"/>
    </row>
    <row r="784" spans="1:868">
      <c r="A784" s="68" t="str">
        <f>Clothing!A477</f>
        <v>Manufacturing of clothing</v>
      </c>
      <c r="B784" s="304" t="str">
        <f>Clothing!B477</f>
        <v>Textile recycling</v>
      </c>
      <c r="C784" s="69" t="str">
        <f>Clothing!C477</f>
        <v>any</v>
      </c>
      <c r="D784" s="823" t="str">
        <f>Clothing!D477</f>
        <v>any</v>
      </c>
      <c r="E784" s="69">
        <f>Clothing!E477</f>
        <v>0.20610000000000001</v>
      </c>
      <c r="F784" s="823">
        <f>Clothing!F477</f>
        <v>2</v>
      </c>
      <c r="G784" s="69" t="str">
        <f>Clothing!G477</f>
        <v>PEFCR (2021), Table 28 - knit clothing</v>
      </c>
      <c r="H784" s="1188">
        <f>Clothing!H477</f>
        <v>2</v>
      </c>
      <c r="I784" s="307">
        <f>Clothing!I477</f>
        <v>2</v>
      </c>
      <c r="J784" s="307">
        <f>Clothing!J477</f>
        <v>2</v>
      </c>
      <c r="K784" s="307">
        <f>Clothing!K477</f>
        <v>3</v>
      </c>
      <c r="L784" s="307">
        <f>Clothing!L477</f>
        <v>2</v>
      </c>
      <c r="M784" s="307">
        <f>Clothing!M477</f>
        <v>1</v>
      </c>
      <c r="N784" s="616">
        <f>IF( OR( ISBLANK(H784),ISBLANK(J784), ISBLANK(K784), ISBLANK(L784), ISBLANK(M784) ), "", 1.5*SQRT(   EXP(2.21*(H784-1)) + EXP(2.21*(J784-1)) + EXP(2.21*(K784-1)) + EXP(2.21*(L784-1)) + EXP(2.21*M784)   )/100*2.45 )</f>
        <v>0.40183591897512122</v>
      </c>
      <c r="O784" s="1282">
        <f>IF( OR( ISBLANK(I784),ISBLANK(J784), ISBLANK(K784), ISBLANK(L784), ISBLANK(M784) ), "", 1.5*SQRT( EXP(2.21*(I784-1)) + EXP(2.21*(J784-1)) + EXP(2.21*(K784-1)) + EXP(2.21*(L784-1)) + EXP(2.21*M784)   )/100*2.45 )</f>
        <v>0.40183591897512122</v>
      </c>
      <c r="P784" s="68"/>
    </row>
    <row r="785" spans="1:868">
      <c r="A785" s="55" t="s">
        <v>339</v>
      </c>
      <c r="B785" s="260" t="s">
        <v>223</v>
      </c>
      <c r="C785" s="55" t="s">
        <v>139</v>
      </c>
      <c r="D785" s="260" t="s">
        <v>139</v>
      </c>
      <c r="E785" s="237">
        <v>1</v>
      </c>
      <c r="F785" s="168">
        <v>1</v>
      </c>
      <c r="G785" s="55" t="s">
        <v>163</v>
      </c>
      <c r="H785" s="29"/>
      <c r="I785" s="9"/>
      <c r="J785" s="9"/>
      <c r="K785" s="9"/>
      <c r="L785" s="9"/>
      <c r="M785" s="9"/>
      <c r="N785" s="185" t="str">
        <f>IF( OR( ISBLANK(H785),ISBLANK(J785), ISBLANK(K785), ISBLANK(L785), ISBLANK(M785) ), "", 1.5*SQRT(   EXP(2.21*(H785-1)) + EXP(2.21*(J785-1)) + EXP(2.21*(K785-1)) + EXP(2.21*(L785-1)) + EXP(2.21*M785)   )/100*2.45 )</f>
        <v/>
      </c>
      <c r="O785" s="159" t="str">
        <f>IF( OR( ISBLANK(I785),ISBLANK(J785), ISBLANK(K785), ISBLANK(L785), ISBLANK(M785) ), "", 1.5*SQRT( EXP(2.21*(I785-1)) + EXP(2.21*(J785-1)) + EXP(2.21*(K785-1)) + EXP(2.21*(L785-1)) + EXP(2.21*M785)   )/100*2.45 )</f>
        <v/>
      </c>
      <c r="P785" s="34"/>
    </row>
    <row r="786" spans="1:868" s="210" customFormat="1" ht="15" thickBot="1">
      <c r="A786" s="34" t="s">
        <v>331</v>
      </c>
      <c r="B786" s="40" t="s">
        <v>232</v>
      </c>
      <c r="C786" s="34" t="s">
        <v>139</v>
      </c>
      <c r="D786" s="40" t="s">
        <v>139</v>
      </c>
      <c r="E786" s="237" t="s">
        <v>150</v>
      </c>
      <c r="F786" s="168">
        <v>1</v>
      </c>
      <c r="G786" s="34"/>
      <c r="H786" s="29"/>
      <c r="I786" s="9"/>
      <c r="J786" s="9"/>
      <c r="K786" s="9"/>
      <c r="L786" s="9"/>
      <c r="M786" s="9"/>
      <c r="N786" s="185" t="str">
        <f>IF( OR( ISBLANK(H786),ISBLANK(J786), ISBLANK(K786), ISBLANK(L786), ISBLANK(M786) ), "", 1.5*SQRT(   EXP(2.21*(H786-1)) + EXP(2.21*(J786-1)) + EXP(2.21*(K786-1)) + EXP(2.21*(L786-1)) + EXP(2.21*M786)   )/100*2.45 )</f>
        <v/>
      </c>
      <c r="O786" s="159" t="str">
        <f>IF( OR( ISBLANK(I786),ISBLANK(J786), ISBLANK(K786), ISBLANK(L786), ISBLANK(M786) ), "", 1.5*SQRT( EXP(2.21*(I786-1)) + EXP(2.21*(J786-1)) + EXP(2.21*(K786-1)) + EXP(2.21*(L786-1)) + EXP(2.21*M786)   )/100*2.45 )</f>
        <v/>
      </c>
      <c r="P786" s="34"/>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c r="AY786" s="16"/>
      <c r="AZ786" s="16"/>
      <c r="BA786" s="16"/>
      <c r="BB786" s="16"/>
      <c r="BC786" s="16"/>
      <c r="BD786" s="16"/>
      <c r="BE786" s="16"/>
      <c r="BF786" s="16"/>
      <c r="BG786" s="16"/>
      <c r="BH786" s="16"/>
      <c r="BI786" s="16"/>
      <c r="BJ786" s="16"/>
      <c r="BK786" s="16"/>
      <c r="BL786" s="16"/>
      <c r="BM786" s="16"/>
      <c r="BN786" s="16"/>
      <c r="BO786" s="16"/>
      <c r="BP786" s="16"/>
      <c r="BQ786" s="16"/>
      <c r="BR786" s="16"/>
      <c r="BS786" s="16"/>
      <c r="BT786" s="16"/>
      <c r="BU786" s="16"/>
      <c r="BV786" s="16"/>
      <c r="BW786" s="16"/>
      <c r="BX786" s="16"/>
      <c r="BY786" s="16"/>
      <c r="BZ786" s="16"/>
      <c r="CA786" s="16"/>
      <c r="CB786" s="16"/>
      <c r="CC786" s="16"/>
      <c r="CD786" s="16"/>
      <c r="CE786" s="16"/>
      <c r="CF786" s="16"/>
      <c r="CG786" s="16"/>
      <c r="CH786" s="16"/>
      <c r="CI786" s="16"/>
      <c r="CJ786" s="16"/>
      <c r="CK786" s="16"/>
      <c r="CL786" s="16"/>
      <c r="CM786" s="16"/>
      <c r="CN786" s="16"/>
      <c r="CO786" s="16"/>
      <c r="CP786" s="16"/>
      <c r="CQ786" s="16"/>
      <c r="CR786" s="16"/>
      <c r="CS786" s="16"/>
      <c r="CT786" s="16"/>
      <c r="CU786" s="16"/>
      <c r="CV786" s="16"/>
      <c r="CW786" s="16"/>
      <c r="CX786" s="16"/>
      <c r="CY786" s="16"/>
      <c r="CZ786" s="16"/>
      <c r="DA786" s="16"/>
      <c r="DB786" s="16"/>
      <c r="DC786" s="16"/>
      <c r="DD786" s="16"/>
      <c r="DE786" s="16"/>
      <c r="DF786" s="16"/>
      <c r="DG786" s="16"/>
      <c r="DH786" s="16"/>
      <c r="DI786" s="16"/>
      <c r="DJ786" s="16"/>
      <c r="DK786" s="16"/>
      <c r="DL786" s="16"/>
      <c r="DM786" s="16"/>
      <c r="DN786" s="16"/>
      <c r="DO786" s="16"/>
      <c r="DP786" s="16"/>
      <c r="DQ786" s="16"/>
      <c r="DR786" s="16"/>
      <c r="DS786" s="16"/>
      <c r="DT786" s="16"/>
      <c r="DU786" s="16"/>
      <c r="DV786" s="16"/>
      <c r="DW786" s="16"/>
      <c r="DX786" s="16"/>
      <c r="DY786" s="16"/>
      <c r="DZ786" s="16"/>
      <c r="EA786" s="16"/>
      <c r="EB786" s="16"/>
      <c r="EC786" s="16"/>
      <c r="ED786" s="16"/>
      <c r="EE786" s="16"/>
      <c r="EF786" s="16"/>
      <c r="EG786" s="16"/>
      <c r="EH786" s="16"/>
      <c r="EI786" s="16"/>
      <c r="EJ786" s="16"/>
      <c r="EK786" s="16"/>
      <c r="EL786" s="16"/>
      <c r="EM786" s="16"/>
      <c r="EN786" s="16"/>
      <c r="EO786" s="16"/>
      <c r="EP786" s="16"/>
      <c r="EQ786" s="16"/>
      <c r="ER786" s="16"/>
      <c r="ES786" s="16"/>
      <c r="ET786" s="16"/>
      <c r="EU786" s="16"/>
      <c r="EV786" s="16"/>
      <c r="EW786" s="16"/>
      <c r="EX786" s="16"/>
      <c r="EY786" s="16"/>
      <c r="EZ786" s="16"/>
      <c r="FA786" s="16"/>
      <c r="FB786" s="16"/>
      <c r="FC786" s="16"/>
      <c r="FD786" s="16"/>
      <c r="FE786" s="16"/>
      <c r="FF786" s="16"/>
      <c r="FG786" s="16"/>
      <c r="FH786" s="16"/>
      <c r="FI786" s="16"/>
      <c r="FJ786" s="16"/>
      <c r="FK786" s="16"/>
      <c r="FL786" s="16"/>
      <c r="FM786" s="16"/>
      <c r="FN786" s="16"/>
      <c r="FO786" s="16"/>
      <c r="FP786" s="16"/>
      <c r="FQ786" s="16"/>
      <c r="FR786" s="16"/>
      <c r="FS786" s="16"/>
      <c r="FT786" s="16"/>
      <c r="FU786" s="16"/>
      <c r="FV786" s="16"/>
      <c r="FW786" s="16"/>
      <c r="FX786" s="16"/>
      <c r="FY786" s="16"/>
      <c r="FZ786" s="16"/>
      <c r="GA786" s="16"/>
      <c r="GB786" s="16"/>
      <c r="GC786" s="16"/>
      <c r="GD786" s="16"/>
      <c r="GE786" s="16"/>
      <c r="GF786" s="16"/>
      <c r="GG786" s="16"/>
      <c r="GH786" s="16"/>
      <c r="GI786" s="16"/>
      <c r="GJ786" s="16"/>
      <c r="GK786" s="16"/>
      <c r="GL786" s="16"/>
      <c r="GM786" s="16"/>
      <c r="GN786" s="16"/>
      <c r="GO786" s="16"/>
      <c r="GP786" s="16"/>
      <c r="GQ786" s="16"/>
      <c r="GR786" s="16"/>
      <c r="GS786" s="16"/>
      <c r="GT786" s="16"/>
      <c r="GU786" s="16"/>
      <c r="GV786" s="16"/>
      <c r="GW786" s="16"/>
      <c r="GX786" s="16"/>
      <c r="GY786" s="16"/>
      <c r="GZ786" s="16"/>
      <c r="HA786" s="16"/>
      <c r="HB786" s="16"/>
      <c r="HC786" s="16"/>
      <c r="HD786" s="16"/>
      <c r="HE786" s="16"/>
      <c r="HF786" s="16"/>
      <c r="HG786" s="16"/>
      <c r="HH786" s="16"/>
      <c r="HI786" s="16"/>
      <c r="HJ786" s="16"/>
      <c r="HK786" s="16"/>
      <c r="HL786" s="16"/>
      <c r="HM786" s="16"/>
      <c r="HN786" s="16"/>
      <c r="HO786" s="16"/>
      <c r="HP786" s="16"/>
      <c r="HQ786" s="16"/>
      <c r="HR786" s="16"/>
      <c r="HS786" s="16"/>
      <c r="HT786" s="16"/>
      <c r="HU786" s="16"/>
      <c r="HV786" s="16"/>
      <c r="HW786" s="16"/>
      <c r="HX786" s="16"/>
      <c r="HY786" s="16"/>
      <c r="HZ786" s="16"/>
      <c r="IA786" s="16"/>
      <c r="IB786" s="16"/>
      <c r="IC786" s="16"/>
      <c r="ID786" s="16"/>
      <c r="IE786" s="16"/>
      <c r="IF786" s="16"/>
      <c r="IG786" s="16"/>
      <c r="IH786" s="16"/>
      <c r="II786" s="16"/>
      <c r="IJ786" s="16"/>
      <c r="IK786" s="16"/>
      <c r="IL786" s="16"/>
      <c r="IM786" s="16"/>
      <c r="IN786" s="16"/>
      <c r="IO786" s="16"/>
      <c r="IP786" s="16"/>
      <c r="IQ786" s="16"/>
      <c r="IR786" s="16"/>
      <c r="IS786" s="16"/>
      <c r="IT786" s="16"/>
      <c r="IU786" s="16"/>
      <c r="IV786" s="16"/>
      <c r="IW786" s="16"/>
      <c r="IX786" s="16"/>
      <c r="IY786" s="16"/>
      <c r="IZ786" s="16"/>
      <c r="JA786" s="16"/>
      <c r="JB786" s="16"/>
      <c r="JC786" s="16"/>
      <c r="JD786" s="16"/>
      <c r="JE786" s="16"/>
      <c r="JF786" s="16"/>
      <c r="JG786" s="16"/>
      <c r="JH786" s="16"/>
      <c r="JI786" s="16"/>
      <c r="JJ786" s="16"/>
      <c r="JK786" s="16"/>
      <c r="JL786" s="16"/>
      <c r="JM786" s="16"/>
      <c r="JN786" s="16"/>
      <c r="JO786" s="16"/>
      <c r="JP786" s="16"/>
      <c r="JQ786" s="16"/>
      <c r="JR786" s="16"/>
      <c r="JS786" s="16"/>
      <c r="JT786" s="16"/>
      <c r="JU786" s="16"/>
      <c r="JV786" s="16"/>
      <c r="JW786" s="16"/>
      <c r="JX786" s="16"/>
      <c r="JY786" s="16"/>
      <c r="JZ786" s="16"/>
      <c r="KA786" s="16"/>
      <c r="KB786" s="16"/>
      <c r="KC786" s="16"/>
      <c r="KD786" s="16"/>
      <c r="KE786" s="16"/>
      <c r="KF786" s="16"/>
      <c r="KG786" s="16"/>
      <c r="KH786" s="16"/>
      <c r="KI786" s="16"/>
      <c r="KJ786" s="16"/>
      <c r="KK786" s="16"/>
      <c r="KL786" s="16"/>
      <c r="KM786" s="16"/>
      <c r="KN786" s="16"/>
      <c r="KO786" s="16"/>
      <c r="KP786" s="16"/>
      <c r="KQ786" s="16"/>
      <c r="KR786" s="16"/>
      <c r="KS786" s="16"/>
      <c r="KT786" s="16"/>
      <c r="KU786" s="16"/>
      <c r="KV786" s="16"/>
      <c r="KW786" s="16"/>
      <c r="KX786" s="16"/>
      <c r="KY786" s="16"/>
      <c r="KZ786" s="16"/>
      <c r="LA786" s="16"/>
      <c r="LB786" s="16"/>
      <c r="LC786" s="16"/>
      <c r="LD786" s="16"/>
      <c r="LE786" s="16"/>
      <c r="LF786" s="16"/>
      <c r="LG786" s="16"/>
      <c r="LH786" s="16"/>
      <c r="LI786" s="16"/>
      <c r="LJ786" s="16"/>
      <c r="LK786" s="16"/>
      <c r="LL786" s="16"/>
      <c r="LM786" s="16"/>
      <c r="LN786" s="16"/>
      <c r="LO786" s="16"/>
      <c r="LP786" s="16"/>
      <c r="LQ786" s="16"/>
      <c r="LR786" s="16"/>
      <c r="LS786" s="16"/>
      <c r="LT786" s="16"/>
      <c r="LU786" s="16"/>
      <c r="LV786" s="16"/>
      <c r="LW786" s="16"/>
      <c r="LX786" s="16"/>
      <c r="LY786" s="16"/>
      <c r="LZ786" s="16"/>
      <c r="MA786" s="16"/>
      <c r="MB786" s="16"/>
      <c r="MC786" s="16"/>
      <c r="MD786" s="16"/>
      <c r="ME786" s="16"/>
      <c r="MF786" s="16"/>
      <c r="MG786" s="16"/>
      <c r="MH786" s="16"/>
      <c r="MI786" s="16"/>
      <c r="MJ786" s="16"/>
      <c r="MK786" s="16"/>
      <c r="ML786" s="16"/>
      <c r="MM786" s="16"/>
      <c r="MN786" s="16"/>
      <c r="MO786" s="16"/>
      <c r="MP786" s="16"/>
      <c r="MQ786" s="16"/>
      <c r="MR786" s="16"/>
      <c r="MS786" s="16"/>
      <c r="MT786" s="16"/>
      <c r="MU786" s="16"/>
      <c r="MV786" s="16"/>
      <c r="MW786" s="16"/>
      <c r="MX786" s="16"/>
      <c r="MY786" s="16"/>
      <c r="MZ786" s="16"/>
      <c r="NA786" s="16"/>
      <c r="NB786" s="16"/>
      <c r="NC786" s="16"/>
      <c r="ND786" s="16"/>
      <c r="NE786" s="16"/>
      <c r="NF786" s="16"/>
      <c r="NG786" s="16"/>
      <c r="NH786" s="16"/>
      <c r="NI786" s="16"/>
      <c r="NJ786" s="16"/>
      <c r="NK786" s="16"/>
      <c r="NL786" s="16"/>
      <c r="NM786" s="16"/>
      <c r="NN786" s="16"/>
      <c r="NO786" s="16"/>
      <c r="NP786" s="16"/>
      <c r="NQ786" s="16"/>
      <c r="NR786" s="16"/>
      <c r="NS786" s="16"/>
      <c r="NT786" s="16"/>
      <c r="NU786" s="16"/>
      <c r="NV786" s="16"/>
      <c r="NW786" s="16"/>
      <c r="NX786" s="16"/>
      <c r="NY786" s="16"/>
      <c r="NZ786" s="16"/>
      <c r="OA786" s="16"/>
      <c r="OB786" s="16"/>
      <c r="OC786" s="16"/>
      <c r="OD786" s="16"/>
      <c r="OE786" s="16"/>
      <c r="OF786" s="16"/>
      <c r="OG786" s="16"/>
      <c r="OH786" s="16"/>
      <c r="OI786" s="16"/>
      <c r="OJ786" s="16"/>
      <c r="OK786" s="16"/>
      <c r="OL786" s="16"/>
      <c r="OM786" s="16"/>
      <c r="ON786" s="16"/>
      <c r="OO786" s="16"/>
      <c r="OP786" s="16"/>
      <c r="OQ786" s="16"/>
      <c r="OR786" s="16"/>
      <c r="OS786" s="16"/>
      <c r="OT786" s="16"/>
      <c r="OU786" s="16"/>
      <c r="OV786" s="16"/>
      <c r="OW786" s="16"/>
      <c r="OX786" s="16"/>
      <c r="OY786" s="16"/>
      <c r="OZ786" s="16"/>
      <c r="PA786" s="16"/>
      <c r="PB786" s="16"/>
      <c r="PC786" s="16"/>
      <c r="PD786" s="16"/>
      <c r="PE786" s="16"/>
      <c r="PF786" s="16"/>
      <c r="PG786" s="16"/>
      <c r="PH786" s="16"/>
      <c r="PI786" s="16"/>
      <c r="PJ786" s="16"/>
      <c r="PK786" s="16"/>
      <c r="PL786" s="16"/>
      <c r="PM786" s="16"/>
      <c r="PN786" s="16"/>
      <c r="PO786" s="16"/>
      <c r="PP786" s="16"/>
      <c r="PQ786" s="16"/>
      <c r="PR786" s="16"/>
      <c r="PS786" s="16"/>
      <c r="PT786" s="16"/>
      <c r="PU786" s="16"/>
      <c r="PV786" s="16"/>
      <c r="PW786" s="16"/>
      <c r="PX786" s="16"/>
      <c r="PY786" s="16"/>
      <c r="PZ786" s="16"/>
      <c r="QA786" s="16"/>
      <c r="QB786" s="16"/>
      <c r="QC786" s="16"/>
      <c r="QD786" s="16"/>
      <c r="QE786" s="16"/>
      <c r="QF786" s="16"/>
      <c r="QG786" s="16"/>
      <c r="QH786" s="16"/>
      <c r="QI786" s="16"/>
      <c r="QJ786" s="16"/>
      <c r="QK786" s="16"/>
      <c r="QL786" s="16"/>
      <c r="QM786" s="16"/>
      <c r="QN786" s="16"/>
      <c r="QO786" s="16"/>
      <c r="QP786" s="16"/>
      <c r="QQ786" s="16"/>
      <c r="QR786" s="16"/>
      <c r="QS786" s="16"/>
      <c r="QT786" s="16"/>
      <c r="QU786" s="16"/>
      <c r="QV786" s="16"/>
      <c r="QW786" s="16"/>
      <c r="QX786" s="16"/>
      <c r="QY786" s="16"/>
      <c r="QZ786" s="16"/>
      <c r="RA786" s="16"/>
      <c r="RB786" s="16"/>
      <c r="RC786" s="16"/>
      <c r="RD786" s="16"/>
      <c r="RE786" s="16"/>
      <c r="RF786" s="16"/>
      <c r="RG786" s="16"/>
      <c r="RH786" s="16"/>
      <c r="RI786" s="16"/>
      <c r="RJ786" s="16"/>
      <c r="RK786" s="16"/>
      <c r="RL786" s="16"/>
      <c r="RM786" s="16"/>
      <c r="RN786" s="16"/>
      <c r="RO786" s="16"/>
      <c r="RP786" s="16"/>
      <c r="RQ786" s="16"/>
      <c r="RR786" s="16"/>
      <c r="RS786" s="16"/>
      <c r="RT786" s="16"/>
      <c r="RU786" s="16"/>
      <c r="RV786" s="16"/>
      <c r="RW786" s="16"/>
      <c r="RX786" s="16"/>
      <c r="RY786" s="16"/>
      <c r="RZ786" s="16"/>
      <c r="SA786" s="16"/>
      <c r="SB786" s="16"/>
      <c r="SC786" s="16"/>
      <c r="SD786" s="16"/>
      <c r="SE786" s="16"/>
      <c r="SF786" s="16"/>
      <c r="SG786" s="16"/>
      <c r="SH786" s="16"/>
      <c r="SI786" s="16"/>
      <c r="SJ786" s="16"/>
      <c r="SK786" s="16"/>
      <c r="SL786" s="16"/>
      <c r="SM786" s="16"/>
      <c r="SN786" s="16"/>
      <c r="SO786" s="16"/>
      <c r="SP786" s="16"/>
      <c r="SQ786" s="16"/>
      <c r="SR786" s="16"/>
      <c r="SS786" s="16"/>
      <c r="ST786" s="16"/>
      <c r="SU786" s="16"/>
      <c r="SV786" s="16"/>
      <c r="SW786" s="16"/>
      <c r="SX786" s="16"/>
      <c r="SY786" s="16"/>
      <c r="SZ786" s="16"/>
      <c r="TA786" s="16"/>
      <c r="TB786" s="16"/>
      <c r="TC786" s="16"/>
      <c r="TD786" s="16"/>
      <c r="TE786" s="16"/>
      <c r="TF786" s="16"/>
      <c r="TG786" s="16"/>
      <c r="TH786" s="16"/>
      <c r="TI786" s="16"/>
      <c r="TJ786" s="16"/>
      <c r="TK786" s="16"/>
      <c r="TL786" s="16"/>
      <c r="TM786" s="16"/>
      <c r="TN786" s="16"/>
      <c r="TO786" s="16"/>
      <c r="TP786" s="16"/>
      <c r="TQ786" s="16"/>
      <c r="TR786" s="16"/>
      <c r="TS786" s="16"/>
      <c r="TT786" s="16"/>
      <c r="TU786" s="16"/>
      <c r="TV786" s="16"/>
      <c r="TW786" s="16"/>
      <c r="TX786" s="16"/>
      <c r="TY786" s="16"/>
      <c r="TZ786" s="16"/>
      <c r="UA786" s="16"/>
      <c r="UB786" s="16"/>
      <c r="UC786" s="16"/>
      <c r="UD786" s="16"/>
      <c r="UE786" s="16"/>
      <c r="UF786" s="16"/>
      <c r="UG786" s="16"/>
      <c r="UH786" s="16"/>
      <c r="UI786" s="16"/>
      <c r="UJ786" s="16"/>
      <c r="UK786" s="16"/>
      <c r="UL786" s="16"/>
      <c r="UM786" s="16"/>
      <c r="UN786" s="16"/>
      <c r="UO786" s="16"/>
      <c r="UP786" s="16"/>
      <c r="UQ786" s="16"/>
      <c r="UR786" s="16"/>
      <c r="US786" s="16"/>
      <c r="UT786" s="16"/>
      <c r="UU786" s="16"/>
      <c r="UV786" s="16"/>
      <c r="UW786" s="16"/>
      <c r="UX786" s="16"/>
      <c r="UY786" s="16"/>
      <c r="UZ786" s="16"/>
      <c r="VA786" s="16"/>
      <c r="VB786" s="16"/>
      <c r="VC786" s="16"/>
      <c r="VD786" s="16"/>
      <c r="VE786" s="16"/>
      <c r="VF786" s="16"/>
      <c r="VG786" s="16"/>
      <c r="VH786" s="16"/>
      <c r="VI786" s="16"/>
      <c r="VJ786" s="16"/>
      <c r="VK786" s="16"/>
      <c r="VL786" s="16"/>
      <c r="VM786" s="16"/>
      <c r="VN786" s="16"/>
      <c r="VO786" s="16"/>
      <c r="VP786" s="16"/>
      <c r="VQ786" s="16"/>
      <c r="VR786" s="16"/>
      <c r="VS786" s="16"/>
      <c r="VT786" s="16"/>
      <c r="VU786" s="16"/>
      <c r="VV786" s="16"/>
      <c r="VW786" s="16"/>
      <c r="VX786" s="16"/>
      <c r="VY786" s="16"/>
      <c r="VZ786" s="16"/>
      <c r="WA786" s="16"/>
      <c r="WB786" s="16"/>
      <c r="WC786" s="16"/>
      <c r="WD786" s="16"/>
      <c r="WE786" s="16"/>
      <c r="WF786" s="16"/>
      <c r="WG786" s="16"/>
      <c r="WH786" s="16"/>
      <c r="WI786" s="16"/>
      <c r="WJ786" s="16"/>
      <c r="WK786" s="16"/>
      <c r="WL786" s="16"/>
      <c r="WM786" s="16"/>
      <c r="WN786" s="16"/>
      <c r="WO786" s="16"/>
      <c r="WP786" s="16"/>
      <c r="WQ786" s="16"/>
      <c r="WR786" s="16"/>
      <c r="WS786" s="16"/>
      <c r="WT786" s="16"/>
      <c r="WU786" s="16"/>
      <c r="WV786" s="16"/>
      <c r="WW786" s="16"/>
      <c r="WX786" s="16"/>
      <c r="WY786" s="16"/>
      <c r="WZ786" s="16"/>
      <c r="XA786" s="16"/>
      <c r="XB786" s="16"/>
      <c r="XC786" s="16"/>
      <c r="XD786" s="16"/>
      <c r="XE786" s="16"/>
      <c r="XF786" s="16"/>
      <c r="XG786" s="16"/>
      <c r="XH786" s="16"/>
      <c r="XI786" s="16"/>
      <c r="XJ786" s="16"/>
      <c r="XK786" s="16"/>
      <c r="XL786" s="16"/>
      <c r="XM786" s="16"/>
      <c r="XN786" s="16"/>
      <c r="XO786" s="16"/>
      <c r="XP786" s="16"/>
      <c r="XQ786" s="16"/>
      <c r="XR786" s="16"/>
      <c r="XS786" s="16"/>
      <c r="XT786" s="16"/>
      <c r="XU786" s="16"/>
      <c r="XV786" s="16"/>
      <c r="XW786" s="16"/>
      <c r="XX786" s="16"/>
      <c r="XY786" s="16"/>
      <c r="XZ786" s="16"/>
      <c r="YA786" s="16"/>
      <c r="YB786" s="16"/>
      <c r="YC786" s="16"/>
      <c r="YD786" s="16"/>
      <c r="YE786" s="16"/>
      <c r="YF786" s="16"/>
      <c r="YG786" s="16"/>
      <c r="YH786" s="16"/>
      <c r="YI786" s="16"/>
      <c r="YJ786" s="16"/>
      <c r="YK786" s="16"/>
      <c r="YL786" s="16"/>
      <c r="YM786" s="16"/>
      <c r="YN786" s="16"/>
      <c r="YO786" s="16"/>
      <c r="YP786" s="16"/>
      <c r="YQ786" s="16"/>
      <c r="YR786" s="16"/>
      <c r="YS786" s="16"/>
      <c r="YT786" s="16"/>
      <c r="YU786" s="16"/>
      <c r="YV786" s="16"/>
      <c r="YW786" s="16"/>
      <c r="YX786" s="16"/>
      <c r="YY786" s="16"/>
      <c r="YZ786" s="16"/>
      <c r="ZA786" s="16"/>
      <c r="ZB786" s="16"/>
      <c r="ZC786" s="16"/>
      <c r="ZD786" s="16"/>
      <c r="ZE786" s="16"/>
      <c r="ZF786" s="16"/>
      <c r="ZG786" s="16"/>
      <c r="ZH786" s="16"/>
      <c r="ZI786" s="16"/>
      <c r="ZJ786" s="16"/>
      <c r="ZK786" s="16"/>
      <c r="ZL786" s="16"/>
      <c r="ZM786" s="16"/>
      <c r="ZN786" s="16"/>
      <c r="ZO786" s="16"/>
      <c r="ZP786" s="16"/>
      <c r="ZQ786" s="16"/>
      <c r="ZR786" s="16"/>
      <c r="ZS786" s="16"/>
      <c r="ZT786" s="16"/>
      <c r="ZU786" s="16"/>
      <c r="ZV786" s="16"/>
      <c r="ZW786" s="16"/>
      <c r="ZX786" s="16"/>
      <c r="ZY786" s="16"/>
      <c r="ZZ786" s="16"/>
      <c r="AAA786" s="16"/>
      <c r="AAB786" s="16"/>
      <c r="AAC786" s="16"/>
      <c r="AAD786" s="16"/>
      <c r="AAE786" s="16"/>
      <c r="AAF786" s="16"/>
      <c r="AAG786" s="16"/>
      <c r="AAH786" s="16"/>
      <c r="AAI786" s="16"/>
      <c r="AAJ786" s="16"/>
      <c r="AAK786" s="16"/>
      <c r="AAL786" s="16"/>
      <c r="AAM786" s="16"/>
      <c r="AAN786" s="16"/>
      <c r="AAO786" s="16"/>
      <c r="AAP786" s="16"/>
      <c r="AAQ786" s="16"/>
      <c r="AAR786" s="16"/>
      <c r="AAS786" s="16"/>
      <c r="AAT786" s="16"/>
      <c r="AAU786" s="16"/>
      <c r="AAV786" s="16"/>
      <c r="AAW786" s="16"/>
      <c r="AAX786" s="16"/>
      <c r="AAY786" s="16"/>
      <c r="AAZ786" s="16"/>
      <c r="ABA786" s="16"/>
      <c r="ABB786" s="16"/>
      <c r="ABC786" s="16"/>
      <c r="ABD786" s="16"/>
      <c r="ABE786" s="16"/>
      <c r="ABF786" s="16"/>
      <c r="ABG786" s="16"/>
      <c r="ABH786" s="16"/>
      <c r="ABI786" s="16"/>
      <c r="ABJ786" s="16"/>
      <c r="ABK786" s="16"/>
      <c r="ABL786" s="16"/>
      <c r="ABM786" s="16"/>
      <c r="ABN786" s="16"/>
      <c r="ABO786" s="16"/>
      <c r="ABP786" s="16"/>
      <c r="ABQ786" s="16"/>
      <c r="ABR786" s="16"/>
      <c r="ABS786" s="16"/>
      <c r="ABT786" s="16"/>
      <c r="ABU786" s="16"/>
      <c r="ABV786" s="16"/>
      <c r="ABW786" s="16"/>
      <c r="ABX786" s="16"/>
      <c r="ABY786" s="16"/>
      <c r="ABZ786" s="16"/>
      <c r="ACA786" s="16"/>
      <c r="ACB786" s="16"/>
      <c r="ACC786" s="16"/>
      <c r="ACD786" s="16"/>
      <c r="ACE786" s="16"/>
      <c r="ACF786" s="16"/>
      <c r="ACG786" s="16"/>
      <c r="ACH786" s="16"/>
      <c r="ACI786" s="16"/>
      <c r="ACJ786" s="16"/>
      <c r="ACK786" s="16"/>
      <c r="ACL786" s="16"/>
      <c r="ACM786" s="16"/>
      <c r="ACN786" s="16"/>
      <c r="ACO786" s="16"/>
      <c r="ACP786" s="16"/>
      <c r="ACQ786" s="16"/>
      <c r="ACR786" s="16"/>
      <c r="ACS786" s="16"/>
      <c r="ACT786" s="16"/>
      <c r="ACU786" s="16"/>
      <c r="ACV786" s="16"/>
      <c r="ACW786" s="16"/>
      <c r="ACX786" s="16"/>
      <c r="ACY786" s="16"/>
      <c r="ACZ786" s="16"/>
      <c r="ADA786" s="16"/>
      <c r="ADB786" s="16"/>
      <c r="ADC786" s="16"/>
      <c r="ADD786" s="16"/>
      <c r="ADE786" s="16"/>
      <c r="ADF786" s="16"/>
      <c r="ADG786" s="16"/>
      <c r="ADH786" s="16"/>
      <c r="ADI786" s="16"/>
      <c r="ADJ786" s="16"/>
      <c r="ADK786" s="16"/>
      <c r="ADL786" s="16"/>
      <c r="ADM786" s="16"/>
      <c r="ADN786" s="16"/>
      <c r="ADO786" s="16"/>
      <c r="ADP786" s="16"/>
      <c r="ADQ786" s="16"/>
      <c r="ADR786" s="16"/>
      <c r="ADS786" s="16"/>
      <c r="ADT786" s="16"/>
      <c r="ADU786" s="16"/>
      <c r="ADV786" s="16"/>
      <c r="ADW786" s="16"/>
      <c r="ADX786" s="16"/>
      <c r="ADY786" s="16"/>
      <c r="ADZ786" s="16"/>
      <c r="AEA786" s="16"/>
      <c r="AEB786" s="16"/>
      <c r="AEC786" s="16"/>
      <c r="AED786" s="16"/>
      <c r="AEE786" s="16"/>
      <c r="AEF786" s="16"/>
      <c r="AEG786" s="16"/>
      <c r="AEH786" s="16"/>
      <c r="AEI786" s="16"/>
      <c r="AEJ786" s="16"/>
      <c r="AEK786" s="16"/>
      <c r="AEL786" s="16"/>
      <c r="AEM786" s="16"/>
      <c r="AEN786" s="16"/>
      <c r="AEO786" s="16"/>
      <c r="AEP786" s="16"/>
      <c r="AEQ786" s="16"/>
      <c r="AER786" s="16"/>
      <c r="AES786" s="16"/>
      <c r="AET786" s="16"/>
      <c r="AEU786" s="16"/>
      <c r="AEV786" s="16"/>
      <c r="AEW786" s="16"/>
      <c r="AEX786" s="16"/>
      <c r="AEY786" s="16"/>
      <c r="AEZ786" s="16"/>
      <c r="AFA786" s="16"/>
      <c r="AFB786" s="16"/>
      <c r="AFC786" s="16"/>
      <c r="AFD786" s="16"/>
      <c r="AFE786" s="16"/>
      <c r="AFF786" s="16"/>
      <c r="AFG786" s="16"/>
      <c r="AFH786" s="16"/>
      <c r="AFI786" s="16"/>
      <c r="AFJ786" s="16"/>
      <c r="AFK786" s="16"/>
      <c r="AFL786" s="16"/>
      <c r="AFM786" s="16"/>
      <c r="AFN786" s="16"/>
      <c r="AFO786" s="16"/>
      <c r="AFP786" s="16"/>
      <c r="AFQ786" s="16"/>
      <c r="AFR786" s="16"/>
      <c r="AFS786" s="16"/>
      <c r="AFT786" s="16"/>
      <c r="AFU786" s="16"/>
      <c r="AFV786" s="16"/>
      <c r="AFW786" s="16"/>
      <c r="AFX786" s="16"/>
      <c r="AFY786" s="16"/>
      <c r="AFZ786" s="16"/>
      <c r="AGA786" s="16"/>
      <c r="AGB786" s="16"/>
      <c r="AGC786" s="16"/>
      <c r="AGD786" s="16"/>
      <c r="AGE786" s="16"/>
      <c r="AGF786" s="16"/>
      <c r="AGG786" s="16"/>
      <c r="AGH786" s="16"/>
      <c r="AGI786" s="16"/>
      <c r="AGJ786" s="16"/>
    </row>
    <row r="787" spans="1:868" s="820" customFormat="1">
      <c r="A787" s="34" t="s">
        <v>331</v>
      </c>
      <c r="B787" s="40" t="s">
        <v>327</v>
      </c>
      <c r="C787" s="34" t="s">
        <v>139</v>
      </c>
      <c r="D787" s="40" t="s">
        <v>139</v>
      </c>
      <c r="E787" s="237">
        <v>0.05</v>
      </c>
      <c r="F787" s="168">
        <v>2</v>
      </c>
      <c r="G787" s="34" t="s">
        <v>344</v>
      </c>
      <c r="H787" s="29">
        <v>1</v>
      </c>
      <c r="I787" s="9">
        <v>1</v>
      </c>
      <c r="J787" s="9">
        <v>2</v>
      </c>
      <c r="K787" s="9">
        <v>3</v>
      </c>
      <c r="L787" s="9">
        <v>3</v>
      </c>
      <c r="M787" s="9">
        <v>3</v>
      </c>
      <c r="N787" s="185">
        <f>IF( OR( ISBLANK(H787),ISBLANK(J787), ISBLANK(K787), ISBLANK(L787), ISBLANK(M787) ), "", 1.5*SQRT(   EXP(2.21*(H787-1)) + EXP(2.21*(J787-1)) + EXP(2.21*(K787-1)) + EXP(2.21*(L787-1)) + EXP(2.21*M787)   )/100*2.45 )</f>
        <v>1.123005955058592</v>
      </c>
      <c r="O787" s="159">
        <f>IF( OR( ISBLANK(I787),ISBLANK(J787), ISBLANK(K787), ISBLANK(L787), ISBLANK(M787) ), "", 1.5*SQRT( EXP(2.21*(I787-1)) + EXP(2.21*(J787-1)) + EXP(2.21*(K787-1)) + EXP(2.21*(L787-1)) + EXP(2.21*M787)   )/100*2.45 )</f>
        <v>1.123005955058592</v>
      </c>
      <c r="P787" s="34" t="s">
        <v>345</v>
      </c>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c r="AY787" s="16"/>
      <c r="AZ787" s="16"/>
      <c r="BA787" s="16"/>
      <c r="BB787" s="16"/>
      <c r="BC787" s="16"/>
      <c r="BD787" s="16"/>
      <c r="BE787" s="16"/>
      <c r="BF787" s="16"/>
      <c r="BG787" s="16"/>
      <c r="BH787" s="16"/>
      <c r="BI787" s="16"/>
      <c r="BJ787" s="16"/>
      <c r="BK787" s="16"/>
      <c r="BL787" s="16"/>
      <c r="BM787" s="16"/>
      <c r="BN787" s="16"/>
      <c r="BO787" s="16"/>
      <c r="BP787" s="16"/>
      <c r="BQ787" s="16"/>
      <c r="BR787" s="16"/>
      <c r="BS787" s="16"/>
      <c r="BT787" s="16"/>
      <c r="BU787" s="16"/>
      <c r="BV787" s="16"/>
      <c r="BW787" s="16"/>
      <c r="BX787" s="16"/>
      <c r="BY787" s="16"/>
      <c r="BZ787" s="16"/>
      <c r="CA787" s="16"/>
      <c r="CB787" s="16"/>
      <c r="CC787" s="16"/>
      <c r="CD787" s="16"/>
      <c r="CE787" s="16"/>
      <c r="CF787" s="16"/>
      <c r="CG787" s="16"/>
      <c r="CH787" s="16"/>
      <c r="CI787" s="16"/>
      <c r="CJ787" s="16"/>
      <c r="CK787" s="16"/>
      <c r="CL787" s="16"/>
      <c r="CM787" s="16"/>
      <c r="CN787" s="16"/>
      <c r="CO787" s="16"/>
      <c r="CP787" s="16"/>
      <c r="CQ787" s="16"/>
      <c r="CR787" s="16"/>
      <c r="CS787" s="16"/>
      <c r="CT787" s="16"/>
      <c r="CU787" s="16"/>
      <c r="CV787" s="16"/>
      <c r="CW787" s="16"/>
      <c r="CX787" s="16"/>
      <c r="CY787" s="16"/>
      <c r="CZ787" s="16"/>
      <c r="DA787" s="16"/>
      <c r="DB787" s="16"/>
      <c r="DC787" s="16"/>
      <c r="DD787" s="16"/>
      <c r="DE787" s="16"/>
      <c r="DF787" s="16"/>
      <c r="DG787" s="16"/>
      <c r="DH787" s="16"/>
      <c r="DI787" s="16"/>
      <c r="DJ787" s="16"/>
      <c r="DK787" s="16"/>
      <c r="DL787" s="16"/>
      <c r="DM787" s="16"/>
      <c r="DN787" s="16"/>
      <c r="DO787" s="16"/>
      <c r="DP787" s="16"/>
      <c r="DQ787" s="16"/>
      <c r="DR787" s="16"/>
      <c r="DS787" s="16"/>
      <c r="DT787" s="16"/>
      <c r="DU787" s="16"/>
      <c r="DV787" s="16"/>
      <c r="DW787" s="16"/>
      <c r="DX787" s="16"/>
      <c r="DY787" s="16"/>
      <c r="DZ787" s="16"/>
      <c r="EA787" s="16"/>
      <c r="EB787" s="16"/>
      <c r="EC787" s="16"/>
      <c r="ED787" s="16"/>
      <c r="EE787" s="16"/>
      <c r="EF787" s="16"/>
      <c r="EG787" s="16"/>
      <c r="EH787" s="16"/>
      <c r="EI787" s="16"/>
      <c r="EJ787" s="16"/>
      <c r="EK787" s="16"/>
      <c r="EL787" s="16"/>
      <c r="EM787" s="16"/>
      <c r="EN787" s="16"/>
      <c r="EO787" s="16"/>
      <c r="EP787" s="16"/>
      <c r="EQ787" s="16"/>
      <c r="ER787" s="16"/>
      <c r="ES787" s="16"/>
      <c r="ET787" s="16"/>
      <c r="EU787" s="16"/>
      <c r="EV787" s="16"/>
      <c r="EW787" s="16"/>
      <c r="EX787" s="16"/>
      <c r="EY787" s="16"/>
      <c r="EZ787" s="16"/>
      <c r="FA787" s="16"/>
      <c r="FB787" s="16"/>
      <c r="FC787" s="16"/>
      <c r="FD787" s="16"/>
      <c r="FE787" s="16"/>
      <c r="FF787" s="16"/>
      <c r="FG787" s="16"/>
      <c r="FH787" s="16"/>
      <c r="FI787" s="16"/>
      <c r="FJ787" s="16"/>
      <c r="FK787" s="16"/>
      <c r="FL787" s="16"/>
      <c r="FM787" s="16"/>
      <c r="FN787" s="16"/>
      <c r="FO787" s="16"/>
      <c r="FP787" s="16"/>
      <c r="FQ787" s="16"/>
      <c r="FR787" s="16"/>
      <c r="FS787" s="16"/>
      <c r="FT787" s="16"/>
      <c r="FU787" s="16"/>
      <c r="FV787" s="16"/>
      <c r="FW787" s="16"/>
      <c r="FX787" s="16"/>
      <c r="FY787" s="16"/>
      <c r="FZ787" s="16"/>
      <c r="GA787" s="16"/>
      <c r="GB787" s="16"/>
      <c r="GC787" s="16"/>
      <c r="GD787" s="16"/>
      <c r="GE787" s="16"/>
      <c r="GF787" s="16"/>
      <c r="GG787" s="16"/>
      <c r="GH787" s="16"/>
      <c r="GI787" s="16"/>
      <c r="GJ787" s="16"/>
      <c r="GK787" s="16"/>
      <c r="GL787" s="16"/>
      <c r="GM787" s="16"/>
      <c r="GN787" s="16"/>
      <c r="GO787" s="16"/>
      <c r="GP787" s="16"/>
      <c r="GQ787" s="16"/>
      <c r="GR787" s="16"/>
      <c r="GS787" s="16"/>
      <c r="GT787" s="16"/>
      <c r="GU787" s="16"/>
      <c r="GV787" s="16"/>
      <c r="GW787" s="16"/>
      <c r="GX787" s="16"/>
      <c r="GY787" s="16"/>
      <c r="GZ787" s="16"/>
      <c r="HA787" s="16"/>
      <c r="HB787" s="16"/>
      <c r="HC787" s="16"/>
      <c r="HD787" s="16"/>
      <c r="HE787" s="16"/>
      <c r="HF787" s="16"/>
      <c r="HG787" s="16"/>
      <c r="HH787" s="16"/>
      <c r="HI787" s="16"/>
      <c r="HJ787" s="16"/>
      <c r="HK787" s="16"/>
      <c r="HL787" s="16"/>
      <c r="HM787" s="16"/>
      <c r="HN787" s="16"/>
      <c r="HO787" s="16"/>
      <c r="HP787" s="16"/>
      <c r="HQ787" s="16"/>
      <c r="HR787" s="16"/>
      <c r="HS787" s="16"/>
      <c r="HT787" s="16"/>
      <c r="HU787" s="16"/>
      <c r="HV787" s="16"/>
      <c r="HW787" s="16"/>
      <c r="HX787" s="16"/>
      <c r="HY787" s="16"/>
      <c r="HZ787" s="16"/>
      <c r="IA787" s="16"/>
      <c r="IB787" s="16"/>
      <c r="IC787" s="16"/>
      <c r="ID787" s="16"/>
      <c r="IE787" s="16"/>
      <c r="IF787" s="16"/>
      <c r="IG787" s="16"/>
      <c r="IH787" s="16"/>
      <c r="II787" s="16"/>
      <c r="IJ787" s="16"/>
      <c r="IK787" s="16"/>
      <c r="IL787" s="16"/>
      <c r="IM787" s="16"/>
      <c r="IN787" s="16"/>
      <c r="IO787" s="16"/>
      <c r="IP787" s="16"/>
      <c r="IQ787" s="16"/>
      <c r="IR787" s="16"/>
      <c r="IS787" s="16"/>
      <c r="IT787" s="16"/>
      <c r="IU787" s="16"/>
      <c r="IV787" s="16"/>
      <c r="IW787" s="16"/>
      <c r="IX787" s="16"/>
      <c r="IY787" s="16"/>
      <c r="IZ787" s="16"/>
      <c r="JA787" s="16"/>
      <c r="JB787" s="16"/>
      <c r="JC787" s="16"/>
      <c r="JD787" s="16"/>
      <c r="JE787" s="16"/>
      <c r="JF787" s="16"/>
      <c r="JG787" s="16"/>
      <c r="JH787" s="16"/>
      <c r="JI787" s="16"/>
      <c r="JJ787" s="16"/>
      <c r="JK787" s="16"/>
      <c r="JL787" s="16"/>
      <c r="JM787" s="16"/>
      <c r="JN787" s="16"/>
      <c r="JO787" s="16"/>
      <c r="JP787" s="16"/>
      <c r="JQ787" s="16"/>
      <c r="JR787" s="16"/>
      <c r="JS787" s="16"/>
      <c r="JT787" s="16"/>
      <c r="JU787" s="16"/>
      <c r="JV787" s="16"/>
      <c r="JW787" s="16"/>
      <c r="JX787" s="16"/>
      <c r="JY787" s="16"/>
      <c r="JZ787" s="16"/>
      <c r="KA787" s="16"/>
      <c r="KB787" s="16"/>
      <c r="KC787" s="16"/>
      <c r="KD787" s="16"/>
      <c r="KE787" s="16"/>
      <c r="KF787" s="16"/>
      <c r="KG787" s="16"/>
      <c r="KH787" s="16"/>
      <c r="KI787" s="16"/>
      <c r="KJ787" s="16"/>
      <c r="KK787" s="16"/>
      <c r="KL787" s="16"/>
      <c r="KM787" s="16"/>
      <c r="KN787" s="16"/>
      <c r="KO787" s="16"/>
      <c r="KP787" s="16"/>
      <c r="KQ787" s="16"/>
      <c r="KR787" s="16"/>
      <c r="KS787" s="16"/>
      <c r="KT787" s="16"/>
      <c r="KU787" s="16"/>
      <c r="KV787" s="16"/>
      <c r="KW787" s="16"/>
      <c r="KX787" s="16"/>
      <c r="KY787" s="16"/>
      <c r="KZ787" s="16"/>
      <c r="LA787" s="16"/>
      <c r="LB787" s="16"/>
      <c r="LC787" s="16"/>
      <c r="LD787" s="16"/>
      <c r="LE787" s="16"/>
      <c r="LF787" s="16"/>
      <c r="LG787" s="16"/>
      <c r="LH787" s="16"/>
      <c r="LI787" s="16"/>
      <c r="LJ787" s="16"/>
      <c r="LK787" s="16"/>
      <c r="LL787" s="16"/>
      <c r="LM787" s="16"/>
      <c r="LN787" s="16"/>
      <c r="LO787" s="16"/>
      <c r="LP787" s="16"/>
      <c r="LQ787" s="16"/>
      <c r="LR787" s="16"/>
      <c r="LS787" s="16"/>
      <c r="LT787" s="16"/>
      <c r="LU787" s="16"/>
      <c r="LV787" s="16"/>
      <c r="LW787" s="16"/>
      <c r="LX787" s="16"/>
      <c r="LY787" s="16"/>
      <c r="LZ787" s="16"/>
      <c r="MA787" s="16"/>
      <c r="MB787" s="16"/>
      <c r="MC787" s="16"/>
      <c r="MD787" s="16"/>
      <c r="ME787" s="16"/>
      <c r="MF787" s="16"/>
      <c r="MG787" s="16"/>
      <c r="MH787" s="16"/>
      <c r="MI787" s="16"/>
      <c r="MJ787" s="16"/>
      <c r="MK787" s="16"/>
      <c r="ML787" s="16"/>
      <c r="MM787" s="16"/>
      <c r="MN787" s="16"/>
      <c r="MO787" s="16"/>
      <c r="MP787" s="16"/>
      <c r="MQ787" s="16"/>
      <c r="MR787" s="16"/>
      <c r="MS787" s="16"/>
      <c r="MT787" s="16"/>
      <c r="MU787" s="16"/>
      <c r="MV787" s="16"/>
      <c r="MW787" s="16"/>
      <c r="MX787" s="16"/>
      <c r="MY787" s="16"/>
      <c r="MZ787" s="16"/>
      <c r="NA787" s="16"/>
      <c r="NB787" s="16"/>
      <c r="NC787" s="16"/>
      <c r="ND787" s="16"/>
      <c r="NE787" s="16"/>
      <c r="NF787" s="16"/>
      <c r="NG787" s="16"/>
      <c r="NH787" s="16"/>
      <c r="NI787" s="16"/>
      <c r="NJ787" s="16"/>
      <c r="NK787" s="16"/>
      <c r="NL787" s="16"/>
      <c r="NM787" s="16"/>
      <c r="NN787" s="16"/>
      <c r="NO787" s="16"/>
      <c r="NP787" s="16"/>
      <c r="NQ787" s="16"/>
      <c r="NR787" s="16"/>
      <c r="NS787" s="16"/>
      <c r="NT787" s="16"/>
      <c r="NU787" s="16"/>
      <c r="NV787" s="16"/>
      <c r="NW787" s="16"/>
      <c r="NX787" s="16"/>
      <c r="NY787" s="16"/>
      <c r="NZ787" s="16"/>
      <c r="OA787" s="16"/>
      <c r="OB787" s="16"/>
      <c r="OC787" s="16"/>
      <c r="OD787" s="16"/>
      <c r="OE787" s="16"/>
      <c r="OF787" s="16"/>
      <c r="OG787" s="16"/>
      <c r="OH787" s="16"/>
      <c r="OI787" s="16"/>
      <c r="OJ787" s="16"/>
      <c r="OK787" s="16"/>
      <c r="OL787" s="16"/>
      <c r="OM787" s="16"/>
      <c r="ON787" s="16"/>
      <c r="OO787" s="16"/>
      <c r="OP787" s="16"/>
      <c r="OQ787" s="16"/>
      <c r="OR787" s="16"/>
      <c r="OS787" s="16"/>
      <c r="OT787" s="16"/>
      <c r="OU787" s="16"/>
      <c r="OV787" s="16"/>
      <c r="OW787" s="16"/>
      <c r="OX787" s="16"/>
      <c r="OY787" s="16"/>
      <c r="OZ787" s="16"/>
      <c r="PA787" s="16"/>
      <c r="PB787" s="16"/>
      <c r="PC787" s="16"/>
      <c r="PD787" s="16"/>
      <c r="PE787" s="16"/>
      <c r="PF787" s="16"/>
      <c r="PG787" s="16"/>
      <c r="PH787" s="16"/>
      <c r="PI787" s="16"/>
      <c r="PJ787" s="16"/>
      <c r="PK787" s="16"/>
      <c r="PL787" s="16"/>
      <c r="PM787" s="16"/>
      <c r="PN787" s="16"/>
      <c r="PO787" s="16"/>
      <c r="PP787" s="16"/>
      <c r="PQ787" s="16"/>
      <c r="PR787" s="16"/>
      <c r="PS787" s="16"/>
      <c r="PT787" s="16"/>
      <c r="PU787" s="16"/>
      <c r="PV787" s="16"/>
      <c r="PW787" s="16"/>
      <c r="PX787" s="16"/>
      <c r="PY787" s="16"/>
      <c r="PZ787" s="16"/>
      <c r="QA787" s="16"/>
      <c r="QB787" s="16"/>
      <c r="QC787" s="16"/>
      <c r="QD787" s="16"/>
      <c r="QE787" s="16"/>
      <c r="QF787" s="16"/>
      <c r="QG787" s="16"/>
      <c r="QH787" s="16"/>
      <c r="QI787" s="16"/>
      <c r="QJ787" s="16"/>
      <c r="QK787" s="16"/>
      <c r="QL787" s="16"/>
      <c r="QM787" s="16"/>
      <c r="QN787" s="16"/>
      <c r="QO787" s="16"/>
      <c r="QP787" s="16"/>
      <c r="QQ787" s="16"/>
      <c r="QR787" s="16"/>
      <c r="QS787" s="16"/>
      <c r="QT787" s="16"/>
      <c r="QU787" s="16"/>
      <c r="QV787" s="16"/>
      <c r="QW787" s="16"/>
      <c r="QX787" s="16"/>
      <c r="QY787" s="16"/>
      <c r="QZ787" s="16"/>
      <c r="RA787" s="16"/>
      <c r="RB787" s="16"/>
      <c r="RC787" s="16"/>
      <c r="RD787" s="16"/>
      <c r="RE787" s="16"/>
      <c r="RF787" s="16"/>
      <c r="RG787" s="16"/>
      <c r="RH787" s="16"/>
      <c r="RI787" s="16"/>
      <c r="RJ787" s="16"/>
      <c r="RK787" s="16"/>
      <c r="RL787" s="16"/>
      <c r="RM787" s="16"/>
      <c r="RN787" s="16"/>
      <c r="RO787" s="16"/>
      <c r="RP787" s="16"/>
      <c r="RQ787" s="16"/>
      <c r="RR787" s="16"/>
      <c r="RS787" s="16"/>
      <c r="RT787" s="16"/>
      <c r="RU787" s="16"/>
      <c r="RV787" s="16"/>
      <c r="RW787" s="16"/>
      <c r="RX787" s="16"/>
      <c r="RY787" s="16"/>
      <c r="RZ787" s="16"/>
      <c r="SA787" s="16"/>
      <c r="SB787" s="16"/>
      <c r="SC787" s="16"/>
      <c r="SD787" s="16"/>
      <c r="SE787" s="16"/>
      <c r="SF787" s="16"/>
      <c r="SG787" s="16"/>
      <c r="SH787" s="16"/>
      <c r="SI787" s="16"/>
      <c r="SJ787" s="16"/>
      <c r="SK787" s="16"/>
      <c r="SL787" s="16"/>
      <c r="SM787" s="16"/>
      <c r="SN787" s="16"/>
      <c r="SO787" s="16"/>
      <c r="SP787" s="16"/>
      <c r="SQ787" s="16"/>
      <c r="SR787" s="16"/>
      <c r="SS787" s="16"/>
      <c r="ST787" s="16"/>
      <c r="SU787" s="16"/>
      <c r="SV787" s="16"/>
      <c r="SW787" s="16"/>
      <c r="SX787" s="16"/>
      <c r="SY787" s="16"/>
      <c r="SZ787" s="16"/>
      <c r="TA787" s="16"/>
      <c r="TB787" s="16"/>
      <c r="TC787" s="16"/>
      <c r="TD787" s="16"/>
      <c r="TE787" s="16"/>
      <c r="TF787" s="16"/>
      <c r="TG787" s="16"/>
      <c r="TH787" s="16"/>
      <c r="TI787" s="16"/>
      <c r="TJ787" s="16"/>
      <c r="TK787" s="16"/>
      <c r="TL787" s="16"/>
      <c r="TM787" s="16"/>
      <c r="TN787" s="16"/>
      <c r="TO787" s="16"/>
      <c r="TP787" s="16"/>
      <c r="TQ787" s="16"/>
      <c r="TR787" s="16"/>
      <c r="TS787" s="16"/>
      <c r="TT787" s="16"/>
      <c r="TU787" s="16"/>
      <c r="TV787" s="16"/>
      <c r="TW787" s="16"/>
      <c r="TX787" s="16"/>
      <c r="TY787" s="16"/>
      <c r="TZ787" s="16"/>
      <c r="UA787" s="16"/>
      <c r="UB787" s="16"/>
      <c r="UC787" s="16"/>
      <c r="UD787" s="16"/>
      <c r="UE787" s="16"/>
      <c r="UF787" s="16"/>
      <c r="UG787" s="16"/>
      <c r="UH787" s="16"/>
      <c r="UI787" s="16"/>
      <c r="UJ787" s="16"/>
      <c r="UK787" s="16"/>
      <c r="UL787" s="16"/>
      <c r="UM787" s="16"/>
      <c r="UN787" s="16"/>
      <c r="UO787" s="16"/>
      <c r="UP787" s="16"/>
      <c r="UQ787" s="16"/>
      <c r="UR787" s="16"/>
      <c r="US787" s="16"/>
      <c r="UT787" s="16"/>
      <c r="UU787" s="16"/>
      <c r="UV787" s="16"/>
      <c r="UW787" s="16"/>
      <c r="UX787" s="16"/>
      <c r="UY787" s="16"/>
      <c r="UZ787" s="16"/>
      <c r="VA787" s="16"/>
      <c r="VB787" s="16"/>
      <c r="VC787" s="16"/>
      <c r="VD787" s="16"/>
      <c r="VE787" s="16"/>
      <c r="VF787" s="16"/>
      <c r="VG787" s="16"/>
      <c r="VH787" s="16"/>
      <c r="VI787" s="16"/>
      <c r="VJ787" s="16"/>
      <c r="VK787" s="16"/>
      <c r="VL787" s="16"/>
      <c r="VM787" s="16"/>
      <c r="VN787" s="16"/>
      <c r="VO787" s="16"/>
      <c r="VP787" s="16"/>
      <c r="VQ787" s="16"/>
      <c r="VR787" s="16"/>
      <c r="VS787" s="16"/>
      <c r="VT787" s="16"/>
      <c r="VU787" s="16"/>
      <c r="VV787" s="16"/>
      <c r="VW787" s="16"/>
      <c r="VX787" s="16"/>
      <c r="VY787" s="16"/>
      <c r="VZ787" s="16"/>
      <c r="WA787" s="16"/>
      <c r="WB787" s="16"/>
      <c r="WC787" s="16"/>
      <c r="WD787" s="16"/>
      <c r="WE787" s="16"/>
      <c r="WF787" s="16"/>
      <c r="WG787" s="16"/>
      <c r="WH787" s="16"/>
      <c r="WI787" s="16"/>
      <c r="WJ787" s="16"/>
      <c r="WK787" s="16"/>
      <c r="WL787" s="16"/>
      <c r="WM787" s="16"/>
      <c r="WN787" s="16"/>
      <c r="WO787" s="16"/>
      <c r="WP787" s="16"/>
      <c r="WQ787" s="16"/>
      <c r="WR787" s="16"/>
      <c r="WS787" s="16"/>
      <c r="WT787" s="16"/>
      <c r="WU787" s="16"/>
      <c r="WV787" s="16"/>
      <c r="WW787" s="16"/>
      <c r="WX787" s="16"/>
      <c r="WY787" s="16"/>
      <c r="WZ787" s="16"/>
      <c r="XA787" s="16"/>
      <c r="XB787" s="16"/>
      <c r="XC787" s="16"/>
      <c r="XD787" s="16"/>
      <c r="XE787" s="16"/>
      <c r="XF787" s="16"/>
      <c r="XG787" s="16"/>
      <c r="XH787" s="16"/>
      <c r="XI787" s="16"/>
      <c r="XJ787" s="16"/>
      <c r="XK787" s="16"/>
      <c r="XL787" s="16"/>
      <c r="XM787" s="16"/>
      <c r="XN787" s="16"/>
      <c r="XO787" s="16"/>
      <c r="XP787" s="16"/>
      <c r="XQ787" s="16"/>
      <c r="XR787" s="16"/>
      <c r="XS787" s="16"/>
      <c r="XT787" s="16"/>
      <c r="XU787" s="16"/>
      <c r="XV787" s="16"/>
      <c r="XW787" s="16"/>
      <c r="XX787" s="16"/>
      <c r="XY787" s="16"/>
      <c r="XZ787" s="16"/>
      <c r="YA787" s="16"/>
      <c r="YB787" s="16"/>
      <c r="YC787" s="16"/>
      <c r="YD787" s="16"/>
      <c r="YE787" s="16"/>
      <c r="YF787" s="16"/>
      <c r="YG787" s="16"/>
      <c r="YH787" s="16"/>
      <c r="YI787" s="16"/>
      <c r="YJ787" s="16"/>
      <c r="YK787" s="16"/>
      <c r="YL787" s="16"/>
      <c r="YM787" s="16"/>
      <c r="YN787" s="16"/>
      <c r="YO787" s="16"/>
      <c r="YP787" s="16"/>
      <c r="YQ787" s="16"/>
      <c r="YR787" s="16"/>
      <c r="YS787" s="16"/>
      <c r="YT787" s="16"/>
      <c r="YU787" s="16"/>
      <c r="YV787" s="16"/>
      <c r="YW787" s="16"/>
      <c r="YX787" s="16"/>
      <c r="YY787" s="16"/>
      <c r="YZ787" s="16"/>
      <c r="ZA787" s="16"/>
      <c r="ZB787" s="16"/>
      <c r="ZC787" s="16"/>
      <c r="ZD787" s="16"/>
      <c r="ZE787" s="16"/>
      <c r="ZF787" s="16"/>
      <c r="ZG787" s="16"/>
      <c r="ZH787" s="16"/>
      <c r="ZI787" s="16"/>
      <c r="ZJ787" s="16"/>
      <c r="ZK787" s="16"/>
      <c r="ZL787" s="16"/>
      <c r="ZM787" s="16"/>
      <c r="ZN787" s="16"/>
      <c r="ZO787" s="16"/>
      <c r="ZP787" s="16"/>
      <c r="ZQ787" s="16"/>
      <c r="ZR787" s="16"/>
      <c r="ZS787" s="16"/>
      <c r="ZT787" s="16"/>
      <c r="ZU787" s="16"/>
      <c r="ZV787" s="16"/>
      <c r="ZW787" s="16"/>
      <c r="ZX787" s="16"/>
      <c r="ZY787" s="16"/>
      <c r="ZZ787" s="16"/>
      <c r="AAA787" s="16"/>
      <c r="AAB787" s="16"/>
      <c r="AAC787" s="16"/>
      <c r="AAD787" s="16"/>
      <c r="AAE787" s="16"/>
      <c r="AAF787" s="16"/>
      <c r="AAG787" s="16"/>
      <c r="AAH787" s="16"/>
      <c r="AAI787" s="16"/>
      <c r="AAJ787" s="16"/>
      <c r="AAK787" s="16"/>
      <c r="AAL787" s="16"/>
      <c r="AAM787" s="16"/>
      <c r="AAN787" s="16"/>
      <c r="AAO787" s="16"/>
      <c r="AAP787" s="16"/>
      <c r="AAQ787" s="16"/>
      <c r="AAR787" s="16"/>
      <c r="AAS787" s="16"/>
      <c r="AAT787" s="16"/>
      <c r="AAU787" s="16"/>
      <c r="AAV787" s="16"/>
      <c r="AAW787" s="16"/>
      <c r="AAX787" s="16"/>
      <c r="AAY787" s="16"/>
      <c r="AAZ787" s="16"/>
      <c r="ABA787" s="16"/>
      <c r="ABB787" s="16"/>
      <c r="ABC787" s="16"/>
      <c r="ABD787" s="16"/>
      <c r="ABE787" s="16"/>
      <c r="ABF787" s="16"/>
      <c r="ABG787" s="16"/>
      <c r="ABH787" s="16"/>
      <c r="ABI787" s="16"/>
      <c r="ABJ787" s="16"/>
      <c r="ABK787" s="16"/>
      <c r="ABL787" s="16"/>
      <c r="ABM787" s="16"/>
      <c r="ABN787" s="16"/>
      <c r="ABO787" s="16"/>
      <c r="ABP787" s="16"/>
      <c r="ABQ787" s="16"/>
      <c r="ABR787" s="16"/>
      <c r="ABS787" s="16"/>
      <c r="ABT787" s="16"/>
      <c r="ABU787" s="16"/>
      <c r="ABV787" s="16"/>
      <c r="ABW787" s="16"/>
      <c r="ABX787" s="16"/>
      <c r="ABY787" s="16"/>
      <c r="ABZ787" s="16"/>
      <c r="ACA787" s="16"/>
      <c r="ACB787" s="16"/>
      <c r="ACC787" s="16"/>
      <c r="ACD787" s="16"/>
      <c r="ACE787" s="16"/>
      <c r="ACF787" s="16"/>
      <c r="ACG787" s="16"/>
      <c r="ACH787" s="16"/>
      <c r="ACI787" s="16"/>
      <c r="ACJ787" s="16"/>
      <c r="ACK787" s="16"/>
      <c r="ACL787" s="16"/>
      <c r="ACM787" s="16"/>
      <c r="ACN787" s="16"/>
      <c r="ACO787" s="16"/>
      <c r="ACP787" s="16"/>
      <c r="ACQ787" s="16"/>
      <c r="ACR787" s="16"/>
      <c r="ACS787" s="16"/>
      <c r="ACT787" s="16"/>
      <c r="ACU787" s="16"/>
      <c r="ACV787" s="16"/>
      <c r="ACW787" s="16"/>
      <c r="ACX787" s="16"/>
      <c r="ACY787" s="16"/>
      <c r="ACZ787" s="16"/>
      <c r="ADA787" s="16"/>
      <c r="ADB787" s="16"/>
      <c r="ADC787" s="16"/>
      <c r="ADD787" s="16"/>
      <c r="ADE787" s="16"/>
      <c r="ADF787" s="16"/>
      <c r="ADG787" s="16"/>
      <c r="ADH787" s="16"/>
      <c r="ADI787" s="16"/>
      <c r="ADJ787" s="16"/>
      <c r="ADK787" s="16"/>
      <c r="ADL787" s="16"/>
      <c r="ADM787" s="16"/>
      <c r="ADN787" s="16"/>
      <c r="ADO787" s="16"/>
      <c r="ADP787" s="16"/>
      <c r="ADQ787" s="16"/>
      <c r="ADR787" s="16"/>
      <c r="ADS787" s="16"/>
      <c r="ADT787" s="16"/>
      <c r="ADU787" s="16"/>
      <c r="ADV787" s="16"/>
      <c r="ADW787" s="16"/>
      <c r="ADX787" s="16"/>
      <c r="ADY787" s="16"/>
      <c r="ADZ787" s="16"/>
      <c r="AEA787" s="16"/>
      <c r="AEB787" s="16"/>
      <c r="AEC787" s="16"/>
      <c r="AED787" s="16"/>
      <c r="AEE787" s="16"/>
      <c r="AEF787" s="16"/>
      <c r="AEG787" s="16"/>
      <c r="AEH787" s="16"/>
      <c r="AEI787" s="16"/>
      <c r="AEJ787" s="16"/>
      <c r="AEK787" s="16"/>
      <c r="AEL787" s="16"/>
      <c r="AEM787" s="16"/>
      <c r="AEN787" s="16"/>
      <c r="AEO787" s="16"/>
      <c r="AEP787" s="16"/>
      <c r="AEQ787" s="16"/>
      <c r="AER787" s="16"/>
      <c r="AES787" s="16"/>
      <c r="AET787" s="16"/>
      <c r="AEU787" s="16"/>
      <c r="AEV787" s="16"/>
      <c r="AEW787" s="16"/>
      <c r="AEX787" s="16"/>
      <c r="AEY787" s="16"/>
      <c r="AEZ787" s="16"/>
      <c r="AFA787" s="16"/>
      <c r="AFB787" s="16"/>
      <c r="AFC787" s="16"/>
      <c r="AFD787" s="16"/>
      <c r="AFE787" s="16"/>
      <c r="AFF787" s="16"/>
      <c r="AFG787" s="16"/>
      <c r="AFH787" s="16"/>
      <c r="AFI787" s="16"/>
      <c r="AFJ787" s="16"/>
      <c r="AFK787" s="16"/>
      <c r="AFL787" s="16"/>
      <c r="AFM787" s="16"/>
      <c r="AFN787" s="16"/>
      <c r="AFO787" s="16"/>
      <c r="AFP787" s="16"/>
      <c r="AFQ787" s="16"/>
      <c r="AFR787" s="16"/>
      <c r="AFS787" s="16"/>
      <c r="AFT787" s="16"/>
      <c r="AFU787" s="16"/>
      <c r="AFV787" s="16"/>
      <c r="AFW787" s="16"/>
      <c r="AFX787" s="16"/>
      <c r="AFY787" s="16"/>
      <c r="AFZ787" s="16"/>
      <c r="AGA787" s="16"/>
      <c r="AGB787" s="16"/>
      <c r="AGC787" s="16"/>
      <c r="AGD787" s="16"/>
      <c r="AGE787" s="16"/>
      <c r="AGF787" s="16"/>
      <c r="AGG787" s="16"/>
      <c r="AGH787" s="16"/>
      <c r="AGI787" s="16"/>
      <c r="AGJ787" s="16"/>
    </row>
    <row r="788" spans="1:868">
      <c r="A788" s="973" t="s">
        <v>223</v>
      </c>
      <c r="B788" s="974" t="s">
        <v>179</v>
      </c>
      <c r="C788" s="973" t="s">
        <v>182</v>
      </c>
      <c r="D788" s="974" t="s">
        <v>139</v>
      </c>
      <c r="E788" s="1198" t="s">
        <v>150</v>
      </c>
      <c r="F788" s="1191">
        <v>1</v>
      </c>
      <c r="G788" s="973"/>
      <c r="H788" s="975"/>
      <c r="I788" s="636"/>
      <c r="J788" s="636"/>
      <c r="K788" s="636" t="str">
        <f>IF( OR( ISBLANK(#REF!),ISBLANK(G788), ISBLANK(#REF!), ISBLANK(H788), ISBLANK(J788) ), "", 1.5*SQRT(   EXP(2.21*(#REF!-1)) + EXP(2.21*(G788-1)) + EXP(2.21*(#REF!-1)) + EXP(2.21*(H788-1)) + EXP(2.21*J788)   )/100 )</f>
        <v/>
      </c>
      <c r="L788" s="636" t="s">
        <v>249</v>
      </c>
      <c r="M788" s="636"/>
      <c r="N788" s="1283" t="str">
        <f>IF( OR( ISBLANK(H788),ISBLANK(J788), ISBLANK(K788), ISBLANK(L788), ISBLANK(M788) ), "", 1.5*SQRT(   EXP(2.21*(H788-1)) + EXP(2.21*(J788-1)) + EXP(2.21*(K788-1)) + EXP(2.21*(L788-1)) + EXP(2.21*M788)   )/100*2.45 )</f>
        <v/>
      </c>
      <c r="O788" s="1284" t="str">
        <f>IF( OR( ISBLANK(I788),ISBLANK(J788), ISBLANK(K788), ISBLANK(L788), ISBLANK(M788) ), "", 1.5*SQRT( EXP(2.21*(I788-1)) + EXP(2.21*(J788-1)) + EXP(2.21*(K788-1)) + EXP(2.21*(L788-1)) + EXP(2.21*M788)   )/100*2.45 )</f>
        <v/>
      </c>
      <c r="P788" s="973"/>
    </row>
    <row r="789" spans="1:868">
      <c r="A789" s="973" t="s">
        <v>223</v>
      </c>
      <c r="B789" s="974" t="s">
        <v>179</v>
      </c>
      <c r="C789" s="973" t="s">
        <v>180</v>
      </c>
      <c r="D789" s="974" t="s">
        <v>139</v>
      </c>
      <c r="E789" s="1198" t="s">
        <v>150</v>
      </c>
      <c r="F789" s="1191">
        <v>1</v>
      </c>
      <c r="G789" s="973"/>
      <c r="H789" s="975"/>
      <c r="I789" s="636"/>
      <c r="J789" s="636"/>
      <c r="K789" s="636" t="str">
        <f>IF( OR( ISBLANK(#REF!),ISBLANK(G789), ISBLANK(#REF!), ISBLANK(H789), ISBLANK(J789) ), "", 1.5*SQRT(   EXP(2.21*(#REF!-1)) + EXP(2.21*(G789-1)) + EXP(2.21*(#REF!-1)) + EXP(2.21*(H789-1)) + EXP(2.21*J789)   )/100 )</f>
        <v/>
      </c>
      <c r="L789" s="636" t="s">
        <v>249</v>
      </c>
      <c r="M789" s="636"/>
      <c r="N789" s="1283" t="str">
        <f>IF( OR( ISBLANK(H789),ISBLANK(J789), ISBLANK(K789), ISBLANK(L789), ISBLANK(M789) ), "", 1.5*SQRT(   EXP(2.21*(H789-1)) + EXP(2.21*(J789-1)) + EXP(2.21*(K789-1)) + EXP(2.21*(L789-1)) + EXP(2.21*M789)   )/100*2.45 )</f>
        <v/>
      </c>
      <c r="O789" s="1284" t="str">
        <f>IF( OR( ISBLANK(I789),ISBLANK(J789), ISBLANK(K789), ISBLANK(L789), ISBLANK(M789) ), "", 1.5*SQRT( EXP(2.21*(I789-1)) + EXP(2.21*(J789-1)) + EXP(2.21*(K789-1)) + EXP(2.21*(L789-1)) + EXP(2.21*M789)   )/100*2.45 )</f>
        <v/>
      </c>
      <c r="P789" s="973"/>
    </row>
    <row r="790" spans="1:868">
      <c r="A790" s="973" t="s">
        <v>223</v>
      </c>
      <c r="B790" s="974" t="s">
        <v>184</v>
      </c>
      <c r="C790" s="973" t="s">
        <v>182</v>
      </c>
      <c r="D790" s="974" t="s">
        <v>139</v>
      </c>
      <c r="E790" s="1198">
        <v>0</v>
      </c>
      <c r="F790" s="1191">
        <v>2</v>
      </c>
      <c r="G790" s="973" t="s">
        <v>313</v>
      </c>
      <c r="H790" s="975"/>
      <c r="I790" s="636"/>
      <c r="J790" s="636"/>
      <c r="K790" s="636"/>
      <c r="L790" s="636"/>
      <c r="M790" s="636"/>
      <c r="N790" s="1283" t="str">
        <f>IF( OR( ISBLANK(H790),ISBLANK(J790), ISBLANK(K790), ISBLANK(L790), ISBLANK(M790) ), "", 1.5*SQRT(   EXP(2.21*(H790-1)) + EXP(2.21*(J790-1)) + EXP(2.21*(K790-1)) + EXP(2.21*(L790-1)) + EXP(2.21*M790)   )/100*2.45 )</f>
        <v/>
      </c>
      <c r="O790" s="1284" t="str">
        <f>IF( OR( ISBLANK(I790),ISBLANK(J790), ISBLANK(K790), ISBLANK(L790), ISBLANK(M790) ), "", 1.5*SQRT( EXP(2.21*(I790-1)) + EXP(2.21*(J790-1)) + EXP(2.21*(K790-1)) + EXP(2.21*(L790-1)) + EXP(2.21*M790)   )/100*2.45 )</f>
        <v/>
      </c>
      <c r="P790" s="973"/>
    </row>
    <row r="791" spans="1:868">
      <c r="A791" s="973" t="s">
        <v>223</v>
      </c>
      <c r="B791" s="974" t="s">
        <v>184</v>
      </c>
      <c r="C791" s="973" t="s">
        <v>182</v>
      </c>
      <c r="D791" s="974" t="s">
        <v>139</v>
      </c>
      <c r="E791" s="1198">
        <v>1</v>
      </c>
      <c r="F791" s="1191">
        <v>2</v>
      </c>
      <c r="G791" s="973" t="s">
        <v>314</v>
      </c>
      <c r="H791" s="975"/>
      <c r="I791" s="636"/>
      <c r="J791" s="636"/>
      <c r="K791" s="636"/>
      <c r="L791" s="636"/>
      <c r="M791" s="636"/>
      <c r="N791" s="1283" t="str">
        <f>IF( OR( ISBLANK(H791),ISBLANK(J791), ISBLANK(K791), ISBLANK(L791), ISBLANK(M791) ), "", 1.5*SQRT(   EXP(2.21*(H791-1)) + EXP(2.21*(J791-1)) + EXP(2.21*(K791-1)) + EXP(2.21*(L791-1)) + EXP(2.21*M791)   )/100*2.45 )</f>
        <v/>
      </c>
      <c r="O791" s="1284" t="str">
        <f>IF( OR( ISBLANK(I791),ISBLANK(J791), ISBLANK(K791), ISBLANK(L791), ISBLANK(M791) ), "", 1.5*SQRT( EXP(2.21*(I791-1)) + EXP(2.21*(J791-1)) + EXP(2.21*(K791-1)) + EXP(2.21*(L791-1)) + EXP(2.21*M791)   )/100*2.45 )</f>
        <v/>
      </c>
      <c r="P791" s="973"/>
    </row>
    <row r="792" spans="1:868" s="210" customFormat="1" ht="15" thickBot="1">
      <c r="A792" s="973" t="s">
        <v>223</v>
      </c>
      <c r="B792" s="974" t="s">
        <v>184</v>
      </c>
      <c r="C792" s="973" t="s">
        <v>180</v>
      </c>
      <c r="D792" s="974" t="s">
        <v>139</v>
      </c>
      <c r="E792" s="1198">
        <v>0</v>
      </c>
      <c r="F792" s="1191">
        <v>2</v>
      </c>
      <c r="G792" s="973" t="s">
        <v>325</v>
      </c>
      <c r="H792" s="975"/>
      <c r="I792" s="636"/>
      <c r="J792" s="636"/>
      <c r="K792" s="636"/>
      <c r="L792" s="636"/>
      <c r="M792" s="636"/>
      <c r="N792" s="1283" t="str">
        <f>IF( OR( ISBLANK(H792),ISBLANK(J792), ISBLANK(K792), ISBLANK(L792), ISBLANK(M792) ), "", 1.5*SQRT(   EXP(2.21*(H792-1)) + EXP(2.21*(J792-1)) + EXP(2.21*(K792-1)) + EXP(2.21*(L792-1)) + EXP(2.21*M792)   )/100*2.45 )</f>
        <v/>
      </c>
      <c r="O792" s="1284" t="str">
        <f>IF( OR( ISBLANK(I792),ISBLANK(J792), ISBLANK(K792), ISBLANK(L792), ISBLANK(M792) ), "", 1.5*SQRT( EXP(2.21*(I792-1)) + EXP(2.21*(J792-1)) + EXP(2.21*(K792-1)) + EXP(2.21*(L792-1)) + EXP(2.21*M792)   )/100*2.45 )</f>
        <v/>
      </c>
      <c r="P792" s="973"/>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c r="AY792" s="16"/>
      <c r="AZ792" s="16"/>
      <c r="BA792" s="16"/>
      <c r="BB792" s="16"/>
      <c r="BC792" s="16"/>
      <c r="BD792" s="16"/>
      <c r="BE792" s="16"/>
      <c r="BF792" s="16"/>
      <c r="BG792" s="16"/>
      <c r="BH792" s="16"/>
      <c r="BI792" s="16"/>
      <c r="BJ792" s="16"/>
      <c r="BK792" s="16"/>
      <c r="BL792" s="16"/>
      <c r="BM792" s="16"/>
      <c r="BN792" s="16"/>
      <c r="BO792" s="16"/>
      <c r="BP792" s="16"/>
      <c r="BQ792" s="16"/>
      <c r="BR792" s="16"/>
      <c r="BS792" s="16"/>
      <c r="BT792" s="16"/>
      <c r="BU792" s="16"/>
      <c r="BV792" s="16"/>
      <c r="BW792" s="16"/>
      <c r="BX792" s="16"/>
      <c r="BY792" s="16"/>
      <c r="BZ792" s="16"/>
      <c r="CA792" s="16"/>
      <c r="CB792" s="16"/>
      <c r="CC792" s="16"/>
      <c r="CD792" s="16"/>
      <c r="CE792" s="16"/>
      <c r="CF792" s="16"/>
      <c r="CG792" s="16"/>
      <c r="CH792" s="16"/>
      <c r="CI792" s="16"/>
      <c r="CJ792" s="16"/>
      <c r="CK792" s="16"/>
      <c r="CL792" s="16"/>
      <c r="CM792" s="16"/>
      <c r="CN792" s="16"/>
      <c r="CO792" s="16"/>
      <c r="CP792" s="16"/>
      <c r="CQ792" s="16"/>
      <c r="CR792" s="16"/>
      <c r="CS792" s="16"/>
      <c r="CT792" s="16"/>
      <c r="CU792" s="16"/>
      <c r="CV792" s="16"/>
      <c r="CW792" s="16"/>
      <c r="CX792" s="16"/>
      <c r="CY792" s="16"/>
      <c r="CZ792" s="16"/>
      <c r="DA792" s="16"/>
      <c r="DB792" s="16"/>
      <c r="DC792" s="16"/>
      <c r="DD792" s="16"/>
      <c r="DE792" s="16"/>
      <c r="DF792" s="16"/>
      <c r="DG792" s="16"/>
      <c r="DH792" s="16"/>
      <c r="DI792" s="16"/>
      <c r="DJ792" s="16"/>
      <c r="DK792" s="16"/>
      <c r="DL792" s="16"/>
      <c r="DM792" s="16"/>
      <c r="DN792" s="16"/>
      <c r="DO792" s="16"/>
      <c r="DP792" s="16"/>
      <c r="DQ792" s="16"/>
      <c r="DR792" s="16"/>
      <c r="DS792" s="16"/>
      <c r="DT792" s="16"/>
      <c r="DU792" s="16"/>
      <c r="DV792" s="16"/>
      <c r="DW792" s="16"/>
      <c r="DX792" s="16"/>
      <c r="DY792" s="16"/>
      <c r="DZ792" s="16"/>
      <c r="EA792" s="16"/>
      <c r="EB792" s="16"/>
      <c r="EC792" s="16"/>
      <c r="ED792" s="16"/>
      <c r="EE792" s="16"/>
      <c r="EF792" s="16"/>
      <c r="EG792" s="16"/>
      <c r="EH792" s="16"/>
      <c r="EI792" s="16"/>
      <c r="EJ792" s="16"/>
      <c r="EK792" s="16"/>
      <c r="EL792" s="16"/>
      <c r="EM792" s="16"/>
      <c r="EN792" s="16"/>
      <c r="EO792" s="16"/>
      <c r="EP792" s="16"/>
      <c r="EQ792" s="16"/>
      <c r="ER792" s="16"/>
      <c r="ES792" s="16"/>
      <c r="ET792" s="16"/>
      <c r="EU792" s="16"/>
      <c r="EV792" s="16"/>
      <c r="EW792" s="16"/>
      <c r="EX792" s="16"/>
      <c r="EY792" s="16"/>
      <c r="EZ792" s="16"/>
      <c r="FA792" s="16"/>
      <c r="FB792" s="16"/>
      <c r="FC792" s="16"/>
      <c r="FD792" s="16"/>
      <c r="FE792" s="16"/>
      <c r="FF792" s="16"/>
      <c r="FG792" s="16"/>
      <c r="FH792" s="16"/>
      <c r="FI792" s="16"/>
      <c r="FJ792" s="16"/>
      <c r="FK792" s="16"/>
      <c r="FL792" s="16"/>
      <c r="FM792" s="16"/>
      <c r="FN792" s="16"/>
      <c r="FO792" s="16"/>
      <c r="FP792" s="16"/>
      <c r="FQ792" s="16"/>
      <c r="FR792" s="16"/>
      <c r="FS792" s="16"/>
      <c r="FT792" s="16"/>
      <c r="FU792" s="16"/>
      <c r="FV792" s="16"/>
      <c r="FW792" s="16"/>
      <c r="FX792" s="16"/>
      <c r="FY792" s="16"/>
      <c r="FZ792" s="16"/>
      <c r="GA792" s="16"/>
      <c r="GB792" s="16"/>
      <c r="GC792" s="16"/>
      <c r="GD792" s="16"/>
      <c r="GE792" s="16"/>
      <c r="GF792" s="16"/>
      <c r="GG792" s="16"/>
      <c r="GH792" s="16"/>
      <c r="GI792" s="16"/>
      <c r="GJ792" s="16"/>
      <c r="GK792" s="16"/>
      <c r="GL792" s="16"/>
      <c r="GM792" s="16"/>
      <c r="GN792" s="16"/>
      <c r="GO792" s="16"/>
      <c r="GP792" s="16"/>
      <c r="GQ792" s="16"/>
      <c r="GR792" s="16"/>
      <c r="GS792" s="16"/>
      <c r="GT792" s="16"/>
      <c r="GU792" s="16"/>
      <c r="GV792" s="16"/>
      <c r="GW792" s="16"/>
      <c r="GX792" s="16"/>
      <c r="GY792" s="16"/>
      <c r="GZ792" s="16"/>
      <c r="HA792" s="16"/>
      <c r="HB792" s="16"/>
      <c r="HC792" s="16"/>
      <c r="HD792" s="16"/>
      <c r="HE792" s="16"/>
      <c r="HF792" s="16"/>
      <c r="HG792" s="16"/>
      <c r="HH792" s="16"/>
      <c r="HI792" s="16"/>
      <c r="HJ792" s="16"/>
      <c r="HK792" s="16"/>
      <c r="HL792" s="16"/>
      <c r="HM792" s="16"/>
      <c r="HN792" s="16"/>
      <c r="HO792" s="16"/>
      <c r="HP792" s="16"/>
      <c r="HQ792" s="16"/>
      <c r="HR792" s="16"/>
      <c r="HS792" s="16"/>
      <c r="HT792" s="16"/>
      <c r="HU792" s="16"/>
      <c r="HV792" s="16"/>
      <c r="HW792" s="16"/>
      <c r="HX792" s="16"/>
      <c r="HY792" s="16"/>
      <c r="HZ792" s="16"/>
      <c r="IA792" s="16"/>
      <c r="IB792" s="16"/>
      <c r="IC792" s="16"/>
      <c r="ID792" s="16"/>
      <c r="IE792" s="16"/>
      <c r="IF792" s="16"/>
      <c r="IG792" s="16"/>
      <c r="IH792" s="16"/>
      <c r="II792" s="16"/>
      <c r="IJ792" s="16"/>
      <c r="IK792" s="16"/>
      <c r="IL792" s="16"/>
      <c r="IM792" s="16"/>
      <c r="IN792" s="16"/>
      <c r="IO792" s="16"/>
      <c r="IP792" s="16"/>
      <c r="IQ792" s="16"/>
      <c r="IR792" s="16"/>
      <c r="IS792" s="16"/>
      <c r="IT792" s="16"/>
      <c r="IU792" s="16"/>
      <c r="IV792" s="16"/>
      <c r="IW792" s="16"/>
      <c r="IX792" s="16"/>
      <c r="IY792" s="16"/>
      <c r="IZ792" s="16"/>
      <c r="JA792" s="16"/>
      <c r="JB792" s="16"/>
      <c r="JC792" s="16"/>
      <c r="JD792" s="16"/>
      <c r="JE792" s="16"/>
      <c r="JF792" s="16"/>
      <c r="JG792" s="16"/>
      <c r="JH792" s="16"/>
      <c r="JI792" s="16"/>
      <c r="JJ792" s="16"/>
      <c r="JK792" s="16"/>
      <c r="JL792" s="16"/>
      <c r="JM792" s="16"/>
      <c r="JN792" s="16"/>
      <c r="JO792" s="16"/>
      <c r="JP792" s="16"/>
      <c r="JQ792" s="16"/>
      <c r="JR792" s="16"/>
      <c r="JS792" s="16"/>
      <c r="JT792" s="16"/>
      <c r="JU792" s="16"/>
      <c r="JV792" s="16"/>
      <c r="JW792" s="16"/>
      <c r="JX792" s="16"/>
      <c r="JY792" s="16"/>
      <c r="JZ792" s="16"/>
      <c r="KA792" s="16"/>
      <c r="KB792" s="16"/>
      <c r="KC792" s="16"/>
      <c r="KD792" s="16"/>
      <c r="KE792" s="16"/>
      <c r="KF792" s="16"/>
      <c r="KG792" s="16"/>
      <c r="KH792" s="16"/>
      <c r="KI792" s="16"/>
      <c r="KJ792" s="16"/>
      <c r="KK792" s="16"/>
      <c r="KL792" s="16"/>
      <c r="KM792" s="16"/>
      <c r="KN792" s="16"/>
      <c r="KO792" s="16"/>
      <c r="KP792" s="16"/>
      <c r="KQ792" s="16"/>
      <c r="KR792" s="16"/>
      <c r="KS792" s="16"/>
      <c r="KT792" s="16"/>
      <c r="KU792" s="16"/>
      <c r="KV792" s="16"/>
      <c r="KW792" s="16"/>
      <c r="KX792" s="16"/>
      <c r="KY792" s="16"/>
      <c r="KZ792" s="16"/>
      <c r="LA792" s="16"/>
      <c r="LB792" s="16"/>
      <c r="LC792" s="16"/>
      <c r="LD792" s="16"/>
      <c r="LE792" s="16"/>
      <c r="LF792" s="16"/>
      <c r="LG792" s="16"/>
      <c r="LH792" s="16"/>
      <c r="LI792" s="16"/>
      <c r="LJ792" s="16"/>
      <c r="LK792" s="16"/>
      <c r="LL792" s="16"/>
      <c r="LM792" s="16"/>
      <c r="LN792" s="16"/>
      <c r="LO792" s="16"/>
      <c r="LP792" s="16"/>
      <c r="LQ792" s="16"/>
      <c r="LR792" s="16"/>
      <c r="LS792" s="16"/>
      <c r="LT792" s="16"/>
      <c r="LU792" s="16"/>
      <c r="LV792" s="16"/>
      <c r="LW792" s="16"/>
      <c r="LX792" s="16"/>
      <c r="LY792" s="16"/>
      <c r="LZ792" s="16"/>
      <c r="MA792" s="16"/>
      <c r="MB792" s="16"/>
      <c r="MC792" s="16"/>
      <c r="MD792" s="16"/>
      <c r="ME792" s="16"/>
      <c r="MF792" s="16"/>
      <c r="MG792" s="16"/>
      <c r="MH792" s="16"/>
      <c r="MI792" s="16"/>
      <c r="MJ792" s="16"/>
      <c r="MK792" s="16"/>
      <c r="ML792" s="16"/>
      <c r="MM792" s="16"/>
      <c r="MN792" s="16"/>
      <c r="MO792" s="16"/>
      <c r="MP792" s="16"/>
      <c r="MQ792" s="16"/>
      <c r="MR792" s="16"/>
      <c r="MS792" s="16"/>
      <c r="MT792" s="16"/>
      <c r="MU792" s="16"/>
      <c r="MV792" s="16"/>
      <c r="MW792" s="16"/>
      <c r="MX792" s="16"/>
      <c r="MY792" s="16"/>
      <c r="MZ792" s="16"/>
      <c r="NA792" s="16"/>
      <c r="NB792" s="16"/>
      <c r="NC792" s="16"/>
      <c r="ND792" s="16"/>
      <c r="NE792" s="16"/>
      <c r="NF792" s="16"/>
      <c r="NG792" s="16"/>
      <c r="NH792" s="16"/>
      <c r="NI792" s="16"/>
      <c r="NJ792" s="16"/>
      <c r="NK792" s="16"/>
      <c r="NL792" s="16"/>
      <c r="NM792" s="16"/>
      <c r="NN792" s="16"/>
      <c r="NO792" s="16"/>
      <c r="NP792" s="16"/>
      <c r="NQ792" s="16"/>
      <c r="NR792" s="16"/>
      <c r="NS792" s="16"/>
      <c r="NT792" s="16"/>
      <c r="NU792" s="16"/>
      <c r="NV792" s="16"/>
      <c r="NW792" s="16"/>
      <c r="NX792" s="16"/>
      <c r="NY792" s="16"/>
      <c r="NZ792" s="16"/>
      <c r="OA792" s="16"/>
      <c r="OB792" s="16"/>
      <c r="OC792" s="16"/>
      <c r="OD792" s="16"/>
      <c r="OE792" s="16"/>
      <c r="OF792" s="16"/>
      <c r="OG792" s="16"/>
      <c r="OH792" s="16"/>
      <c r="OI792" s="16"/>
      <c r="OJ792" s="16"/>
      <c r="OK792" s="16"/>
      <c r="OL792" s="16"/>
      <c r="OM792" s="16"/>
      <c r="ON792" s="16"/>
      <c r="OO792" s="16"/>
      <c r="OP792" s="16"/>
      <c r="OQ792" s="16"/>
      <c r="OR792" s="16"/>
      <c r="OS792" s="16"/>
      <c r="OT792" s="16"/>
      <c r="OU792" s="16"/>
      <c r="OV792" s="16"/>
      <c r="OW792" s="16"/>
      <c r="OX792" s="16"/>
      <c r="OY792" s="16"/>
      <c r="OZ792" s="16"/>
      <c r="PA792" s="16"/>
      <c r="PB792" s="16"/>
      <c r="PC792" s="16"/>
      <c r="PD792" s="16"/>
      <c r="PE792" s="16"/>
      <c r="PF792" s="16"/>
      <c r="PG792" s="16"/>
      <c r="PH792" s="16"/>
      <c r="PI792" s="16"/>
      <c r="PJ792" s="16"/>
      <c r="PK792" s="16"/>
      <c r="PL792" s="16"/>
      <c r="PM792" s="16"/>
      <c r="PN792" s="16"/>
      <c r="PO792" s="16"/>
      <c r="PP792" s="16"/>
      <c r="PQ792" s="16"/>
      <c r="PR792" s="16"/>
      <c r="PS792" s="16"/>
      <c r="PT792" s="16"/>
      <c r="PU792" s="16"/>
      <c r="PV792" s="16"/>
      <c r="PW792" s="16"/>
      <c r="PX792" s="16"/>
      <c r="PY792" s="16"/>
      <c r="PZ792" s="16"/>
      <c r="QA792" s="16"/>
      <c r="QB792" s="16"/>
      <c r="QC792" s="16"/>
      <c r="QD792" s="16"/>
      <c r="QE792" s="16"/>
      <c r="QF792" s="16"/>
      <c r="QG792" s="16"/>
      <c r="QH792" s="16"/>
      <c r="QI792" s="16"/>
      <c r="QJ792" s="16"/>
      <c r="QK792" s="16"/>
      <c r="QL792" s="16"/>
      <c r="QM792" s="16"/>
      <c r="QN792" s="16"/>
      <c r="QO792" s="16"/>
      <c r="QP792" s="16"/>
      <c r="QQ792" s="16"/>
      <c r="QR792" s="16"/>
      <c r="QS792" s="16"/>
      <c r="QT792" s="16"/>
      <c r="QU792" s="16"/>
      <c r="QV792" s="16"/>
      <c r="QW792" s="16"/>
      <c r="QX792" s="16"/>
      <c r="QY792" s="16"/>
      <c r="QZ792" s="16"/>
      <c r="RA792" s="16"/>
      <c r="RB792" s="16"/>
      <c r="RC792" s="16"/>
      <c r="RD792" s="16"/>
      <c r="RE792" s="16"/>
      <c r="RF792" s="16"/>
      <c r="RG792" s="16"/>
      <c r="RH792" s="16"/>
      <c r="RI792" s="16"/>
      <c r="RJ792" s="16"/>
      <c r="RK792" s="16"/>
      <c r="RL792" s="16"/>
      <c r="RM792" s="16"/>
      <c r="RN792" s="16"/>
      <c r="RO792" s="16"/>
      <c r="RP792" s="16"/>
      <c r="RQ792" s="16"/>
      <c r="RR792" s="16"/>
      <c r="RS792" s="16"/>
      <c r="RT792" s="16"/>
      <c r="RU792" s="16"/>
      <c r="RV792" s="16"/>
      <c r="RW792" s="16"/>
      <c r="RX792" s="16"/>
      <c r="RY792" s="16"/>
      <c r="RZ792" s="16"/>
      <c r="SA792" s="16"/>
      <c r="SB792" s="16"/>
      <c r="SC792" s="16"/>
      <c r="SD792" s="16"/>
      <c r="SE792" s="16"/>
      <c r="SF792" s="16"/>
      <c r="SG792" s="16"/>
      <c r="SH792" s="16"/>
      <c r="SI792" s="16"/>
      <c r="SJ792" s="16"/>
      <c r="SK792" s="16"/>
      <c r="SL792" s="16"/>
      <c r="SM792" s="16"/>
      <c r="SN792" s="16"/>
      <c r="SO792" s="16"/>
      <c r="SP792" s="16"/>
      <c r="SQ792" s="16"/>
      <c r="SR792" s="16"/>
      <c r="SS792" s="16"/>
      <c r="ST792" s="16"/>
      <c r="SU792" s="16"/>
      <c r="SV792" s="16"/>
      <c r="SW792" s="16"/>
      <c r="SX792" s="16"/>
      <c r="SY792" s="16"/>
      <c r="SZ792" s="16"/>
      <c r="TA792" s="16"/>
      <c r="TB792" s="16"/>
      <c r="TC792" s="16"/>
      <c r="TD792" s="16"/>
      <c r="TE792" s="16"/>
      <c r="TF792" s="16"/>
      <c r="TG792" s="16"/>
      <c r="TH792" s="16"/>
      <c r="TI792" s="16"/>
      <c r="TJ792" s="16"/>
      <c r="TK792" s="16"/>
      <c r="TL792" s="16"/>
      <c r="TM792" s="16"/>
      <c r="TN792" s="16"/>
      <c r="TO792" s="16"/>
      <c r="TP792" s="16"/>
      <c r="TQ792" s="16"/>
      <c r="TR792" s="16"/>
      <c r="TS792" s="16"/>
      <c r="TT792" s="16"/>
      <c r="TU792" s="16"/>
      <c r="TV792" s="16"/>
      <c r="TW792" s="16"/>
      <c r="TX792" s="16"/>
      <c r="TY792" s="16"/>
      <c r="TZ792" s="16"/>
      <c r="UA792" s="16"/>
      <c r="UB792" s="16"/>
      <c r="UC792" s="16"/>
      <c r="UD792" s="16"/>
      <c r="UE792" s="16"/>
      <c r="UF792" s="16"/>
      <c r="UG792" s="16"/>
      <c r="UH792" s="16"/>
      <c r="UI792" s="16"/>
      <c r="UJ792" s="16"/>
      <c r="UK792" s="16"/>
      <c r="UL792" s="16"/>
      <c r="UM792" s="16"/>
      <c r="UN792" s="16"/>
      <c r="UO792" s="16"/>
      <c r="UP792" s="16"/>
      <c r="UQ792" s="16"/>
      <c r="UR792" s="16"/>
      <c r="US792" s="16"/>
      <c r="UT792" s="16"/>
      <c r="UU792" s="16"/>
      <c r="UV792" s="16"/>
      <c r="UW792" s="16"/>
      <c r="UX792" s="16"/>
      <c r="UY792" s="16"/>
      <c r="UZ792" s="16"/>
      <c r="VA792" s="16"/>
      <c r="VB792" s="16"/>
      <c r="VC792" s="16"/>
      <c r="VD792" s="16"/>
      <c r="VE792" s="16"/>
      <c r="VF792" s="16"/>
      <c r="VG792" s="16"/>
      <c r="VH792" s="16"/>
      <c r="VI792" s="16"/>
      <c r="VJ792" s="16"/>
      <c r="VK792" s="16"/>
      <c r="VL792" s="16"/>
      <c r="VM792" s="16"/>
      <c r="VN792" s="16"/>
      <c r="VO792" s="16"/>
      <c r="VP792" s="16"/>
      <c r="VQ792" s="16"/>
      <c r="VR792" s="16"/>
      <c r="VS792" s="16"/>
      <c r="VT792" s="16"/>
      <c r="VU792" s="16"/>
      <c r="VV792" s="16"/>
      <c r="VW792" s="16"/>
      <c r="VX792" s="16"/>
      <c r="VY792" s="16"/>
      <c r="VZ792" s="16"/>
      <c r="WA792" s="16"/>
      <c r="WB792" s="16"/>
      <c r="WC792" s="16"/>
      <c r="WD792" s="16"/>
      <c r="WE792" s="16"/>
      <c r="WF792" s="16"/>
      <c r="WG792" s="16"/>
      <c r="WH792" s="16"/>
      <c r="WI792" s="16"/>
      <c r="WJ792" s="16"/>
      <c r="WK792" s="16"/>
      <c r="WL792" s="16"/>
      <c r="WM792" s="16"/>
      <c r="WN792" s="16"/>
      <c r="WO792" s="16"/>
      <c r="WP792" s="16"/>
      <c r="WQ792" s="16"/>
      <c r="WR792" s="16"/>
      <c r="WS792" s="16"/>
      <c r="WT792" s="16"/>
      <c r="WU792" s="16"/>
      <c r="WV792" s="16"/>
      <c r="WW792" s="16"/>
      <c r="WX792" s="16"/>
      <c r="WY792" s="16"/>
      <c r="WZ792" s="16"/>
      <c r="XA792" s="16"/>
      <c r="XB792" s="16"/>
      <c r="XC792" s="16"/>
      <c r="XD792" s="16"/>
      <c r="XE792" s="16"/>
      <c r="XF792" s="16"/>
      <c r="XG792" s="16"/>
      <c r="XH792" s="16"/>
      <c r="XI792" s="16"/>
      <c r="XJ792" s="16"/>
      <c r="XK792" s="16"/>
      <c r="XL792" s="16"/>
      <c r="XM792" s="16"/>
      <c r="XN792" s="16"/>
      <c r="XO792" s="16"/>
      <c r="XP792" s="16"/>
      <c r="XQ792" s="16"/>
      <c r="XR792" s="16"/>
      <c r="XS792" s="16"/>
      <c r="XT792" s="16"/>
      <c r="XU792" s="16"/>
      <c r="XV792" s="16"/>
      <c r="XW792" s="16"/>
      <c r="XX792" s="16"/>
      <c r="XY792" s="16"/>
      <c r="XZ792" s="16"/>
      <c r="YA792" s="16"/>
      <c r="YB792" s="16"/>
      <c r="YC792" s="16"/>
      <c r="YD792" s="16"/>
      <c r="YE792" s="16"/>
      <c r="YF792" s="16"/>
      <c r="YG792" s="16"/>
      <c r="YH792" s="16"/>
      <c r="YI792" s="16"/>
      <c r="YJ792" s="16"/>
      <c r="YK792" s="16"/>
      <c r="YL792" s="16"/>
      <c r="YM792" s="16"/>
      <c r="YN792" s="16"/>
      <c r="YO792" s="16"/>
      <c r="YP792" s="16"/>
      <c r="YQ792" s="16"/>
      <c r="YR792" s="16"/>
      <c r="YS792" s="16"/>
      <c r="YT792" s="16"/>
      <c r="YU792" s="16"/>
      <c r="YV792" s="16"/>
      <c r="YW792" s="16"/>
      <c r="YX792" s="16"/>
      <c r="YY792" s="16"/>
      <c r="YZ792" s="16"/>
      <c r="ZA792" s="16"/>
      <c r="ZB792" s="16"/>
      <c r="ZC792" s="16"/>
      <c r="ZD792" s="16"/>
      <c r="ZE792" s="16"/>
      <c r="ZF792" s="16"/>
      <c r="ZG792" s="16"/>
      <c r="ZH792" s="16"/>
      <c r="ZI792" s="16"/>
      <c r="ZJ792" s="16"/>
      <c r="ZK792" s="16"/>
      <c r="ZL792" s="16"/>
      <c r="ZM792" s="16"/>
      <c r="ZN792" s="16"/>
      <c r="ZO792" s="16"/>
      <c r="ZP792" s="16"/>
      <c r="ZQ792" s="16"/>
      <c r="ZR792" s="16"/>
      <c r="ZS792" s="16"/>
      <c r="ZT792" s="16"/>
      <c r="ZU792" s="16"/>
      <c r="ZV792" s="16"/>
      <c r="ZW792" s="16"/>
      <c r="ZX792" s="16"/>
      <c r="ZY792" s="16"/>
      <c r="ZZ792" s="16"/>
      <c r="AAA792" s="16"/>
      <c r="AAB792" s="16"/>
      <c r="AAC792" s="16"/>
      <c r="AAD792" s="16"/>
      <c r="AAE792" s="16"/>
      <c r="AAF792" s="16"/>
      <c r="AAG792" s="16"/>
      <c r="AAH792" s="16"/>
      <c r="AAI792" s="16"/>
      <c r="AAJ792" s="16"/>
      <c r="AAK792" s="16"/>
      <c r="AAL792" s="16"/>
      <c r="AAM792" s="16"/>
      <c r="AAN792" s="16"/>
      <c r="AAO792" s="16"/>
      <c r="AAP792" s="16"/>
      <c r="AAQ792" s="16"/>
      <c r="AAR792" s="16"/>
      <c r="AAS792" s="16"/>
      <c r="AAT792" s="16"/>
      <c r="AAU792" s="16"/>
      <c r="AAV792" s="16"/>
      <c r="AAW792" s="16"/>
      <c r="AAX792" s="16"/>
      <c r="AAY792" s="16"/>
      <c r="AAZ792" s="16"/>
      <c r="ABA792" s="16"/>
      <c r="ABB792" s="16"/>
      <c r="ABC792" s="16"/>
      <c r="ABD792" s="16"/>
      <c r="ABE792" s="16"/>
      <c r="ABF792" s="16"/>
      <c r="ABG792" s="16"/>
      <c r="ABH792" s="16"/>
      <c r="ABI792" s="16"/>
      <c r="ABJ792" s="16"/>
      <c r="ABK792" s="16"/>
      <c r="ABL792" s="16"/>
      <c r="ABM792" s="16"/>
      <c r="ABN792" s="16"/>
      <c r="ABO792" s="16"/>
      <c r="ABP792" s="16"/>
      <c r="ABQ792" s="16"/>
      <c r="ABR792" s="16"/>
      <c r="ABS792" s="16"/>
      <c r="ABT792" s="16"/>
      <c r="ABU792" s="16"/>
      <c r="ABV792" s="16"/>
      <c r="ABW792" s="16"/>
      <c r="ABX792" s="16"/>
      <c r="ABY792" s="16"/>
      <c r="ABZ792" s="16"/>
      <c r="ACA792" s="16"/>
      <c r="ACB792" s="16"/>
      <c r="ACC792" s="16"/>
      <c r="ACD792" s="16"/>
      <c r="ACE792" s="16"/>
      <c r="ACF792" s="16"/>
      <c r="ACG792" s="16"/>
      <c r="ACH792" s="16"/>
      <c r="ACI792" s="16"/>
      <c r="ACJ792" s="16"/>
      <c r="ACK792" s="16"/>
      <c r="ACL792" s="16"/>
      <c r="ACM792" s="16"/>
      <c r="ACN792" s="16"/>
      <c r="ACO792" s="16"/>
      <c r="ACP792" s="16"/>
      <c r="ACQ792" s="16"/>
      <c r="ACR792" s="16"/>
      <c r="ACS792" s="16"/>
      <c r="ACT792" s="16"/>
      <c r="ACU792" s="16"/>
      <c r="ACV792" s="16"/>
      <c r="ACW792" s="16"/>
      <c r="ACX792" s="16"/>
      <c r="ACY792" s="16"/>
      <c r="ACZ792" s="16"/>
      <c r="ADA792" s="16"/>
      <c r="ADB792" s="16"/>
      <c r="ADC792" s="16"/>
      <c r="ADD792" s="16"/>
      <c r="ADE792" s="16"/>
      <c r="ADF792" s="16"/>
      <c r="ADG792" s="16"/>
      <c r="ADH792" s="16"/>
      <c r="ADI792" s="16"/>
      <c r="ADJ792" s="16"/>
      <c r="ADK792" s="16"/>
      <c r="ADL792" s="16"/>
      <c r="ADM792" s="16"/>
      <c r="ADN792" s="16"/>
      <c r="ADO792" s="16"/>
      <c r="ADP792" s="16"/>
      <c r="ADQ792" s="16"/>
      <c r="ADR792" s="16"/>
      <c r="ADS792" s="16"/>
      <c r="ADT792" s="16"/>
      <c r="ADU792" s="16"/>
      <c r="ADV792" s="16"/>
      <c r="ADW792" s="16"/>
      <c r="ADX792" s="16"/>
      <c r="ADY792" s="16"/>
      <c r="ADZ792" s="16"/>
      <c r="AEA792" s="16"/>
      <c r="AEB792" s="16"/>
      <c r="AEC792" s="16"/>
      <c r="AED792" s="16"/>
      <c r="AEE792" s="16"/>
      <c r="AEF792" s="16"/>
      <c r="AEG792" s="16"/>
      <c r="AEH792" s="16"/>
      <c r="AEI792" s="16"/>
      <c r="AEJ792" s="16"/>
      <c r="AEK792" s="16"/>
      <c r="AEL792" s="16"/>
      <c r="AEM792" s="16"/>
      <c r="AEN792" s="16"/>
      <c r="AEO792" s="16"/>
      <c r="AEP792" s="16"/>
      <c r="AEQ792" s="16"/>
      <c r="AER792" s="16"/>
      <c r="AES792" s="16"/>
      <c r="AET792" s="16"/>
      <c r="AEU792" s="16"/>
      <c r="AEV792" s="16"/>
      <c r="AEW792" s="16"/>
      <c r="AEX792" s="16"/>
      <c r="AEY792" s="16"/>
      <c r="AEZ792" s="16"/>
      <c r="AFA792" s="16"/>
      <c r="AFB792" s="16"/>
      <c r="AFC792" s="16"/>
      <c r="AFD792" s="16"/>
      <c r="AFE792" s="16"/>
      <c r="AFF792" s="16"/>
      <c r="AFG792" s="16"/>
      <c r="AFH792" s="16"/>
      <c r="AFI792" s="16"/>
      <c r="AFJ792" s="16"/>
      <c r="AFK792" s="16"/>
      <c r="AFL792" s="16"/>
      <c r="AFM792" s="16"/>
      <c r="AFN792" s="16"/>
      <c r="AFO792" s="16"/>
      <c r="AFP792" s="16"/>
      <c r="AFQ792" s="16"/>
      <c r="AFR792" s="16"/>
      <c r="AFS792" s="16"/>
      <c r="AFT792" s="16"/>
      <c r="AFU792" s="16"/>
      <c r="AFV792" s="16"/>
      <c r="AFW792" s="16"/>
      <c r="AFX792" s="16"/>
      <c r="AFY792" s="16"/>
      <c r="AFZ792" s="16"/>
      <c r="AGA792" s="16"/>
      <c r="AGB792" s="16"/>
      <c r="AGC792" s="16"/>
      <c r="AGD792" s="16"/>
      <c r="AGE792" s="16"/>
      <c r="AGF792" s="16"/>
      <c r="AGG792" s="16"/>
      <c r="AGH792" s="16"/>
      <c r="AGI792" s="16"/>
      <c r="AGJ792" s="16"/>
    </row>
    <row r="793" spans="1:868" s="820" customFormat="1">
      <c r="A793" s="34" t="s">
        <v>223</v>
      </c>
      <c r="B793" s="40" t="s">
        <v>176</v>
      </c>
      <c r="C793" s="34" t="s">
        <v>139</v>
      </c>
      <c r="D793" s="40" t="s">
        <v>139</v>
      </c>
      <c r="E793" s="237">
        <v>1E-4</v>
      </c>
      <c r="F793" s="168">
        <v>3</v>
      </c>
      <c r="G793" s="34" t="s">
        <v>326</v>
      </c>
      <c r="H793" s="29">
        <v>2</v>
      </c>
      <c r="I793" s="9">
        <v>2</v>
      </c>
      <c r="J793" s="9">
        <v>1</v>
      </c>
      <c r="K793" s="9">
        <v>1</v>
      </c>
      <c r="L793" s="9">
        <v>1</v>
      </c>
      <c r="M793" s="9">
        <v>3</v>
      </c>
      <c r="N793" s="185">
        <f>IF( OR( ISBLANK(H793),ISBLANK(J793), ISBLANK(K793), ISBLANK(L793), ISBLANK(M793) ), "", 1.5*SQRT(   EXP(2.21*(H793-1)) + EXP(2.21*(J793-1)) + EXP(2.21*(K793-1)) + EXP(2.21*(L793-1)) + EXP(2.21*M793)   )/100*2.45 )</f>
        <v>1.0195048044558224</v>
      </c>
      <c r="O793" s="159">
        <f>IF( OR( ISBLANK(I793),ISBLANK(J793), ISBLANK(K793), ISBLANK(L793), ISBLANK(M793) ), "", 1.5*SQRT( EXP(2.21*(I793-1)) + EXP(2.21*(J793-1)) + EXP(2.21*(K793-1)) + EXP(2.21*(L793-1)) + EXP(2.21*M793)   )/100*2.45 )</f>
        <v>1.0195048044558224</v>
      </c>
      <c r="P793" s="34"/>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c r="AY793" s="16"/>
      <c r="AZ793" s="16"/>
      <c r="BA793" s="16"/>
      <c r="BB793" s="16"/>
      <c r="BC793" s="16"/>
      <c r="BD793" s="16"/>
      <c r="BE793" s="16"/>
      <c r="BF793" s="16"/>
      <c r="BG793" s="16"/>
      <c r="BH793" s="16"/>
      <c r="BI793" s="16"/>
      <c r="BJ793" s="16"/>
      <c r="BK793" s="16"/>
      <c r="BL793" s="16"/>
      <c r="BM793" s="16"/>
      <c r="BN793" s="16"/>
      <c r="BO793" s="16"/>
      <c r="BP793" s="16"/>
      <c r="BQ793" s="16"/>
      <c r="BR793" s="16"/>
      <c r="BS793" s="16"/>
      <c r="BT793" s="16"/>
      <c r="BU793" s="16"/>
      <c r="BV793" s="16"/>
      <c r="BW793" s="16"/>
      <c r="BX793" s="16"/>
      <c r="BY793" s="16"/>
      <c r="BZ793" s="16"/>
      <c r="CA793" s="16"/>
      <c r="CB793" s="16"/>
      <c r="CC793" s="16"/>
      <c r="CD793" s="16"/>
      <c r="CE793" s="16"/>
      <c r="CF793" s="16"/>
      <c r="CG793" s="16"/>
      <c r="CH793" s="16"/>
      <c r="CI793" s="16"/>
      <c r="CJ793" s="16"/>
      <c r="CK793" s="16"/>
      <c r="CL793" s="16"/>
      <c r="CM793" s="16"/>
      <c r="CN793" s="16"/>
      <c r="CO793" s="16"/>
      <c r="CP793" s="16"/>
      <c r="CQ793" s="16"/>
      <c r="CR793" s="16"/>
      <c r="CS793" s="16"/>
      <c r="CT793" s="16"/>
      <c r="CU793" s="16"/>
      <c r="CV793" s="16"/>
      <c r="CW793" s="16"/>
      <c r="CX793" s="16"/>
      <c r="CY793" s="16"/>
      <c r="CZ793" s="16"/>
      <c r="DA793" s="16"/>
      <c r="DB793" s="16"/>
      <c r="DC793" s="16"/>
      <c r="DD793" s="16"/>
      <c r="DE793" s="16"/>
      <c r="DF793" s="16"/>
      <c r="DG793" s="16"/>
      <c r="DH793" s="16"/>
      <c r="DI793" s="16"/>
      <c r="DJ793" s="16"/>
      <c r="DK793" s="16"/>
      <c r="DL793" s="16"/>
      <c r="DM793" s="16"/>
      <c r="DN793" s="16"/>
      <c r="DO793" s="16"/>
      <c r="DP793" s="16"/>
      <c r="DQ793" s="16"/>
      <c r="DR793" s="16"/>
      <c r="DS793" s="16"/>
      <c r="DT793" s="16"/>
      <c r="DU793" s="16"/>
      <c r="DV793" s="16"/>
      <c r="DW793" s="16"/>
      <c r="DX793" s="16"/>
      <c r="DY793" s="16"/>
      <c r="DZ793" s="16"/>
      <c r="EA793" s="16"/>
      <c r="EB793" s="16"/>
      <c r="EC793" s="16"/>
      <c r="ED793" s="16"/>
      <c r="EE793" s="16"/>
      <c r="EF793" s="16"/>
      <c r="EG793" s="16"/>
      <c r="EH793" s="16"/>
      <c r="EI793" s="16"/>
      <c r="EJ793" s="16"/>
      <c r="EK793" s="16"/>
      <c r="EL793" s="16"/>
      <c r="EM793" s="16"/>
      <c r="EN793" s="16"/>
      <c r="EO793" s="16"/>
      <c r="EP793" s="16"/>
      <c r="EQ793" s="16"/>
      <c r="ER793" s="16"/>
      <c r="ES793" s="16"/>
      <c r="ET793" s="16"/>
      <c r="EU793" s="16"/>
      <c r="EV793" s="16"/>
      <c r="EW793" s="16"/>
      <c r="EX793" s="16"/>
      <c r="EY793" s="16"/>
      <c r="EZ793" s="16"/>
      <c r="FA793" s="16"/>
      <c r="FB793" s="16"/>
      <c r="FC793" s="16"/>
      <c r="FD793" s="16"/>
      <c r="FE793" s="16"/>
      <c r="FF793" s="16"/>
      <c r="FG793" s="16"/>
      <c r="FH793" s="16"/>
      <c r="FI793" s="16"/>
      <c r="FJ793" s="16"/>
      <c r="FK793" s="16"/>
      <c r="FL793" s="16"/>
      <c r="FM793" s="16"/>
      <c r="FN793" s="16"/>
      <c r="FO793" s="16"/>
      <c r="FP793" s="16"/>
      <c r="FQ793" s="16"/>
      <c r="FR793" s="16"/>
      <c r="FS793" s="16"/>
      <c r="FT793" s="16"/>
      <c r="FU793" s="16"/>
      <c r="FV793" s="16"/>
      <c r="FW793" s="16"/>
      <c r="FX793" s="16"/>
      <c r="FY793" s="16"/>
      <c r="FZ793" s="16"/>
      <c r="GA793" s="16"/>
      <c r="GB793" s="16"/>
      <c r="GC793" s="16"/>
      <c r="GD793" s="16"/>
      <c r="GE793" s="16"/>
      <c r="GF793" s="16"/>
      <c r="GG793" s="16"/>
      <c r="GH793" s="16"/>
      <c r="GI793" s="16"/>
      <c r="GJ793" s="16"/>
      <c r="GK793" s="16"/>
      <c r="GL793" s="16"/>
      <c r="GM793" s="16"/>
      <c r="GN793" s="16"/>
      <c r="GO793" s="16"/>
      <c r="GP793" s="16"/>
      <c r="GQ793" s="16"/>
      <c r="GR793" s="16"/>
      <c r="GS793" s="16"/>
      <c r="GT793" s="16"/>
      <c r="GU793" s="16"/>
      <c r="GV793" s="16"/>
      <c r="GW793" s="16"/>
      <c r="GX793" s="16"/>
      <c r="GY793" s="16"/>
      <c r="GZ793" s="16"/>
      <c r="HA793" s="16"/>
      <c r="HB793" s="16"/>
      <c r="HC793" s="16"/>
      <c r="HD793" s="16"/>
      <c r="HE793" s="16"/>
      <c r="HF793" s="16"/>
      <c r="HG793" s="16"/>
      <c r="HH793" s="16"/>
      <c r="HI793" s="16"/>
      <c r="HJ793" s="16"/>
      <c r="HK793" s="16"/>
      <c r="HL793" s="16"/>
      <c r="HM793" s="16"/>
      <c r="HN793" s="16"/>
      <c r="HO793" s="16"/>
      <c r="HP793" s="16"/>
      <c r="HQ793" s="16"/>
      <c r="HR793" s="16"/>
      <c r="HS793" s="16"/>
      <c r="HT793" s="16"/>
      <c r="HU793" s="16"/>
      <c r="HV793" s="16"/>
      <c r="HW793" s="16"/>
      <c r="HX793" s="16"/>
      <c r="HY793" s="16"/>
      <c r="HZ793" s="16"/>
      <c r="IA793" s="16"/>
      <c r="IB793" s="16"/>
      <c r="IC793" s="16"/>
      <c r="ID793" s="16"/>
      <c r="IE793" s="16"/>
      <c r="IF793" s="16"/>
      <c r="IG793" s="16"/>
      <c r="IH793" s="16"/>
      <c r="II793" s="16"/>
      <c r="IJ793" s="16"/>
      <c r="IK793" s="16"/>
      <c r="IL793" s="16"/>
      <c r="IM793" s="16"/>
      <c r="IN793" s="16"/>
      <c r="IO793" s="16"/>
      <c r="IP793" s="16"/>
      <c r="IQ793" s="16"/>
      <c r="IR793" s="16"/>
      <c r="IS793" s="16"/>
      <c r="IT793" s="16"/>
      <c r="IU793" s="16"/>
      <c r="IV793" s="16"/>
      <c r="IW793" s="16"/>
      <c r="IX793" s="16"/>
      <c r="IY793" s="16"/>
      <c r="IZ793" s="16"/>
      <c r="JA793" s="16"/>
      <c r="JB793" s="16"/>
      <c r="JC793" s="16"/>
      <c r="JD793" s="16"/>
      <c r="JE793" s="16"/>
      <c r="JF793" s="16"/>
      <c r="JG793" s="16"/>
      <c r="JH793" s="16"/>
      <c r="JI793" s="16"/>
      <c r="JJ793" s="16"/>
      <c r="JK793" s="16"/>
      <c r="JL793" s="16"/>
      <c r="JM793" s="16"/>
      <c r="JN793" s="16"/>
      <c r="JO793" s="16"/>
      <c r="JP793" s="16"/>
      <c r="JQ793" s="16"/>
      <c r="JR793" s="16"/>
      <c r="JS793" s="16"/>
      <c r="JT793" s="16"/>
      <c r="JU793" s="16"/>
      <c r="JV793" s="16"/>
      <c r="JW793" s="16"/>
      <c r="JX793" s="16"/>
      <c r="JY793" s="16"/>
      <c r="JZ793" s="16"/>
      <c r="KA793" s="16"/>
      <c r="KB793" s="16"/>
      <c r="KC793" s="16"/>
      <c r="KD793" s="16"/>
      <c r="KE793" s="16"/>
      <c r="KF793" s="16"/>
      <c r="KG793" s="16"/>
      <c r="KH793" s="16"/>
      <c r="KI793" s="16"/>
      <c r="KJ793" s="16"/>
      <c r="KK793" s="16"/>
      <c r="KL793" s="16"/>
      <c r="KM793" s="16"/>
      <c r="KN793" s="16"/>
      <c r="KO793" s="16"/>
      <c r="KP793" s="16"/>
      <c r="KQ793" s="16"/>
      <c r="KR793" s="16"/>
      <c r="KS793" s="16"/>
      <c r="KT793" s="16"/>
      <c r="KU793" s="16"/>
      <c r="KV793" s="16"/>
      <c r="KW793" s="16"/>
      <c r="KX793" s="16"/>
      <c r="KY793" s="16"/>
      <c r="KZ793" s="16"/>
      <c r="LA793" s="16"/>
      <c r="LB793" s="16"/>
      <c r="LC793" s="16"/>
      <c r="LD793" s="16"/>
      <c r="LE793" s="16"/>
      <c r="LF793" s="16"/>
      <c r="LG793" s="16"/>
      <c r="LH793" s="16"/>
      <c r="LI793" s="16"/>
      <c r="LJ793" s="16"/>
      <c r="LK793" s="16"/>
      <c r="LL793" s="16"/>
      <c r="LM793" s="16"/>
      <c r="LN793" s="16"/>
      <c r="LO793" s="16"/>
      <c r="LP793" s="16"/>
      <c r="LQ793" s="16"/>
      <c r="LR793" s="16"/>
      <c r="LS793" s="16"/>
      <c r="LT793" s="16"/>
      <c r="LU793" s="16"/>
      <c r="LV793" s="16"/>
      <c r="LW793" s="16"/>
      <c r="LX793" s="16"/>
      <c r="LY793" s="16"/>
      <c r="LZ793" s="16"/>
      <c r="MA793" s="16"/>
      <c r="MB793" s="16"/>
      <c r="MC793" s="16"/>
      <c r="MD793" s="16"/>
      <c r="ME793" s="16"/>
      <c r="MF793" s="16"/>
      <c r="MG793" s="16"/>
      <c r="MH793" s="16"/>
      <c r="MI793" s="16"/>
      <c r="MJ793" s="16"/>
      <c r="MK793" s="16"/>
      <c r="ML793" s="16"/>
      <c r="MM793" s="16"/>
      <c r="MN793" s="16"/>
      <c r="MO793" s="16"/>
      <c r="MP793" s="16"/>
      <c r="MQ793" s="16"/>
      <c r="MR793" s="16"/>
      <c r="MS793" s="16"/>
      <c r="MT793" s="16"/>
      <c r="MU793" s="16"/>
      <c r="MV793" s="16"/>
      <c r="MW793" s="16"/>
      <c r="MX793" s="16"/>
      <c r="MY793" s="16"/>
      <c r="MZ793" s="16"/>
      <c r="NA793" s="16"/>
      <c r="NB793" s="16"/>
      <c r="NC793" s="16"/>
      <c r="ND793" s="16"/>
      <c r="NE793" s="16"/>
      <c r="NF793" s="16"/>
      <c r="NG793" s="16"/>
      <c r="NH793" s="16"/>
      <c r="NI793" s="16"/>
      <c r="NJ793" s="16"/>
      <c r="NK793" s="16"/>
      <c r="NL793" s="16"/>
      <c r="NM793" s="16"/>
      <c r="NN793" s="16"/>
      <c r="NO793" s="16"/>
      <c r="NP793" s="16"/>
      <c r="NQ793" s="16"/>
      <c r="NR793" s="16"/>
      <c r="NS793" s="16"/>
      <c r="NT793" s="16"/>
      <c r="NU793" s="16"/>
      <c r="NV793" s="16"/>
      <c r="NW793" s="16"/>
      <c r="NX793" s="16"/>
      <c r="NY793" s="16"/>
      <c r="NZ793" s="16"/>
      <c r="OA793" s="16"/>
      <c r="OB793" s="16"/>
      <c r="OC793" s="16"/>
      <c r="OD793" s="16"/>
      <c r="OE793" s="16"/>
      <c r="OF793" s="16"/>
      <c r="OG793" s="16"/>
      <c r="OH793" s="16"/>
      <c r="OI793" s="16"/>
      <c r="OJ793" s="16"/>
      <c r="OK793" s="16"/>
      <c r="OL793" s="16"/>
      <c r="OM793" s="16"/>
      <c r="ON793" s="16"/>
      <c r="OO793" s="16"/>
      <c r="OP793" s="16"/>
      <c r="OQ793" s="16"/>
      <c r="OR793" s="16"/>
      <c r="OS793" s="16"/>
      <c r="OT793" s="16"/>
      <c r="OU793" s="16"/>
      <c r="OV793" s="16"/>
      <c r="OW793" s="16"/>
      <c r="OX793" s="16"/>
      <c r="OY793" s="16"/>
      <c r="OZ793" s="16"/>
      <c r="PA793" s="16"/>
      <c r="PB793" s="16"/>
      <c r="PC793" s="16"/>
      <c r="PD793" s="16"/>
      <c r="PE793" s="16"/>
      <c r="PF793" s="16"/>
      <c r="PG793" s="16"/>
      <c r="PH793" s="16"/>
      <c r="PI793" s="16"/>
      <c r="PJ793" s="16"/>
      <c r="PK793" s="16"/>
      <c r="PL793" s="16"/>
      <c r="PM793" s="16"/>
      <c r="PN793" s="16"/>
      <c r="PO793" s="16"/>
      <c r="PP793" s="16"/>
      <c r="PQ793" s="16"/>
      <c r="PR793" s="16"/>
      <c r="PS793" s="16"/>
      <c r="PT793" s="16"/>
      <c r="PU793" s="16"/>
      <c r="PV793" s="16"/>
      <c r="PW793" s="16"/>
      <c r="PX793" s="16"/>
      <c r="PY793" s="16"/>
      <c r="PZ793" s="16"/>
      <c r="QA793" s="16"/>
      <c r="QB793" s="16"/>
      <c r="QC793" s="16"/>
      <c r="QD793" s="16"/>
      <c r="QE793" s="16"/>
      <c r="QF793" s="16"/>
      <c r="QG793" s="16"/>
      <c r="QH793" s="16"/>
      <c r="QI793" s="16"/>
      <c r="QJ793" s="16"/>
      <c r="QK793" s="16"/>
      <c r="QL793" s="16"/>
      <c r="QM793" s="16"/>
      <c r="QN793" s="16"/>
      <c r="QO793" s="16"/>
      <c r="QP793" s="16"/>
      <c r="QQ793" s="16"/>
      <c r="QR793" s="16"/>
      <c r="QS793" s="16"/>
      <c r="QT793" s="16"/>
      <c r="QU793" s="16"/>
      <c r="QV793" s="16"/>
      <c r="QW793" s="16"/>
      <c r="QX793" s="16"/>
      <c r="QY793" s="16"/>
      <c r="QZ793" s="16"/>
      <c r="RA793" s="16"/>
      <c r="RB793" s="16"/>
      <c r="RC793" s="16"/>
      <c r="RD793" s="16"/>
      <c r="RE793" s="16"/>
      <c r="RF793" s="16"/>
      <c r="RG793" s="16"/>
      <c r="RH793" s="16"/>
      <c r="RI793" s="16"/>
      <c r="RJ793" s="16"/>
      <c r="RK793" s="16"/>
      <c r="RL793" s="16"/>
      <c r="RM793" s="16"/>
      <c r="RN793" s="16"/>
      <c r="RO793" s="16"/>
      <c r="RP793" s="16"/>
      <c r="RQ793" s="16"/>
      <c r="RR793" s="16"/>
      <c r="RS793" s="16"/>
      <c r="RT793" s="16"/>
      <c r="RU793" s="16"/>
      <c r="RV793" s="16"/>
      <c r="RW793" s="16"/>
      <c r="RX793" s="16"/>
      <c r="RY793" s="16"/>
      <c r="RZ793" s="16"/>
      <c r="SA793" s="16"/>
      <c r="SB793" s="16"/>
      <c r="SC793" s="16"/>
      <c r="SD793" s="16"/>
      <c r="SE793" s="16"/>
      <c r="SF793" s="16"/>
      <c r="SG793" s="16"/>
      <c r="SH793" s="16"/>
      <c r="SI793" s="16"/>
      <c r="SJ793" s="16"/>
      <c r="SK793" s="16"/>
      <c r="SL793" s="16"/>
      <c r="SM793" s="16"/>
      <c r="SN793" s="16"/>
      <c r="SO793" s="16"/>
      <c r="SP793" s="16"/>
      <c r="SQ793" s="16"/>
      <c r="SR793" s="16"/>
      <c r="SS793" s="16"/>
      <c r="ST793" s="16"/>
      <c r="SU793" s="16"/>
      <c r="SV793" s="16"/>
      <c r="SW793" s="16"/>
      <c r="SX793" s="16"/>
      <c r="SY793" s="16"/>
      <c r="SZ793" s="16"/>
      <c r="TA793" s="16"/>
      <c r="TB793" s="16"/>
      <c r="TC793" s="16"/>
      <c r="TD793" s="16"/>
      <c r="TE793" s="16"/>
      <c r="TF793" s="16"/>
      <c r="TG793" s="16"/>
      <c r="TH793" s="16"/>
      <c r="TI793" s="16"/>
      <c r="TJ793" s="16"/>
      <c r="TK793" s="16"/>
      <c r="TL793" s="16"/>
      <c r="TM793" s="16"/>
      <c r="TN793" s="16"/>
      <c r="TO793" s="16"/>
      <c r="TP793" s="16"/>
      <c r="TQ793" s="16"/>
      <c r="TR793" s="16"/>
      <c r="TS793" s="16"/>
      <c r="TT793" s="16"/>
      <c r="TU793" s="16"/>
      <c r="TV793" s="16"/>
      <c r="TW793" s="16"/>
      <c r="TX793" s="16"/>
      <c r="TY793" s="16"/>
      <c r="TZ793" s="16"/>
      <c r="UA793" s="16"/>
      <c r="UB793" s="16"/>
      <c r="UC793" s="16"/>
      <c r="UD793" s="16"/>
      <c r="UE793" s="16"/>
      <c r="UF793" s="16"/>
      <c r="UG793" s="16"/>
      <c r="UH793" s="16"/>
      <c r="UI793" s="16"/>
      <c r="UJ793" s="16"/>
      <c r="UK793" s="16"/>
      <c r="UL793" s="16"/>
      <c r="UM793" s="16"/>
      <c r="UN793" s="16"/>
      <c r="UO793" s="16"/>
      <c r="UP793" s="16"/>
      <c r="UQ793" s="16"/>
      <c r="UR793" s="16"/>
      <c r="US793" s="16"/>
      <c r="UT793" s="16"/>
      <c r="UU793" s="16"/>
      <c r="UV793" s="16"/>
      <c r="UW793" s="16"/>
      <c r="UX793" s="16"/>
      <c r="UY793" s="16"/>
      <c r="UZ793" s="16"/>
      <c r="VA793" s="16"/>
      <c r="VB793" s="16"/>
      <c r="VC793" s="16"/>
      <c r="VD793" s="16"/>
      <c r="VE793" s="16"/>
      <c r="VF793" s="16"/>
      <c r="VG793" s="16"/>
      <c r="VH793" s="16"/>
      <c r="VI793" s="16"/>
      <c r="VJ793" s="16"/>
      <c r="VK793" s="16"/>
      <c r="VL793" s="16"/>
      <c r="VM793" s="16"/>
      <c r="VN793" s="16"/>
      <c r="VO793" s="16"/>
      <c r="VP793" s="16"/>
      <c r="VQ793" s="16"/>
      <c r="VR793" s="16"/>
      <c r="VS793" s="16"/>
      <c r="VT793" s="16"/>
      <c r="VU793" s="16"/>
      <c r="VV793" s="16"/>
      <c r="VW793" s="16"/>
      <c r="VX793" s="16"/>
      <c r="VY793" s="16"/>
      <c r="VZ793" s="16"/>
      <c r="WA793" s="16"/>
      <c r="WB793" s="16"/>
      <c r="WC793" s="16"/>
      <c r="WD793" s="16"/>
      <c r="WE793" s="16"/>
      <c r="WF793" s="16"/>
      <c r="WG793" s="16"/>
      <c r="WH793" s="16"/>
      <c r="WI793" s="16"/>
      <c r="WJ793" s="16"/>
      <c r="WK793" s="16"/>
      <c r="WL793" s="16"/>
      <c r="WM793" s="16"/>
      <c r="WN793" s="16"/>
      <c r="WO793" s="16"/>
      <c r="WP793" s="16"/>
      <c r="WQ793" s="16"/>
      <c r="WR793" s="16"/>
      <c r="WS793" s="16"/>
      <c r="WT793" s="16"/>
      <c r="WU793" s="16"/>
      <c r="WV793" s="16"/>
      <c r="WW793" s="16"/>
      <c r="WX793" s="16"/>
      <c r="WY793" s="16"/>
      <c r="WZ793" s="16"/>
      <c r="XA793" s="16"/>
      <c r="XB793" s="16"/>
      <c r="XC793" s="16"/>
      <c r="XD793" s="16"/>
      <c r="XE793" s="16"/>
      <c r="XF793" s="16"/>
      <c r="XG793" s="16"/>
      <c r="XH793" s="16"/>
      <c r="XI793" s="16"/>
      <c r="XJ793" s="16"/>
      <c r="XK793" s="16"/>
      <c r="XL793" s="16"/>
      <c r="XM793" s="16"/>
      <c r="XN793" s="16"/>
      <c r="XO793" s="16"/>
      <c r="XP793" s="16"/>
      <c r="XQ793" s="16"/>
      <c r="XR793" s="16"/>
      <c r="XS793" s="16"/>
      <c r="XT793" s="16"/>
      <c r="XU793" s="16"/>
      <c r="XV793" s="16"/>
      <c r="XW793" s="16"/>
      <c r="XX793" s="16"/>
      <c r="XY793" s="16"/>
      <c r="XZ793" s="16"/>
      <c r="YA793" s="16"/>
      <c r="YB793" s="16"/>
      <c r="YC793" s="16"/>
      <c r="YD793" s="16"/>
      <c r="YE793" s="16"/>
      <c r="YF793" s="16"/>
      <c r="YG793" s="16"/>
      <c r="YH793" s="16"/>
      <c r="YI793" s="16"/>
      <c r="YJ793" s="16"/>
      <c r="YK793" s="16"/>
      <c r="YL793" s="16"/>
      <c r="YM793" s="16"/>
      <c r="YN793" s="16"/>
      <c r="YO793" s="16"/>
      <c r="YP793" s="16"/>
      <c r="YQ793" s="16"/>
      <c r="YR793" s="16"/>
      <c r="YS793" s="16"/>
      <c r="YT793" s="16"/>
      <c r="YU793" s="16"/>
      <c r="YV793" s="16"/>
      <c r="YW793" s="16"/>
      <c r="YX793" s="16"/>
      <c r="YY793" s="16"/>
      <c r="YZ793" s="16"/>
      <c r="ZA793" s="16"/>
      <c r="ZB793" s="16"/>
      <c r="ZC793" s="16"/>
      <c r="ZD793" s="16"/>
      <c r="ZE793" s="16"/>
      <c r="ZF793" s="16"/>
      <c r="ZG793" s="16"/>
      <c r="ZH793" s="16"/>
      <c r="ZI793" s="16"/>
      <c r="ZJ793" s="16"/>
      <c r="ZK793" s="16"/>
      <c r="ZL793" s="16"/>
      <c r="ZM793" s="16"/>
      <c r="ZN793" s="16"/>
      <c r="ZO793" s="16"/>
      <c r="ZP793" s="16"/>
      <c r="ZQ793" s="16"/>
      <c r="ZR793" s="16"/>
      <c r="ZS793" s="16"/>
      <c r="ZT793" s="16"/>
      <c r="ZU793" s="16"/>
      <c r="ZV793" s="16"/>
      <c r="ZW793" s="16"/>
      <c r="ZX793" s="16"/>
      <c r="ZY793" s="16"/>
      <c r="ZZ793" s="16"/>
      <c r="AAA793" s="16"/>
      <c r="AAB793" s="16"/>
      <c r="AAC793" s="16"/>
      <c r="AAD793" s="16"/>
      <c r="AAE793" s="16"/>
      <c r="AAF793" s="16"/>
      <c r="AAG793" s="16"/>
      <c r="AAH793" s="16"/>
      <c r="AAI793" s="16"/>
      <c r="AAJ793" s="16"/>
      <c r="AAK793" s="16"/>
      <c r="AAL793" s="16"/>
      <c r="AAM793" s="16"/>
      <c r="AAN793" s="16"/>
      <c r="AAO793" s="16"/>
      <c r="AAP793" s="16"/>
      <c r="AAQ793" s="16"/>
      <c r="AAR793" s="16"/>
      <c r="AAS793" s="16"/>
      <c r="AAT793" s="16"/>
      <c r="AAU793" s="16"/>
      <c r="AAV793" s="16"/>
      <c r="AAW793" s="16"/>
      <c r="AAX793" s="16"/>
      <c r="AAY793" s="16"/>
      <c r="AAZ793" s="16"/>
      <c r="ABA793" s="16"/>
      <c r="ABB793" s="16"/>
      <c r="ABC793" s="16"/>
      <c r="ABD793" s="16"/>
      <c r="ABE793" s="16"/>
      <c r="ABF793" s="16"/>
      <c r="ABG793" s="16"/>
      <c r="ABH793" s="16"/>
      <c r="ABI793" s="16"/>
      <c r="ABJ793" s="16"/>
      <c r="ABK793" s="16"/>
      <c r="ABL793" s="16"/>
      <c r="ABM793" s="16"/>
      <c r="ABN793" s="16"/>
      <c r="ABO793" s="16"/>
      <c r="ABP793" s="16"/>
      <c r="ABQ793" s="16"/>
      <c r="ABR793" s="16"/>
      <c r="ABS793" s="16"/>
      <c r="ABT793" s="16"/>
      <c r="ABU793" s="16"/>
      <c r="ABV793" s="16"/>
      <c r="ABW793" s="16"/>
      <c r="ABX793" s="16"/>
      <c r="ABY793" s="16"/>
      <c r="ABZ793" s="16"/>
      <c r="ACA793" s="16"/>
      <c r="ACB793" s="16"/>
      <c r="ACC793" s="16"/>
      <c r="ACD793" s="16"/>
      <c r="ACE793" s="16"/>
      <c r="ACF793" s="16"/>
      <c r="ACG793" s="16"/>
      <c r="ACH793" s="16"/>
      <c r="ACI793" s="16"/>
      <c r="ACJ793" s="16"/>
      <c r="ACK793" s="16"/>
      <c r="ACL793" s="16"/>
      <c r="ACM793" s="16"/>
      <c r="ACN793" s="16"/>
      <c r="ACO793" s="16"/>
      <c r="ACP793" s="16"/>
      <c r="ACQ793" s="16"/>
      <c r="ACR793" s="16"/>
      <c r="ACS793" s="16"/>
      <c r="ACT793" s="16"/>
      <c r="ACU793" s="16"/>
      <c r="ACV793" s="16"/>
      <c r="ACW793" s="16"/>
      <c r="ACX793" s="16"/>
      <c r="ACY793" s="16"/>
      <c r="ACZ793" s="16"/>
      <c r="ADA793" s="16"/>
      <c r="ADB793" s="16"/>
      <c r="ADC793" s="16"/>
      <c r="ADD793" s="16"/>
      <c r="ADE793" s="16"/>
      <c r="ADF793" s="16"/>
      <c r="ADG793" s="16"/>
      <c r="ADH793" s="16"/>
      <c r="ADI793" s="16"/>
      <c r="ADJ793" s="16"/>
      <c r="ADK793" s="16"/>
      <c r="ADL793" s="16"/>
      <c r="ADM793" s="16"/>
      <c r="ADN793" s="16"/>
      <c r="ADO793" s="16"/>
      <c r="ADP793" s="16"/>
      <c r="ADQ793" s="16"/>
      <c r="ADR793" s="16"/>
      <c r="ADS793" s="16"/>
      <c r="ADT793" s="16"/>
      <c r="ADU793" s="16"/>
      <c r="ADV793" s="16"/>
      <c r="ADW793" s="16"/>
      <c r="ADX793" s="16"/>
      <c r="ADY793" s="16"/>
      <c r="ADZ793" s="16"/>
      <c r="AEA793" s="16"/>
      <c r="AEB793" s="16"/>
      <c r="AEC793" s="16"/>
      <c r="AED793" s="16"/>
      <c r="AEE793" s="16"/>
      <c r="AEF793" s="16"/>
      <c r="AEG793" s="16"/>
      <c r="AEH793" s="16"/>
      <c r="AEI793" s="16"/>
      <c r="AEJ793" s="16"/>
      <c r="AEK793" s="16"/>
      <c r="AEL793" s="16"/>
      <c r="AEM793" s="16"/>
      <c r="AEN793" s="16"/>
      <c r="AEO793" s="16"/>
      <c r="AEP793" s="16"/>
      <c r="AEQ793" s="16"/>
      <c r="AER793" s="16"/>
      <c r="AES793" s="16"/>
      <c r="AET793" s="16"/>
      <c r="AEU793" s="16"/>
      <c r="AEV793" s="16"/>
      <c r="AEW793" s="16"/>
      <c r="AEX793" s="16"/>
      <c r="AEY793" s="16"/>
      <c r="AEZ793" s="16"/>
      <c r="AFA793" s="16"/>
      <c r="AFB793" s="16"/>
      <c r="AFC793" s="16"/>
      <c r="AFD793" s="16"/>
      <c r="AFE793" s="16"/>
      <c r="AFF793" s="16"/>
      <c r="AFG793" s="16"/>
      <c r="AFH793" s="16"/>
      <c r="AFI793" s="16"/>
      <c r="AFJ793" s="16"/>
      <c r="AFK793" s="16"/>
      <c r="AFL793" s="16"/>
      <c r="AFM793" s="16"/>
      <c r="AFN793" s="16"/>
      <c r="AFO793" s="16"/>
      <c r="AFP793" s="16"/>
      <c r="AFQ793" s="16"/>
      <c r="AFR793" s="16"/>
      <c r="AFS793" s="16"/>
      <c r="AFT793" s="16"/>
      <c r="AFU793" s="16"/>
      <c r="AFV793" s="16"/>
      <c r="AFW793" s="16"/>
      <c r="AFX793" s="16"/>
      <c r="AFY793" s="16"/>
      <c r="AFZ793" s="16"/>
      <c r="AGA793" s="16"/>
      <c r="AGB793" s="16"/>
      <c r="AGC793" s="16"/>
      <c r="AGD793" s="16"/>
      <c r="AGE793" s="16"/>
      <c r="AGF793" s="16"/>
      <c r="AGG793" s="16"/>
      <c r="AGH793" s="16"/>
      <c r="AGI793" s="16"/>
      <c r="AGJ793" s="16"/>
    </row>
    <row r="794" spans="1:868">
      <c r="A794" s="973" t="s">
        <v>327</v>
      </c>
      <c r="B794" s="974" t="s">
        <v>179</v>
      </c>
      <c r="C794" s="973" t="s">
        <v>182</v>
      </c>
      <c r="D794" s="974" t="s">
        <v>139</v>
      </c>
      <c r="E794" s="1198" t="s">
        <v>150</v>
      </c>
      <c r="F794" s="1191">
        <v>1</v>
      </c>
      <c r="G794" s="973"/>
      <c r="H794" s="975"/>
      <c r="I794" s="636"/>
      <c r="J794" s="636"/>
      <c r="K794" s="636" t="str">
        <f>IF( OR( ISBLANK(#REF!),ISBLANK(G794), ISBLANK(#REF!), ISBLANK(H794), ISBLANK(J794) ), "", 1.5*SQRT(   EXP(2.21*(#REF!-1)) + EXP(2.21*(G794-1)) + EXP(2.21*(#REF!-1)) + EXP(2.21*(H794-1)) + EXP(2.21*J794)   )/100 )</f>
        <v/>
      </c>
      <c r="L794" s="636" t="s">
        <v>249</v>
      </c>
      <c r="M794" s="636"/>
      <c r="N794" s="1283" t="str">
        <f>IF( OR( ISBLANK(H794),ISBLANK(J794), ISBLANK(K794), ISBLANK(L794), ISBLANK(M794) ), "", 1.5*SQRT(   EXP(2.21*(H794-1)) + EXP(2.21*(J794-1)) + EXP(2.21*(K794-1)) + EXP(2.21*(L794-1)) + EXP(2.21*M794)   )/100*2.45 )</f>
        <v/>
      </c>
      <c r="O794" s="1284" t="str">
        <f>IF( OR( ISBLANK(I794),ISBLANK(J794), ISBLANK(K794), ISBLANK(L794), ISBLANK(M794) ), "", 1.5*SQRT( EXP(2.21*(I794-1)) + EXP(2.21*(J794-1)) + EXP(2.21*(K794-1)) + EXP(2.21*(L794-1)) + EXP(2.21*M794)   )/100*2.45 )</f>
        <v/>
      </c>
      <c r="P794" s="973"/>
    </row>
    <row r="795" spans="1:868">
      <c r="A795" s="973" t="s">
        <v>327</v>
      </c>
      <c r="B795" s="974" t="s">
        <v>179</v>
      </c>
      <c r="C795" s="973" t="s">
        <v>180</v>
      </c>
      <c r="D795" s="974" t="s">
        <v>139</v>
      </c>
      <c r="E795" s="1198" t="s">
        <v>150</v>
      </c>
      <c r="F795" s="1191">
        <v>1</v>
      </c>
      <c r="G795" s="973"/>
      <c r="H795" s="975"/>
      <c r="I795" s="636"/>
      <c r="J795" s="636"/>
      <c r="K795" s="636" t="str">
        <f>IF( OR( ISBLANK(#REF!),ISBLANK(G795), ISBLANK(#REF!), ISBLANK(H795), ISBLANK(J795) ), "", 1.5*SQRT(   EXP(2.21*(#REF!-1)) + EXP(2.21*(G795-1)) + EXP(2.21*(#REF!-1)) + EXP(2.21*(H795-1)) + EXP(2.21*J795)   )/100 )</f>
        <v/>
      </c>
      <c r="L795" s="636" t="s">
        <v>249</v>
      </c>
      <c r="M795" s="636"/>
      <c r="N795" s="1283" t="str">
        <f>IF( OR( ISBLANK(H795),ISBLANK(J795), ISBLANK(K795), ISBLANK(L795), ISBLANK(M795) ), "", 1.5*SQRT(   EXP(2.21*(H795-1)) + EXP(2.21*(J795-1)) + EXP(2.21*(K795-1)) + EXP(2.21*(L795-1)) + EXP(2.21*M795)   )/100*2.45 )</f>
        <v/>
      </c>
      <c r="O795" s="1284" t="str">
        <f>IF( OR( ISBLANK(I795),ISBLANK(J795), ISBLANK(K795), ISBLANK(L795), ISBLANK(M795) ), "", 1.5*SQRT( EXP(2.21*(I795-1)) + EXP(2.21*(J795-1)) + EXP(2.21*(K795-1)) + EXP(2.21*(L795-1)) + EXP(2.21*M795)   )/100*2.45 )</f>
        <v/>
      </c>
      <c r="P795" s="973"/>
    </row>
    <row r="796" spans="1:868">
      <c r="A796" s="973" t="s">
        <v>327</v>
      </c>
      <c r="B796" s="974" t="s">
        <v>184</v>
      </c>
      <c r="C796" s="973" t="s">
        <v>182</v>
      </c>
      <c r="D796" s="974" t="s">
        <v>139</v>
      </c>
      <c r="E796" s="1198">
        <v>0</v>
      </c>
      <c r="F796" s="1191">
        <v>2</v>
      </c>
      <c r="G796" s="973" t="s">
        <v>313</v>
      </c>
      <c r="H796" s="975"/>
      <c r="I796" s="636"/>
      <c r="J796" s="636"/>
      <c r="K796" s="636"/>
      <c r="L796" s="636"/>
      <c r="M796" s="636"/>
      <c r="N796" s="1283" t="str">
        <f>IF( OR( ISBLANK(H796),ISBLANK(J796), ISBLANK(K796), ISBLANK(L796), ISBLANK(M796) ), "", 1.5*SQRT(   EXP(2.21*(H796-1)) + EXP(2.21*(J796-1)) + EXP(2.21*(K796-1)) + EXP(2.21*(L796-1)) + EXP(2.21*M796)   )/100*2.45 )</f>
        <v/>
      </c>
      <c r="O796" s="1284" t="str">
        <f>IF( OR( ISBLANK(I796),ISBLANK(J796), ISBLANK(K796), ISBLANK(L796), ISBLANK(M796) ), "", 1.5*SQRT( EXP(2.21*(I796-1)) + EXP(2.21*(J796-1)) + EXP(2.21*(K796-1)) + EXP(2.21*(L796-1)) + EXP(2.21*M796)   )/100*2.45 )</f>
        <v/>
      </c>
      <c r="P796" s="973"/>
    </row>
    <row r="797" spans="1:868">
      <c r="A797" s="973" t="s">
        <v>327</v>
      </c>
      <c r="B797" s="974" t="s">
        <v>184</v>
      </c>
      <c r="C797" s="973" t="s">
        <v>182</v>
      </c>
      <c r="D797" s="974" t="s">
        <v>139</v>
      </c>
      <c r="E797" s="1198">
        <v>1</v>
      </c>
      <c r="F797" s="1191">
        <v>2</v>
      </c>
      <c r="G797" s="973" t="s">
        <v>314</v>
      </c>
      <c r="H797" s="975"/>
      <c r="I797" s="636"/>
      <c r="J797" s="636"/>
      <c r="K797" s="636"/>
      <c r="L797" s="636"/>
      <c r="M797" s="636"/>
      <c r="N797" s="1283" t="str">
        <f>IF( OR( ISBLANK(H797),ISBLANK(J797), ISBLANK(K797), ISBLANK(L797), ISBLANK(M797) ), "", 1.5*SQRT(   EXP(2.21*(H797-1)) + EXP(2.21*(J797-1)) + EXP(2.21*(K797-1)) + EXP(2.21*(L797-1)) + EXP(2.21*M797)   )/100*2.45 )</f>
        <v/>
      </c>
      <c r="O797" s="1284" t="str">
        <f>IF( OR( ISBLANK(I797),ISBLANK(J797), ISBLANK(K797), ISBLANK(L797), ISBLANK(M797) ), "", 1.5*SQRT( EXP(2.21*(I797-1)) + EXP(2.21*(J797-1)) + EXP(2.21*(K797-1)) + EXP(2.21*(L797-1)) + EXP(2.21*M797)   )/100*2.45 )</f>
        <v/>
      </c>
      <c r="P797" s="973"/>
    </row>
    <row r="798" spans="1:868">
      <c r="A798" s="973" t="s">
        <v>327</v>
      </c>
      <c r="B798" s="974" t="s">
        <v>184</v>
      </c>
      <c r="C798" s="973" t="s">
        <v>180</v>
      </c>
      <c r="D798" s="974" t="s">
        <v>139</v>
      </c>
      <c r="E798" s="1198">
        <v>0</v>
      </c>
      <c r="F798" s="1191">
        <v>2</v>
      </c>
      <c r="G798" s="973" t="s">
        <v>383</v>
      </c>
      <c r="H798" s="975"/>
      <c r="I798" s="636"/>
      <c r="J798" s="636"/>
      <c r="K798" s="636"/>
      <c r="L798" s="636"/>
      <c r="M798" s="636"/>
      <c r="N798" s="1283" t="str">
        <f>IF( OR( ISBLANK(H798),ISBLANK(J798), ISBLANK(K798), ISBLANK(L798), ISBLANK(M798) ), "", 1.5*SQRT(   EXP(2.21*(H798-1)) + EXP(2.21*(J798-1)) + EXP(2.21*(K798-1)) + EXP(2.21*(L798-1)) + EXP(2.21*M798)   )/100*2.45 )</f>
        <v/>
      </c>
      <c r="O798" s="1284" t="str">
        <f>IF( OR( ISBLANK(I798),ISBLANK(J798), ISBLANK(K798), ISBLANK(L798), ISBLANK(M798) ), "", 1.5*SQRT( EXP(2.21*(I798-1)) + EXP(2.21*(J798-1)) + EXP(2.21*(K798-1)) + EXP(2.21*(L798-1)) + EXP(2.21*M798)   )/100*2.45 )</f>
        <v/>
      </c>
      <c r="P798" s="973"/>
    </row>
    <row r="799" spans="1:868">
      <c r="A799" s="34" t="s">
        <v>327</v>
      </c>
      <c r="B799" s="40" t="s">
        <v>251</v>
      </c>
      <c r="C799" s="34" t="s">
        <v>139</v>
      </c>
      <c r="D799" s="40" t="s">
        <v>139</v>
      </c>
      <c r="E799" s="237">
        <v>1E-4</v>
      </c>
      <c r="F799" s="168">
        <v>3</v>
      </c>
      <c r="G799" s="34" t="s">
        <v>326</v>
      </c>
      <c r="H799" s="29">
        <v>2</v>
      </c>
      <c r="I799" s="9">
        <v>2</v>
      </c>
      <c r="J799" s="9">
        <v>1</v>
      </c>
      <c r="K799" s="9">
        <v>1</v>
      </c>
      <c r="L799" s="9">
        <v>1</v>
      </c>
      <c r="M799" s="9">
        <v>3</v>
      </c>
      <c r="N799" s="185">
        <f>IF( OR( ISBLANK(H799),ISBLANK(J799), ISBLANK(K799), ISBLANK(L799), ISBLANK(M799) ), "", 1.5*SQRT(   EXP(2.21*(H799-1)) + EXP(2.21*(J799-1)) + EXP(2.21*(K799-1)) + EXP(2.21*(L799-1)) + EXP(2.21*M799)   )/100*2.45 )</f>
        <v>1.0195048044558224</v>
      </c>
      <c r="O799" s="159">
        <f>IF( OR( ISBLANK(I799),ISBLANK(J799), ISBLANK(K799), ISBLANK(L799), ISBLANK(M799) ), "", 1.5*SQRT( EXP(2.21*(I799-1)) + EXP(2.21*(J799-1)) + EXP(2.21*(K799-1)) + EXP(2.21*(L799-1)) + EXP(2.21*M799)   )/100*2.45 )</f>
        <v>1.0195048044558224</v>
      </c>
      <c r="P799" s="34" t="s">
        <v>384</v>
      </c>
    </row>
    <row r="800" spans="1:868">
      <c r="A800" s="55" t="s">
        <v>341</v>
      </c>
      <c r="B800" s="260" t="s">
        <v>178</v>
      </c>
      <c r="C800" s="55" t="s">
        <v>139</v>
      </c>
      <c r="D800" s="260" t="s">
        <v>139</v>
      </c>
      <c r="E800" s="237" t="s">
        <v>150</v>
      </c>
      <c r="F800" s="168">
        <v>1</v>
      </c>
      <c r="G800" s="55" t="s">
        <v>163</v>
      </c>
      <c r="H800" s="29"/>
      <c r="I800" s="9"/>
      <c r="J800" s="9"/>
      <c r="K800" s="9"/>
      <c r="L800" s="9"/>
      <c r="M800" s="9"/>
      <c r="N800" s="185" t="str">
        <f>IF( OR( ISBLANK(H800),ISBLANK(J800), ISBLANK(K800), ISBLANK(L800), ISBLANK(M800) ), "", 1.5*SQRT(   EXP(2.21*(H800-1)) + EXP(2.21*(J800-1)) + EXP(2.21*(K800-1)) + EXP(2.21*(L800-1)) + EXP(2.21*M800)   )/100*2.45 )</f>
        <v/>
      </c>
      <c r="O800" s="159" t="str">
        <f>IF( OR( ISBLANK(I800),ISBLANK(J800), ISBLANK(K800), ISBLANK(L800), ISBLANK(M800) ), "", 1.5*SQRT( EXP(2.21*(I800-1)) + EXP(2.21*(J800-1)) + EXP(2.21*(K800-1)) + EXP(2.21*(L800-1)) + EXP(2.21*M800)   )/100*2.45 )</f>
        <v/>
      </c>
      <c r="P800" s="34"/>
    </row>
    <row r="801" spans="1:868">
      <c r="A801" s="55" t="s">
        <v>341</v>
      </c>
      <c r="B801" s="260" t="s">
        <v>245</v>
      </c>
      <c r="C801" s="55" t="s">
        <v>139</v>
      </c>
      <c r="D801" s="260" t="s">
        <v>139</v>
      </c>
      <c r="E801" s="237">
        <v>0.53527000000000002</v>
      </c>
      <c r="F801" s="168">
        <v>1</v>
      </c>
      <c r="G801" s="55" t="s">
        <v>163</v>
      </c>
      <c r="H801" s="29">
        <v>2</v>
      </c>
      <c r="I801" s="9">
        <v>2</v>
      </c>
      <c r="J801" s="9">
        <v>1</v>
      </c>
      <c r="K801" s="9">
        <v>1</v>
      </c>
      <c r="L801" s="9">
        <v>1</v>
      </c>
      <c r="M801" s="9">
        <v>2</v>
      </c>
      <c r="N801" s="185">
        <f>IF( OR( ISBLANK(H801),ISBLANK(J801), ISBLANK(K801), ISBLANK(L801), ISBLANK(M801) ), "", 1.5*SQRT(   EXP(2.21*(H801-1)) + EXP(2.21*(J801-1)) + EXP(2.21*(K801-1)) + EXP(2.21*(L801-1)) + EXP(2.21*M801)   )/100*2.45 )</f>
        <v>0.35859414261160716</v>
      </c>
      <c r="O801" s="159">
        <f>IF( OR( ISBLANK(I801),ISBLANK(J801), ISBLANK(K801), ISBLANK(L801), ISBLANK(M801) ), "", 1.5*SQRT( EXP(2.21*(I801-1)) + EXP(2.21*(J801-1)) + EXP(2.21*(K801-1)) + EXP(2.21*(L801-1)) + EXP(2.21*M801)   )/100*2.45 )</f>
        <v>0.35859414261160716</v>
      </c>
      <c r="P801" s="1180" t="s">
        <v>342</v>
      </c>
    </row>
    <row r="802" spans="1:868" s="210" customFormat="1" ht="15" thickBot="1">
      <c r="A802" s="34" t="s">
        <v>235</v>
      </c>
      <c r="B802" s="40" t="s">
        <v>204</v>
      </c>
      <c r="C802" s="34" t="s">
        <v>139</v>
      </c>
      <c r="D802" s="40" t="s">
        <v>139</v>
      </c>
      <c r="E802" s="237">
        <v>2.7E-4</v>
      </c>
      <c r="F802" s="168">
        <v>2</v>
      </c>
      <c r="G802" s="34" t="s">
        <v>205</v>
      </c>
      <c r="H802" s="29">
        <v>1</v>
      </c>
      <c r="I802" s="9"/>
      <c r="J802" s="9">
        <v>1</v>
      </c>
      <c r="K802" s="9">
        <v>3</v>
      </c>
      <c r="L802" s="9">
        <v>3</v>
      </c>
      <c r="M802" s="9">
        <v>3</v>
      </c>
      <c r="N802" s="185">
        <f>IF( OR( ISBLANK(H802),ISBLANK(J802), ISBLANK(K802), ISBLANK(L802), ISBLANK(M802) ), "", 1.5*SQRT(   EXP(2.21*(H802-1)) + EXP(2.21*(J802-1)) + EXP(2.21*(K802-1)) + EXP(2.21*(L802-1)) + EXP(2.21*M802)   )/100*2.45 )</f>
        <v>1.1181151966036349</v>
      </c>
      <c r="O802" s="159" t="str">
        <f>IF( OR( ISBLANK(I802),ISBLANK(J802), ISBLANK(K802), ISBLANK(L802), ISBLANK(M802) ), "", 1.5*SQRT( EXP(2.21*(I802-1)) + EXP(2.21*(J802-1)) + EXP(2.21*(K802-1)) + EXP(2.21*(L802-1)) + EXP(2.21*M802)   )/100*2.45 )</f>
        <v/>
      </c>
      <c r="P802" s="34"/>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c r="AY802" s="16"/>
      <c r="AZ802" s="16"/>
      <c r="BA802" s="16"/>
      <c r="BB802" s="16"/>
      <c r="BC802" s="16"/>
      <c r="BD802" s="16"/>
      <c r="BE802" s="16"/>
      <c r="BF802" s="16"/>
      <c r="BG802" s="16"/>
      <c r="BH802" s="16"/>
      <c r="BI802" s="16"/>
      <c r="BJ802" s="16"/>
      <c r="BK802" s="16"/>
      <c r="BL802" s="16"/>
      <c r="BM802" s="16"/>
      <c r="BN802" s="16"/>
      <c r="BO802" s="16"/>
      <c r="BP802" s="16"/>
      <c r="BQ802" s="16"/>
      <c r="BR802" s="16"/>
      <c r="BS802" s="16"/>
      <c r="BT802" s="16"/>
      <c r="BU802" s="16"/>
      <c r="BV802" s="16"/>
      <c r="BW802" s="16"/>
      <c r="BX802" s="16"/>
      <c r="BY802" s="16"/>
      <c r="BZ802" s="16"/>
      <c r="CA802" s="16"/>
      <c r="CB802" s="16"/>
      <c r="CC802" s="16"/>
      <c r="CD802" s="16"/>
      <c r="CE802" s="16"/>
      <c r="CF802" s="16"/>
      <c r="CG802" s="16"/>
      <c r="CH802" s="16"/>
      <c r="CI802" s="16"/>
      <c r="CJ802" s="16"/>
      <c r="CK802" s="16"/>
      <c r="CL802" s="16"/>
      <c r="CM802" s="16"/>
      <c r="CN802" s="16"/>
      <c r="CO802" s="16"/>
      <c r="CP802" s="16"/>
      <c r="CQ802" s="16"/>
      <c r="CR802" s="16"/>
      <c r="CS802" s="16"/>
      <c r="CT802" s="16"/>
      <c r="CU802" s="16"/>
      <c r="CV802" s="16"/>
      <c r="CW802" s="16"/>
      <c r="CX802" s="16"/>
      <c r="CY802" s="16"/>
      <c r="CZ802" s="16"/>
      <c r="DA802" s="16"/>
      <c r="DB802" s="16"/>
      <c r="DC802" s="16"/>
      <c r="DD802" s="16"/>
      <c r="DE802" s="16"/>
      <c r="DF802" s="16"/>
      <c r="DG802" s="16"/>
      <c r="DH802" s="16"/>
      <c r="DI802" s="16"/>
      <c r="DJ802" s="16"/>
      <c r="DK802" s="16"/>
      <c r="DL802" s="16"/>
      <c r="DM802" s="16"/>
      <c r="DN802" s="16"/>
      <c r="DO802" s="16"/>
      <c r="DP802" s="16"/>
      <c r="DQ802" s="16"/>
      <c r="DR802" s="16"/>
      <c r="DS802" s="16"/>
      <c r="DT802" s="16"/>
      <c r="DU802" s="16"/>
      <c r="DV802" s="16"/>
      <c r="DW802" s="16"/>
      <c r="DX802" s="16"/>
      <c r="DY802" s="16"/>
      <c r="DZ802" s="16"/>
      <c r="EA802" s="16"/>
      <c r="EB802" s="16"/>
      <c r="EC802" s="16"/>
      <c r="ED802" s="16"/>
      <c r="EE802" s="16"/>
      <c r="EF802" s="16"/>
      <c r="EG802" s="16"/>
      <c r="EH802" s="16"/>
      <c r="EI802" s="16"/>
      <c r="EJ802" s="16"/>
      <c r="EK802" s="16"/>
      <c r="EL802" s="16"/>
      <c r="EM802" s="16"/>
      <c r="EN802" s="16"/>
      <c r="EO802" s="16"/>
      <c r="EP802" s="16"/>
      <c r="EQ802" s="16"/>
      <c r="ER802" s="16"/>
      <c r="ES802" s="16"/>
      <c r="ET802" s="16"/>
      <c r="EU802" s="16"/>
      <c r="EV802" s="16"/>
      <c r="EW802" s="16"/>
      <c r="EX802" s="16"/>
      <c r="EY802" s="16"/>
      <c r="EZ802" s="16"/>
      <c r="FA802" s="16"/>
      <c r="FB802" s="16"/>
      <c r="FC802" s="16"/>
      <c r="FD802" s="16"/>
      <c r="FE802" s="16"/>
      <c r="FF802" s="16"/>
      <c r="FG802" s="16"/>
      <c r="FH802" s="16"/>
      <c r="FI802" s="16"/>
      <c r="FJ802" s="16"/>
      <c r="FK802" s="16"/>
      <c r="FL802" s="16"/>
      <c r="FM802" s="16"/>
      <c r="FN802" s="16"/>
      <c r="FO802" s="16"/>
      <c r="FP802" s="16"/>
      <c r="FQ802" s="16"/>
      <c r="FR802" s="16"/>
      <c r="FS802" s="16"/>
      <c r="FT802" s="16"/>
      <c r="FU802" s="16"/>
      <c r="FV802" s="16"/>
      <c r="FW802" s="16"/>
      <c r="FX802" s="16"/>
      <c r="FY802" s="16"/>
      <c r="FZ802" s="16"/>
      <c r="GA802" s="16"/>
      <c r="GB802" s="16"/>
      <c r="GC802" s="16"/>
      <c r="GD802" s="16"/>
      <c r="GE802" s="16"/>
      <c r="GF802" s="16"/>
      <c r="GG802" s="16"/>
      <c r="GH802" s="16"/>
      <c r="GI802" s="16"/>
      <c r="GJ802" s="16"/>
      <c r="GK802" s="16"/>
      <c r="GL802" s="16"/>
      <c r="GM802" s="16"/>
      <c r="GN802" s="16"/>
      <c r="GO802" s="16"/>
      <c r="GP802" s="16"/>
      <c r="GQ802" s="16"/>
      <c r="GR802" s="16"/>
      <c r="GS802" s="16"/>
      <c r="GT802" s="16"/>
      <c r="GU802" s="16"/>
      <c r="GV802" s="16"/>
      <c r="GW802" s="16"/>
      <c r="GX802" s="16"/>
      <c r="GY802" s="16"/>
      <c r="GZ802" s="16"/>
      <c r="HA802" s="16"/>
      <c r="HB802" s="16"/>
      <c r="HC802" s="16"/>
      <c r="HD802" s="16"/>
      <c r="HE802" s="16"/>
      <c r="HF802" s="16"/>
      <c r="HG802" s="16"/>
      <c r="HH802" s="16"/>
      <c r="HI802" s="16"/>
      <c r="HJ802" s="16"/>
      <c r="HK802" s="16"/>
      <c r="HL802" s="16"/>
      <c r="HM802" s="16"/>
      <c r="HN802" s="16"/>
      <c r="HO802" s="16"/>
      <c r="HP802" s="16"/>
      <c r="HQ802" s="16"/>
      <c r="HR802" s="16"/>
      <c r="HS802" s="16"/>
      <c r="HT802" s="16"/>
      <c r="HU802" s="16"/>
      <c r="HV802" s="16"/>
      <c r="HW802" s="16"/>
      <c r="HX802" s="16"/>
      <c r="HY802" s="16"/>
      <c r="HZ802" s="16"/>
      <c r="IA802" s="16"/>
      <c r="IB802" s="16"/>
      <c r="IC802" s="16"/>
      <c r="ID802" s="16"/>
      <c r="IE802" s="16"/>
      <c r="IF802" s="16"/>
      <c r="IG802" s="16"/>
      <c r="IH802" s="16"/>
      <c r="II802" s="16"/>
      <c r="IJ802" s="16"/>
      <c r="IK802" s="16"/>
      <c r="IL802" s="16"/>
      <c r="IM802" s="16"/>
      <c r="IN802" s="16"/>
      <c r="IO802" s="16"/>
      <c r="IP802" s="16"/>
      <c r="IQ802" s="16"/>
      <c r="IR802" s="16"/>
      <c r="IS802" s="16"/>
      <c r="IT802" s="16"/>
      <c r="IU802" s="16"/>
      <c r="IV802" s="16"/>
      <c r="IW802" s="16"/>
      <c r="IX802" s="16"/>
      <c r="IY802" s="16"/>
      <c r="IZ802" s="16"/>
      <c r="JA802" s="16"/>
      <c r="JB802" s="16"/>
      <c r="JC802" s="16"/>
      <c r="JD802" s="16"/>
      <c r="JE802" s="16"/>
      <c r="JF802" s="16"/>
      <c r="JG802" s="16"/>
      <c r="JH802" s="16"/>
      <c r="JI802" s="16"/>
      <c r="JJ802" s="16"/>
      <c r="JK802" s="16"/>
      <c r="JL802" s="16"/>
      <c r="JM802" s="16"/>
      <c r="JN802" s="16"/>
      <c r="JO802" s="16"/>
      <c r="JP802" s="16"/>
      <c r="JQ802" s="16"/>
      <c r="JR802" s="16"/>
      <c r="JS802" s="16"/>
      <c r="JT802" s="16"/>
      <c r="JU802" s="16"/>
      <c r="JV802" s="16"/>
      <c r="JW802" s="16"/>
      <c r="JX802" s="16"/>
      <c r="JY802" s="16"/>
      <c r="JZ802" s="16"/>
      <c r="KA802" s="16"/>
      <c r="KB802" s="16"/>
      <c r="KC802" s="16"/>
      <c r="KD802" s="16"/>
      <c r="KE802" s="16"/>
      <c r="KF802" s="16"/>
      <c r="KG802" s="16"/>
      <c r="KH802" s="16"/>
      <c r="KI802" s="16"/>
      <c r="KJ802" s="16"/>
      <c r="KK802" s="16"/>
      <c r="KL802" s="16"/>
      <c r="KM802" s="16"/>
      <c r="KN802" s="16"/>
      <c r="KO802" s="16"/>
      <c r="KP802" s="16"/>
      <c r="KQ802" s="16"/>
      <c r="KR802" s="16"/>
      <c r="KS802" s="16"/>
      <c r="KT802" s="16"/>
      <c r="KU802" s="16"/>
      <c r="KV802" s="16"/>
      <c r="KW802" s="16"/>
      <c r="KX802" s="16"/>
      <c r="KY802" s="16"/>
      <c r="KZ802" s="16"/>
      <c r="LA802" s="16"/>
      <c r="LB802" s="16"/>
      <c r="LC802" s="16"/>
      <c r="LD802" s="16"/>
      <c r="LE802" s="16"/>
      <c r="LF802" s="16"/>
      <c r="LG802" s="16"/>
      <c r="LH802" s="16"/>
      <c r="LI802" s="16"/>
      <c r="LJ802" s="16"/>
      <c r="LK802" s="16"/>
      <c r="LL802" s="16"/>
      <c r="LM802" s="16"/>
      <c r="LN802" s="16"/>
      <c r="LO802" s="16"/>
      <c r="LP802" s="16"/>
      <c r="LQ802" s="16"/>
      <c r="LR802" s="16"/>
      <c r="LS802" s="16"/>
      <c r="LT802" s="16"/>
      <c r="LU802" s="16"/>
      <c r="LV802" s="16"/>
      <c r="LW802" s="16"/>
      <c r="LX802" s="16"/>
      <c r="LY802" s="16"/>
      <c r="LZ802" s="16"/>
      <c r="MA802" s="16"/>
      <c r="MB802" s="16"/>
      <c r="MC802" s="16"/>
      <c r="MD802" s="16"/>
      <c r="ME802" s="16"/>
      <c r="MF802" s="16"/>
      <c r="MG802" s="16"/>
      <c r="MH802" s="16"/>
      <c r="MI802" s="16"/>
      <c r="MJ802" s="16"/>
      <c r="MK802" s="16"/>
      <c r="ML802" s="16"/>
      <c r="MM802" s="16"/>
      <c r="MN802" s="16"/>
      <c r="MO802" s="16"/>
      <c r="MP802" s="16"/>
      <c r="MQ802" s="16"/>
      <c r="MR802" s="16"/>
      <c r="MS802" s="16"/>
      <c r="MT802" s="16"/>
      <c r="MU802" s="16"/>
      <c r="MV802" s="16"/>
      <c r="MW802" s="16"/>
      <c r="MX802" s="16"/>
      <c r="MY802" s="16"/>
      <c r="MZ802" s="16"/>
      <c r="NA802" s="16"/>
      <c r="NB802" s="16"/>
      <c r="NC802" s="16"/>
      <c r="ND802" s="16"/>
      <c r="NE802" s="16"/>
      <c r="NF802" s="16"/>
      <c r="NG802" s="16"/>
      <c r="NH802" s="16"/>
      <c r="NI802" s="16"/>
      <c r="NJ802" s="16"/>
      <c r="NK802" s="16"/>
      <c r="NL802" s="16"/>
      <c r="NM802" s="16"/>
      <c r="NN802" s="16"/>
      <c r="NO802" s="16"/>
      <c r="NP802" s="16"/>
      <c r="NQ802" s="16"/>
      <c r="NR802" s="16"/>
      <c r="NS802" s="16"/>
      <c r="NT802" s="16"/>
      <c r="NU802" s="16"/>
      <c r="NV802" s="16"/>
      <c r="NW802" s="16"/>
      <c r="NX802" s="16"/>
      <c r="NY802" s="16"/>
      <c r="NZ802" s="16"/>
      <c r="OA802" s="16"/>
      <c r="OB802" s="16"/>
      <c r="OC802" s="16"/>
      <c r="OD802" s="16"/>
      <c r="OE802" s="16"/>
      <c r="OF802" s="16"/>
      <c r="OG802" s="16"/>
      <c r="OH802" s="16"/>
      <c r="OI802" s="16"/>
      <c r="OJ802" s="16"/>
      <c r="OK802" s="16"/>
      <c r="OL802" s="16"/>
      <c r="OM802" s="16"/>
      <c r="ON802" s="16"/>
      <c r="OO802" s="16"/>
      <c r="OP802" s="16"/>
      <c r="OQ802" s="16"/>
      <c r="OR802" s="16"/>
      <c r="OS802" s="16"/>
      <c r="OT802" s="16"/>
      <c r="OU802" s="16"/>
      <c r="OV802" s="16"/>
      <c r="OW802" s="16"/>
      <c r="OX802" s="16"/>
      <c r="OY802" s="16"/>
      <c r="OZ802" s="16"/>
      <c r="PA802" s="16"/>
      <c r="PB802" s="16"/>
      <c r="PC802" s="16"/>
      <c r="PD802" s="16"/>
      <c r="PE802" s="16"/>
      <c r="PF802" s="16"/>
      <c r="PG802" s="16"/>
      <c r="PH802" s="16"/>
      <c r="PI802" s="16"/>
      <c r="PJ802" s="16"/>
      <c r="PK802" s="16"/>
      <c r="PL802" s="16"/>
      <c r="PM802" s="16"/>
      <c r="PN802" s="16"/>
      <c r="PO802" s="16"/>
      <c r="PP802" s="16"/>
      <c r="PQ802" s="16"/>
      <c r="PR802" s="16"/>
      <c r="PS802" s="16"/>
      <c r="PT802" s="16"/>
      <c r="PU802" s="16"/>
      <c r="PV802" s="16"/>
      <c r="PW802" s="16"/>
      <c r="PX802" s="16"/>
      <c r="PY802" s="16"/>
      <c r="PZ802" s="16"/>
      <c r="QA802" s="16"/>
      <c r="QB802" s="16"/>
      <c r="QC802" s="16"/>
      <c r="QD802" s="16"/>
      <c r="QE802" s="16"/>
      <c r="QF802" s="16"/>
      <c r="QG802" s="16"/>
      <c r="QH802" s="16"/>
      <c r="QI802" s="16"/>
      <c r="QJ802" s="16"/>
      <c r="QK802" s="16"/>
      <c r="QL802" s="16"/>
      <c r="QM802" s="16"/>
      <c r="QN802" s="16"/>
      <c r="QO802" s="16"/>
      <c r="QP802" s="16"/>
      <c r="QQ802" s="16"/>
      <c r="QR802" s="16"/>
      <c r="QS802" s="16"/>
      <c r="QT802" s="16"/>
      <c r="QU802" s="16"/>
      <c r="QV802" s="16"/>
      <c r="QW802" s="16"/>
      <c r="QX802" s="16"/>
      <c r="QY802" s="16"/>
      <c r="QZ802" s="16"/>
      <c r="RA802" s="16"/>
      <c r="RB802" s="16"/>
      <c r="RC802" s="16"/>
      <c r="RD802" s="16"/>
      <c r="RE802" s="16"/>
      <c r="RF802" s="16"/>
      <c r="RG802" s="16"/>
      <c r="RH802" s="16"/>
      <c r="RI802" s="16"/>
      <c r="RJ802" s="16"/>
      <c r="RK802" s="16"/>
      <c r="RL802" s="16"/>
      <c r="RM802" s="16"/>
      <c r="RN802" s="16"/>
      <c r="RO802" s="16"/>
      <c r="RP802" s="16"/>
      <c r="RQ802" s="16"/>
      <c r="RR802" s="16"/>
      <c r="RS802" s="16"/>
      <c r="RT802" s="16"/>
      <c r="RU802" s="16"/>
      <c r="RV802" s="16"/>
      <c r="RW802" s="16"/>
      <c r="RX802" s="16"/>
      <c r="RY802" s="16"/>
      <c r="RZ802" s="16"/>
      <c r="SA802" s="16"/>
      <c r="SB802" s="16"/>
      <c r="SC802" s="16"/>
      <c r="SD802" s="16"/>
      <c r="SE802" s="16"/>
      <c r="SF802" s="16"/>
      <c r="SG802" s="16"/>
      <c r="SH802" s="16"/>
      <c r="SI802" s="16"/>
      <c r="SJ802" s="16"/>
      <c r="SK802" s="16"/>
      <c r="SL802" s="16"/>
      <c r="SM802" s="16"/>
      <c r="SN802" s="16"/>
      <c r="SO802" s="16"/>
      <c r="SP802" s="16"/>
      <c r="SQ802" s="16"/>
      <c r="SR802" s="16"/>
      <c r="SS802" s="16"/>
      <c r="ST802" s="16"/>
      <c r="SU802" s="16"/>
      <c r="SV802" s="16"/>
      <c r="SW802" s="16"/>
      <c r="SX802" s="16"/>
      <c r="SY802" s="16"/>
      <c r="SZ802" s="16"/>
      <c r="TA802" s="16"/>
      <c r="TB802" s="16"/>
      <c r="TC802" s="16"/>
      <c r="TD802" s="16"/>
      <c r="TE802" s="16"/>
      <c r="TF802" s="16"/>
      <c r="TG802" s="16"/>
      <c r="TH802" s="16"/>
      <c r="TI802" s="16"/>
      <c r="TJ802" s="16"/>
      <c r="TK802" s="16"/>
      <c r="TL802" s="16"/>
      <c r="TM802" s="16"/>
      <c r="TN802" s="16"/>
      <c r="TO802" s="16"/>
      <c r="TP802" s="16"/>
      <c r="TQ802" s="16"/>
      <c r="TR802" s="16"/>
      <c r="TS802" s="16"/>
      <c r="TT802" s="16"/>
      <c r="TU802" s="16"/>
      <c r="TV802" s="16"/>
      <c r="TW802" s="16"/>
      <c r="TX802" s="16"/>
      <c r="TY802" s="16"/>
      <c r="TZ802" s="16"/>
      <c r="UA802" s="16"/>
      <c r="UB802" s="16"/>
      <c r="UC802" s="16"/>
      <c r="UD802" s="16"/>
      <c r="UE802" s="16"/>
      <c r="UF802" s="16"/>
      <c r="UG802" s="16"/>
      <c r="UH802" s="16"/>
      <c r="UI802" s="16"/>
      <c r="UJ802" s="16"/>
      <c r="UK802" s="16"/>
      <c r="UL802" s="16"/>
      <c r="UM802" s="16"/>
      <c r="UN802" s="16"/>
      <c r="UO802" s="16"/>
      <c r="UP802" s="16"/>
      <c r="UQ802" s="16"/>
      <c r="UR802" s="16"/>
      <c r="US802" s="16"/>
      <c r="UT802" s="16"/>
      <c r="UU802" s="16"/>
      <c r="UV802" s="16"/>
      <c r="UW802" s="16"/>
      <c r="UX802" s="16"/>
      <c r="UY802" s="16"/>
      <c r="UZ802" s="16"/>
      <c r="VA802" s="16"/>
      <c r="VB802" s="16"/>
      <c r="VC802" s="16"/>
      <c r="VD802" s="16"/>
      <c r="VE802" s="16"/>
      <c r="VF802" s="16"/>
      <c r="VG802" s="16"/>
      <c r="VH802" s="16"/>
      <c r="VI802" s="16"/>
      <c r="VJ802" s="16"/>
      <c r="VK802" s="16"/>
      <c r="VL802" s="16"/>
      <c r="VM802" s="16"/>
      <c r="VN802" s="16"/>
      <c r="VO802" s="16"/>
      <c r="VP802" s="16"/>
      <c r="VQ802" s="16"/>
      <c r="VR802" s="16"/>
      <c r="VS802" s="16"/>
      <c r="VT802" s="16"/>
      <c r="VU802" s="16"/>
      <c r="VV802" s="16"/>
      <c r="VW802" s="16"/>
      <c r="VX802" s="16"/>
      <c r="VY802" s="16"/>
      <c r="VZ802" s="16"/>
      <c r="WA802" s="16"/>
      <c r="WB802" s="16"/>
      <c r="WC802" s="16"/>
      <c r="WD802" s="16"/>
      <c r="WE802" s="16"/>
      <c r="WF802" s="16"/>
      <c r="WG802" s="16"/>
      <c r="WH802" s="16"/>
      <c r="WI802" s="16"/>
      <c r="WJ802" s="16"/>
      <c r="WK802" s="16"/>
      <c r="WL802" s="16"/>
      <c r="WM802" s="16"/>
      <c r="WN802" s="16"/>
      <c r="WO802" s="16"/>
      <c r="WP802" s="16"/>
      <c r="WQ802" s="16"/>
      <c r="WR802" s="16"/>
      <c r="WS802" s="16"/>
      <c r="WT802" s="16"/>
      <c r="WU802" s="16"/>
      <c r="WV802" s="16"/>
      <c r="WW802" s="16"/>
      <c r="WX802" s="16"/>
      <c r="WY802" s="16"/>
      <c r="WZ802" s="16"/>
      <c r="XA802" s="16"/>
      <c r="XB802" s="16"/>
      <c r="XC802" s="16"/>
      <c r="XD802" s="16"/>
      <c r="XE802" s="16"/>
      <c r="XF802" s="16"/>
      <c r="XG802" s="16"/>
      <c r="XH802" s="16"/>
      <c r="XI802" s="16"/>
      <c r="XJ802" s="16"/>
      <c r="XK802" s="16"/>
      <c r="XL802" s="16"/>
      <c r="XM802" s="16"/>
      <c r="XN802" s="16"/>
      <c r="XO802" s="16"/>
      <c r="XP802" s="16"/>
      <c r="XQ802" s="16"/>
      <c r="XR802" s="16"/>
      <c r="XS802" s="16"/>
      <c r="XT802" s="16"/>
      <c r="XU802" s="16"/>
      <c r="XV802" s="16"/>
      <c r="XW802" s="16"/>
      <c r="XX802" s="16"/>
      <c r="XY802" s="16"/>
      <c r="XZ802" s="16"/>
      <c r="YA802" s="16"/>
      <c r="YB802" s="16"/>
      <c r="YC802" s="16"/>
      <c r="YD802" s="16"/>
      <c r="YE802" s="16"/>
      <c r="YF802" s="16"/>
      <c r="YG802" s="16"/>
      <c r="YH802" s="16"/>
      <c r="YI802" s="16"/>
      <c r="YJ802" s="16"/>
      <c r="YK802" s="16"/>
      <c r="YL802" s="16"/>
      <c r="YM802" s="16"/>
      <c r="YN802" s="16"/>
      <c r="YO802" s="16"/>
      <c r="YP802" s="16"/>
      <c r="YQ802" s="16"/>
      <c r="YR802" s="16"/>
      <c r="YS802" s="16"/>
      <c r="YT802" s="16"/>
      <c r="YU802" s="16"/>
      <c r="YV802" s="16"/>
      <c r="YW802" s="16"/>
      <c r="YX802" s="16"/>
      <c r="YY802" s="16"/>
      <c r="YZ802" s="16"/>
      <c r="ZA802" s="16"/>
      <c r="ZB802" s="16"/>
      <c r="ZC802" s="16"/>
      <c r="ZD802" s="16"/>
      <c r="ZE802" s="16"/>
      <c r="ZF802" s="16"/>
      <c r="ZG802" s="16"/>
      <c r="ZH802" s="16"/>
      <c r="ZI802" s="16"/>
      <c r="ZJ802" s="16"/>
      <c r="ZK802" s="16"/>
      <c r="ZL802" s="16"/>
      <c r="ZM802" s="16"/>
      <c r="ZN802" s="16"/>
      <c r="ZO802" s="16"/>
      <c r="ZP802" s="16"/>
      <c r="ZQ802" s="16"/>
      <c r="ZR802" s="16"/>
      <c r="ZS802" s="16"/>
      <c r="ZT802" s="16"/>
      <c r="ZU802" s="16"/>
      <c r="ZV802" s="16"/>
      <c r="ZW802" s="16"/>
      <c r="ZX802" s="16"/>
      <c r="ZY802" s="16"/>
      <c r="ZZ802" s="16"/>
      <c r="AAA802" s="16"/>
      <c r="AAB802" s="16"/>
      <c r="AAC802" s="16"/>
      <c r="AAD802" s="16"/>
      <c r="AAE802" s="16"/>
      <c r="AAF802" s="16"/>
      <c r="AAG802" s="16"/>
      <c r="AAH802" s="16"/>
      <c r="AAI802" s="16"/>
      <c r="AAJ802" s="16"/>
      <c r="AAK802" s="16"/>
      <c r="AAL802" s="16"/>
      <c r="AAM802" s="16"/>
      <c r="AAN802" s="16"/>
      <c r="AAO802" s="16"/>
      <c r="AAP802" s="16"/>
      <c r="AAQ802" s="16"/>
      <c r="AAR802" s="16"/>
      <c r="AAS802" s="16"/>
      <c r="AAT802" s="16"/>
      <c r="AAU802" s="16"/>
      <c r="AAV802" s="16"/>
      <c r="AAW802" s="16"/>
      <c r="AAX802" s="16"/>
      <c r="AAY802" s="16"/>
      <c r="AAZ802" s="16"/>
      <c r="ABA802" s="16"/>
      <c r="ABB802" s="16"/>
      <c r="ABC802" s="16"/>
      <c r="ABD802" s="16"/>
      <c r="ABE802" s="16"/>
      <c r="ABF802" s="16"/>
      <c r="ABG802" s="16"/>
      <c r="ABH802" s="16"/>
      <c r="ABI802" s="16"/>
      <c r="ABJ802" s="16"/>
      <c r="ABK802" s="16"/>
      <c r="ABL802" s="16"/>
      <c r="ABM802" s="16"/>
      <c r="ABN802" s="16"/>
      <c r="ABO802" s="16"/>
      <c r="ABP802" s="16"/>
      <c r="ABQ802" s="16"/>
      <c r="ABR802" s="16"/>
      <c r="ABS802" s="16"/>
      <c r="ABT802" s="16"/>
      <c r="ABU802" s="16"/>
      <c r="ABV802" s="16"/>
      <c r="ABW802" s="16"/>
      <c r="ABX802" s="16"/>
      <c r="ABY802" s="16"/>
      <c r="ABZ802" s="16"/>
      <c r="ACA802" s="16"/>
      <c r="ACB802" s="16"/>
      <c r="ACC802" s="16"/>
      <c r="ACD802" s="16"/>
      <c r="ACE802" s="16"/>
      <c r="ACF802" s="16"/>
      <c r="ACG802" s="16"/>
      <c r="ACH802" s="16"/>
      <c r="ACI802" s="16"/>
      <c r="ACJ802" s="16"/>
      <c r="ACK802" s="16"/>
      <c r="ACL802" s="16"/>
      <c r="ACM802" s="16"/>
      <c r="ACN802" s="16"/>
      <c r="ACO802" s="16"/>
      <c r="ACP802" s="16"/>
      <c r="ACQ802" s="16"/>
      <c r="ACR802" s="16"/>
      <c r="ACS802" s="16"/>
      <c r="ACT802" s="16"/>
      <c r="ACU802" s="16"/>
      <c r="ACV802" s="16"/>
      <c r="ACW802" s="16"/>
      <c r="ACX802" s="16"/>
      <c r="ACY802" s="16"/>
      <c r="ACZ802" s="16"/>
      <c r="ADA802" s="16"/>
      <c r="ADB802" s="16"/>
      <c r="ADC802" s="16"/>
      <c r="ADD802" s="16"/>
      <c r="ADE802" s="16"/>
      <c r="ADF802" s="16"/>
      <c r="ADG802" s="16"/>
      <c r="ADH802" s="16"/>
      <c r="ADI802" s="16"/>
      <c r="ADJ802" s="16"/>
      <c r="ADK802" s="16"/>
      <c r="ADL802" s="16"/>
      <c r="ADM802" s="16"/>
      <c r="ADN802" s="16"/>
      <c r="ADO802" s="16"/>
      <c r="ADP802" s="16"/>
      <c r="ADQ802" s="16"/>
      <c r="ADR802" s="16"/>
      <c r="ADS802" s="16"/>
      <c r="ADT802" s="16"/>
      <c r="ADU802" s="16"/>
      <c r="ADV802" s="16"/>
      <c r="ADW802" s="16"/>
      <c r="ADX802" s="16"/>
      <c r="ADY802" s="16"/>
      <c r="ADZ802" s="16"/>
      <c r="AEA802" s="16"/>
      <c r="AEB802" s="16"/>
      <c r="AEC802" s="16"/>
      <c r="AED802" s="16"/>
      <c r="AEE802" s="16"/>
      <c r="AEF802" s="16"/>
      <c r="AEG802" s="16"/>
      <c r="AEH802" s="16"/>
      <c r="AEI802" s="16"/>
      <c r="AEJ802" s="16"/>
      <c r="AEK802" s="16"/>
      <c r="AEL802" s="16"/>
      <c r="AEM802" s="16"/>
      <c r="AEN802" s="16"/>
      <c r="AEO802" s="16"/>
      <c r="AEP802" s="16"/>
      <c r="AEQ802" s="16"/>
      <c r="AER802" s="16"/>
      <c r="AES802" s="16"/>
      <c r="AET802" s="16"/>
      <c r="AEU802" s="16"/>
      <c r="AEV802" s="16"/>
      <c r="AEW802" s="16"/>
      <c r="AEX802" s="16"/>
      <c r="AEY802" s="16"/>
      <c r="AEZ802" s="16"/>
      <c r="AFA802" s="16"/>
      <c r="AFB802" s="16"/>
      <c r="AFC802" s="16"/>
      <c r="AFD802" s="16"/>
      <c r="AFE802" s="16"/>
      <c r="AFF802" s="16"/>
      <c r="AFG802" s="16"/>
      <c r="AFH802" s="16"/>
      <c r="AFI802" s="16"/>
      <c r="AFJ802" s="16"/>
      <c r="AFK802" s="16"/>
      <c r="AFL802" s="16"/>
      <c r="AFM802" s="16"/>
      <c r="AFN802" s="16"/>
      <c r="AFO802" s="16"/>
      <c r="AFP802" s="16"/>
      <c r="AFQ802" s="16"/>
      <c r="AFR802" s="16"/>
      <c r="AFS802" s="16"/>
      <c r="AFT802" s="16"/>
      <c r="AFU802" s="16"/>
      <c r="AFV802" s="16"/>
      <c r="AFW802" s="16"/>
      <c r="AFX802" s="16"/>
      <c r="AFY802" s="16"/>
      <c r="AFZ802" s="16"/>
      <c r="AGA802" s="16"/>
      <c r="AGB802" s="16"/>
      <c r="AGC802" s="16"/>
      <c r="AGD802" s="16"/>
      <c r="AGE802" s="16"/>
      <c r="AGF802" s="16"/>
      <c r="AGG802" s="16"/>
      <c r="AGH802" s="16"/>
      <c r="AGI802" s="16"/>
      <c r="AGJ802" s="16"/>
    </row>
    <row r="803" spans="1:868" s="820" customFormat="1">
      <c r="A803" s="34" t="s">
        <v>235</v>
      </c>
      <c r="B803" s="40" t="s">
        <v>319</v>
      </c>
      <c r="C803" s="34" t="s">
        <v>139</v>
      </c>
      <c r="D803" s="40" t="s">
        <v>139</v>
      </c>
      <c r="E803" s="237">
        <v>1.2999999999999999E-3</v>
      </c>
      <c r="F803" s="168">
        <v>2</v>
      </c>
      <c r="G803" s="34" t="s">
        <v>177</v>
      </c>
      <c r="H803" s="29">
        <v>1</v>
      </c>
      <c r="I803" s="9"/>
      <c r="J803" s="9">
        <v>1</v>
      </c>
      <c r="K803" s="9">
        <v>1</v>
      </c>
      <c r="L803" s="9">
        <v>1</v>
      </c>
      <c r="M803" s="9">
        <v>3</v>
      </c>
      <c r="N803" s="185">
        <f>IF( OR( ISBLANK(H803),ISBLANK(J803), ISBLANK(K803), ISBLANK(L803), ISBLANK(M803) ), "", 1.5*SQRT(   EXP(2.21*(H803-1)) + EXP(2.21*(J803-1)) + EXP(2.21*(K803-1)) + EXP(2.21*(L803-1)) + EXP(2.21*M803)   )/100*2.45 )</f>
        <v>1.0141150152164344</v>
      </c>
      <c r="O803" s="159" t="str">
        <f>IF( OR( ISBLANK(I803),ISBLANK(J803), ISBLANK(K803), ISBLANK(L803), ISBLANK(M803) ), "", 1.5*SQRT( EXP(2.21*(I803-1)) + EXP(2.21*(J803-1)) + EXP(2.21*(K803-1)) + EXP(2.21*(L803-1)) + EXP(2.21*M803)   )/100*2.45 )</f>
        <v/>
      </c>
      <c r="P803" s="34"/>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c r="AY803" s="16"/>
      <c r="AZ803" s="16"/>
      <c r="BA803" s="16"/>
      <c r="BB803" s="16"/>
      <c r="BC803" s="16"/>
      <c r="BD803" s="16"/>
      <c r="BE803" s="16"/>
      <c r="BF803" s="16"/>
      <c r="BG803" s="16"/>
      <c r="BH803" s="16"/>
      <c r="BI803" s="16"/>
      <c r="BJ803" s="16"/>
      <c r="BK803" s="16"/>
      <c r="BL803" s="16"/>
      <c r="BM803" s="16"/>
      <c r="BN803" s="16"/>
      <c r="BO803" s="16"/>
      <c r="BP803" s="16"/>
      <c r="BQ803" s="16"/>
      <c r="BR803" s="16"/>
      <c r="BS803" s="16"/>
      <c r="BT803" s="16"/>
      <c r="BU803" s="16"/>
      <c r="BV803" s="16"/>
      <c r="BW803" s="16"/>
      <c r="BX803" s="16"/>
      <c r="BY803" s="16"/>
      <c r="BZ803" s="16"/>
      <c r="CA803" s="16"/>
      <c r="CB803" s="16"/>
      <c r="CC803" s="16"/>
      <c r="CD803" s="16"/>
      <c r="CE803" s="16"/>
      <c r="CF803" s="16"/>
      <c r="CG803" s="16"/>
      <c r="CH803" s="16"/>
      <c r="CI803" s="16"/>
      <c r="CJ803" s="16"/>
      <c r="CK803" s="16"/>
      <c r="CL803" s="16"/>
      <c r="CM803" s="16"/>
      <c r="CN803" s="16"/>
      <c r="CO803" s="16"/>
      <c r="CP803" s="16"/>
      <c r="CQ803" s="16"/>
      <c r="CR803" s="16"/>
      <c r="CS803" s="16"/>
      <c r="CT803" s="16"/>
      <c r="CU803" s="16"/>
      <c r="CV803" s="16"/>
      <c r="CW803" s="16"/>
      <c r="CX803" s="16"/>
      <c r="CY803" s="16"/>
      <c r="CZ803" s="16"/>
      <c r="DA803" s="16"/>
      <c r="DB803" s="16"/>
      <c r="DC803" s="16"/>
      <c r="DD803" s="16"/>
      <c r="DE803" s="16"/>
      <c r="DF803" s="16"/>
      <c r="DG803" s="16"/>
      <c r="DH803" s="16"/>
      <c r="DI803" s="16"/>
      <c r="DJ803" s="16"/>
      <c r="DK803" s="16"/>
      <c r="DL803" s="16"/>
      <c r="DM803" s="16"/>
      <c r="DN803" s="16"/>
      <c r="DO803" s="16"/>
      <c r="DP803" s="16"/>
      <c r="DQ803" s="16"/>
      <c r="DR803" s="16"/>
      <c r="DS803" s="16"/>
      <c r="DT803" s="16"/>
      <c r="DU803" s="16"/>
      <c r="DV803" s="16"/>
      <c r="DW803" s="16"/>
      <c r="DX803" s="16"/>
      <c r="DY803" s="16"/>
      <c r="DZ803" s="16"/>
      <c r="EA803" s="16"/>
      <c r="EB803" s="16"/>
      <c r="EC803" s="16"/>
      <c r="ED803" s="16"/>
      <c r="EE803" s="16"/>
      <c r="EF803" s="16"/>
      <c r="EG803" s="16"/>
      <c r="EH803" s="16"/>
      <c r="EI803" s="16"/>
      <c r="EJ803" s="16"/>
      <c r="EK803" s="16"/>
      <c r="EL803" s="16"/>
      <c r="EM803" s="16"/>
      <c r="EN803" s="16"/>
      <c r="EO803" s="16"/>
      <c r="EP803" s="16"/>
      <c r="EQ803" s="16"/>
      <c r="ER803" s="16"/>
      <c r="ES803" s="16"/>
      <c r="ET803" s="16"/>
      <c r="EU803" s="16"/>
      <c r="EV803" s="16"/>
      <c r="EW803" s="16"/>
      <c r="EX803" s="16"/>
      <c r="EY803" s="16"/>
      <c r="EZ803" s="16"/>
      <c r="FA803" s="16"/>
      <c r="FB803" s="16"/>
      <c r="FC803" s="16"/>
      <c r="FD803" s="16"/>
      <c r="FE803" s="16"/>
      <c r="FF803" s="16"/>
      <c r="FG803" s="16"/>
      <c r="FH803" s="16"/>
      <c r="FI803" s="16"/>
      <c r="FJ803" s="16"/>
      <c r="FK803" s="16"/>
      <c r="FL803" s="16"/>
      <c r="FM803" s="16"/>
      <c r="FN803" s="16"/>
      <c r="FO803" s="16"/>
      <c r="FP803" s="16"/>
      <c r="FQ803" s="16"/>
      <c r="FR803" s="16"/>
      <c r="FS803" s="16"/>
      <c r="FT803" s="16"/>
      <c r="FU803" s="16"/>
      <c r="FV803" s="16"/>
      <c r="FW803" s="16"/>
      <c r="FX803" s="16"/>
      <c r="FY803" s="16"/>
      <c r="FZ803" s="16"/>
      <c r="GA803" s="16"/>
      <c r="GB803" s="16"/>
      <c r="GC803" s="16"/>
      <c r="GD803" s="16"/>
      <c r="GE803" s="16"/>
      <c r="GF803" s="16"/>
      <c r="GG803" s="16"/>
      <c r="GH803" s="16"/>
      <c r="GI803" s="16"/>
      <c r="GJ803" s="16"/>
      <c r="GK803" s="16"/>
      <c r="GL803" s="16"/>
      <c r="GM803" s="16"/>
      <c r="GN803" s="16"/>
      <c r="GO803" s="16"/>
      <c r="GP803" s="16"/>
      <c r="GQ803" s="16"/>
      <c r="GR803" s="16"/>
      <c r="GS803" s="16"/>
      <c r="GT803" s="16"/>
      <c r="GU803" s="16"/>
      <c r="GV803" s="16"/>
      <c r="GW803" s="16"/>
      <c r="GX803" s="16"/>
      <c r="GY803" s="16"/>
      <c r="GZ803" s="16"/>
      <c r="HA803" s="16"/>
      <c r="HB803" s="16"/>
      <c r="HC803" s="16"/>
      <c r="HD803" s="16"/>
      <c r="HE803" s="16"/>
      <c r="HF803" s="16"/>
      <c r="HG803" s="16"/>
      <c r="HH803" s="16"/>
      <c r="HI803" s="16"/>
      <c r="HJ803" s="16"/>
      <c r="HK803" s="16"/>
      <c r="HL803" s="16"/>
      <c r="HM803" s="16"/>
      <c r="HN803" s="16"/>
      <c r="HO803" s="16"/>
      <c r="HP803" s="16"/>
      <c r="HQ803" s="16"/>
      <c r="HR803" s="16"/>
      <c r="HS803" s="16"/>
      <c r="HT803" s="16"/>
      <c r="HU803" s="16"/>
      <c r="HV803" s="16"/>
      <c r="HW803" s="16"/>
      <c r="HX803" s="16"/>
      <c r="HY803" s="16"/>
      <c r="HZ803" s="16"/>
      <c r="IA803" s="16"/>
      <c r="IB803" s="16"/>
      <c r="IC803" s="16"/>
      <c r="ID803" s="16"/>
      <c r="IE803" s="16"/>
      <c r="IF803" s="16"/>
      <c r="IG803" s="16"/>
      <c r="IH803" s="16"/>
      <c r="II803" s="16"/>
      <c r="IJ803" s="16"/>
      <c r="IK803" s="16"/>
      <c r="IL803" s="16"/>
      <c r="IM803" s="16"/>
      <c r="IN803" s="16"/>
      <c r="IO803" s="16"/>
      <c r="IP803" s="16"/>
      <c r="IQ803" s="16"/>
      <c r="IR803" s="16"/>
      <c r="IS803" s="16"/>
      <c r="IT803" s="16"/>
      <c r="IU803" s="16"/>
      <c r="IV803" s="16"/>
      <c r="IW803" s="16"/>
      <c r="IX803" s="16"/>
      <c r="IY803" s="16"/>
      <c r="IZ803" s="16"/>
      <c r="JA803" s="16"/>
      <c r="JB803" s="16"/>
      <c r="JC803" s="16"/>
      <c r="JD803" s="16"/>
      <c r="JE803" s="16"/>
      <c r="JF803" s="16"/>
      <c r="JG803" s="16"/>
      <c r="JH803" s="16"/>
      <c r="JI803" s="16"/>
      <c r="JJ803" s="16"/>
      <c r="JK803" s="16"/>
      <c r="JL803" s="16"/>
      <c r="JM803" s="16"/>
      <c r="JN803" s="16"/>
      <c r="JO803" s="16"/>
      <c r="JP803" s="16"/>
      <c r="JQ803" s="16"/>
      <c r="JR803" s="16"/>
      <c r="JS803" s="16"/>
      <c r="JT803" s="16"/>
      <c r="JU803" s="16"/>
      <c r="JV803" s="16"/>
      <c r="JW803" s="16"/>
      <c r="JX803" s="16"/>
      <c r="JY803" s="16"/>
      <c r="JZ803" s="16"/>
      <c r="KA803" s="16"/>
      <c r="KB803" s="16"/>
      <c r="KC803" s="16"/>
      <c r="KD803" s="16"/>
      <c r="KE803" s="16"/>
      <c r="KF803" s="16"/>
      <c r="KG803" s="16"/>
      <c r="KH803" s="16"/>
      <c r="KI803" s="16"/>
      <c r="KJ803" s="16"/>
      <c r="KK803" s="16"/>
      <c r="KL803" s="16"/>
      <c r="KM803" s="16"/>
      <c r="KN803" s="16"/>
      <c r="KO803" s="16"/>
      <c r="KP803" s="16"/>
      <c r="KQ803" s="16"/>
      <c r="KR803" s="16"/>
      <c r="KS803" s="16"/>
      <c r="KT803" s="16"/>
      <c r="KU803" s="16"/>
      <c r="KV803" s="16"/>
      <c r="KW803" s="16"/>
      <c r="KX803" s="16"/>
      <c r="KY803" s="16"/>
      <c r="KZ803" s="16"/>
      <c r="LA803" s="16"/>
      <c r="LB803" s="16"/>
      <c r="LC803" s="16"/>
      <c r="LD803" s="16"/>
      <c r="LE803" s="16"/>
      <c r="LF803" s="16"/>
      <c r="LG803" s="16"/>
      <c r="LH803" s="16"/>
      <c r="LI803" s="16"/>
      <c r="LJ803" s="16"/>
      <c r="LK803" s="16"/>
      <c r="LL803" s="16"/>
      <c r="LM803" s="16"/>
      <c r="LN803" s="16"/>
      <c r="LO803" s="16"/>
      <c r="LP803" s="16"/>
      <c r="LQ803" s="16"/>
      <c r="LR803" s="16"/>
      <c r="LS803" s="16"/>
      <c r="LT803" s="16"/>
      <c r="LU803" s="16"/>
      <c r="LV803" s="16"/>
      <c r="LW803" s="16"/>
      <c r="LX803" s="16"/>
      <c r="LY803" s="16"/>
      <c r="LZ803" s="16"/>
      <c r="MA803" s="16"/>
      <c r="MB803" s="16"/>
      <c r="MC803" s="16"/>
      <c r="MD803" s="16"/>
      <c r="ME803" s="16"/>
      <c r="MF803" s="16"/>
      <c r="MG803" s="16"/>
      <c r="MH803" s="16"/>
      <c r="MI803" s="16"/>
      <c r="MJ803" s="16"/>
      <c r="MK803" s="16"/>
      <c r="ML803" s="16"/>
      <c r="MM803" s="16"/>
      <c r="MN803" s="16"/>
      <c r="MO803" s="16"/>
      <c r="MP803" s="16"/>
      <c r="MQ803" s="16"/>
      <c r="MR803" s="16"/>
      <c r="MS803" s="16"/>
      <c r="MT803" s="16"/>
      <c r="MU803" s="16"/>
      <c r="MV803" s="16"/>
      <c r="MW803" s="16"/>
      <c r="MX803" s="16"/>
      <c r="MY803" s="16"/>
      <c r="MZ803" s="16"/>
      <c r="NA803" s="16"/>
      <c r="NB803" s="16"/>
      <c r="NC803" s="16"/>
      <c r="ND803" s="16"/>
      <c r="NE803" s="16"/>
      <c r="NF803" s="16"/>
      <c r="NG803" s="16"/>
      <c r="NH803" s="16"/>
      <c r="NI803" s="16"/>
      <c r="NJ803" s="16"/>
      <c r="NK803" s="16"/>
      <c r="NL803" s="16"/>
      <c r="NM803" s="16"/>
      <c r="NN803" s="16"/>
      <c r="NO803" s="16"/>
      <c r="NP803" s="16"/>
      <c r="NQ803" s="16"/>
      <c r="NR803" s="16"/>
      <c r="NS803" s="16"/>
      <c r="NT803" s="16"/>
      <c r="NU803" s="16"/>
      <c r="NV803" s="16"/>
      <c r="NW803" s="16"/>
      <c r="NX803" s="16"/>
      <c r="NY803" s="16"/>
      <c r="NZ803" s="16"/>
      <c r="OA803" s="16"/>
      <c r="OB803" s="16"/>
      <c r="OC803" s="16"/>
      <c r="OD803" s="16"/>
      <c r="OE803" s="16"/>
      <c r="OF803" s="16"/>
      <c r="OG803" s="16"/>
      <c r="OH803" s="16"/>
      <c r="OI803" s="16"/>
      <c r="OJ803" s="16"/>
      <c r="OK803" s="16"/>
      <c r="OL803" s="16"/>
      <c r="OM803" s="16"/>
      <c r="ON803" s="16"/>
      <c r="OO803" s="16"/>
      <c r="OP803" s="16"/>
      <c r="OQ803" s="16"/>
      <c r="OR803" s="16"/>
      <c r="OS803" s="16"/>
      <c r="OT803" s="16"/>
      <c r="OU803" s="16"/>
      <c r="OV803" s="16"/>
      <c r="OW803" s="16"/>
      <c r="OX803" s="16"/>
      <c r="OY803" s="16"/>
      <c r="OZ803" s="16"/>
      <c r="PA803" s="16"/>
      <c r="PB803" s="16"/>
      <c r="PC803" s="16"/>
      <c r="PD803" s="16"/>
      <c r="PE803" s="16"/>
      <c r="PF803" s="16"/>
      <c r="PG803" s="16"/>
      <c r="PH803" s="16"/>
      <c r="PI803" s="16"/>
      <c r="PJ803" s="16"/>
      <c r="PK803" s="16"/>
      <c r="PL803" s="16"/>
      <c r="PM803" s="16"/>
      <c r="PN803" s="16"/>
      <c r="PO803" s="16"/>
      <c r="PP803" s="16"/>
      <c r="PQ803" s="16"/>
      <c r="PR803" s="16"/>
      <c r="PS803" s="16"/>
      <c r="PT803" s="16"/>
      <c r="PU803" s="16"/>
      <c r="PV803" s="16"/>
      <c r="PW803" s="16"/>
      <c r="PX803" s="16"/>
      <c r="PY803" s="16"/>
      <c r="PZ803" s="16"/>
      <c r="QA803" s="16"/>
      <c r="QB803" s="16"/>
      <c r="QC803" s="16"/>
      <c r="QD803" s="16"/>
      <c r="QE803" s="16"/>
      <c r="QF803" s="16"/>
      <c r="QG803" s="16"/>
      <c r="QH803" s="16"/>
      <c r="QI803" s="16"/>
      <c r="QJ803" s="16"/>
      <c r="QK803" s="16"/>
      <c r="QL803" s="16"/>
      <c r="QM803" s="16"/>
      <c r="QN803" s="16"/>
      <c r="QO803" s="16"/>
      <c r="QP803" s="16"/>
      <c r="QQ803" s="16"/>
      <c r="QR803" s="16"/>
      <c r="QS803" s="16"/>
      <c r="QT803" s="16"/>
      <c r="QU803" s="16"/>
      <c r="QV803" s="16"/>
      <c r="QW803" s="16"/>
      <c r="QX803" s="16"/>
      <c r="QY803" s="16"/>
      <c r="QZ803" s="16"/>
      <c r="RA803" s="16"/>
      <c r="RB803" s="16"/>
      <c r="RC803" s="16"/>
      <c r="RD803" s="16"/>
      <c r="RE803" s="16"/>
      <c r="RF803" s="16"/>
      <c r="RG803" s="16"/>
      <c r="RH803" s="16"/>
      <c r="RI803" s="16"/>
      <c r="RJ803" s="16"/>
      <c r="RK803" s="16"/>
      <c r="RL803" s="16"/>
      <c r="RM803" s="16"/>
      <c r="RN803" s="16"/>
      <c r="RO803" s="16"/>
      <c r="RP803" s="16"/>
      <c r="RQ803" s="16"/>
      <c r="RR803" s="16"/>
      <c r="RS803" s="16"/>
      <c r="RT803" s="16"/>
      <c r="RU803" s="16"/>
      <c r="RV803" s="16"/>
      <c r="RW803" s="16"/>
      <c r="RX803" s="16"/>
      <c r="RY803" s="16"/>
      <c r="RZ803" s="16"/>
      <c r="SA803" s="16"/>
      <c r="SB803" s="16"/>
      <c r="SC803" s="16"/>
      <c r="SD803" s="16"/>
      <c r="SE803" s="16"/>
      <c r="SF803" s="16"/>
      <c r="SG803" s="16"/>
      <c r="SH803" s="16"/>
      <c r="SI803" s="16"/>
      <c r="SJ803" s="16"/>
      <c r="SK803" s="16"/>
      <c r="SL803" s="16"/>
      <c r="SM803" s="16"/>
      <c r="SN803" s="16"/>
      <c r="SO803" s="16"/>
      <c r="SP803" s="16"/>
      <c r="SQ803" s="16"/>
      <c r="SR803" s="16"/>
      <c r="SS803" s="16"/>
      <c r="ST803" s="16"/>
      <c r="SU803" s="16"/>
      <c r="SV803" s="16"/>
      <c r="SW803" s="16"/>
      <c r="SX803" s="16"/>
      <c r="SY803" s="16"/>
      <c r="SZ803" s="16"/>
      <c r="TA803" s="16"/>
      <c r="TB803" s="16"/>
      <c r="TC803" s="16"/>
      <c r="TD803" s="16"/>
      <c r="TE803" s="16"/>
      <c r="TF803" s="16"/>
      <c r="TG803" s="16"/>
      <c r="TH803" s="16"/>
      <c r="TI803" s="16"/>
      <c r="TJ803" s="16"/>
      <c r="TK803" s="16"/>
      <c r="TL803" s="16"/>
      <c r="TM803" s="16"/>
      <c r="TN803" s="16"/>
      <c r="TO803" s="16"/>
      <c r="TP803" s="16"/>
      <c r="TQ803" s="16"/>
      <c r="TR803" s="16"/>
      <c r="TS803" s="16"/>
      <c r="TT803" s="16"/>
      <c r="TU803" s="16"/>
      <c r="TV803" s="16"/>
      <c r="TW803" s="16"/>
      <c r="TX803" s="16"/>
      <c r="TY803" s="16"/>
      <c r="TZ803" s="16"/>
      <c r="UA803" s="16"/>
      <c r="UB803" s="16"/>
      <c r="UC803" s="16"/>
      <c r="UD803" s="16"/>
      <c r="UE803" s="16"/>
      <c r="UF803" s="16"/>
      <c r="UG803" s="16"/>
      <c r="UH803" s="16"/>
      <c r="UI803" s="16"/>
      <c r="UJ803" s="16"/>
      <c r="UK803" s="16"/>
      <c r="UL803" s="16"/>
      <c r="UM803" s="16"/>
      <c r="UN803" s="16"/>
      <c r="UO803" s="16"/>
      <c r="UP803" s="16"/>
      <c r="UQ803" s="16"/>
      <c r="UR803" s="16"/>
      <c r="US803" s="16"/>
      <c r="UT803" s="16"/>
      <c r="UU803" s="16"/>
      <c r="UV803" s="16"/>
      <c r="UW803" s="16"/>
      <c r="UX803" s="16"/>
      <c r="UY803" s="16"/>
      <c r="UZ803" s="16"/>
      <c r="VA803" s="16"/>
      <c r="VB803" s="16"/>
      <c r="VC803" s="16"/>
      <c r="VD803" s="16"/>
      <c r="VE803" s="16"/>
      <c r="VF803" s="16"/>
      <c r="VG803" s="16"/>
      <c r="VH803" s="16"/>
      <c r="VI803" s="16"/>
      <c r="VJ803" s="16"/>
      <c r="VK803" s="16"/>
      <c r="VL803" s="16"/>
      <c r="VM803" s="16"/>
      <c r="VN803" s="16"/>
      <c r="VO803" s="16"/>
      <c r="VP803" s="16"/>
      <c r="VQ803" s="16"/>
      <c r="VR803" s="16"/>
      <c r="VS803" s="16"/>
      <c r="VT803" s="16"/>
      <c r="VU803" s="16"/>
      <c r="VV803" s="16"/>
      <c r="VW803" s="16"/>
      <c r="VX803" s="16"/>
      <c r="VY803" s="16"/>
      <c r="VZ803" s="16"/>
      <c r="WA803" s="16"/>
      <c r="WB803" s="16"/>
      <c r="WC803" s="16"/>
      <c r="WD803" s="16"/>
      <c r="WE803" s="16"/>
      <c r="WF803" s="16"/>
      <c r="WG803" s="16"/>
      <c r="WH803" s="16"/>
      <c r="WI803" s="16"/>
      <c r="WJ803" s="16"/>
      <c r="WK803" s="16"/>
      <c r="WL803" s="16"/>
      <c r="WM803" s="16"/>
      <c r="WN803" s="16"/>
      <c r="WO803" s="16"/>
      <c r="WP803" s="16"/>
      <c r="WQ803" s="16"/>
      <c r="WR803" s="16"/>
      <c r="WS803" s="16"/>
      <c r="WT803" s="16"/>
      <c r="WU803" s="16"/>
      <c r="WV803" s="16"/>
      <c r="WW803" s="16"/>
      <c r="WX803" s="16"/>
      <c r="WY803" s="16"/>
      <c r="WZ803" s="16"/>
      <c r="XA803" s="16"/>
      <c r="XB803" s="16"/>
      <c r="XC803" s="16"/>
      <c r="XD803" s="16"/>
      <c r="XE803" s="16"/>
      <c r="XF803" s="16"/>
      <c r="XG803" s="16"/>
      <c r="XH803" s="16"/>
      <c r="XI803" s="16"/>
      <c r="XJ803" s="16"/>
      <c r="XK803" s="16"/>
      <c r="XL803" s="16"/>
      <c r="XM803" s="16"/>
      <c r="XN803" s="16"/>
      <c r="XO803" s="16"/>
      <c r="XP803" s="16"/>
      <c r="XQ803" s="16"/>
      <c r="XR803" s="16"/>
      <c r="XS803" s="16"/>
      <c r="XT803" s="16"/>
      <c r="XU803" s="16"/>
      <c r="XV803" s="16"/>
      <c r="XW803" s="16"/>
      <c r="XX803" s="16"/>
      <c r="XY803" s="16"/>
      <c r="XZ803" s="16"/>
      <c r="YA803" s="16"/>
      <c r="YB803" s="16"/>
      <c r="YC803" s="16"/>
      <c r="YD803" s="16"/>
      <c r="YE803" s="16"/>
      <c r="YF803" s="16"/>
      <c r="YG803" s="16"/>
      <c r="YH803" s="16"/>
      <c r="YI803" s="16"/>
      <c r="YJ803" s="16"/>
      <c r="YK803" s="16"/>
      <c r="YL803" s="16"/>
      <c r="YM803" s="16"/>
      <c r="YN803" s="16"/>
      <c r="YO803" s="16"/>
      <c r="YP803" s="16"/>
      <c r="YQ803" s="16"/>
      <c r="YR803" s="16"/>
      <c r="YS803" s="16"/>
      <c r="YT803" s="16"/>
      <c r="YU803" s="16"/>
      <c r="YV803" s="16"/>
      <c r="YW803" s="16"/>
      <c r="YX803" s="16"/>
      <c r="YY803" s="16"/>
      <c r="YZ803" s="16"/>
      <c r="ZA803" s="16"/>
      <c r="ZB803" s="16"/>
      <c r="ZC803" s="16"/>
      <c r="ZD803" s="16"/>
      <c r="ZE803" s="16"/>
      <c r="ZF803" s="16"/>
      <c r="ZG803" s="16"/>
      <c r="ZH803" s="16"/>
      <c r="ZI803" s="16"/>
      <c r="ZJ803" s="16"/>
      <c r="ZK803" s="16"/>
      <c r="ZL803" s="16"/>
      <c r="ZM803" s="16"/>
      <c r="ZN803" s="16"/>
      <c r="ZO803" s="16"/>
      <c r="ZP803" s="16"/>
      <c r="ZQ803" s="16"/>
      <c r="ZR803" s="16"/>
      <c r="ZS803" s="16"/>
      <c r="ZT803" s="16"/>
      <c r="ZU803" s="16"/>
      <c r="ZV803" s="16"/>
      <c r="ZW803" s="16"/>
      <c r="ZX803" s="16"/>
      <c r="ZY803" s="16"/>
      <c r="ZZ803" s="16"/>
      <c r="AAA803" s="16"/>
      <c r="AAB803" s="16"/>
      <c r="AAC803" s="16"/>
      <c r="AAD803" s="16"/>
      <c r="AAE803" s="16"/>
      <c r="AAF803" s="16"/>
      <c r="AAG803" s="16"/>
      <c r="AAH803" s="16"/>
      <c r="AAI803" s="16"/>
      <c r="AAJ803" s="16"/>
      <c r="AAK803" s="16"/>
      <c r="AAL803" s="16"/>
      <c r="AAM803" s="16"/>
      <c r="AAN803" s="16"/>
      <c r="AAO803" s="16"/>
      <c r="AAP803" s="16"/>
      <c r="AAQ803" s="16"/>
      <c r="AAR803" s="16"/>
      <c r="AAS803" s="16"/>
      <c r="AAT803" s="16"/>
      <c r="AAU803" s="16"/>
      <c r="AAV803" s="16"/>
      <c r="AAW803" s="16"/>
      <c r="AAX803" s="16"/>
      <c r="AAY803" s="16"/>
      <c r="AAZ803" s="16"/>
      <c r="ABA803" s="16"/>
      <c r="ABB803" s="16"/>
      <c r="ABC803" s="16"/>
      <c r="ABD803" s="16"/>
      <c r="ABE803" s="16"/>
      <c r="ABF803" s="16"/>
      <c r="ABG803" s="16"/>
      <c r="ABH803" s="16"/>
      <c r="ABI803" s="16"/>
      <c r="ABJ803" s="16"/>
      <c r="ABK803" s="16"/>
      <c r="ABL803" s="16"/>
      <c r="ABM803" s="16"/>
      <c r="ABN803" s="16"/>
      <c r="ABO803" s="16"/>
      <c r="ABP803" s="16"/>
      <c r="ABQ803" s="16"/>
      <c r="ABR803" s="16"/>
      <c r="ABS803" s="16"/>
      <c r="ABT803" s="16"/>
      <c r="ABU803" s="16"/>
      <c r="ABV803" s="16"/>
      <c r="ABW803" s="16"/>
      <c r="ABX803" s="16"/>
      <c r="ABY803" s="16"/>
      <c r="ABZ803" s="16"/>
      <c r="ACA803" s="16"/>
      <c r="ACB803" s="16"/>
      <c r="ACC803" s="16"/>
      <c r="ACD803" s="16"/>
      <c r="ACE803" s="16"/>
      <c r="ACF803" s="16"/>
      <c r="ACG803" s="16"/>
      <c r="ACH803" s="16"/>
      <c r="ACI803" s="16"/>
      <c r="ACJ803" s="16"/>
      <c r="ACK803" s="16"/>
      <c r="ACL803" s="16"/>
      <c r="ACM803" s="16"/>
      <c r="ACN803" s="16"/>
      <c r="ACO803" s="16"/>
      <c r="ACP803" s="16"/>
      <c r="ACQ803" s="16"/>
      <c r="ACR803" s="16"/>
      <c r="ACS803" s="16"/>
      <c r="ACT803" s="16"/>
      <c r="ACU803" s="16"/>
      <c r="ACV803" s="16"/>
      <c r="ACW803" s="16"/>
      <c r="ACX803" s="16"/>
      <c r="ACY803" s="16"/>
      <c r="ACZ803" s="16"/>
      <c r="ADA803" s="16"/>
      <c r="ADB803" s="16"/>
      <c r="ADC803" s="16"/>
      <c r="ADD803" s="16"/>
      <c r="ADE803" s="16"/>
      <c r="ADF803" s="16"/>
      <c r="ADG803" s="16"/>
      <c r="ADH803" s="16"/>
      <c r="ADI803" s="16"/>
      <c r="ADJ803" s="16"/>
      <c r="ADK803" s="16"/>
      <c r="ADL803" s="16"/>
      <c r="ADM803" s="16"/>
      <c r="ADN803" s="16"/>
      <c r="ADO803" s="16"/>
      <c r="ADP803" s="16"/>
      <c r="ADQ803" s="16"/>
      <c r="ADR803" s="16"/>
      <c r="ADS803" s="16"/>
      <c r="ADT803" s="16"/>
      <c r="ADU803" s="16"/>
      <c r="ADV803" s="16"/>
      <c r="ADW803" s="16"/>
      <c r="ADX803" s="16"/>
      <c r="ADY803" s="16"/>
      <c r="ADZ803" s="16"/>
      <c r="AEA803" s="16"/>
      <c r="AEB803" s="16"/>
      <c r="AEC803" s="16"/>
      <c r="AED803" s="16"/>
      <c r="AEE803" s="16"/>
      <c r="AEF803" s="16"/>
      <c r="AEG803" s="16"/>
      <c r="AEH803" s="16"/>
      <c r="AEI803" s="16"/>
      <c r="AEJ803" s="16"/>
      <c r="AEK803" s="16"/>
      <c r="AEL803" s="16"/>
      <c r="AEM803" s="16"/>
      <c r="AEN803" s="16"/>
      <c r="AEO803" s="16"/>
      <c r="AEP803" s="16"/>
      <c r="AEQ803" s="16"/>
      <c r="AER803" s="16"/>
      <c r="AES803" s="16"/>
      <c r="AET803" s="16"/>
      <c r="AEU803" s="16"/>
      <c r="AEV803" s="16"/>
      <c r="AEW803" s="16"/>
      <c r="AEX803" s="16"/>
      <c r="AEY803" s="16"/>
      <c r="AEZ803" s="16"/>
      <c r="AFA803" s="16"/>
      <c r="AFB803" s="16"/>
      <c r="AFC803" s="16"/>
      <c r="AFD803" s="16"/>
      <c r="AFE803" s="16"/>
      <c r="AFF803" s="16"/>
      <c r="AFG803" s="16"/>
      <c r="AFH803" s="16"/>
      <c r="AFI803" s="16"/>
      <c r="AFJ803" s="16"/>
      <c r="AFK803" s="16"/>
      <c r="AFL803" s="16"/>
      <c r="AFM803" s="16"/>
      <c r="AFN803" s="16"/>
      <c r="AFO803" s="16"/>
      <c r="AFP803" s="16"/>
      <c r="AFQ803" s="16"/>
      <c r="AFR803" s="16"/>
      <c r="AFS803" s="16"/>
      <c r="AFT803" s="16"/>
      <c r="AFU803" s="16"/>
      <c r="AFV803" s="16"/>
      <c r="AFW803" s="16"/>
      <c r="AFX803" s="16"/>
      <c r="AFY803" s="16"/>
      <c r="AFZ803" s="16"/>
      <c r="AGA803" s="16"/>
      <c r="AGB803" s="16"/>
      <c r="AGC803" s="16"/>
      <c r="AGD803" s="16"/>
      <c r="AGE803" s="16"/>
      <c r="AGF803" s="16"/>
      <c r="AGG803" s="16"/>
      <c r="AGH803" s="16"/>
      <c r="AGI803" s="16"/>
      <c r="AGJ803" s="16"/>
    </row>
    <row r="804" spans="1:868">
      <c r="A804" s="34" t="s">
        <v>235</v>
      </c>
      <c r="B804" s="40" t="s">
        <v>319</v>
      </c>
      <c r="C804" s="34" t="s">
        <v>139</v>
      </c>
      <c r="D804" s="40" t="s">
        <v>139</v>
      </c>
      <c r="E804" s="237">
        <v>1.47E-2</v>
      </c>
      <c r="F804" s="168">
        <v>2</v>
      </c>
      <c r="G804" s="34" t="s">
        <v>310</v>
      </c>
      <c r="H804" s="29">
        <v>1</v>
      </c>
      <c r="I804" s="9"/>
      <c r="J804" s="9">
        <v>1</v>
      </c>
      <c r="K804" s="9">
        <v>1</v>
      </c>
      <c r="L804" s="9">
        <v>1</v>
      </c>
      <c r="M804" s="9">
        <v>3</v>
      </c>
      <c r="N804" s="185">
        <f>IF( OR( ISBLANK(H804),ISBLANK(J804), ISBLANK(K804), ISBLANK(L804), ISBLANK(M804) ), "", 1.5*SQRT(   EXP(2.21*(H804-1)) + EXP(2.21*(J804-1)) + EXP(2.21*(K804-1)) + EXP(2.21*(L804-1)) + EXP(2.21*M804)   )/100*2.45 )</f>
        <v>1.0141150152164344</v>
      </c>
      <c r="O804" s="159" t="str">
        <f>IF( OR( ISBLANK(I804),ISBLANK(J804), ISBLANK(K804), ISBLANK(L804), ISBLANK(M804) ), "", 1.5*SQRT( EXP(2.21*(I804-1)) + EXP(2.21*(J804-1)) + EXP(2.21*(K804-1)) + EXP(2.21*(L804-1)) + EXP(2.21*M804)   )/100*2.45 )</f>
        <v/>
      </c>
      <c r="P804" s="34"/>
    </row>
    <row r="805" spans="1:868">
      <c r="A805" s="34" t="s">
        <v>235</v>
      </c>
      <c r="B805" s="40" t="s">
        <v>244</v>
      </c>
      <c r="C805" s="34" t="s">
        <v>139</v>
      </c>
      <c r="D805" s="40" t="s">
        <v>139</v>
      </c>
      <c r="E805" s="237">
        <v>0.32258064516129031</v>
      </c>
      <c r="F805" s="168">
        <v>1</v>
      </c>
      <c r="G805" s="34" t="s">
        <v>145</v>
      </c>
      <c r="H805" s="29">
        <v>2</v>
      </c>
      <c r="I805" s="9">
        <v>2</v>
      </c>
      <c r="J805" s="9">
        <v>2</v>
      </c>
      <c r="K805" s="9">
        <v>3</v>
      </c>
      <c r="L805" s="9">
        <v>1</v>
      </c>
      <c r="M805" s="9">
        <v>2</v>
      </c>
      <c r="N805" s="185">
        <f>IF( OR( ISBLANK(H805),ISBLANK(J805), ISBLANK(K805), ISBLANK(L805), ISBLANK(M805) ), "", 1.5*SQRT(   EXP(2.21*(H805-1)) + EXP(2.21*(J805-1)) + EXP(2.21*(K805-1)) + EXP(2.21*(L805-1)) + EXP(2.21*M805)   )/100*2.45 )</f>
        <v>0.50042652380814845</v>
      </c>
      <c r="O805" s="159">
        <f>IF( OR( ISBLANK(I805),ISBLANK(J805), ISBLANK(K805), ISBLANK(L805), ISBLANK(M805) ), "", 1.5*SQRT( EXP(2.21*(I805-1)) + EXP(2.21*(J805-1)) + EXP(2.21*(K805-1)) + EXP(2.21*(L805-1)) + EXP(2.21*M805)   )/100*2.45 )</f>
        <v>0.50042652380814845</v>
      </c>
      <c r="P805" s="34" t="s">
        <v>375</v>
      </c>
    </row>
    <row r="806" spans="1:868">
      <c r="A806" s="34" t="s">
        <v>235</v>
      </c>
      <c r="B806" s="40" t="s">
        <v>223</v>
      </c>
      <c r="C806" s="34" t="s">
        <v>139</v>
      </c>
      <c r="D806" s="40" t="s">
        <v>139</v>
      </c>
      <c r="E806" s="237" t="s">
        <v>150</v>
      </c>
      <c r="F806" s="168">
        <v>1</v>
      </c>
      <c r="G806" s="34"/>
      <c r="H806" s="29"/>
      <c r="I806" s="9"/>
      <c r="J806" s="9"/>
      <c r="K806" s="9"/>
      <c r="L806" s="9"/>
      <c r="M806" s="9"/>
      <c r="N806" s="185" t="str">
        <f>IF( OR( ISBLANK(H806),ISBLANK(J806), ISBLANK(K806), ISBLANK(L806), ISBLANK(M806) ), "", 1.5*SQRT(   EXP(2.21*(H806-1)) + EXP(2.21*(J806-1)) + EXP(2.21*(K806-1)) + EXP(2.21*(L806-1)) + EXP(2.21*M806)   )/100*2.45 )</f>
        <v/>
      </c>
      <c r="O806" s="159" t="str">
        <f>IF( OR( ISBLANK(I806),ISBLANK(J806), ISBLANK(K806), ISBLANK(L806), ISBLANK(M806) ), "", 1.5*SQRT( EXP(2.21*(I806-1)) + EXP(2.21*(J806-1)) + EXP(2.21*(K806-1)) + EXP(2.21*(L806-1)) + EXP(2.21*M806)   )/100*2.45 )</f>
        <v/>
      </c>
      <c r="P806" s="34"/>
    </row>
    <row r="807" spans="1:868">
      <c r="A807" s="34" t="s">
        <v>355</v>
      </c>
      <c r="B807" s="40" t="s">
        <v>258</v>
      </c>
      <c r="C807" s="34" t="s">
        <v>139</v>
      </c>
      <c r="D807" s="40" t="s">
        <v>139</v>
      </c>
      <c r="E807" s="237">
        <v>1</v>
      </c>
      <c r="F807" s="168">
        <v>2</v>
      </c>
      <c r="G807" s="34" t="s">
        <v>157</v>
      </c>
      <c r="H807" s="29">
        <v>1</v>
      </c>
      <c r="I807" s="9">
        <v>1</v>
      </c>
      <c r="J807" s="9">
        <v>2</v>
      </c>
      <c r="K807" s="9">
        <v>4</v>
      </c>
      <c r="L807" s="9">
        <v>3</v>
      </c>
      <c r="M807" s="9">
        <v>3</v>
      </c>
      <c r="N807" s="185">
        <f>IF( OR( ISBLANK(H807),ISBLANK(J807), ISBLANK(K807), ISBLANK(L807), ISBLANK(M807) ), "", 1.5*SQRT(   EXP(2.21*(H807-1)) + EXP(2.21*(J807-1)) + EXP(2.21*(K807-1)) + EXP(2.21*(L807-1)) + EXP(2.21*M807)   )/100*2.45 )</f>
        <v>1.4737512213023647</v>
      </c>
      <c r="O807" s="159">
        <f>IF( OR( ISBLANK(I807),ISBLANK(J807), ISBLANK(K807), ISBLANK(L807), ISBLANK(M807) ), "", 1.5*SQRT( EXP(2.21*(I807-1)) + EXP(2.21*(J807-1)) + EXP(2.21*(K807-1)) + EXP(2.21*(L807-1)) + EXP(2.21*M807)   )/100*2.45 )</f>
        <v>1.4737512213023647</v>
      </c>
      <c r="P807" s="34"/>
    </row>
    <row r="808" spans="1:868">
      <c r="A808" s="34" t="s">
        <v>357</v>
      </c>
      <c r="B808" s="40" t="s">
        <v>284</v>
      </c>
      <c r="C808" s="34" t="s">
        <v>139</v>
      </c>
      <c r="D808" s="40" t="s">
        <v>139</v>
      </c>
      <c r="E808" s="237">
        <v>1</v>
      </c>
      <c r="F808" s="168">
        <v>2</v>
      </c>
      <c r="G808" s="34" t="s">
        <v>157</v>
      </c>
      <c r="H808" s="29"/>
      <c r="I808" s="9"/>
      <c r="J808" s="9"/>
      <c r="K808" s="9"/>
      <c r="L808" s="9"/>
      <c r="M808" s="9"/>
      <c r="N808" s="185" t="str">
        <f>IF( OR( ISBLANK(H808),ISBLANK(J808), ISBLANK(K808), ISBLANK(L808), ISBLANK(M808) ), "", 1.5*SQRT(   EXP(2.21*(H808-1)) + EXP(2.21*(J808-1)) + EXP(2.21*(K808-1)) + EXP(2.21*(L808-1)) + EXP(2.21*M808)   )/100*2.45 )</f>
        <v/>
      </c>
      <c r="O808" s="159" t="str">
        <f>IF( OR( ISBLANK(I808),ISBLANK(J808), ISBLANK(K808), ISBLANK(L808), ISBLANK(M808) ), "", 1.5*SQRT( EXP(2.21*(I808-1)) + EXP(2.21*(J808-1)) + EXP(2.21*(K808-1)) + EXP(2.21*(L808-1)) + EXP(2.21*M808)   )/100*2.45 )</f>
        <v/>
      </c>
      <c r="P808" s="34"/>
    </row>
    <row r="809" spans="1:868">
      <c r="A809" s="34" t="s">
        <v>360</v>
      </c>
      <c r="B809" s="40" t="s">
        <v>286</v>
      </c>
      <c r="C809" s="34" t="s">
        <v>139</v>
      </c>
      <c r="D809" s="40" t="s">
        <v>139</v>
      </c>
      <c r="E809" s="237">
        <v>0.50016393442622953</v>
      </c>
      <c r="F809" s="168">
        <v>2</v>
      </c>
      <c r="G809" s="1180" t="s">
        <v>289</v>
      </c>
      <c r="H809" s="29">
        <v>2</v>
      </c>
      <c r="I809" s="9"/>
      <c r="J809" s="9">
        <v>2</v>
      </c>
      <c r="K809" s="9">
        <v>3</v>
      </c>
      <c r="L809" s="9">
        <v>3</v>
      </c>
      <c r="M809" s="9">
        <v>1</v>
      </c>
      <c r="N809" s="185">
        <f>IF( OR( ISBLANK(H809),ISBLANK(J809), ISBLANK(K809), ISBLANK(L809), ISBLANK(M809) ), "", 1.5*SQRT(   EXP(2.21*(H809-1)) + EXP(2.21*(J809-1)) + EXP(2.21*(K809-1)) + EXP(2.21*(L809-1)) + EXP(2.21*M809)   )/100*2.45 )</f>
        <v>0.51126068492676302</v>
      </c>
      <c r="O809" s="159" t="str">
        <f>IF( OR( ISBLANK(I809),ISBLANK(J809), ISBLANK(K809), ISBLANK(L809), ISBLANK(M809) ), "", 1.5*SQRT( EXP(2.21*(I809-1)) + EXP(2.21*(J809-1)) + EXP(2.21*(K809-1)) + EXP(2.21*(L809-1)) + EXP(2.21*M809)   )/100*2.45 )</f>
        <v/>
      </c>
      <c r="P809" s="34"/>
    </row>
    <row r="810" spans="1:868" ht="15" thickBot="1">
      <c r="A810" s="34" t="s">
        <v>360</v>
      </c>
      <c r="B810" s="40" t="s">
        <v>286</v>
      </c>
      <c r="C810" s="34" t="s">
        <v>139</v>
      </c>
      <c r="D810" s="40" t="s">
        <v>139</v>
      </c>
      <c r="E810" s="237">
        <v>0.78343949044585992</v>
      </c>
      <c r="F810" s="168">
        <v>2</v>
      </c>
      <c r="G810" s="1180" t="s">
        <v>395</v>
      </c>
      <c r="H810" s="29">
        <v>2</v>
      </c>
      <c r="I810" s="9"/>
      <c r="J810" s="9">
        <v>2</v>
      </c>
      <c r="K810" s="9">
        <v>3</v>
      </c>
      <c r="L810" s="9">
        <v>3</v>
      </c>
      <c r="M810" s="9">
        <v>1</v>
      </c>
      <c r="N810" s="185">
        <f>IF( OR( ISBLANK(H810),ISBLANK(J810), ISBLANK(K810), ISBLANK(L810), ISBLANK(M810) ), "", 1.5*SQRT(   EXP(2.21*(H810-1)) + EXP(2.21*(J810-1)) + EXP(2.21*(K810-1)) + EXP(2.21*(L810-1)) + EXP(2.21*M810)   )/100*2.45 )</f>
        <v>0.51126068492676302</v>
      </c>
      <c r="O810" s="159" t="str">
        <f>IF( OR( ISBLANK(I810),ISBLANK(J810), ISBLANK(K810), ISBLANK(L810), ISBLANK(M810) ), "", 1.5*SQRT( EXP(2.21*(I810-1)) + EXP(2.21*(J810-1)) + EXP(2.21*(K810-1)) + EXP(2.21*(L810-1)) + EXP(2.21*M810)   )/100*2.45 )</f>
        <v/>
      </c>
      <c r="P810" s="34"/>
    </row>
    <row r="811" spans="1:868" s="820" customFormat="1">
      <c r="A811" s="34" t="s">
        <v>360</v>
      </c>
      <c r="B811" s="40" t="s">
        <v>286</v>
      </c>
      <c r="C811" s="34" t="s">
        <v>139</v>
      </c>
      <c r="D811" s="40" t="s">
        <v>139</v>
      </c>
      <c r="E811" s="237">
        <v>0.91509433962264153</v>
      </c>
      <c r="F811" s="168">
        <v>2</v>
      </c>
      <c r="G811" s="1180" t="s">
        <v>396</v>
      </c>
      <c r="H811" s="29">
        <v>2</v>
      </c>
      <c r="I811" s="9"/>
      <c r="J811" s="9">
        <v>2</v>
      </c>
      <c r="K811" s="9">
        <v>3</v>
      </c>
      <c r="L811" s="9">
        <v>3</v>
      </c>
      <c r="M811" s="9">
        <v>1</v>
      </c>
      <c r="N811" s="185">
        <f>IF( OR( ISBLANK(H811),ISBLANK(J811), ISBLANK(K811), ISBLANK(L811), ISBLANK(M811) ), "", 1.5*SQRT(   EXP(2.21*(H811-1)) + EXP(2.21*(J811-1)) + EXP(2.21*(K811-1)) + EXP(2.21*(L811-1)) + EXP(2.21*M811)   )/100*2.45 )</f>
        <v>0.51126068492676302</v>
      </c>
      <c r="O811" s="159" t="str">
        <f>IF( OR( ISBLANK(I811),ISBLANK(J811), ISBLANK(K811), ISBLANK(L811), ISBLANK(M811) ), "", 1.5*SQRT( EXP(2.21*(I811-1)) + EXP(2.21*(J811-1)) + EXP(2.21*(K811-1)) + EXP(2.21*(L811-1)) + EXP(2.21*M811)   )/100*2.45 )</f>
        <v/>
      </c>
      <c r="P811" s="34"/>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c r="AY811" s="16"/>
      <c r="AZ811" s="16"/>
      <c r="BA811" s="16"/>
      <c r="BB811" s="16"/>
      <c r="BC811" s="16"/>
      <c r="BD811" s="16"/>
      <c r="BE811" s="16"/>
      <c r="BF811" s="16"/>
      <c r="BG811" s="16"/>
      <c r="BH811" s="16"/>
      <c r="BI811" s="16"/>
      <c r="BJ811" s="16"/>
      <c r="BK811" s="16"/>
      <c r="BL811" s="16"/>
      <c r="BM811" s="16"/>
      <c r="BN811" s="16"/>
      <c r="BO811" s="16"/>
      <c r="BP811" s="16"/>
      <c r="BQ811" s="16"/>
      <c r="BR811" s="16"/>
      <c r="BS811" s="16"/>
      <c r="BT811" s="16"/>
      <c r="BU811" s="16"/>
      <c r="BV811" s="16"/>
      <c r="BW811" s="16"/>
      <c r="BX811" s="16"/>
      <c r="BY811" s="16"/>
      <c r="BZ811" s="16"/>
      <c r="CA811" s="16"/>
      <c r="CB811" s="16"/>
      <c r="CC811" s="16"/>
      <c r="CD811" s="16"/>
      <c r="CE811" s="16"/>
      <c r="CF811" s="16"/>
      <c r="CG811" s="16"/>
      <c r="CH811" s="16"/>
      <c r="CI811" s="16"/>
      <c r="CJ811" s="16"/>
      <c r="CK811" s="16"/>
      <c r="CL811" s="16"/>
      <c r="CM811" s="16"/>
      <c r="CN811" s="16"/>
      <c r="CO811" s="16"/>
      <c r="CP811" s="16"/>
      <c r="CQ811" s="16"/>
      <c r="CR811" s="16"/>
      <c r="CS811" s="16"/>
      <c r="CT811" s="16"/>
      <c r="CU811" s="16"/>
      <c r="CV811" s="16"/>
      <c r="CW811" s="16"/>
      <c r="CX811" s="16"/>
      <c r="CY811" s="16"/>
      <c r="CZ811" s="16"/>
      <c r="DA811" s="16"/>
      <c r="DB811" s="16"/>
      <c r="DC811" s="16"/>
      <c r="DD811" s="16"/>
      <c r="DE811" s="16"/>
      <c r="DF811" s="16"/>
      <c r="DG811" s="16"/>
      <c r="DH811" s="16"/>
      <c r="DI811" s="16"/>
      <c r="DJ811" s="16"/>
      <c r="DK811" s="16"/>
      <c r="DL811" s="16"/>
      <c r="DM811" s="16"/>
      <c r="DN811" s="16"/>
      <c r="DO811" s="16"/>
      <c r="DP811" s="16"/>
      <c r="DQ811" s="16"/>
      <c r="DR811" s="16"/>
      <c r="DS811" s="16"/>
      <c r="DT811" s="16"/>
      <c r="DU811" s="16"/>
      <c r="DV811" s="16"/>
      <c r="DW811" s="16"/>
      <c r="DX811" s="16"/>
      <c r="DY811" s="16"/>
      <c r="DZ811" s="16"/>
      <c r="EA811" s="16"/>
      <c r="EB811" s="16"/>
      <c r="EC811" s="16"/>
      <c r="ED811" s="16"/>
      <c r="EE811" s="16"/>
      <c r="EF811" s="16"/>
      <c r="EG811" s="16"/>
      <c r="EH811" s="16"/>
      <c r="EI811" s="16"/>
      <c r="EJ811" s="16"/>
      <c r="EK811" s="16"/>
      <c r="EL811" s="16"/>
      <c r="EM811" s="16"/>
      <c r="EN811" s="16"/>
      <c r="EO811" s="16"/>
      <c r="EP811" s="16"/>
      <c r="EQ811" s="16"/>
      <c r="ER811" s="16"/>
      <c r="ES811" s="16"/>
      <c r="ET811" s="16"/>
      <c r="EU811" s="16"/>
      <c r="EV811" s="16"/>
      <c r="EW811" s="16"/>
      <c r="EX811" s="16"/>
      <c r="EY811" s="16"/>
      <c r="EZ811" s="16"/>
      <c r="FA811" s="16"/>
      <c r="FB811" s="16"/>
      <c r="FC811" s="16"/>
      <c r="FD811" s="16"/>
      <c r="FE811" s="16"/>
      <c r="FF811" s="16"/>
      <c r="FG811" s="16"/>
      <c r="FH811" s="16"/>
      <c r="FI811" s="16"/>
      <c r="FJ811" s="16"/>
      <c r="FK811" s="16"/>
      <c r="FL811" s="16"/>
      <c r="FM811" s="16"/>
      <c r="FN811" s="16"/>
      <c r="FO811" s="16"/>
      <c r="FP811" s="16"/>
      <c r="FQ811" s="16"/>
      <c r="FR811" s="16"/>
      <c r="FS811" s="16"/>
      <c r="FT811" s="16"/>
      <c r="FU811" s="16"/>
      <c r="FV811" s="16"/>
      <c r="FW811" s="16"/>
      <c r="FX811" s="16"/>
      <c r="FY811" s="16"/>
      <c r="FZ811" s="16"/>
      <c r="GA811" s="16"/>
      <c r="GB811" s="16"/>
      <c r="GC811" s="16"/>
      <c r="GD811" s="16"/>
      <c r="GE811" s="16"/>
      <c r="GF811" s="16"/>
      <c r="GG811" s="16"/>
      <c r="GH811" s="16"/>
      <c r="GI811" s="16"/>
      <c r="GJ811" s="16"/>
      <c r="GK811" s="16"/>
      <c r="GL811" s="16"/>
      <c r="GM811" s="16"/>
      <c r="GN811" s="16"/>
      <c r="GO811" s="16"/>
      <c r="GP811" s="16"/>
      <c r="GQ811" s="16"/>
      <c r="GR811" s="16"/>
      <c r="GS811" s="16"/>
      <c r="GT811" s="16"/>
      <c r="GU811" s="16"/>
      <c r="GV811" s="16"/>
      <c r="GW811" s="16"/>
      <c r="GX811" s="16"/>
      <c r="GY811" s="16"/>
      <c r="GZ811" s="16"/>
      <c r="HA811" s="16"/>
      <c r="HB811" s="16"/>
      <c r="HC811" s="16"/>
      <c r="HD811" s="16"/>
      <c r="HE811" s="16"/>
      <c r="HF811" s="16"/>
      <c r="HG811" s="16"/>
      <c r="HH811" s="16"/>
      <c r="HI811" s="16"/>
      <c r="HJ811" s="16"/>
      <c r="HK811" s="16"/>
      <c r="HL811" s="16"/>
      <c r="HM811" s="16"/>
      <c r="HN811" s="16"/>
      <c r="HO811" s="16"/>
      <c r="HP811" s="16"/>
      <c r="HQ811" s="16"/>
      <c r="HR811" s="16"/>
      <c r="HS811" s="16"/>
      <c r="HT811" s="16"/>
      <c r="HU811" s="16"/>
      <c r="HV811" s="16"/>
      <c r="HW811" s="16"/>
      <c r="HX811" s="16"/>
      <c r="HY811" s="16"/>
      <c r="HZ811" s="16"/>
      <c r="IA811" s="16"/>
      <c r="IB811" s="16"/>
      <c r="IC811" s="16"/>
      <c r="ID811" s="16"/>
      <c r="IE811" s="16"/>
      <c r="IF811" s="16"/>
      <c r="IG811" s="16"/>
      <c r="IH811" s="16"/>
      <c r="II811" s="16"/>
      <c r="IJ811" s="16"/>
      <c r="IK811" s="16"/>
      <c r="IL811" s="16"/>
      <c r="IM811" s="16"/>
      <c r="IN811" s="16"/>
      <c r="IO811" s="16"/>
      <c r="IP811" s="16"/>
      <c r="IQ811" s="16"/>
      <c r="IR811" s="16"/>
      <c r="IS811" s="16"/>
      <c r="IT811" s="16"/>
      <c r="IU811" s="16"/>
      <c r="IV811" s="16"/>
      <c r="IW811" s="16"/>
      <c r="IX811" s="16"/>
      <c r="IY811" s="16"/>
      <c r="IZ811" s="16"/>
      <c r="JA811" s="16"/>
      <c r="JB811" s="16"/>
      <c r="JC811" s="16"/>
      <c r="JD811" s="16"/>
      <c r="JE811" s="16"/>
      <c r="JF811" s="16"/>
      <c r="JG811" s="16"/>
      <c r="JH811" s="16"/>
      <c r="JI811" s="16"/>
      <c r="JJ811" s="16"/>
      <c r="JK811" s="16"/>
      <c r="JL811" s="16"/>
      <c r="JM811" s="16"/>
      <c r="JN811" s="16"/>
      <c r="JO811" s="16"/>
      <c r="JP811" s="16"/>
      <c r="JQ811" s="16"/>
      <c r="JR811" s="16"/>
      <c r="JS811" s="16"/>
      <c r="JT811" s="16"/>
      <c r="JU811" s="16"/>
      <c r="JV811" s="16"/>
      <c r="JW811" s="16"/>
      <c r="JX811" s="16"/>
      <c r="JY811" s="16"/>
      <c r="JZ811" s="16"/>
      <c r="KA811" s="16"/>
      <c r="KB811" s="16"/>
      <c r="KC811" s="16"/>
      <c r="KD811" s="16"/>
      <c r="KE811" s="16"/>
      <c r="KF811" s="16"/>
      <c r="KG811" s="16"/>
      <c r="KH811" s="16"/>
      <c r="KI811" s="16"/>
      <c r="KJ811" s="16"/>
      <c r="KK811" s="16"/>
      <c r="KL811" s="16"/>
      <c r="KM811" s="16"/>
      <c r="KN811" s="16"/>
      <c r="KO811" s="16"/>
      <c r="KP811" s="16"/>
      <c r="KQ811" s="16"/>
      <c r="KR811" s="16"/>
      <c r="KS811" s="16"/>
      <c r="KT811" s="16"/>
      <c r="KU811" s="16"/>
      <c r="KV811" s="16"/>
      <c r="KW811" s="16"/>
      <c r="KX811" s="16"/>
      <c r="KY811" s="16"/>
      <c r="KZ811" s="16"/>
      <c r="LA811" s="16"/>
      <c r="LB811" s="16"/>
      <c r="LC811" s="16"/>
      <c r="LD811" s="16"/>
      <c r="LE811" s="16"/>
      <c r="LF811" s="16"/>
      <c r="LG811" s="16"/>
      <c r="LH811" s="16"/>
      <c r="LI811" s="16"/>
      <c r="LJ811" s="16"/>
      <c r="LK811" s="16"/>
      <c r="LL811" s="16"/>
      <c r="LM811" s="16"/>
      <c r="LN811" s="16"/>
      <c r="LO811" s="16"/>
      <c r="LP811" s="16"/>
      <c r="LQ811" s="16"/>
      <c r="LR811" s="16"/>
      <c r="LS811" s="16"/>
      <c r="LT811" s="16"/>
      <c r="LU811" s="16"/>
      <c r="LV811" s="16"/>
      <c r="LW811" s="16"/>
      <c r="LX811" s="16"/>
      <c r="LY811" s="16"/>
      <c r="LZ811" s="16"/>
      <c r="MA811" s="16"/>
      <c r="MB811" s="16"/>
      <c r="MC811" s="16"/>
      <c r="MD811" s="16"/>
      <c r="ME811" s="16"/>
      <c r="MF811" s="16"/>
      <c r="MG811" s="16"/>
      <c r="MH811" s="16"/>
      <c r="MI811" s="16"/>
      <c r="MJ811" s="16"/>
      <c r="MK811" s="16"/>
      <c r="ML811" s="16"/>
      <c r="MM811" s="16"/>
      <c r="MN811" s="16"/>
      <c r="MO811" s="16"/>
      <c r="MP811" s="16"/>
      <c r="MQ811" s="16"/>
      <c r="MR811" s="16"/>
      <c r="MS811" s="16"/>
      <c r="MT811" s="16"/>
      <c r="MU811" s="16"/>
      <c r="MV811" s="16"/>
      <c r="MW811" s="16"/>
      <c r="MX811" s="16"/>
      <c r="MY811" s="16"/>
      <c r="MZ811" s="16"/>
      <c r="NA811" s="16"/>
      <c r="NB811" s="16"/>
      <c r="NC811" s="16"/>
      <c r="ND811" s="16"/>
      <c r="NE811" s="16"/>
      <c r="NF811" s="16"/>
      <c r="NG811" s="16"/>
      <c r="NH811" s="16"/>
      <c r="NI811" s="16"/>
      <c r="NJ811" s="16"/>
      <c r="NK811" s="16"/>
      <c r="NL811" s="16"/>
      <c r="NM811" s="16"/>
      <c r="NN811" s="16"/>
      <c r="NO811" s="16"/>
      <c r="NP811" s="16"/>
      <c r="NQ811" s="16"/>
      <c r="NR811" s="16"/>
      <c r="NS811" s="16"/>
      <c r="NT811" s="16"/>
      <c r="NU811" s="16"/>
      <c r="NV811" s="16"/>
      <c r="NW811" s="16"/>
      <c r="NX811" s="16"/>
      <c r="NY811" s="16"/>
      <c r="NZ811" s="16"/>
      <c r="OA811" s="16"/>
      <c r="OB811" s="16"/>
      <c r="OC811" s="16"/>
      <c r="OD811" s="16"/>
      <c r="OE811" s="16"/>
      <c r="OF811" s="16"/>
      <c r="OG811" s="16"/>
      <c r="OH811" s="16"/>
      <c r="OI811" s="16"/>
      <c r="OJ811" s="16"/>
      <c r="OK811" s="16"/>
      <c r="OL811" s="16"/>
      <c r="OM811" s="16"/>
      <c r="ON811" s="16"/>
      <c r="OO811" s="16"/>
      <c r="OP811" s="16"/>
      <c r="OQ811" s="16"/>
      <c r="OR811" s="16"/>
      <c r="OS811" s="16"/>
      <c r="OT811" s="16"/>
      <c r="OU811" s="16"/>
      <c r="OV811" s="16"/>
      <c r="OW811" s="16"/>
      <c r="OX811" s="16"/>
      <c r="OY811" s="16"/>
      <c r="OZ811" s="16"/>
      <c r="PA811" s="16"/>
      <c r="PB811" s="16"/>
      <c r="PC811" s="16"/>
      <c r="PD811" s="16"/>
      <c r="PE811" s="16"/>
      <c r="PF811" s="16"/>
      <c r="PG811" s="16"/>
      <c r="PH811" s="16"/>
      <c r="PI811" s="16"/>
      <c r="PJ811" s="16"/>
      <c r="PK811" s="16"/>
      <c r="PL811" s="16"/>
      <c r="PM811" s="16"/>
      <c r="PN811" s="16"/>
      <c r="PO811" s="16"/>
      <c r="PP811" s="16"/>
      <c r="PQ811" s="16"/>
      <c r="PR811" s="16"/>
      <c r="PS811" s="16"/>
      <c r="PT811" s="16"/>
      <c r="PU811" s="16"/>
      <c r="PV811" s="16"/>
      <c r="PW811" s="16"/>
      <c r="PX811" s="16"/>
      <c r="PY811" s="16"/>
      <c r="PZ811" s="16"/>
      <c r="QA811" s="16"/>
      <c r="QB811" s="16"/>
      <c r="QC811" s="16"/>
      <c r="QD811" s="16"/>
      <c r="QE811" s="16"/>
      <c r="QF811" s="16"/>
      <c r="QG811" s="16"/>
      <c r="QH811" s="16"/>
      <c r="QI811" s="16"/>
      <c r="QJ811" s="16"/>
      <c r="QK811" s="16"/>
      <c r="QL811" s="16"/>
      <c r="QM811" s="16"/>
      <c r="QN811" s="16"/>
      <c r="QO811" s="16"/>
      <c r="QP811" s="16"/>
      <c r="QQ811" s="16"/>
      <c r="QR811" s="16"/>
      <c r="QS811" s="16"/>
      <c r="QT811" s="16"/>
      <c r="QU811" s="16"/>
      <c r="QV811" s="16"/>
      <c r="QW811" s="16"/>
      <c r="QX811" s="16"/>
      <c r="QY811" s="16"/>
      <c r="QZ811" s="16"/>
      <c r="RA811" s="16"/>
      <c r="RB811" s="16"/>
      <c r="RC811" s="16"/>
      <c r="RD811" s="16"/>
      <c r="RE811" s="16"/>
      <c r="RF811" s="16"/>
      <c r="RG811" s="16"/>
      <c r="RH811" s="16"/>
      <c r="RI811" s="16"/>
      <c r="RJ811" s="16"/>
      <c r="RK811" s="16"/>
      <c r="RL811" s="16"/>
      <c r="RM811" s="16"/>
      <c r="RN811" s="16"/>
      <c r="RO811" s="16"/>
      <c r="RP811" s="16"/>
      <c r="RQ811" s="16"/>
      <c r="RR811" s="16"/>
      <c r="RS811" s="16"/>
      <c r="RT811" s="16"/>
      <c r="RU811" s="16"/>
      <c r="RV811" s="16"/>
      <c r="RW811" s="16"/>
      <c r="RX811" s="16"/>
      <c r="RY811" s="16"/>
      <c r="RZ811" s="16"/>
      <c r="SA811" s="16"/>
      <c r="SB811" s="16"/>
      <c r="SC811" s="16"/>
      <c r="SD811" s="16"/>
      <c r="SE811" s="16"/>
      <c r="SF811" s="16"/>
      <c r="SG811" s="16"/>
      <c r="SH811" s="16"/>
      <c r="SI811" s="16"/>
      <c r="SJ811" s="16"/>
      <c r="SK811" s="16"/>
      <c r="SL811" s="16"/>
      <c r="SM811" s="16"/>
      <c r="SN811" s="16"/>
      <c r="SO811" s="16"/>
      <c r="SP811" s="16"/>
      <c r="SQ811" s="16"/>
      <c r="SR811" s="16"/>
      <c r="SS811" s="16"/>
      <c r="ST811" s="16"/>
      <c r="SU811" s="16"/>
      <c r="SV811" s="16"/>
      <c r="SW811" s="16"/>
      <c r="SX811" s="16"/>
      <c r="SY811" s="16"/>
      <c r="SZ811" s="16"/>
      <c r="TA811" s="16"/>
      <c r="TB811" s="16"/>
      <c r="TC811" s="16"/>
      <c r="TD811" s="16"/>
      <c r="TE811" s="16"/>
      <c r="TF811" s="16"/>
      <c r="TG811" s="16"/>
      <c r="TH811" s="16"/>
      <c r="TI811" s="16"/>
      <c r="TJ811" s="16"/>
      <c r="TK811" s="16"/>
      <c r="TL811" s="16"/>
      <c r="TM811" s="16"/>
      <c r="TN811" s="16"/>
      <c r="TO811" s="16"/>
      <c r="TP811" s="16"/>
      <c r="TQ811" s="16"/>
      <c r="TR811" s="16"/>
      <c r="TS811" s="16"/>
      <c r="TT811" s="16"/>
      <c r="TU811" s="16"/>
      <c r="TV811" s="16"/>
      <c r="TW811" s="16"/>
      <c r="TX811" s="16"/>
      <c r="TY811" s="16"/>
      <c r="TZ811" s="16"/>
      <c r="UA811" s="16"/>
      <c r="UB811" s="16"/>
      <c r="UC811" s="16"/>
      <c r="UD811" s="16"/>
      <c r="UE811" s="16"/>
      <c r="UF811" s="16"/>
      <c r="UG811" s="16"/>
      <c r="UH811" s="16"/>
      <c r="UI811" s="16"/>
      <c r="UJ811" s="16"/>
      <c r="UK811" s="16"/>
      <c r="UL811" s="16"/>
      <c r="UM811" s="16"/>
      <c r="UN811" s="16"/>
      <c r="UO811" s="16"/>
      <c r="UP811" s="16"/>
      <c r="UQ811" s="16"/>
      <c r="UR811" s="16"/>
      <c r="US811" s="16"/>
      <c r="UT811" s="16"/>
      <c r="UU811" s="16"/>
      <c r="UV811" s="16"/>
      <c r="UW811" s="16"/>
      <c r="UX811" s="16"/>
      <c r="UY811" s="16"/>
      <c r="UZ811" s="16"/>
      <c r="VA811" s="16"/>
      <c r="VB811" s="16"/>
      <c r="VC811" s="16"/>
      <c r="VD811" s="16"/>
      <c r="VE811" s="16"/>
      <c r="VF811" s="16"/>
      <c r="VG811" s="16"/>
      <c r="VH811" s="16"/>
      <c r="VI811" s="16"/>
      <c r="VJ811" s="16"/>
      <c r="VK811" s="16"/>
      <c r="VL811" s="16"/>
      <c r="VM811" s="16"/>
      <c r="VN811" s="16"/>
      <c r="VO811" s="16"/>
      <c r="VP811" s="16"/>
      <c r="VQ811" s="16"/>
      <c r="VR811" s="16"/>
      <c r="VS811" s="16"/>
      <c r="VT811" s="16"/>
      <c r="VU811" s="16"/>
      <c r="VV811" s="16"/>
      <c r="VW811" s="16"/>
      <c r="VX811" s="16"/>
      <c r="VY811" s="16"/>
      <c r="VZ811" s="16"/>
      <c r="WA811" s="16"/>
      <c r="WB811" s="16"/>
      <c r="WC811" s="16"/>
      <c r="WD811" s="16"/>
      <c r="WE811" s="16"/>
      <c r="WF811" s="16"/>
      <c r="WG811" s="16"/>
      <c r="WH811" s="16"/>
      <c r="WI811" s="16"/>
      <c r="WJ811" s="16"/>
      <c r="WK811" s="16"/>
      <c r="WL811" s="16"/>
      <c r="WM811" s="16"/>
      <c r="WN811" s="16"/>
      <c r="WO811" s="16"/>
      <c r="WP811" s="16"/>
      <c r="WQ811" s="16"/>
      <c r="WR811" s="16"/>
      <c r="WS811" s="16"/>
      <c r="WT811" s="16"/>
      <c r="WU811" s="16"/>
      <c r="WV811" s="16"/>
      <c r="WW811" s="16"/>
      <c r="WX811" s="16"/>
      <c r="WY811" s="16"/>
      <c r="WZ811" s="16"/>
      <c r="XA811" s="16"/>
      <c r="XB811" s="16"/>
      <c r="XC811" s="16"/>
      <c r="XD811" s="16"/>
      <c r="XE811" s="16"/>
      <c r="XF811" s="16"/>
      <c r="XG811" s="16"/>
      <c r="XH811" s="16"/>
      <c r="XI811" s="16"/>
      <c r="XJ811" s="16"/>
      <c r="XK811" s="16"/>
      <c r="XL811" s="16"/>
      <c r="XM811" s="16"/>
      <c r="XN811" s="16"/>
      <c r="XO811" s="16"/>
      <c r="XP811" s="16"/>
      <c r="XQ811" s="16"/>
      <c r="XR811" s="16"/>
      <c r="XS811" s="16"/>
      <c r="XT811" s="16"/>
      <c r="XU811" s="16"/>
      <c r="XV811" s="16"/>
      <c r="XW811" s="16"/>
      <c r="XX811" s="16"/>
      <c r="XY811" s="16"/>
      <c r="XZ811" s="16"/>
      <c r="YA811" s="16"/>
      <c r="YB811" s="16"/>
      <c r="YC811" s="16"/>
      <c r="YD811" s="16"/>
      <c r="YE811" s="16"/>
      <c r="YF811" s="16"/>
      <c r="YG811" s="16"/>
      <c r="YH811" s="16"/>
      <c r="YI811" s="16"/>
      <c r="YJ811" s="16"/>
      <c r="YK811" s="16"/>
      <c r="YL811" s="16"/>
      <c r="YM811" s="16"/>
      <c r="YN811" s="16"/>
      <c r="YO811" s="16"/>
      <c r="YP811" s="16"/>
      <c r="YQ811" s="16"/>
      <c r="YR811" s="16"/>
      <c r="YS811" s="16"/>
      <c r="YT811" s="16"/>
      <c r="YU811" s="16"/>
      <c r="YV811" s="16"/>
      <c r="YW811" s="16"/>
      <c r="YX811" s="16"/>
      <c r="YY811" s="16"/>
      <c r="YZ811" s="16"/>
      <c r="ZA811" s="16"/>
      <c r="ZB811" s="16"/>
      <c r="ZC811" s="16"/>
      <c r="ZD811" s="16"/>
      <c r="ZE811" s="16"/>
      <c r="ZF811" s="16"/>
      <c r="ZG811" s="16"/>
      <c r="ZH811" s="16"/>
      <c r="ZI811" s="16"/>
      <c r="ZJ811" s="16"/>
      <c r="ZK811" s="16"/>
      <c r="ZL811" s="16"/>
      <c r="ZM811" s="16"/>
      <c r="ZN811" s="16"/>
      <c r="ZO811" s="16"/>
      <c r="ZP811" s="16"/>
      <c r="ZQ811" s="16"/>
      <c r="ZR811" s="16"/>
      <c r="ZS811" s="16"/>
      <c r="ZT811" s="16"/>
      <c r="ZU811" s="16"/>
      <c r="ZV811" s="16"/>
      <c r="ZW811" s="16"/>
      <c r="ZX811" s="16"/>
      <c r="ZY811" s="16"/>
      <c r="ZZ811" s="16"/>
      <c r="AAA811" s="16"/>
      <c r="AAB811" s="16"/>
      <c r="AAC811" s="16"/>
      <c r="AAD811" s="16"/>
      <c r="AAE811" s="16"/>
      <c r="AAF811" s="16"/>
      <c r="AAG811" s="16"/>
      <c r="AAH811" s="16"/>
      <c r="AAI811" s="16"/>
      <c r="AAJ811" s="16"/>
      <c r="AAK811" s="16"/>
      <c r="AAL811" s="16"/>
      <c r="AAM811" s="16"/>
      <c r="AAN811" s="16"/>
      <c r="AAO811" s="16"/>
      <c r="AAP811" s="16"/>
      <c r="AAQ811" s="16"/>
      <c r="AAR811" s="16"/>
      <c r="AAS811" s="16"/>
      <c r="AAT811" s="16"/>
      <c r="AAU811" s="16"/>
      <c r="AAV811" s="16"/>
      <c r="AAW811" s="16"/>
      <c r="AAX811" s="16"/>
      <c r="AAY811" s="16"/>
      <c r="AAZ811" s="16"/>
      <c r="ABA811" s="16"/>
      <c r="ABB811" s="16"/>
      <c r="ABC811" s="16"/>
      <c r="ABD811" s="16"/>
      <c r="ABE811" s="16"/>
      <c r="ABF811" s="16"/>
      <c r="ABG811" s="16"/>
      <c r="ABH811" s="16"/>
      <c r="ABI811" s="16"/>
      <c r="ABJ811" s="16"/>
      <c r="ABK811" s="16"/>
      <c r="ABL811" s="16"/>
      <c r="ABM811" s="16"/>
      <c r="ABN811" s="16"/>
      <c r="ABO811" s="16"/>
      <c r="ABP811" s="16"/>
      <c r="ABQ811" s="16"/>
      <c r="ABR811" s="16"/>
      <c r="ABS811" s="16"/>
      <c r="ABT811" s="16"/>
      <c r="ABU811" s="16"/>
      <c r="ABV811" s="16"/>
      <c r="ABW811" s="16"/>
      <c r="ABX811" s="16"/>
      <c r="ABY811" s="16"/>
      <c r="ABZ811" s="16"/>
      <c r="ACA811" s="16"/>
      <c r="ACB811" s="16"/>
      <c r="ACC811" s="16"/>
      <c r="ACD811" s="16"/>
      <c r="ACE811" s="16"/>
      <c r="ACF811" s="16"/>
      <c r="ACG811" s="16"/>
      <c r="ACH811" s="16"/>
      <c r="ACI811" s="16"/>
      <c r="ACJ811" s="16"/>
      <c r="ACK811" s="16"/>
      <c r="ACL811" s="16"/>
      <c r="ACM811" s="16"/>
      <c r="ACN811" s="16"/>
      <c r="ACO811" s="16"/>
      <c r="ACP811" s="16"/>
      <c r="ACQ811" s="16"/>
      <c r="ACR811" s="16"/>
      <c r="ACS811" s="16"/>
      <c r="ACT811" s="16"/>
      <c r="ACU811" s="16"/>
      <c r="ACV811" s="16"/>
      <c r="ACW811" s="16"/>
      <c r="ACX811" s="16"/>
      <c r="ACY811" s="16"/>
      <c r="ACZ811" s="16"/>
      <c r="ADA811" s="16"/>
      <c r="ADB811" s="16"/>
      <c r="ADC811" s="16"/>
      <c r="ADD811" s="16"/>
      <c r="ADE811" s="16"/>
      <c r="ADF811" s="16"/>
      <c r="ADG811" s="16"/>
      <c r="ADH811" s="16"/>
      <c r="ADI811" s="16"/>
      <c r="ADJ811" s="16"/>
      <c r="ADK811" s="16"/>
      <c r="ADL811" s="16"/>
      <c r="ADM811" s="16"/>
      <c r="ADN811" s="16"/>
      <c r="ADO811" s="16"/>
      <c r="ADP811" s="16"/>
      <c r="ADQ811" s="16"/>
      <c r="ADR811" s="16"/>
      <c r="ADS811" s="16"/>
      <c r="ADT811" s="16"/>
      <c r="ADU811" s="16"/>
      <c r="ADV811" s="16"/>
      <c r="ADW811" s="16"/>
      <c r="ADX811" s="16"/>
      <c r="ADY811" s="16"/>
      <c r="ADZ811" s="16"/>
      <c r="AEA811" s="16"/>
      <c r="AEB811" s="16"/>
      <c r="AEC811" s="16"/>
      <c r="AED811" s="16"/>
      <c r="AEE811" s="16"/>
      <c r="AEF811" s="16"/>
      <c r="AEG811" s="16"/>
      <c r="AEH811" s="16"/>
      <c r="AEI811" s="16"/>
      <c r="AEJ811" s="16"/>
      <c r="AEK811" s="16"/>
      <c r="AEL811" s="16"/>
      <c r="AEM811" s="16"/>
      <c r="AEN811" s="16"/>
      <c r="AEO811" s="16"/>
      <c r="AEP811" s="16"/>
      <c r="AEQ811" s="16"/>
      <c r="AER811" s="16"/>
      <c r="AES811" s="16"/>
      <c r="AET811" s="16"/>
      <c r="AEU811" s="16"/>
      <c r="AEV811" s="16"/>
      <c r="AEW811" s="16"/>
      <c r="AEX811" s="16"/>
      <c r="AEY811" s="16"/>
      <c r="AEZ811" s="16"/>
      <c r="AFA811" s="16"/>
      <c r="AFB811" s="16"/>
      <c r="AFC811" s="16"/>
      <c r="AFD811" s="16"/>
      <c r="AFE811" s="16"/>
      <c r="AFF811" s="16"/>
      <c r="AFG811" s="16"/>
      <c r="AFH811" s="16"/>
      <c r="AFI811" s="16"/>
      <c r="AFJ811" s="16"/>
      <c r="AFK811" s="16"/>
      <c r="AFL811" s="16"/>
      <c r="AFM811" s="16"/>
      <c r="AFN811" s="16"/>
      <c r="AFO811" s="16"/>
      <c r="AFP811" s="16"/>
      <c r="AFQ811" s="16"/>
      <c r="AFR811" s="16"/>
      <c r="AFS811" s="16"/>
      <c r="AFT811" s="16"/>
      <c r="AFU811" s="16"/>
      <c r="AFV811" s="16"/>
      <c r="AFW811" s="16"/>
      <c r="AFX811" s="16"/>
      <c r="AFY811" s="16"/>
      <c r="AFZ811" s="16"/>
      <c r="AGA811" s="16"/>
      <c r="AGB811" s="16"/>
      <c r="AGC811" s="16"/>
      <c r="AGD811" s="16"/>
      <c r="AGE811" s="16"/>
      <c r="AGF811" s="16"/>
      <c r="AGG811" s="16"/>
      <c r="AGH811" s="16"/>
      <c r="AGI811" s="16"/>
      <c r="AGJ811" s="16"/>
    </row>
    <row r="812" spans="1:868">
      <c r="A812" s="34" t="s">
        <v>360</v>
      </c>
      <c r="B812" s="40" t="s">
        <v>286</v>
      </c>
      <c r="C812" s="34" t="s">
        <v>139</v>
      </c>
      <c r="D812" s="40" t="s">
        <v>139</v>
      </c>
      <c r="E812" s="237">
        <v>0.97399999999999998</v>
      </c>
      <c r="F812" s="168">
        <v>2</v>
      </c>
      <c r="G812" s="1180" t="s">
        <v>290</v>
      </c>
      <c r="H812" s="29">
        <v>2</v>
      </c>
      <c r="I812" s="9"/>
      <c r="J812" s="9">
        <v>2</v>
      </c>
      <c r="K812" s="9">
        <v>3</v>
      </c>
      <c r="L812" s="9">
        <v>3</v>
      </c>
      <c r="M812" s="9">
        <v>1</v>
      </c>
      <c r="N812" s="185">
        <f>IF( OR( ISBLANK(H812),ISBLANK(J812), ISBLANK(K812), ISBLANK(L812), ISBLANK(M812) ), "", 1.5*SQRT(   EXP(2.21*(H812-1)) + EXP(2.21*(J812-1)) + EXP(2.21*(K812-1)) + EXP(2.21*(L812-1)) + EXP(2.21*M812)   )/100*2.45 )</f>
        <v>0.51126068492676302</v>
      </c>
      <c r="O812" s="159" t="str">
        <f>IF( OR( ISBLANK(I812),ISBLANK(J812), ISBLANK(K812), ISBLANK(L812), ISBLANK(M812) ), "", 1.5*SQRT( EXP(2.21*(I812-1)) + EXP(2.21*(J812-1)) + EXP(2.21*(K812-1)) + EXP(2.21*(L812-1)) + EXP(2.21*M812)   )/100*2.45 )</f>
        <v/>
      </c>
      <c r="P812" s="34"/>
    </row>
    <row r="813" spans="1:868">
      <c r="A813" s="34" t="s">
        <v>360</v>
      </c>
      <c r="B813" s="40" t="s">
        <v>286</v>
      </c>
      <c r="C813" s="34" t="s">
        <v>139</v>
      </c>
      <c r="D813" s="40" t="s">
        <v>139</v>
      </c>
      <c r="E813" s="237">
        <v>0.98399999999999999</v>
      </c>
      <c r="F813" s="168">
        <v>2</v>
      </c>
      <c r="G813" s="1180" t="s">
        <v>290</v>
      </c>
      <c r="H813" s="29">
        <v>2</v>
      </c>
      <c r="I813" s="9"/>
      <c r="J813" s="9">
        <v>2</v>
      </c>
      <c r="K813" s="9">
        <v>3</v>
      </c>
      <c r="L813" s="9">
        <v>3</v>
      </c>
      <c r="M813" s="9">
        <v>1</v>
      </c>
      <c r="N813" s="185">
        <f>IF( OR( ISBLANK(H813),ISBLANK(J813), ISBLANK(K813), ISBLANK(L813), ISBLANK(M813) ), "", 1.5*SQRT(   EXP(2.21*(H813-1)) + EXP(2.21*(J813-1)) + EXP(2.21*(K813-1)) + EXP(2.21*(L813-1)) + EXP(2.21*M813)   )/100*2.45 )</f>
        <v>0.51126068492676302</v>
      </c>
      <c r="O813" s="159" t="str">
        <f>IF( OR( ISBLANK(I813),ISBLANK(J813), ISBLANK(K813), ISBLANK(L813), ISBLANK(M813) ), "", 1.5*SQRT( EXP(2.21*(I813-1)) + EXP(2.21*(J813-1)) + EXP(2.21*(K813-1)) + EXP(2.21*(L813-1)) + EXP(2.21*M813)   )/100*2.45 )</f>
        <v/>
      </c>
      <c r="P813" s="34"/>
    </row>
    <row r="814" spans="1:868">
      <c r="A814" s="34" t="s">
        <v>360</v>
      </c>
      <c r="B814" s="40" t="s">
        <v>286</v>
      </c>
      <c r="C814" s="34" t="s">
        <v>139</v>
      </c>
      <c r="D814" s="40" t="s">
        <v>139</v>
      </c>
      <c r="E814" s="237">
        <v>0.68936446173800259</v>
      </c>
      <c r="F814" s="168">
        <v>2</v>
      </c>
      <c r="G814" s="1180" t="s">
        <v>291</v>
      </c>
      <c r="H814" s="29">
        <v>2</v>
      </c>
      <c r="I814" s="9"/>
      <c r="J814" s="9">
        <v>2</v>
      </c>
      <c r="K814" s="9">
        <v>3</v>
      </c>
      <c r="L814" s="9">
        <v>3</v>
      </c>
      <c r="M814" s="9">
        <v>1</v>
      </c>
      <c r="N814" s="185">
        <f>IF( OR( ISBLANK(H814),ISBLANK(J814), ISBLANK(K814), ISBLANK(L814), ISBLANK(M814) ), "", 1.5*SQRT(   EXP(2.21*(H814-1)) + EXP(2.21*(J814-1)) + EXP(2.21*(K814-1)) + EXP(2.21*(L814-1)) + EXP(2.21*M814)   )/100*2.45 )</f>
        <v>0.51126068492676302</v>
      </c>
      <c r="O814" s="159" t="str">
        <f>IF( OR( ISBLANK(I814),ISBLANK(J814), ISBLANK(K814), ISBLANK(L814), ISBLANK(M814) ), "", 1.5*SQRT( EXP(2.21*(I814-1)) + EXP(2.21*(J814-1)) + EXP(2.21*(K814-1)) + EXP(2.21*(L814-1)) + EXP(2.21*M814)   )/100*2.45 )</f>
        <v/>
      </c>
      <c r="P814" s="34"/>
    </row>
    <row r="815" spans="1:868">
      <c r="A815" s="34" t="s">
        <v>360</v>
      </c>
      <c r="B815" s="40" t="s">
        <v>188</v>
      </c>
      <c r="C815" s="34" t="s">
        <v>139</v>
      </c>
      <c r="D815" s="40" t="s">
        <v>139</v>
      </c>
      <c r="E815" s="237" t="s">
        <v>150</v>
      </c>
      <c r="F815" s="168">
        <v>1</v>
      </c>
      <c r="G815" s="34"/>
      <c r="H815" s="29"/>
      <c r="I815" s="9"/>
      <c r="J815" s="9"/>
      <c r="K815" s="9"/>
      <c r="L815" s="9"/>
      <c r="M815" s="9"/>
      <c r="N815" s="185" t="str">
        <f>IF( OR( ISBLANK(H815),ISBLANK(J815), ISBLANK(K815), ISBLANK(L815), ISBLANK(M815) ), "", 1.5*SQRT(   EXP(2.21*(H815-1)) + EXP(2.21*(J815-1)) + EXP(2.21*(K815-1)) + EXP(2.21*(L815-1)) + EXP(2.21*M815)   )/100*2.45 )</f>
        <v/>
      </c>
      <c r="O815" s="159" t="str">
        <f>IF( OR( ISBLANK(I815),ISBLANK(J815), ISBLANK(K815), ISBLANK(L815), ISBLANK(M815) ), "", 1.5*SQRT( EXP(2.21*(I815-1)) + EXP(2.21*(J815-1)) + EXP(2.21*(K815-1)) + EXP(2.21*(L815-1)) + EXP(2.21*M815)   )/100*2.45 )</f>
        <v/>
      </c>
      <c r="P815" s="34"/>
    </row>
    <row r="816" spans="1:868" s="210" customFormat="1" ht="15" thickBot="1">
      <c r="A816" s="34" t="s">
        <v>361</v>
      </c>
      <c r="B816" s="40" t="s">
        <v>317</v>
      </c>
      <c r="C816" s="34" t="s">
        <v>139</v>
      </c>
      <c r="D816" s="40" t="s">
        <v>139</v>
      </c>
      <c r="E816" s="237">
        <v>0.1045625</v>
      </c>
      <c r="F816" s="168">
        <v>2</v>
      </c>
      <c r="G816" s="34" t="s">
        <v>363</v>
      </c>
      <c r="H816" s="29">
        <v>1</v>
      </c>
      <c r="I816" s="9"/>
      <c r="J816" s="9">
        <v>1</v>
      </c>
      <c r="K816" s="9">
        <v>3</v>
      </c>
      <c r="L816" s="9">
        <v>1</v>
      </c>
      <c r="M816" s="9">
        <v>2</v>
      </c>
      <c r="N816" s="185">
        <f>IF( OR( ISBLANK(H816),ISBLANK(J816), ISBLANK(K816), ISBLANK(L816), ISBLANK(M816) ), "", 1.5*SQRT(   EXP(2.21*(H816-1)) + EXP(2.21*(J816-1)) + EXP(2.21*(K816-1)) + EXP(2.21*(L816-1)) + EXP(2.21*M816)   )/100*2.45 )</f>
        <v>0.47802211380704585</v>
      </c>
      <c r="O816" s="159" t="str">
        <f>IF( OR( ISBLANK(I816),ISBLANK(J816), ISBLANK(K816), ISBLANK(L816), ISBLANK(M816) ), "", 1.5*SQRT( EXP(2.21*(I816-1)) + EXP(2.21*(J816-1)) + EXP(2.21*(K816-1)) + EXP(2.21*(L816-1)) + EXP(2.21*M816)   )/100*2.45 )</f>
        <v/>
      </c>
      <c r="P816" s="34"/>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c r="AY816" s="16"/>
      <c r="AZ816" s="16"/>
      <c r="BA816" s="16"/>
      <c r="BB816" s="16"/>
      <c r="BC816" s="16"/>
      <c r="BD816" s="16"/>
      <c r="BE816" s="16"/>
      <c r="BF816" s="16"/>
      <c r="BG816" s="16"/>
      <c r="BH816" s="16"/>
      <c r="BI816" s="16"/>
      <c r="BJ816" s="16"/>
      <c r="BK816" s="16"/>
      <c r="BL816" s="16"/>
      <c r="BM816" s="16"/>
      <c r="BN816" s="16"/>
      <c r="BO816" s="16"/>
      <c r="BP816" s="16"/>
      <c r="BQ816" s="16"/>
      <c r="BR816" s="16"/>
      <c r="BS816" s="16"/>
      <c r="BT816" s="16"/>
      <c r="BU816" s="16"/>
      <c r="BV816" s="16"/>
      <c r="BW816" s="16"/>
      <c r="BX816" s="16"/>
      <c r="BY816" s="16"/>
      <c r="BZ816" s="16"/>
      <c r="CA816" s="16"/>
      <c r="CB816" s="16"/>
      <c r="CC816" s="16"/>
      <c r="CD816" s="16"/>
      <c r="CE816" s="16"/>
      <c r="CF816" s="16"/>
      <c r="CG816" s="16"/>
      <c r="CH816" s="16"/>
      <c r="CI816" s="16"/>
      <c r="CJ816" s="16"/>
      <c r="CK816" s="16"/>
      <c r="CL816" s="16"/>
      <c r="CM816" s="16"/>
      <c r="CN816" s="16"/>
      <c r="CO816" s="16"/>
      <c r="CP816" s="16"/>
      <c r="CQ816" s="16"/>
      <c r="CR816" s="16"/>
      <c r="CS816" s="16"/>
      <c r="CT816" s="16"/>
      <c r="CU816" s="16"/>
      <c r="CV816" s="16"/>
      <c r="CW816" s="16"/>
      <c r="CX816" s="16"/>
      <c r="CY816" s="16"/>
      <c r="CZ816" s="16"/>
      <c r="DA816" s="16"/>
      <c r="DB816" s="16"/>
      <c r="DC816" s="16"/>
      <c r="DD816" s="16"/>
      <c r="DE816" s="16"/>
      <c r="DF816" s="16"/>
      <c r="DG816" s="16"/>
      <c r="DH816" s="16"/>
      <c r="DI816" s="16"/>
      <c r="DJ816" s="16"/>
      <c r="DK816" s="16"/>
      <c r="DL816" s="16"/>
      <c r="DM816" s="16"/>
      <c r="DN816" s="16"/>
      <c r="DO816" s="16"/>
      <c r="DP816" s="16"/>
      <c r="DQ816" s="16"/>
      <c r="DR816" s="16"/>
      <c r="DS816" s="16"/>
      <c r="DT816" s="16"/>
      <c r="DU816" s="16"/>
      <c r="DV816" s="16"/>
      <c r="DW816" s="16"/>
      <c r="DX816" s="16"/>
      <c r="DY816" s="16"/>
      <c r="DZ816" s="16"/>
      <c r="EA816" s="16"/>
      <c r="EB816" s="16"/>
      <c r="EC816" s="16"/>
      <c r="ED816" s="16"/>
      <c r="EE816" s="16"/>
      <c r="EF816" s="16"/>
      <c r="EG816" s="16"/>
      <c r="EH816" s="16"/>
      <c r="EI816" s="16"/>
      <c r="EJ816" s="16"/>
      <c r="EK816" s="16"/>
      <c r="EL816" s="16"/>
      <c r="EM816" s="16"/>
      <c r="EN816" s="16"/>
      <c r="EO816" s="16"/>
      <c r="EP816" s="16"/>
      <c r="EQ816" s="16"/>
      <c r="ER816" s="16"/>
      <c r="ES816" s="16"/>
      <c r="ET816" s="16"/>
      <c r="EU816" s="16"/>
      <c r="EV816" s="16"/>
      <c r="EW816" s="16"/>
      <c r="EX816" s="16"/>
      <c r="EY816" s="16"/>
      <c r="EZ816" s="16"/>
      <c r="FA816" s="16"/>
      <c r="FB816" s="16"/>
      <c r="FC816" s="16"/>
      <c r="FD816" s="16"/>
      <c r="FE816" s="16"/>
      <c r="FF816" s="16"/>
      <c r="FG816" s="16"/>
      <c r="FH816" s="16"/>
      <c r="FI816" s="16"/>
      <c r="FJ816" s="16"/>
      <c r="FK816" s="16"/>
      <c r="FL816" s="16"/>
      <c r="FM816" s="16"/>
      <c r="FN816" s="16"/>
      <c r="FO816" s="16"/>
      <c r="FP816" s="16"/>
      <c r="FQ816" s="16"/>
      <c r="FR816" s="16"/>
      <c r="FS816" s="16"/>
      <c r="FT816" s="16"/>
      <c r="FU816" s="16"/>
      <c r="FV816" s="16"/>
      <c r="FW816" s="16"/>
      <c r="FX816" s="16"/>
      <c r="FY816" s="16"/>
      <c r="FZ816" s="16"/>
      <c r="GA816" s="16"/>
      <c r="GB816" s="16"/>
      <c r="GC816" s="16"/>
      <c r="GD816" s="16"/>
      <c r="GE816" s="16"/>
      <c r="GF816" s="16"/>
      <c r="GG816" s="16"/>
      <c r="GH816" s="16"/>
      <c r="GI816" s="16"/>
      <c r="GJ816" s="16"/>
      <c r="GK816" s="16"/>
      <c r="GL816" s="16"/>
      <c r="GM816" s="16"/>
      <c r="GN816" s="16"/>
      <c r="GO816" s="16"/>
      <c r="GP816" s="16"/>
      <c r="GQ816" s="16"/>
      <c r="GR816" s="16"/>
      <c r="GS816" s="16"/>
      <c r="GT816" s="16"/>
      <c r="GU816" s="16"/>
      <c r="GV816" s="16"/>
      <c r="GW816" s="16"/>
      <c r="GX816" s="16"/>
      <c r="GY816" s="16"/>
      <c r="GZ816" s="16"/>
      <c r="HA816" s="16"/>
      <c r="HB816" s="16"/>
      <c r="HC816" s="16"/>
      <c r="HD816" s="16"/>
      <c r="HE816" s="16"/>
      <c r="HF816" s="16"/>
      <c r="HG816" s="16"/>
      <c r="HH816" s="16"/>
      <c r="HI816" s="16"/>
      <c r="HJ816" s="16"/>
      <c r="HK816" s="16"/>
      <c r="HL816" s="16"/>
      <c r="HM816" s="16"/>
      <c r="HN816" s="16"/>
      <c r="HO816" s="16"/>
      <c r="HP816" s="16"/>
      <c r="HQ816" s="16"/>
      <c r="HR816" s="16"/>
      <c r="HS816" s="16"/>
      <c r="HT816" s="16"/>
      <c r="HU816" s="16"/>
      <c r="HV816" s="16"/>
      <c r="HW816" s="16"/>
      <c r="HX816" s="16"/>
      <c r="HY816" s="16"/>
      <c r="HZ816" s="16"/>
      <c r="IA816" s="16"/>
      <c r="IB816" s="16"/>
      <c r="IC816" s="16"/>
      <c r="ID816" s="16"/>
      <c r="IE816" s="16"/>
      <c r="IF816" s="16"/>
      <c r="IG816" s="16"/>
      <c r="IH816" s="16"/>
      <c r="II816" s="16"/>
      <c r="IJ816" s="16"/>
      <c r="IK816" s="16"/>
      <c r="IL816" s="16"/>
      <c r="IM816" s="16"/>
      <c r="IN816" s="16"/>
      <c r="IO816" s="16"/>
      <c r="IP816" s="16"/>
      <c r="IQ816" s="16"/>
      <c r="IR816" s="16"/>
      <c r="IS816" s="16"/>
      <c r="IT816" s="16"/>
      <c r="IU816" s="16"/>
      <c r="IV816" s="16"/>
      <c r="IW816" s="16"/>
      <c r="IX816" s="16"/>
      <c r="IY816" s="16"/>
      <c r="IZ816" s="16"/>
      <c r="JA816" s="16"/>
      <c r="JB816" s="16"/>
      <c r="JC816" s="16"/>
      <c r="JD816" s="16"/>
      <c r="JE816" s="16"/>
      <c r="JF816" s="16"/>
      <c r="JG816" s="16"/>
      <c r="JH816" s="16"/>
      <c r="JI816" s="16"/>
      <c r="JJ816" s="16"/>
      <c r="JK816" s="16"/>
      <c r="JL816" s="16"/>
      <c r="JM816" s="16"/>
      <c r="JN816" s="16"/>
      <c r="JO816" s="16"/>
      <c r="JP816" s="16"/>
      <c r="JQ816" s="16"/>
      <c r="JR816" s="16"/>
      <c r="JS816" s="16"/>
      <c r="JT816" s="16"/>
      <c r="JU816" s="16"/>
      <c r="JV816" s="16"/>
      <c r="JW816" s="16"/>
      <c r="JX816" s="16"/>
      <c r="JY816" s="16"/>
      <c r="JZ816" s="16"/>
      <c r="KA816" s="16"/>
      <c r="KB816" s="16"/>
      <c r="KC816" s="16"/>
      <c r="KD816" s="16"/>
      <c r="KE816" s="16"/>
      <c r="KF816" s="16"/>
      <c r="KG816" s="16"/>
      <c r="KH816" s="16"/>
      <c r="KI816" s="16"/>
      <c r="KJ816" s="16"/>
      <c r="KK816" s="16"/>
      <c r="KL816" s="16"/>
      <c r="KM816" s="16"/>
      <c r="KN816" s="16"/>
      <c r="KO816" s="16"/>
      <c r="KP816" s="16"/>
      <c r="KQ816" s="16"/>
      <c r="KR816" s="16"/>
      <c r="KS816" s="16"/>
      <c r="KT816" s="16"/>
      <c r="KU816" s="16"/>
      <c r="KV816" s="16"/>
      <c r="KW816" s="16"/>
      <c r="KX816" s="16"/>
      <c r="KY816" s="16"/>
      <c r="KZ816" s="16"/>
      <c r="LA816" s="16"/>
      <c r="LB816" s="16"/>
      <c r="LC816" s="16"/>
      <c r="LD816" s="16"/>
      <c r="LE816" s="16"/>
      <c r="LF816" s="16"/>
      <c r="LG816" s="16"/>
      <c r="LH816" s="16"/>
      <c r="LI816" s="16"/>
      <c r="LJ816" s="16"/>
      <c r="LK816" s="16"/>
      <c r="LL816" s="16"/>
      <c r="LM816" s="16"/>
      <c r="LN816" s="16"/>
      <c r="LO816" s="16"/>
      <c r="LP816" s="16"/>
      <c r="LQ816" s="16"/>
      <c r="LR816" s="16"/>
      <c r="LS816" s="16"/>
      <c r="LT816" s="16"/>
      <c r="LU816" s="16"/>
      <c r="LV816" s="16"/>
      <c r="LW816" s="16"/>
      <c r="LX816" s="16"/>
      <c r="LY816" s="16"/>
      <c r="LZ816" s="16"/>
      <c r="MA816" s="16"/>
      <c r="MB816" s="16"/>
      <c r="MC816" s="16"/>
      <c r="MD816" s="16"/>
      <c r="ME816" s="16"/>
      <c r="MF816" s="16"/>
      <c r="MG816" s="16"/>
      <c r="MH816" s="16"/>
      <c r="MI816" s="16"/>
      <c r="MJ816" s="16"/>
      <c r="MK816" s="16"/>
      <c r="ML816" s="16"/>
      <c r="MM816" s="16"/>
      <c r="MN816" s="16"/>
      <c r="MO816" s="16"/>
      <c r="MP816" s="16"/>
      <c r="MQ816" s="16"/>
      <c r="MR816" s="16"/>
      <c r="MS816" s="16"/>
      <c r="MT816" s="16"/>
      <c r="MU816" s="16"/>
      <c r="MV816" s="16"/>
      <c r="MW816" s="16"/>
      <c r="MX816" s="16"/>
      <c r="MY816" s="16"/>
      <c r="MZ816" s="16"/>
      <c r="NA816" s="16"/>
      <c r="NB816" s="16"/>
      <c r="NC816" s="16"/>
      <c r="ND816" s="16"/>
      <c r="NE816" s="16"/>
      <c r="NF816" s="16"/>
      <c r="NG816" s="16"/>
      <c r="NH816" s="16"/>
      <c r="NI816" s="16"/>
      <c r="NJ816" s="16"/>
      <c r="NK816" s="16"/>
      <c r="NL816" s="16"/>
      <c r="NM816" s="16"/>
      <c r="NN816" s="16"/>
      <c r="NO816" s="16"/>
      <c r="NP816" s="16"/>
      <c r="NQ816" s="16"/>
      <c r="NR816" s="16"/>
      <c r="NS816" s="16"/>
      <c r="NT816" s="16"/>
      <c r="NU816" s="16"/>
      <c r="NV816" s="16"/>
      <c r="NW816" s="16"/>
      <c r="NX816" s="16"/>
      <c r="NY816" s="16"/>
      <c r="NZ816" s="16"/>
      <c r="OA816" s="16"/>
      <c r="OB816" s="16"/>
      <c r="OC816" s="16"/>
      <c r="OD816" s="16"/>
      <c r="OE816" s="16"/>
      <c r="OF816" s="16"/>
      <c r="OG816" s="16"/>
      <c r="OH816" s="16"/>
      <c r="OI816" s="16"/>
      <c r="OJ816" s="16"/>
      <c r="OK816" s="16"/>
      <c r="OL816" s="16"/>
      <c r="OM816" s="16"/>
      <c r="ON816" s="16"/>
      <c r="OO816" s="16"/>
      <c r="OP816" s="16"/>
      <c r="OQ816" s="16"/>
      <c r="OR816" s="16"/>
      <c r="OS816" s="16"/>
      <c r="OT816" s="16"/>
      <c r="OU816" s="16"/>
      <c r="OV816" s="16"/>
      <c r="OW816" s="16"/>
      <c r="OX816" s="16"/>
      <c r="OY816" s="16"/>
      <c r="OZ816" s="16"/>
      <c r="PA816" s="16"/>
      <c r="PB816" s="16"/>
      <c r="PC816" s="16"/>
      <c r="PD816" s="16"/>
      <c r="PE816" s="16"/>
      <c r="PF816" s="16"/>
      <c r="PG816" s="16"/>
      <c r="PH816" s="16"/>
      <c r="PI816" s="16"/>
      <c r="PJ816" s="16"/>
      <c r="PK816" s="16"/>
      <c r="PL816" s="16"/>
      <c r="PM816" s="16"/>
      <c r="PN816" s="16"/>
      <c r="PO816" s="16"/>
      <c r="PP816" s="16"/>
      <c r="PQ816" s="16"/>
      <c r="PR816" s="16"/>
      <c r="PS816" s="16"/>
      <c r="PT816" s="16"/>
      <c r="PU816" s="16"/>
      <c r="PV816" s="16"/>
      <c r="PW816" s="16"/>
      <c r="PX816" s="16"/>
      <c r="PY816" s="16"/>
      <c r="PZ816" s="16"/>
      <c r="QA816" s="16"/>
      <c r="QB816" s="16"/>
      <c r="QC816" s="16"/>
      <c r="QD816" s="16"/>
      <c r="QE816" s="16"/>
      <c r="QF816" s="16"/>
      <c r="QG816" s="16"/>
      <c r="QH816" s="16"/>
      <c r="QI816" s="16"/>
      <c r="QJ816" s="16"/>
      <c r="QK816" s="16"/>
      <c r="QL816" s="16"/>
      <c r="QM816" s="16"/>
      <c r="QN816" s="16"/>
      <c r="QO816" s="16"/>
      <c r="QP816" s="16"/>
      <c r="QQ816" s="16"/>
      <c r="QR816" s="16"/>
      <c r="QS816" s="16"/>
      <c r="QT816" s="16"/>
      <c r="QU816" s="16"/>
      <c r="QV816" s="16"/>
      <c r="QW816" s="16"/>
      <c r="QX816" s="16"/>
      <c r="QY816" s="16"/>
      <c r="QZ816" s="16"/>
      <c r="RA816" s="16"/>
      <c r="RB816" s="16"/>
      <c r="RC816" s="16"/>
      <c r="RD816" s="16"/>
      <c r="RE816" s="16"/>
      <c r="RF816" s="16"/>
      <c r="RG816" s="16"/>
      <c r="RH816" s="16"/>
      <c r="RI816" s="16"/>
      <c r="RJ816" s="16"/>
      <c r="RK816" s="16"/>
      <c r="RL816" s="16"/>
      <c r="RM816" s="16"/>
      <c r="RN816" s="16"/>
      <c r="RO816" s="16"/>
      <c r="RP816" s="16"/>
      <c r="RQ816" s="16"/>
      <c r="RR816" s="16"/>
      <c r="RS816" s="16"/>
      <c r="RT816" s="16"/>
      <c r="RU816" s="16"/>
      <c r="RV816" s="16"/>
      <c r="RW816" s="16"/>
      <c r="RX816" s="16"/>
      <c r="RY816" s="16"/>
      <c r="RZ816" s="16"/>
      <c r="SA816" s="16"/>
      <c r="SB816" s="16"/>
      <c r="SC816" s="16"/>
      <c r="SD816" s="16"/>
      <c r="SE816" s="16"/>
      <c r="SF816" s="16"/>
      <c r="SG816" s="16"/>
      <c r="SH816" s="16"/>
      <c r="SI816" s="16"/>
      <c r="SJ816" s="16"/>
      <c r="SK816" s="16"/>
      <c r="SL816" s="16"/>
      <c r="SM816" s="16"/>
      <c r="SN816" s="16"/>
      <c r="SO816" s="16"/>
      <c r="SP816" s="16"/>
      <c r="SQ816" s="16"/>
      <c r="SR816" s="16"/>
      <c r="SS816" s="16"/>
      <c r="ST816" s="16"/>
      <c r="SU816" s="16"/>
      <c r="SV816" s="16"/>
      <c r="SW816" s="16"/>
      <c r="SX816" s="16"/>
      <c r="SY816" s="16"/>
      <c r="SZ816" s="16"/>
      <c r="TA816" s="16"/>
      <c r="TB816" s="16"/>
      <c r="TC816" s="16"/>
      <c r="TD816" s="16"/>
      <c r="TE816" s="16"/>
      <c r="TF816" s="16"/>
      <c r="TG816" s="16"/>
      <c r="TH816" s="16"/>
      <c r="TI816" s="16"/>
      <c r="TJ816" s="16"/>
      <c r="TK816" s="16"/>
      <c r="TL816" s="16"/>
      <c r="TM816" s="16"/>
      <c r="TN816" s="16"/>
      <c r="TO816" s="16"/>
      <c r="TP816" s="16"/>
      <c r="TQ816" s="16"/>
      <c r="TR816" s="16"/>
      <c r="TS816" s="16"/>
      <c r="TT816" s="16"/>
      <c r="TU816" s="16"/>
      <c r="TV816" s="16"/>
      <c r="TW816" s="16"/>
      <c r="TX816" s="16"/>
      <c r="TY816" s="16"/>
      <c r="TZ816" s="16"/>
      <c r="UA816" s="16"/>
      <c r="UB816" s="16"/>
      <c r="UC816" s="16"/>
      <c r="UD816" s="16"/>
      <c r="UE816" s="16"/>
      <c r="UF816" s="16"/>
      <c r="UG816" s="16"/>
      <c r="UH816" s="16"/>
      <c r="UI816" s="16"/>
      <c r="UJ816" s="16"/>
      <c r="UK816" s="16"/>
      <c r="UL816" s="16"/>
      <c r="UM816" s="16"/>
      <c r="UN816" s="16"/>
      <c r="UO816" s="16"/>
      <c r="UP816" s="16"/>
      <c r="UQ816" s="16"/>
      <c r="UR816" s="16"/>
      <c r="US816" s="16"/>
      <c r="UT816" s="16"/>
      <c r="UU816" s="16"/>
      <c r="UV816" s="16"/>
      <c r="UW816" s="16"/>
      <c r="UX816" s="16"/>
      <c r="UY816" s="16"/>
      <c r="UZ816" s="16"/>
      <c r="VA816" s="16"/>
      <c r="VB816" s="16"/>
      <c r="VC816" s="16"/>
      <c r="VD816" s="16"/>
      <c r="VE816" s="16"/>
      <c r="VF816" s="16"/>
      <c r="VG816" s="16"/>
      <c r="VH816" s="16"/>
      <c r="VI816" s="16"/>
      <c r="VJ816" s="16"/>
      <c r="VK816" s="16"/>
      <c r="VL816" s="16"/>
      <c r="VM816" s="16"/>
      <c r="VN816" s="16"/>
      <c r="VO816" s="16"/>
      <c r="VP816" s="16"/>
      <c r="VQ816" s="16"/>
      <c r="VR816" s="16"/>
      <c r="VS816" s="16"/>
      <c r="VT816" s="16"/>
      <c r="VU816" s="16"/>
      <c r="VV816" s="16"/>
      <c r="VW816" s="16"/>
      <c r="VX816" s="16"/>
      <c r="VY816" s="16"/>
      <c r="VZ816" s="16"/>
      <c r="WA816" s="16"/>
      <c r="WB816" s="16"/>
      <c r="WC816" s="16"/>
      <c r="WD816" s="16"/>
      <c r="WE816" s="16"/>
      <c r="WF816" s="16"/>
      <c r="WG816" s="16"/>
      <c r="WH816" s="16"/>
      <c r="WI816" s="16"/>
      <c r="WJ816" s="16"/>
      <c r="WK816" s="16"/>
      <c r="WL816" s="16"/>
      <c r="WM816" s="16"/>
      <c r="WN816" s="16"/>
      <c r="WO816" s="16"/>
      <c r="WP816" s="16"/>
      <c r="WQ816" s="16"/>
      <c r="WR816" s="16"/>
      <c r="WS816" s="16"/>
      <c r="WT816" s="16"/>
      <c r="WU816" s="16"/>
      <c r="WV816" s="16"/>
      <c r="WW816" s="16"/>
      <c r="WX816" s="16"/>
      <c r="WY816" s="16"/>
      <c r="WZ816" s="16"/>
      <c r="XA816" s="16"/>
      <c r="XB816" s="16"/>
      <c r="XC816" s="16"/>
      <c r="XD816" s="16"/>
      <c r="XE816" s="16"/>
      <c r="XF816" s="16"/>
      <c r="XG816" s="16"/>
      <c r="XH816" s="16"/>
      <c r="XI816" s="16"/>
      <c r="XJ816" s="16"/>
      <c r="XK816" s="16"/>
      <c r="XL816" s="16"/>
      <c r="XM816" s="16"/>
      <c r="XN816" s="16"/>
      <c r="XO816" s="16"/>
      <c r="XP816" s="16"/>
      <c r="XQ816" s="16"/>
      <c r="XR816" s="16"/>
      <c r="XS816" s="16"/>
      <c r="XT816" s="16"/>
      <c r="XU816" s="16"/>
      <c r="XV816" s="16"/>
      <c r="XW816" s="16"/>
      <c r="XX816" s="16"/>
      <c r="XY816" s="16"/>
      <c r="XZ816" s="16"/>
      <c r="YA816" s="16"/>
      <c r="YB816" s="16"/>
      <c r="YC816" s="16"/>
      <c r="YD816" s="16"/>
      <c r="YE816" s="16"/>
      <c r="YF816" s="16"/>
      <c r="YG816" s="16"/>
      <c r="YH816" s="16"/>
      <c r="YI816" s="16"/>
      <c r="YJ816" s="16"/>
      <c r="YK816" s="16"/>
      <c r="YL816" s="16"/>
      <c r="YM816" s="16"/>
      <c r="YN816" s="16"/>
      <c r="YO816" s="16"/>
      <c r="YP816" s="16"/>
      <c r="YQ816" s="16"/>
      <c r="YR816" s="16"/>
      <c r="YS816" s="16"/>
      <c r="YT816" s="16"/>
      <c r="YU816" s="16"/>
      <c r="YV816" s="16"/>
      <c r="YW816" s="16"/>
      <c r="YX816" s="16"/>
      <c r="YY816" s="16"/>
      <c r="YZ816" s="16"/>
      <c r="ZA816" s="16"/>
      <c r="ZB816" s="16"/>
      <c r="ZC816" s="16"/>
      <c r="ZD816" s="16"/>
      <c r="ZE816" s="16"/>
      <c r="ZF816" s="16"/>
      <c r="ZG816" s="16"/>
      <c r="ZH816" s="16"/>
      <c r="ZI816" s="16"/>
      <c r="ZJ816" s="16"/>
      <c r="ZK816" s="16"/>
      <c r="ZL816" s="16"/>
      <c r="ZM816" s="16"/>
      <c r="ZN816" s="16"/>
      <c r="ZO816" s="16"/>
      <c r="ZP816" s="16"/>
      <c r="ZQ816" s="16"/>
      <c r="ZR816" s="16"/>
      <c r="ZS816" s="16"/>
      <c r="ZT816" s="16"/>
      <c r="ZU816" s="16"/>
      <c r="ZV816" s="16"/>
      <c r="ZW816" s="16"/>
      <c r="ZX816" s="16"/>
      <c r="ZY816" s="16"/>
      <c r="ZZ816" s="16"/>
      <c r="AAA816" s="16"/>
      <c r="AAB816" s="16"/>
      <c r="AAC816" s="16"/>
      <c r="AAD816" s="16"/>
      <c r="AAE816" s="16"/>
      <c r="AAF816" s="16"/>
      <c r="AAG816" s="16"/>
      <c r="AAH816" s="16"/>
      <c r="AAI816" s="16"/>
      <c r="AAJ816" s="16"/>
      <c r="AAK816" s="16"/>
      <c r="AAL816" s="16"/>
      <c r="AAM816" s="16"/>
      <c r="AAN816" s="16"/>
      <c r="AAO816" s="16"/>
      <c r="AAP816" s="16"/>
      <c r="AAQ816" s="16"/>
      <c r="AAR816" s="16"/>
      <c r="AAS816" s="16"/>
      <c r="AAT816" s="16"/>
      <c r="AAU816" s="16"/>
      <c r="AAV816" s="16"/>
      <c r="AAW816" s="16"/>
      <c r="AAX816" s="16"/>
      <c r="AAY816" s="16"/>
      <c r="AAZ816" s="16"/>
      <c r="ABA816" s="16"/>
      <c r="ABB816" s="16"/>
      <c r="ABC816" s="16"/>
      <c r="ABD816" s="16"/>
      <c r="ABE816" s="16"/>
      <c r="ABF816" s="16"/>
      <c r="ABG816" s="16"/>
      <c r="ABH816" s="16"/>
      <c r="ABI816" s="16"/>
      <c r="ABJ816" s="16"/>
      <c r="ABK816" s="16"/>
      <c r="ABL816" s="16"/>
      <c r="ABM816" s="16"/>
      <c r="ABN816" s="16"/>
      <c r="ABO816" s="16"/>
      <c r="ABP816" s="16"/>
      <c r="ABQ816" s="16"/>
      <c r="ABR816" s="16"/>
      <c r="ABS816" s="16"/>
      <c r="ABT816" s="16"/>
      <c r="ABU816" s="16"/>
      <c r="ABV816" s="16"/>
      <c r="ABW816" s="16"/>
      <c r="ABX816" s="16"/>
      <c r="ABY816" s="16"/>
      <c r="ABZ816" s="16"/>
      <c r="ACA816" s="16"/>
      <c r="ACB816" s="16"/>
      <c r="ACC816" s="16"/>
      <c r="ACD816" s="16"/>
      <c r="ACE816" s="16"/>
      <c r="ACF816" s="16"/>
      <c r="ACG816" s="16"/>
      <c r="ACH816" s="16"/>
      <c r="ACI816" s="16"/>
      <c r="ACJ816" s="16"/>
      <c r="ACK816" s="16"/>
      <c r="ACL816" s="16"/>
      <c r="ACM816" s="16"/>
      <c r="ACN816" s="16"/>
      <c r="ACO816" s="16"/>
      <c r="ACP816" s="16"/>
      <c r="ACQ816" s="16"/>
      <c r="ACR816" s="16"/>
      <c r="ACS816" s="16"/>
      <c r="ACT816" s="16"/>
      <c r="ACU816" s="16"/>
      <c r="ACV816" s="16"/>
      <c r="ACW816" s="16"/>
      <c r="ACX816" s="16"/>
      <c r="ACY816" s="16"/>
      <c r="ACZ816" s="16"/>
      <c r="ADA816" s="16"/>
      <c r="ADB816" s="16"/>
      <c r="ADC816" s="16"/>
      <c r="ADD816" s="16"/>
      <c r="ADE816" s="16"/>
      <c r="ADF816" s="16"/>
      <c r="ADG816" s="16"/>
      <c r="ADH816" s="16"/>
      <c r="ADI816" s="16"/>
      <c r="ADJ816" s="16"/>
      <c r="ADK816" s="16"/>
      <c r="ADL816" s="16"/>
      <c r="ADM816" s="16"/>
      <c r="ADN816" s="16"/>
      <c r="ADO816" s="16"/>
      <c r="ADP816" s="16"/>
      <c r="ADQ816" s="16"/>
      <c r="ADR816" s="16"/>
      <c r="ADS816" s="16"/>
      <c r="ADT816" s="16"/>
      <c r="ADU816" s="16"/>
      <c r="ADV816" s="16"/>
      <c r="ADW816" s="16"/>
      <c r="ADX816" s="16"/>
      <c r="ADY816" s="16"/>
      <c r="ADZ816" s="16"/>
      <c r="AEA816" s="16"/>
      <c r="AEB816" s="16"/>
      <c r="AEC816" s="16"/>
      <c r="AED816" s="16"/>
      <c r="AEE816" s="16"/>
      <c r="AEF816" s="16"/>
      <c r="AEG816" s="16"/>
      <c r="AEH816" s="16"/>
      <c r="AEI816" s="16"/>
      <c r="AEJ816" s="16"/>
      <c r="AEK816" s="16"/>
      <c r="AEL816" s="16"/>
      <c r="AEM816" s="16"/>
      <c r="AEN816" s="16"/>
      <c r="AEO816" s="16"/>
      <c r="AEP816" s="16"/>
      <c r="AEQ816" s="16"/>
      <c r="AER816" s="16"/>
      <c r="AES816" s="16"/>
      <c r="AET816" s="16"/>
      <c r="AEU816" s="16"/>
      <c r="AEV816" s="16"/>
      <c r="AEW816" s="16"/>
      <c r="AEX816" s="16"/>
      <c r="AEY816" s="16"/>
      <c r="AEZ816" s="16"/>
      <c r="AFA816" s="16"/>
      <c r="AFB816" s="16"/>
      <c r="AFC816" s="16"/>
      <c r="AFD816" s="16"/>
      <c r="AFE816" s="16"/>
      <c r="AFF816" s="16"/>
      <c r="AFG816" s="16"/>
      <c r="AFH816" s="16"/>
      <c r="AFI816" s="16"/>
      <c r="AFJ816" s="16"/>
      <c r="AFK816" s="16"/>
      <c r="AFL816" s="16"/>
      <c r="AFM816" s="16"/>
      <c r="AFN816" s="16"/>
      <c r="AFO816" s="16"/>
      <c r="AFP816" s="16"/>
      <c r="AFQ816" s="16"/>
      <c r="AFR816" s="16"/>
      <c r="AFS816" s="16"/>
      <c r="AFT816" s="16"/>
      <c r="AFU816" s="16"/>
      <c r="AFV816" s="16"/>
      <c r="AFW816" s="16"/>
      <c r="AFX816" s="16"/>
      <c r="AFY816" s="16"/>
      <c r="AFZ816" s="16"/>
      <c r="AGA816" s="16"/>
      <c r="AGB816" s="16"/>
      <c r="AGC816" s="16"/>
      <c r="AGD816" s="16"/>
      <c r="AGE816" s="16"/>
      <c r="AGF816" s="16"/>
      <c r="AGG816" s="16"/>
      <c r="AGH816" s="16"/>
      <c r="AGI816" s="16"/>
      <c r="AGJ816" s="16"/>
    </row>
    <row r="817" spans="1:868" s="820" customFormat="1">
      <c r="A817" s="34" t="s">
        <v>361</v>
      </c>
      <c r="B817" s="40" t="s">
        <v>320</v>
      </c>
      <c r="C817" s="34" t="s">
        <v>139</v>
      </c>
      <c r="D817" s="40" t="s">
        <v>139</v>
      </c>
      <c r="E817" s="237" t="s">
        <v>150</v>
      </c>
      <c r="F817" s="168">
        <v>1</v>
      </c>
      <c r="G817" s="34"/>
      <c r="H817" s="29"/>
      <c r="I817" s="9"/>
      <c r="J817" s="9"/>
      <c r="K817" s="9"/>
      <c r="L817" s="9"/>
      <c r="M817" s="9"/>
      <c r="N817" s="185" t="str">
        <f>IF( OR( ISBLANK(H817),ISBLANK(J817), ISBLANK(K817), ISBLANK(L817), ISBLANK(M817) ), "", 1.5*SQRT(   EXP(2.21*(H817-1)) + EXP(2.21*(J817-1)) + EXP(2.21*(K817-1)) + EXP(2.21*(L817-1)) + EXP(2.21*M817)   )/100*2.45 )</f>
        <v/>
      </c>
      <c r="O817" s="159" t="str">
        <f>IF( OR( ISBLANK(I817),ISBLANK(J817), ISBLANK(K817), ISBLANK(L817), ISBLANK(M817) ), "", 1.5*SQRT( EXP(2.21*(I817-1)) + EXP(2.21*(J817-1)) + EXP(2.21*(K817-1)) + EXP(2.21*(L817-1)) + EXP(2.21*M817)   )/100*2.45 )</f>
        <v/>
      </c>
      <c r="P817" s="34"/>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c r="AY817" s="16"/>
      <c r="AZ817" s="16"/>
      <c r="BA817" s="16"/>
      <c r="BB817" s="16"/>
      <c r="BC817" s="16"/>
      <c r="BD817" s="16"/>
      <c r="BE817" s="16"/>
      <c r="BF817" s="16"/>
      <c r="BG817" s="16"/>
      <c r="BH817" s="16"/>
      <c r="BI817" s="16"/>
      <c r="BJ817" s="16"/>
      <c r="BK817" s="16"/>
      <c r="BL817" s="16"/>
      <c r="BM817" s="16"/>
      <c r="BN817" s="16"/>
      <c r="BO817" s="16"/>
      <c r="BP817" s="16"/>
      <c r="BQ817" s="16"/>
      <c r="BR817" s="16"/>
      <c r="BS817" s="16"/>
      <c r="BT817" s="16"/>
      <c r="BU817" s="16"/>
      <c r="BV817" s="16"/>
      <c r="BW817" s="16"/>
      <c r="BX817" s="16"/>
      <c r="BY817" s="16"/>
      <c r="BZ817" s="16"/>
      <c r="CA817" s="16"/>
      <c r="CB817" s="16"/>
      <c r="CC817" s="16"/>
      <c r="CD817" s="16"/>
      <c r="CE817" s="16"/>
      <c r="CF817" s="16"/>
      <c r="CG817" s="16"/>
      <c r="CH817" s="16"/>
      <c r="CI817" s="16"/>
      <c r="CJ817" s="16"/>
      <c r="CK817" s="16"/>
      <c r="CL817" s="16"/>
      <c r="CM817" s="16"/>
      <c r="CN817" s="16"/>
      <c r="CO817" s="16"/>
      <c r="CP817" s="16"/>
      <c r="CQ817" s="16"/>
      <c r="CR817" s="16"/>
      <c r="CS817" s="16"/>
      <c r="CT817" s="16"/>
      <c r="CU817" s="16"/>
      <c r="CV817" s="16"/>
      <c r="CW817" s="16"/>
      <c r="CX817" s="16"/>
      <c r="CY817" s="16"/>
      <c r="CZ817" s="16"/>
      <c r="DA817" s="16"/>
      <c r="DB817" s="16"/>
      <c r="DC817" s="16"/>
      <c r="DD817" s="16"/>
      <c r="DE817" s="16"/>
      <c r="DF817" s="16"/>
      <c r="DG817" s="16"/>
      <c r="DH817" s="16"/>
      <c r="DI817" s="16"/>
      <c r="DJ817" s="16"/>
      <c r="DK817" s="16"/>
      <c r="DL817" s="16"/>
      <c r="DM817" s="16"/>
      <c r="DN817" s="16"/>
      <c r="DO817" s="16"/>
      <c r="DP817" s="16"/>
      <c r="DQ817" s="16"/>
      <c r="DR817" s="16"/>
      <c r="DS817" s="16"/>
      <c r="DT817" s="16"/>
      <c r="DU817" s="16"/>
      <c r="DV817" s="16"/>
      <c r="DW817" s="16"/>
      <c r="DX817" s="16"/>
      <c r="DY817" s="16"/>
      <c r="DZ817" s="16"/>
      <c r="EA817" s="16"/>
      <c r="EB817" s="16"/>
      <c r="EC817" s="16"/>
      <c r="ED817" s="16"/>
      <c r="EE817" s="16"/>
      <c r="EF817" s="16"/>
      <c r="EG817" s="16"/>
      <c r="EH817" s="16"/>
      <c r="EI817" s="16"/>
      <c r="EJ817" s="16"/>
      <c r="EK817" s="16"/>
      <c r="EL817" s="16"/>
      <c r="EM817" s="16"/>
      <c r="EN817" s="16"/>
      <c r="EO817" s="16"/>
      <c r="EP817" s="16"/>
      <c r="EQ817" s="16"/>
      <c r="ER817" s="16"/>
      <c r="ES817" s="16"/>
      <c r="ET817" s="16"/>
      <c r="EU817" s="16"/>
      <c r="EV817" s="16"/>
      <c r="EW817" s="16"/>
      <c r="EX817" s="16"/>
      <c r="EY817" s="16"/>
      <c r="EZ817" s="16"/>
      <c r="FA817" s="16"/>
      <c r="FB817" s="16"/>
      <c r="FC817" s="16"/>
      <c r="FD817" s="16"/>
      <c r="FE817" s="16"/>
      <c r="FF817" s="16"/>
      <c r="FG817" s="16"/>
      <c r="FH817" s="16"/>
      <c r="FI817" s="16"/>
      <c r="FJ817" s="16"/>
      <c r="FK817" s="16"/>
      <c r="FL817" s="16"/>
      <c r="FM817" s="16"/>
      <c r="FN817" s="16"/>
      <c r="FO817" s="16"/>
      <c r="FP817" s="16"/>
      <c r="FQ817" s="16"/>
      <c r="FR817" s="16"/>
      <c r="FS817" s="16"/>
      <c r="FT817" s="16"/>
      <c r="FU817" s="16"/>
      <c r="FV817" s="16"/>
      <c r="FW817" s="16"/>
      <c r="FX817" s="16"/>
      <c r="FY817" s="16"/>
      <c r="FZ817" s="16"/>
      <c r="GA817" s="16"/>
      <c r="GB817" s="16"/>
      <c r="GC817" s="16"/>
      <c r="GD817" s="16"/>
      <c r="GE817" s="16"/>
      <c r="GF817" s="16"/>
      <c r="GG817" s="16"/>
      <c r="GH817" s="16"/>
      <c r="GI817" s="16"/>
      <c r="GJ817" s="16"/>
      <c r="GK817" s="16"/>
      <c r="GL817" s="16"/>
      <c r="GM817" s="16"/>
      <c r="GN817" s="16"/>
      <c r="GO817" s="16"/>
      <c r="GP817" s="16"/>
      <c r="GQ817" s="16"/>
      <c r="GR817" s="16"/>
      <c r="GS817" s="16"/>
      <c r="GT817" s="16"/>
      <c r="GU817" s="16"/>
      <c r="GV817" s="16"/>
      <c r="GW817" s="16"/>
      <c r="GX817" s="16"/>
      <c r="GY817" s="16"/>
      <c r="GZ817" s="16"/>
      <c r="HA817" s="16"/>
      <c r="HB817" s="16"/>
      <c r="HC817" s="16"/>
      <c r="HD817" s="16"/>
      <c r="HE817" s="16"/>
      <c r="HF817" s="16"/>
      <c r="HG817" s="16"/>
      <c r="HH817" s="16"/>
      <c r="HI817" s="16"/>
      <c r="HJ817" s="16"/>
      <c r="HK817" s="16"/>
      <c r="HL817" s="16"/>
      <c r="HM817" s="16"/>
      <c r="HN817" s="16"/>
      <c r="HO817" s="16"/>
      <c r="HP817" s="16"/>
      <c r="HQ817" s="16"/>
      <c r="HR817" s="16"/>
      <c r="HS817" s="16"/>
      <c r="HT817" s="16"/>
      <c r="HU817" s="16"/>
      <c r="HV817" s="16"/>
      <c r="HW817" s="16"/>
      <c r="HX817" s="16"/>
      <c r="HY817" s="16"/>
      <c r="HZ817" s="16"/>
      <c r="IA817" s="16"/>
      <c r="IB817" s="16"/>
      <c r="IC817" s="16"/>
      <c r="ID817" s="16"/>
      <c r="IE817" s="16"/>
      <c r="IF817" s="16"/>
      <c r="IG817" s="16"/>
      <c r="IH817" s="16"/>
      <c r="II817" s="16"/>
      <c r="IJ817" s="16"/>
      <c r="IK817" s="16"/>
      <c r="IL817" s="16"/>
      <c r="IM817" s="16"/>
      <c r="IN817" s="16"/>
      <c r="IO817" s="16"/>
      <c r="IP817" s="16"/>
      <c r="IQ817" s="16"/>
      <c r="IR817" s="16"/>
      <c r="IS817" s="16"/>
      <c r="IT817" s="16"/>
      <c r="IU817" s="16"/>
      <c r="IV817" s="16"/>
      <c r="IW817" s="16"/>
      <c r="IX817" s="16"/>
      <c r="IY817" s="16"/>
      <c r="IZ817" s="16"/>
      <c r="JA817" s="16"/>
      <c r="JB817" s="16"/>
      <c r="JC817" s="16"/>
      <c r="JD817" s="16"/>
      <c r="JE817" s="16"/>
      <c r="JF817" s="16"/>
      <c r="JG817" s="16"/>
      <c r="JH817" s="16"/>
      <c r="JI817" s="16"/>
      <c r="JJ817" s="16"/>
      <c r="JK817" s="16"/>
      <c r="JL817" s="16"/>
      <c r="JM817" s="16"/>
      <c r="JN817" s="16"/>
      <c r="JO817" s="16"/>
      <c r="JP817" s="16"/>
      <c r="JQ817" s="16"/>
      <c r="JR817" s="16"/>
      <c r="JS817" s="16"/>
      <c r="JT817" s="16"/>
      <c r="JU817" s="16"/>
      <c r="JV817" s="16"/>
      <c r="JW817" s="16"/>
      <c r="JX817" s="16"/>
      <c r="JY817" s="16"/>
      <c r="JZ817" s="16"/>
      <c r="KA817" s="16"/>
      <c r="KB817" s="16"/>
      <c r="KC817" s="16"/>
      <c r="KD817" s="16"/>
      <c r="KE817" s="16"/>
      <c r="KF817" s="16"/>
      <c r="KG817" s="16"/>
      <c r="KH817" s="16"/>
      <c r="KI817" s="16"/>
      <c r="KJ817" s="16"/>
      <c r="KK817" s="16"/>
      <c r="KL817" s="16"/>
      <c r="KM817" s="16"/>
      <c r="KN817" s="16"/>
      <c r="KO817" s="16"/>
      <c r="KP817" s="16"/>
      <c r="KQ817" s="16"/>
      <c r="KR817" s="16"/>
      <c r="KS817" s="16"/>
      <c r="KT817" s="16"/>
      <c r="KU817" s="16"/>
      <c r="KV817" s="16"/>
      <c r="KW817" s="16"/>
      <c r="KX817" s="16"/>
      <c r="KY817" s="16"/>
      <c r="KZ817" s="16"/>
      <c r="LA817" s="16"/>
      <c r="LB817" s="16"/>
      <c r="LC817" s="16"/>
      <c r="LD817" s="16"/>
      <c r="LE817" s="16"/>
      <c r="LF817" s="16"/>
      <c r="LG817" s="16"/>
      <c r="LH817" s="16"/>
      <c r="LI817" s="16"/>
      <c r="LJ817" s="16"/>
      <c r="LK817" s="16"/>
      <c r="LL817" s="16"/>
      <c r="LM817" s="16"/>
      <c r="LN817" s="16"/>
      <c r="LO817" s="16"/>
      <c r="LP817" s="16"/>
      <c r="LQ817" s="16"/>
      <c r="LR817" s="16"/>
      <c r="LS817" s="16"/>
      <c r="LT817" s="16"/>
      <c r="LU817" s="16"/>
      <c r="LV817" s="16"/>
      <c r="LW817" s="16"/>
      <c r="LX817" s="16"/>
      <c r="LY817" s="16"/>
      <c r="LZ817" s="16"/>
      <c r="MA817" s="16"/>
      <c r="MB817" s="16"/>
      <c r="MC817" s="16"/>
      <c r="MD817" s="16"/>
      <c r="ME817" s="16"/>
      <c r="MF817" s="16"/>
      <c r="MG817" s="16"/>
      <c r="MH817" s="16"/>
      <c r="MI817" s="16"/>
      <c r="MJ817" s="16"/>
      <c r="MK817" s="16"/>
      <c r="ML817" s="16"/>
      <c r="MM817" s="16"/>
      <c r="MN817" s="16"/>
      <c r="MO817" s="16"/>
      <c r="MP817" s="16"/>
      <c r="MQ817" s="16"/>
      <c r="MR817" s="16"/>
      <c r="MS817" s="16"/>
      <c r="MT817" s="16"/>
      <c r="MU817" s="16"/>
      <c r="MV817" s="16"/>
      <c r="MW817" s="16"/>
      <c r="MX817" s="16"/>
      <c r="MY817" s="16"/>
      <c r="MZ817" s="16"/>
      <c r="NA817" s="16"/>
      <c r="NB817" s="16"/>
      <c r="NC817" s="16"/>
      <c r="ND817" s="16"/>
      <c r="NE817" s="16"/>
      <c r="NF817" s="16"/>
      <c r="NG817" s="16"/>
      <c r="NH817" s="16"/>
      <c r="NI817" s="16"/>
      <c r="NJ817" s="16"/>
      <c r="NK817" s="16"/>
      <c r="NL817" s="16"/>
      <c r="NM817" s="16"/>
      <c r="NN817" s="16"/>
      <c r="NO817" s="16"/>
      <c r="NP817" s="16"/>
      <c r="NQ817" s="16"/>
      <c r="NR817" s="16"/>
      <c r="NS817" s="16"/>
      <c r="NT817" s="16"/>
      <c r="NU817" s="16"/>
      <c r="NV817" s="16"/>
      <c r="NW817" s="16"/>
      <c r="NX817" s="16"/>
      <c r="NY817" s="16"/>
      <c r="NZ817" s="16"/>
      <c r="OA817" s="16"/>
      <c r="OB817" s="16"/>
      <c r="OC817" s="16"/>
      <c r="OD817" s="16"/>
      <c r="OE817" s="16"/>
      <c r="OF817" s="16"/>
      <c r="OG817" s="16"/>
      <c r="OH817" s="16"/>
      <c r="OI817" s="16"/>
      <c r="OJ817" s="16"/>
      <c r="OK817" s="16"/>
      <c r="OL817" s="16"/>
      <c r="OM817" s="16"/>
      <c r="ON817" s="16"/>
      <c r="OO817" s="16"/>
      <c r="OP817" s="16"/>
      <c r="OQ817" s="16"/>
      <c r="OR817" s="16"/>
      <c r="OS817" s="16"/>
      <c r="OT817" s="16"/>
      <c r="OU817" s="16"/>
      <c r="OV817" s="16"/>
      <c r="OW817" s="16"/>
      <c r="OX817" s="16"/>
      <c r="OY817" s="16"/>
      <c r="OZ817" s="16"/>
      <c r="PA817" s="16"/>
      <c r="PB817" s="16"/>
      <c r="PC817" s="16"/>
      <c r="PD817" s="16"/>
      <c r="PE817" s="16"/>
      <c r="PF817" s="16"/>
      <c r="PG817" s="16"/>
      <c r="PH817" s="16"/>
      <c r="PI817" s="16"/>
      <c r="PJ817" s="16"/>
      <c r="PK817" s="16"/>
      <c r="PL817" s="16"/>
      <c r="PM817" s="16"/>
      <c r="PN817" s="16"/>
      <c r="PO817" s="16"/>
      <c r="PP817" s="16"/>
      <c r="PQ817" s="16"/>
      <c r="PR817" s="16"/>
      <c r="PS817" s="16"/>
      <c r="PT817" s="16"/>
      <c r="PU817" s="16"/>
      <c r="PV817" s="16"/>
      <c r="PW817" s="16"/>
      <c r="PX817" s="16"/>
      <c r="PY817" s="16"/>
      <c r="PZ817" s="16"/>
      <c r="QA817" s="16"/>
      <c r="QB817" s="16"/>
      <c r="QC817" s="16"/>
      <c r="QD817" s="16"/>
      <c r="QE817" s="16"/>
      <c r="QF817" s="16"/>
      <c r="QG817" s="16"/>
      <c r="QH817" s="16"/>
      <c r="QI817" s="16"/>
      <c r="QJ817" s="16"/>
      <c r="QK817" s="16"/>
      <c r="QL817" s="16"/>
      <c r="QM817" s="16"/>
      <c r="QN817" s="16"/>
      <c r="QO817" s="16"/>
      <c r="QP817" s="16"/>
      <c r="QQ817" s="16"/>
      <c r="QR817" s="16"/>
      <c r="QS817" s="16"/>
      <c r="QT817" s="16"/>
      <c r="QU817" s="16"/>
      <c r="QV817" s="16"/>
      <c r="QW817" s="16"/>
      <c r="QX817" s="16"/>
      <c r="QY817" s="16"/>
      <c r="QZ817" s="16"/>
      <c r="RA817" s="16"/>
      <c r="RB817" s="16"/>
      <c r="RC817" s="16"/>
      <c r="RD817" s="16"/>
      <c r="RE817" s="16"/>
      <c r="RF817" s="16"/>
      <c r="RG817" s="16"/>
      <c r="RH817" s="16"/>
      <c r="RI817" s="16"/>
      <c r="RJ817" s="16"/>
      <c r="RK817" s="16"/>
      <c r="RL817" s="16"/>
      <c r="RM817" s="16"/>
      <c r="RN817" s="16"/>
      <c r="RO817" s="16"/>
      <c r="RP817" s="16"/>
      <c r="RQ817" s="16"/>
      <c r="RR817" s="16"/>
      <c r="RS817" s="16"/>
      <c r="RT817" s="16"/>
      <c r="RU817" s="16"/>
      <c r="RV817" s="16"/>
      <c r="RW817" s="16"/>
      <c r="RX817" s="16"/>
      <c r="RY817" s="16"/>
      <c r="RZ817" s="16"/>
      <c r="SA817" s="16"/>
      <c r="SB817" s="16"/>
      <c r="SC817" s="16"/>
      <c r="SD817" s="16"/>
      <c r="SE817" s="16"/>
      <c r="SF817" s="16"/>
      <c r="SG817" s="16"/>
      <c r="SH817" s="16"/>
      <c r="SI817" s="16"/>
      <c r="SJ817" s="16"/>
      <c r="SK817" s="16"/>
      <c r="SL817" s="16"/>
      <c r="SM817" s="16"/>
      <c r="SN817" s="16"/>
      <c r="SO817" s="16"/>
      <c r="SP817" s="16"/>
      <c r="SQ817" s="16"/>
      <c r="SR817" s="16"/>
      <c r="SS817" s="16"/>
      <c r="ST817" s="16"/>
      <c r="SU817" s="16"/>
      <c r="SV817" s="16"/>
      <c r="SW817" s="16"/>
      <c r="SX817" s="16"/>
      <c r="SY817" s="16"/>
      <c r="SZ817" s="16"/>
      <c r="TA817" s="16"/>
      <c r="TB817" s="16"/>
      <c r="TC817" s="16"/>
      <c r="TD817" s="16"/>
      <c r="TE817" s="16"/>
      <c r="TF817" s="16"/>
      <c r="TG817" s="16"/>
      <c r="TH817" s="16"/>
      <c r="TI817" s="16"/>
      <c r="TJ817" s="16"/>
      <c r="TK817" s="16"/>
      <c r="TL817" s="16"/>
      <c r="TM817" s="16"/>
      <c r="TN817" s="16"/>
      <c r="TO817" s="16"/>
      <c r="TP817" s="16"/>
      <c r="TQ817" s="16"/>
      <c r="TR817" s="16"/>
      <c r="TS817" s="16"/>
      <c r="TT817" s="16"/>
      <c r="TU817" s="16"/>
      <c r="TV817" s="16"/>
      <c r="TW817" s="16"/>
      <c r="TX817" s="16"/>
      <c r="TY817" s="16"/>
      <c r="TZ817" s="16"/>
      <c r="UA817" s="16"/>
      <c r="UB817" s="16"/>
      <c r="UC817" s="16"/>
      <c r="UD817" s="16"/>
      <c r="UE817" s="16"/>
      <c r="UF817" s="16"/>
      <c r="UG817" s="16"/>
      <c r="UH817" s="16"/>
      <c r="UI817" s="16"/>
      <c r="UJ817" s="16"/>
      <c r="UK817" s="16"/>
      <c r="UL817" s="16"/>
      <c r="UM817" s="16"/>
      <c r="UN817" s="16"/>
      <c r="UO817" s="16"/>
      <c r="UP817" s="16"/>
      <c r="UQ817" s="16"/>
      <c r="UR817" s="16"/>
      <c r="US817" s="16"/>
      <c r="UT817" s="16"/>
      <c r="UU817" s="16"/>
      <c r="UV817" s="16"/>
      <c r="UW817" s="16"/>
      <c r="UX817" s="16"/>
      <c r="UY817" s="16"/>
      <c r="UZ817" s="16"/>
      <c r="VA817" s="16"/>
      <c r="VB817" s="16"/>
      <c r="VC817" s="16"/>
      <c r="VD817" s="16"/>
      <c r="VE817" s="16"/>
      <c r="VF817" s="16"/>
      <c r="VG817" s="16"/>
      <c r="VH817" s="16"/>
      <c r="VI817" s="16"/>
      <c r="VJ817" s="16"/>
      <c r="VK817" s="16"/>
      <c r="VL817" s="16"/>
      <c r="VM817" s="16"/>
      <c r="VN817" s="16"/>
      <c r="VO817" s="16"/>
      <c r="VP817" s="16"/>
      <c r="VQ817" s="16"/>
      <c r="VR817" s="16"/>
      <c r="VS817" s="16"/>
      <c r="VT817" s="16"/>
      <c r="VU817" s="16"/>
      <c r="VV817" s="16"/>
      <c r="VW817" s="16"/>
      <c r="VX817" s="16"/>
      <c r="VY817" s="16"/>
      <c r="VZ817" s="16"/>
      <c r="WA817" s="16"/>
      <c r="WB817" s="16"/>
      <c r="WC817" s="16"/>
      <c r="WD817" s="16"/>
      <c r="WE817" s="16"/>
      <c r="WF817" s="16"/>
      <c r="WG817" s="16"/>
      <c r="WH817" s="16"/>
      <c r="WI817" s="16"/>
      <c r="WJ817" s="16"/>
      <c r="WK817" s="16"/>
      <c r="WL817" s="16"/>
      <c r="WM817" s="16"/>
      <c r="WN817" s="16"/>
      <c r="WO817" s="16"/>
      <c r="WP817" s="16"/>
      <c r="WQ817" s="16"/>
      <c r="WR817" s="16"/>
      <c r="WS817" s="16"/>
      <c r="WT817" s="16"/>
      <c r="WU817" s="16"/>
      <c r="WV817" s="16"/>
      <c r="WW817" s="16"/>
      <c r="WX817" s="16"/>
      <c r="WY817" s="16"/>
      <c r="WZ817" s="16"/>
      <c r="XA817" s="16"/>
      <c r="XB817" s="16"/>
      <c r="XC817" s="16"/>
      <c r="XD817" s="16"/>
      <c r="XE817" s="16"/>
      <c r="XF817" s="16"/>
      <c r="XG817" s="16"/>
      <c r="XH817" s="16"/>
      <c r="XI817" s="16"/>
      <c r="XJ817" s="16"/>
      <c r="XK817" s="16"/>
      <c r="XL817" s="16"/>
      <c r="XM817" s="16"/>
      <c r="XN817" s="16"/>
      <c r="XO817" s="16"/>
      <c r="XP817" s="16"/>
      <c r="XQ817" s="16"/>
      <c r="XR817" s="16"/>
      <c r="XS817" s="16"/>
      <c r="XT817" s="16"/>
      <c r="XU817" s="16"/>
      <c r="XV817" s="16"/>
      <c r="XW817" s="16"/>
      <c r="XX817" s="16"/>
      <c r="XY817" s="16"/>
      <c r="XZ817" s="16"/>
      <c r="YA817" s="16"/>
      <c r="YB817" s="16"/>
      <c r="YC817" s="16"/>
      <c r="YD817" s="16"/>
      <c r="YE817" s="16"/>
      <c r="YF817" s="16"/>
      <c r="YG817" s="16"/>
      <c r="YH817" s="16"/>
      <c r="YI817" s="16"/>
      <c r="YJ817" s="16"/>
      <c r="YK817" s="16"/>
      <c r="YL817" s="16"/>
      <c r="YM817" s="16"/>
      <c r="YN817" s="16"/>
      <c r="YO817" s="16"/>
      <c r="YP817" s="16"/>
      <c r="YQ817" s="16"/>
      <c r="YR817" s="16"/>
      <c r="YS817" s="16"/>
      <c r="YT817" s="16"/>
      <c r="YU817" s="16"/>
      <c r="YV817" s="16"/>
      <c r="YW817" s="16"/>
      <c r="YX817" s="16"/>
      <c r="YY817" s="16"/>
      <c r="YZ817" s="16"/>
      <c r="ZA817" s="16"/>
      <c r="ZB817" s="16"/>
      <c r="ZC817" s="16"/>
      <c r="ZD817" s="16"/>
      <c r="ZE817" s="16"/>
      <c r="ZF817" s="16"/>
      <c r="ZG817" s="16"/>
      <c r="ZH817" s="16"/>
      <c r="ZI817" s="16"/>
      <c r="ZJ817" s="16"/>
      <c r="ZK817" s="16"/>
      <c r="ZL817" s="16"/>
      <c r="ZM817" s="16"/>
      <c r="ZN817" s="16"/>
      <c r="ZO817" s="16"/>
      <c r="ZP817" s="16"/>
      <c r="ZQ817" s="16"/>
      <c r="ZR817" s="16"/>
      <c r="ZS817" s="16"/>
      <c r="ZT817" s="16"/>
      <c r="ZU817" s="16"/>
      <c r="ZV817" s="16"/>
      <c r="ZW817" s="16"/>
      <c r="ZX817" s="16"/>
      <c r="ZY817" s="16"/>
      <c r="ZZ817" s="16"/>
      <c r="AAA817" s="16"/>
      <c r="AAB817" s="16"/>
      <c r="AAC817" s="16"/>
      <c r="AAD817" s="16"/>
      <c r="AAE817" s="16"/>
      <c r="AAF817" s="16"/>
      <c r="AAG817" s="16"/>
      <c r="AAH817" s="16"/>
      <c r="AAI817" s="16"/>
      <c r="AAJ817" s="16"/>
      <c r="AAK817" s="16"/>
      <c r="AAL817" s="16"/>
      <c r="AAM817" s="16"/>
      <c r="AAN817" s="16"/>
      <c r="AAO817" s="16"/>
      <c r="AAP817" s="16"/>
      <c r="AAQ817" s="16"/>
      <c r="AAR817" s="16"/>
      <c r="AAS817" s="16"/>
      <c r="AAT817" s="16"/>
      <c r="AAU817" s="16"/>
      <c r="AAV817" s="16"/>
      <c r="AAW817" s="16"/>
      <c r="AAX817" s="16"/>
      <c r="AAY817" s="16"/>
      <c r="AAZ817" s="16"/>
      <c r="ABA817" s="16"/>
      <c r="ABB817" s="16"/>
      <c r="ABC817" s="16"/>
      <c r="ABD817" s="16"/>
      <c r="ABE817" s="16"/>
      <c r="ABF817" s="16"/>
      <c r="ABG817" s="16"/>
      <c r="ABH817" s="16"/>
      <c r="ABI817" s="16"/>
      <c r="ABJ817" s="16"/>
      <c r="ABK817" s="16"/>
      <c r="ABL817" s="16"/>
      <c r="ABM817" s="16"/>
      <c r="ABN817" s="16"/>
      <c r="ABO817" s="16"/>
      <c r="ABP817" s="16"/>
      <c r="ABQ817" s="16"/>
      <c r="ABR817" s="16"/>
      <c r="ABS817" s="16"/>
      <c r="ABT817" s="16"/>
      <c r="ABU817" s="16"/>
      <c r="ABV817" s="16"/>
      <c r="ABW817" s="16"/>
      <c r="ABX817" s="16"/>
      <c r="ABY817" s="16"/>
      <c r="ABZ817" s="16"/>
      <c r="ACA817" s="16"/>
      <c r="ACB817" s="16"/>
      <c r="ACC817" s="16"/>
      <c r="ACD817" s="16"/>
      <c r="ACE817" s="16"/>
      <c r="ACF817" s="16"/>
      <c r="ACG817" s="16"/>
      <c r="ACH817" s="16"/>
      <c r="ACI817" s="16"/>
      <c r="ACJ817" s="16"/>
      <c r="ACK817" s="16"/>
      <c r="ACL817" s="16"/>
      <c r="ACM817" s="16"/>
      <c r="ACN817" s="16"/>
      <c r="ACO817" s="16"/>
      <c r="ACP817" s="16"/>
      <c r="ACQ817" s="16"/>
      <c r="ACR817" s="16"/>
      <c r="ACS817" s="16"/>
      <c r="ACT817" s="16"/>
      <c r="ACU817" s="16"/>
      <c r="ACV817" s="16"/>
      <c r="ACW817" s="16"/>
      <c r="ACX817" s="16"/>
      <c r="ACY817" s="16"/>
      <c r="ACZ817" s="16"/>
      <c r="ADA817" s="16"/>
      <c r="ADB817" s="16"/>
      <c r="ADC817" s="16"/>
      <c r="ADD817" s="16"/>
      <c r="ADE817" s="16"/>
      <c r="ADF817" s="16"/>
      <c r="ADG817" s="16"/>
      <c r="ADH817" s="16"/>
      <c r="ADI817" s="16"/>
      <c r="ADJ817" s="16"/>
      <c r="ADK817" s="16"/>
      <c r="ADL817" s="16"/>
      <c r="ADM817" s="16"/>
      <c r="ADN817" s="16"/>
      <c r="ADO817" s="16"/>
      <c r="ADP817" s="16"/>
      <c r="ADQ817" s="16"/>
      <c r="ADR817" s="16"/>
      <c r="ADS817" s="16"/>
      <c r="ADT817" s="16"/>
      <c r="ADU817" s="16"/>
      <c r="ADV817" s="16"/>
      <c r="ADW817" s="16"/>
      <c r="ADX817" s="16"/>
      <c r="ADY817" s="16"/>
      <c r="ADZ817" s="16"/>
      <c r="AEA817" s="16"/>
      <c r="AEB817" s="16"/>
      <c r="AEC817" s="16"/>
      <c r="AED817" s="16"/>
      <c r="AEE817" s="16"/>
      <c r="AEF817" s="16"/>
      <c r="AEG817" s="16"/>
      <c r="AEH817" s="16"/>
      <c r="AEI817" s="16"/>
      <c r="AEJ817" s="16"/>
      <c r="AEK817" s="16"/>
      <c r="AEL817" s="16"/>
      <c r="AEM817" s="16"/>
      <c r="AEN817" s="16"/>
      <c r="AEO817" s="16"/>
      <c r="AEP817" s="16"/>
      <c r="AEQ817" s="16"/>
      <c r="AER817" s="16"/>
      <c r="AES817" s="16"/>
      <c r="AET817" s="16"/>
      <c r="AEU817" s="16"/>
      <c r="AEV817" s="16"/>
      <c r="AEW817" s="16"/>
      <c r="AEX817" s="16"/>
      <c r="AEY817" s="16"/>
      <c r="AEZ817" s="16"/>
      <c r="AFA817" s="16"/>
      <c r="AFB817" s="16"/>
      <c r="AFC817" s="16"/>
      <c r="AFD817" s="16"/>
      <c r="AFE817" s="16"/>
      <c r="AFF817" s="16"/>
      <c r="AFG817" s="16"/>
      <c r="AFH817" s="16"/>
      <c r="AFI817" s="16"/>
      <c r="AFJ817" s="16"/>
      <c r="AFK817" s="16"/>
      <c r="AFL817" s="16"/>
      <c r="AFM817" s="16"/>
      <c r="AFN817" s="16"/>
      <c r="AFO817" s="16"/>
      <c r="AFP817" s="16"/>
      <c r="AFQ817" s="16"/>
      <c r="AFR817" s="16"/>
      <c r="AFS817" s="16"/>
      <c r="AFT817" s="16"/>
      <c r="AFU817" s="16"/>
      <c r="AFV817" s="16"/>
      <c r="AFW817" s="16"/>
      <c r="AFX817" s="16"/>
      <c r="AFY817" s="16"/>
      <c r="AFZ817" s="16"/>
      <c r="AGA817" s="16"/>
      <c r="AGB817" s="16"/>
      <c r="AGC817" s="16"/>
      <c r="AGD817" s="16"/>
      <c r="AGE817" s="16"/>
      <c r="AGF817" s="16"/>
      <c r="AGG817" s="16"/>
      <c r="AGH817" s="16"/>
      <c r="AGI817" s="16"/>
      <c r="AGJ817" s="16"/>
    </row>
    <row r="818" spans="1:868">
      <c r="A818" s="34" t="s">
        <v>361</v>
      </c>
      <c r="B818" s="40" t="s">
        <v>328</v>
      </c>
      <c r="C818" s="34" t="s">
        <v>139</v>
      </c>
      <c r="D818" s="40" t="s">
        <v>139</v>
      </c>
      <c r="E818" s="237">
        <v>0.25313000000000002</v>
      </c>
      <c r="F818" s="168">
        <v>2</v>
      </c>
      <c r="G818" s="34" t="s">
        <v>364</v>
      </c>
      <c r="H818" s="29">
        <v>1</v>
      </c>
      <c r="I818" s="9"/>
      <c r="J818" s="9">
        <v>1</v>
      </c>
      <c r="K818" s="9">
        <v>3</v>
      </c>
      <c r="L818" s="9">
        <v>3</v>
      </c>
      <c r="M818" s="9">
        <v>2</v>
      </c>
      <c r="N818" s="185">
        <f>IF( OR( ISBLANK(H818),ISBLANK(J818), ISBLANK(K818), ISBLANK(L818), ISBLANK(M818) ), "", 1.5*SQRT(   EXP(2.21*(H818-1)) + EXP(2.21*(J818-1)) + EXP(2.21*(K818-1)) + EXP(2.21*(L818-1)) + EXP(2.21*M818)   )/100*2.45 )</f>
        <v>0.58256442191643876</v>
      </c>
      <c r="O818" s="159" t="str">
        <f>IF( OR( ISBLANK(I818),ISBLANK(J818), ISBLANK(K818), ISBLANK(L818), ISBLANK(M818) ), "", 1.5*SQRT( EXP(2.21*(I818-1)) + EXP(2.21*(J818-1)) + EXP(2.21*(K818-1)) + EXP(2.21*(L818-1)) + EXP(2.21*M818)   )/100*2.45 )</f>
        <v/>
      </c>
      <c r="P818" s="34" t="s">
        <v>365</v>
      </c>
    </row>
    <row r="819" spans="1:868">
      <c r="A819" s="34" t="s">
        <v>317</v>
      </c>
      <c r="B819" s="40" t="s">
        <v>315</v>
      </c>
      <c r="C819" s="34" t="s">
        <v>139</v>
      </c>
      <c r="D819" s="40" t="s">
        <v>139</v>
      </c>
      <c r="E819" s="237">
        <v>0.15</v>
      </c>
      <c r="F819" s="168">
        <v>2</v>
      </c>
      <c r="G819" s="34" t="s">
        <v>318</v>
      </c>
      <c r="H819" s="29">
        <v>2</v>
      </c>
      <c r="I819" s="9"/>
      <c r="J819" s="9">
        <v>3</v>
      </c>
      <c r="K819" s="9">
        <v>3</v>
      </c>
      <c r="L819" s="9">
        <v>1</v>
      </c>
      <c r="M819" s="9">
        <v>2</v>
      </c>
      <c r="N819" s="185">
        <f>IF( OR( ISBLANK(H819),ISBLANK(J819), ISBLANK(K819), ISBLANK(L819), ISBLANK(M819) ), "", 1.5*SQRT(   EXP(2.21*(H819-1)) + EXP(2.21*(J819-1)) + EXP(2.21*(K819-1)) + EXP(2.21*(L819-1)) + EXP(2.21*M819)   )/100*2.45 )</f>
        <v>0.59189702474662764</v>
      </c>
      <c r="O819" s="159" t="str">
        <f>IF( OR( ISBLANK(I819),ISBLANK(J819), ISBLANK(K819), ISBLANK(L819), ISBLANK(M819) ), "", 1.5*SQRT( EXP(2.21*(I819-1)) + EXP(2.21*(J819-1)) + EXP(2.21*(K819-1)) + EXP(2.21*(L819-1)) + EXP(2.21*M819)   )/100*2.45 )</f>
        <v/>
      </c>
      <c r="P819" s="34"/>
    </row>
    <row r="820" spans="1:868">
      <c r="A820" s="34" t="s">
        <v>317</v>
      </c>
      <c r="B820" s="40" t="s">
        <v>223</v>
      </c>
      <c r="C820" s="34" t="s">
        <v>139</v>
      </c>
      <c r="D820" s="40" t="s">
        <v>139</v>
      </c>
      <c r="E820" s="237" t="s">
        <v>150</v>
      </c>
      <c r="F820" s="168">
        <v>1</v>
      </c>
      <c r="G820" s="34"/>
      <c r="H820" s="29"/>
      <c r="I820" s="9"/>
      <c r="J820" s="9"/>
      <c r="K820" s="9"/>
      <c r="L820" s="9"/>
      <c r="M820" s="9"/>
      <c r="N820" s="185" t="str">
        <f>IF( OR( ISBLANK(H820),ISBLANK(J820), ISBLANK(K820), ISBLANK(L820), ISBLANK(M820) ), "", 1.5*SQRT(   EXP(2.21*(H820-1)) + EXP(2.21*(J820-1)) + EXP(2.21*(K820-1)) + EXP(2.21*(L820-1)) + EXP(2.21*M820)   )/100*2.45 )</f>
        <v/>
      </c>
      <c r="O820" s="159" t="str">
        <f>IF( OR( ISBLANK(I820),ISBLANK(J820), ISBLANK(K820), ISBLANK(L820), ISBLANK(M820) ), "", 1.5*SQRT( EXP(2.21*(I820-1)) + EXP(2.21*(J820-1)) + EXP(2.21*(K820-1)) + EXP(2.21*(L820-1)) + EXP(2.21*M820)   )/100*2.45 )</f>
        <v/>
      </c>
      <c r="P820" s="34"/>
    </row>
    <row r="821" spans="1:868">
      <c r="A821" s="34" t="s">
        <v>320</v>
      </c>
      <c r="B821" s="40" t="s">
        <v>319</v>
      </c>
      <c r="C821" s="34" t="s">
        <v>139</v>
      </c>
      <c r="D821" s="40" t="s">
        <v>139</v>
      </c>
      <c r="E821" s="237">
        <v>0.5</v>
      </c>
      <c r="F821" s="168">
        <v>2</v>
      </c>
      <c r="G821" s="34" t="s">
        <v>321</v>
      </c>
      <c r="H821" s="29">
        <v>2</v>
      </c>
      <c r="I821" s="9"/>
      <c r="J821" s="9">
        <v>1</v>
      </c>
      <c r="K821" s="9">
        <v>3</v>
      </c>
      <c r="L821" s="9">
        <v>2</v>
      </c>
      <c r="M821" s="9">
        <v>2</v>
      </c>
      <c r="N821" s="185">
        <f>IF( OR( ISBLANK(H821),ISBLANK(J821), ISBLANK(K821), ISBLANK(L821), ISBLANK(M821) ), "", 1.5*SQRT(   EXP(2.21*(H821-1)) + EXP(2.21*(J821-1)) + EXP(2.21*(K821-1)) + EXP(2.21*(L821-1)) + EXP(2.21*M821)   )/100*2.45 )</f>
        <v>0.50042652380814845</v>
      </c>
      <c r="O821" s="159" t="str">
        <f>IF( OR( ISBLANK(I821),ISBLANK(J821), ISBLANK(K821), ISBLANK(L821), ISBLANK(M821) ), "", 1.5*SQRT( EXP(2.21*(I821-1)) + EXP(2.21*(J821-1)) + EXP(2.21*(K821-1)) + EXP(2.21*(L821-1)) + EXP(2.21*M821)   )/100*2.45 )</f>
        <v/>
      </c>
      <c r="P821" s="34" t="s">
        <v>322</v>
      </c>
    </row>
    <row r="822" spans="1:868" s="210" customFormat="1" ht="15" thickBot="1">
      <c r="A822" s="34" t="s">
        <v>320</v>
      </c>
      <c r="B822" s="40" t="s">
        <v>319</v>
      </c>
      <c r="C822" s="34" t="s">
        <v>139</v>
      </c>
      <c r="D822" s="40" t="s">
        <v>139</v>
      </c>
      <c r="E822" s="237">
        <v>0.85</v>
      </c>
      <c r="F822" s="168">
        <v>2</v>
      </c>
      <c r="G822" s="34" t="s">
        <v>323</v>
      </c>
      <c r="H822" s="29">
        <v>2</v>
      </c>
      <c r="I822" s="9"/>
      <c r="J822" s="9">
        <v>2</v>
      </c>
      <c r="K822" s="9">
        <v>3</v>
      </c>
      <c r="L822" s="9">
        <v>2</v>
      </c>
      <c r="M822" s="9">
        <v>2</v>
      </c>
      <c r="N822" s="185">
        <f>IF( OR( ISBLANK(H822),ISBLANK(J822), ISBLANK(K822), ISBLANK(L822), ISBLANK(M822) ), "", 1.5*SQRT(   EXP(2.21*(H822-1)) + EXP(2.21*(J822-1)) + EXP(2.21*(K822-1)) + EXP(2.21*(L822-1)) + EXP(2.21*M822)   )/100*2.45 )</f>
        <v>0.51126068492676302</v>
      </c>
      <c r="O822" s="159" t="str">
        <f>IF( OR( ISBLANK(I822),ISBLANK(J822), ISBLANK(K822), ISBLANK(L822), ISBLANK(M822) ), "", 1.5*SQRT( EXP(2.21*(I822-1)) + EXP(2.21*(J822-1)) + EXP(2.21*(K822-1)) + EXP(2.21*(L822-1)) + EXP(2.21*M822)   )/100*2.45 )</f>
        <v/>
      </c>
      <c r="P822" s="34" t="s">
        <v>324</v>
      </c>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c r="AY822" s="16"/>
      <c r="AZ822" s="16"/>
      <c r="BA822" s="16"/>
      <c r="BB822" s="16"/>
      <c r="BC822" s="16"/>
      <c r="BD822" s="16"/>
      <c r="BE822" s="16"/>
      <c r="BF822" s="16"/>
      <c r="BG822" s="16"/>
      <c r="BH822" s="16"/>
      <c r="BI822" s="16"/>
      <c r="BJ822" s="16"/>
      <c r="BK822" s="16"/>
      <c r="BL822" s="16"/>
      <c r="BM822" s="16"/>
      <c r="BN822" s="16"/>
      <c r="BO822" s="16"/>
      <c r="BP822" s="16"/>
      <c r="BQ822" s="16"/>
      <c r="BR822" s="16"/>
      <c r="BS822" s="16"/>
      <c r="BT822" s="16"/>
      <c r="BU822" s="16"/>
      <c r="BV822" s="16"/>
      <c r="BW822" s="16"/>
      <c r="BX822" s="16"/>
      <c r="BY822" s="16"/>
      <c r="BZ822" s="16"/>
      <c r="CA822" s="16"/>
      <c r="CB822" s="16"/>
      <c r="CC822" s="16"/>
      <c r="CD822" s="16"/>
      <c r="CE822" s="16"/>
      <c r="CF822" s="16"/>
      <c r="CG822" s="16"/>
      <c r="CH822" s="16"/>
      <c r="CI822" s="16"/>
      <c r="CJ822" s="16"/>
      <c r="CK822" s="16"/>
      <c r="CL822" s="16"/>
      <c r="CM822" s="16"/>
      <c r="CN822" s="16"/>
      <c r="CO822" s="16"/>
      <c r="CP822" s="16"/>
      <c r="CQ822" s="16"/>
      <c r="CR822" s="16"/>
      <c r="CS822" s="16"/>
      <c r="CT822" s="16"/>
      <c r="CU822" s="16"/>
      <c r="CV822" s="16"/>
      <c r="CW822" s="16"/>
      <c r="CX822" s="16"/>
      <c r="CY822" s="16"/>
      <c r="CZ822" s="16"/>
      <c r="DA822" s="16"/>
      <c r="DB822" s="16"/>
      <c r="DC822" s="16"/>
      <c r="DD822" s="16"/>
      <c r="DE822" s="16"/>
      <c r="DF822" s="16"/>
      <c r="DG822" s="16"/>
      <c r="DH822" s="16"/>
      <c r="DI822" s="16"/>
      <c r="DJ822" s="16"/>
      <c r="DK822" s="16"/>
      <c r="DL822" s="16"/>
      <c r="DM822" s="16"/>
      <c r="DN822" s="16"/>
      <c r="DO822" s="16"/>
      <c r="DP822" s="16"/>
      <c r="DQ822" s="16"/>
      <c r="DR822" s="16"/>
      <c r="DS822" s="16"/>
      <c r="DT822" s="16"/>
      <c r="DU822" s="16"/>
      <c r="DV822" s="16"/>
      <c r="DW822" s="16"/>
      <c r="DX822" s="16"/>
      <c r="DY822" s="16"/>
      <c r="DZ822" s="16"/>
      <c r="EA822" s="16"/>
      <c r="EB822" s="16"/>
      <c r="EC822" s="16"/>
      <c r="ED822" s="16"/>
      <c r="EE822" s="16"/>
      <c r="EF822" s="16"/>
      <c r="EG822" s="16"/>
      <c r="EH822" s="16"/>
      <c r="EI822" s="16"/>
      <c r="EJ822" s="16"/>
      <c r="EK822" s="16"/>
      <c r="EL822" s="16"/>
      <c r="EM822" s="16"/>
      <c r="EN822" s="16"/>
      <c r="EO822" s="16"/>
      <c r="EP822" s="16"/>
      <c r="EQ822" s="16"/>
      <c r="ER822" s="16"/>
      <c r="ES822" s="16"/>
      <c r="ET822" s="16"/>
      <c r="EU822" s="16"/>
      <c r="EV822" s="16"/>
      <c r="EW822" s="16"/>
      <c r="EX822" s="16"/>
      <c r="EY822" s="16"/>
      <c r="EZ822" s="16"/>
      <c r="FA822" s="16"/>
      <c r="FB822" s="16"/>
      <c r="FC822" s="16"/>
      <c r="FD822" s="16"/>
      <c r="FE822" s="16"/>
      <c r="FF822" s="16"/>
      <c r="FG822" s="16"/>
      <c r="FH822" s="16"/>
      <c r="FI822" s="16"/>
      <c r="FJ822" s="16"/>
      <c r="FK822" s="16"/>
      <c r="FL822" s="16"/>
      <c r="FM822" s="16"/>
      <c r="FN822" s="16"/>
      <c r="FO822" s="16"/>
      <c r="FP822" s="16"/>
      <c r="FQ822" s="16"/>
      <c r="FR822" s="16"/>
      <c r="FS822" s="16"/>
      <c r="FT822" s="16"/>
      <c r="FU822" s="16"/>
      <c r="FV822" s="16"/>
      <c r="FW822" s="16"/>
      <c r="FX822" s="16"/>
      <c r="FY822" s="16"/>
      <c r="FZ822" s="16"/>
      <c r="GA822" s="16"/>
      <c r="GB822" s="16"/>
      <c r="GC822" s="16"/>
      <c r="GD822" s="16"/>
      <c r="GE822" s="16"/>
      <c r="GF822" s="16"/>
      <c r="GG822" s="16"/>
      <c r="GH822" s="16"/>
      <c r="GI822" s="16"/>
      <c r="GJ822" s="16"/>
      <c r="GK822" s="16"/>
      <c r="GL822" s="16"/>
      <c r="GM822" s="16"/>
      <c r="GN822" s="16"/>
      <c r="GO822" s="16"/>
      <c r="GP822" s="16"/>
      <c r="GQ822" s="16"/>
      <c r="GR822" s="16"/>
      <c r="GS822" s="16"/>
      <c r="GT822" s="16"/>
      <c r="GU822" s="16"/>
      <c r="GV822" s="16"/>
      <c r="GW822" s="16"/>
      <c r="GX822" s="16"/>
      <c r="GY822" s="16"/>
      <c r="GZ822" s="16"/>
      <c r="HA822" s="16"/>
      <c r="HB822" s="16"/>
      <c r="HC822" s="16"/>
      <c r="HD822" s="16"/>
      <c r="HE822" s="16"/>
      <c r="HF822" s="16"/>
      <c r="HG822" s="16"/>
      <c r="HH822" s="16"/>
      <c r="HI822" s="16"/>
      <c r="HJ822" s="16"/>
      <c r="HK822" s="16"/>
      <c r="HL822" s="16"/>
      <c r="HM822" s="16"/>
      <c r="HN822" s="16"/>
      <c r="HO822" s="16"/>
      <c r="HP822" s="16"/>
      <c r="HQ822" s="16"/>
      <c r="HR822" s="16"/>
      <c r="HS822" s="16"/>
      <c r="HT822" s="16"/>
      <c r="HU822" s="16"/>
      <c r="HV822" s="16"/>
      <c r="HW822" s="16"/>
      <c r="HX822" s="16"/>
      <c r="HY822" s="16"/>
      <c r="HZ822" s="16"/>
      <c r="IA822" s="16"/>
      <c r="IB822" s="16"/>
      <c r="IC822" s="16"/>
      <c r="ID822" s="16"/>
      <c r="IE822" s="16"/>
      <c r="IF822" s="16"/>
      <c r="IG822" s="16"/>
      <c r="IH822" s="16"/>
      <c r="II822" s="16"/>
      <c r="IJ822" s="16"/>
      <c r="IK822" s="16"/>
      <c r="IL822" s="16"/>
      <c r="IM822" s="16"/>
      <c r="IN822" s="16"/>
      <c r="IO822" s="16"/>
      <c r="IP822" s="16"/>
      <c r="IQ822" s="16"/>
      <c r="IR822" s="16"/>
      <c r="IS822" s="16"/>
      <c r="IT822" s="16"/>
      <c r="IU822" s="16"/>
      <c r="IV822" s="16"/>
      <c r="IW822" s="16"/>
      <c r="IX822" s="16"/>
      <c r="IY822" s="16"/>
      <c r="IZ822" s="16"/>
      <c r="JA822" s="16"/>
      <c r="JB822" s="16"/>
      <c r="JC822" s="16"/>
      <c r="JD822" s="16"/>
      <c r="JE822" s="16"/>
      <c r="JF822" s="16"/>
      <c r="JG822" s="16"/>
      <c r="JH822" s="16"/>
      <c r="JI822" s="16"/>
      <c r="JJ822" s="16"/>
      <c r="JK822" s="16"/>
      <c r="JL822" s="16"/>
      <c r="JM822" s="16"/>
      <c r="JN822" s="16"/>
      <c r="JO822" s="16"/>
      <c r="JP822" s="16"/>
      <c r="JQ822" s="16"/>
      <c r="JR822" s="16"/>
      <c r="JS822" s="16"/>
      <c r="JT822" s="16"/>
      <c r="JU822" s="16"/>
      <c r="JV822" s="16"/>
      <c r="JW822" s="16"/>
      <c r="JX822" s="16"/>
      <c r="JY822" s="16"/>
      <c r="JZ822" s="16"/>
      <c r="KA822" s="16"/>
      <c r="KB822" s="16"/>
      <c r="KC822" s="16"/>
      <c r="KD822" s="16"/>
      <c r="KE822" s="16"/>
      <c r="KF822" s="16"/>
      <c r="KG822" s="16"/>
      <c r="KH822" s="16"/>
      <c r="KI822" s="16"/>
      <c r="KJ822" s="16"/>
      <c r="KK822" s="16"/>
      <c r="KL822" s="16"/>
      <c r="KM822" s="16"/>
      <c r="KN822" s="16"/>
      <c r="KO822" s="16"/>
      <c r="KP822" s="16"/>
      <c r="KQ822" s="16"/>
      <c r="KR822" s="16"/>
      <c r="KS822" s="16"/>
      <c r="KT822" s="16"/>
      <c r="KU822" s="16"/>
      <c r="KV822" s="16"/>
      <c r="KW822" s="16"/>
      <c r="KX822" s="16"/>
      <c r="KY822" s="16"/>
      <c r="KZ822" s="16"/>
      <c r="LA822" s="16"/>
      <c r="LB822" s="16"/>
      <c r="LC822" s="16"/>
      <c r="LD822" s="16"/>
      <c r="LE822" s="16"/>
      <c r="LF822" s="16"/>
      <c r="LG822" s="16"/>
      <c r="LH822" s="16"/>
      <c r="LI822" s="16"/>
      <c r="LJ822" s="16"/>
      <c r="LK822" s="16"/>
      <c r="LL822" s="16"/>
      <c r="LM822" s="16"/>
      <c r="LN822" s="16"/>
      <c r="LO822" s="16"/>
      <c r="LP822" s="16"/>
      <c r="LQ822" s="16"/>
      <c r="LR822" s="16"/>
      <c r="LS822" s="16"/>
      <c r="LT822" s="16"/>
      <c r="LU822" s="16"/>
      <c r="LV822" s="16"/>
      <c r="LW822" s="16"/>
      <c r="LX822" s="16"/>
      <c r="LY822" s="16"/>
      <c r="LZ822" s="16"/>
      <c r="MA822" s="16"/>
      <c r="MB822" s="16"/>
      <c r="MC822" s="16"/>
      <c r="MD822" s="16"/>
      <c r="ME822" s="16"/>
      <c r="MF822" s="16"/>
      <c r="MG822" s="16"/>
      <c r="MH822" s="16"/>
      <c r="MI822" s="16"/>
      <c r="MJ822" s="16"/>
      <c r="MK822" s="16"/>
      <c r="ML822" s="16"/>
      <c r="MM822" s="16"/>
      <c r="MN822" s="16"/>
      <c r="MO822" s="16"/>
      <c r="MP822" s="16"/>
      <c r="MQ822" s="16"/>
      <c r="MR822" s="16"/>
      <c r="MS822" s="16"/>
      <c r="MT822" s="16"/>
      <c r="MU822" s="16"/>
      <c r="MV822" s="16"/>
      <c r="MW822" s="16"/>
      <c r="MX822" s="16"/>
      <c r="MY822" s="16"/>
      <c r="MZ822" s="16"/>
      <c r="NA822" s="16"/>
      <c r="NB822" s="16"/>
      <c r="NC822" s="16"/>
      <c r="ND822" s="16"/>
      <c r="NE822" s="16"/>
      <c r="NF822" s="16"/>
      <c r="NG822" s="16"/>
      <c r="NH822" s="16"/>
      <c r="NI822" s="16"/>
      <c r="NJ822" s="16"/>
      <c r="NK822" s="16"/>
      <c r="NL822" s="16"/>
      <c r="NM822" s="16"/>
      <c r="NN822" s="16"/>
      <c r="NO822" s="16"/>
      <c r="NP822" s="16"/>
      <c r="NQ822" s="16"/>
      <c r="NR822" s="16"/>
      <c r="NS822" s="16"/>
      <c r="NT822" s="16"/>
      <c r="NU822" s="16"/>
      <c r="NV822" s="16"/>
      <c r="NW822" s="16"/>
      <c r="NX822" s="16"/>
      <c r="NY822" s="16"/>
      <c r="NZ822" s="16"/>
      <c r="OA822" s="16"/>
      <c r="OB822" s="16"/>
      <c r="OC822" s="16"/>
      <c r="OD822" s="16"/>
      <c r="OE822" s="16"/>
      <c r="OF822" s="16"/>
      <c r="OG822" s="16"/>
      <c r="OH822" s="16"/>
      <c r="OI822" s="16"/>
      <c r="OJ822" s="16"/>
      <c r="OK822" s="16"/>
      <c r="OL822" s="16"/>
      <c r="OM822" s="16"/>
      <c r="ON822" s="16"/>
      <c r="OO822" s="16"/>
      <c r="OP822" s="16"/>
      <c r="OQ822" s="16"/>
      <c r="OR822" s="16"/>
      <c r="OS822" s="16"/>
      <c r="OT822" s="16"/>
      <c r="OU822" s="16"/>
      <c r="OV822" s="16"/>
      <c r="OW822" s="16"/>
      <c r="OX822" s="16"/>
      <c r="OY822" s="16"/>
      <c r="OZ822" s="16"/>
      <c r="PA822" s="16"/>
      <c r="PB822" s="16"/>
      <c r="PC822" s="16"/>
      <c r="PD822" s="16"/>
      <c r="PE822" s="16"/>
      <c r="PF822" s="16"/>
      <c r="PG822" s="16"/>
      <c r="PH822" s="16"/>
      <c r="PI822" s="16"/>
      <c r="PJ822" s="16"/>
      <c r="PK822" s="16"/>
      <c r="PL822" s="16"/>
      <c r="PM822" s="16"/>
      <c r="PN822" s="16"/>
      <c r="PO822" s="16"/>
      <c r="PP822" s="16"/>
      <c r="PQ822" s="16"/>
      <c r="PR822" s="16"/>
      <c r="PS822" s="16"/>
      <c r="PT822" s="16"/>
      <c r="PU822" s="16"/>
      <c r="PV822" s="16"/>
      <c r="PW822" s="16"/>
      <c r="PX822" s="16"/>
      <c r="PY822" s="16"/>
      <c r="PZ822" s="16"/>
      <c r="QA822" s="16"/>
      <c r="QB822" s="16"/>
      <c r="QC822" s="16"/>
      <c r="QD822" s="16"/>
      <c r="QE822" s="16"/>
      <c r="QF822" s="16"/>
      <c r="QG822" s="16"/>
      <c r="QH822" s="16"/>
      <c r="QI822" s="16"/>
      <c r="QJ822" s="16"/>
      <c r="QK822" s="16"/>
      <c r="QL822" s="16"/>
      <c r="QM822" s="16"/>
      <c r="QN822" s="16"/>
      <c r="QO822" s="16"/>
      <c r="QP822" s="16"/>
      <c r="QQ822" s="16"/>
      <c r="QR822" s="16"/>
      <c r="QS822" s="16"/>
      <c r="QT822" s="16"/>
      <c r="QU822" s="16"/>
      <c r="QV822" s="16"/>
      <c r="QW822" s="16"/>
      <c r="QX822" s="16"/>
      <c r="QY822" s="16"/>
      <c r="QZ822" s="16"/>
      <c r="RA822" s="16"/>
      <c r="RB822" s="16"/>
      <c r="RC822" s="16"/>
      <c r="RD822" s="16"/>
      <c r="RE822" s="16"/>
      <c r="RF822" s="16"/>
      <c r="RG822" s="16"/>
      <c r="RH822" s="16"/>
      <c r="RI822" s="16"/>
      <c r="RJ822" s="16"/>
      <c r="RK822" s="16"/>
      <c r="RL822" s="16"/>
      <c r="RM822" s="16"/>
      <c r="RN822" s="16"/>
      <c r="RO822" s="16"/>
      <c r="RP822" s="16"/>
      <c r="RQ822" s="16"/>
      <c r="RR822" s="16"/>
      <c r="RS822" s="16"/>
      <c r="RT822" s="16"/>
      <c r="RU822" s="16"/>
      <c r="RV822" s="16"/>
      <c r="RW822" s="16"/>
      <c r="RX822" s="16"/>
      <c r="RY822" s="16"/>
      <c r="RZ822" s="16"/>
      <c r="SA822" s="16"/>
      <c r="SB822" s="16"/>
      <c r="SC822" s="16"/>
      <c r="SD822" s="16"/>
      <c r="SE822" s="16"/>
      <c r="SF822" s="16"/>
      <c r="SG822" s="16"/>
      <c r="SH822" s="16"/>
      <c r="SI822" s="16"/>
      <c r="SJ822" s="16"/>
      <c r="SK822" s="16"/>
      <c r="SL822" s="16"/>
      <c r="SM822" s="16"/>
      <c r="SN822" s="16"/>
      <c r="SO822" s="16"/>
      <c r="SP822" s="16"/>
      <c r="SQ822" s="16"/>
      <c r="SR822" s="16"/>
      <c r="SS822" s="16"/>
      <c r="ST822" s="16"/>
      <c r="SU822" s="16"/>
      <c r="SV822" s="16"/>
      <c r="SW822" s="16"/>
      <c r="SX822" s="16"/>
      <c r="SY822" s="16"/>
      <c r="SZ822" s="16"/>
      <c r="TA822" s="16"/>
      <c r="TB822" s="16"/>
      <c r="TC822" s="16"/>
      <c r="TD822" s="16"/>
      <c r="TE822" s="16"/>
      <c r="TF822" s="16"/>
      <c r="TG822" s="16"/>
      <c r="TH822" s="16"/>
      <c r="TI822" s="16"/>
      <c r="TJ822" s="16"/>
      <c r="TK822" s="16"/>
      <c r="TL822" s="16"/>
      <c r="TM822" s="16"/>
      <c r="TN822" s="16"/>
      <c r="TO822" s="16"/>
      <c r="TP822" s="16"/>
      <c r="TQ822" s="16"/>
      <c r="TR822" s="16"/>
      <c r="TS822" s="16"/>
      <c r="TT822" s="16"/>
      <c r="TU822" s="16"/>
      <c r="TV822" s="16"/>
      <c r="TW822" s="16"/>
      <c r="TX822" s="16"/>
      <c r="TY822" s="16"/>
      <c r="TZ822" s="16"/>
      <c r="UA822" s="16"/>
      <c r="UB822" s="16"/>
      <c r="UC822" s="16"/>
      <c r="UD822" s="16"/>
      <c r="UE822" s="16"/>
      <c r="UF822" s="16"/>
      <c r="UG822" s="16"/>
      <c r="UH822" s="16"/>
      <c r="UI822" s="16"/>
      <c r="UJ822" s="16"/>
      <c r="UK822" s="16"/>
      <c r="UL822" s="16"/>
      <c r="UM822" s="16"/>
      <c r="UN822" s="16"/>
      <c r="UO822" s="16"/>
      <c r="UP822" s="16"/>
      <c r="UQ822" s="16"/>
      <c r="UR822" s="16"/>
      <c r="US822" s="16"/>
      <c r="UT822" s="16"/>
      <c r="UU822" s="16"/>
      <c r="UV822" s="16"/>
      <c r="UW822" s="16"/>
      <c r="UX822" s="16"/>
      <c r="UY822" s="16"/>
      <c r="UZ822" s="16"/>
      <c r="VA822" s="16"/>
      <c r="VB822" s="16"/>
      <c r="VC822" s="16"/>
      <c r="VD822" s="16"/>
      <c r="VE822" s="16"/>
      <c r="VF822" s="16"/>
      <c r="VG822" s="16"/>
      <c r="VH822" s="16"/>
      <c r="VI822" s="16"/>
      <c r="VJ822" s="16"/>
      <c r="VK822" s="16"/>
      <c r="VL822" s="16"/>
      <c r="VM822" s="16"/>
      <c r="VN822" s="16"/>
      <c r="VO822" s="16"/>
      <c r="VP822" s="16"/>
      <c r="VQ822" s="16"/>
      <c r="VR822" s="16"/>
      <c r="VS822" s="16"/>
      <c r="VT822" s="16"/>
      <c r="VU822" s="16"/>
      <c r="VV822" s="16"/>
      <c r="VW822" s="16"/>
      <c r="VX822" s="16"/>
      <c r="VY822" s="16"/>
      <c r="VZ822" s="16"/>
      <c r="WA822" s="16"/>
      <c r="WB822" s="16"/>
      <c r="WC822" s="16"/>
      <c r="WD822" s="16"/>
      <c r="WE822" s="16"/>
      <c r="WF822" s="16"/>
      <c r="WG822" s="16"/>
      <c r="WH822" s="16"/>
      <c r="WI822" s="16"/>
      <c r="WJ822" s="16"/>
      <c r="WK822" s="16"/>
      <c r="WL822" s="16"/>
      <c r="WM822" s="16"/>
      <c r="WN822" s="16"/>
      <c r="WO822" s="16"/>
      <c r="WP822" s="16"/>
      <c r="WQ822" s="16"/>
      <c r="WR822" s="16"/>
      <c r="WS822" s="16"/>
      <c r="WT822" s="16"/>
      <c r="WU822" s="16"/>
      <c r="WV822" s="16"/>
      <c r="WW822" s="16"/>
      <c r="WX822" s="16"/>
      <c r="WY822" s="16"/>
      <c r="WZ822" s="16"/>
      <c r="XA822" s="16"/>
      <c r="XB822" s="16"/>
      <c r="XC822" s="16"/>
      <c r="XD822" s="16"/>
      <c r="XE822" s="16"/>
      <c r="XF822" s="16"/>
      <c r="XG822" s="16"/>
      <c r="XH822" s="16"/>
      <c r="XI822" s="16"/>
      <c r="XJ822" s="16"/>
      <c r="XK822" s="16"/>
      <c r="XL822" s="16"/>
      <c r="XM822" s="16"/>
      <c r="XN822" s="16"/>
      <c r="XO822" s="16"/>
      <c r="XP822" s="16"/>
      <c r="XQ822" s="16"/>
      <c r="XR822" s="16"/>
      <c r="XS822" s="16"/>
      <c r="XT822" s="16"/>
      <c r="XU822" s="16"/>
      <c r="XV822" s="16"/>
      <c r="XW822" s="16"/>
      <c r="XX822" s="16"/>
      <c r="XY822" s="16"/>
      <c r="XZ822" s="16"/>
      <c r="YA822" s="16"/>
      <c r="YB822" s="16"/>
      <c r="YC822" s="16"/>
      <c r="YD822" s="16"/>
      <c r="YE822" s="16"/>
      <c r="YF822" s="16"/>
      <c r="YG822" s="16"/>
      <c r="YH822" s="16"/>
      <c r="YI822" s="16"/>
      <c r="YJ822" s="16"/>
      <c r="YK822" s="16"/>
      <c r="YL822" s="16"/>
      <c r="YM822" s="16"/>
      <c r="YN822" s="16"/>
      <c r="YO822" s="16"/>
      <c r="YP822" s="16"/>
      <c r="YQ822" s="16"/>
      <c r="YR822" s="16"/>
      <c r="YS822" s="16"/>
      <c r="YT822" s="16"/>
      <c r="YU822" s="16"/>
      <c r="YV822" s="16"/>
      <c r="YW822" s="16"/>
      <c r="YX822" s="16"/>
      <c r="YY822" s="16"/>
      <c r="YZ822" s="16"/>
      <c r="ZA822" s="16"/>
      <c r="ZB822" s="16"/>
      <c r="ZC822" s="16"/>
      <c r="ZD822" s="16"/>
      <c r="ZE822" s="16"/>
      <c r="ZF822" s="16"/>
      <c r="ZG822" s="16"/>
      <c r="ZH822" s="16"/>
      <c r="ZI822" s="16"/>
      <c r="ZJ822" s="16"/>
      <c r="ZK822" s="16"/>
      <c r="ZL822" s="16"/>
      <c r="ZM822" s="16"/>
      <c r="ZN822" s="16"/>
      <c r="ZO822" s="16"/>
      <c r="ZP822" s="16"/>
      <c r="ZQ822" s="16"/>
      <c r="ZR822" s="16"/>
      <c r="ZS822" s="16"/>
      <c r="ZT822" s="16"/>
      <c r="ZU822" s="16"/>
      <c r="ZV822" s="16"/>
      <c r="ZW822" s="16"/>
      <c r="ZX822" s="16"/>
      <c r="ZY822" s="16"/>
      <c r="ZZ822" s="16"/>
      <c r="AAA822" s="16"/>
      <c r="AAB822" s="16"/>
      <c r="AAC822" s="16"/>
      <c r="AAD822" s="16"/>
      <c r="AAE822" s="16"/>
      <c r="AAF822" s="16"/>
      <c r="AAG822" s="16"/>
      <c r="AAH822" s="16"/>
      <c r="AAI822" s="16"/>
      <c r="AAJ822" s="16"/>
      <c r="AAK822" s="16"/>
      <c r="AAL822" s="16"/>
      <c r="AAM822" s="16"/>
      <c r="AAN822" s="16"/>
      <c r="AAO822" s="16"/>
      <c r="AAP822" s="16"/>
      <c r="AAQ822" s="16"/>
      <c r="AAR822" s="16"/>
      <c r="AAS822" s="16"/>
      <c r="AAT822" s="16"/>
      <c r="AAU822" s="16"/>
      <c r="AAV822" s="16"/>
      <c r="AAW822" s="16"/>
      <c r="AAX822" s="16"/>
      <c r="AAY822" s="16"/>
      <c r="AAZ822" s="16"/>
      <c r="ABA822" s="16"/>
      <c r="ABB822" s="16"/>
      <c r="ABC822" s="16"/>
      <c r="ABD822" s="16"/>
      <c r="ABE822" s="16"/>
      <c r="ABF822" s="16"/>
      <c r="ABG822" s="16"/>
      <c r="ABH822" s="16"/>
      <c r="ABI822" s="16"/>
      <c r="ABJ822" s="16"/>
      <c r="ABK822" s="16"/>
      <c r="ABL822" s="16"/>
      <c r="ABM822" s="16"/>
      <c r="ABN822" s="16"/>
      <c r="ABO822" s="16"/>
      <c r="ABP822" s="16"/>
      <c r="ABQ822" s="16"/>
      <c r="ABR822" s="16"/>
      <c r="ABS822" s="16"/>
      <c r="ABT822" s="16"/>
      <c r="ABU822" s="16"/>
      <c r="ABV822" s="16"/>
      <c r="ABW822" s="16"/>
      <c r="ABX822" s="16"/>
      <c r="ABY822" s="16"/>
      <c r="ABZ822" s="16"/>
      <c r="ACA822" s="16"/>
      <c r="ACB822" s="16"/>
      <c r="ACC822" s="16"/>
      <c r="ACD822" s="16"/>
      <c r="ACE822" s="16"/>
      <c r="ACF822" s="16"/>
      <c r="ACG822" s="16"/>
      <c r="ACH822" s="16"/>
      <c r="ACI822" s="16"/>
      <c r="ACJ822" s="16"/>
      <c r="ACK822" s="16"/>
      <c r="ACL822" s="16"/>
      <c r="ACM822" s="16"/>
      <c r="ACN822" s="16"/>
      <c r="ACO822" s="16"/>
      <c r="ACP822" s="16"/>
      <c r="ACQ822" s="16"/>
      <c r="ACR822" s="16"/>
      <c r="ACS822" s="16"/>
      <c r="ACT822" s="16"/>
      <c r="ACU822" s="16"/>
      <c r="ACV822" s="16"/>
      <c r="ACW822" s="16"/>
      <c r="ACX822" s="16"/>
      <c r="ACY822" s="16"/>
      <c r="ACZ822" s="16"/>
      <c r="ADA822" s="16"/>
      <c r="ADB822" s="16"/>
      <c r="ADC822" s="16"/>
      <c r="ADD822" s="16"/>
      <c r="ADE822" s="16"/>
      <c r="ADF822" s="16"/>
      <c r="ADG822" s="16"/>
      <c r="ADH822" s="16"/>
      <c r="ADI822" s="16"/>
      <c r="ADJ822" s="16"/>
      <c r="ADK822" s="16"/>
      <c r="ADL822" s="16"/>
      <c r="ADM822" s="16"/>
      <c r="ADN822" s="16"/>
      <c r="ADO822" s="16"/>
      <c r="ADP822" s="16"/>
      <c r="ADQ822" s="16"/>
      <c r="ADR822" s="16"/>
      <c r="ADS822" s="16"/>
      <c r="ADT822" s="16"/>
      <c r="ADU822" s="16"/>
      <c r="ADV822" s="16"/>
      <c r="ADW822" s="16"/>
      <c r="ADX822" s="16"/>
      <c r="ADY822" s="16"/>
      <c r="ADZ822" s="16"/>
      <c r="AEA822" s="16"/>
      <c r="AEB822" s="16"/>
      <c r="AEC822" s="16"/>
      <c r="AED822" s="16"/>
      <c r="AEE822" s="16"/>
      <c r="AEF822" s="16"/>
      <c r="AEG822" s="16"/>
      <c r="AEH822" s="16"/>
      <c r="AEI822" s="16"/>
      <c r="AEJ822" s="16"/>
      <c r="AEK822" s="16"/>
      <c r="AEL822" s="16"/>
      <c r="AEM822" s="16"/>
      <c r="AEN822" s="16"/>
      <c r="AEO822" s="16"/>
      <c r="AEP822" s="16"/>
      <c r="AEQ822" s="16"/>
      <c r="AER822" s="16"/>
      <c r="AES822" s="16"/>
      <c r="AET822" s="16"/>
      <c r="AEU822" s="16"/>
      <c r="AEV822" s="16"/>
      <c r="AEW822" s="16"/>
      <c r="AEX822" s="16"/>
      <c r="AEY822" s="16"/>
      <c r="AEZ822" s="16"/>
      <c r="AFA822" s="16"/>
      <c r="AFB822" s="16"/>
      <c r="AFC822" s="16"/>
      <c r="AFD822" s="16"/>
      <c r="AFE822" s="16"/>
      <c r="AFF822" s="16"/>
      <c r="AFG822" s="16"/>
      <c r="AFH822" s="16"/>
      <c r="AFI822" s="16"/>
      <c r="AFJ822" s="16"/>
      <c r="AFK822" s="16"/>
      <c r="AFL822" s="16"/>
      <c r="AFM822" s="16"/>
      <c r="AFN822" s="16"/>
      <c r="AFO822" s="16"/>
      <c r="AFP822" s="16"/>
      <c r="AFQ822" s="16"/>
      <c r="AFR822" s="16"/>
      <c r="AFS822" s="16"/>
      <c r="AFT822" s="16"/>
      <c r="AFU822" s="16"/>
      <c r="AFV822" s="16"/>
      <c r="AFW822" s="16"/>
      <c r="AFX822" s="16"/>
      <c r="AFY822" s="16"/>
      <c r="AFZ822" s="16"/>
      <c r="AGA822" s="16"/>
      <c r="AGB822" s="16"/>
      <c r="AGC822" s="16"/>
      <c r="AGD822" s="16"/>
      <c r="AGE822" s="16"/>
      <c r="AGF822" s="16"/>
      <c r="AGG822" s="16"/>
      <c r="AGH822" s="16"/>
      <c r="AGI822" s="16"/>
      <c r="AGJ822" s="16"/>
    </row>
    <row r="823" spans="1:868">
      <c r="A823" s="34" t="s">
        <v>320</v>
      </c>
      <c r="B823" s="40" t="s">
        <v>223</v>
      </c>
      <c r="C823" s="34" t="s">
        <v>139</v>
      </c>
      <c r="D823" s="40" t="s">
        <v>139</v>
      </c>
      <c r="E823" s="237" t="s">
        <v>150</v>
      </c>
      <c r="F823" s="168">
        <v>1</v>
      </c>
      <c r="G823" s="34"/>
      <c r="H823" s="29"/>
      <c r="I823" s="9"/>
      <c r="J823" s="9"/>
      <c r="K823" s="9"/>
      <c r="L823" s="9"/>
      <c r="M823" s="9"/>
      <c r="N823" s="185" t="str">
        <f>IF( OR( ISBLANK(H823),ISBLANK(J823), ISBLANK(K823), ISBLANK(L823), ISBLANK(M823) ), "", 1.5*SQRT(   EXP(2.21*(H823-1)) + EXP(2.21*(J823-1)) + EXP(2.21*(K823-1)) + EXP(2.21*(L823-1)) + EXP(2.21*M823)   )/100*2.45 )</f>
        <v/>
      </c>
      <c r="O823" s="159" t="str">
        <f>IF( OR( ISBLANK(I823),ISBLANK(J823), ISBLANK(K823), ISBLANK(L823), ISBLANK(M823) ), "", 1.5*SQRT( EXP(2.21*(I823-1)) + EXP(2.21*(J823-1)) + EXP(2.21*(K823-1)) + EXP(2.21*(L823-1)) + EXP(2.21*M823)   )/100*2.45 )</f>
        <v/>
      </c>
      <c r="P823" s="34"/>
    </row>
    <row r="824" spans="1:868">
      <c r="A824" s="34" t="s">
        <v>328</v>
      </c>
      <c r="B824" s="40" t="s">
        <v>308</v>
      </c>
      <c r="C824" s="34" t="s">
        <v>139</v>
      </c>
      <c r="D824" s="40" t="s">
        <v>139</v>
      </c>
      <c r="E824" s="237">
        <v>0.41463414634146339</v>
      </c>
      <c r="F824" s="168">
        <v>2</v>
      </c>
      <c r="G824" s="34" t="s">
        <v>329</v>
      </c>
      <c r="H824" s="29">
        <v>2</v>
      </c>
      <c r="I824" s="9"/>
      <c r="J824" s="9">
        <v>3</v>
      </c>
      <c r="K824" s="9">
        <v>3</v>
      </c>
      <c r="L824" s="9">
        <v>1</v>
      </c>
      <c r="M824" s="9">
        <v>2</v>
      </c>
      <c r="N824" s="185">
        <f>IF( OR( ISBLANK(H824),ISBLANK(J824), ISBLANK(K824), ISBLANK(L824), ISBLANK(M824) ), "", 1.5*SQRT(   EXP(2.21*(H824-1)) + EXP(2.21*(J824-1)) + EXP(2.21*(K824-1)) + EXP(2.21*(L824-1)) + EXP(2.21*M824)   )/100*2.45 )</f>
        <v>0.59189702474662764</v>
      </c>
      <c r="O824" s="159" t="str">
        <f>IF( OR( ISBLANK(I824),ISBLANK(J824), ISBLANK(K824), ISBLANK(L824), ISBLANK(M824) ), "", 1.5*SQRT( EXP(2.21*(I824-1)) + EXP(2.21*(J824-1)) + EXP(2.21*(K824-1)) + EXP(2.21*(L824-1)) + EXP(2.21*M824)   )/100*2.45 )</f>
        <v/>
      </c>
      <c r="P824" s="34"/>
    </row>
    <row r="825" spans="1:868">
      <c r="A825" s="34" t="s">
        <v>328</v>
      </c>
      <c r="B825" s="40" t="s">
        <v>308</v>
      </c>
      <c r="C825" s="34" t="s">
        <v>139</v>
      </c>
      <c r="D825" s="40" t="s">
        <v>139</v>
      </c>
      <c r="E825" s="237">
        <v>0.70487804878048776</v>
      </c>
      <c r="F825" s="168">
        <v>2</v>
      </c>
      <c r="G825" s="34" t="s">
        <v>329</v>
      </c>
      <c r="H825" s="29">
        <v>2</v>
      </c>
      <c r="I825" s="9"/>
      <c r="J825" s="9">
        <v>3</v>
      </c>
      <c r="K825" s="9">
        <v>3</v>
      </c>
      <c r="L825" s="9">
        <v>1</v>
      </c>
      <c r="M825" s="9">
        <v>2</v>
      </c>
      <c r="N825" s="185">
        <f>IF( OR( ISBLANK(H825),ISBLANK(J825), ISBLANK(K825), ISBLANK(L825), ISBLANK(M825) ), "", 1.5*SQRT(   EXP(2.21*(H825-1)) + EXP(2.21*(J825-1)) + EXP(2.21*(K825-1)) + EXP(2.21*(L825-1)) + EXP(2.21*M825)   )/100*2.45 )</f>
        <v>0.59189702474662764</v>
      </c>
      <c r="O825" s="159" t="str">
        <f>IF( OR( ISBLANK(I825),ISBLANK(J825), ISBLANK(K825), ISBLANK(L825), ISBLANK(M825) ), "", 1.5*SQRT( EXP(2.21*(I825-1)) + EXP(2.21*(J825-1)) + EXP(2.21*(K825-1)) + EXP(2.21*(L825-1)) + EXP(2.21*M825)   )/100*2.45 )</f>
        <v/>
      </c>
      <c r="P825" s="34"/>
    </row>
    <row r="826" spans="1:868">
      <c r="A826" s="34" t="s">
        <v>328</v>
      </c>
      <c r="B826" s="40" t="s">
        <v>223</v>
      </c>
      <c r="C826" s="34" t="s">
        <v>139</v>
      </c>
      <c r="D826" s="40" t="s">
        <v>139</v>
      </c>
      <c r="E826" s="237" t="s">
        <v>150</v>
      </c>
      <c r="F826" s="168">
        <v>1</v>
      </c>
      <c r="G826" s="34"/>
      <c r="H826" s="29"/>
      <c r="I826" s="9"/>
      <c r="J826" s="9"/>
      <c r="K826" s="9"/>
      <c r="L826" s="9"/>
      <c r="M826" s="9"/>
      <c r="N826" s="185" t="str">
        <f>IF( OR( ISBLANK(H826),ISBLANK(J826), ISBLANK(K826), ISBLANK(L826), ISBLANK(M826) ), "", 1.5*SQRT(   EXP(2.21*(H826-1)) + EXP(2.21*(J826-1)) + EXP(2.21*(K826-1)) + EXP(2.21*(L826-1)) + EXP(2.21*M826)   )/100*2.45 )</f>
        <v/>
      </c>
      <c r="O826" s="159" t="str">
        <f>IF( OR( ISBLANK(I826),ISBLANK(J826), ISBLANK(K826), ISBLANK(L826), ISBLANK(M826) ), "", 1.5*SQRT( EXP(2.21*(I826-1)) + EXP(2.21*(J826-1)) + EXP(2.21*(K826-1)) + EXP(2.21*(L826-1)) + EXP(2.21*M826)   )/100*2.45 )</f>
        <v/>
      </c>
      <c r="P826" s="34"/>
    </row>
    <row r="827" spans="1:868">
      <c r="A827" s="34" t="str">
        <f>Clothing!A551</f>
        <v>Open-toed shoes</v>
      </c>
      <c r="B827" s="40" t="str">
        <f>Clothing!B551</f>
        <v>Mixed waste collection</v>
      </c>
      <c r="C827" s="34" t="str">
        <f>Clothing!C551</f>
        <v>any</v>
      </c>
      <c r="D827" s="40" t="str">
        <f>Clothing!D551</f>
        <v>any</v>
      </c>
      <c r="E827" s="34" t="str">
        <f>Clothing!E551</f>
        <v>rest</v>
      </c>
      <c r="F827" s="40">
        <f>Clothing!F551</f>
        <v>1</v>
      </c>
      <c r="G827" s="34"/>
      <c r="H827" s="1188"/>
      <c r="I827" s="307"/>
      <c r="J827" s="307"/>
      <c r="K827" s="307"/>
      <c r="L827" s="307"/>
      <c r="M827" s="307"/>
      <c r="N827" s="185"/>
      <c r="O827" s="159"/>
      <c r="P827" s="973"/>
    </row>
    <row r="828" spans="1:868" s="210" customFormat="1" ht="15" thickBot="1">
      <c r="A828" s="34" t="str">
        <f>Clothing!A550</f>
        <v>Open-toed shoes</v>
      </c>
      <c r="B828" s="40" t="str">
        <f>Clothing!B550</f>
        <v>Footwear waste collection</v>
      </c>
      <c r="C828" s="34" t="str">
        <f>Clothing!C550</f>
        <v>any</v>
      </c>
      <c r="D828" s="40" t="str">
        <f>Clothing!D550</f>
        <v>any</v>
      </c>
      <c r="E828" s="34">
        <f>Clothing!E550</f>
        <v>0.25</v>
      </c>
      <c r="F828" s="40">
        <f>Clothing!F550</f>
        <v>2</v>
      </c>
      <c r="G828" s="34" t="str">
        <f>Clothing!G550</f>
        <v>(de Waart et al., 2023)</v>
      </c>
      <c r="H828" s="1188">
        <f>Clothing!H550</f>
        <v>2</v>
      </c>
      <c r="I828" s="307">
        <f>Clothing!I550</f>
        <v>2</v>
      </c>
      <c r="J828" s="307">
        <f>Clothing!J550</f>
        <v>2</v>
      </c>
      <c r="K828" s="307">
        <f>Clothing!K550</f>
        <v>3</v>
      </c>
      <c r="L828" s="307">
        <f>Clothing!L550</f>
        <v>2</v>
      </c>
      <c r="M828" s="307">
        <f>Clothing!M550</f>
        <v>2</v>
      </c>
      <c r="N828" s="185">
        <f>IF( OR( ISBLANK(H828),ISBLANK(J828), ISBLANK(K828), ISBLANK(L828), ISBLANK(M828) ), "", 1.5*SQRT(   EXP(2.21*(H828-1)) + EXP(2.21*(J828-1)) + EXP(2.21*(K828-1)) + EXP(2.21*(L828-1)) + EXP(2.21*M828)   )/100*2.45 )</f>
        <v>0.51126068492676302</v>
      </c>
      <c r="O828" s="159">
        <f>IF( OR( ISBLANK(I828),ISBLANK(J828), ISBLANK(K828), ISBLANK(L828), ISBLANK(M828) ), "", 1.5*SQRT( EXP(2.21*(I828-1)) + EXP(2.21*(J828-1)) + EXP(2.21*(K828-1)) + EXP(2.21*(L828-1)) + EXP(2.21*M828)   )/100*2.45 )</f>
        <v>0.51126068492676302</v>
      </c>
      <c r="P828" s="973"/>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c r="AY828" s="16"/>
      <c r="AZ828" s="16"/>
      <c r="BA828" s="16"/>
      <c r="BB828" s="16"/>
      <c r="BC828" s="16"/>
      <c r="BD828" s="16"/>
      <c r="BE828" s="16"/>
      <c r="BF828" s="16"/>
      <c r="BG828" s="16"/>
      <c r="BH828" s="16"/>
      <c r="BI828" s="16"/>
      <c r="BJ828" s="16"/>
      <c r="BK828" s="16"/>
      <c r="BL828" s="16"/>
      <c r="BM828" s="16"/>
      <c r="BN828" s="16"/>
      <c r="BO828" s="16"/>
      <c r="BP828" s="16"/>
      <c r="BQ828" s="16"/>
      <c r="BR828" s="16"/>
      <c r="BS828" s="16"/>
      <c r="BT828" s="16"/>
      <c r="BU828" s="16"/>
      <c r="BV828" s="16"/>
      <c r="BW828" s="16"/>
      <c r="BX828" s="16"/>
      <c r="BY828" s="16"/>
      <c r="BZ828" s="16"/>
      <c r="CA828" s="16"/>
      <c r="CB828" s="16"/>
      <c r="CC828" s="16"/>
      <c r="CD828" s="16"/>
      <c r="CE828" s="16"/>
      <c r="CF828" s="16"/>
      <c r="CG828" s="16"/>
      <c r="CH828" s="16"/>
      <c r="CI828" s="16"/>
      <c r="CJ828" s="16"/>
      <c r="CK828" s="16"/>
      <c r="CL828" s="16"/>
      <c r="CM828" s="16"/>
      <c r="CN828" s="16"/>
      <c r="CO828" s="16"/>
      <c r="CP828" s="16"/>
      <c r="CQ828" s="16"/>
      <c r="CR828" s="16"/>
      <c r="CS828" s="16"/>
      <c r="CT828" s="16"/>
      <c r="CU828" s="16"/>
      <c r="CV828" s="16"/>
      <c r="CW828" s="16"/>
      <c r="CX828" s="16"/>
      <c r="CY828" s="16"/>
      <c r="CZ828" s="16"/>
      <c r="DA828" s="16"/>
      <c r="DB828" s="16"/>
      <c r="DC828" s="16"/>
      <c r="DD828" s="16"/>
      <c r="DE828" s="16"/>
      <c r="DF828" s="16"/>
      <c r="DG828" s="16"/>
      <c r="DH828" s="16"/>
      <c r="DI828" s="16"/>
      <c r="DJ828" s="16"/>
      <c r="DK828" s="16"/>
      <c r="DL828" s="16"/>
      <c r="DM828" s="16"/>
      <c r="DN828" s="16"/>
      <c r="DO828" s="16"/>
      <c r="DP828" s="16"/>
      <c r="DQ828" s="16"/>
      <c r="DR828" s="16"/>
      <c r="DS828" s="16"/>
      <c r="DT828" s="16"/>
      <c r="DU828" s="16"/>
      <c r="DV828" s="16"/>
      <c r="DW828" s="16"/>
      <c r="DX828" s="16"/>
      <c r="DY828" s="16"/>
      <c r="DZ828" s="16"/>
      <c r="EA828" s="16"/>
      <c r="EB828" s="16"/>
      <c r="EC828" s="16"/>
      <c r="ED828" s="16"/>
      <c r="EE828" s="16"/>
      <c r="EF828" s="16"/>
      <c r="EG828" s="16"/>
      <c r="EH828" s="16"/>
      <c r="EI828" s="16"/>
      <c r="EJ828" s="16"/>
      <c r="EK828" s="16"/>
      <c r="EL828" s="16"/>
      <c r="EM828" s="16"/>
      <c r="EN828" s="16"/>
      <c r="EO828" s="16"/>
      <c r="EP828" s="16"/>
      <c r="EQ828" s="16"/>
      <c r="ER828" s="16"/>
      <c r="ES828" s="16"/>
      <c r="ET828" s="16"/>
      <c r="EU828" s="16"/>
      <c r="EV828" s="16"/>
      <c r="EW828" s="16"/>
      <c r="EX828" s="16"/>
      <c r="EY828" s="16"/>
      <c r="EZ828" s="16"/>
      <c r="FA828" s="16"/>
      <c r="FB828" s="16"/>
      <c r="FC828" s="16"/>
      <c r="FD828" s="16"/>
      <c r="FE828" s="16"/>
      <c r="FF828" s="16"/>
      <c r="FG828" s="16"/>
      <c r="FH828" s="16"/>
      <c r="FI828" s="16"/>
      <c r="FJ828" s="16"/>
      <c r="FK828" s="16"/>
      <c r="FL828" s="16"/>
      <c r="FM828" s="16"/>
      <c r="FN828" s="16"/>
      <c r="FO828" s="16"/>
      <c r="FP828" s="16"/>
      <c r="FQ828" s="16"/>
      <c r="FR828" s="16"/>
      <c r="FS828" s="16"/>
      <c r="FT828" s="16"/>
      <c r="FU828" s="16"/>
      <c r="FV828" s="16"/>
      <c r="FW828" s="16"/>
      <c r="FX828" s="16"/>
      <c r="FY828" s="16"/>
      <c r="FZ828" s="16"/>
      <c r="GA828" s="16"/>
      <c r="GB828" s="16"/>
      <c r="GC828" s="16"/>
      <c r="GD828" s="16"/>
      <c r="GE828" s="16"/>
      <c r="GF828" s="16"/>
      <c r="GG828" s="16"/>
      <c r="GH828" s="16"/>
      <c r="GI828" s="16"/>
      <c r="GJ828" s="16"/>
      <c r="GK828" s="16"/>
      <c r="GL828" s="16"/>
      <c r="GM828" s="16"/>
      <c r="GN828" s="16"/>
      <c r="GO828" s="16"/>
      <c r="GP828" s="16"/>
      <c r="GQ828" s="16"/>
      <c r="GR828" s="16"/>
      <c r="GS828" s="16"/>
      <c r="GT828" s="16"/>
      <c r="GU828" s="16"/>
      <c r="GV828" s="16"/>
      <c r="GW828" s="16"/>
      <c r="GX828" s="16"/>
      <c r="GY828" s="16"/>
      <c r="GZ828" s="16"/>
      <c r="HA828" s="16"/>
      <c r="HB828" s="16"/>
      <c r="HC828" s="16"/>
      <c r="HD828" s="16"/>
      <c r="HE828" s="16"/>
      <c r="HF828" s="16"/>
      <c r="HG828" s="16"/>
      <c r="HH828" s="16"/>
      <c r="HI828" s="16"/>
      <c r="HJ828" s="16"/>
      <c r="HK828" s="16"/>
      <c r="HL828" s="16"/>
      <c r="HM828" s="16"/>
      <c r="HN828" s="16"/>
      <c r="HO828" s="16"/>
      <c r="HP828" s="16"/>
      <c r="HQ828" s="16"/>
      <c r="HR828" s="16"/>
      <c r="HS828" s="16"/>
      <c r="HT828" s="16"/>
      <c r="HU828" s="16"/>
      <c r="HV828" s="16"/>
      <c r="HW828" s="16"/>
      <c r="HX828" s="16"/>
      <c r="HY828" s="16"/>
      <c r="HZ828" s="16"/>
      <c r="IA828" s="16"/>
      <c r="IB828" s="16"/>
      <c r="IC828" s="16"/>
      <c r="ID828" s="16"/>
      <c r="IE828" s="16"/>
      <c r="IF828" s="16"/>
      <c r="IG828" s="16"/>
      <c r="IH828" s="16"/>
      <c r="II828" s="16"/>
      <c r="IJ828" s="16"/>
      <c r="IK828" s="16"/>
      <c r="IL828" s="16"/>
      <c r="IM828" s="16"/>
      <c r="IN828" s="16"/>
      <c r="IO828" s="16"/>
      <c r="IP828" s="16"/>
      <c r="IQ828" s="16"/>
      <c r="IR828" s="16"/>
      <c r="IS828" s="16"/>
      <c r="IT828" s="16"/>
      <c r="IU828" s="16"/>
      <c r="IV828" s="16"/>
      <c r="IW828" s="16"/>
      <c r="IX828" s="16"/>
      <c r="IY828" s="16"/>
      <c r="IZ828" s="16"/>
      <c r="JA828" s="16"/>
      <c r="JB828" s="16"/>
      <c r="JC828" s="16"/>
      <c r="JD828" s="16"/>
      <c r="JE828" s="16"/>
      <c r="JF828" s="16"/>
      <c r="JG828" s="16"/>
      <c r="JH828" s="16"/>
      <c r="JI828" s="16"/>
      <c r="JJ828" s="16"/>
      <c r="JK828" s="16"/>
      <c r="JL828" s="16"/>
      <c r="JM828" s="16"/>
      <c r="JN828" s="16"/>
      <c r="JO828" s="16"/>
      <c r="JP828" s="16"/>
      <c r="JQ828" s="16"/>
      <c r="JR828" s="16"/>
      <c r="JS828" s="16"/>
      <c r="JT828" s="16"/>
      <c r="JU828" s="16"/>
      <c r="JV828" s="16"/>
      <c r="JW828" s="16"/>
      <c r="JX828" s="16"/>
      <c r="JY828" s="16"/>
      <c r="JZ828" s="16"/>
      <c r="KA828" s="16"/>
      <c r="KB828" s="16"/>
      <c r="KC828" s="16"/>
      <c r="KD828" s="16"/>
      <c r="KE828" s="16"/>
      <c r="KF828" s="16"/>
      <c r="KG828" s="16"/>
      <c r="KH828" s="16"/>
      <c r="KI828" s="16"/>
      <c r="KJ828" s="16"/>
      <c r="KK828" s="16"/>
      <c r="KL828" s="16"/>
      <c r="KM828" s="16"/>
      <c r="KN828" s="16"/>
      <c r="KO828" s="16"/>
      <c r="KP828" s="16"/>
      <c r="KQ828" s="16"/>
      <c r="KR828" s="16"/>
      <c r="KS828" s="16"/>
      <c r="KT828" s="16"/>
      <c r="KU828" s="16"/>
      <c r="KV828" s="16"/>
      <c r="KW828" s="16"/>
      <c r="KX828" s="16"/>
      <c r="KY828" s="16"/>
      <c r="KZ828" s="16"/>
      <c r="LA828" s="16"/>
      <c r="LB828" s="16"/>
      <c r="LC828" s="16"/>
      <c r="LD828" s="16"/>
      <c r="LE828" s="16"/>
      <c r="LF828" s="16"/>
      <c r="LG828" s="16"/>
      <c r="LH828" s="16"/>
      <c r="LI828" s="16"/>
      <c r="LJ828" s="16"/>
      <c r="LK828" s="16"/>
      <c r="LL828" s="16"/>
      <c r="LM828" s="16"/>
      <c r="LN828" s="16"/>
      <c r="LO828" s="16"/>
      <c r="LP828" s="16"/>
      <c r="LQ828" s="16"/>
      <c r="LR828" s="16"/>
      <c r="LS828" s="16"/>
      <c r="LT828" s="16"/>
      <c r="LU828" s="16"/>
      <c r="LV828" s="16"/>
      <c r="LW828" s="16"/>
      <c r="LX828" s="16"/>
      <c r="LY828" s="16"/>
      <c r="LZ828" s="16"/>
      <c r="MA828" s="16"/>
      <c r="MB828" s="16"/>
      <c r="MC828" s="16"/>
      <c r="MD828" s="16"/>
      <c r="ME828" s="16"/>
      <c r="MF828" s="16"/>
      <c r="MG828" s="16"/>
      <c r="MH828" s="16"/>
      <c r="MI828" s="16"/>
      <c r="MJ828" s="16"/>
      <c r="MK828" s="16"/>
      <c r="ML828" s="16"/>
      <c r="MM828" s="16"/>
      <c r="MN828" s="16"/>
      <c r="MO828" s="16"/>
      <c r="MP828" s="16"/>
      <c r="MQ828" s="16"/>
      <c r="MR828" s="16"/>
      <c r="MS828" s="16"/>
      <c r="MT828" s="16"/>
      <c r="MU828" s="16"/>
      <c r="MV828" s="16"/>
      <c r="MW828" s="16"/>
      <c r="MX828" s="16"/>
      <c r="MY828" s="16"/>
      <c r="MZ828" s="16"/>
      <c r="NA828" s="16"/>
      <c r="NB828" s="16"/>
      <c r="NC828" s="16"/>
      <c r="ND828" s="16"/>
      <c r="NE828" s="16"/>
      <c r="NF828" s="16"/>
      <c r="NG828" s="16"/>
      <c r="NH828" s="16"/>
      <c r="NI828" s="16"/>
      <c r="NJ828" s="16"/>
      <c r="NK828" s="16"/>
      <c r="NL828" s="16"/>
      <c r="NM828" s="16"/>
      <c r="NN828" s="16"/>
      <c r="NO828" s="16"/>
      <c r="NP828" s="16"/>
      <c r="NQ828" s="16"/>
      <c r="NR828" s="16"/>
      <c r="NS828" s="16"/>
      <c r="NT828" s="16"/>
      <c r="NU828" s="16"/>
      <c r="NV828" s="16"/>
      <c r="NW828" s="16"/>
      <c r="NX828" s="16"/>
      <c r="NY828" s="16"/>
      <c r="NZ828" s="16"/>
      <c r="OA828" s="16"/>
      <c r="OB828" s="16"/>
      <c r="OC828" s="16"/>
      <c r="OD828" s="16"/>
      <c r="OE828" s="16"/>
      <c r="OF828" s="16"/>
      <c r="OG828" s="16"/>
      <c r="OH828" s="16"/>
      <c r="OI828" s="16"/>
      <c r="OJ828" s="16"/>
      <c r="OK828" s="16"/>
      <c r="OL828" s="16"/>
      <c r="OM828" s="16"/>
      <c r="ON828" s="16"/>
      <c r="OO828" s="16"/>
      <c r="OP828" s="16"/>
      <c r="OQ828" s="16"/>
      <c r="OR828" s="16"/>
      <c r="OS828" s="16"/>
      <c r="OT828" s="16"/>
      <c r="OU828" s="16"/>
      <c r="OV828" s="16"/>
      <c r="OW828" s="16"/>
      <c r="OX828" s="16"/>
      <c r="OY828" s="16"/>
      <c r="OZ828" s="16"/>
      <c r="PA828" s="16"/>
      <c r="PB828" s="16"/>
      <c r="PC828" s="16"/>
      <c r="PD828" s="16"/>
      <c r="PE828" s="16"/>
      <c r="PF828" s="16"/>
      <c r="PG828" s="16"/>
      <c r="PH828" s="16"/>
      <c r="PI828" s="16"/>
      <c r="PJ828" s="16"/>
      <c r="PK828" s="16"/>
      <c r="PL828" s="16"/>
      <c r="PM828" s="16"/>
      <c r="PN828" s="16"/>
      <c r="PO828" s="16"/>
      <c r="PP828" s="16"/>
      <c r="PQ828" s="16"/>
      <c r="PR828" s="16"/>
      <c r="PS828" s="16"/>
      <c r="PT828" s="16"/>
      <c r="PU828" s="16"/>
      <c r="PV828" s="16"/>
      <c r="PW828" s="16"/>
      <c r="PX828" s="16"/>
      <c r="PY828" s="16"/>
      <c r="PZ828" s="16"/>
      <c r="QA828" s="16"/>
      <c r="QB828" s="16"/>
      <c r="QC828" s="16"/>
      <c r="QD828" s="16"/>
      <c r="QE828" s="16"/>
      <c r="QF828" s="16"/>
      <c r="QG828" s="16"/>
      <c r="QH828" s="16"/>
      <c r="QI828" s="16"/>
      <c r="QJ828" s="16"/>
      <c r="QK828" s="16"/>
      <c r="QL828" s="16"/>
      <c r="QM828" s="16"/>
      <c r="QN828" s="16"/>
      <c r="QO828" s="16"/>
      <c r="QP828" s="16"/>
      <c r="QQ828" s="16"/>
      <c r="QR828" s="16"/>
      <c r="QS828" s="16"/>
      <c r="QT828" s="16"/>
      <c r="QU828" s="16"/>
      <c r="QV828" s="16"/>
      <c r="QW828" s="16"/>
      <c r="QX828" s="16"/>
      <c r="QY828" s="16"/>
      <c r="QZ828" s="16"/>
      <c r="RA828" s="16"/>
      <c r="RB828" s="16"/>
      <c r="RC828" s="16"/>
      <c r="RD828" s="16"/>
      <c r="RE828" s="16"/>
      <c r="RF828" s="16"/>
      <c r="RG828" s="16"/>
      <c r="RH828" s="16"/>
      <c r="RI828" s="16"/>
      <c r="RJ828" s="16"/>
      <c r="RK828" s="16"/>
      <c r="RL828" s="16"/>
      <c r="RM828" s="16"/>
      <c r="RN828" s="16"/>
      <c r="RO828" s="16"/>
      <c r="RP828" s="16"/>
      <c r="RQ828" s="16"/>
      <c r="RR828" s="16"/>
      <c r="RS828" s="16"/>
      <c r="RT828" s="16"/>
      <c r="RU828" s="16"/>
      <c r="RV828" s="16"/>
      <c r="RW828" s="16"/>
      <c r="RX828" s="16"/>
      <c r="RY828" s="16"/>
      <c r="RZ828" s="16"/>
      <c r="SA828" s="16"/>
      <c r="SB828" s="16"/>
      <c r="SC828" s="16"/>
      <c r="SD828" s="16"/>
      <c r="SE828" s="16"/>
      <c r="SF828" s="16"/>
      <c r="SG828" s="16"/>
      <c r="SH828" s="16"/>
      <c r="SI828" s="16"/>
      <c r="SJ828" s="16"/>
      <c r="SK828" s="16"/>
      <c r="SL828" s="16"/>
      <c r="SM828" s="16"/>
      <c r="SN828" s="16"/>
      <c r="SO828" s="16"/>
      <c r="SP828" s="16"/>
      <c r="SQ828" s="16"/>
      <c r="SR828" s="16"/>
      <c r="SS828" s="16"/>
      <c r="ST828" s="16"/>
      <c r="SU828" s="16"/>
      <c r="SV828" s="16"/>
      <c r="SW828" s="16"/>
      <c r="SX828" s="16"/>
      <c r="SY828" s="16"/>
      <c r="SZ828" s="16"/>
      <c r="TA828" s="16"/>
      <c r="TB828" s="16"/>
      <c r="TC828" s="16"/>
      <c r="TD828" s="16"/>
      <c r="TE828" s="16"/>
      <c r="TF828" s="16"/>
      <c r="TG828" s="16"/>
      <c r="TH828" s="16"/>
      <c r="TI828" s="16"/>
      <c r="TJ828" s="16"/>
      <c r="TK828" s="16"/>
      <c r="TL828" s="16"/>
      <c r="TM828" s="16"/>
      <c r="TN828" s="16"/>
      <c r="TO828" s="16"/>
      <c r="TP828" s="16"/>
      <c r="TQ828" s="16"/>
      <c r="TR828" s="16"/>
      <c r="TS828" s="16"/>
      <c r="TT828" s="16"/>
      <c r="TU828" s="16"/>
      <c r="TV828" s="16"/>
      <c r="TW828" s="16"/>
      <c r="TX828" s="16"/>
      <c r="TY828" s="16"/>
      <c r="TZ828" s="16"/>
      <c r="UA828" s="16"/>
      <c r="UB828" s="16"/>
      <c r="UC828" s="16"/>
      <c r="UD828" s="16"/>
      <c r="UE828" s="16"/>
      <c r="UF828" s="16"/>
      <c r="UG828" s="16"/>
      <c r="UH828" s="16"/>
      <c r="UI828" s="16"/>
      <c r="UJ828" s="16"/>
      <c r="UK828" s="16"/>
      <c r="UL828" s="16"/>
      <c r="UM828" s="16"/>
      <c r="UN828" s="16"/>
      <c r="UO828" s="16"/>
      <c r="UP828" s="16"/>
      <c r="UQ828" s="16"/>
      <c r="UR828" s="16"/>
      <c r="US828" s="16"/>
      <c r="UT828" s="16"/>
      <c r="UU828" s="16"/>
      <c r="UV828" s="16"/>
      <c r="UW828" s="16"/>
      <c r="UX828" s="16"/>
      <c r="UY828" s="16"/>
      <c r="UZ828" s="16"/>
      <c r="VA828" s="16"/>
      <c r="VB828" s="16"/>
      <c r="VC828" s="16"/>
      <c r="VD828" s="16"/>
      <c r="VE828" s="16"/>
      <c r="VF828" s="16"/>
      <c r="VG828" s="16"/>
      <c r="VH828" s="16"/>
      <c r="VI828" s="16"/>
      <c r="VJ828" s="16"/>
      <c r="VK828" s="16"/>
      <c r="VL828" s="16"/>
      <c r="VM828" s="16"/>
      <c r="VN828" s="16"/>
      <c r="VO828" s="16"/>
      <c r="VP828" s="16"/>
      <c r="VQ828" s="16"/>
      <c r="VR828" s="16"/>
      <c r="VS828" s="16"/>
      <c r="VT828" s="16"/>
      <c r="VU828" s="16"/>
      <c r="VV828" s="16"/>
      <c r="VW828" s="16"/>
      <c r="VX828" s="16"/>
      <c r="VY828" s="16"/>
      <c r="VZ828" s="16"/>
      <c r="WA828" s="16"/>
      <c r="WB828" s="16"/>
      <c r="WC828" s="16"/>
      <c r="WD828" s="16"/>
      <c r="WE828" s="16"/>
      <c r="WF828" s="16"/>
      <c r="WG828" s="16"/>
      <c r="WH828" s="16"/>
      <c r="WI828" s="16"/>
      <c r="WJ828" s="16"/>
      <c r="WK828" s="16"/>
      <c r="WL828" s="16"/>
      <c r="WM828" s="16"/>
      <c r="WN828" s="16"/>
      <c r="WO828" s="16"/>
      <c r="WP828" s="16"/>
      <c r="WQ828" s="16"/>
      <c r="WR828" s="16"/>
      <c r="WS828" s="16"/>
      <c r="WT828" s="16"/>
      <c r="WU828" s="16"/>
      <c r="WV828" s="16"/>
      <c r="WW828" s="16"/>
      <c r="WX828" s="16"/>
      <c r="WY828" s="16"/>
      <c r="WZ828" s="16"/>
      <c r="XA828" s="16"/>
      <c r="XB828" s="16"/>
      <c r="XC828" s="16"/>
      <c r="XD828" s="16"/>
      <c r="XE828" s="16"/>
      <c r="XF828" s="16"/>
      <c r="XG828" s="16"/>
      <c r="XH828" s="16"/>
      <c r="XI828" s="16"/>
      <c r="XJ828" s="16"/>
      <c r="XK828" s="16"/>
      <c r="XL828" s="16"/>
      <c r="XM828" s="16"/>
      <c r="XN828" s="16"/>
      <c r="XO828" s="16"/>
      <c r="XP828" s="16"/>
      <c r="XQ828" s="16"/>
      <c r="XR828" s="16"/>
      <c r="XS828" s="16"/>
      <c r="XT828" s="16"/>
      <c r="XU828" s="16"/>
      <c r="XV828" s="16"/>
      <c r="XW828" s="16"/>
      <c r="XX828" s="16"/>
      <c r="XY828" s="16"/>
      <c r="XZ828" s="16"/>
      <c r="YA828" s="16"/>
      <c r="YB828" s="16"/>
      <c r="YC828" s="16"/>
      <c r="YD828" s="16"/>
      <c r="YE828" s="16"/>
      <c r="YF828" s="16"/>
      <c r="YG828" s="16"/>
      <c r="YH828" s="16"/>
      <c r="YI828" s="16"/>
      <c r="YJ828" s="16"/>
      <c r="YK828" s="16"/>
      <c r="YL828" s="16"/>
      <c r="YM828" s="16"/>
      <c r="YN828" s="16"/>
      <c r="YO828" s="16"/>
      <c r="YP828" s="16"/>
      <c r="YQ828" s="16"/>
      <c r="YR828" s="16"/>
      <c r="YS828" s="16"/>
      <c r="YT828" s="16"/>
      <c r="YU828" s="16"/>
      <c r="YV828" s="16"/>
      <c r="YW828" s="16"/>
      <c r="YX828" s="16"/>
      <c r="YY828" s="16"/>
      <c r="YZ828" s="16"/>
      <c r="ZA828" s="16"/>
      <c r="ZB828" s="16"/>
      <c r="ZC828" s="16"/>
      <c r="ZD828" s="16"/>
      <c r="ZE828" s="16"/>
      <c r="ZF828" s="16"/>
      <c r="ZG828" s="16"/>
      <c r="ZH828" s="16"/>
      <c r="ZI828" s="16"/>
      <c r="ZJ828" s="16"/>
      <c r="ZK828" s="16"/>
      <c r="ZL828" s="16"/>
      <c r="ZM828" s="16"/>
      <c r="ZN828" s="16"/>
      <c r="ZO828" s="16"/>
      <c r="ZP828" s="16"/>
      <c r="ZQ828" s="16"/>
      <c r="ZR828" s="16"/>
      <c r="ZS828" s="16"/>
      <c r="ZT828" s="16"/>
      <c r="ZU828" s="16"/>
      <c r="ZV828" s="16"/>
      <c r="ZW828" s="16"/>
      <c r="ZX828" s="16"/>
      <c r="ZY828" s="16"/>
      <c r="ZZ828" s="16"/>
      <c r="AAA828" s="16"/>
      <c r="AAB828" s="16"/>
      <c r="AAC828" s="16"/>
      <c r="AAD828" s="16"/>
      <c r="AAE828" s="16"/>
      <c r="AAF828" s="16"/>
      <c r="AAG828" s="16"/>
      <c r="AAH828" s="16"/>
      <c r="AAI828" s="16"/>
      <c r="AAJ828" s="16"/>
      <c r="AAK828" s="16"/>
      <c r="AAL828" s="16"/>
      <c r="AAM828" s="16"/>
      <c r="AAN828" s="16"/>
      <c r="AAO828" s="16"/>
      <c r="AAP828" s="16"/>
      <c r="AAQ828" s="16"/>
      <c r="AAR828" s="16"/>
      <c r="AAS828" s="16"/>
      <c r="AAT828" s="16"/>
      <c r="AAU828" s="16"/>
      <c r="AAV828" s="16"/>
      <c r="AAW828" s="16"/>
      <c r="AAX828" s="16"/>
      <c r="AAY828" s="16"/>
      <c r="AAZ828" s="16"/>
      <c r="ABA828" s="16"/>
      <c r="ABB828" s="16"/>
      <c r="ABC828" s="16"/>
      <c r="ABD828" s="16"/>
      <c r="ABE828" s="16"/>
      <c r="ABF828" s="16"/>
      <c r="ABG828" s="16"/>
      <c r="ABH828" s="16"/>
      <c r="ABI828" s="16"/>
      <c r="ABJ828" s="16"/>
      <c r="ABK828" s="16"/>
      <c r="ABL828" s="16"/>
      <c r="ABM828" s="16"/>
      <c r="ABN828" s="16"/>
      <c r="ABO828" s="16"/>
      <c r="ABP828" s="16"/>
      <c r="ABQ828" s="16"/>
      <c r="ABR828" s="16"/>
      <c r="ABS828" s="16"/>
      <c r="ABT828" s="16"/>
      <c r="ABU828" s="16"/>
      <c r="ABV828" s="16"/>
      <c r="ABW828" s="16"/>
      <c r="ABX828" s="16"/>
      <c r="ABY828" s="16"/>
      <c r="ABZ828" s="16"/>
      <c r="ACA828" s="16"/>
      <c r="ACB828" s="16"/>
      <c r="ACC828" s="16"/>
      <c r="ACD828" s="16"/>
      <c r="ACE828" s="16"/>
      <c r="ACF828" s="16"/>
      <c r="ACG828" s="16"/>
      <c r="ACH828" s="16"/>
      <c r="ACI828" s="16"/>
      <c r="ACJ828" s="16"/>
      <c r="ACK828" s="16"/>
      <c r="ACL828" s="16"/>
      <c r="ACM828" s="16"/>
      <c r="ACN828" s="16"/>
      <c r="ACO828" s="16"/>
      <c r="ACP828" s="16"/>
      <c r="ACQ828" s="16"/>
      <c r="ACR828" s="16"/>
      <c r="ACS828" s="16"/>
      <c r="ACT828" s="16"/>
      <c r="ACU828" s="16"/>
      <c r="ACV828" s="16"/>
      <c r="ACW828" s="16"/>
      <c r="ACX828" s="16"/>
      <c r="ACY828" s="16"/>
      <c r="ACZ828" s="16"/>
      <c r="ADA828" s="16"/>
      <c r="ADB828" s="16"/>
      <c r="ADC828" s="16"/>
      <c r="ADD828" s="16"/>
      <c r="ADE828" s="16"/>
      <c r="ADF828" s="16"/>
      <c r="ADG828" s="16"/>
      <c r="ADH828" s="16"/>
      <c r="ADI828" s="16"/>
      <c r="ADJ828" s="16"/>
      <c r="ADK828" s="16"/>
      <c r="ADL828" s="16"/>
      <c r="ADM828" s="16"/>
      <c r="ADN828" s="16"/>
      <c r="ADO828" s="16"/>
      <c r="ADP828" s="16"/>
      <c r="ADQ828" s="16"/>
      <c r="ADR828" s="16"/>
      <c r="ADS828" s="16"/>
      <c r="ADT828" s="16"/>
      <c r="ADU828" s="16"/>
      <c r="ADV828" s="16"/>
      <c r="ADW828" s="16"/>
      <c r="ADX828" s="16"/>
      <c r="ADY828" s="16"/>
      <c r="ADZ828" s="16"/>
      <c r="AEA828" s="16"/>
      <c r="AEB828" s="16"/>
      <c r="AEC828" s="16"/>
      <c r="AED828" s="16"/>
      <c r="AEE828" s="16"/>
      <c r="AEF828" s="16"/>
      <c r="AEG828" s="16"/>
      <c r="AEH828" s="16"/>
      <c r="AEI828" s="16"/>
      <c r="AEJ828" s="16"/>
      <c r="AEK828" s="16"/>
      <c r="AEL828" s="16"/>
      <c r="AEM828" s="16"/>
      <c r="AEN828" s="16"/>
      <c r="AEO828" s="16"/>
      <c r="AEP828" s="16"/>
      <c r="AEQ828" s="16"/>
      <c r="AER828" s="16"/>
      <c r="AES828" s="16"/>
      <c r="AET828" s="16"/>
      <c r="AEU828" s="16"/>
      <c r="AEV828" s="16"/>
      <c r="AEW828" s="16"/>
      <c r="AEX828" s="16"/>
      <c r="AEY828" s="16"/>
      <c r="AEZ828" s="16"/>
      <c r="AFA828" s="16"/>
      <c r="AFB828" s="16"/>
      <c r="AFC828" s="16"/>
      <c r="AFD828" s="16"/>
      <c r="AFE828" s="16"/>
      <c r="AFF828" s="16"/>
      <c r="AFG828" s="16"/>
      <c r="AFH828" s="16"/>
      <c r="AFI828" s="16"/>
      <c r="AFJ828" s="16"/>
      <c r="AFK828" s="16"/>
      <c r="AFL828" s="16"/>
      <c r="AFM828" s="16"/>
      <c r="AFN828" s="16"/>
      <c r="AFO828" s="16"/>
      <c r="AFP828" s="16"/>
      <c r="AFQ828" s="16"/>
      <c r="AFR828" s="16"/>
      <c r="AFS828" s="16"/>
      <c r="AFT828" s="16"/>
      <c r="AFU828" s="16"/>
      <c r="AFV828" s="16"/>
      <c r="AFW828" s="16"/>
      <c r="AFX828" s="16"/>
      <c r="AFY828" s="16"/>
      <c r="AFZ828" s="16"/>
      <c r="AGA828" s="16"/>
      <c r="AGB828" s="16"/>
      <c r="AGC828" s="16"/>
      <c r="AGD828" s="16"/>
      <c r="AGE828" s="16"/>
      <c r="AGF828" s="16"/>
      <c r="AGG828" s="16"/>
      <c r="AGH828" s="16"/>
      <c r="AGI828" s="16"/>
      <c r="AGJ828" s="16"/>
    </row>
    <row r="829" spans="1:868">
      <c r="A829" s="34" t="str">
        <f>Clothing!A552</f>
        <v>Open-toed shoes</v>
      </c>
      <c r="B829" s="40" t="str">
        <f>Clothing!B552</f>
        <v>Dumping</v>
      </c>
      <c r="C829" s="34" t="str">
        <f>Clothing!C552</f>
        <v>any</v>
      </c>
      <c r="D829" s="40" t="str">
        <f>Clothing!D552</f>
        <v>any</v>
      </c>
      <c r="E829" s="34">
        <f>Clothing!E552</f>
        <v>2.6918324999999996E-4</v>
      </c>
      <c r="F829" s="40">
        <f>Clothing!F552</f>
        <v>2</v>
      </c>
      <c r="G829" s="34" t="str">
        <f>Clothing!G552</f>
        <v>Kawecki &amp; Nowack (2019)</v>
      </c>
      <c r="H829" s="1188">
        <f>Clothing!H552</f>
        <v>2</v>
      </c>
      <c r="I829" s="307">
        <f>Clothing!I552</f>
        <v>2</v>
      </c>
      <c r="J829" s="307">
        <f>Clothing!J552</f>
        <v>2</v>
      </c>
      <c r="K829" s="307">
        <f>Clothing!K552</f>
        <v>3</v>
      </c>
      <c r="L829" s="307">
        <f>Clothing!L552</f>
        <v>3</v>
      </c>
      <c r="M829" s="307">
        <f>Clothing!M552</f>
        <v>3</v>
      </c>
      <c r="N829" s="185">
        <f>IF( OR( ISBLANK(H829),ISBLANK(J829), ISBLANK(K829), ISBLANK(L829), ISBLANK(M829) ), "", 1.5*SQRT(   EXP(2.21*(H829-1)) + EXP(2.21*(J829-1)) + EXP(2.21*(K829-1)) + EXP(2.21*(L829-1)) + EXP(2.21*M829)   )/100*2.45 )</f>
        <v>1.1278755061256258</v>
      </c>
      <c r="O829" s="159">
        <f>IF( OR( ISBLANK(I829),ISBLANK(J829), ISBLANK(K829), ISBLANK(L829), ISBLANK(M829) ), "", 1.5*SQRT( EXP(2.21*(I829-1)) + EXP(2.21*(J829-1)) + EXP(2.21*(K829-1)) + EXP(2.21*(L829-1)) + EXP(2.21*M829)   )/100*2.45 )</f>
        <v>1.1278755061256258</v>
      </c>
      <c r="P829" s="973"/>
    </row>
    <row r="830" spans="1:868" s="210" customFormat="1" ht="15" thickBot="1">
      <c r="A830" s="34" t="str">
        <f>Clothing!A553</f>
        <v>Open-toed shoes</v>
      </c>
      <c r="B830" s="40" t="str">
        <f>Clothing!B553</f>
        <v>Footwear wearing (soles)</v>
      </c>
      <c r="C830" s="34" t="str">
        <f>Clothing!C553</f>
        <v>any</v>
      </c>
      <c r="D830" s="40" t="str">
        <f>Clothing!D553</f>
        <v>RUBBER</v>
      </c>
      <c r="E830" s="34">
        <f>Clothing!E553</f>
        <v>5.7712387375211246E-3</v>
      </c>
      <c r="F830" s="40">
        <f>Clothing!F553</f>
        <v>3</v>
      </c>
      <c r="G830" s="34" t="str">
        <f>Clothing!G553</f>
        <v>See shoesole wear calculation in clothing calculations tab of MainInputFile (low estimate)</v>
      </c>
      <c r="H830" s="1188">
        <f>Clothing!H553</f>
        <v>1</v>
      </c>
      <c r="I830" s="307">
        <f>Clothing!I553</f>
        <v>2</v>
      </c>
      <c r="J830" s="307">
        <f>Clothing!J553</f>
        <v>2</v>
      </c>
      <c r="K830" s="307">
        <f>Clothing!K553</f>
        <v>2</v>
      </c>
      <c r="L830" s="307">
        <f>Clothing!L553</f>
        <v>2</v>
      </c>
      <c r="M830" s="307">
        <f>Clothing!M553</f>
        <v>3</v>
      </c>
      <c r="N830" s="185">
        <f>IF( OR( ISBLANK(H830),ISBLANK(J830), ISBLANK(K830), ISBLANK(L830), ISBLANK(M830) ), "", 1.5*SQRT(   EXP(2.21*(H830-1)) + EXP(2.21*(J830-1)) + EXP(2.21*(K830-1)) + EXP(2.21*(L830-1)) + EXP(2.21*M830)   )/100*2.45 )</f>
        <v>1.0301997916669636</v>
      </c>
      <c r="O830" s="159">
        <f>IF( OR( ISBLANK(I830),ISBLANK(J830), ISBLANK(K830), ISBLANK(L830), ISBLANK(M830) ), "", 1.5*SQRT( EXP(2.21*(I830-1)) + EXP(2.21*(J830-1)) + EXP(2.21*(K830-1)) + EXP(2.21*(L830-1)) + EXP(2.21*M830)   )/100*2.45 )</f>
        <v>1.0355058633207881</v>
      </c>
      <c r="P830" s="973"/>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c r="AY830" s="16"/>
      <c r="AZ830" s="16"/>
      <c r="BA830" s="16"/>
      <c r="BB830" s="16"/>
      <c r="BC830" s="16"/>
      <c r="BD830" s="16"/>
      <c r="BE830" s="16"/>
      <c r="BF830" s="16"/>
      <c r="BG830" s="16"/>
      <c r="BH830" s="16"/>
      <c r="BI830" s="16"/>
      <c r="BJ830" s="16"/>
      <c r="BK830" s="16"/>
      <c r="BL830" s="16"/>
      <c r="BM830" s="16"/>
      <c r="BN830" s="16"/>
      <c r="BO830" s="16"/>
      <c r="BP830" s="16"/>
      <c r="BQ830" s="16"/>
      <c r="BR830" s="16"/>
      <c r="BS830" s="16"/>
      <c r="BT830" s="16"/>
      <c r="BU830" s="16"/>
      <c r="BV830" s="16"/>
      <c r="BW830" s="16"/>
      <c r="BX830" s="16"/>
      <c r="BY830" s="16"/>
      <c r="BZ830" s="16"/>
      <c r="CA830" s="16"/>
      <c r="CB830" s="16"/>
      <c r="CC830" s="16"/>
      <c r="CD830" s="16"/>
      <c r="CE830" s="16"/>
      <c r="CF830" s="16"/>
      <c r="CG830" s="16"/>
      <c r="CH830" s="16"/>
      <c r="CI830" s="16"/>
      <c r="CJ830" s="16"/>
      <c r="CK830" s="16"/>
      <c r="CL830" s="16"/>
      <c r="CM830" s="16"/>
      <c r="CN830" s="16"/>
      <c r="CO830" s="16"/>
      <c r="CP830" s="16"/>
      <c r="CQ830" s="16"/>
      <c r="CR830" s="16"/>
      <c r="CS830" s="16"/>
      <c r="CT830" s="16"/>
      <c r="CU830" s="16"/>
      <c r="CV830" s="16"/>
      <c r="CW830" s="16"/>
      <c r="CX830" s="16"/>
      <c r="CY830" s="16"/>
      <c r="CZ830" s="16"/>
      <c r="DA830" s="16"/>
      <c r="DB830" s="16"/>
      <c r="DC830" s="16"/>
      <c r="DD830" s="16"/>
      <c r="DE830" s="16"/>
      <c r="DF830" s="16"/>
      <c r="DG830" s="16"/>
      <c r="DH830" s="16"/>
      <c r="DI830" s="16"/>
      <c r="DJ830" s="16"/>
      <c r="DK830" s="16"/>
      <c r="DL830" s="16"/>
      <c r="DM830" s="16"/>
      <c r="DN830" s="16"/>
      <c r="DO830" s="16"/>
      <c r="DP830" s="16"/>
      <c r="DQ830" s="16"/>
      <c r="DR830" s="16"/>
      <c r="DS830" s="16"/>
      <c r="DT830" s="16"/>
      <c r="DU830" s="16"/>
      <c r="DV830" s="16"/>
      <c r="DW830" s="16"/>
      <c r="DX830" s="16"/>
      <c r="DY830" s="16"/>
      <c r="DZ830" s="16"/>
      <c r="EA830" s="16"/>
      <c r="EB830" s="16"/>
      <c r="EC830" s="16"/>
      <c r="ED830" s="16"/>
      <c r="EE830" s="16"/>
      <c r="EF830" s="16"/>
      <c r="EG830" s="16"/>
      <c r="EH830" s="16"/>
      <c r="EI830" s="16"/>
      <c r="EJ830" s="16"/>
      <c r="EK830" s="16"/>
      <c r="EL830" s="16"/>
      <c r="EM830" s="16"/>
      <c r="EN830" s="16"/>
      <c r="EO830" s="16"/>
      <c r="EP830" s="16"/>
      <c r="EQ830" s="16"/>
      <c r="ER830" s="16"/>
      <c r="ES830" s="16"/>
      <c r="ET830" s="16"/>
      <c r="EU830" s="16"/>
      <c r="EV830" s="16"/>
      <c r="EW830" s="16"/>
      <c r="EX830" s="16"/>
      <c r="EY830" s="16"/>
      <c r="EZ830" s="16"/>
      <c r="FA830" s="16"/>
      <c r="FB830" s="16"/>
      <c r="FC830" s="16"/>
      <c r="FD830" s="16"/>
      <c r="FE830" s="16"/>
      <c r="FF830" s="16"/>
      <c r="FG830" s="16"/>
      <c r="FH830" s="16"/>
      <c r="FI830" s="16"/>
      <c r="FJ830" s="16"/>
      <c r="FK830" s="16"/>
      <c r="FL830" s="16"/>
      <c r="FM830" s="16"/>
      <c r="FN830" s="16"/>
      <c r="FO830" s="16"/>
      <c r="FP830" s="16"/>
      <c r="FQ830" s="16"/>
      <c r="FR830" s="16"/>
      <c r="FS830" s="16"/>
      <c r="FT830" s="16"/>
      <c r="FU830" s="16"/>
      <c r="FV830" s="16"/>
      <c r="FW830" s="16"/>
      <c r="FX830" s="16"/>
      <c r="FY830" s="16"/>
      <c r="FZ830" s="16"/>
      <c r="GA830" s="16"/>
      <c r="GB830" s="16"/>
      <c r="GC830" s="16"/>
      <c r="GD830" s="16"/>
      <c r="GE830" s="16"/>
      <c r="GF830" s="16"/>
      <c r="GG830" s="16"/>
      <c r="GH830" s="16"/>
      <c r="GI830" s="16"/>
      <c r="GJ830" s="16"/>
      <c r="GK830" s="16"/>
      <c r="GL830" s="16"/>
      <c r="GM830" s="16"/>
      <c r="GN830" s="16"/>
      <c r="GO830" s="16"/>
      <c r="GP830" s="16"/>
      <c r="GQ830" s="16"/>
      <c r="GR830" s="16"/>
      <c r="GS830" s="16"/>
      <c r="GT830" s="16"/>
      <c r="GU830" s="16"/>
      <c r="GV830" s="16"/>
      <c r="GW830" s="16"/>
      <c r="GX830" s="16"/>
      <c r="GY830" s="16"/>
      <c r="GZ830" s="16"/>
      <c r="HA830" s="16"/>
      <c r="HB830" s="16"/>
      <c r="HC830" s="16"/>
      <c r="HD830" s="16"/>
      <c r="HE830" s="16"/>
      <c r="HF830" s="16"/>
      <c r="HG830" s="16"/>
      <c r="HH830" s="16"/>
      <c r="HI830" s="16"/>
      <c r="HJ830" s="16"/>
      <c r="HK830" s="16"/>
      <c r="HL830" s="16"/>
      <c r="HM830" s="16"/>
      <c r="HN830" s="16"/>
      <c r="HO830" s="16"/>
      <c r="HP830" s="16"/>
      <c r="HQ830" s="16"/>
      <c r="HR830" s="16"/>
      <c r="HS830" s="16"/>
      <c r="HT830" s="16"/>
      <c r="HU830" s="16"/>
      <c r="HV830" s="16"/>
      <c r="HW830" s="16"/>
      <c r="HX830" s="16"/>
      <c r="HY830" s="16"/>
      <c r="HZ830" s="16"/>
      <c r="IA830" s="16"/>
      <c r="IB830" s="16"/>
      <c r="IC830" s="16"/>
      <c r="ID830" s="16"/>
      <c r="IE830" s="16"/>
      <c r="IF830" s="16"/>
      <c r="IG830" s="16"/>
      <c r="IH830" s="16"/>
      <c r="II830" s="16"/>
      <c r="IJ830" s="16"/>
      <c r="IK830" s="16"/>
      <c r="IL830" s="16"/>
      <c r="IM830" s="16"/>
      <c r="IN830" s="16"/>
      <c r="IO830" s="16"/>
      <c r="IP830" s="16"/>
      <c r="IQ830" s="16"/>
      <c r="IR830" s="16"/>
      <c r="IS830" s="16"/>
      <c r="IT830" s="16"/>
      <c r="IU830" s="16"/>
      <c r="IV830" s="16"/>
      <c r="IW830" s="16"/>
      <c r="IX830" s="16"/>
      <c r="IY830" s="16"/>
      <c r="IZ830" s="16"/>
      <c r="JA830" s="16"/>
      <c r="JB830" s="16"/>
      <c r="JC830" s="16"/>
      <c r="JD830" s="16"/>
      <c r="JE830" s="16"/>
      <c r="JF830" s="16"/>
      <c r="JG830" s="16"/>
      <c r="JH830" s="16"/>
      <c r="JI830" s="16"/>
      <c r="JJ830" s="16"/>
      <c r="JK830" s="16"/>
      <c r="JL830" s="16"/>
      <c r="JM830" s="16"/>
      <c r="JN830" s="16"/>
      <c r="JO830" s="16"/>
      <c r="JP830" s="16"/>
      <c r="JQ830" s="16"/>
      <c r="JR830" s="16"/>
      <c r="JS830" s="16"/>
      <c r="JT830" s="16"/>
      <c r="JU830" s="16"/>
      <c r="JV830" s="16"/>
      <c r="JW830" s="16"/>
      <c r="JX830" s="16"/>
      <c r="JY830" s="16"/>
      <c r="JZ830" s="16"/>
      <c r="KA830" s="16"/>
      <c r="KB830" s="16"/>
      <c r="KC830" s="16"/>
      <c r="KD830" s="16"/>
      <c r="KE830" s="16"/>
      <c r="KF830" s="16"/>
      <c r="KG830" s="16"/>
      <c r="KH830" s="16"/>
      <c r="KI830" s="16"/>
      <c r="KJ830" s="16"/>
      <c r="KK830" s="16"/>
      <c r="KL830" s="16"/>
      <c r="KM830" s="16"/>
      <c r="KN830" s="16"/>
      <c r="KO830" s="16"/>
      <c r="KP830" s="16"/>
      <c r="KQ830" s="16"/>
      <c r="KR830" s="16"/>
      <c r="KS830" s="16"/>
      <c r="KT830" s="16"/>
      <c r="KU830" s="16"/>
      <c r="KV830" s="16"/>
      <c r="KW830" s="16"/>
      <c r="KX830" s="16"/>
      <c r="KY830" s="16"/>
      <c r="KZ830" s="16"/>
      <c r="LA830" s="16"/>
      <c r="LB830" s="16"/>
      <c r="LC830" s="16"/>
      <c r="LD830" s="16"/>
      <c r="LE830" s="16"/>
      <c r="LF830" s="16"/>
      <c r="LG830" s="16"/>
      <c r="LH830" s="16"/>
      <c r="LI830" s="16"/>
      <c r="LJ830" s="16"/>
      <c r="LK830" s="16"/>
      <c r="LL830" s="16"/>
      <c r="LM830" s="16"/>
      <c r="LN830" s="16"/>
      <c r="LO830" s="16"/>
      <c r="LP830" s="16"/>
      <c r="LQ830" s="16"/>
      <c r="LR830" s="16"/>
      <c r="LS830" s="16"/>
      <c r="LT830" s="16"/>
      <c r="LU830" s="16"/>
      <c r="LV830" s="16"/>
      <c r="LW830" s="16"/>
      <c r="LX830" s="16"/>
      <c r="LY830" s="16"/>
      <c r="LZ830" s="16"/>
      <c r="MA830" s="16"/>
      <c r="MB830" s="16"/>
      <c r="MC830" s="16"/>
      <c r="MD830" s="16"/>
      <c r="ME830" s="16"/>
      <c r="MF830" s="16"/>
      <c r="MG830" s="16"/>
      <c r="MH830" s="16"/>
      <c r="MI830" s="16"/>
      <c r="MJ830" s="16"/>
      <c r="MK830" s="16"/>
      <c r="ML830" s="16"/>
      <c r="MM830" s="16"/>
      <c r="MN830" s="16"/>
      <c r="MO830" s="16"/>
      <c r="MP830" s="16"/>
      <c r="MQ830" s="16"/>
      <c r="MR830" s="16"/>
      <c r="MS830" s="16"/>
      <c r="MT830" s="16"/>
      <c r="MU830" s="16"/>
      <c r="MV830" s="16"/>
      <c r="MW830" s="16"/>
      <c r="MX830" s="16"/>
      <c r="MY830" s="16"/>
      <c r="MZ830" s="16"/>
      <c r="NA830" s="16"/>
      <c r="NB830" s="16"/>
      <c r="NC830" s="16"/>
      <c r="ND830" s="16"/>
      <c r="NE830" s="16"/>
      <c r="NF830" s="16"/>
      <c r="NG830" s="16"/>
      <c r="NH830" s="16"/>
      <c r="NI830" s="16"/>
      <c r="NJ830" s="16"/>
      <c r="NK830" s="16"/>
      <c r="NL830" s="16"/>
      <c r="NM830" s="16"/>
      <c r="NN830" s="16"/>
      <c r="NO830" s="16"/>
      <c r="NP830" s="16"/>
      <c r="NQ830" s="16"/>
      <c r="NR830" s="16"/>
      <c r="NS830" s="16"/>
      <c r="NT830" s="16"/>
      <c r="NU830" s="16"/>
      <c r="NV830" s="16"/>
      <c r="NW830" s="16"/>
      <c r="NX830" s="16"/>
      <c r="NY830" s="16"/>
      <c r="NZ830" s="16"/>
      <c r="OA830" s="16"/>
      <c r="OB830" s="16"/>
      <c r="OC830" s="16"/>
      <c r="OD830" s="16"/>
      <c r="OE830" s="16"/>
      <c r="OF830" s="16"/>
      <c r="OG830" s="16"/>
      <c r="OH830" s="16"/>
      <c r="OI830" s="16"/>
      <c r="OJ830" s="16"/>
      <c r="OK830" s="16"/>
      <c r="OL830" s="16"/>
      <c r="OM830" s="16"/>
      <c r="ON830" s="16"/>
      <c r="OO830" s="16"/>
      <c r="OP830" s="16"/>
      <c r="OQ830" s="16"/>
      <c r="OR830" s="16"/>
      <c r="OS830" s="16"/>
      <c r="OT830" s="16"/>
      <c r="OU830" s="16"/>
      <c r="OV830" s="16"/>
      <c r="OW830" s="16"/>
      <c r="OX830" s="16"/>
      <c r="OY830" s="16"/>
      <c r="OZ830" s="16"/>
      <c r="PA830" s="16"/>
      <c r="PB830" s="16"/>
      <c r="PC830" s="16"/>
      <c r="PD830" s="16"/>
      <c r="PE830" s="16"/>
      <c r="PF830" s="16"/>
      <c r="PG830" s="16"/>
      <c r="PH830" s="16"/>
      <c r="PI830" s="16"/>
      <c r="PJ830" s="16"/>
      <c r="PK830" s="16"/>
      <c r="PL830" s="16"/>
      <c r="PM830" s="16"/>
      <c r="PN830" s="16"/>
      <c r="PO830" s="16"/>
      <c r="PP830" s="16"/>
      <c r="PQ830" s="16"/>
      <c r="PR830" s="16"/>
      <c r="PS830" s="16"/>
      <c r="PT830" s="16"/>
      <c r="PU830" s="16"/>
      <c r="PV830" s="16"/>
      <c r="PW830" s="16"/>
      <c r="PX830" s="16"/>
      <c r="PY830" s="16"/>
      <c r="PZ830" s="16"/>
      <c r="QA830" s="16"/>
      <c r="QB830" s="16"/>
      <c r="QC830" s="16"/>
      <c r="QD830" s="16"/>
      <c r="QE830" s="16"/>
      <c r="QF830" s="16"/>
      <c r="QG830" s="16"/>
      <c r="QH830" s="16"/>
      <c r="QI830" s="16"/>
      <c r="QJ830" s="16"/>
      <c r="QK830" s="16"/>
      <c r="QL830" s="16"/>
      <c r="QM830" s="16"/>
      <c r="QN830" s="16"/>
      <c r="QO830" s="16"/>
      <c r="QP830" s="16"/>
      <c r="QQ830" s="16"/>
      <c r="QR830" s="16"/>
      <c r="QS830" s="16"/>
      <c r="QT830" s="16"/>
      <c r="QU830" s="16"/>
      <c r="QV830" s="16"/>
      <c r="QW830" s="16"/>
      <c r="QX830" s="16"/>
      <c r="QY830" s="16"/>
      <c r="QZ830" s="16"/>
      <c r="RA830" s="16"/>
      <c r="RB830" s="16"/>
      <c r="RC830" s="16"/>
      <c r="RD830" s="16"/>
      <c r="RE830" s="16"/>
      <c r="RF830" s="16"/>
      <c r="RG830" s="16"/>
      <c r="RH830" s="16"/>
      <c r="RI830" s="16"/>
      <c r="RJ830" s="16"/>
      <c r="RK830" s="16"/>
      <c r="RL830" s="16"/>
      <c r="RM830" s="16"/>
      <c r="RN830" s="16"/>
      <c r="RO830" s="16"/>
      <c r="RP830" s="16"/>
      <c r="RQ830" s="16"/>
      <c r="RR830" s="16"/>
      <c r="RS830" s="16"/>
      <c r="RT830" s="16"/>
      <c r="RU830" s="16"/>
      <c r="RV830" s="16"/>
      <c r="RW830" s="16"/>
      <c r="RX830" s="16"/>
      <c r="RY830" s="16"/>
      <c r="RZ830" s="16"/>
      <c r="SA830" s="16"/>
      <c r="SB830" s="16"/>
      <c r="SC830" s="16"/>
      <c r="SD830" s="16"/>
      <c r="SE830" s="16"/>
      <c r="SF830" s="16"/>
      <c r="SG830" s="16"/>
      <c r="SH830" s="16"/>
      <c r="SI830" s="16"/>
      <c r="SJ830" s="16"/>
      <c r="SK830" s="16"/>
      <c r="SL830" s="16"/>
      <c r="SM830" s="16"/>
      <c r="SN830" s="16"/>
      <c r="SO830" s="16"/>
      <c r="SP830" s="16"/>
      <c r="SQ830" s="16"/>
      <c r="SR830" s="16"/>
      <c r="SS830" s="16"/>
      <c r="ST830" s="16"/>
      <c r="SU830" s="16"/>
      <c r="SV830" s="16"/>
      <c r="SW830" s="16"/>
      <c r="SX830" s="16"/>
      <c r="SY830" s="16"/>
      <c r="SZ830" s="16"/>
      <c r="TA830" s="16"/>
      <c r="TB830" s="16"/>
      <c r="TC830" s="16"/>
      <c r="TD830" s="16"/>
      <c r="TE830" s="16"/>
      <c r="TF830" s="16"/>
      <c r="TG830" s="16"/>
      <c r="TH830" s="16"/>
      <c r="TI830" s="16"/>
      <c r="TJ830" s="16"/>
      <c r="TK830" s="16"/>
      <c r="TL830" s="16"/>
      <c r="TM830" s="16"/>
      <c r="TN830" s="16"/>
      <c r="TO830" s="16"/>
      <c r="TP830" s="16"/>
      <c r="TQ830" s="16"/>
      <c r="TR830" s="16"/>
      <c r="TS830" s="16"/>
      <c r="TT830" s="16"/>
      <c r="TU830" s="16"/>
      <c r="TV830" s="16"/>
      <c r="TW830" s="16"/>
      <c r="TX830" s="16"/>
      <c r="TY830" s="16"/>
      <c r="TZ830" s="16"/>
      <c r="UA830" s="16"/>
      <c r="UB830" s="16"/>
      <c r="UC830" s="16"/>
      <c r="UD830" s="16"/>
      <c r="UE830" s="16"/>
      <c r="UF830" s="16"/>
      <c r="UG830" s="16"/>
      <c r="UH830" s="16"/>
      <c r="UI830" s="16"/>
      <c r="UJ830" s="16"/>
      <c r="UK830" s="16"/>
      <c r="UL830" s="16"/>
      <c r="UM830" s="16"/>
      <c r="UN830" s="16"/>
      <c r="UO830" s="16"/>
      <c r="UP830" s="16"/>
      <c r="UQ830" s="16"/>
      <c r="UR830" s="16"/>
      <c r="US830" s="16"/>
      <c r="UT830" s="16"/>
      <c r="UU830" s="16"/>
      <c r="UV830" s="16"/>
      <c r="UW830" s="16"/>
      <c r="UX830" s="16"/>
      <c r="UY830" s="16"/>
      <c r="UZ830" s="16"/>
      <c r="VA830" s="16"/>
      <c r="VB830" s="16"/>
      <c r="VC830" s="16"/>
      <c r="VD830" s="16"/>
      <c r="VE830" s="16"/>
      <c r="VF830" s="16"/>
      <c r="VG830" s="16"/>
      <c r="VH830" s="16"/>
      <c r="VI830" s="16"/>
      <c r="VJ830" s="16"/>
      <c r="VK830" s="16"/>
      <c r="VL830" s="16"/>
      <c r="VM830" s="16"/>
      <c r="VN830" s="16"/>
      <c r="VO830" s="16"/>
      <c r="VP830" s="16"/>
      <c r="VQ830" s="16"/>
      <c r="VR830" s="16"/>
      <c r="VS830" s="16"/>
      <c r="VT830" s="16"/>
      <c r="VU830" s="16"/>
      <c r="VV830" s="16"/>
      <c r="VW830" s="16"/>
      <c r="VX830" s="16"/>
      <c r="VY830" s="16"/>
      <c r="VZ830" s="16"/>
      <c r="WA830" s="16"/>
      <c r="WB830" s="16"/>
      <c r="WC830" s="16"/>
      <c r="WD830" s="16"/>
      <c r="WE830" s="16"/>
      <c r="WF830" s="16"/>
      <c r="WG830" s="16"/>
      <c r="WH830" s="16"/>
      <c r="WI830" s="16"/>
      <c r="WJ830" s="16"/>
      <c r="WK830" s="16"/>
      <c r="WL830" s="16"/>
      <c r="WM830" s="16"/>
      <c r="WN830" s="16"/>
      <c r="WO830" s="16"/>
      <c r="WP830" s="16"/>
      <c r="WQ830" s="16"/>
      <c r="WR830" s="16"/>
      <c r="WS830" s="16"/>
      <c r="WT830" s="16"/>
      <c r="WU830" s="16"/>
      <c r="WV830" s="16"/>
      <c r="WW830" s="16"/>
      <c r="WX830" s="16"/>
      <c r="WY830" s="16"/>
      <c r="WZ830" s="16"/>
      <c r="XA830" s="16"/>
      <c r="XB830" s="16"/>
      <c r="XC830" s="16"/>
      <c r="XD830" s="16"/>
      <c r="XE830" s="16"/>
      <c r="XF830" s="16"/>
      <c r="XG830" s="16"/>
      <c r="XH830" s="16"/>
      <c r="XI830" s="16"/>
      <c r="XJ830" s="16"/>
      <c r="XK830" s="16"/>
      <c r="XL830" s="16"/>
      <c r="XM830" s="16"/>
      <c r="XN830" s="16"/>
      <c r="XO830" s="16"/>
      <c r="XP830" s="16"/>
      <c r="XQ830" s="16"/>
      <c r="XR830" s="16"/>
      <c r="XS830" s="16"/>
      <c r="XT830" s="16"/>
      <c r="XU830" s="16"/>
      <c r="XV830" s="16"/>
      <c r="XW830" s="16"/>
      <c r="XX830" s="16"/>
      <c r="XY830" s="16"/>
      <c r="XZ830" s="16"/>
      <c r="YA830" s="16"/>
      <c r="YB830" s="16"/>
      <c r="YC830" s="16"/>
      <c r="YD830" s="16"/>
      <c r="YE830" s="16"/>
      <c r="YF830" s="16"/>
      <c r="YG830" s="16"/>
      <c r="YH830" s="16"/>
      <c r="YI830" s="16"/>
      <c r="YJ830" s="16"/>
      <c r="YK830" s="16"/>
      <c r="YL830" s="16"/>
      <c r="YM830" s="16"/>
      <c r="YN830" s="16"/>
      <c r="YO830" s="16"/>
      <c r="YP830" s="16"/>
      <c r="YQ830" s="16"/>
      <c r="YR830" s="16"/>
      <c r="YS830" s="16"/>
      <c r="YT830" s="16"/>
      <c r="YU830" s="16"/>
      <c r="YV830" s="16"/>
      <c r="YW830" s="16"/>
      <c r="YX830" s="16"/>
      <c r="YY830" s="16"/>
      <c r="YZ830" s="16"/>
      <c r="ZA830" s="16"/>
      <c r="ZB830" s="16"/>
      <c r="ZC830" s="16"/>
      <c r="ZD830" s="16"/>
      <c r="ZE830" s="16"/>
      <c r="ZF830" s="16"/>
      <c r="ZG830" s="16"/>
      <c r="ZH830" s="16"/>
      <c r="ZI830" s="16"/>
      <c r="ZJ830" s="16"/>
      <c r="ZK830" s="16"/>
      <c r="ZL830" s="16"/>
      <c r="ZM830" s="16"/>
      <c r="ZN830" s="16"/>
      <c r="ZO830" s="16"/>
      <c r="ZP830" s="16"/>
      <c r="ZQ830" s="16"/>
      <c r="ZR830" s="16"/>
      <c r="ZS830" s="16"/>
      <c r="ZT830" s="16"/>
      <c r="ZU830" s="16"/>
      <c r="ZV830" s="16"/>
      <c r="ZW830" s="16"/>
      <c r="ZX830" s="16"/>
      <c r="ZY830" s="16"/>
      <c r="ZZ830" s="16"/>
      <c r="AAA830" s="16"/>
      <c r="AAB830" s="16"/>
      <c r="AAC830" s="16"/>
      <c r="AAD830" s="16"/>
      <c r="AAE830" s="16"/>
      <c r="AAF830" s="16"/>
      <c r="AAG830" s="16"/>
      <c r="AAH830" s="16"/>
      <c r="AAI830" s="16"/>
      <c r="AAJ830" s="16"/>
      <c r="AAK830" s="16"/>
      <c r="AAL830" s="16"/>
      <c r="AAM830" s="16"/>
      <c r="AAN830" s="16"/>
      <c r="AAO830" s="16"/>
      <c r="AAP830" s="16"/>
      <c r="AAQ830" s="16"/>
      <c r="AAR830" s="16"/>
      <c r="AAS830" s="16"/>
      <c r="AAT830" s="16"/>
      <c r="AAU830" s="16"/>
      <c r="AAV830" s="16"/>
      <c r="AAW830" s="16"/>
      <c r="AAX830" s="16"/>
      <c r="AAY830" s="16"/>
      <c r="AAZ830" s="16"/>
      <c r="ABA830" s="16"/>
      <c r="ABB830" s="16"/>
      <c r="ABC830" s="16"/>
      <c r="ABD830" s="16"/>
      <c r="ABE830" s="16"/>
      <c r="ABF830" s="16"/>
      <c r="ABG830" s="16"/>
      <c r="ABH830" s="16"/>
      <c r="ABI830" s="16"/>
      <c r="ABJ830" s="16"/>
      <c r="ABK830" s="16"/>
      <c r="ABL830" s="16"/>
      <c r="ABM830" s="16"/>
      <c r="ABN830" s="16"/>
      <c r="ABO830" s="16"/>
      <c r="ABP830" s="16"/>
      <c r="ABQ830" s="16"/>
      <c r="ABR830" s="16"/>
      <c r="ABS830" s="16"/>
      <c r="ABT830" s="16"/>
      <c r="ABU830" s="16"/>
      <c r="ABV830" s="16"/>
      <c r="ABW830" s="16"/>
      <c r="ABX830" s="16"/>
      <c r="ABY830" s="16"/>
      <c r="ABZ830" s="16"/>
      <c r="ACA830" s="16"/>
      <c r="ACB830" s="16"/>
      <c r="ACC830" s="16"/>
      <c r="ACD830" s="16"/>
      <c r="ACE830" s="16"/>
      <c r="ACF830" s="16"/>
      <c r="ACG830" s="16"/>
      <c r="ACH830" s="16"/>
      <c r="ACI830" s="16"/>
      <c r="ACJ830" s="16"/>
      <c r="ACK830" s="16"/>
      <c r="ACL830" s="16"/>
      <c r="ACM830" s="16"/>
      <c r="ACN830" s="16"/>
      <c r="ACO830" s="16"/>
      <c r="ACP830" s="16"/>
      <c r="ACQ830" s="16"/>
      <c r="ACR830" s="16"/>
      <c r="ACS830" s="16"/>
      <c r="ACT830" s="16"/>
      <c r="ACU830" s="16"/>
      <c r="ACV830" s="16"/>
      <c r="ACW830" s="16"/>
      <c r="ACX830" s="16"/>
      <c r="ACY830" s="16"/>
      <c r="ACZ830" s="16"/>
      <c r="ADA830" s="16"/>
      <c r="ADB830" s="16"/>
      <c r="ADC830" s="16"/>
      <c r="ADD830" s="16"/>
      <c r="ADE830" s="16"/>
      <c r="ADF830" s="16"/>
      <c r="ADG830" s="16"/>
      <c r="ADH830" s="16"/>
      <c r="ADI830" s="16"/>
      <c r="ADJ830" s="16"/>
      <c r="ADK830" s="16"/>
      <c r="ADL830" s="16"/>
      <c r="ADM830" s="16"/>
      <c r="ADN830" s="16"/>
      <c r="ADO830" s="16"/>
      <c r="ADP830" s="16"/>
      <c r="ADQ830" s="16"/>
      <c r="ADR830" s="16"/>
      <c r="ADS830" s="16"/>
      <c r="ADT830" s="16"/>
      <c r="ADU830" s="16"/>
      <c r="ADV830" s="16"/>
      <c r="ADW830" s="16"/>
      <c r="ADX830" s="16"/>
      <c r="ADY830" s="16"/>
      <c r="ADZ830" s="16"/>
      <c r="AEA830" s="16"/>
      <c r="AEB830" s="16"/>
      <c r="AEC830" s="16"/>
      <c r="AED830" s="16"/>
      <c r="AEE830" s="16"/>
      <c r="AEF830" s="16"/>
      <c r="AEG830" s="16"/>
      <c r="AEH830" s="16"/>
      <c r="AEI830" s="16"/>
      <c r="AEJ830" s="16"/>
      <c r="AEK830" s="16"/>
      <c r="AEL830" s="16"/>
      <c r="AEM830" s="16"/>
      <c r="AEN830" s="16"/>
      <c r="AEO830" s="16"/>
      <c r="AEP830" s="16"/>
      <c r="AEQ830" s="16"/>
      <c r="AER830" s="16"/>
      <c r="AES830" s="16"/>
      <c r="AET830" s="16"/>
      <c r="AEU830" s="16"/>
      <c r="AEV830" s="16"/>
      <c r="AEW830" s="16"/>
      <c r="AEX830" s="16"/>
      <c r="AEY830" s="16"/>
      <c r="AEZ830" s="16"/>
      <c r="AFA830" s="16"/>
      <c r="AFB830" s="16"/>
      <c r="AFC830" s="16"/>
      <c r="AFD830" s="16"/>
      <c r="AFE830" s="16"/>
      <c r="AFF830" s="16"/>
      <c r="AFG830" s="16"/>
      <c r="AFH830" s="16"/>
      <c r="AFI830" s="16"/>
      <c r="AFJ830" s="16"/>
      <c r="AFK830" s="16"/>
      <c r="AFL830" s="16"/>
      <c r="AFM830" s="16"/>
      <c r="AFN830" s="16"/>
      <c r="AFO830" s="16"/>
      <c r="AFP830" s="16"/>
      <c r="AFQ830" s="16"/>
      <c r="AFR830" s="16"/>
      <c r="AFS830" s="16"/>
      <c r="AFT830" s="16"/>
      <c r="AFU830" s="16"/>
      <c r="AFV830" s="16"/>
      <c r="AFW830" s="16"/>
      <c r="AFX830" s="16"/>
      <c r="AFY830" s="16"/>
      <c r="AFZ830" s="16"/>
      <c r="AGA830" s="16"/>
      <c r="AGB830" s="16"/>
      <c r="AGC830" s="16"/>
      <c r="AGD830" s="16"/>
      <c r="AGE830" s="16"/>
      <c r="AGF830" s="16"/>
      <c r="AGG830" s="16"/>
      <c r="AGH830" s="16"/>
      <c r="AGI830" s="16"/>
      <c r="AGJ830" s="16"/>
    </row>
    <row r="831" spans="1:868">
      <c r="A831" s="34" t="str">
        <f>Clothing!A554</f>
        <v>Open-toed shoes</v>
      </c>
      <c r="B831" s="40" t="str">
        <f>Clothing!B554</f>
        <v>Footwear wearing (soles)</v>
      </c>
      <c r="C831" s="34" t="str">
        <f>Clothing!C554</f>
        <v>any</v>
      </c>
      <c r="D831" s="40" t="str">
        <f>Clothing!D554</f>
        <v>RUBBER</v>
      </c>
      <c r="E831" s="34">
        <f>Clothing!E554</f>
        <v>1.1542477475042249E-2</v>
      </c>
      <c r="F831" s="40">
        <f>Clothing!F554</f>
        <v>3</v>
      </c>
      <c r="G831" s="34" t="str">
        <f>Clothing!G554</f>
        <v>See shoesole wear calculation in clothing calculations tab of MainInputFile (high estimate)</v>
      </c>
      <c r="H831" s="1188">
        <f>Clothing!H554</f>
        <v>1</v>
      </c>
      <c r="I831" s="307">
        <f>Clothing!I554</f>
        <v>2</v>
      </c>
      <c r="J831" s="307">
        <f>Clothing!J554</f>
        <v>2</v>
      </c>
      <c r="K831" s="307">
        <f>Clothing!K554</f>
        <v>2</v>
      </c>
      <c r="L831" s="307">
        <f>Clothing!L554</f>
        <v>2</v>
      </c>
      <c r="M831" s="307">
        <f>Clothing!M554</f>
        <v>3</v>
      </c>
      <c r="N831" s="185">
        <f>IF( OR( ISBLANK(H831),ISBLANK(J831), ISBLANK(K831), ISBLANK(L831), ISBLANK(M831) ), "", 1.5*SQRT(   EXP(2.21*(H831-1)) + EXP(2.21*(J831-1)) + EXP(2.21*(K831-1)) + EXP(2.21*(L831-1)) + EXP(2.21*M831)   )/100*2.45 )</f>
        <v>1.0301997916669636</v>
      </c>
      <c r="O831" s="159">
        <f>IF( OR( ISBLANK(I831),ISBLANK(J831), ISBLANK(K831), ISBLANK(L831), ISBLANK(M831) ), "", 1.5*SQRT( EXP(2.21*(I831-1)) + EXP(2.21*(J831-1)) + EXP(2.21*(K831-1)) + EXP(2.21*(L831-1)) + EXP(2.21*M831)   )/100*2.45 )</f>
        <v>1.0355058633207881</v>
      </c>
      <c r="P831" s="973"/>
    </row>
    <row r="832" spans="1:868">
      <c r="A832" s="34" t="str">
        <f>Clothing!A555</f>
        <v>Open-toed shoes</v>
      </c>
      <c r="B832" s="40" t="str">
        <f>Clothing!B555</f>
        <v>Footwear wearing (soles)</v>
      </c>
      <c r="C832" s="34" t="str">
        <f>Clothing!C555</f>
        <v>any</v>
      </c>
      <c r="D832" s="40" t="str">
        <f>Clothing!D555</f>
        <v>PUR</v>
      </c>
      <c r="E832" s="34">
        <f>Clothing!E555</f>
        <v>2.5413504031689942E-3</v>
      </c>
      <c r="F832" s="40">
        <f>Clothing!F555</f>
        <v>3</v>
      </c>
      <c r="G832" s="34" t="str">
        <f>Clothing!G555</f>
        <v>See shoesole wear calculation in clothing calculations tab of MainInputFile (low estimate)</v>
      </c>
      <c r="H832" s="1188">
        <f>Clothing!H555</f>
        <v>1</v>
      </c>
      <c r="I832" s="307">
        <f>Clothing!I555</f>
        <v>2</v>
      </c>
      <c r="J832" s="307">
        <f>Clothing!J555</f>
        <v>2</v>
      </c>
      <c r="K832" s="307">
        <f>Clothing!K555</f>
        <v>2</v>
      </c>
      <c r="L832" s="307">
        <f>Clothing!L555</f>
        <v>2</v>
      </c>
      <c r="M832" s="307">
        <f>Clothing!M555</f>
        <v>3</v>
      </c>
      <c r="N832" s="185">
        <f>IF( OR( ISBLANK(H832),ISBLANK(J832), ISBLANK(K832), ISBLANK(L832), ISBLANK(M832) ), "", 1.5*SQRT(   EXP(2.21*(H832-1)) + EXP(2.21*(J832-1)) + EXP(2.21*(K832-1)) + EXP(2.21*(L832-1)) + EXP(2.21*M832)   )/100*2.45 )</f>
        <v>1.0301997916669636</v>
      </c>
      <c r="O832" s="159">
        <f>IF( OR( ISBLANK(I832),ISBLANK(J832), ISBLANK(K832), ISBLANK(L832), ISBLANK(M832) ), "", 1.5*SQRT( EXP(2.21*(I832-1)) + EXP(2.21*(J832-1)) + EXP(2.21*(K832-1)) + EXP(2.21*(L832-1)) + EXP(2.21*M832)   )/100*2.45 )</f>
        <v>1.0355058633207881</v>
      </c>
      <c r="P832" s="973"/>
    </row>
    <row r="833" spans="1:16">
      <c r="A833" s="34" t="str">
        <f>Clothing!A556</f>
        <v>Open-toed shoes</v>
      </c>
      <c r="B833" s="40" t="str">
        <f>Clothing!B556</f>
        <v>Footwear wearing (soles)</v>
      </c>
      <c r="C833" s="34" t="str">
        <f>Clothing!C556</f>
        <v>any</v>
      </c>
      <c r="D833" s="40" t="str">
        <f>Clothing!D556</f>
        <v>PUR</v>
      </c>
      <c r="E833" s="34">
        <f>Clothing!E556</f>
        <v>5.0827008063379885E-3</v>
      </c>
      <c r="F833" s="40">
        <f>Clothing!F556</f>
        <v>3</v>
      </c>
      <c r="G833" s="34" t="str">
        <f>Clothing!G556</f>
        <v>See shoesole wear calculation in clothing calculations tab of MainInputFile (high estimate)</v>
      </c>
      <c r="H833" s="1188">
        <f>Clothing!H556</f>
        <v>1</v>
      </c>
      <c r="I833" s="307">
        <f>Clothing!I556</f>
        <v>2</v>
      </c>
      <c r="J833" s="307">
        <f>Clothing!J556</f>
        <v>2</v>
      </c>
      <c r="K833" s="307">
        <f>Clothing!K556</f>
        <v>2</v>
      </c>
      <c r="L833" s="307">
        <f>Clothing!L556</f>
        <v>2</v>
      </c>
      <c r="M833" s="307">
        <f>Clothing!M556</f>
        <v>3</v>
      </c>
      <c r="N833" s="185">
        <f>IF( OR( ISBLANK(H833),ISBLANK(J833), ISBLANK(K833), ISBLANK(L833), ISBLANK(M833) ), "", 1.5*SQRT(   EXP(2.21*(H833-1)) + EXP(2.21*(J833-1)) + EXP(2.21*(K833-1)) + EXP(2.21*(L833-1)) + EXP(2.21*M833)   )/100*2.45 )</f>
        <v>1.0301997916669636</v>
      </c>
      <c r="O833" s="159">
        <f>IF( OR( ISBLANK(I833),ISBLANK(J833), ISBLANK(K833), ISBLANK(L833), ISBLANK(M833) ), "", 1.5*SQRT( EXP(2.21*(I833-1)) + EXP(2.21*(J833-1)) + EXP(2.21*(K833-1)) + EXP(2.21*(L833-1)) + EXP(2.21*M833)   )/100*2.45 )</f>
        <v>1.0355058633207881</v>
      </c>
      <c r="P833" s="973"/>
    </row>
    <row r="834" spans="1:16">
      <c r="A834" s="34" t="str">
        <f>Clothing!A557</f>
        <v>Open-toed shoes</v>
      </c>
      <c r="B834" s="40" t="str">
        <f>Clothing!B557</f>
        <v>Footwear wearing (soles)</v>
      </c>
      <c r="C834" s="34" t="str">
        <f>Clothing!C557</f>
        <v>any</v>
      </c>
      <c r="D834" s="40" t="str">
        <f>Clothing!D557</f>
        <v>EVA</v>
      </c>
      <c r="E834" s="34">
        <f>Clothing!E557</f>
        <v>2.6370870403593857E-3</v>
      </c>
      <c r="F834" s="40">
        <f>Clothing!F557</f>
        <v>3</v>
      </c>
      <c r="G834" s="34" t="str">
        <f>Clothing!G557</f>
        <v>See shoesole wear calculation in clothing calculations tab of MainInputFile (low estimate)</v>
      </c>
      <c r="H834" s="1188">
        <f>Clothing!H557</f>
        <v>1</v>
      </c>
      <c r="I834" s="307">
        <f>Clothing!I557</f>
        <v>2</v>
      </c>
      <c r="J834" s="307">
        <f>Clothing!J557</f>
        <v>2</v>
      </c>
      <c r="K834" s="307">
        <f>Clothing!K557</f>
        <v>2</v>
      </c>
      <c r="L834" s="307">
        <f>Clothing!L557</f>
        <v>2</v>
      </c>
      <c r="M834" s="307">
        <f>Clothing!M557</f>
        <v>3</v>
      </c>
      <c r="N834" s="185">
        <f>IF( OR( ISBLANK(H834),ISBLANK(J834), ISBLANK(K834), ISBLANK(L834), ISBLANK(M834) ), "", 1.5*SQRT(   EXP(2.21*(H834-1)) + EXP(2.21*(J834-1)) + EXP(2.21*(K834-1)) + EXP(2.21*(L834-1)) + EXP(2.21*M834)   )/100*2.45 )</f>
        <v>1.0301997916669636</v>
      </c>
      <c r="O834" s="159">
        <f>IF( OR( ISBLANK(I834),ISBLANK(J834), ISBLANK(K834), ISBLANK(L834), ISBLANK(M834) ), "", 1.5*SQRT( EXP(2.21*(I834-1)) + EXP(2.21*(J834-1)) + EXP(2.21*(K834-1)) + EXP(2.21*(L834-1)) + EXP(2.21*M834)   )/100*2.45 )</f>
        <v>1.0355058633207881</v>
      </c>
      <c r="P834" s="973"/>
    </row>
    <row r="835" spans="1:16">
      <c r="A835" s="34" t="str">
        <f>Clothing!A558</f>
        <v>Open-toed shoes</v>
      </c>
      <c r="B835" s="40" t="str">
        <f>Clothing!B558</f>
        <v>Footwear wearing (soles)</v>
      </c>
      <c r="C835" s="34" t="str">
        <f>Clothing!C558</f>
        <v>any</v>
      </c>
      <c r="D835" s="40" t="str">
        <f>Clothing!D558</f>
        <v>EVA</v>
      </c>
      <c r="E835" s="34">
        <f>Clothing!E558</f>
        <v>5.2741740807187715E-3</v>
      </c>
      <c r="F835" s="40">
        <f>Clothing!F558</f>
        <v>3</v>
      </c>
      <c r="G835" s="34" t="str">
        <f>Clothing!G558</f>
        <v>See shoesole wear calculation in clothing calculations tab of MainInputFile (high estimate)</v>
      </c>
      <c r="H835" s="1188">
        <f>Clothing!H558</f>
        <v>1</v>
      </c>
      <c r="I835" s="307">
        <f>Clothing!I558</f>
        <v>2</v>
      </c>
      <c r="J835" s="307">
        <f>Clothing!J558</f>
        <v>2</v>
      </c>
      <c r="K835" s="307">
        <f>Clothing!K558</f>
        <v>2</v>
      </c>
      <c r="L835" s="307">
        <f>Clothing!L558</f>
        <v>2</v>
      </c>
      <c r="M835" s="307">
        <f>Clothing!M558</f>
        <v>3</v>
      </c>
      <c r="N835" s="185">
        <f>IF( OR( ISBLANK(H835),ISBLANK(J835), ISBLANK(K835), ISBLANK(L835), ISBLANK(M835) ), "", 1.5*SQRT(   EXP(2.21*(H835-1)) + EXP(2.21*(J835-1)) + EXP(2.21*(K835-1)) + EXP(2.21*(L835-1)) + EXP(2.21*M835)   )/100*2.45 )</f>
        <v>1.0301997916669636</v>
      </c>
      <c r="O835" s="159">
        <f>IF( OR( ISBLANK(I835),ISBLANK(J835), ISBLANK(K835), ISBLANK(L835), ISBLANK(M835) ), "", 1.5*SQRT( EXP(2.21*(I835-1)) + EXP(2.21*(J835-1)) + EXP(2.21*(K835-1)) + EXP(2.21*(L835-1)) + EXP(2.21*M835)   )/100*2.45 )</f>
        <v>1.0355058633207881</v>
      </c>
      <c r="P835" s="973"/>
    </row>
    <row r="836" spans="1:16">
      <c r="A836" s="34" t="str">
        <f>Clothing!A559</f>
        <v>Open-toed shoes</v>
      </c>
      <c r="B836" s="40" t="str">
        <f>Clothing!B559</f>
        <v>Footwear wearing (soles)</v>
      </c>
      <c r="C836" s="34" t="str">
        <f>Clothing!C559</f>
        <v>any</v>
      </c>
      <c r="D836" s="40" t="str">
        <f>Clothing!D559</f>
        <v>PVC</v>
      </c>
      <c r="E836" s="34">
        <f>Clothing!E559</f>
        <v>3.2506855134566658E-3</v>
      </c>
      <c r="F836" s="40">
        <f>Clothing!F559</f>
        <v>3</v>
      </c>
      <c r="G836" s="34" t="str">
        <f>Clothing!G559</f>
        <v>See shoesole wear calculation in clothing calculations tab of MainInputFile (low estimate)</v>
      </c>
      <c r="H836" s="1188">
        <f>Clothing!H559</f>
        <v>1</v>
      </c>
      <c r="I836" s="307">
        <f>Clothing!I559</f>
        <v>2</v>
      </c>
      <c r="J836" s="307">
        <f>Clothing!J559</f>
        <v>2</v>
      </c>
      <c r="K836" s="307">
        <f>Clothing!K559</f>
        <v>2</v>
      </c>
      <c r="L836" s="307">
        <f>Clothing!L559</f>
        <v>2</v>
      </c>
      <c r="M836" s="307">
        <f>Clothing!M559</f>
        <v>3</v>
      </c>
      <c r="N836" s="185">
        <f>IF( OR( ISBLANK(H836),ISBLANK(J836), ISBLANK(K836), ISBLANK(L836), ISBLANK(M836) ), "", 1.5*SQRT(   EXP(2.21*(H836-1)) + EXP(2.21*(J836-1)) + EXP(2.21*(K836-1)) + EXP(2.21*(L836-1)) + EXP(2.21*M836)   )/100*2.45 )</f>
        <v>1.0301997916669636</v>
      </c>
      <c r="O836" s="159">
        <f>IF( OR( ISBLANK(I836),ISBLANK(J836), ISBLANK(K836), ISBLANK(L836), ISBLANK(M836) ), "", 1.5*SQRT( EXP(2.21*(I836-1)) + EXP(2.21*(J836-1)) + EXP(2.21*(K836-1)) + EXP(2.21*(L836-1)) + EXP(2.21*M836)   )/100*2.45 )</f>
        <v>1.0355058633207881</v>
      </c>
      <c r="P836" s="973"/>
    </row>
    <row r="837" spans="1:16">
      <c r="A837" s="34" t="str">
        <f>Clothing!A560</f>
        <v>Open-toed shoes</v>
      </c>
      <c r="B837" s="40" t="str">
        <f>Clothing!B560</f>
        <v>Footwear wearing (soles)</v>
      </c>
      <c r="C837" s="34" t="str">
        <f>Clothing!C560</f>
        <v>any</v>
      </c>
      <c r="D837" s="40" t="str">
        <f>Clothing!D560</f>
        <v>PVC</v>
      </c>
      <c r="E837" s="34">
        <f>Clothing!E560</f>
        <v>6.5013710269133315E-3</v>
      </c>
      <c r="F837" s="40">
        <f>Clothing!F560</f>
        <v>3</v>
      </c>
      <c r="G837" s="34" t="str">
        <f>Clothing!G560</f>
        <v>See shoesole wear calculation in clothing calculations tab of MainInputFile (high estimate)</v>
      </c>
      <c r="H837" s="1188">
        <f>Clothing!H560</f>
        <v>1</v>
      </c>
      <c r="I837" s="307">
        <f>Clothing!I560</f>
        <v>2</v>
      </c>
      <c r="J837" s="307">
        <f>Clothing!J560</f>
        <v>2</v>
      </c>
      <c r="K837" s="307">
        <f>Clothing!K560</f>
        <v>2</v>
      </c>
      <c r="L837" s="307">
        <f>Clothing!L560</f>
        <v>2</v>
      </c>
      <c r="M837" s="307">
        <f>Clothing!M560</f>
        <v>3</v>
      </c>
      <c r="N837" s="185">
        <f>IF( OR( ISBLANK(H837),ISBLANK(J837), ISBLANK(K837), ISBLANK(L837), ISBLANK(M837) ), "", 1.5*SQRT(   EXP(2.21*(H837-1)) + EXP(2.21*(J837-1)) + EXP(2.21*(K837-1)) + EXP(2.21*(L837-1)) + EXP(2.21*M837)   )/100*2.45 )</f>
        <v>1.0301997916669636</v>
      </c>
      <c r="O837" s="159">
        <f>IF( OR( ISBLANK(I837),ISBLANK(J837), ISBLANK(K837), ISBLANK(L837), ISBLANK(M837) ), "", 1.5*SQRT( EXP(2.21*(I837-1)) + EXP(2.21*(J837-1)) + EXP(2.21*(K837-1)) + EXP(2.21*(L837-1)) + EXP(2.21*M837)   )/100*2.45 )</f>
        <v>1.0355058633207881</v>
      </c>
      <c r="P837" s="973"/>
    </row>
    <row r="838" spans="1:16">
      <c r="A838" s="34" t="str">
        <f>Clothing!A561</f>
        <v>Open-toed shoes</v>
      </c>
      <c r="B838" s="40" t="str">
        <f>Clothing!B561</f>
        <v>Footwear wearing (uppers)</v>
      </c>
      <c r="C838" s="34" t="str">
        <f>Clothing!C561</f>
        <v>any</v>
      </c>
      <c r="D838" s="40" t="str">
        <f>Clothing!D561</f>
        <v>PA</v>
      </c>
      <c r="E838" s="34">
        <f>Clothing!E561</f>
        <v>3.0249999999999999E-3</v>
      </c>
      <c r="F838" s="40">
        <f>Clothing!F561</f>
        <v>3</v>
      </c>
      <c r="G838" s="34" t="str">
        <f>Clothing!G561</f>
        <v>Average loss during wear, Kawecki et al. 2019, SI table 17</v>
      </c>
      <c r="H838" s="1188">
        <f>Clothing!H561</f>
        <v>2</v>
      </c>
      <c r="I838" s="307">
        <f>Clothing!I561</f>
        <v>2</v>
      </c>
      <c r="J838" s="307">
        <f>Clothing!J561</f>
        <v>2</v>
      </c>
      <c r="K838" s="307">
        <f>Clothing!K561</f>
        <v>2</v>
      </c>
      <c r="L838" s="307">
        <f>Clothing!L561</f>
        <v>2</v>
      </c>
      <c r="M838" s="307">
        <f>Clothing!M561</f>
        <v>2</v>
      </c>
      <c r="N838" s="185">
        <f>IF( OR( ISBLANK(H838),ISBLANK(J838), ISBLANK(K838), ISBLANK(L838), ISBLANK(M838) ), "", 1.5*SQRT(   EXP(2.21*(H838-1)) + EXP(2.21*(J838-1)) + EXP(2.21*(K838-1)) + EXP(2.21*(L838-1)) + EXP(2.21*M838)   )/100*2.45 )</f>
        <v>0.40183591897512122</v>
      </c>
      <c r="O838" s="159">
        <f>IF( OR( ISBLANK(I838),ISBLANK(J838), ISBLANK(K838), ISBLANK(L838), ISBLANK(M838) ), "", 1.5*SQRT( EXP(2.21*(I838-1)) + EXP(2.21*(J838-1)) + EXP(2.21*(K838-1)) + EXP(2.21*(L838-1)) + EXP(2.21*M838)   )/100*2.45 )</f>
        <v>0.40183591897512122</v>
      </c>
      <c r="P838" s="973"/>
    </row>
    <row r="839" spans="1:16">
      <c r="A839" s="34" t="str">
        <f>Clothing!A562</f>
        <v>Open-toed shoes</v>
      </c>
      <c r="B839" s="40" t="str">
        <f>Clothing!B562</f>
        <v>Footwear wearing (uppers)</v>
      </c>
      <c r="C839" s="34" t="str">
        <f>Clothing!C562</f>
        <v>any</v>
      </c>
      <c r="D839" s="40" t="str">
        <f>Clothing!D562</f>
        <v>PET</v>
      </c>
      <c r="E839" s="34">
        <f>Clothing!E562</f>
        <v>3.0249999999999999E-3</v>
      </c>
      <c r="F839" s="40">
        <f>Clothing!F562</f>
        <v>3</v>
      </c>
      <c r="G839" s="34" t="str">
        <f>Clothing!G562</f>
        <v>Average loss during wear, Kawecki et al. 2019, SI table 17</v>
      </c>
      <c r="H839" s="1188">
        <f>Clothing!H562</f>
        <v>2</v>
      </c>
      <c r="I839" s="307">
        <f>Clothing!I562</f>
        <v>2</v>
      </c>
      <c r="J839" s="307">
        <f>Clothing!J562</f>
        <v>2</v>
      </c>
      <c r="K839" s="307">
        <f>Clothing!K562</f>
        <v>2</v>
      </c>
      <c r="L839" s="307">
        <f>Clothing!L562</f>
        <v>2</v>
      </c>
      <c r="M839" s="307">
        <f>Clothing!M562</f>
        <v>2</v>
      </c>
      <c r="N839" s="185">
        <f>IF( OR( ISBLANK(H839),ISBLANK(J839), ISBLANK(K839), ISBLANK(L839), ISBLANK(M839) ), "", 1.5*SQRT(   EXP(2.21*(H839-1)) + EXP(2.21*(J839-1)) + EXP(2.21*(K839-1)) + EXP(2.21*(L839-1)) + EXP(2.21*M839)   )/100*2.45 )</f>
        <v>0.40183591897512122</v>
      </c>
      <c r="O839" s="159">
        <f>IF( OR( ISBLANK(I839),ISBLANK(J839), ISBLANK(K839), ISBLANK(L839), ISBLANK(M839) ), "", 1.5*SQRT( EXP(2.21*(I839-1)) + EXP(2.21*(J839-1)) + EXP(2.21*(K839-1)) + EXP(2.21*(L839-1)) + EXP(2.21*M839)   )/100*2.45 )</f>
        <v>0.40183591897512122</v>
      </c>
      <c r="P839" s="973"/>
    </row>
    <row r="840" spans="1:16">
      <c r="A840" s="34" t="s">
        <v>203</v>
      </c>
      <c r="B840" s="40" t="s">
        <v>167</v>
      </c>
      <c r="C840" s="34" t="s">
        <v>139</v>
      </c>
      <c r="D840" s="40" t="s">
        <v>139</v>
      </c>
      <c r="E840" s="237">
        <v>3.5000000000000003E-2</v>
      </c>
      <c r="F840" s="168">
        <v>2</v>
      </c>
      <c r="G840" s="34" t="s">
        <v>199</v>
      </c>
      <c r="H840" s="29">
        <v>1</v>
      </c>
      <c r="I840" s="9"/>
      <c r="J840" s="9">
        <v>3</v>
      </c>
      <c r="K840" s="9">
        <v>3</v>
      </c>
      <c r="L840" s="9">
        <v>3</v>
      </c>
      <c r="M840" s="9">
        <v>2</v>
      </c>
      <c r="N840" s="185">
        <f>IF( OR( ISBLANK(H840),ISBLANK(J840), ISBLANK(K840), ISBLANK(L840), ISBLANK(M840) ), "", 1.5*SQRT(   EXP(2.21*(H840-1)) + EXP(2.21*(J840-1)) + EXP(2.21*(K840-1)) + EXP(2.21*(L840-1)) + EXP(2.21*M840)   )/100*2.45 )</f>
        <v>0.67101227267249941</v>
      </c>
      <c r="O840" s="159" t="str">
        <f>IF( OR( ISBLANK(I840),ISBLANK(J840), ISBLANK(K840), ISBLANK(L840), ISBLANK(M840) ), "", 1.5*SQRT( EXP(2.21*(I840-1)) + EXP(2.21*(J840-1)) + EXP(2.21*(K840-1)) + EXP(2.21*(L840-1)) + EXP(2.21*M840)   )/100*2.45 )</f>
        <v/>
      </c>
      <c r="P840" s="34"/>
    </row>
    <row r="841" spans="1:16">
      <c r="A841" s="34" t="s">
        <v>203</v>
      </c>
      <c r="B841" s="40" t="s">
        <v>204</v>
      </c>
      <c r="C841" s="34" t="s">
        <v>139</v>
      </c>
      <c r="D841" s="40" t="s">
        <v>139</v>
      </c>
      <c r="E841" s="237">
        <v>2.7E-4</v>
      </c>
      <c r="F841" s="168">
        <v>2</v>
      </c>
      <c r="G841" s="34" t="s">
        <v>205</v>
      </c>
      <c r="H841" s="29">
        <v>1</v>
      </c>
      <c r="I841" s="9"/>
      <c r="J841" s="9">
        <v>1</v>
      </c>
      <c r="K841" s="9">
        <v>3</v>
      </c>
      <c r="L841" s="9">
        <v>3</v>
      </c>
      <c r="M841" s="9">
        <v>3</v>
      </c>
      <c r="N841" s="185">
        <f>IF( OR( ISBLANK(H841),ISBLANK(J841), ISBLANK(K841), ISBLANK(L841), ISBLANK(M841) ), "", 1.5*SQRT(   EXP(2.21*(H841-1)) + EXP(2.21*(J841-1)) + EXP(2.21*(K841-1)) + EXP(2.21*(L841-1)) + EXP(2.21*M841)   )/100*2.45 )</f>
        <v>1.1181151966036349</v>
      </c>
      <c r="O841" s="159" t="str">
        <f>IF( OR( ISBLANK(I841),ISBLANK(J841), ISBLANK(K841), ISBLANK(L841), ISBLANK(M841) ), "", 1.5*SQRT( EXP(2.21*(I841-1)) + EXP(2.21*(J841-1)) + EXP(2.21*(K841-1)) + EXP(2.21*(L841-1)) + EXP(2.21*M841)   )/100*2.45 )</f>
        <v/>
      </c>
      <c r="P841" s="34"/>
    </row>
    <row r="842" spans="1:16">
      <c r="A842" s="34" t="s">
        <v>203</v>
      </c>
      <c r="B842" s="40" t="s">
        <v>361</v>
      </c>
      <c r="C842" s="34" t="s">
        <v>139</v>
      </c>
      <c r="D842" s="40" t="s">
        <v>85</v>
      </c>
      <c r="E842" s="237">
        <v>0</v>
      </c>
      <c r="F842" s="168">
        <v>2</v>
      </c>
      <c r="G842" s="34" t="s">
        <v>362</v>
      </c>
      <c r="H842" s="29"/>
      <c r="I842" s="9"/>
      <c r="J842" s="9"/>
      <c r="K842" s="9"/>
      <c r="L842" s="9"/>
      <c r="M842" s="9"/>
      <c r="N842" s="185" t="str">
        <f>IF( OR( ISBLANK(H842),ISBLANK(J842), ISBLANK(K842), ISBLANK(L842), ISBLANK(M842) ), "", 1.5*SQRT(   EXP(2.21*(H842-1)) + EXP(2.21*(J842-1)) + EXP(2.21*(K842-1)) + EXP(2.21*(L842-1)) + EXP(2.21*M842)   )/100*2.45 )</f>
        <v/>
      </c>
      <c r="O842" s="159" t="str">
        <f>IF( OR( ISBLANK(I842),ISBLANK(J842), ISBLANK(K842), ISBLANK(L842), ISBLANK(M842) ), "", 1.5*SQRT( EXP(2.21*(I842-1)) + EXP(2.21*(J842-1)) + EXP(2.21*(K842-1)) + EXP(2.21*(L842-1)) + EXP(2.21*M842)   )/100*2.45 )</f>
        <v/>
      </c>
      <c r="P842" s="34"/>
    </row>
    <row r="843" spans="1:16">
      <c r="A843" s="34" t="s">
        <v>203</v>
      </c>
      <c r="B843" s="40" t="s">
        <v>361</v>
      </c>
      <c r="C843" s="34" t="s">
        <v>139</v>
      </c>
      <c r="D843" s="40" t="s">
        <v>86</v>
      </c>
      <c r="E843" s="237">
        <v>0.1176</v>
      </c>
      <c r="F843" s="168">
        <v>2</v>
      </c>
      <c r="G843" s="34" t="s">
        <v>362</v>
      </c>
      <c r="H843" s="29">
        <v>2</v>
      </c>
      <c r="I843" s="9"/>
      <c r="J843" s="9">
        <v>2</v>
      </c>
      <c r="K843" s="9">
        <v>1</v>
      </c>
      <c r="L843" s="9">
        <v>1</v>
      </c>
      <c r="M843" s="9">
        <v>2</v>
      </c>
      <c r="N843" s="185">
        <f>IF( OR( ISBLANK(H843),ISBLANK(J843), ISBLANK(K843), ISBLANK(L843), ISBLANK(M843) ), "", 1.5*SQRT(   EXP(2.21*(H843-1)) + EXP(2.21*(J843-1)) + EXP(2.21*(K843-1)) + EXP(2.21*(L843-1)) + EXP(2.21*M843)   )/100*2.45 )</f>
        <v>0.37356464144298934</v>
      </c>
      <c r="O843" s="159" t="str">
        <f>IF( OR( ISBLANK(I843),ISBLANK(J843), ISBLANK(K843), ISBLANK(L843), ISBLANK(M843) ), "", 1.5*SQRT( EXP(2.21*(I843-1)) + EXP(2.21*(J843-1)) + EXP(2.21*(K843-1)) + EXP(2.21*(L843-1)) + EXP(2.21*M843)   )/100*2.45 )</f>
        <v/>
      </c>
      <c r="P843" s="34"/>
    </row>
    <row r="844" spans="1:16">
      <c r="A844" s="34" t="s">
        <v>203</v>
      </c>
      <c r="B844" s="40" t="s">
        <v>361</v>
      </c>
      <c r="C844" s="34" t="s">
        <v>139</v>
      </c>
      <c r="D844" s="40" t="s">
        <v>87</v>
      </c>
      <c r="E844" s="237">
        <v>0.05</v>
      </c>
      <c r="F844" s="168">
        <v>2</v>
      </c>
      <c r="G844" s="34" t="s">
        <v>362</v>
      </c>
      <c r="H844" s="29">
        <v>2</v>
      </c>
      <c r="I844" s="9"/>
      <c r="J844" s="9">
        <v>2</v>
      </c>
      <c r="K844" s="9">
        <v>1</v>
      </c>
      <c r="L844" s="9">
        <v>1</v>
      </c>
      <c r="M844" s="9">
        <v>2</v>
      </c>
      <c r="N844" s="185">
        <f>IF( OR( ISBLANK(H844),ISBLANK(J844), ISBLANK(K844), ISBLANK(L844), ISBLANK(M844) ), "", 1.5*SQRT(   EXP(2.21*(H844-1)) + EXP(2.21*(J844-1)) + EXP(2.21*(K844-1)) + EXP(2.21*(L844-1)) + EXP(2.21*M844)   )/100*2.45 )</f>
        <v>0.37356464144298934</v>
      </c>
      <c r="O844" s="159" t="str">
        <f>IF( OR( ISBLANK(I844),ISBLANK(J844), ISBLANK(K844), ISBLANK(L844), ISBLANK(M844) ), "", 1.5*SQRT( EXP(2.21*(I844-1)) + EXP(2.21*(J844-1)) + EXP(2.21*(K844-1)) + EXP(2.21*(L844-1)) + EXP(2.21*M844)   )/100*2.45 )</f>
        <v/>
      </c>
      <c r="P844" s="34"/>
    </row>
    <row r="845" spans="1:16">
      <c r="A845" s="34" t="s">
        <v>203</v>
      </c>
      <c r="B845" s="40" t="s">
        <v>361</v>
      </c>
      <c r="C845" s="34" t="s">
        <v>139</v>
      </c>
      <c r="D845" s="40" t="s">
        <v>88</v>
      </c>
      <c r="E845" s="237">
        <v>5.5E-2</v>
      </c>
      <c r="F845" s="168">
        <v>2</v>
      </c>
      <c r="G845" s="34" t="s">
        <v>362</v>
      </c>
      <c r="H845" s="29">
        <v>2</v>
      </c>
      <c r="I845" s="9"/>
      <c r="J845" s="9">
        <v>2</v>
      </c>
      <c r="K845" s="9">
        <v>1</v>
      </c>
      <c r="L845" s="9">
        <v>1</v>
      </c>
      <c r="M845" s="9">
        <v>2</v>
      </c>
      <c r="N845" s="185">
        <f>IF( OR( ISBLANK(H845),ISBLANK(J845), ISBLANK(K845), ISBLANK(L845), ISBLANK(M845) ), "", 1.5*SQRT(   EXP(2.21*(H845-1)) + EXP(2.21*(J845-1)) + EXP(2.21*(K845-1)) + EXP(2.21*(L845-1)) + EXP(2.21*M845)   )/100*2.45 )</f>
        <v>0.37356464144298934</v>
      </c>
      <c r="O845" s="159" t="str">
        <f>IF( OR( ISBLANK(I845),ISBLANK(J845), ISBLANK(K845), ISBLANK(L845), ISBLANK(M845) ), "", 1.5*SQRT( EXP(2.21*(I845-1)) + EXP(2.21*(J845-1)) + EXP(2.21*(K845-1)) + EXP(2.21*(L845-1)) + EXP(2.21*M845)   )/100*2.45 )</f>
        <v/>
      </c>
      <c r="P845" s="34"/>
    </row>
    <row r="846" spans="1:16">
      <c r="A846" s="34" t="s">
        <v>203</v>
      </c>
      <c r="B846" s="40" t="s">
        <v>361</v>
      </c>
      <c r="C846" s="34" t="s">
        <v>139</v>
      </c>
      <c r="D846" s="40" t="s">
        <v>89</v>
      </c>
      <c r="E846" s="237">
        <v>5.5E-2</v>
      </c>
      <c r="F846" s="168">
        <v>2</v>
      </c>
      <c r="G846" s="34" t="s">
        <v>362</v>
      </c>
      <c r="H846" s="29">
        <v>2</v>
      </c>
      <c r="I846" s="9"/>
      <c r="J846" s="9">
        <v>2</v>
      </c>
      <c r="K846" s="9">
        <v>1</v>
      </c>
      <c r="L846" s="9">
        <v>1</v>
      </c>
      <c r="M846" s="9">
        <v>2</v>
      </c>
      <c r="N846" s="185">
        <f>IF( OR( ISBLANK(H846),ISBLANK(J846), ISBLANK(K846), ISBLANK(L846), ISBLANK(M846) ), "", 1.5*SQRT(   EXP(2.21*(H846-1)) + EXP(2.21*(J846-1)) + EXP(2.21*(K846-1)) + EXP(2.21*(L846-1)) + EXP(2.21*M846)   )/100*2.45 )</f>
        <v>0.37356464144298934</v>
      </c>
      <c r="O846" s="159" t="str">
        <f>IF( OR( ISBLANK(I846),ISBLANK(J846), ISBLANK(K846), ISBLANK(L846), ISBLANK(M846) ), "", 1.5*SQRT( EXP(2.21*(I846-1)) + EXP(2.21*(J846-1)) + EXP(2.21*(K846-1)) + EXP(2.21*(L846-1)) + EXP(2.21*M846)   )/100*2.45 )</f>
        <v/>
      </c>
      <c r="P846" s="34"/>
    </row>
    <row r="847" spans="1:16">
      <c r="A847" s="34" t="s">
        <v>203</v>
      </c>
      <c r="B847" s="40" t="s">
        <v>361</v>
      </c>
      <c r="C847" s="34" t="s">
        <v>139</v>
      </c>
      <c r="D847" s="40" t="s">
        <v>90</v>
      </c>
      <c r="E847" s="237">
        <v>7.4999999999999997E-2</v>
      </c>
      <c r="F847" s="168">
        <v>2</v>
      </c>
      <c r="G847" s="34" t="s">
        <v>362</v>
      </c>
      <c r="H847" s="29">
        <v>2</v>
      </c>
      <c r="I847" s="9"/>
      <c r="J847" s="9">
        <v>2</v>
      </c>
      <c r="K847" s="9">
        <v>1</v>
      </c>
      <c r="L847" s="9">
        <v>1</v>
      </c>
      <c r="M847" s="9">
        <v>2</v>
      </c>
      <c r="N847" s="185">
        <f>IF( OR( ISBLANK(H847),ISBLANK(J847), ISBLANK(K847), ISBLANK(L847), ISBLANK(M847) ), "", 1.5*SQRT(   EXP(2.21*(H847-1)) + EXP(2.21*(J847-1)) + EXP(2.21*(K847-1)) + EXP(2.21*(L847-1)) + EXP(2.21*M847)   )/100*2.45 )</f>
        <v>0.37356464144298934</v>
      </c>
      <c r="O847" s="159" t="str">
        <f>IF( OR( ISBLANK(I847),ISBLANK(J847), ISBLANK(K847), ISBLANK(L847), ISBLANK(M847) ), "", 1.5*SQRT( EXP(2.21*(I847-1)) + EXP(2.21*(J847-1)) + EXP(2.21*(K847-1)) + EXP(2.21*(L847-1)) + EXP(2.21*M847)   )/100*2.45 )</f>
        <v/>
      </c>
      <c r="P847" s="34"/>
    </row>
    <row r="848" spans="1:16">
      <c r="A848" s="34" t="s">
        <v>203</v>
      </c>
      <c r="B848" s="40" t="s">
        <v>361</v>
      </c>
      <c r="C848" s="34" t="s">
        <v>139</v>
      </c>
      <c r="D848" s="40" t="s">
        <v>91</v>
      </c>
      <c r="E848" s="237">
        <v>8.2299999999999998E-2</v>
      </c>
      <c r="F848" s="168">
        <v>2</v>
      </c>
      <c r="G848" s="34" t="s">
        <v>362</v>
      </c>
      <c r="H848" s="29">
        <v>2</v>
      </c>
      <c r="I848" s="9"/>
      <c r="J848" s="9">
        <v>2</v>
      </c>
      <c r="K848" s="9">
        <v>1</v>
      </c>
      <c r="L848" s="9">
        <v>1</v>
      </c>
      <c r="M848" s="9">
        <v>2</v>
      </c>
      <c r="N848" s="185">
        <f>IF( OR( ISBLANK(H848),ISBLANK(J848), ISBLANK(K848), ISBLANK(L848), ISBLANK(M848) ), "", 1.5*SQRT(   EXP(2.21*(H848-1)) + EXP(2.21*(J848-1)) + EXP(2.21*(K848-1)) + EXP(2.21*(L848-1)) + EXP(2.21*M848)   )/100*2.45 )</f>
        <v>0.37356464144298934</v>
      </c>
      <c r="O848" s="159" t="str">
        <f>IF( OR( ISBLANK(I848),ISBLANK(J848), ISBLANK(K848), ISBLANK(L848), ISBLANK(M848) ), "", 1.5*SQRT( EXP(2.21*(I848-1)) + EXP(2.21*(J848-1)) + EXP(2.21*(K848-1)) + EXP(2.21*(L848-1)) + EXP(2.21*M848)   )/100*2.45 )</f>
        <v/>
      </c>
      <c r="P848" s="34"/>
    </row>
    <row r="849" spans="1:16">
      <c r="A849" s="34" t="s">
        <v>203</v>
      </c>
      <c r="B849" s="40" t="s">
        <v>244</v>
      </c>
      <c r="C849" s="34" t="s">
        <v>139</v>
      </c>
      <c r="D849" s="40" t="s">
        <v>139</v>
      </c>
      <c r="E849" s="237">
        <v>1.075268817204301E-2</v>
      </c>
      <c r="F849" s="168">
        <v>1</v>
      </c>
      <c r="G849" s="34" t="s">
        <v>145</v>
      </c>
      <c r="H849" s="29">
        <v>2</v>
      </c>
      <c r="I849" s="9">
        <v>2</v>
      </c>
      <c r="J849" s="9">
        <v>2</v>
      </c>
      <c r="K849" s="9">
        <v>3</v>
      </c>
      <c r="L849" s="9">
        <v>1</v>
      </c>
      <c r="M849" s="9">
        <v>2</v>
      </c>
      <c r="N849" s="185">
        <f>IF( OR( ISBLANK(H849),ISBLANK(J849), ISBLANK(K849), ISBLANK(L849), ISBLANK(M849) ), "", 1.5*SQRT(   EXP(2.21*(H849-1)) + EXP(2.21*(J849-1)) + EXP(2.21*(K849-1)) + EXP(2.21*(L849-1)) + EXP(2.21*M849)   )/100*2.45 )</f>
        <v>0.50042652380814845</v>
      </c>
      <c r="O849" s="159">
        <f>IF( OR( ISBLANK(I849),ISBLANK(J849), ISBLANK(K849), ISBLANK(L849), ISBLANK(M849) ), "", 1.5*SQRT( EXP(2.21*(I849-1)) + EXP(2.21*(J849-1)) + EXP(2.21*(K849-1)) + EXP(2.21*(L849-1)) + EXP(2.21*M849)   )/100*2.45 )</f>
        <v>0.50042652380814845</v>
      </c>
      <c r="P849" s="34" t="s">
        <v>375</v>
      </c>
    </row>
    <row r="850" spans="1:16">
      <c r="A850" s="34" t="s">
        <v>203</v>
      </c>
      <c r="B850" s="40" t="s">
        <v>223</v>
      </c>
      <c r="C850" s="34" t="s">
        <v>139</v>
      </c>
      <c r="D850" s="40" t="s">
        <v>139</v>
      </c>
      <c r="E850" s="237" t="s">
        <v>150</v>
      </c>
      <c r="F850" s="168">
        <v>1</v>
      </c>
      <c r="G850" s="34"/>
      <c r="H850" s="29"/>
      <c r="I850" s="9"/>
      <c r="J850" s="9"/>
      <c r="K850" s="9" t="str">
        <f>IF( OR( ISBLANK(#REF!),ISBLANK(G850), ISBLANK(#REF!), ISBLANK(H850), ISBLANK(J850) ), "", 1.5*SQRT(   EXP(2.21*(#REF!-1)) + EXP(2.21*(G850-1)) + EXP(2.21*(#REF!-1)) + EXP(2.21*(H850-1)) + EXP(2.21*J850)   )/100 )</f>
        <v/>
      </c>
      <c r="L850" s="9" t="str">
        <f>IF( OR( ISBLANK(E850),ISBLANK(G850), ISBLANK(#REF!), ISBLANK(H850), ISBLANK(J850) ), "", 1.5*SQRT(   EXP(2.21*(E850-1)) + EXP(2.21*(G850-1)) + EXP(2.21*(#REF!-1)) + EXP(2.21*(H850-1)) + EXP(2.21*J850)   )/100 )</f>
        <v/>
      </c>
      <c r="M850" s="9"/>
      <c r="N850" s="185" t="str">
        <f>IF( OR( ISBLANK(H850),ISBLANK(J850), ISBLANK(K850), ISBLANK(L850), ISBLANK(M850) ), "", 1.5*SQRT(   EXP(2.21*(H850-1)) + EXP(2.21*(J850-1)) + EXP(2.21*(K850-1)) + EXP(2.21*(L850-1)) + EXP(2.21*M850)   )/100*2.45 )</f>
        <v/>
      </c>
      <c r="O850" s="159" t="str">
        <f>IF( OR( ISBLANK(I850),ISBLANK(J850), ISBLANK(K850), ISBLANK(L850), ISBLANK(M850) ), "", 1.5*SQRT( EXP(2.21*(I850-1)) + EXP(2.21*(J850-1)) + EXP(2.21*(K850-1)) + EXP(2.21*(L850-1)) + EXP(2.21*M850)   )/100*2.45 )</f>
        <v/>
      </c>
      <c r="P850" s="34"/>
    </row>
    <row r="851" spans="1:16">
      <c r="A851" s="34" t="s">
        <v>236</v>
      </c>
      <c r="B851" s="40" t="s">
        <v>204</v>
      </c>
      <c r="C851" s="34" t="s">
        <v>139</v>
      </c>
      <c r="D851" s="40" t="s">
        <v>139</v>
      </c>
      <c r="E851" s="237">
        <v>2.7E-4</v>
      </c>
      <c r="F851" s="168">
        <v>2</v>
      </c>
      <c r="G851" s="34" t="s">
        <v>205</v>
      </c>
      <c r="H851" s="29">
        <v>1</v>
      </c>
      <c r="I851" s="9"/>
      <c r="J851" s="9">
        <v>1</v>
      </c>
      <c r="K851" s="9">
        <v>3</v>
      </c>
      <c r="L851" s="9">
        <v>3</v>
      </c>
      <c r="M851" s="9">
        <v>3</v>
      </c>
      <c r="N851" s="185">
        <f>IF( OR( ISBLANK(H851),ISBLANK(J851), ISBLANK(K851), ISBLANK(L851), ISBLANK(M851) ), "", 1.5*SQRT(   EXP(2.21*(H851-1)) + EXP(2.21*(J851-1)) + EXP(2.21*(K851-1)) + EXP(2.21*(L851-1)) + EXP(2.21*M851)   )/100*2.45 )</f>
        <v>1.1181151966036349</v>
      </c>
      <c r="O851" s="159" t="str">
        <f>IF( OR( ISBLANK(I851),ISBLANK(J851), ISBLANK(K851), ISBLANK(L851), ISBLANK(M851) ), "", 1.5*SQRT( EXP(2.21*(I851-1)) + EXP(2.21*(J851-1)) + EXP(2.21*(K851-1)) + EXP(2.21*(L851-1)) + EXP(2.21*M851)   )/100*2.45 )</f>
        <v/>
      </c>
      <c r="P851" s="34"/>
    </row>
    <row r="852" spans="1:16">
      <c r="A852" s="34" t="s">
        <v>236</v>
      </c>
      <c r="B852" s="40" t="s">
        <v>319</v>
      </c>
      <c r="C852" s="34" t="s">
        <v>139</v>
      </c>
      <c r="D852" s="40" t="s">
        <v>139</v>
      </c>
      <c r="E852" s="237">
        <v>1.2999999999999999E-3</v>
      </c>
      <c r="F852" s="168">
        <v>2</v>
      </c>
      <c r="G852" s="34" t="s">
        <v>177</v>
      </c>
      <c r="H852" s="29">
        <v>1</v>
      </c>
      <c r="I852" s="9"/>
      <c r="J852" s="9">
        <v>1</v>
      </c>
      <c r="K852" s="9">
        <v>1</v>
      </c>
      <c r="L852" s="9">
        <v>1</v>
      </c>
      <c r="M852" s="9">
        <v>3</v>
      </c>
      <c r="N852" s="185">
        <f>IF( OR( ISBLANK(H852),ISBLANK(J852), ISBLANK(K852), ISBLANK(L852), ISBLANK(M852) ), "", 1.5*SQRT(   EXP(2.21*(H852-1)) + EXP(2.21*(J852-1)) + EXP(2.21*(K852-1)) + EXP(2.21*(L852-1)) + EXP(2.21*M852)   )/100*2.45 )</f>
        <v>1.0141150152164344</v>
      </c>
      <c r="O852" s="159" t="str">
        <f>IF( OR( ISBLANK(I852),ISBLANK(J852), ISBLANK(K852), ISBLANK(L852), ISBLANK(M852) ), "", 1.5*SQRT( EXP(2.21*(I852-1)) + EXP(2.21*(J852-1)) + EXP(2.21*(K852-1)) + EXP(2.21*(L852-1)) + EXP(2.21*M852)   )/100*2.45 )</f>
        <v/>
      </c>
      <c r="P852" s="34"/>
    </row>
    <row r="853" spans="1:16">
      <c r="A853" s="34" t="s">
        <v>236</v>
      </c>
      <c r="B853" s="40" t="s">
        <v>319</v>
      </c>
      <c r="C853" s="34" t="s">
        <v>139</v>
      </c>
      <c r="D853" s="40" t="s">
        <v>139</v>
      </c>
      <c r="E853" s="237">
        <v>1.47E-2</v>
      </c>
      <c r="F853" s="168">
        <v>2</v>
      </c>
      <c r="G853" s="34" t="s">
        <v>310</v>
      </c>
      <c r="H853" s="29">
        <v>1</v>
      </c>
      <c r="I853" s="9"/>
      <c r="J853" s="9">
        <v>1</v>
      </c>
      <c r="K853" s="9">
        <v>1</v>
      </c>
      <c r="L853" s="9">
        <v>1</v>
      </c>
      <c r="M853" s="9">
        <v>3</v>
      </c>
      <c r="N853" s="185">
        <f>IF( OR( ISBLANK(H853),ISBLANK(J853), ISBLANK(K853), ISBLANK(L853), ISBLANK(M853) ), "", 1.5*SQRT(   EXP(2.21*(H853-1)) + EXP(2.21*(J853-1)) + EXP(2.21*(K853-1)) + EXP(2.21*(L853-1)) + EXP(2.21*M853)   )/100*2.45 )</f>
        <v>1.0141150152164344</v>
      </c>
      <c r="O853" s="159" t="str">
        <f>IF( OR( ISBLANK(I853),ISBLANK(J853), ISBLANK(K853), ISBLANK(L853), ISBLANK(M853) ), "", 1.5*SQRT( EXP(2.21*(I853-1)) + EXP(2.21*(J853-1)) + EXP(2.21*(K853-1)) + EXP(2.21*(L853-1)) + EXP(2.21*M853)   )/100*2.45 )</f>
        <v/>
      </c>
      <c r="P853" s="34"/>
    </row>
    <row r="854" spans="1:16">
      <c r="A854" s="34" t="s">
        <v>236</v>
      </c>
      <c r="B854" s="40" t="s">
        <v>244</v>
      </c>
      <c r="C854" s="34" t="s">
        <v>139</v>
      </c>
      <c r="D854" s="40" t="s">
        <v>139</v>
      </c>
      <c r="E854" s="237">
        <v>0.32258064516129031</v>
      </c>
      <c r="F854" s="168">
        <v>1</v>
      </c>
      <c r="G854" s="34" t="s">
        <v>145</v>
      </c>
      <c r="H854" s="29">
        <v>2</v>
      </c>
      <c r="I854" s="9">
        <v>2</v>
      </c>
      <c r="J854" s="9">
        <v>2</v>
      </c>
      <c r="K854" s="9">
        <v>3</v>
      </c>
      <c r="L854" s="9">
        <v>1</v>
      </c>
      <c r="M854" s="9">
        <v>2</v>
      </c>
      <c r="N854" s="185">
        <f>IF( OR( ISBLANK(H854),ISBLANK(J854), ISBLANK(K854), ISBLANK(L854), ISBLANK(M854) ), "", 1.5*SQRT(   EXP(2.21*(H854-1)) + EXP(2.21*(J854-1)) + EXP(2.21*(K854-1)) + EXP(2.21*(L854-1)) + EXP(2.21*M854)   )/100*2.45 )</f>
        <v>0.50042652380814845</v>
      </c>
      <c r="O854" s="159">
        <f>IF( OR( ISBLANK(I854),ISBLANK(J854), ISBLANK(K854), ISBLANK(L854), ISBLANK(M854) ), "", 1.5*SQRT( EXP(2.21*(I854-1)) + EXP(2.21*(J854-1)) + EXP(2.21*(K854-1)) + EXP(2.21*(L854-1)) + EXP(2.21*M854)   )/100*2.45 )</f>
        <v>0.50042652380814845</v>
      </c>
      <c r="P854" s="34" t="s">
        <v>375</v>
      </c>
    </row>
    <row r="855" spans="1:16">
      <c r="A855" s="34" t="s">
        <v>236</v>
      </c>
      <c r="B855" s="40" t="s">
        <v>223</v>
      </c>
      <c r="C855" s="34" t="s">
        <v>139</v>
      </c>
      <c r="D855" s="40" t="s">
        <v>139</v>
      </c>
      <c r="E855" s="237" t="s">
        <v>150</v>
      </c>
      <c r="F855" s="168">
        <v>1</v>
      </c>
      <c r="G855" s="34"/>
      <c r="H855" s="29"/>
      <c r="I855" s="9"/>
      <c r="J855" s="9"/>
      <c r="K855" s="9"/>
      <c r="L855" s="9"/>
      <c r="M855" s="9"/>
      <c r="N855" s="185" t="str">
        <f>IF( OR( ISBLANK(H855),ISBLANK(J855), ISBLANK(K855), ISBLANK(L855), ISBLANK(M855) ), "", 1.5*SQRT(   EXP(2.21*(H855-1)) + EXP(2.21*(J855-1)) + EXP(2.21*(K855-1)) + EXP(2.21*(L855-1)) + EXP(2.21*M855)   )/100*2.45 )</f>
        <v/>
      </c>
      <c r="O855" s="159" t="str">
        <f>IF( OR( ISBLANK(I855),ISBLANK(J855), ISBLANK(K855), ISBLANK(L855), ISBLANK(M855) ), "", 1.5*SQRT( EXP(2.21*(I855-1)) + EXP(2.21*(J855-1)) + EXP(2.21*(K855-1)) + EXP(2.21*(L855-1)) + EXP(2.21*M855)   )/100*2.45 )</f>
        <v/>
      </c>
      <c r="P855" s="34"/>
    </row>
    <row r="856" spans="1:16">
      <c r="A856" s="34" t="s">
        <v>237</v>
      </c>
      <c r="B856" s="40" t="s">
        <v>204</v>
      </c>
      <c r="C856" s="34" t="s">
        <v>139</v>
      </c>
      <c r="D856" s="40" t="s">
        <v>139</v>
      </c>
      <c r="E856" s="237">
        <v>2.7E-4</v>
      </c>
      <c r="F856" s="168">
        <v>2</v>
      </c>
      <c r="G856" s="34" t="s">
        <v>205</v>
      </c>
      <c r="H856" s="29">
        <v>1</v>
      </c>
      <c r="I856" s="9"/>
      <c r="J856" s="9">
        <v>1</v>
      </c>
      <c r="K856" s="9">
        <v>3</v>
      </c>
      <c r="L856" s="9">
        <v>3</v>
      </c>
      <c r="M856" s="9">
        <v>3</v>
      </c>
      <c r="N856" s="185">
        <f>IF( OR( ISBLANK(H856),ISBLANK(J856), ISBLANK(K856), ISBLANK(L856), ISBLANK(M856) ), "", 1.5*SQRT(   EXP(2.21*(H856-1)) + EXP(2.21*(J856-1)) + EXP(2.21*(K856-1)) + EXP(2.21*(L856-1)) + EXP(2.21*M856)   )/100*2.45 )</f>
        <v>1.1181151966036349</v>
      </c>
      <c r="O856" s="159" t="str">
        <f>IF( OR( ISBLANK(I856),ISBLANK(J856), ISBLANK(K856), ISBLANK(L856), ISBLANK(M856) ), "", 1.5*SQRT( EXP(2.21*(I856-1)) + EXP(2.21*(J856-1)) + EXP(2.21*(K856-1)) + EXP(2.21*(L856-1)) + EXP(2.21*M856)   )/100*2.45 )</f>
        <v/>
      </c>
      <c r="P856" s="34"/>
    </row>
    <row r="857" spans="1:16">
      <c r="A857" s="34" t="s">
        <v>237</v>
      </c>
      <c r="B857" s="40" t="s">
        <v>319</v>
      </c>
      <c r="C857" s="34" t="s">
        <v>139</v>
      </c>
      <c r="D857" s="40" t="s">
        <v>139</v>
      </c>
      <c r="E857" s="237">
        <v>1.2999999999999999E-3</v>
      </c>
      <c r="F857" s="168">
        <v>2</v>
      </c>
      <c r="G857" s="34" t="s">
        <v>177</v>
      </c>
      <c r="H857" s="29">
        <v>1</v>
      </c>
      <c r="I857" s="9"/>
      <c r="J857" s="9">
        <v>1</v>
      </c>
      <c r="K857" s="9">
        <v>1</v>
      </c>
      <c r="L857" s="9">
        <v>1</v>
      </c>
      <c r="M857" s="9">
        <v>3</v>
      </c>
      <c r="N857" s="185">
        <f>IF( OR( ISBLANK(H857),ISBLANK(J857), ISBLANK(K857), ISBLANK(L857), ISBLANK(M857) ), "", 1.5*SQRT(   EXP(2.21*(H857-1)) + EXP(2.21*(J857-1)) + EXP(2.21*(K857-1)) + EXP(2.21*(L857-1)) + EXP(2.21*M857)   )/100*2.45 )</f>
        <v>1.0141150152164344</v>
      </c>
      <c r="O857" s="159" t="str">
        <f>IF( OR( ISBLANK(I857),ISBLANK(J857), ISBLANK(K857), ISBLANK(L857), ISBLANK(M857) ), "", 1.5*SQRT( EXP(2.21*(I857-1)) + EXP(2.21*(J857-1)) + EXP(2.21*(K857-1)) + EXP(2.21*(L857-1)) + EXP(2.21*M857)   )/100*2.45 )</f>
        <v/>
      </c>
      <c r="P857" s="34"/>
    </row>
    <row r="858" spans="1:16">
      <c r="A858" s="34" t="s">
        <v>237</v>
      </c>
      <c r="B858" s="40" t="s">
        <v>319</v>
      </c>
      <c r="C858" s="34" t="s">
        <v>139</v>
      </c>
      <c r="D858" s="40" t="s">
        <v>139</v>
      </c>
      <c r="E858" s="237">
        <v>1.47E-2</v>
      </c>
      <c r="F858" s="168">
        <v>2</v>
      </c>
      <c r="G858" s="34" t="s">
        <v>310</v>
      </c>
      <c r="H858" s="29">
        <v>1</v>
      </c>
      <c r="I858" s="9"/>
      <c r="J858" s="9">
        <v>1</v>
      </c>
      <c r="K858" s="9">
        <v>1</v>
      </c>
      <c r="L858" s="9">
        <v>1</v>
      </c>
      <c r="M858" s="9">
        <v>3</v>
      </c>
      <c r="N858" s="185">
        <f>IF( OR( ISBLANK(H858),ISBLANK(J858), ISBLANK(K858), ISBLANK(L858), ISBLANK(M858) ), "", 1.5*SQRT(   EXP(2.21*(H858-1)) + EXP(2.21*(J858-1)) + EXP(2.21*(K858-1)) + EXP(2.21*(L858-1)) + EXP(2.21*M858)   )/100*2.45 )</f>
        <v>1.0141150152164344</v>
      </c>
      <c r="O858" s="159" t="str">
        <f>IF( OR( ISBLANK(I858),ISBLANK(J858), ISBLANK(K858), ISBLANK(L858), ISBLANK(M858) ), "", 1.5*SQRT( EXP(2.21*(I858-1)) + EXP(2.21*(J858-1)) + EXP(2.21*(K858-1)) + EXP(2.21*(L858-1)) + EXP(2.21*M858)   )/100*2.45 )</f>
        <v/>
      </c>
      <c r="P858" s="34"/>
    </row>
    <row r="859" spans="1:16" s="16" customFormat="1">
      <c r="A859" s="34" t="s">
        <v>237</v>
      </c>
      <c r="B859" s="40" t="s">
        <v>244</v>
      </c>
      <c r="C859" s="34" t="s">
        <v>139</v>
      </c>
      <c r="D859" s="40" t="s">
        <v>85</v>
      </c>
      <c r="E859" s="237">
        <v>6.4516129032258063E-2</v>
      </c>
      <c r="F859" s="168">
        <v>1</v>
      </c>
      <c r="G859" s="34" t="s">
        <v>145</v>
      </c>
      <c r="H859" s="29">
        <v>2</v>
      </c>
      <c r="I859" s="9">
        <v>2</v>
      </c>
      <c r="J859" s="9">
        <v>2</v>
      </c>
      <c r="K859" s="9">
        <v>3</v>
      </c>
      <c r="L859" s="9">
        <v>1</v>
      </c>
      <c r="M859" s="9">
        <v>2</v>
      </c>
      <c r="N859" s="185">
        <f>IF( OR( ISBLANK(H859),ISBLANK(J859), ISBLANK(K859), ISBLANK(L859), ISBLANK(M859) ), "", 1.5*SQRT(   EXP(2.21*(H859-1)) + EXP(2.21*(J859-1)) + EXP(2.21*(K859-1)) + EXP(2.21*(L859-1)) + EXP(2.21*M859)   )/100*2.45 )</f>
        <v>0.50042652380814845</v>
      </c>
      <c r="O859" s="159">
        <f>IF( OR( ISBLANK(I859),ISBLANK(J859), ISBLANK(K859), ISBLANK(L859), ISBLANK(M859) ), "", 1.5*SQRT( EXP(2.21*(I859-1)) + EXP(2.21*(J859-1)) + EXP(2.21*(K859-1)) + EXP(2.21*(L859-1)) + EXP(2.21*M859)   )/100*2.45 )</f>
        <v>0.50042652380814845</v>
      </c>
      <c r="P859" s="34" t="s">
        <v>375</v>
      </c>
    </row>
    <row r="860" spans="1:16" s="16" customFormat="1">
      <c r="A860" s="34" t="s">
        <v>237</v>
      </c>
      <c r="B860" s="40" t="s">
        <v>244</v>
      </c>
      <c r="C860" s="34" t="s">
        <v>139</v>
      </c>
      <c r="D860" s="40" t="s">
        <v>86</v>
      </c>
      <c r="E860" s="237">
        <v>6.4516129032258063E-2</v>
      </c>
      <c r="F860" s="168">
        <v>1</v>
      </c>
      <c r="G860" s="34" t="s">
        <v>145</v>
      </c>
      <c r="H860" s="29">
        <v>2</v>
      </c>
      <c r="I860" s="9">
        <v>2</v>
      </c>
      <c r="J860" s="9">
        <v>2</v>
      </c>
      <c r="K860" s="9">
        <v>3</v>
      </c>
      <c r="L860" s="9">
        <v>1</v>
      </c>
      <c r="M860" s="9">
        <v>2</v>
      </c>
      <c r="N860" s="185">
        <f>IF( OR( ISBLANK(H860),ISBLANK(J860), ISBLANK(K860), ISBLANK(L860), ISBLANK(M860) ), "", 1.5*SQRT(   EXP(2.21*(H860-1)) + EXP(2.21*(J860-1)) + EXP(2.21*(K860-1)) + EXP(2.21*(L860-1)) + EXP(2.21*M860)   )/100*2.45 )</f>
        <v>0.50042652380814845</v>
      </c>
      <c r="O860" s="159">
        <f>IF( OR( ISBLANK(I860),ISBLANK(J860), ISBLANK(K860), ISBLANK(L860), ISBLANK(M860) ), "", 1.5*SQRT( EXP(2.21*(I860-1)) + EXP(2.21*(J860-1)) + EXP(2.21*(K860-1)) + EXP(2.21*(L860-1)) + EXP(2.21*M860)   )/100*2.45 )</f>
        <v>0.50042652380814845</v>
      </c>
      <c r="P860" s="34" t="s">
        <v>375</v>
      </c>
    </row>
    <row r="861" spans="1:16" s="16" customFormat="1">
      <c r="A861" s="34" t="s">
        <v>237</v>
      </c>
      <c r="B861" s="40" t="s">
        <v>244</v>
      </c>
      <c r="C861" s="34" t="s">
        <v>139</v>
      </c>
      <c r="D861" s="40" t="s">
        <v>87</v>
      </c>
      <c r="E861" s="237">
        <v>6.4516129032258063E-2</v>
      </c>
      <c r="F861" s="168">
        <v>1</v>
      </c>
      <c r="G861" s="34" t="s">
        <v>145</v>
      </c>
      <c r="H861" s="29">
        <v>2</v>
      </c>
      <c r="I861" s="9">
        <v>2</v>
      </c>
      <c r="J861" s="9">
        <v>2</v>
      </c>
      <c r="K861" s="9">
        <v>3</v>
      </c>
      <c r="L861" s="9">
        <v>1</v>
      </c>
      <c r="M861" s="9">
        <v>2</v>
      </c>
      <c r="N861" s="185">
        <f>IF( OR( ISBLANK(H861),ISBLANK(J861), ISBLANK(K861), ISBLANK(L861), ISBLANK(M861) ), "", 1.5*SQRT(   EXP(2.21*(H861-1)) + EXP(2.21*(J861-1)) + EXP(2.21*(K861-1)) + EXP(2.21*(L861-1)) + EXP(2.21*M861)   )/100*2.45 )</f>
        <v>0.50042652380814845</v>
      </c>
      <c r="O861" s="159">
        <f>IF( OR( ISBLANK(I861),ISBLANK(J861), ISBLANK(K861), ISBLANK(L861), ISBLANK(M861) ), "", 1.5*SQRT( EXP(2.21*(I861-1)) + EXP(2.21*(J861-1)) + EXP(2.21*(K861-1)) + EXP(2.21*(L861-1)) + EXP(2.21*M861)   )/100*2.45 )</f>
        <v>0.50042652380814845</v>
      </c>
      <c r="P861" s="34" t="s">
        <v>375</v>
      </c>
    </row>
    <row r="862" spans="1:16" s="16" customFormat="1">
      <c r="A862" s="34" t="s">
        <v>237</v>
      </c>
      <c r="B862" s="40" t="s">
        <v>244</v>
      </c>
      <c r="C862" s="34" t="s">
        <v>139</v>
      </c>
      <c r="D862" s="40" t="s">
        <v>88</v>
      </c>
      <c r="E862" s="237">
        <v>6.4516129032258063E-2</v>
      </c>
      <c r="F862" s="168">
        <v>1</v>
      </c>
      <c r="G862" s="34" t="s">
        <v>145</v>
      </c>
      <c r="H862" s="29">
        <v>2</v>
      </c>
      <c r="I862" s="9">
        <v>2</v>
      </c>
      <c r="J862" s="9">
        <v>2</v>
      </c>
      <c r="K862" s="9">
        <v>3</v>
      </c>
      <c r="L862" s="9">
        <v>1</v>
      </c>
      <c r="M862" s="9">
        <v>2</v>
      </c>
      <c r="N862" s="185">
        <f>IF( OR( ISBLANK(H862),ISBLANK(J862), ISBLANK(K862), ISBLANK(L862), ISBLANK(M862) ), "", 1.5*SQRT(   EXP(2.21*(H862-1)) + EXP(2.21*(J862-1)) + EXP(2.21*(K862-1)) + EXP(2.21*(L862-1)) + EXP(2.21*M862)   )/100*2.45 )</f>
        <v>0.50042652380814845</v>
      </c>
      <c r="O862" s="159">
        <f>IF( OR( ISBLANK(I862),ISBLANK(J862), ISBLANK(K862), ISBLANK(L862), ISBLANK(M862) ), "", 1.5*SQRT( EXP(2.21*(I862-1)) + EXP(2.21*(J862-1)) + EXP(2.21*(K862-1)) + EXP(2.21*(L862-1)) + EXP(2.21*M862)   )/100*2.45 )</f>
        <v>0.50042652380814845</v>
      </c>
      <c r="P862" s="34" t="s">
        <v>375</v>
      </c>
    </row>
    <row r="863" spans="1:16" s="16" customFormat="1">
      <c r="A863" s="34" t="s">
        <v>237</v>
      </c>
      <c r="B863" s="40" t="s">
        <v>244</v>
      </c>
      <c r="C863" s="34" t="s">
        <v>139</v>
      </c>
      <c r="D863" s="40" t="s">
        <v>89</v>
      </c>
      <c r="E863" s="237">
        <v>6.4516129032258063E-2</v>
      </c>
      <c r="F863" s="168">
        <v>1</v>
      </c>
      <c r="G863" s="34" t="s">
        <v>145</v>
      </c>
      <c r="H863" s="29">
        <v>2</v>
      </c>
      <c r="I863" s="9">
        <v>2</v>
      </c>
      <c r="J863" s="9">
        <v>2</v>
      </c>
      <c r="K863" s="9">
        <v>3</v>
      </c>
      <c r="L863" s="9">
        <v>1</v>
      </c>
      <c r="M863" s="9">
        <v>2</v>
      </c>
      <c r="N863" s="185">
        <f>IF( OR( ISBLANK(H863),ISBLANK(J863), ISBLANK(K863), ISBLANK(L863), ISBLANK(M863) ), "", 1.5*SQRT(   EXP(2.21*(H863-1)) + EXP(2.21*(J863-1)) + EXP(2.21*(K863-1)) + EXP(2.21*(L863-1)) + EXP(2.21*M863)   )/100*2.45 )</f>
        <v>0.50042652380814845</v>
      </c>
      <c r="O863" s="159">
        <f>IF( OR( ISBLANK(I863),ISBLANK(J863), ISBLANK(K863), ISBLANK(L863), ISBLANK(M863) ), "", 1.5*SQRT( EXP(2.21*(I863-1)) + EXP(2.21*(J863-1)) + EXP(2.21*(K863-1)) + EXP(2.21*(L863-1)) + EXP(2.21*M863)   )/100*2.45 )</f>
        <v>0.50042652380814845</v>
      </c>
      <c r="P863" s="34" t="s">
        <v>375</v>
      </c>
    </row>
    <row r="864" spans="1:16" s="16" customFormat="1">
      <c r="A864" s="34" t="s">
        <v>237</v>
      </c>
      <c r="B864" s="40" t="s">
        <v>244</v>
      </c>
      <c r="C864" s="34" t="s">
        <v>139</v>
      </c>
      <c r="D864" s="40" t="s">
        <v>90</v>
      </c>
      <c r="E864" s="237">
        <v>6.4516129032258063E-2</v>
      </c>
      <c r="F864" s="168">
        <v>1</v>
      </c>
      <c r="G864" s="34" t="s">
        <v>145</v>
      </c>
      <c r="H864" s="29">
        <v>2</v>
      </c>
      <c r="I864" s="9">
        <v>2</v>
      </c>
      <c r="J864" s="9">
        <v>2</v>
      </c>
      <c r="K864" s="9">
        <v>3</v>
      </c>
      <c r="L864" s="9">
        <v>1</v>
      </c>
      <c r="M864" s="9">
        <v>2</v>
      </c>
      <c r="N864" s="185">
        <f>IF( OR( ISBLANK(H864),ISBLANK(J864), ISBLANK(K864), ISBLANK(L864), ISBLANK(M864) ), "", 1.5*SQRT(   EXP(2.21*(H864-1)) + EXP(2.21*(J864-1)) + EXP(2.21*(K864-1)) + EXP(2.21*(L864-1)) + EXP(2.21*M864)   )/100*2.45 )</f>
        <v>0.50042652380814845</v>
      </c>
      <c r="O864" s="159">
        <f>IF( OR( ISBLANK(I864),ISBLANK(J864), ISBLANK(K864), ISBLANK(L864), ISBLANK(M864) ), "", 1.5*SQRT( EXP(2.21*(I864-1)) + EXP(2.21*(J864-1)) + EXP(2.21*(K864-1)) + EXP(2.21*(L864-1)) + EXP(2.21*M864)   )/100*2.45 )</f>
        <v>0.50042652380814845</v>
      </c>
      <c r="P864" s="34" t="s">
        <v>375</v>
      </c>
    </row>
    <row r="865" spans="1:868">
      <c r="A865" s="34" t="s">
        <v>237</v>
      </c>
      <c r="B865" s="40" t="s">
        <v>244</v>
      </c>
      <c r="C865" s="34" t="s">
        <v>139</v>
      </c>
      <c r="D865" s="40" t="s">
        <v>91</v>
      </c>
      <c r="E865" s="237">
        <v>6.4516129032258063E-2</v>
      </c>
      <c r="F865" s="168">
        <v>1</v>
      </c>
      <c r="G865" s="34" t="s">
        <v>145</v>
      </c>
      <c r="H865" s="29">
        <v>2</v>
      </c>
      <c r="I865" s="9">
        <v>2</v>
      </c>
      <c r="J865" s="9">
        <v>2</v>
      </c>
      <c r="K865" s="9">
        <v>3</v>
      </c>
      <c r="L865" s="9">
        <v>1</v>
      </c>
      <c r="M865" s="9">
        <v>2</v>
      </c>
      <c r="N865" s="185">
        <f>IF( OR( ISBLANK(H865),ISBLANK(J865), ISBLANK(K865), ISBLANK(L865), ISBLANK(M865) ), "", 1.5*SQRT(   EXP(2.21*(H865-1)) + EXP(2.21*(J865-1)) + EXP(2.21*(K865-1)) + EXP(2.21*(L865-1)) + EXP(2.21*M865)   )/100*2.45 )</f>
        <v>0.50042652380814845</v>
      </c>
      <c r="O865" s="159">
        <f>IF( OR( ISBLANK(I865),ISBLANK(J865), ISBLANK(K865), ISBLANK(L865), ISBLANK(M865) ), "", 1.5*SQRT( EXP(2.21*(I865-1)) + EXP(2.21*(J865-1)) + EXP(2.21*(K865-1)) + EXP(2.21*(L865-1)) + EXP(2.21*M865)   )/100*2.45 )</f>
        <v>0.50042652380814845</v>
      </c>
      <c r="P865" s="34" t="s">
        <v>375</v>
      </c>
    </row>
    <row r="866" spans="1:868">
      <c r="A866" s="34" t="s">
        <v>237</v>
      </c>
      <c r="B866" s="40" t="s">
        <v>223</v>
      </c>
      <c r="C866" s="34" t="s">
        <v>139</v>
      </c>
      <c r="D866" s="40" t="s">
        <v>139</v>
      </c>
      <c r="E866" s="237" t="s">
        <v>150</v>
      </c>
      <c r="F866" s="168">
        <v>1</v>
      </c>
      <c r="G866" s="34"/>
      <c r="H866" s="29"/>
      <c r="I866" s="9"/>
      <c r="J866" s="9"/>
      <c r="K866" s="9"/>
      <c r="L866" s="9"/>
      <c r="M866" s="9"/>
      <c r="N866" s="185" t="str">
        <f>IF( OR( ISBLANK(H866),ISBLANK(J866), ISBLANK(K866), ISBLANK(L866), ISBLANK(M866) ), "", 1.5*SQRT(   EXP(2.21*(H866-1)) + EXP(2.21*(J866-1)) + EXP(2.21*(K866-1)) + EXP(2.21*(L866-1)) + EXP(2.21*M866)   )/100*2.45 )</f>
        <v/>
      </c>
      <c r="O866" s="159" t="str">
        <f>IF( OR( ISBLANK(I866),ISBLANK(J866), ISBLANK(K866), ISBLANK(L866), ISBLANK(M866) ), "", 1.5*SQRT( EXP(2.21*(I866-1)) + EXP(2.21*(J866-1)) + EXP(2.21*(K866-1)) + EXP(2.21*(L866-1)) + EXP(2.21*M866)   )/100*2.45 )</f>
        <v/>
      </c>
      <c r="P866" s="34"/>
    </row>
    <row r="867" spans="1:868">
      <c r="A867" s="59" t="s">
        <v>423</v>
      </c>
      <c r="B867" s="336" t="s">
        <v>223</v>
      </c>
      <c r="C867" s="34" t="s">
        <v>139</v>
      </c>
      <c r="D867" s="40" t="s">
        <v>99</v>
      </c>
      <c r="E867" s="237">
        <v>0.15</v>
      </c>
      <c r="F867" s="40">
        <v>1</v>
      </c>
      <c r="G867" s="34" t="s">
        <v>412</v>
      </c>
      <c r="H867" s="29">
        <v>1</v>
      </c>
      <c r="I867" s="9">
        <v>2</v>
      </c>
      <c r="J867" s="9">
        <v>2</v>
      </c>
      <c r="K867" s="9">
        <v>1</v>
      </c>
      <c r="L867" s="9">
        <v>1</v>
      </c>
      <c r="M867" s="9">
        <v>1</v>
      </c>
      <c r="N867" s="185">
        <f>IF( OR( ISBLANK(H867),ISBLANK(J867), ISBLANK(K867), ISBLANK(L867), ISBLANK(M867) ), "", 1.5*SQRT(   EXP(2.21*(H867-1)) + EXP(2.21*(J867-1)) + EXP(2.21*(K867-1)) + EXP(2.21*(L867-1)) + EXP(2.21*M867)   )/100*2.45 )</f>
        <v>0.16933510251023262</v>
      </c>
      <c r="O867" s="159">
        <f>IF( OR( ISBLANK(I867),ISBLANK(J867), ISBLANK(K867), ISBLANK(L867), ISBLANK(M867) ), "", 1.5*SQRT( EXP(2.21*(I867-1)) + EXP(2.21*(J867-1)) + EXP(2.21*(K867-1)) + EXP(2.21*(L867-1)) + EXP(2.21*M867)   )/100*2.45 )</f>
        <v>0.19908580854301616</v>
      </c>
      <c r="P867" s="34" t="s">
        <v>851</v>
      </c>
    </row>
    <row r="868" spans="1:868">
      <c r="A868" s="59" t="s">
        <v>423</v>
      </c>
      <c r="B868" s="336" t="s">
        <v>500</v>
      </c>
      <c r="C868" s="34" t="s">
        <v>139</v>
      </c>
      <c r="D868" s="40" t="s">
        <v>99</v>
      </c>
      <c r="E868" s="237">
        <v>0</v>
      </c>
      <c r="F868" s="40">
        <v>2</v>
      </c>
      <c r="G868" s="34" t="s">
        <v>412</v>
      </c>
      <c r="H868" s="29">
        <v>1</v>
      </c>
      <c r="I868" s="9">
        <v>2</v>
      </c>
      <c r="J868" s="9">
        <v>2</v>
      </c>
      <c r="K868" s="9">
        <v>1</v>
      </c>
      <c r="L868" s="9">
        <v>1</v>
      </c>
      <c r="M868" s="9">
        <v>1</v>
      </c>
      <c r="N868" s="185">
        <f>IF( OR( ISBLANK(H868),ISBLANK(J868), ISBLANK(K868), ISBLANK(L868), ISBLANK(M868) ), "", 1.5*SQRT(   EXP(2.21*(H868-1)) + EXP(2.21*(J868-1)) + EXP(2.21*(K868-1)) + EXP(2.21*(L868-1)) + EXP(2.21*M868)   )/100*2.45 )</f>
        <v>0.16933510251023262</v>
      </c>
      <c r="O868" s="159">
        <f>IF( OR( ISBLANK(I868),ISBLANK(J868), ISBLANK(K868), ISBLANK(L868), ISBLANK(M868) ), "", 1.5*SQRT( EXP(2.21*(I868-1)) + EXP(2.21*(J868-1)) + EXP(2.21*(K868-1)) + EXP(2.21*(L868-1)) + EXP(2.21*M868)   )/100*2.45 )</f>
        <v>0.19908580854301616</v>
      </c>
      <c r="P868" s="34" t="s">
        <v>856</v>
      </c>
    </row>
    <row r="869" spans="1:868">
      <c r="A869" s="59" t="s">
        <v>423</v>
      </c>
      <c r="B869" s="336" t="s">
        <v>501</v>
      </c>
      <c r="C869" s="34" t="s">
        <v>139</v>
      </c>
      <c r="D869" s="40" t="s">
        <v>99</v>
      </c>
      <c r="E869" s="237">
        <v>0.85</v>
      </c>
      <c r="F869" s="40">
        <v>2</v>
      </c>
      <c r="G869" s="34" t="s">
        <v>412</v>
      </c>
      <c r="H869" s="29">
        <v>1</v>
      </c>
      <c r="I869" s="9">
        <v>2</v>
      </c>
      <c r="J869" s="9">
        <v>2</v>
      </c>
      <c r="K869" s="9">
        <v>1</v>
      </c>
      <c r="L869" s="9">
        <v>1</v>
      </c>
      <c r="M869" s="9">
        <v>1</v>
      </c>
      <c r="N869" s="185">
        <f>IF( OR( ISBLANK(H869),ISBLANK(J869), ISBLANK(K869), ISBLANK(L869), ISBLANK(M869) ), "", 1.5*SQRT(   EXP(2.21*(H869-1)) + EXP(2.21*(J869-1)) + EXP(2.21*(K869-1)) + EXP(2.21*(L869-1)) + EXP(2.21*M869)   )/100*2.45 )</f>
        <v>0.16933510251023262</v>
      </c>
      <c r="O869" s="159">
        <f>IF( OR( ISBLANK(I869),ISBLANK(J869), ISBLANK(K869), ISBLANK(L869), ISBLANK(M869) ), "", 1.5*SQRT( EXP(2.21*(I869-1)) + EXP(2.21*(J869-1)) + EXP(2.21*(K869-1)) + EXP(2.21*(L869-1)) + EXP(2.21*M869)   )/100*2.45 )</f>
        <v>0.19908580854301616</v>
      </c>
      <c r="P869" s="34" t="s">
        <v>857</v>
      </c>
    </row>
    <row r="870" spans="1:868">
      <c r="A870" s="59" t="s">
        <v>501</v>
      </c>
      <c r="B870" s="336" t="s">
        <v>503</v>
      </c>
      <c r="C870" s="34" t="s">
        <v>139</v>
      </c>
      <c r="D870" s="40" t="s">
        <v>99</v>
      </c>
      <c r="E870" s="237">
        <f>0.1*E864</f>
        <v>6.4516129032258064E-3</v>
      </c>
      <c r="F870" s="40">
        <v>2</v>
      </c>
      <c r="G870" s="34" t="s">
        <v>412</v>
      </c>
      <c r="H870" s="29">
        <v>1</v>
      </c>
      <c r="I870" s="9">
        <v>2</v>
      </c>
      <c r="J870" s="9">
        <v>2</v>
      </c>
      <c r="K870" s="9">
        <v>1</v>
      </c>
      <c r="L870" s="9">
        <v>1</v>
      </c>
      <c r="M870" s="9">
        <v>1</v>
      </c>
      <c r="N870" s="185">
        <f>IF( OR( ISBLANK(H870),ISBLANK(J870), ISBLANK(K870), ISBLANK(L870), ISBLANK(M870) ), "", 1.5*SQRT(   EXP(2.21*(H870-1)) + EXP(2.21*(J870-1)) + EXP(2.21*(K870-1)) + EXP(2.21*(L870-1)) + EXP(2.21*M870)   )/100*2.45 )</f>
        <v>0.16933510251023262</v>
      </c>
      <c r="O870" s="159">
        <f>IF( OR( ISBLANK(I870),ISBLANK(J870), ISBLANK(K870), ISBLANK(L870), ISBLANK(M870) ), "", 1.5*SQRT( EXP(2.21*(I870-1)) + EXP(2.21*(J870-1)) + EXP(2.21*(K870-1)) + EXP(2.21*(L870-1)) + EXP(2.21*M870)   )/100*2.45 )</f>
        <v>0.19908580854301616</v>
      </c>
      <c r="P870" s="34" t="s">
        <v>835</v>
      </c>
    </row>
    <row r="871" spans="1:868">
      <c r="A871" s="59" t="s">
        <v>501</v>
      </c>
      <c r="B871" s="336" t="s">
        <v>444</v>
      </c>
      <c r="C871" s="34" t="s">
        <v>139</v>
      </c>
      <c r="D871" s="40" t="s">
        <v>99</v>
      </c>
      <c r="E871" s="237" t="s">
        <v>150</v>
      </c>
      <c r="F871" s="40">
        <v>1</v>
      </c>
      <c r="G871" s="34" t="s">
        <v>412</v>
      </c>
      <c r="H871" s="29"/>
      <c r="I871" s="9"/>
      <c r="J871" s="9"/>
      <c r="K871" s="9"/>
      <c r="L871" s="9"/>
      <c r="M871" s="9"/>
      <c r="N871" s="185" t="str">
        <f>IF( OR( ISBLANK(H871),ISBLANK(J871), ISBLANK(K871), ISBLANK(L871), ISBLANK(M871) ), "", 1.5*SQRT(   EXP(2.21*(H871-1)) + EXP(2.21*(J871-1)) + EXP(2.21*(K871-1)) + EXP(2.21*(L871-1)) + EXP(2.21*M871)   )/100*2.45 )</f>
        <v/>
      </c>
      <c r="O871" s="159" t="str">
        <f>IF( OR( ISBLANK(I871),ISBLANK(J871), ISBLANK(K871), ISBLANK(L871), ISBLANK(M871) ), "", 1.5*SQRT( EXP(2.21*(I871-1)) + EXP(2.21*(J871-1)) + EXP(2.21*(K871-1)) + EXP(2.21*(L871-1)) + EXP(2.21*M871)   )/100*2.45 )</f>
        <v/>
      </c>
      <c r="P871" s="34" t="s">
        <v>1938</v>
      </c>
    </row>
    <row r="872" spans="1:868">
      <c r="A872" s="59" t="s">
        <v>444</v>
      </c>
      <c r="B872" s="336" t="s">
        <v>327</v>
      </c>
      <c r="C872" s="34" t="s">
        <v>139</v>
      </c>
      <c r="D872" s="40" t="s">
        <v>99</v>
      </c>
      <c r="E872" s="237" t="s">
        <v>150</v>
      </c>
      <c r="F872" s="40">
        <v>1</v>
      </c>
      <c r="G872" s="34" t="s">
        <v>412</v>
      </c>
      <c r="H872" s="29"/>
      <c r="I872" s="9"/>
      <c r="J872" s="9"/>
      <c r="K872" s="9"/>
      <c r="L872" s="9"/>
      <c r="M872" s="9"/>
      <c r="N872" s="185" t="str">
        <f>IF( OR( ISBLANK(H872),ISBLANK(J872), ISBLANK(K872), ISBLANK(L872), ISBLANK(M872) ), "", 1.5*SQRT(   EXP(2.21*(H872-1)) + EXP(2.21*(J872-1)) + EXP(2.21*(K872-1)) + EXP(2.21*(L872-1)) + EXP(2.21*M872)   )/100*2.45 )</f>
        <v/>
      </c>
      <c r="O872" s="159" t="str">
        <f>IF( OR( ISBLANK(I872),ISBLANK(J872), ISBLANK(K872), ISBLANK(L872), ISBLANK(M872) ), "", 1.5*SQRT( EXP(2.21*(I872-1)) + EXP(2.21*(J872-1)) + EXP(2.21*(K872-1)) + EXP(2.21*(L872-1)) + EXP(2.21*M872)   )/100*2.45 )</f>
        <v/>
      </c>
      <c r="P872" s="34" t="s">
        <v>1939</v>
      </c>
    </row>
    <row r="873" spans="1:868">
      <c r="A873" s="59" t="s">
        <v>444</v>
      </c>
      <c r="B873" s="336" t="s">
        <v>228</v>
      </c>
      <c r="C873" s="34" t="s">
        <v>139</v>
      </c>
      <c r="D873" s="40" t="s">
        <v>99</v>
      </c>
      <c r="E873" s="237">
        <v>6.4000000000000001E-2</v>
      </c>
      <c r="F873" s="40">
        <v>2</v>
      </c>
      <c r="G873" s="34" t="s">
        <v>412</v>
      </c>
      <c r="H873" s="29">
        <v>1</v>
      </c>
      <c r="I873" s="9">
        <v>2</v>
      </c>
      <c r="J873" s="9">
        <v>2</v>
      </c>
      <c r="K873" s="9">
        <v>1</v>
      </c>
      <c r="L873" s="9">
        <v>1</v>
      </c>
      <c r="M873" s="9">
        <v>1</v>
      </c>
      <c r="N873" s="185">
        <f>IF( OR( ISBLANK(H873),ISBLANK(J873), ISBLANK(K873), ISBLANK(L873), ISBLANK(M873) ), "", 1.5*SQRT(   EXP(2.21*(H873-1)) + EXP(2.21*(J873-1)) + EXP(2.21*(K873-1)) + EXP(2.21*(L873-1)) + EXP(2.21*M873)   )/100*2.45 )</f>
        <v>0.16933510251023262</v>
      </c>
      <c r="O873" s="159">
        <f>IF( OR( ISBLANK(I873),ISBLANK(J873), ISBLANK(K873), ISBLANK(L873), ISBLANK(M873) ), "", 1.5*SQRT( EXP(2.21*(I873-1)) + EXP(2.21*(J873-1)) + EXP(2.21*(K873-1)) + EXP(2.21*(L873-1)) + EXP(2.21*M873)   )/100*2.45 )</f>
        <v>0.19908580854301616</v>
      </c>
      <c r="P873" s="34" t="s">
        <v>852</v>
      </c>
    </row>
    <row r="874" spans="1:868">
      <c r="A874" s="59" t="s">
        <v>503</v>
      </c>
      <c r="B874" s="336" t="s">
        <v>228</v>
      </c>
      <c r="C874" s="34" t="s">
        <v>139</v>
      </c>
      <c r="D874" s="40" t="s">
        <v>99</v>
      </c>
      <c r="E874" s="237">
        <v>1</v>
      </c>
      <c r="F874" s="40">
        <v>2</v>
      </c>
      <c r="G874" s="34" t="s">
        <v>412</v>
      </c>
      <c r="H874" s="29">
        <v>1</v>
      </c>
      <c r="I874" s="9">
        <v>2</v>
      </c>
      <c r="J874" s="9">
        <v>2</v>
      </c>
      <c r="K874" s="9">
        <v>1</v>
      </c>
      <c r="L874" s="9">
        <v>1</v>
      </c>
      <c r="M874" s="9">
        <v>1</v>
      </c>
      <c r="N874" s="185">
        <f>IF( OR( ISBLANK(H874),ISBLANK(J874), ISBLANK(K874), ISBLANK(L874), ISBLANK(M874) ), "", 1.5*SQRT(   EXP(2.21*(H874-1)) + EXP(2.21*(J874-1)) + EXP(2.21*(K874-1)) + EXP(2.21*(L874-1)) + EXP(2.21*M874)   )/100*2.45 )</f>
        <v>0.16933510251023262</v>
      </c>
      <c r="O874" s="159">
        <f>IF( OR( ISBLANK(I874),ISBLANK(J874), ISBLANK(K874), ISBLANK(L874), ISBLANK(M874) ), "", 1.5*SQRT( EXP(2.21*(I874-1)) + EXP(2.21*(J874-1)) + EXP(2.21*(K874-1)) + EXP(2.21*(L874-1)) + EXP(2.21*M874)   )/100*2.45 )</f>
        <v>0.19908580854301616</v>
      </c>
      <c r="P874" s="34" t="s">
        <v>836</v>
      </c>
    </row>
    <row r="875" spans="1:868">
      <c r="A875" s="59" t="s">
        <v>500</v>
      </c>
      <c r="B875" s="336" t="s">
        <v>502</v>
      </c>
      <c r="C875" s="34" t="s">
        <v>139</v>
      </c>
      <c r="D875" s="40" t="s">
        <v>99</v>
      </c>
      <c r="E875" s="237">
        <v>0.03</v>
      </c>
      <c r="F875" s="40">
        <v>2</v>
      </c>
      <c r="G875" s="34" t="s">
        <v>412</v>
      </c>
      <c r="H875" s="29">
        <v>1</v>
      </c>
      <c r="I875" s="9">
        <v>2</v>
      </c>
      <c r="J875" s="9">
        <v>2</v>
      </c>
      <c r="K875" s="9">
        <v>1</v>
      </c>
      <c r="L875" s="9">
        <v>1</v>
      </c>
      <c r="M875" s="9">
        <v>1</v>
      </c>
      <c r="N875" s="185">
        <f>IF( OR( ISBLANK(H875),ISBLANK(J875), ISBLANK(K875), ISBLANK(L875), ISBLANK(M875) ), "", 1.5*SQRT(   EXP(2.21*(H875-1)) + EXP(2.21*(J875-1)) + EXP(2.21*(K875-1)) + EXP(2.21*(L875-1)) + EXP(2.21*M875)   )/100*2.45 )</f>
        <v>0.16933510251023262</v>
      </c>
      <c r="O875" s="159">
        <f>IF( OR( ISBLANK(I875),ISBLANK(J875), ISBLANK(K875), ISBLANK(L875), ISBLANK(M875) ), "", 1.5*SQRT( EXP(2.21*(I875-1)) + EXP(2.21*(J875-1)) + EXP(2.21*(K875-1)) + EXP(2.21*(L875-1)) + EXP(2.21*M875)   )/100*2.45 )</f>
        <v>0.19908580854301616</v>
      </c>
      <c r="P875" s="34" t="s">
        <v>834</v>
      </c>
    </row>
    <row r="876" spans="1:868">
      <c r="A876" s="59" t="s">
        <v>500</v>
      </c>
      <c r="B876" s="336" t="s">
        <v>451</v>
      </c>
      <c r="C876" s="34" t="s">
        <v>139</v>
      </c>
      <c r="D876" s="40" t="s">
        <v>99</v>
      </c>
      <c r="E876" s="237" t="s">
        <v>150</v>
      </c>
      <c r="F876" s="40">
        <v>1</v>
      </c>
      <c r="G876" s="34" t="s">
        <v>412</v>
      </c>
      <c r="H876" s="29"/>
      <c r="I876" s="9"/>
      <c r="J876" s="9"/>
      <c r="K876" s="9"/>
      <c r="L876" s="9"/>
      <c r="M876" s="9"/>
      <c r="N876" s="185" t="str">
        <f>IF( OR( ISBLANK(H876),ISBLANK(J876), ISBLANK(K876), ISBLANK(L876), ISBLANK(M876) ), "", 1.5*SQRT(   EXP(2.21*(H876-1)) + EXP(2.21*(J876-1)) + EXP(2.21*(K876-1)) + EXP(2.21*(L876-1)) + EXP(2.21*M876)   )/100*2.45 )</f>
        <v/>
      </c>
      <c r="O876" s="159" t="str">
        <f>IF( OR( ISBLANK(I876),ISBLANK(J876), ISBLANK(K876), ISBLANK(L876), ISBLANK(M876) ), "", 1.5*SQRT( EXP(2.21*(I876-1)) + EXP(2.21*(J876-1)) + EXP(2.21*(K876-1)) + EXP(2.21*(L876-1)) + EXP(2.21*M876)   )/100*2.45 )</f>
        <v/>
      </c>
      <c r="P876" s="34" t="s">
        <v>1938</v>
      </c>
    </row>
    <row r="877" spans="1:868" s="7" customFormat="1">
      <c r="A877" s="59" t="s">
        <v>451</v>
      </c>
      <c r="B877" s="336" t="s">
        <v>327</v>
      </c>
      <c r="C877" s="34" t="s">
        <v>139</v>
      </c>
      <c r="D877" s="40" t="s">
        <v>99</v>
      </c>
      <c r="E877" s="237" t="s">
        <v>150</v>
      </c>
      <c r="F877" s="40">
        <v>1</v>
      </c>
      <c r="G877" s="34" t="s">
        <v>412</v>
      </c>
      <c r="H877" s="29"/>
      <c r="I877" s="9"/>
      <c r="J877" s="9"/>
      <c r="K877" s="9"/>
      <c r="L877" s="9"/>
      <c r="M877" s="9"/>
      <c r="N877" s="185" t="str">
        <f>IF( OR( ISBLANK(H877),ISBLANK(J877), ISBLANK(K877), ISBLANK(L877), ISBLANK(M877) ), "", 1.5*SQRT(   EXP(2.21*(H877-1)) + EXP(2.21*(J877-1)) + EXP(2.21*(K877-1)) + EXP(2.21*(L877-1)) + EXP(2.21*M877)   )/100*2.45 )</f>
        <v/>
      </c>
      <c r="O877" s="159" t="str">
        <f>IF( OR( ISBLANK(I877),ISBLANK(J877), ISBLANK(K877), ISBLANK(L877), ISBLANK(M877) ), "", 1.5*SQRT( EXP(2.21*(I877-1)) + EXP(2.21*(J877-1)) + EXP(2.21*(K877-1)) + EXP(2.21*(L877-1)) + EXP(2.21*M877)   )/100*2.45 )</f>
        <v/>
      </c>
      <c r="P877" s="34"/>
      <c r="Q877" s="803"/>
      <c r="R877" s="803"/>
      <c r="S877" s="803"/>
      <c r="T877" s="803"/>
      <c r="U877" s="803"/>
      <c r="V877" s="803"/>
      <c r="W877" s="803"/>
      <c r="X877" s="803"/>
      <c r="Y877" s="803"/>
      <c r="Z877" s="803"/>
      <c r="AA877" s="803"/>
      <c r="AB877" s="803"/>
      <c r="AC877" s="803"/>
      <c r="AD877" s="803"/>
      <c r="AE877" s="803"/>
      <c r="AF877" s="803"/>
      <c r="AG877" s="803"/>
      <c r="AH877" s="803"/>
      <c r="AI877" s="803"/>
      <c r="AJ877" s="803"/>
      <c r="AK877" s="803"/>
      <c r="AL877" s="803"/>
      <c r="AM877" s="803"/>
      <c r="AN877" s="803"/>
      <c r="AO877" s="803"/>
      <c r="AP877" s="803"/>
      <c r="AQ877" s="803"/>
      <c r="AR877" s="803"/>
      <c r="AS877" s="803"/>
      <c r="AT877" s="803"/>
      <c r="AU877" s="803"/>
      <c r="AV877" s="803"/>
      <c r="AW877" s="803"/>
      <c r="AX877" s="803"/>
      <c r="AY877" s="803"/>
      <c r="AZ877" s="803"/>
      <c r="BA877" s="803"/>
      <c r="BB877" s="803"/>
      <c r="BC877" s="803"/>
      <c r="BD877" s="803"/>
      <c r="BE877" s="803"/>
      <c r="BF877" s="803"/>
      <c r="BG877" s="803"/>
      <c r="BH877" s="803"/>
      <c r="BI877" s="803"/>
      <c r="BJ877" s="803"/>
      <c r="BK877" s="803"/>
      <c r="BL877" s="803"/>
      <c r="BM877" s="803"/>
      <c r="BN877" s="803"/>
      <c r="BO877" s="803"/>
      <c r="BP877" s="803"/>
      <c r="BQ877" s="803"/>
      <c r="BR877" s="803"/>
      <c r="BS877" s="803"/>
      <c r="BT877" s="803"/>
      <c r="BU877" s="803"/>
      <c r="BV877" s="803"/>
      <c r="BW877" s="803"/>
      <c r="BX877" s="803"/>
      <c r="BY877" s="803"/>
      <c r="BZ877" s="803"/>
      <c r="CA877" s="803"/>
      <c r="CB877" s="803"/>
      <c r="CC877" s="803"/>
      <c r="CD877" s="803"/>
      <c r="CE877" s="803"/>
      <c r="CF877" s="803"/>
      <c r="CG877" s="803"/>
      <c r="CH877" s="803"/>
      <c r="CI877" s="803"/>
      <c r="CJ877" s="803"/>
      <c r="CK877" s="803"/>
      <c r="CL877" s="803"/>
      <c r="CM877" s="803"/>
      <c r="CN877" s="803"/>
      <c r="CO877" s="803"/>
      <c r="CP877" s="803"/>
      <c r="CQ877" s="803"/>
      <c r="CR877" s="803"/>
      <c r="CS877" s="803"/>
      <c r="CT877" s="803"/>
      <c r="CU877" s="803"/>
      <c r="CV877" s="803"/>
      <c r="CW877" s="803"/>
      <c r="CX877" s="803"/>
      <c r="CY877" s="803"/>
      <c r="CZ877" s="803"/>
      <c r="DA877" s="803"/>
      <c r="DB877" s="803"/>
      <c r="DC877" s="803"/>
      <c r="DD877" s="803"/>
      <c r="DE877" s="803"/>
      <c r="DF877" s="803"/>
      <c r="DG877" s="803"/>
      <c r="DH877" s="803"/>
      <c r="DI877" s="803"/>
      <c r="DJ877" s="803"/>
      <c r="DK877" s="803"/>
      <c r="DL877" s="803"/>
      <c r="DM877" s="803"/>
      <c r="DN877" s="803"/>
      <c r="DO877" s="803"/>
      <c r="DP877" s="803"/>
      <c r="DQ877" s="803"/>
      <c r="DR877" s="803"/>
      <c r="DS877" s="803"/>
      <c r="DT877" s="803"/>
      <c r="DU877" s="803"/>
      <c r="DV877" s="803"/>
      <c r="DW877" s="803"/>
      <c r="DX877" s="803"/>
      <c r="DY877" s="803"/>
      <c r="DZ877" s="803"/>
      <c r="EA877" s="803"/>
      <c r="EB877" s="803"/>
      <c r="EC877" s="803"/>
      <c r="ED877" s="803"/>
      <c r="EE877" s="803"/>
      <c r="EF877" s="803"/>
      <c r="EG877" s="803"/>
      <c r="EH877" s="803"/>
      <c r="EI877" s="803"/>
      <c r="EJ877" s="803"/>
      <c r="EK877" s="803"/>
      <c r="EL877" s="803"/>
      <c r="EM877" s="803"/>
      <c r="EN877" s="803"/>
      <c r="EO877" s="803"/>
      <c r="EP877" s="803"/>
      <c r="EQ877" s="803"/>
      <c r="ER877" s="803"/>
      <c r="ES877" s="803"/>
      <c r="ET877" s="803"/>
      <c r="EU877" s="803"/>
      <c r="EV877" s="803"/>
      <c r="EW877" s="803"/>
      <c r="EX877" s="803"/>
      <c r="EY877" s="803"/>
      <c r="EZ877" s="803"/>
      <c r="FA877" s="803"/>
      <c r="FB877" s="803"/>
      <c r="FC877" s="803"/>
      <c r="FD877" s="803"/>
      <c r="FE877" s="803"/>
      <c r="FF877" s="803"/>
      <c r="FG877" s="803"/>
      <c r="FH877" s="803"/>
      <c r="FI877" s="803"/>
      <c r="FJ877" s="803"/>
      <c r="FK877" s="803"/>
      <c r="FL877" s="803"/>
      <c r="FM877" s="803"/>
      <c r="FN877" s="803"/>
      <c r="FO877" s="803"/>
      <c r="FP877" s="803"/>
      <c r="FQ877" s="803"/>
      <c r="FR877" s="803"/>
      <c r="FS877" s="803"/>
      <c r="FT877" s="803"/>
      <c r="FU877" s="803"/>
      <c r="FV877" s="803"/>
      <c r="FW877" s="803"/>
      <c r="FX877" s="803"/>
      <c r="FY877" s="803"/>
      <c r="FZ877" s="803"/>
      <c r="GA877" s="803"/>
      <c r="GB877" s="803"/>
      <c r="GC877" s="803"/>
      <c r="GD877" s="803"/>
      <c r="GE877" s="803"/>
      <c r="GF877" s="803"/>
      <c r="GG877" s="803"/>
      <c r="GH877" s="803"/>
      <c r="GI877" s="803"/>
      <c r="GJ877" s="803"/>
      <c r="GK877" s="803"/>
      <c r="GL877" s="803"/>
      <c r="GM877" s="803"/>
      <c r="GN877" s="803"/>
      <c r="GO877" s="803"/>
      <c r="GP877" s="803"/>
      <c r="GQ877" s="803"/>
      <c r="GR877" s="803"/>
      <c r="GS877" s="803"/>
      <c r="GT877" s="803"/>
      <c r="GU877" s="803"/>
      <c r="GV877" s="803"/>
      <c r="GW877" s="803"/>
      <c r="GX877" s="803"/>
      <c r="GY877" s="803"/>
      <c r="GZ877" s="803"/>
      <c r="HA877" s="803"/>
      <c r="HB877" s="803"/>
      <c r="HC877" s="803"/>
      <c r="HD877" s="803"/>
      <c r="HE877" s="803"/>
      <c r="HF877" s="803"/>
      <c r="HG877" s="803"/>
      <c r="HH877" s="803"/>
      <c r="HI877" s="803"/>
      <c r="HJ877" s="803"/>
      <c r="HK877" s="803"/>
      <c r="HL877" s="803"/>
      <c r="HM877" s="803"/>
      <c r="HN877" s="803"/>
      <c r="HO877" s="803"/>
      <c r="HP877" s="803"/>
      <c r="HQ877" s="803"/>
      <c r="HR877" s="803"/>
      <c r="HS877" s="803"/>
      <c r="HT877" s="803"/>
      <c r="HU877" s="803"/>
      <c r="HV877" s="803"/>
      <c r="HW877" s="803"/>
      <c r="HX877" s="803"/>
      <c r="HY877" s="803"/>
      <c r="HZ877" s="803"/>
      <c r="IA877" s="803"/>
      <c r="IB877" s="803"/>
      <c r="IC877" s="803"/>
      <c r="ID877" s="803"/>
      <c r="IE877" s="803"/>
      <c r="IF877" s="803"/>
      <c r="IG877" s="803"/>
      <c r="IH877" s="803"/>
      <c r="II877" s="803"/>
      <c r="IJ877" s="803"/>
      <c r="IK877" s="803"/>
      <c r="IL877" s="803"/>
      <c r="IM877" s="803"/>
      <c r="IN877" s="803"/>
      <c r="IO877" s="803"/>
      <c r="IP877" s="803"/>
      <c r="IQ877" s="803"/>
      <c r="IR877" s="803"/>
      <c r="IS877" s="803"/>
      <c r="IT877" s="803"/>
      <c r="IU877" s="803"/>
      <c r="IV877" s="803"/>
      <c r="IW877" s="803"/>
      <c r="IX877" s="803"/>
      <c r="IY877" s="803"/>
      <c r="IZ877" s="803"/>
      <c r="JA877" s="803"/>
      <c r="JB877" s="803"/>
      <c r="JC877" s="803"/>
      <c r="JD877" s="803"/>
      <c r="JE877" s="803"/>
      <c r="JF877" s="803"/>
      <c r="JG877" s="803"/>
      <c r="JH877" s="803"/>
      <c r="JI877" s="803"/>
      <c r="JJ877" s="803"/>
      <c r="JK877" s="803"/>
      <c r="JL877" s="803"/>
      <c r="JM877" s="803"/>
      <c r="JN877" s="803"/>
      <c r="JO877" s="803"/>
      <c r="JP877" s="803"/>
      <c r="JQ877" s="803"/>
      <c r="JR877" s="803"/>
      <c r="JS877" s="803"/>
      <c r="JT877" s="803"/>
      <c r="JU877" s="803"/>
      <c r="JV877" s="803"/>
      <c r="JW877" s="803"/>
      <c r="JX877" s="803"/>
      <c r="JY877" s="803"/>
      <c r="JZ877" s="803"/>
      <c r="KA877" s="803"/>
      <c r="KB877" s="803"/>
      <c r="KC877" s="803"/>
      <c r="KD877" s="803"/>
      <c r="KE877" s="803"/>
      <c r="KF877" s="803"/>
      <c r="KG877" s="803"/>
      <c r="KH877" s="803"/>
      <c r="KI877" s="803"/>
      <c r="KJ877" s="803"/>
      <c r="KK877" s="803"/>
      <c r="KL877" s="803"/>
      <c r="KM877" s="803"/>
      <c r="KN877" s="803"/>
      <c r="KO877" s="803"/>
      <c r="KP877" s="803"/>
      <c r="KQ877" s="803"/>
      <c r="KR877" s="803"/>
      <c r="KS877" s="803"/>
      <c r="KT877" s="803"/>
      <c r="KU877" s="803"/>
      <c r="KV877" s="803"/>
      <c r="KW877" s="803"/>
      <c r="KX877" s="803"/>
      <c r="KY877" s="803"/>
      <c r="KZ877" s="803"/>
      <c r="LA877" s="803"/>
      <c r="LB877" s="803"/>
      <c r="LC877" s="803"/>
      <c r="LD877" s="803"/>
      <c r="LE877" s="803"/>
      <c r="LF877" s="803"/>
      <c r="LG877" s="803"/>
      <c r="LH877" s="803"/>
      <c r="LI877" s="803"/>
      <c r="LJ877" s="803"/>
      <c r="LK877" s="803"/>
      <c r="LL877" s="803"/>
      <c r="LM877" s="803"/>
      <c r="LN877" s="803"/>
      <c r="LO877" s="803"/>
      <c r="LP877" s="803"/>
      <c r="LQ877" s="803"/>
      <c r="LR877" s="803"/>
      <c r="LS877" s="803"/>
      <c r="LT877" s="803"/>
      <c r="LU877" s="803"/>
      <c r="LV877" s="803"/>
      <c r="LW877" s="803"/>
      <c r="LX877" s="803"/>
      <c r="LY877" s="803"/>
      <c r="LZ877" s="803"/>
      <c r="MA877" s="803"/>
      <c r="MB877" s="803"/>
      <c r="MC877" s="803"/>
      <c r="MD877" s="803"/>
      <c r="ME877" s="803"/>
      <c r="MF877" s="803"/>
      <c r="MG877" s="803"/>
      <c r="MH877" s="803"/>
      <c r="MI877" s="803"/>
      <c r="MJ877" s="803"/>
      <c r="MK877" s="803"/>
      <c r="ML877" s="803"/>
      <c r="MM877" s="803"/>
      <c r="MN877" s="803"/>
      <c r="MO877" s="803"/>
      <c r="MP877" s="803"/>
      <c r="MQ877" s="803"/>
      <c r="MR877" s="803"/>
      <c r="MS877" s="803"/>
      <c r="MT877" s="803"/>
      <c r="MU877" s="803"/>
      <c r="MV877" s="803"/>
      <c r="MW877" s="803"/>
      <c r="MX877" s="803"/>
      <c r="MY877" s="803"/>
      <c r="MZ877" s="803"/>
      <c r="NA877" s="803"/>
      <c r="NB877" s="803"/>
      <c r="NC877" s="803"/>
      <c r="ND877" s="803"/>
      <c r="NE877" s="803"/>
      <c r="NF877" s="803"/>
      <c r="NG877" s="803"/>
      <c r="NH877" s="803"/>
      <c r="NI877" s="803"/>
      <c r="NJ877" s="803"/>
      <c r="NK877" s="803"/>
      <c r="NL877" s="803"/>
      <c r="NM877" s="803"/>
      <c r="NN877" s="803"/>
      <c r="NO877" s="803"/>
      <c r="NP877" s="803"/>
      <c r="NQ877" s="803"/>
      <c r="NR877" s="803"/>
      <c r="NS877" s="803"/>
      <c r="NT877" s="803"/>
      <c r="NU877" s="803"/>
      <c r="NV877" s="803"/>
      <c r="NW877" s="803"/>
      <c r="NX877" s="803"/>
      <c r="NY877" s="803"/>
      <c r="NZ877" s="803"/>
      <c r="OA877" s="803"/>
      <c r="OB877" s="803"/>
      <c r="OC877" s="803"/>
      <c r="OD877" s="803"/>
      <c r="OE877" s="803"/>
      <c r="OF877" s="803"/>
      <c r="OG877" s="803"/>
      <c r="OH877" s="803"/>
      <c r="OI877" s="803"/>
      <c r="OJ877" s="803"/>
      <c r="OK877" s="803"/>
      <c r="OL877" s="803"/>
      <c r="OM877" s="803"/>
      <c r="ON877" s="803"/>
      <c r="OO877" s="803"/>
      <c r="OP877" s="803"/>
      <c r="OQ877" s="803"/>
      <c r="OR877" s="803"/>
      <c r="OS877" s="803"/>
      <c r="OT877" s="803"/>
      <c r="OU877" s="803"/>
      <c r="OV877" s="803"/>
      <c r="OW877" s="803"/>
      <c r="OX877" s="803"/>
      <c r="OY877" s="803"/>
      <c r="OZ877" s="803"/>
      <c r="PA877" s="803"/>
      <c r="PB877" s="803"/>
      <c r="PC877" s="803"/>
      <c r="PD877" s="803"/>
      <c r="PE877" s="803"/>
      <c r="PF877" s="803"/>
      <c r="PG877" s="803"/>
      <c r="PH877" s="803"/>
      <c r="PI877" s="803"/>
      <c r="PJ877" s="803"/>
      <c r="PK877" s="803"/>
      <c r="PL877" s="803"/>
      <c r="PM877" s="803"/>
      <c r="PN877" s="803"/>
      <c r="PO877" s="803"/>
      <c r="PP877" s="803"/>
      <c r="PQ877" s="803"/>
      <c r="PR877" s="803"/>
      <c r="PS877" s="803"/>
      <c r="PT877" s="803"/>
      <c r="PU877" s="803"/>
      <c r="PV877" s="803"/>
      <c r="PW877" s="803"/>
      <c r="PX877" s="803"/>
      <c r="PY877" s="803"/>
      <c r="PZ877" s="803"/>
      <c r="QA877" s="803"/>
      <c r="QB877" s="803"/>
      <c r="QC877" s="803"/>
      <c r="QD877" s="803"/>
      <c r="QE877" s="803"/>
      <c r="QF877" s="803"/>
      <c r="QG877" s="803"/>
      <c r="QH877" s="803"/>
      <c r="QI877" s="803"/>
      <c r="QJ877" s="803"/>
      <c r="QK877" s="803"/>
      <c r="QL877" s="803"/>
      <c r="QM877" s="803"/>
      <c r="QN877" s="803"/>
      <c r="QO877" s="803"/>
      <c r="QP877" s="803"/>
      <c r="QQ877" s="803"/>
      <c r="QR877" s="803"/>
      <c r="QS877" s="803"/>
      <c r="QT877" s="803"/>
      <c r="QU877" s="803"/>
      <c r="QV877" s="803"/>
      <c r="QW877" s="803"/>
      <c r="QX877" s="803"/>
      <c r="QY877" s="803"/>
      <c r="QZ877" s="803"/>
      <c r="RA877" s="803"/>
      <c r="RB877" s="803"/>
      <c r="RC877" s="803"/>
      <c r="RD877" s="803"/>
      <c r="RE877" s="803"/>
      <c r="RF877" s="803"/>
      <c r="RG877" s="803"/>
      <c r="RH877" s="803"/>
      <c r="RI877" s="803"/>
      <c r="RJ877" s="803"/>
      <c r="RK877" s="803"/>
      <c r="RL877" s="803"/>
      <c r="RM877" s="803"/>
      <c r="RN877" s="803"/>
      <c r="RO877" s="803"/>
      <c r="RP877" s="803"/>
      <c r="RQ877" s="803"/>
      <c r="RR877" s="803"/>
      <c r="RS877" s="803"/>
      <c r="RT877" s="803"/>
      <c r="RU877" s="803"/>
      <c r="RV877" s="803"/>
      <c r="RW877" s="803"/>
      <c r="RX877" s="803"/>
      <c r="RY877" s="803"/>
      <c r="RZ877" s="803"/>
      <c r="SA877" s="803"/>
      <c r="SB877" s="803"/>
      <c r="SC877" s="803"/>
      <c r="SD877" s="803"/>
      <c r="SE877" s="803"/>
      <c r="SF877" s="803"/>
      <c r="SG877" s="803"/>
      <c r="SH877" s="803"/>
      <c r="SI877" s="803"/>
      <c r="SJ877" s="803"/>
      <c r="SK877" s="803"/>
      <c r="SL877" s="803"/>
      <c r="SM877" s="803"/>
      <c r="SN877" s="803"/>
      <c r="SO877" s="803"/>
      <c r="SP877" s="803"/>
      <c r="SQ877" s="803"/>
      <c r="SR877" s="803"/>
      <c r="SS877" s="803"/>
      <c r="ST877" s="803"/>
      <c r="SU877" s="803"/>
      <c r="SV877" s="803"/>
      <c r="SW877" s="803"/>
      <c r="SX877" s="803"/>
      <c r="SY877" s="803"/>
      <c r="SZ877" s="803"/>
      <c r="TA877" s="803"/>
      <c r="TB877" s="803"/>
      <c r="TC877" s="803"/>
      <c r="TD877" s="803"/>
      <c r="TE877" s="803"/>
      <c r="TF877" s="803"/>
      <c r="TG877" s="803"/>
      <c r="TH877" s="803"/>
      <c r="TI877" s="803"/>
      <c r="TJ877" s="803"/>
      <c r="TK877" s="803"/>
      <c r="TL877" s="803"/>
      <c r="TM877" s="803"/>
      <c r="TN877" s="803"/>
      <c r="TO877" s="803"/>
      <c r="TP877" s="803"/>
      <c r="TQ877" s="803"/>
      <c r="TR877" s="803"/>
      <c r="TS877" s="803"/>
      <c r="TT877" s="803"/>
      <c r="TU877" s="803"/>
      <c r="TV877" s="803"/>
      <c r="TW877" s="803"/>
      <c r="TX877" s="803"/>
      <c r="TY877" s="803"/>
      <c r="TZ877" s="803"/>
      <c r="UA877" s="803"/>
      <c r="UB877" s="803"/>
      <c r="UC877" s="803"/>
      <c r="UD877" s="803"/>
      <c r="UE877" s="803"/>
      <c r="UF877" s="803"/>
      <c r="UG877" s="803"/>
      <c r="UH877" s="803"/>
      <c r="UI877" s="803"/>
      <c r="UJ877" s="803"/>
      <c r="UK877" s="803"/>
      <c r="UL877" s="803"/>
      <c r="UM877" s="803"/>
      <c r="UN877" s="803"/>
      <c r="UO877" s="803"/>
      <c r="UP877" s="803"/>
      <c r="UQ877" s="803"/>
      <c r="UR877" s="803"/>
      <c r="US877" s="803"/>
      <c r="UT877" s="803"/>
      <c r="UU877" s="803"/>
      <c r="UV877" s="803"/>
      <c r="UW877" s="803"/>
      <c r="UX877" s="803"/>
      <c r="UY877" s="803"/>
      <c r="UZ877" s="803"/>
      <c r="VA877" s="803"/>
      <c r="VB877" s="803"/>
      <c r="VC877" s="803"/>
      <c r="VD877" s="803"/>
      <c r="VE877" s="803"/>
      <c r="VF877" s="803"/>
      <c r="VG877" s="803"/>
      <c r="VH877" s="803"/>
      <c r="VI877" s="803"/>
      <c r="VJ877" s="803"/>
      <c r="VK877" s="803"/>
      <c r="VL877" s="803"/>
      <c r="VM877" s="803"/>
      <c r="VN877" s="803"/>
      <c r="VO877" s="803"/>
      <c r="VP877" s="803"/>
      <c r="VQ877" s="803"/>
      <c r="VR877" s="803"/>
      <c r="VS877" s="803"/>
      <c r="VT877" s="803"/>
      <c r="VU877" s="803"/>
      <c r="VV877" s="803"/>
      <c r="VW877" s="803"/>
      <c r="VX877" s="803"/>
      <c r="VY877" s="803"/>
      <c r="VZ877" s="803"/>
      <c r="WA877" s="803"/>
      <c r="WB877" s="803"/>
      <c r="WC877" s="803"/>
      <c r="WD877" s="803"/>
      <c r="WE877" s="803"/>
      <c r="WF877" s="803"/>
      <c r="WG877" s="803"/>
      <c r="WH877" s="803"/>
      <c r="WI877" s="803"/>
      <c r="WJ877" s="803"/>
      <c r="WK877" s="803"/>
      <c r="WL877" s="803"/>
      <c r="WM877" s="803"/>
      <c r="WN877" s="803"/>
      <c r="WO877" s="803"/>
      <c r="WP877" s="803"/>
      <c r="WQ877" s="803"/>
      <c r="WR877" s="803"/>
      <c r="WS877" s="803"/>
      <c r="WT877" s="803"/>
      <c r="WU877" s="803"/>
      <c r="WV877" s="803"/>
      <c r="WW877" s="803"/>
      <c r="WX877" s="803"/>
      <c r="WY877" s="803"/>
      <c r="WZ877" s="803"/>
      <c r="XA877" s="803"/>
      <c r="XB877" s="803"/>
      <c r="XC877" s="803"/>
      <c r="XD877" s="803"/>
      <c r="XE877" s="803"/>
      <c r="XF877" s="803"/>
      <c r="XG877" s="803"/>
      <c r="XH877" s="803"/>
      <c r="XI877" s="803"/>
      <c r="XJ877" s="803"/>
      <c r="XK877" s="803"/>
      <c r="XL877" s="803"/>
      <c r="XM877" s="803"/>
      <c r="XN877" s="803"/>
      <c r="XO877" s="803"/>
      <c r="XP877" s="803"/>
      <c r="XQ877" s="803"/>
      <c r="XR877" s="803"/>
      <c r="XS877" s="803"/>
      <c r="XT877" s="803"/>
      <c r="XU877" s="803"/>
      <c r="XV877" s="803"/>
      <c r="XW877" s="803"/>
      <c r="XX877" s="803"/>
      <c r="XY877" s="803"/>
      <c r="XZ877" s="803"/>
      <c r="YA877" s="803"/>
      <c r="YB877" s="803"/>
      <c r="YC877" s="803"/>
      <c r="YD877" s="803"/>
      <c r="YE877" s="803"/>
      <c r="YF877" s="803"/>
      <c r="YG877" s="803"/>
      <c r="YH877" s="803"/>
      <c r="YI877" s="803"/>
      <c r="YJ877" s="803"/>
      <c r="YK877" s="803"/>
      <c r="YL877" s="803"/>
      <c r="YM877" s="803"/>
      <c r="YN877" s="803"/>
      <c r="YO877" s="803"/>
      <c r="YP877" s="803"/>
      <c r="YQ877" s="803"/>
      <c r="YR877" s="803"/>
      <c r="YS877" s="803"/>
      <c r="YT877" s="803"/>
      <c r="YU877" s="803"/>
      <c r="YV877" s="803"/>
      <c r="YW877" s="803"/>
      <c r="YX877" s="803"/>
      <c r="YY877" s="803"/>
      <c r="YZ877" s="803"/>
      <c r="ZA877" s="803"/>
      <c r="ZB877" s="803"/>
      <c r="ZC877" s="803"/>
      <c r="ZD877" s="803"/>
      <c r="ZE877" s="803"/>
      <c r="ZF877" s="803"/>
      <c r="ZG877" s="803"/>
      <c r="ZH877" s="803"/>
      <c r="ZI877" s="803"/>
      <c r="ZJ877" s="803"/>
      <c r="ZK877" s="803"/>
      <c r="ZL877" s="803"/>
      <c r="ZM877" s="803"/>
      <c r="ZN877" s="803"/>
      <c r="ZO877" s="803"/>
      <c r="ZP877" s="803"/>
      <c r="ZQ877" s="803"/>
      <c r="ZR877" s="803"/>
      <c r="ZS877" s="803"/>
      <c r="ZT877" s="803"/>
      <c r="ZU877" s="803"/>
      <c r="ZV877" s="803"/>
      <c r="ZW877" s="803"/>
      <c r="ZX877" s="803"/>
      <c r="ZY877" s="803"/>
      <c r="ZZ877" s="803"/>
      <c r="AAA877" s="803"/>
      <c r="AAB877" s="803"/>
      <c r="AAC877" s="803"/>
      <c r="AAD877" s="803"/>
      <c r="AAE877" s="803"/>
      <c r="AAF877" s="803"/>
      <c r="AAG877" s="803"/>
      <c r="AAH877" s="803"/>
      <c r="AAI877" s="803"/>
      <c r="AAJ877" s="803"/>
      <c r="AAK877" s="803"/>
      <c r="AAL877" s="803"/>
      <c r="AAM877" s="803"/>
      <c r="AAN877" s="803"/>
      <c r="AAO877" s="803"/>
      <c r="AAP877" s="803"/>
      <c r="AAQ877" s="803"/>
      <c r="AAR877" s="803"/>
      <c r="AAS877" s="803"/>
      <c r="AAT877" s="803"/>
      <c r="AAU877" s="803"/>
      <c r="AAV877" s="803"/>
      <c r="AAW877" s="803"/>
      <c r="AAX877" s="803"/>
      <c r="AAY877" s="803"/>
      <c r="AAZ877" s="803"/>
      <c r="ABA877" s="803"/>
      <c r="ABB877" s="803"/>
      <c r="ABC877" s="803"/>
      <c r="ABD877" s="803"/>
      <c r="ABE877" s="803"/>
      <c r="ABF877" s="803"/>
      <c r="ABG877" s="803"/>
      <c r="ABH877" s="803"/>
      <c r="ABI877" s="803"/>
      <c r="ABJ877" s="803"/>
      <c r="ABK877" s="803"/>
      <c r="ABL877" s="803"/>
      <c r="ABM877" s="803"/>
      <c r="ABN877" s="803"/>
      <c r="ABO877" s="803"/>
      <c r="ABP877" s="803"/>
      <c r="ABQ877" s="803"/>
      <c r="ABR877" s="803"/>
      <c r="ABS877" s="803"/>
      <c r="ABT877" s="803"/>
      <c r="ABU877" s="803"/>
      <c r="ABV877" s="803"/>
      <c r="ABW877" s="803"/>
      <c r="ABX877" s="803"/>
      <c r="ABY877" s="803"/>
      <c r="ABZ877" s="803"/>
      <c r="ACA877" s="803"/>
      <c r="ACB877" s="803"/>
      <c r="ACC877" s="803"/>
      <c r="ACD877" s="803"/>
      <c r="ACE877" s="803"/>
      <c r="ACF877" s="803"/>
      <c r="ACG877" s="803"/>
      <c r="ACH877" s="803"/>
      <c r="ACI877" s="803"/>
      <c r="ACJ877" s="803"/>
      <c r="ACK877" s="803"/>
      <c r="ACL877" s="803"/>
      <c r="ACM877" s="803"/>
      <c r="ACN877" s="803"/>
      <c r="ACO877" s="803"/>
      <c r="ACP877" s="803"/>
      <c r="ACQ877" s="803"/>
      <c r="ACR877" s="803"/>
      <c r="ACS877" s="803"/>
      <c r="ACT877" s="803"/>
      <c r="ACU877" s="803"/>
      <c r="ACV877" s="803"/>
      <c r="ACW877" s="803"/>
      <c r="ACX877" s="803"/>
      <c r="ACY877" s="803"/>
      <c r="ACZ877" s="803"/>
      <c r="ADA877" s="803"/>
      <c r="ADB877" s="803"/>
      <c r="ADC877" s="803"/>
      <c r="ADD877" s="803"/>
      <c r="ADE877" s="803"/>
      <c r="ADF877" s="803"/>
      <c r="ADG877" s="803"/>
      <c r="ADH877" s="803"/>
      <c r="ADI877" s="803"/>
      <c r="ADJ877" s="803"/>
      <c r="ADK877" s="803"/>
      <c r="ADL877" s="803"/>
      <c r="ADM877" s="803"/>
      <c r="ADN877" s="803"/>
      <c r="ADO877" s="803"/>
      <c r="ADP877" s="803"/>
      <c r="ADQ877" s="803"/>
      <c r="ADR877" s="803"/>
      <c r="ADS877" s="803"/>
      <c r="ADT877" s="803"/>
      <c r="ADU877" s="803"/>
      <c r="ADV877" s="803"/>
      <c r="ADW877" s="803"/>
      <c r="ADX877" s="803"/>
      <c r="ADY877" s="803"/>
      <c r="ADZ877" s="803"/>
      <c r="AEA877" s="803"/>
      <c r="AEB877" s="803"/>
      <c r="AEC877" s="803"/>
      <c r="AED877" s="803"/>
      <c r="AEE877" s="803"/>
      <c r="AEF877" s="803"/>
      <c r="AEG877" s="803"/>
      <c r="AEH877" s="803"/>
      <c r="AEI877" s="803"/>
      <c r="AEJ877" s="803"/>
      <c r="AEK877" s="803"/>
      <c r="AEL877" s="803"/>
      <c r="AEM877" s="803"/>
      <c r="AEN877" s="803"/>
      <c r="AEO877" s="803"/>
      <c r="AEP877" s="803"/>
      <c r="AEQ877" s="803"/>
      <c r="AER877" s="803"/>
      <c r="AES877" s="803"/>
      <c r="AET877" s="803"/>
      <c r="AEU877" s="803"/>
      <c r="AEV877" s="803"/>
      <c r="AEW877" s="803"/>
      <c r="AEX877" s="803"/>
      <c r="AEY877" s="803"/>
      <c r="AEZ877" s="803"/>
      <c r="AFA877" s="803"/>
      <c r="AFB877" s="803"/>
      <c r="AFC877" s="803"/>
      <c r="AFD877" s="803"/>
      <c r="AFE877" s="803"/>
      <c r="AFF877" s="803"/>
      <c r="AFG877" s="803"/>
      <c r="AFH877" s="803"/>
      <c r="AFI877" s="803"/>
      <c r="AFJ877" s="803"/>
      <c r="AFK877" s="803"/>
      <c r="AFL877" s="803"/>
      <c r="AFM877" s="803"/>
      <c r="AFN877" s="803"/>
      <c r="AFO877" s="803"/>
      <c r="AFP877" s="803"/>
      <c r="AFQ877" s="803"/>
      <c r="AFR877" s="803"/>
      <c r="AFS877" s="803"/>
      <c r="AFT877" s="803"/>
      <c r="AFU877" s="803"/>
      <c r="AFV877" s="803"/>
      <c r="AFW877" s="803"/>
      <c r="AFX877" s="803"/>
      <c r="AFY877" s="803"/>
      <c r="AFZ877" s="803"/>
      <c r="AGA877" s="803"/>
      <c r="AGB877" s="803"/>
      <c r="AGC877" s="803"/>
      <c r="AGD877" s="803"/>
      <c r="AGE877" s="803"/>
      <c r="AGF877" s="803"/>
      <c r="AGG877" s="803"/>
      <c r="AGH877" s="803"/>
      <c r="AGI877" s="803"/>
      <c r="AGJ877" s="803"/>
    </row>
    <row r="878" spans="1:868" s="7" customFormat="1">
      <c r="A878" s="59" t="s">
        <v>451</v>
      </c>
      <c r="B878" s="336" t="s">
        <v>231</v>
      </c>
      <c r="C878" s="34" t="s">
        <v>139</v>
      </c>
      <c r="D878" s="40" t="s">
        <v>99</v>
      </c>
      <c r="E878" s="237">
        <v>3.2000000000000002E-3</v>
      </c>
      <c r="F878" s="40">
        <v>2</v>
      </c>
      <c r="G878" s="34" t="s">
        <v>1976</v>
      </c>
      <c r="H878" s="29">
        <v>1</v>
      </c>
      <c r="I878" s="9">
        <v>2</v>
      </c>
      <c r="J878" s="9">
        <v>2</v>
      </c>
      <c r="K878" s="9">
        <v>1</v>
      </c>
      <c r="L878" s="9">
        <v>3</v>
      </c>
      <c r="M878" s="9">
        <v>3</v>
      </c>
      <c r="N878" s="185">
        <f>IF( OR( ISBLANK(H878),ISBLANK(J878), ISBLANK(K878), ISBLANK(L878), ISBLANK(M878) ), "", 1.5*SQRT(   EXP(2.21*(H878-1)) + EXP(2.21*(J878-1)) + EXP(2.21*(K878-1)) + EXP(2.21*(L878-1)) + EXP(2.21*M878)   )/100*2.45 )</f>
        <v>1.0725046436742278</v>
      </c>
      <c r="O878" s="159">
        <f>IF( OR( ISBLANK(I878),ISBLANK(J878), ISBLANK(K878), ISBLANK(L878), ISBLANK(M878) ), "", 1.5*SQRT( EXP(2.21*(I878-1)) + EXP(2.21*(J878-1)) + EXP(2.21*(K878-1)) + EXP(2.21*(L878-1)) + EXP(2.21*M878)   )/100*2.45 )</f>
        <v>1.0776024280428556</v>
      </c>
      <c r="P878" s="34" t="s">
        <v>1968</v>
      </c>
      <c r="Q878" s="803"/>
      <c r="R878" s="803"/>
      <c r="S878" s="803"/>
      <c r="T878" s="803"/>
      <c r="U878" s="803"/>
      <c r="V878" s="803"/>
      <c r="W878" s="803"/>
      <c r="X878" s="803"/>
      <c r="Y878" s="803"/>
      <c r="Z878" s="803"/>
      <c r="AA878" s="803"/>
      <c r="AB878" s="803"/>
      <c r="AC878" s="803"/>
      <c r="AD878" s="803"/>
      <c r="AE878" s="803"/>
      <c r="AF878" s="803"/>
      <c r="AG878" s="803"/>
      <c r="AH878" s="803"/>
      <c r="AI878" s="803"/>
      <c r="AJ878" s="803"/>
      <c r="AK878" s="803"/>
      <c r="AL878" s="803"/>
      <c r="AM878" s="803"/>
      <c r="AN878" s="803"/>
      <c r="AO878" s="803"/>
      <c r="AP878" s="803"/>
      <c r="AQ878" s="803"/>
      <c r="AR878" s="803"/>
      <c r="AS878" s="803"/>
      <c r="AT878" s="803"/>
      <c r="AU878" s="803"/>
      <c r="AV878" s="803"/>
      <c r="AW878" s="803"/>
      <c r="AX878" s="803"/>
      <c r="AY878" s="803"/>
      <c r="AZ878" s="803"/>
      <c r="BA878" s="803"/>
      <c r="BB878" s="803"/>
      <c r="BC878" s="803"/>
      <c r="BD878" s="803"/>
      <c r="BE878" s="803"/>
      <c r="BF878" s="803"/>
      <c r="BG878" s="803"/>
      <c r="BH878" s="803"/>
      <c r="BI878" s="803"/>
      <c r="BJ878" s="803"/>
      <c r="BK878" s="803"/>
      <c r="BL878" s="803"/>
      <c r="BM878" s="803"/>
      <c r="BN878" s="803"/>
      <c r="BO878" s="803"/>
      <c r="BP878" s="803"/>
      <c r="BQ878" s="803"/>
      <c r="BR878" s="803"/>
      <c r="BS878" s="803"/>
      <c r="BT878" s="803"/>
      <c r="BU878" s="803"/>
      <c r="BV878" s="803"/>
      <c r="BW878" s="803"/>
      <c r="BX878" s="803"/>
      <c r="BY878" s="803"/>
      <c r="BZ878" s="803"/>
      <c r="CA878" s="803"/>
      <c r="CB878" s="803"/>
      <c r="CC878" s="803"/>
      <c r="CD878" s="803"/>
      <c r="CE878" s="803"/>
      <c r="CF878" s="803"/>
      <c r="CG878" s="803"/>
      <c r="CH878" s="803"/>
      <c r="CI878" s="803"/>
      <c r="CJ878" s="803"/>
      <c r="CK878" s="803"/>
      <c r="CL878" s="803"/>
      <c r="CM878" s="803"/>
      <c r="CN878" s="803"/>
      <c r="CO878" s="803"/>
      <c r="CP878" s="803"/>
      <c r="CQ878" s="803"/>
      <c r="CR878" s="803"/>
      <c r="CS878" s="803"/>
      <c r="CT878" s="803"/>
      <c r="CU878" s="803"/>
      <c r="CV878" s="803"/>
      <c r="CW878" s="803"/>
      <c r="CX878" s="803"/>
      <c r="CY878" s="803"/>
      <c r="CZ878" s="803"/>
      <c r="DA878" s="803"/>
      <c r="DB878" s="803"/>
      <c r="DC878" s="803"/>
      <c r="DD878" s="803"/>
      <c r="DE878" s="803"/>
      <c r="DF878" s="803"/>
      <c r="DG878" s="803"/>
      <c r="DH878" s="803"/>
      <c r="DI878" s="803"/>
      <c r="DJ878" s="803"/>
      <c r="DK878" s="803"/>
      <c r="DL878" s="803"/>
      <c r="DM878" s="803"/>
      <c r="DN878" s="803"/>
      <c r="DO878" s="803"/>
      <c r="DP878" s="803"/>
      <c r="DQ878" s="803"/>
      <c r="DR878" s="803"/>
      <c r="DS878" s="803"/>
      <c r="DT878" s="803"/>
      <c r="DU878" s="803"/>
      <c r="DV878" s="803"/>
      <c r="DW878" s="803"/>
      <c r="DX878" s="803"/>
      <c r="DY878" s="803"/>
      <c r="DZ878" s="803"/>
      <c r="EA878" s="803"/>
      <c r="EB878" s="803"/>
      <c r="EC878" s="803"/>
      <c r="ED878" s="803"/>
      <c r="EE878" s="803"/>
      <c r="EF878" s="803"/>
      <c r="EG878" s="803"/>
      <c r="EH878" s="803"/>
      <c r="EI878" s="803"/>
      <c r="EJ878" s="803"/>
      <c r="EK878" s="803"/>
      <c r="EL878" s="803"/>
      <c r="EM878" s="803"/>
      <c r="EN878" s="803"/>
      <c r="EO878" s="803"/>
      <c r="EP878" s="803"/>
      <c r="EQ878" s="803"/>
      <c r="ER878" s="803"/>
      <c r="ES878" s="803"/>
      <c r="ET878" s="803"/>
      <c r="EU878" s="803"/>
      <c r="EV878" s="803"/>
      <c r="EW878" s="803"/>
      <c r="EX878" s="803"/>
      <c r="EY878" s="803"/>
      <c r="EZ878" s="803"/>
      <c r="FA878" s="803"/>
      <c r="FB878" s="803"/>
      <c r="FC878" s="803"/>
      <c r="FD878" s="803"/>
      <c r="FE878" s="803"/>
      <c r="FF878" s="803"/>
      <c r="FG878" s="803"/>
      <c r="FH878" s="803"/>
      <c r="FI878" s="803"/>
      <c r="FJ878" s="803"/>
      <c r="FK878" s="803"/>
      <c r="FL878" s="803"/>
      <c r="FM878" s="803"/>
      <c r="FN878" s="803"/>
      <c r="FO878" s="803"/>
      <c r="FP878" s="803"/>
      <c r="FQ878" s="803"/>
      <c r="FR878" s="803"/>
      <c r="FS878" s="803"/>
      <c r="FT878" s="803"/>
      <c r="FU878" s="803"/>
      <c r="FV878" s="803"/>
      <c r="FW878" s="803"/>
      <c r="FX878" s="803"/>
      <c r="FY878" s="803"/>
      <c r="FZ878" s="803"/>
      <c r="GA878" s="803"/>
      <c r="GB878" s="803"/>
      <c r="GC878" s="803"/>
      <c r="GD878" s="803"/>
      <c r="GE878" s="803"/>
      <c r="GF878" s="803"/>
      <c r="GG878" s="803"/>
      <c r="GH878" s="803"/>
      <c r="GI878" s="803"/>
      <c r="GJ878" s="803"/>
      <c r="GK878" s="803"/>
      <c r="GL878" s="803"/>
      <c r="GM878" s="803"/>
      <c r="GN878" s="803"/>
      <c r="GO878" s="803"/>
      <c r="GP878" s="803"/>
      <c r="GQ878" s="803"/>
      <c r="GR878" s="803"/>
      <c r="GS878" s="803"/>
      <c r="GT878" s="803"/>
      <c r="GU878" s="803"/>
      <c r="GV878" s="803"/>
      <c r="GW878" s="803"/>
      <c r="GX878" s="803"/>
      <c r="GY878" s="803"/>
      <c r="GZ878" s="803"/>
      <c r="HA878" s="803"/>
      <c r="HB878" s="803"/>
      <c r="HC878" s="803"/>
      <c r="HD878" s="803"/>
      <c r="HE878" s="803"/>
      <c r="HF878" s="803"/>
      <c r="HG878" s="803"/>
      <c r="HH878" s="803"/>
      <c r="HI878" s="803"/>
      <c r="HJ878" s="803"/>
      <c r="HK878" s="803"/>
      <c r="HL878" s="803"/>
      <c r="HM878" s="803"/>
      <c r="HN878" s="803"/>
      <c r="HO878" s="803"/>
      <c r="HP878" s="803"/>
      <c r="HQ878" s="803"/>
      <c r="HR878" s="803"/>
      <c r="HS878" s="803"/>
      <c r="HT878" s="803"/>
      <c r="HU878" s="803"/>
      <c r="HV878" s="803"/>
      <c r="HW878" s="803"/>
      <c r="HX878" s="803"/>
      <c r="HY878" s="803"/>
      <c r="HZ878" s="803"/>
      <c r="IA878" s="803"/>
      <c r="IB878" s="803"/>
      <c r="IC878" s="803"/>
      <c r="ID878" s="803"/>
      <c r="IE878" s="803"/>
      <c r="IF878" s="803"/>
      <c r="IG878" s="803"/>
      <c r="IH878" s="803"/>
      <c r="II878" s="803"/>
      <c r="IJ878" s="803"/>
      <c r="IK878" s="803"/>
      <c r="IL878" s="803"/>
      <c r="IM878" s="803"/>
      <c r="IN878" s="803"/>
      <c r="IO878" s="803"/>
      <c r="IP878" s="803"/>
      <c r="IQ878" s="803"/>
      <c r="IR878" s="803"/>
      <c r="IS878" s="803"/>
      <c r="IT878" s="803"/>
      <c r="IU878" s="803"/>
      <c r="IV878" s="803"/>
      <c r="IW878" s="803"/>
      <c r="IX878" s="803"/>
      <c r="IY878" s="803"/>
      <c r="IZ878" s="803"/>
      <c r="JA878" s="803"/>
      <c r="JB878" s="803"/>
      <c r="JC878" s="803"/>
      <c r="JD878" s="803"/>
      <c r="JE878" s="803"/>
      <c r="JF878" s="803"/>
      <c r="JG878" s="803"/>
      <c r="JH878" s="803"/>
      <c r="JI878" s="803"/>
      <c r="JJ878" s="803"/>
      <c r="JK878" s="803"/>
      <c r="JL878" s="803"/>
      <c r="JM878" s="803"/>
      <c r="JN878" s="803"/>
      <c r="JO878" s="803"/>
      <c r="JP878" s="803"/>
      <c r="JQ878" s="803"/>
      <c r="JR878" s="803"/>
      <c r="JS878" s="803"/>
      <c r="JT878" s="803"/>
      <c r="JU878" s="803"/>
      <c r="JV878" s="803"/>
      <c r="JW878" s="803"/>
      <c r="JX878" s="803"/>
      <c r="JY878" s="803"/>
      <c r="JZ878" s="803"/>
      <c r="KA878" s="803"/>
      <c r="KB878" s="803"/>
      <c r="KC878" s="803"/>
      <c r="KD878" s="803"/>
      <c r="KE878" s="803"/>
      <c r="KF878" s="803"/>
      <c r="KG878" s="803"/>
      <c r="KH878" s="803"/>
      <c r="KI878" s="803"/>
      <c r="KJ878" s="803"/>
      <c r="KK878" s="803"/>
      <c r="KL878" s="803"/>
      <c r="KM878" s="803"/>
      <c r="KN878" s="803"/>
      <c r="KO878" s="803"/>
      <c r="KP878" s="803"/>
      <c r="KQ878" s="803"/>
      <c r="KR878" s="803"/>
      <c r="KS878" s="803"/>
      <c r="KT878" s="803"/>
      <c r="KU878" s="803"/>
      <c r="KV878" s="803"/>
      <c r="KW878" s="803"/>
      <c r="KX878" s="803"/>
      <c r="KY878" s="803"/>
      <c r="KZ878" s="803"/>
      <c r="LA878" s="803"/>
      <c r="LB878" s="803"/>
      <c r="LC878" s="803"/>
      <c r="LD878" s="803"/>
      <c r="LE878" s="803"/>
      <c r="LF878" s="803"/>
      <c r="LG878" s="803"/>
      <c r="LH878" s="803"/>
      <c r="LI878" s="803"/>
      <c r="LJ878" s="803"/>
      <c r="LK878" s="803"/>
      <c r="LL878" s="803"/>
      <c r="LM878" s="803"/>
      <c r="LN878" s="803"/>
      <c r="LO878" s="803"/>
      <c r="LP878" s="803"/>
      <c r="LQ878" s="803"/>
      <c r="LR878" s="803"/>
      <c r="LS878" s="803"/>
      <c r="LT878" s="803"/>
      <c r="LU878" s="803"/>
      <c r="LV878" s="803"/>
      <c r="LW878" s="803"/>
      <c r="LX878" s="803"/>
      <c r="LY878" s="803"/>
      <c r="LZ878" s="803"/>
      <c r="MA878" s="803"/>
      <c r="MB878" s="803"/>
      <c r="MC878" s="803"/>
      <c r="MD878" s="803"/>
      <c r="ME878" s="803"/>
      <c r="MF878" s="803"/>
      <c r="MG878" s="803"/>
      <c r="MH878" s="803"/>
      <c r="MI878" s="803"/>
      <c r="MJ878" s="803"/>
      <c r="MK878" s="803"/>
      <c r="ML878" s="803"/>
      <c r="MM878" s="803"/>
      <c r="MN878" s="803"/>
      <c r="MO878" s="803"/>
      <c r="MP878" s="803"/>
      <c r="MQ878" s="803"/>
      <c r="MR878" s="803"/>
      <c r="MS878" s="803"/>
      <c r="MT878" s="803"/>
      <c r="MU878" s="803"/>
      <c r="MV878" s="803"/>
      <c r="MW878" s="803"/>
      <c r="MX878" s="803"/>
      <c r="MY878" s="803"/>
      <c r="MZ878" s="803"/>
      <c r="NA878" s="803"/>
      <c r="NB878" s="803"/>
      <c r="NC878" s="803"/>
      <c r="ND878" s="803"/>
      <c r="NE878" s="803"/>
      <c r="NF878" s="803"/>
      <c r="NG878" s="803"/>
      <c r="NH878" s="803"/>
      <c r="NI878" s="803"/>
      <c r="NJ878" s="803"/>
      <c r="NK878" s="803"/>
      <c r="NL878" s="803"/>
      <c r="NM878" s="803"/>
      <c r="NN878" s="803"/>
      <c r="NO878" s="803"/>
      <c r="NP878" s="803"/>
      <c r="NQ878" s="803"/>
      <c r="NR878" s="803"/>
      <c r="NS878" s="803"/>
      <c r="NT878" s="803"/>
      <c r="NU878" s="803"/>
      <c r="NV878" s="803"/>
      <c r="NW878" s="803"/>
      <c r="NX878" s="803"/>
      <c r="NY878" s="803"/>
      <c r="NZ878" s="803"/>
      <c r="OA878" s="803"/>
      <c r="OB878" s="803"/>
      <c r="OC878" s="803"/>
      <c r="OD878" s="803"/>
      <c r="OE878" s="803"/>
      <c r="OF878" s="803"/>
      <c r="OG878" s="803"/>
      <c r="OH878" s="803"/>
      <c r="OI878" s="803"/>
      <c r="OJ878" s="803"/>
      <c r="OK878" s="803"/>
      <c r="OL878" s="803"/>
      <c r="OM878" s="803"/>
      <c r="ON878" s="803"/>
      <c r="OO878" s="803"/>
      <c r="OP878" s="803"/>
      <c r="OQ878" s="803"/>
      <c r="OR878" s="803"/>
      <c r="OS878" s="803"/>
      <c r="OT878" s="803"/>
      <c r="OU878" s="803"/>
      <c r="OV878" s="803"/>
      <c r="OW878" s="803"/>
      <c r="OX878" s="803"/>
      <c r="OY878" s="803"/>
      <c r="OZ878" s="803"/>
      <c r="PA878" s="803"/>
      <c r="PB878" s="803"/>
      <c r="PC878" s="803"/>
      <c r="PD878" s="803"/>
      <c r="PE878" s="803"/>
      <c r="PF878" s="803"/>
      <c r="PG878" s="803"/>
      <c r="PH878" s="803"/>
      <c r="PI878" s="803"/>
      <c r="PJ878" s="803"/>
      <c r="PK878" s="803"/>
      <c r="PL878" s="803"/>
      <c r="PM878" s="803"/>
      <c r="PN878" s="803"/>
      <c r="PO878" s="803"/>
      <c r="PP878" s="803"/>
      <c r="PQ878" s="803"/>
      <c r="PR878" s="803"/>
      <c r="PS878" s="803"/>
      <c r="PT878" s="803"/>
      <c r="PU878" s="803"/>
      <c r="PV878" s="803"/>
      <c r="PW878" s="803"/>
      <c r="PX878" s="803"/>
      <c r="PY878" s="803"/>
      <c r="PZ878" s="803"/>
      <c r="QA878" s="803"/>
      <c r="QB878" s="803"/>
      <c r="QC878" s="803"/>
      <c r="QD878" s="803"/>
      <c r="QE878" s="803"/>
      <c r="QF878" s="803"/>
      <c r="QG878" s="803"/>
      <c r="QH878" s="803"/>
      <c r="QI878" s="803"/>
      <c r="QJ878" s="803"/>
      <c r="QK878" s="803"/>
      <c r="QL878" s="803"/>
      <c r="QM878" s="803"/>
      <c r="QN878" s="803"/>
      <c r="QO878" s="803"/>
      <c r="QP878" s="803"/>
      <c r="QQ878" s="803"/>
      <c r="QR878" s="803"/>
      <c r="QS878" s="803"/>
      <c r="QT878" s="803"/>
      <c r="QU878" s="803"/>
      <c r="QV878" s="803"/>
      <c r="QW878" s="803"/>
      <c r="QX878" s="803"/>
      <c r="QY878" s="803"/>
      <c r="QZ878" s="803"/>
      <c r="RA878" s="803"/>
      <c r="RB878" s="803"/>
      <c r="RC878" s="803"/>
      <c r="RD878" s="803"/>
      <c r="RE878" s="803"/>
      <c r="RF878" s="803"/>
      <c r="RG878" s="803"/>
      <c r="RH878" s="803"/>
      <c r="RI878" s="803"/>
      <c r="RJ878" s="803"/>
      <c r="RK878" s="803"/>
      <c r="RL878" s="803"/>
      <c r="RM878" s="803"/>
      <c r="RN878" s="803"/>
      <c r="RO878" s="803"/>
      <c r="RP878" s="803"/>
      <c r="RQ878" s="803"/>
      <c r="RR878" s="803"/>
      <c r="RS878" s="803"/>
      <c r="RT878" s="803"/>
      <c r="RU878" s="803"/>
      <c r="RV878" s="803"/>
      <c r="RW878" s="803"/>
      <c r="RX878" s="803"/>
      <c r="RY878" s="803"/>
      <c r="RZ878" s="803"/>
      <c r="SA878" s="803"/>
      <c r="SB878" s="803"/>
      <c r="SC878" s="803"/>
      <c r="SD878" s="803"/>
      <c r="SE878" s="803"/>
      <c r="SF878" s="803"/>
      <c r="SG878" s="803"/>
      <c r="SH878" s="803"/>
      <c r="SI878" s="803"/>
      <c r="SJ878" s="803"/>
      <c r="SK878" s="803"/>
      <c r="SL878" s="803"/>
      <c r="SM878" s="803"/>
      <c r="SN878" s="803"/>
      <c r="SO878" s="803"/>
      <c r="SP878" s="803"/>
      <c r="SQ878" s="803"/>
      <c r="SR878" s="803"/>
      <c r="SS878" s="803"/>
      <c r="ST878" s="803"/>
      <c r="SU878" s="803"/>
      <c r="SV878" s="803"/>
      <c r="SW878" s="803"/>
      <c r="SX878" s="803"/>
      <c r="SY878" s="803"/>
      <c r="SZ878" s="803"/>
      <c r="TA878" s="803"/>
      <c r="TB878" s="803"/>
      <c r="TC878" s="803"/>
      <c r="TD878" s="803"/>
      <c r="TE878" s="803"/>
      <c r="TF878" s="803"/>
      <c r="TG878" s="803"/>
      <c r="TH878" s="803"/>
      <c r="TI878" s="803"/>
      <c r="TJ878" s="803"/>
      <c r="TK878" s="803"/>
      <c r="TL878" s="803"/>
      <c r="TM878" s="803"/>
      <c r="TN878" s="803"/>
      <c r="TO878" s="803"/>
      <c r="TP878" s="803"/>
      <c r="TQ878" s="803"/>
      <c r="TR878" s="803"/>
      <c r="TS878" s="803"/>
      <c r="TT878" s="803"/>
      <c r="TU878" s="803"/>
      <c r="TV878" s="803"/>
      <c r="TW878" s="803"/>
      <c r="TX878" s="803"/>
      <c r="TY878" s="803"/>
      <c r="TZ878" s="803"/>
      <c r="UA878" s="803"/>
      <c r="UB878" s="803"/>
      <c r="UC878" s="803"/>
      <c r="UD878" s="803"/>
      <c r="UE878" s="803"/>
      <c r="UF878" s="803"/>
      <c r="UG878" s="803"/>
      <c r="UH878" s="803"/>
      <c r="UI878" s="803"/>
      <c r="UJ878" s="803"/>
      <c r="UK878" s="803"/>
      <c r="UL878" s="803"/>
      <c r="UM878" s="803"/>
      <c r="UN878" s="803"/>
      <c r="UO878" s="803"/>
      <c r="UP878" s="803"/>
      <c r="UQ878" s="803"/>
      <c r="UR878" s="803"/>
      <c r="US878" s="803"/>
      <c r="UT878" s="803"/>
      <c r="UU878" s="803"/>
      <c r="UV878" s="803"/>
      <c r="UW878" s="803"/>
      <c r="UX878" s="803"/>
      <c r="UY878" s="803"/>
      <c r="UZ878" s="803"/>
      <c r="VA878" s="803"/>
      <c r="VB878" s="803"/>
      <c r="VC878" s="803"/>
      <c r="VD878" s="803"/>
      <c r="VE878" s="803"/>
      <c r="VF878" s="803"/>
      <c r="VG878" s="803"/>
      <c r="VH878" s="803"/>
      <c r="VI878" s="803"/>
      <c r="VJ878" s="803"/>
      <c r="VK878" s="803"/>
      <c r="VL878" s="803"/>
      <c r="VM878" s="803"/>
      <c r="VN878" s="803"/>
      <c r="VO878" s="803"/>
      <c r="VP878" s="803"/>
      <c r="VQ878" s="803"/>
      <c r="VR878" s="803"/>
      <c r="VS878" s="803"/>
      <c r="VT878" s="803"/>
      <c r="VU878" s="803"/>
      <c r="VV878" s="803"/>
      <c r="VW878" s="803"/>
      <c r="VX878" s="803"/>
      <c r="VY878" s="803"/>
      <c r="VZ878" s="803"/>
      <c r="WA878" s="803"/>
      <c r="WB878" s="803"/>
      <c r="WC878" s="803"/>
      <c r="WD878" s="803"/>
      <c r="WE878" s="803"/>
      <c r="WF878" s="803"/>
      <c r="WG878" s="803"/>
      <c r="WH878" s="803"/>
      <c r="WI878" s="803"/>
      <c r="WJ878" s="803"/>
      <c r="WK878" s="803"/>
      <c r="WL878" s="803"/>
      <c r="WM878" s="803"/>
      <c r="WN878" s="803"/>
      <c r="WO878" s="803"/>
      <c r="WP878" s="803"/>
      <c r="WQ878" s="803"/>
      <c r="WR878" s="803"/>
      <c r="WS878" s="803"/>
      <c r="WT878" s="803"/>
      <c r="WU878" s="803"/>
      <c r="WV878" s="803"/>
      <c r="WW878" s="803"/>
      <c r="WX878" s="803"/>
      <c r="WY878" s="803"/>
      <c r="WZ878" s="803"/>
      <c r="XA878" s="803"/>
      <c r="XB878" s="803"/>
      <c r="XC878" s="803"/>
      <c r="XD878" s="803"/>
      <c r="XE878" s="803"/>
      <c r="XF878" s="803"/>
      <c r="XG878" s="803"/>
      <c r="XH878" s="803"/>
      <c r="XI878" s="803"/>
      <c r="XJ878" s="803"/>
      <c r="XK878" s="803"/>
      <c r="XL878" s="803"/>
      <c r="XM878" s="803"/>
      <c r="XN878" s="803"/>
      <c r="XO878" s="803"/>
      <c r="XP878" s="803"/>
      <c r="XQ878" s="803"/>
      <c r="XR878" s="803"/>
      <c r="XS878" s="803"/>
      <c r="XT878" s="803"/>
      <c r="XU878" s="803"/>
      <c r="XV878" s="803"/>
      <c r="XW878" s="803"/>
      <c r="XX878" s="803"/>
      <c r="XY878" s="803"/>
      <c r="XZ878" s="803"/>
      <c r="YA878" s="803"/>
      <c r="YB878" s="803"/>
      <c r="YC878" s="803"/>
      <c r="YD878" s="803"/>
      <c r="YE878" s="803"/>
      <c r="YF878" s="803"/>
      <c r="YG878" s="803"/>
      <c r="YH878" s="803"/>
      <c r="YI878" s="803"/>
      <c r="YJ878" s="803"/>
      <c r="YK878" s="803"/>
      <c r="YL878" s="803"/>
      <c r="YM878" s="803"/>
      <c r="YN878" s="803"/>
      <c r="YO878" s="803"/>
      <c r="YP878" s="803"/>
      <c r="YQ878" s="803"/>
      <c r="YR878" s="803"/>
      <c r="YS878" s="803"/>
      <c r="YT878" s="803"/>
      <c r="YU878" s="803"/>
      <c r="YV878" s="803"/>
      <c r="YW878" s="803"/>
      <c r="YX878" s="803"/>
      <c r="YY878" s="803"/>
      <c r="YZ878" s="803"/>
      <c r="ZA878" s="803"/>
      <c r="ZB878" s="803"/>
      <c r="ZC878" s="803"/>
      <c r="ZD878" s="803"/>
      <c r="ZE878" s="803"/>
      <c r="ZF878" s="803"/>
      <c r="ZG878" s="803"/>
      <c r="ZH878" s="803"/>
      <c r="ZI878" s="803"/>
      <c r="ZJ878" s="803"/>
      <c r="ZK878" s="803"/>
      <c r="ZL878" s="803"/>
      <c r="ZM878" s="803"/>
      <c r="ZN878" s="803"/>
      <c r="ZO878" s="803"/>
      <c r="ZP878" s="803"/>
      <c r="ZQ878" s="803"/>
      <c r="ZR878" s="803"/>
      <c r="ZS878" s="803"/>
      <c r="ZT878" s="803"/>
      <c r="ZU878" s="803"/>
      <c r="ZV878" s="803"/>
      <c r="ZW878" s="803"/>
      <c r="ZX878" s="803"/>
      <c r="ZY878" s="803"/>
      <c r="ZZ878" s="803"/>
      <c r="AAA878" s="803"/>
      <c r="AAB878" s="803"/>
      <c r="AAC878" s="803"/>
      <c r="AAD878" s="803"/>
      <c r="AAE878" s="803"/>
      <c r="AAF878" s="803"/>
      <c r="AAG878" s="803"/>
      <c r="AAH878" s="803"/>
      <c r="AAI878" s="803"/>
      <c r="AAJ878" s="803"/>
      <c r="AAK878" s="803"/>
      <c r="AAL878" s="803"/>
      <c r="AAM878" s="803"/>
      <c r="AAN878" s="803"/>
      <c r="AAO878" s="803"/>
      <c r="AAP878" s="803"/>
      <c r="AAQ878" s="803"/>
      <c r="AAR878" s="803"/>
      <c r="AAS878" s="803"/>
      <c r="AAT878" s="803"/>
      <c r="AAU878" s="803"/>
      <c r="AAV878" s="803"/>
      <c r="AAW878" s="803"/>
      <c r="AAX878" s="803"/>
      <c r="AAY878" s="803"/>
      <c r="AAZ878" s="803"/>
      <c r="ABA878" s="803"/>
      <c r="ABB878" s="803"/>
      <c r="ABC878" s="803"/>
      <c r="ABD878" s="803"/>
      <c r="ABE878" s="803"/>
      <c r="ABF878" s="803"/>
      <c r="ABG878" s="803"/>
      <c r="ABH878" s="803"/>
      <c r="ABI878" s="803"/>
      <c r="ABJ878" s="803"/>
      <c r="ABK878" s="803"/>
      <c r="ABL878" s="803"/>
      <c r="ABM878" s="803"/>
      <c r="ABN878" s="803"/>
      <c r="ABO878" s="803"/>
      <c r="ABP878" s="803"/>
      <c r="ABQ878" s="803"/>
      <c r="ABR878" s="803"/>
      <c r="ABS878" s="803"/>
      <c r="ABT878" s="803"/>
      <c r="ABU878" s="803"/>
      <c r="ABV878" s="803"/>
      <c r="ABW878" s="803"/>
      <c r="ABX878" s="803"/>
      <c r="ABY878" s="803"/>
      <c r="ABZ878" s="803"/>
      <c r="ACA878" s="803"/>
      <c r="ACB878" s="803"/>
      <c r="ACC878" s="803"/>
      <c r="ACD878" s="803"/>
      <c r="ACE878" s="803"/>
      <c r="ACF878" s="803"/>
      <c r="ACG878" s="803"/>
      <c r="ACH878" s="803"/>
      <c r="ACI878" s="803"/>
      <c r="ACJ878" s="803"/>
      <c r="ACK878" s="803"/>
      <c r="ACL878" s="803"/>
      <c r="ACM878" s="803"/>
      <c r="ACN878" s="803"/>
      <c r="ACO878" s="803"/>
      <c r="ACP878" s="803"/>
      <c r="ACQ878" s="803"/>
      <c r="ACR878" s="803"/>
      <c r="ACS878" s="803"/>
      <c r="ACT878" s="803"/>
      <c r="ACU878" s="803"/>
      <c r="ACV878" s="803"/>
      <c r="ACW878" s="803"/>
      <c r="ACX878" s="803"/>
      <c r="ACY878" s="803"/>
      <c r="ACZ878" s="803"/>
      <c r="ADA878" s="803"/>
      <c r="ADB878" s="803"/>
      <c r="ADC878" s="803"/>
      <c r="ADD878" s="803"/>
      <c r="ADE878" s="803"/>
      <c r="ADF878" s="803"/>
      <c r="ADG878" s="803"/>
      <c r="ADH878" s="803"/>
      <c r="ADI878" s="803"/>
      <c r="ADJ878" s="803"/>
      <c r="ADK878" s="803"/>
      <c r="ADL878" s="803"/>
      <c r="ADM878" s="803"/>
      <c r="ADN878" s="803"/>
      <c r="ADO878" s="803"/>
      <c r="ADP878" s="803"/>
      <c r="ADQ878" s="803"/>
      <c r="ADR878" s="803"/>
      <c r="ADS878" s="803"/>
      <c r="ADT878" s="803"/>
      <c r="ADU878" s="803"/>
      <c r="ADV878" s="803"/>
      <c r="ADW878" s="803"/>
      <c r="ADX878" s="803"/>
      <c r="ADY878" s="803"/>
      <c r="ADZ878" s="803"/>
      <c r="AEA878" s="803"/>
      <c r="AEB878" s="803"/>
      <c r="AEC878" s="803"/>
      <c r="AED878" s="803"/>
      <c r="AEE878" s="803"/>
      <c r="AEF878" s="803"/>
      <c r="AEG878" s="803"/>
      <c r="AEH878" s="803"/>
      <c r="AEI878" s="803"/>
      <c r="AEJ878" s="803"/>
      <c r="AEK878" s="803"/>
      <c r="AEL878" s="803"/>
      <c r="AEM878" s="803"/>
      <c r="AEN878" s="803"/>
      <c r="AEO878" s="803"/>
      <c r="AEP878" s="803"/>
      <c r="AEQ878" s="803"/>
      <c r="AER878" s="803"/>
      <c r="AES878" s="803"/>
      <c r="AET878" s="803"/>
      <c r="AEU878" s="803"/>
      <c r="AEV878" s="803"/>
      <c r="AEW878" s="803"/>
      <c r="AEX878" s="803"/>
      <c r="AEY878" s="803"/>
      <c r="AEZ878" s="803"/>
      <c r="AFA878" s="803"/>
      <c r="AFB878" s="803"/>
      <c r="AFC878" s="803"/>
      <c r="AFD878" s="803"/>
      <c r="AFE878" s="803"/>
      <c r="AFF878" s="803"/>
      <c r="AFG878" s="803"/>
      <c r="AFH878" s="803"/>
      <c r="AFI878" s="803"/>
      <c r="AFJ878" s="803"/>
      <c r="AFK878" s="803"/>
      <c r="AFL878" s="803"/>
      <c r="AFM878" s="803"/>
      <c r="AFN878" s="803"/>
      <c r="AFO878" s="803"/>
      <c r="AFP878" s="803"/>
      <c r="AFQ878" s="803"/>
      <c r="AFR878" s="803"/>
      <c r="AFS878" s="803"/>
      <c r="AFT878" s="803"/>
      <c r="AFU878" s="803"/>
      <c r="AFV878" s="803"/>
      <c r="AFW878" s="803"/>
      <c r="AFX878" s="803"/>
      <c r="AFY878" s="803"/>
      <c r="AFZ878" s="803"/>
      <c r="AGA878" s="803"/>
      <c r="AGB878" s="803"/>
      <c r="AGC878" s="803"/>
      <c r="AGD878" s="803"/>
      <c r="AGE878" s="803"/>
      <c r="AGF878" s="803"/>
      <c r="AGG878" s="803"/>
      <c r="AGH878" s="803"/>
      <c r="AGI878" s="803"/>
      <c r="AGJ878" s="803"/>
    </row>
    <row r="879" spans="1:868" s="7" customFormat="1">
      <c r="A879" s="59" t="s">
        <v>451</v>
      </c>
      <c r="B879" s="336" t="s">
        <v>232</v>
      </c>
      <c r="C879" s="34" t="s">
        <v>139</v>
      </c>
      <c r="D879" s="40" t="s">
        <v>99</v>
      </c>
      <c r="E879" s="237">
        <v>2.5215999999999999E-2</v>
      </c>
      <c r="F879" s="40">
        <v>2</v>
      </c>
      <c r="G879" s="34" t="s">
        <v>412</v>
      </c>
      <c r="H879" s="29">
        <v>1</v>
      </c>
      <c r="I879" s="9">
        <v>2</v>
      </c>
      <c r="J879" s="9">
        <v>2</v>
      </c>
      <c r="K879" s="9">
        <v>1</v>
      </c>
      <c r="L879" s="9">
        <v>1</v>
      </c>
      <c r="M879" s="9">
        <v>1</v>
      </c>
      <c r="N879" s="185">
        <f>IF( OR( ISBLANK(H879),ISBLANK(J879), ISBLANK(K879), ISBLANK(L879), ISBLANK(M879) ), "", 1.5*SQRT(   EXP(2.21*(H879-1)) + EXP(2.21*(J879-1)) + EXP(2.21*(K879-1)) + EXP(2.21*(L879-1)) + EXP(2.21*M879)   )/100*2.45 )</f>
        <v>0.16933510251023262</v>
      </c>
      <c r="O879" s="159">
        <f>IF( OR( ISBLANK(I879),ISBLANK(J879), ISBLANK(K879), ISBLANK(L879), ISBLANK(M879) ), "", 1.5*SQRT( EXP(2.21*(I879-1)) + EXP(2.21*(J879-1)) + EXP(2.21*(K879-1)) + EXP(2.21*(L879-1)) + EXP(2.21*M879)   )/100*2.45 )</f>
        <v>0.19908580854301616</v>
      </c>
      <c r="P879" s="34" t="s">
        <v>1969</v>
      </c>
      <c r="Q879" s="803"/>
      <c r="R879" s="803"/>
      <c r="S879" s="803"/>
      <c r="T879" s="803"/>
      <c r="U879" s="803"/>
      <c r="V879" s="803"/>
      <c r="W879" s="803"/>
      <c r="X879" s="803"/>
      <c r="Y879" s="803"/>
      <c r="Z879" s="803"/>
      <c r="AA879" s="803"/>
      <c r="AB879" s="803"/>
      <c r="AC879" s="803"/>
      <c r="AD879" s="803"/>
      <c r="AE879" s="803"/>
      <c r="AF879" s="803"/>
      <c r="AG879" s="803"/>
      <c r="AH879" s="803"/>
      <c r="AI879" s="803"/>
      <c r="AJ879" s="803"/>
      <c r="AK879" s="803"/>
      <c r="AL879" s="803"/>
      <c r="AM879" s="803"/>
      <c r="AN879" s="803"/>
      <c r="AO879" s="803"/>
      <c r="AP879" s="803"/>
      <c r="AQ879" s="803"/>
      <c r="AR879" s="803"/>
      <c r="AS879" s="803"/>
      <c r="AT879" s="803"/>
      <c r="AU879" s="803"/>
      <c r="AV879" s="803"/>
      <c r="AW879" s="803"/>
      <c r="AX879" s="803"/>
      <c r="AY879" s="803"/>
      <c r="AZ879" s="803"/>
      <c r="BA879" s="803"/>
      <c r="BB879" s="803"/>
      <c r="BC879" s="803"/>
      <c r="BD879" s="803"/>
      <c r="BE879" s="803"/>
      <c r="BF879" s="803"/>
      <c r="BG879" s="803"/>
      <c r="BH879" s="803"/>
      <c r="BI879" s="803"/>
      <c r="BJ879" s="803"/>
      <c r="BK879" s="803"/>
      <c r="BL879" s="803"/>
      <c r="BM879" s="803"/>
      <c r="BN879" s="803"/>
      <c r="BO879" s="803"/>
      <c r="BP879" s="803"/>
      <c r="BQ879" s="803"/>
      <c r="BR879" s="803"/>
      <c r="BS879" s="803"/>
      <c r="BT879" s="803"/>
      <c r="BU879" s="803"/>
      <c r="BV879" s="803"/>
      <c r="BW879" s="803"/>
      <c r="BX879" s="803"/>
      <c r="BY879" s="803"/>
      <c r="BZ879" s="803"/>
      <c r="CA879" s="803"/>
      <c r="CB879" s="803"/>
      <c r="CC879" s="803"/>
      <c r="CD879" s="803"/>
      <c r="CE879" s="803"/>
      <c r="CF879" s="803"/>
      <c r="CG879" s="803"/>
      <c r="CH879" s="803"/>
      <c r="CI879" s="803"/>
      <c r="CJ879" s="803"/>
      <c r="CK879" s="803"/>
      <c r="CL879" s="803"/>
      <c r="CM879" s="803"/>
      <c r="CN879" s="803"/>
      <c r="CO879" s="803"/>
      <c r="CP879" s="803"/>
      <c r="CQ879" s="803"/>
      <c r="CR879" s="803"/>
      <c r="CS879" s="803"/>
      <c r="CT879" s="803"/>
      <c r="CU879" s="803"/>
      <c r="CV879" s="803"/>
      <c r="CW879" s="803"/>
      <c r="CX879" s="803"/>
      <c r="CY879" s="803"/>
      <c r="CZ879" s="803"/>
      <c r="DA879" s="803"/>
      <c r="DB879" s="803"/>
      <c r="DC879" s="803"/>
      <c r="DD879" s="803"/>
      <c r="DE879" s="803"/>
      <c r="DF879" s="803"/>
      <c r="DG879" s="803"/>
      <c r="DH879" s="803"/>
      <c r="DI879" s="803"/>
      <c r="DJ879" s="803"/>
      <c r="DK879" s="803"/>
      <c r="DL879" s="803"/>
      <c r="DM879" s="803"/>
      <c r="DN879" s="803"/>
      <c r="DO879" s="803"/>
      <c r="DP879" s="803"/>
      <c r="DQ879" s="803"/>
      <c r="DR879" s="803"/>
      <c r="DS879" s="803"/>
      <c r="DT879" s="803"/>
      <c r="DU879" s="803"/>
      <c r="DV879" s="803"/>
      <c r="DW879" s="803"/>
      <c r="DX879" s="803"/>
      <c r="DY879" s="803"/>
      <c r="DZ879" s="803"/>
      <c r="EA879" s="803"/>
      <c r="EB879" s="803"/>
      <c r="EC879" s="803"/>
      <c r="ED879" s="803"/>
      <c r="EE879" s="803"/>
      <c r="EF879" s="803"/>
      <c r="EG879" s="803"/>
      <c r="EH879" s="803"/>
      <c r="EI879" s="803"/>
      <c r="EJ879" s="803"/>
      <c r="EK879" s="803"/>
      <c r="EL879" s="803"/>
      <c r="EM879" s="803"/>
      <c r="EN879" s="803"/>
      <c r="EO879" s="803"/>
      <c r="EP879" s="803"/>
      <c r="EQ879" s="803"/>
      <c r="ER879" s="803"/>
      <c r="ES879" s="803"/>
      <c r="ET879" s="803"/>
      <c r="EU879" s="803"/>
      <c r="EV879" s="803"/>
      <c r="EW879" s="803"/>
      <c r="EX879" s="803"/>
      <c r="EY879" s="803"/>
      <c r="EZ879" s="803"/>
      <c r="FA879" s="803"/>
      <c r="FB879" s="803"/>
      <c r="FC879" s="803"/>
      <c r="FD879" s="803"/>
      <c r="FE879" s="803"/>
      <c r="FF879" s="803"/>
      <c r="FG879" s="803"/>
      <c r="FH879" s="803"/>
      <c r="FI879" s="803"/>
      <c r="FJ879" s="803"/>
      <c r="FK879" s="803"/>
      <c r="FL879" s="803"/>
      <c r="FM879" s="803"/>
      <c r="FN879" s="803"/>
      <c r="FO879" s="803"/>
      <c r="FP879" s="803"/>
      <c r="FQ879" s="803"/>
      <c r="FR879" s="803"/>
      <c r="FS879" s="803"/>
      <c r="FT879" s="803"/>
      <c r="FU879" s="803"/>
      <c r="FV879" s="803"/>
      <c r="FW879" s="803"/>
      <c r="FX879" s="803"/>
      <c r="FY879" s="803"/>
      <c r="FZ879" s="803"/>
      <c r="GA879" s="803"/>
      <c r="GB879" s="803"/>
      <c r="GC879" s="803"/>
      <c r="GD879" s="803"/>
      <c r="GE879" s="803"/>
      <c r="GF879" s="803"/>
      <c r="GG879" s="803"/>
      <c r="GH879" s="803"/>
      <c r="GI879" s="803"/>
      <c r="GJ879" s="803"/>
      <c r="GK879" s="803"/>
      <c r="GL879" s="803"/>
      <c r="GM879" s="803"/>
      <c r="GN879" s="803"/>
      <c r="GO879" s="803"/>
      <c r="GP879" s="803"/>
      <c r="GQ879" s="803"/>
      <c r="GR879" s="803"/>
      <c r="GS879" s="803"/>
      <c r="GT879" s="803"/>
      <c r="GU879" s="803"/>
      <c r="GV879" s="803"/>
      <c r="GW879" s="803"/>
      <c r="GX879" s="803"/>
      <c r="GY879" s="803"/>
      <c r="GZ879" s="803"/>
      <c r="HA879" s="803"/>
      <c r="HB879" s="803"/>
      <c r="HC879" s="803"/>
      <c r="HD879" s="803"/>
      <c r="HE879" s="803"/>
      <c r="HF879" s="803"/>
      <c r="HG879" s="803"/>
      <c r="HH879" s="803"/>
      <c r="HI879" s="803"/>
      <c r="HJ879" s="803"/>
      <c r="HK879" s="803"/>
      <c r="HL879" s="803"/>
      <c r="HM879" s="803"/>
      <c r="HN879" s="803"/>
      <c r="HO879" s="803"/>
      <c r="HP879" s="803"/>
      <c r="HQ879" s="803"/>
      <c r="HR879" s="803"/>
      <c r="HS879" s="803"/>
      <c r="HT879" s="803"/>
      <c r="HU879" s="803"/>
      <c r="HV879" s="803"/>
      <c r="HW879" s="803"/>
      <c r="HX879" s="803"/>
      <c r="HY879" s="803"/>
      <c r="HZ879" s="803"/>
      <c r="IA879" s="803"/>
      <c r="IB879" s="803"/>
      <c r="IC879" s="803"/>
      <c r="ID879" s="803"/>
      <c r="IE879" s="803"/>
      <c r="IF879" s="803"/>
      <c r="IG879" s="803"/>
      <c r="IH879" s="803"/>
      <c r="II879" s="803"/>
      <c r="IJ879" s="803"/>
      <c r="IK879" s="803"/>
      <c r="IL879" s="803"/>
      <c r="IM879" s="803"/>
      <c r="IN879" s="803"/>
      <c r="IO879" s="803"/>
      <c r="IP879" s="803"/>
      <c r="IQ879" s="803"/>
      <c r="IR879" s="803"/>
      <c r="IS879" s="803"/>
      <c r="IT879" s="803"/>
      <c r="IU879" s="803"/>
      <c r="IV879" s="803"/>
      <c r="IW879" s="803"/>
      <c r="IX879" s="803"/>
      <c r="IY879" s="803"/>
      <c r="IZ879" s="803"/>
      <c r="JA879" s="803"/>
      <c r="JB879" s="803"/>
      <c r="JC879" s="803"/>
      <c r="JD879" s="803"/>
      <c r="JE879" s="803"/>
      <c r="JF879" s="803"/>
      <c r="JG879" s="803"/>
      <c r="JH879" s="803"/>
      <c r="JI879" s="803"/>
      <c r="JJ879" s="803"/>
      <c r="JK879" s="803"/>
      <c r="JL879" s="803"/>
      <c r="JM879" s="803"/>
      <c r="JN879" s="803"/>
      <c r="JO879" s="803"/>
      <c r="JP879" s="803"/>
      <c r="JQ879" s="803"/>
      <c r="JR879" s="803"/>
      <c r="JS879" s="803"/>
      <c r="JT879" s="803"/>
      <c r="JU879" s="803"/>
      <c r="JV879" s="803"/>
      <c r="JW879" s="803"/>
      <c r="JX879" s="803"/>
      <c r="JY879" s="803"/>
      <c r="JZ879" s="803"/>
      <c r="KA879" s="803"/>
      <c r="KB879" s="803"/>
      <c r="KC879" s="803"/>
      <c r="KD879" s="803"/>
      <c r="KE879" s="803"/>
      <c r="KF879" s="803"/>
      <c r="KG879" s="803"/>
      <c r="KH879" s="803"/>
      <c r="KI879" s="803"/>
      <c r="KJ879" s="803"/>
      <c r="KK879" s="803"/>
      <c r="KL879" s="803"/>
      <c r="KM879" s="803"/>
      <c r="KN879" s="803"/>
      <c r="KO879" s="803"/>
      <c r="KP879" s="803"/>
      <c r="KQ879" s="803"/>
      <c r="KR879" s="803"/>
      <c r="KS879" s="803"/>
      <c r="KT879" s="803"/>
      <c r="KU879" s="803"/>
      <c r="KV879" s="803"/>
      <c r="KW879" s="803"/>
      <c r="KX879" s="803"/>
      <c r="KY879" s="803"/>
      <c r="KZ879" s="803"/>
      <c r="LA879" s="803"/>
      <c r="LB879" s="803"/>
      <c r="LC879" s="803"/>
      <c r="LD879" s="803"/>
      <c r="LE879" s="803"/>
      <c r="LF879" s="803"/>
      <c r="LG879" s="803"/>
      <c r="LH879" s="803"/>
      <c r="LI879" s="803"/>
      <c r="LJ879" s="803"/>
      <c r="LK879" s="803"/>
      <c r="LL879" s="803"/>
      <c r="LM879" s="803"/>
      <c r="LN879" s="803"/>
      <c r="LO879" s="803"/>
      <c r="LP879" s="803"/>
      <c r="LQ879" s="803"/>
      <c r="LR879" s="803"/>
      <c r="LS879" s="803"/>
      <c r="LT879" s="803"/>
      <c r="LU879" s="803"/>
      <c r="LV879" s="803"/>
      <c r="LW879" s="803"/>
      <c r="LX879" s="803"/>
      <c r="LY879" s="803"/>
      <c r="LZ879" s="803"/>
      <c r="MA879" s="803"/>
      <c r="MB879" s="803"/>
      <c r="MC879" s="803"/>
      <c r="MD879" s="803"/>
      <c r="ME879" s="803"/>
      <c r="MF879" s="803"/>
      <c r="MG879" s="803"/>
      <c r="MH879" s="803"/>
      <c r="MI879" s="803"/>
      <c r="MJ879" s="803"/>
      <c r="MK879" s="803"/>
      <c r="ML879" s="803"/>
      <c r="MM879" s="803"/>
      <c r="MN879" s="803"/>
      <c r="MO879" s="803"/>
      <c r="MP879" s="803"/>
      <c r="MQ879" s="803"/>
      <c r="MR879" s="803"/>
      <c r="MS879" s="803"/>
      <c r="MT879" s="803"/>
      <c r="MU879" s="803"/>
      <c r="MV879" s="803"/>
      <c r="MW879" s="803"/>
      <c r="MX879" s="803"/>
      <c r="MY879" s="803"/>
      <c r="MZ879" s="803"/>
      <c r="NA879" s="803"/>
      <c r="NB879" s="803"/>
      <c r="NC879" s="803"/>
      <c r="ND879" s="803"/>
      <c r="NE879" s="803"/>
      <c r="NF879" s="803"/>
      <c r="NG879" s="803"/>
      <c r="NH879" s="803"/>
      <c r="NI879" s="803"/>
      <c r="NJ879" s="803"/>
      <c r="NK879" s="803"/>
      <c r="NL879" s="803"/>
      <c r="NM879" s="803"/>
      <c r="NN879" s="803"/>
      <c r="NO879" s="803"/>
      <c r="NP879" s="803"/>
      <c r="NQ879" s="803"/>
      <c r="NR879" s="803"/>
      <c r="NS879" s="803"/>
      <c r="NT879" s="803"/>
      <c r="NU879" s="803"/>
      <c r="NV879" s="803"/>
      <c r="NW879" s="803"/>
      <c r="NX879" s="803"/>
      <c r="NY879" s="803"/>
      <c r="NZ879" s="803"/>
      <c r="OA879" s="803"/>
      <c r="OB879" s="803"/>
      <c r="OC879" s="803"/>
      <c r="OD879" s="803"/>
      <c r="OE879" s="803"/>
      <c r="OF879" s="803"/>
      <c r="OG879" s="803"/>
      <c r="OH879" s="803"/>
      <c r="OI879" s="803"/>
      <c r="OJ879" s="803"/>
      <c r="OK879" s="803"/>
      <c r="OL879" s="803"/>
      <c r="OM879" s="803"/>
      <c r="ON879" s="803"/>
      <c r="OO879" s="803"/>
      <c r="OP879" s="803"/>
      <c r="OQ879" s="803"/>
      <c r="OR879" s="803"/>
      <c r="OS879" s="803"/>
      <c r="OT879" s="803"/>
      <c r="OU879" s="803"/>
      <c r="OV879" s="803"/>
      <c r="OW879" s="803"/>
      <c r="OX879" s="803"/>
      <c r="OY879" s="803"/>
      <c r="OZ879" s="803"/>
      <c r="PA879" s="803"/>
      <c r="PB879" s="803"/>
      <c r="PC879" s="803"/>
      <c r="PD879" s="803"/>
      <c r="PE879" s="803"/>
      <c r="PF879" s="803"/>
      <c r="PG879" s="803"/>
      <c r="PH879" s="803"/>
      <c r="PI879" s="803"/>
      <c r="PJ879" s="803"/>
      <c r="PK879" s="803"/>
      <c r="PL879" s="803"/>
      <c r="PM879" s="803"/>
      <c r="PN879" s="803"/>
      <c r="PO879" s="803"/>
      <c r="PP879" s="803"/>
      <c r="PQ879" s="803"/>
      <c r="PR879" s="803"/>
      <c r="PS879" s="803"/>
      <c r="PT879" s="803"/>
      <c r="PU879" s="803"/>
      <c r="PV879" s="803"/>
      <c r="PW879" s="803"/>
      <c r="PX879" s="803"/>
      <c r="PY879" s="803"/>
      <c r="PZ879" s="803"/>
      <c r="QA879" s="803"/>
      <c r="QB879" s="803"/>
      <c r="QC879" s="803"/>
      <c r="QD879" s="803"/>
      <c r="QE879" s="803"/>
      <c r="QF879" s="803"/>
      <c r="QG879" s="803"/>
      <c r="QH879" s="803"/>
      <c r="QI879" s="803"/>
      <c r="QJ879" s="803"/>
      <c r="QK879" s="803"/>
      <c r="QL879" s="803"/>
      <c r="QM879" s="803"/>
      <c r="QN879" s="803"/>
      <c r="QO879" s="803"/>
      <c r="QP879" s="803"/>
      <c r="QQ879" s="803"/>
      <c r="QR879" s="803"/>
      <c r="QS879" s="803"/>
      <c r="QT879" s="803"/>
      <c r="QU879" s="803"/>
      <c r="QV879" s="803"/>
      <c r="QW879" s="803"/>
      <c r="QX879" s="803"/>
      <c r="QY879" s="803"/>
      <c r="QZ879" s="803"/>
      <c r="RA879" s="803"/>
      <c r="RB879" s="803"/>
      <c r="RC879" s="803"/>
      <c r="RD879" s="803"/>
      <c r="RE879" s="803"/>
      <c r="RF879" s="803"/>
      <c r="RG879" s="803"/>
      <c r="RH879" s="803"/>
      <c r="RI879" s="803"/>
      <c r="RJ879" s="803"/>
      <c r="RK879" s="803"/>
      <c r="RL879" s="803"/>
      <c r="RM879" s="803"/>
      <c r="RN879" s="803"/>
      <c r="RO879" s="803"/>
      <c r="RP879" s="803"/>
      <c r="RQ879" s="803"/>
      <c r="RR879" s="803"/>
      <c r="RS879" s="803"/>
      <c r="RT879" s="803"/>
      <c r="RU879" s="803"/>
      <c r="RV879" s="803"/>
      <c r="RW879" s="803"/>
      <c r="RX879" s="803"/>
      <c r="RY879" s="803"/>
      <c r="RZ879" s="803"/>
      <c r="SA879" s="803"/>
      <c r="SB879" s="803"/>
      <c r="SC879" s="803"/>
      <c r="SD879" s="803"/>
      <c r="SE879" s="803"/>
      <c r="SF879" s="803"/>
      <c r="SG879" s="803"/>
      <c r="SH879" s="803"/>
      <c r="SI879" s="803"/>
      <c r="SJ879" s="803"/>
      <c r="SK879" s="803"/>
      <c r="SL879" s="803"/>
      <c r="SM879" s="803"/>
      <c r="SN879" s="803"/>
      <c r="SO879" s="803"/>
      <c r="SP879" s="803"/>
      <c r="SQ879" s="803"/>
      <c r="SR879" s="803"/>
      <c r="SS879" s="803"/>
      <c r="ST879" s="803"/>
      <c r="SU879" s="803"/>
      <c r="SV879" s="803"/>
      <c r="SW879" s="803"/>
      <c r="SX879" s="803"/>
      <c r="SY879" s="803"/>
      <c r="SZ879" s="803"/>
      <c r="TA879" s="803"/>
      <c r="TB879" s="803"/>
      <c r="TC879" s="803"/>
      <c r="TD879" s="803"/>
      <c r="TE879" s="803"/>
      <c r="TF879" s="803"/>
      <c r="TG879" s="803"/>
      <c r="TH879" s="803"/>
      <c r="TI879" s="803"/>
      <c r="TJ879" s="803"/>
      <c r="TK879" s="803"/>
      <c r="TL879" s="803"/>
      <c r="TM879" s="803"/>
      <c r="TN879" s="803"/>
      <c r="TO879" s="803"/>
      <c r="TP879" s="803"/>
      <c r="TQ879" s="803"/>
      <c r="TR879" s="803"/>
      <c r="TS879" s="803"/>
      <c r="TT879" s="803"/>
      <c r="TU879" s="803"/>
      <c r="TV879" s="803"/>
      <c r="TW879" s="803"/>
      <c r="TX879" s="803"/>
      <c r="TY879" s="803"/>
      <c r="TZ879" s="803"/>
      <c r="UA879" s="803"/>
      <c r="UB879" s="803"/>
      <c r="UC879" s="803"/>
      <c r="UD879" s="803"/>
      <c r="UE879" s="803"/>
      <c r="UF879" s="803"/>
      <c r="UG879" s="803"/>
      <c r="UH879" s="803"/>
      <c r="UI879" s="803"/>
      <c r="UJ879" s="803"/>
      <c r="UK879" s="803"/>
      <c r="UL879" s="803"/>
      <c r="UM879" s="803"/>
      <c r="UN879" s="803"/>
      <c r="UO879" s="803"/>
      <c r="UP879" s="803"/>
      <c r="UQ879" s="803"/>
      <c r="UR879" s="803"/>
      <c r="US879" s="803"/>
      <c r="UT879" s="803"/>
      <c r="UU879" s="803"/>
      <c r="UV879" s="803"/>
      <c r="UW879" s="803"/>
      <c r="UX879" s="803"/>
      <c r="UY879" s="803"/>
      <c r="UZ879" s="803"/>
      <c r="VA879" s="803"/>
      <c r="VB879" s="803"/>
      <c r="VC879" s="803"/>
      <c r="VD879" s="803"/>
      <c r="VE879" s="803"/>
      <c r="VF879" s="803"/>
      <c r="VG879" s="803"/>
      <c r="VH879" s="803"/>
      <c r="VI879" s="803"/>
      <c r="VJ879" s="803"/>
      <c r="VK879" s="803"/>
      <c r="VL879" s="803"/>
      <c r="VM879" s="803"/>
      <c r="VN879" s="803"/>
      <c r="VO879" s="803"/>
      <c r="VP879" s="803"/>
      <c r="VQ879" s="803"/>
      <c r="VR879" s="803"/>
      <c r="VS879" s="803"/>
      <c r="VT879" s="803"/>
      <c r="VU879" s="803"/>
      <c r="VV879" s="803"/>
      <c r="VW879" s="803"/>
      <c r="VX879" s="803"/>
      <c r="VY879" s="803"/>
      <c r="VZ879" s="803"/>
      <c r="WA879" s="803"/>
      <c r="WB879" s="803"/>
      <c r="WC879" s="803"/>
      <c r="WD879" s="803"/>
      <c r="WE879" s="803"/>
      <c r="WF879" s="803"/>
      <c r="WG879" s="803"/>
      <c r="WH879" s="803"/>
      <c r="WI879" s="803"/>
      <c r="WJ879" s="803"/>
      <c r="WK879" s="803"/>
      <c r="WL879" s="803"/>
      <c r="WM879" s="803"/>
      <c r="WN879" s="803"/>
      <c r="WO879" s="803"/>
      <c r="WP879" s="803"/>
      <c r="WQ879" s="803"/>
      <c r="WR879" s="803"/>
      <c r="WS879" s="803"/>
      <c r="WT879" s="803"/>
      <c r="WU879" s="803"/>
      <c r="WV879" s="803"/>
      <c r="WW879" s="803"/>
      <c r="WX879" s="803"/>
      <c r="WY879" s="803"/>
      <c r="WZ879" s="803"/>
      <c r="XA879" s="803"/>
      <c r="XB879" s="803"/>
      <c r="XC879" s="803"/>
      <c r="XD879" s="803"/>
      <c r="XE879" s="803"/>
      <c r="XF879" s="803"/>
      <c r="XG879" s="803"/>
      <c r="XH879" s="803"/>
      <c r="XI879" s="803"/>
      <c r="XJ879" s="803"/>
      <c r="XK879" s="803"/>
      <c r="XL879" s="803"/>
      <c r="XM879" s="803"/>
      <c r="XN879" s="803"/>
      <c r="XO879" s="803"/>
      <c r="XP879" s="803"/>
      <c r="XQ879" s="803"/>
      <c r="XR879" s="803"/>
      <c r="XS879" s="803"/>
      <c r="XT879" s="803"/>
      <c r="XU879" s="803"/>
      <c r="XV879" s="803"/>
      <c r="XW879" s="803"/>
      <c r="XX879" s="803"/>
      <c r="XY879" s="803"/>
      <c r="XZ879" s="803"/>
      <c r="YA879" s="803"/>
      <c r="YB879" s="803"/>
      <c r="YC879" s="803"/>
      <c r="YD879" s="803"/>
      <c r="YE879" s="803"/>
      <c r="YF879" s="803"/>
      <c r="YG879" s="803"/>
      <c r="YH879" s="803"/>
      <c r="YI879" s="803"/>
      <c r="YJ879" s="803"/>
      <c r="YK879" s="803"/>
      <c r="YL879" s="803"/>
      <c r="YM879" s="803"/>
      <c r="YN879" s="803"/>
      <c r="YO879" s="803"/>
      <c r="YP879" s="803"/>
      <c r="YQ879" s="803"/>
      <c r="YR879" s="803"/>
      <c r="YS879" s="803"/>
      <c r="YT879" s="803"/>
      <c r="YU879" s="803"/>
      <c r="YV879" s="803"/>
      <c r="YW879" s="803"/>
      <c r="YX879" s="803"/>
      <c r="YY879" s="803"/>
      <c r="YZ879" s="803"/>
      <c r="ZA879" s="803"/>
      <c r="ZB879" s="803"/>
      <c r="ZC879" s="803"/>
      <c r="ZD879" s="803"/>
      <c r="ZE879" s="803"/>
      <c r="ZF879" s="803"/>
      <c r="ZG879" s="803"/>
      <c r="ZH879" s="803"/>
      <c r="ZI879" s="803"/>
      <c r="ZJ879" s="803"/>
      <c r="ZK879" s="803"/>
      <c r="ZL879" s="803"/>
      <c r="ZM879" s="803"/>
      <c r="ZN879" s="803"/>
      <c r="ZO879" s="803"/>
      <c r="ZP879" s="803"/>
      <c r="ZQ879" s="803"/>
      <c r="ZR879" s="803"/>
      <c r="ZS879" s="803"/>
      <c r="ZT879" s="803"/>
      <c r="ZU879" s="803"/>
      <c r="ZV879" s="803"/>
      <c r="ZW879" s="803"/>
      <c r="ZX879" s="803"/>
      <c r="ZY879" s="803"/>
      <c r="ZZ879" s="803"/>
      <c r="AAA879" s="803"/>
      <c r="AAB879" s="803"/>
      <c r="AAC879" s="803"/>
      <c r="AAD879" s="803"/>
      <c r="AAE879" s="803"/>
      <c r="AAF879" s="803"/>
      <c r="AAG879" s="803"/>
      <c r="AAH879" s="803"/>
      <c r="AAI879" s="803"/>
      <c r="AAJ879" s="803"/>
      <c r="AAK879" s="803"/>
      <c r="AAL879" s="803"/>
      <c r="AAM879" s="803"/>
      <c r="AAN879" s="803"/>
      <c r="AAO879" s="803"/>
      <c r="AAP879" s="803"/>
      <c r="AAQ879" s="803"/>
      <c r="AAR879" s="803"/>
      <c r="AAS879" s="803"/>
      <c r="AAT879" s="803"/>
      <c r="AAU879" s="803"/>
      <c r="AAV879" s="803"/>
      <c r="AAW879" s="803"/>
      <c r="AAX879" s="803"/>
      <c r="AAY879" s="803"/>
      <c r="AAZ879" s="803"/>
      <c r="ABA879" s="803"/>
      <c r="ABB879" s="803"/>
      <c r="ABC879" s="803"/>
      <c r="ABD879" s="803"/>
      <c r="ABE879" s="803"/>
      <c r="ABF879" s="803"/>
      <c r="ABG879" s="803"/>
      <c r="ABH879" s="803"/>
      <c r="ABI879" s="803"/>
      <c r="ABJ879" s="803"/>
      <c r="ABK879" s="803"/>
      <c r="ABL879" s="803"/>
      <c r="ABM879" s="803"/>
      <c r="ABN879" s="803"/>
      <c r="ABO879" s="803"/>
      <c r="ABP879" s="803"/>
      <c r="ABQ879" s="803"/>
      <c r="ABR879" s="803"/>
      <c r="ABS879" s="803"/>
      <c r="ABT879" s="803"/>
      <c r="ABU879" s="803"/>
      <c r="ABV879" s="803"/>
      <c r="ABW879" s="803"/>
      <c r="ABX879" s="803"/>
      <c r="ABY879" s="803"/>
      <c r="ABZ879" s="803"/>
      <c r="ACA879" s="803"/>
      <c r="ACB879" s="803"/>
      <c r="ACC879" s="803"/>
      <c r="ACD879" s="803"/>
      <c r="ACE879" s="803"/>
      <c r="ACF879" s="803"/>
      <c r="ACG879" s="803"/>
      <c r="ACH879" s="803"/>
      <c r="ACI879" s="803"/>
      <c r="ACJ879" s="803"/>
      <c r="ACK879" s="803"/>
      <c r="ACL879" s="803"/>
      <c r="ACM879" s="803"/>
      <c r="ACN879" s="803"/>
      <c r="ACO879" s="803"/>
      <c r="ACP879" s="803"/>
      <c r="ACQ879" s="803"/>
      <c r="ACR879" s="803"/>
      <c r="ACS879" s="803"/>
      <c r="ACT879" s="803"/>
      <c r="ACU879" s="803"/>
      <c r="ACV879" s="803"/>
      <c r="ACW879" s="803"/>
      <c r="ACX879" s="803"/>
      <c r="ACY879" s="803"/>
      <c r="ACZ879" s="803"/>
      <c r="ADA879" s="803"/>
      <c r="ADB879" s="803"/>
      <c r="ADC879" s="803"/>
      <c r="ADD879" s="803"/>
      <c r="ADE879" s="803"/>
      <c r="ADF879" s="803"/>
      <c r="ADG879" s="803"/>
      <c r="ADH879" s="803"/>
      <c r="ADI879" s="803"/>
      <c r="ADJ879" s="803"/>
      <c r="ADK879" s="803"/>
      <c r="ADL879" s="803"/>
      <c r="ADM879" s="803"/>
      <c r="ADN879" s="803"/>
      <c r="ADO879" s="803"/>
      <c r="ADP879" s="803"/>
      <c r="ADQ879" s="803"/>
      <c r="ADR879" s="803"/>
      <c r="ADS879" s="803"/>
      <c r="ADT879" s="803"/>
      <c r="ADU879" s="803"/>
      <c r="ADV879" s="803"/>
      <c r="ADW879" s="803"/>
      <c r="ADX879" s="803"/>
      <c r="ADY879" s="803"/>
      <c r="ADZ879" s="803"/>
      <c r="AEA879" s="803"/>
      <c r="AEB879" s="803"/>
      <c r="AEC879" s="803"/>
      <c r="AED879" s="803"/>
      <c r="AEE879" s="803"/>
      <c r="AEF879" s="803"/>
      <c r="AEG879" s="803"/>
      <c r="AEH879" s="803"/>
      <c r="AEI879" s="803"/>
      <c r="AEJ879" s="803"/>
      <c r="AEK879" s="803"/>
      <c r="AEL879" s="803"/>
      <c r="AEM879" s="803"/>
      <c r="AEN879" s="803"/>
      <c r="AEO879" s="803"/>
      <c r="AEP879" s="803"/>
      <c r="AEQ879" s="803"/>
      <c r="AER879" s="803"/>
      <c r="AES879" s="803"/>
      <c r="AET879" s="803"/>
      <c r="AEU879" s="803"/>
      <c r="AEV879" s="803"/>
      <c r="AEW879" s="803"/>
      <c r="AEX879" s="803"/>
      <c r="AEY879" s="803"/>
      <c r="AEZ879" s="803"/>
      <c r="AFA879" s="803"/>
      <c r="AFB879" s="803"/>
      <c r="AFC879" s="803"/>
      <c r="AFD879" s="803"/>
      <c r="AFE879" s="803"/>
      <c r="AFF879" s="803"/>
      <c r="AFG879" s="803"/>
      <c r="AFH879" s="803"/>
      <c r="AFI879" s="803"/>
      <c r="AFJ879" s="803"/>
      <c r="AFK879" s="803"/>
      <c r="AFL879" s="803"/>
      <c r="AFM879" s="803"/>
      <c r="AFN879" s="803"/>
      <c r="AFO879" s="803"/>
      <c r="AFP879" s="803"/>
      <c r="AFQ879" s="803"/>
      <c r="AFR879" s="803"/>
      <c r="AFS879" s="803"/>
      <c r="AFT879" s="803"/>
      <c r="AFU879" s="803"/>
      <c r="AFV879" s="803"/>
      <c r="AFW879" s="803"/>
      <c r="AFX879" s="803"/>
      <c r="AFY879" s="803"/>
      <c r="AFZ879" s="803"/>
      <c r="AGA879" s="803"/>
      <c r="AGB879" s="803"/>
      <c r="AGC879" s="803"/>
      <c r="AGD879" s="803"/>
      <c r="AGE879" s="803"/>
      <c r="AGF879" s="803"/>
      <c r="AGG879" s="803"/>
      <c r="AGH879" s="803"/>
      <c r="AGI879" s="803"/>
      <c r="AGJ879" s="803"/>
    </row>
    <row r="880" spans="1:868" s="7" customFormat="1">
      <c r="A880" s="59" t="s">
        <v>451</v>
      </c>
      <c r="B880" s="336" t="s">
        <v>251</v>
      </c>
      <c r="C880" s="34" t="s">
        <v>139</v>
      </c>
      <c r="D880" s="40" t="s">
        <v>99</v>
      </c>
      <c r="E880" s="237">
        <v>3.3408E-2</v>
      </c>
      <c r="F880" s="40">
        <v>2</v>
      </c>
      <c r="G880" s="34" t="s">
        <v>412</v>
      </c>
      <c r="H880" s="29">
        <v>1</v>
      </c>
      <c r="I880" s="9">
        <v>2</v>
      </c>
      <c r="J880" s="9">
        <v>2</v>
      </c>
      <c r="K880" s="9">
        <v>1</v>
      </c>
      <c r="L880" s="9">
        <v>1</v>
      </c>
      <c r="M880" s="9">
        <v>1</v>
      </c>
      <c r="N880" s="185">
        <f>IF( OR( ISBLANK(H880),ISBLANK(J880), ISBLANK(K880), ISBLANK(L880), ISBLANK(M880) ), "", 1.5*SQRT(   EXP(2.21*(H880-1)) + EXP(2.21*(J880-1)) + EXP(2.21*(K880-1)) + EXP(2.21*(L880-1)) + EXP(2.21*M880)   )/100*2.45 )</f>
        <v>0.16933510251023262</v>
      </c>
      <c r="O880" s="159">
        <f>IF( OR( ISBLANK(I880),ISBLANK(J880), ISBLANK(K880), ISBLANK(L880), ISBLANK(M880) ), "", 1.5*SQRT( EXP(2.21*(I880-1)) + EXP(2.21*(J880-1)) + EXP(2.21*(K880-1)) + EXP(2.21*(L880-1)) + EXP(2.21*M880)   )/100*2.45 )</f>
        <v>0.19908580854301616</v>
      </c>
      <c r="P880" s="34" t="s">
        <v>1970</v>
      </c>
      <c r="Q880" s="803"/>
      <c r="R880" s="803"/>
      <c r="S880" s="803"/>
      <c r="T880" s="803"/>
      <c r="U880" s="803"/>
      <c r="V880" s="803"/>
      <c r="W880" s="803"/>
      <c r="X880" s="803"/>
      <c r="Y880" s="803"/>
      <c r="Z880" s="803"/>
      <c r="AA880" s="803"/>
      <c r="AB880" s="803"/>
      <c r="AC880" s="803"/>
      <c r="AD880" s="803"/>
      <c r="AE880" s="803"/>
      <c r="AF880" s="803"/>
      <c r="AG880" s="803"/>
      <c r="AH880" s="803"/>
      <c r="AI880" s="803"/>
      <c r="AJ880" s="803"/>
      <c r="AK880" s="803"/>
      <c r="AL880" s="803"/>
      <c r="AM880" s="803"/>
      <c r="AN880" s="803"/>
      <c r="AO880" s="803"/>
      <c r="AP880" s="803"/>
      <c r="AQ880" s="803"/>
      <c r="AR880" s="803"/>
      <c r="AS880" s="803"/>
      <c r="AT880" s="803"/>
      <c r="AU880" s="803"/>
      <c r="AV880" s="803"/>
      <c r="AW880" s="803"/>
      <c r="AX880" s="803"/>
      <c r="AY880" s="803"/>
      <c r="AZ880" s="803"/>
      <c r="BA880" s="803"/>
      <c r="BB880" s="803"/>
      <c r="BC880" s="803"/>
      <c r="BD880" s="803"/>
      <c r="BE880" s="803"/>
      <c r="BF880" s="803"/>
      <c r="BG880" s="803"/>
      <c r="BH880" s="803"/>
      <c r="BI880" s="803"/>
      <c r="BJ880" s="803"/>
      <c r="BK880" s="803"/>
      <c r="BL880" s="803"/>
      <c r="BM880" s="803"/>
      <c r="BN880" s="803"/>
      <c r="BO880" s="803"/>
      <c r="BP880" s="803"/>
      <c r="BQ880" s="803"/>
      <c r="BR880" s="803"/>
      <c r="BS880" s="803"/>
      <c r="BT880" s="803"/>
      <c r="BU880" s="803"/>
      <c r="BV880" s="803"/>
      <c r="BW880" s="803"/>
      <c r="BX880" s="803"/>
      <c r="BY880" s="803"/>
      <c r="BZ880" s="803"/>
      <c r="CA880" s="803"/>
      <c r="CB880" s="803"/>
      <c r="CC880" s="803"/>
      <c r="CD880" s="803"/>
      <c r="CE880" s="803"/>
      <c r="CF880" s="803"/>
      <c r="CG880" s="803"/>
      <c r="CH880" s="803"/>
      <c r="CI880" s="803"/>
      <c r="CJ880" s="803"/>
      <c r="CK880" s="803"/>
      <c r="CL880" s="803"/>
      <c r="CM880" s="803"/>
      <c r="CN880" s="803"/>
      <c r="CO880" s="803"/>
      <c r="CP880" s="803"/>
      <c r="CQ880" s="803"/>
      <c r="CR880" s="803"/>
      <c r="CS880" s="803"/>
      <c r="CT880" s="803"/>
      <c r="CU880" s="803"/>
      <c r="CV880" s="803"/>
      <c r="CW880" s="803"/>
      <c r="CX880" s="803"/>
      <c r="CY880" s="803"/>
      <c r="CZ880" s="803"/>
      <c r="DA880" s="803"/>
      <c r="DB880" s="803"/>
      <c r="DC880" s="803"/>
      <c r="DD880" s="803"/>
      <c r="DE880" s="803"/>
      <c r="DF880" s="803"/>
      <c r="DG880" s="803"/>
      <c r="DH880" s="803"/>
      <c r="DI880" s="803"/>
      <c r="DJ880" s="803"/>
      <c r="DK880" s="803"/>
      <c r="DL880" s="803"/>
      <c r="DM880" s="803"/>
      <c r="DN880" s="803"/>
      <c r="DO880" s="803"/>
      <c r="DP880" s="803"/>
      <c r="DQ880" s="803"/>
      <c r="DR880" s="803"/>
      <c r="DS880" s="803"/>
      <c r="DT880" s="803"/>
      <c r="DU880" s="803"/>
      <c r="DV880" s="803"/>
      <c r="DW880" s="803"/>
      <c r="DX880" s="803"/>
      <c r="DY880" s="803"/>
      <c r="DZ880" s="803"/>
      <c r="EA880" s="803"/>
      <c r="EB880" s="803"/>
      <c r="EC880" s="803"/>
      <c r="ED880" s="803"/>
      <c r="EE880" s="803"/>
      <c r="EF880" s="803"/>
      <c r="EG880" s="803"/>
      <c r="EH880" s="803"/>
      <c r="EI880" s="803"/>
      <c r="EJ880" s="803"/>
      <c r="EK880" s="803"/>
      <c r="EL880" s="803"/>
      <c r="EM880" s="803"/>
      <c r="EN880" s="803"/>
      <c r="EO880" s="803"/>
      <c r="EP880" s="803"/>
      <c r="EQ880" s="803"/>
      <c r="ER880" s="803"/>
      <c r="ES880" s="803"/>
      <c r="ET880" s="803"/>
      <c r="EU880" s="803"/>
      <c r="EV880" s="803"/>
      <c r="EW880" s="803"/>
      <c r="EX880" s="803"/>
      <c r="EY880" s="803"/>
      <c r="EZ880" s="803"/>
      <c r="FA880" s="803"/>
      <c r="FB880" s="803"/>
      <c r="FC880" s="803"/>
      <c r="FD880" s="803"/>
      <c r="FE880" s="803"/>
      <c r="FF880" s="803"/>
      <c r="FG880" s="803"/>
      <c r="FH880" s="803"/>
      <c r="FI880" s="803"/>
      <c r="FJ880" s="803"/>
      <c r="FK880" s="803"/>
      <c r="FL880" s="803"/>
      <c r="FM880" s="803"/>
      <c r="FN880" s="803"/>
      <c r="FO880" s="803"/>
      <c r="FP880" s="803"/>
      <c r="FQ880" s="803"/>
      <c r="FR880" s="803"/>
      <c r="FS880" s="803"/>
      <c r="FT880" s="803"/>
      <c r="FU880" s="803"/>
      <c r="FV880" s="803"/>
      <c r="FW880" s="803"/>
      <c r="FX880" s="803"/>
      <c r="FY880" s="803"/>
      <c r="FZ880" s="803"/>
      <c r="GA880" s="803"/>
      <c r="GB880" s="803"/>
      <c r="GC880" s="803"/>
      <c r="GD880" s="803"/>
      <c r="GE880" s="803"/>
      <c r="GF880" s="803"/>
      <c r="GG880" s="803"/>
      <c r="GH880" s="803"/>
      <c r="GI880" s="803"/>
      <c r="GJ880" s="803"/>
      <c r="GK880" s="803"/>
      <c r="GL880" s="803"/>
      <c r="GM880" s="803"/>
      <c r="GN880" s="803"/>
      <c r="GO880" s="803"/>
      <c r="GP880" s="803"/>
      <c r="GQ880" s="803"/>
      <c r="GR880" s="803"/>
      <c r="GS880" s="803"/>
      <c r="GT880" s="803"/>
      <c r="GU880" s="803"/>
      <c r="GV880" s="803"/>
      <c r="GW880" s="803"/>
      <c r="GX880" s="803"/>
      <c r="GY880" s="803"/>
      <c r="GZ880" s="803"/>
      <c r="HA880" s="803"/>
      <c r="HB880" s="803"/>
      <c r="HC880" s="803"/>
      <c r="HD880" s="803"/>
      <c r="HE880" s="803"/>
      <c r="HF880" s="803"/>
      <c r="HG880" s="803"/>
      <c r="HH880" s="803"/>
      <c r="HI880" s="803"/>
      <c r="HJ880" s="803"/>
      <c r="HK880" s="803"/>
      <c r="HL880" s="803"/>
      <c r="HM880" s="803"/>
      <c r="HN880" s="803"/>
      <c r="HO880" s="803"/>
      <c r="HP880" s="803"/>
      <c r="HQ880" s="803"/>
      <c r="HR880" s="803"/>
      <c r="HS880" s="803"/>
      <c r="HT880" s="803"/>
      <c r="HU880" s="803"/>
      <c r="HV880" s="803"/>
      <c r="HW880" s="803"/>
      <c r="HX880" s="803"/>
      <c r="HY880" s="803"/>
      <c r="HZ880" s="803"/>
      <c r="IA880" s="803"/>
      <c r="IB880" s="803"/>
      <c r="IC880" s="803"/>
      <c r="ID880" s="803"/>
      <c r="IE880" s="803"/>
      <c r="IF880" s="803"/>
      <c r="IG880" s="803"/>
      <c r="IH880" s="803"/>
      <c r="II880" s="803"/>
      <c r="IJ880" s="803"/>
      <c r="IK880" s="803"/>
      <c r="IL880" s="803"/>
      <c r="IM880" s="803"/>
      <c r="IN880" s="803"/>
      <c r="IO880" s="803"/>
      <c r="IP880" s="803"/>
      <c r="IQ880" s="803"/>
      <c r="IR880" s="803"/>
      <c r="IS880" s="803"/>
      <c r="IT880" s="803"/>
      <c r="IU880" s="803"/>
      <c r="IV880" s="803"/>
      <c r="IW880" s="803"/>
      <c r="IX880" s="803"/>
      <c r="IY880" s="803"/>
      <c r="IZ880" s="803"/>
      <c r="JA880" s="803"/>
      <c r="JB880" s="803"/>
      <c r="JC880" s="803"/>
      <c r="JD880" s="803"/>
      <c r="JE880" s="803"/>
      <c r="JF880" s="803"/>
      <c r="JG880" s="803"/>
      <c r="JH880" s="803"/>
      <c r="JI880" s="803"/>
      <c r="JJ880" s="803"/>
      <c r="JK880" s="803"/>
      <c r="JL880" s="803"/>
      <c r="JM880" s="803"/>
      <c r="JN880" s="803"/>
      <c r="JO880" s="803"/>
      <c r="JP880" s="803"/>
      <c r="JQ880" s="803"/>
      <c r="JR880" s="803"/>
      <c r="JS880" s="803"/>
      <c r="JT880" s="803"/>
      <c r="JU880" s="803"/>
      <c r="JV880" s="803"/>
      <c r="JW880" s="803"/>
      <c r="JX880" s="803"/>
      <c r="JY880" s="803"/>
      <c r="JZ880" s="803"/>
      <c r="KA880" s="803"/>
      <c r="KB880" s="803"/>
      <c r="KC880" s="803"/>
      <c r="KD880" s="803"/>
      <c r="KE880" s="803"/>
      <c r="KF880" s="803"/>
      <c r="KG880" s="803"/>
      <c r="KH880" s="803"/>
      <c r="KI880" s="803"/>
      <c r="KJ880" s="803"/>
      <c r="KK880" s="803"/>
      <c r="KL880" s="803"/>
      <c r="KM880" s="803"/>
      <c r="KN880" s="803"/>
      <c r="KO880" s="803"/>
      <c r="KP880" s="803"/>
      <c r="KQ880" s="803"/>
      <c r="KR880" s="803"/>
      <c r="KS880" s="803"/>
      <c r="KT880" s="803"/>
      <c r="KU880" s="803"/>
      <c r="KV880" s="803"/>
      <c r="KW880" s="803"/>
      <c r="KX880" s="803"/>
      <c r="KY880" s="803"/>
      <c r="KZ880" s="803"/>
      <c r="LA880" s="803"/>
      <c r="LB880" s="803"/>
      <c r="LC880" s="803"/>
      <c r="LD880" s="803"/>
      <c r="LE880" s="803"/>
      <c r="LF880" s="803"/>
      <c r="LG880" s="803"/>
      <c r="LH880" s="803"/>
      <c r="LI880" s="803"/>
      <c r="LJ880" s="803"/>
      <c r="LK880" s="803"/>
      <c r="LL880" s="803"/>
      <c r="LM880" s="803"/>
      <c r="LN880" s="803"/>
      <c r="LO880" s="803"/>
      <c r="LP880" s="803"/>
      <c r="LQ880" s="803"/>
      <c r="LR880" s="803"/>
      <c r="LS880" s="803"/>
      <c r="LT880" s="803"/>
      <c r="LU880" s="803"/>
      <c r="LV880" s="803"/>
      <c r="LW880" s="803"/>
      <c r="LX880" s="803"/>
      <c r="LY880" s="803"/>
      <c r="LZ880" s="803"/>
      <c r="MA880" s="803"/>
      <c r="MB880" s="803"/>
      <c r="MC880" s="803"/>
      <c r="MD880" s="803"/>
      <c r="ME880" s="803"/>
      <c r="MF880" s="803"/>
      <c r="MG880" s="803"/>
      <c r="MH880" s="803"/>
      <c r="MI880" s="803"/>
      <c r="MJ880" s="803"/>
      <c r="MK880" s="803"/>
      <c r="ML880" s="803"/>
      <c r="MM880" s="803"/>
      <c r="MN880" s="803"/>
      <c r="MO880" s="803"/>
      <c r="MP880" s="803"/>
      <c r="MQ880" s="803"/>
      <c r="MR880" s="803"/>
      <c r="MS880" s="803"/>
      <c r="MT880" s="803"/>
      <c r="MU880" s="803"/>
      <c r="MV880" s="803"/>
      <c r="MW880" s="803"/>
      <c r="MX880" s="803"/>
      <c r="MY880" s="803"/>
      <c r="MZ880" s="803"/>
      <c r="NA880" s="803"/>
      <c r="NB880" s="803"/>
      <c r="NC880" s="803"/>
      <c r="ND880" s="803"/>
      <c r="NE880" s="803"/>
      <c r="NF880" s="803"/>
      <c r="NG880" s="803"/>
      <c r="NH880" s="803"/>
      <c r="NI880" s="803"/>
      <c r="NJ880" s="803"/>
      <c r="NK880" s="803"/>
      <c r="NL880" s="803"/>
      <c r="NM880" s="803"/>
      <c r="NN880" s="803"/>
      <c r="NO880" s="803"/>
      <c r="NP880" s="803"/>
      <c r="NQ880" s="803"/>
      <c r="NR880" s="803"/>
      <c r="NS880" s="803"/>
      <c r="NT880" s="803"/>
      <c r="NU880" s="803"/>
      <c r="NV880" s="803"/>
      <c r="NW880" s="803"/>
      <c r="NX880" s="803"/>
      <c r="NY880" s="803"/>
      <c r="NZ880" s="803"/>
      <c r="OA880" s="803"/>
      <c r="OB880" s="803"/>
      <c r="OC880" s="803"/>
      <c r="OD880" s="803"/>
      <c r="OE880" s="803"/>
      <c r="OF880" s="803"/>
      <c r="OG880" s="803"/>
      <c r="OH880" s="803"/>
      <c r="OI880" s="803"/>
      <c r="OJ880" s="803"/>
      <c r="OK880" s="803"/>
      <c r="OL880" s="803"/>
      <c r="OM880" s="803"/>
      <c r="ON880" s="803"/>
      <c r="OO880" s="803"/>
      <c r="OP880" s="803"/>
      <c r="OQ880" s="803"/>
      <c r="OR880" s="803"/>
      <c r="OS880" s="803"/>
      <c r="OT880" s="803"/>
      <c r="OU880" s="803"/>
      <c r="OV880" s="803"/>
      <c r="OW880" s="803"/>
      <c r="OX880" s="803"/>
      <c r="OY880" s="803"/>
      <c r="OZ880" s="803"/>
      <c r="PA880" s="803"/>
      <c r="PB880" s="803"/>
      <c r="PC880" s="803"/>
      <c r="PD880" s="803"/>
      <c r="PE880" s="803"/>
      <c r="PF880" s="803"/>
      <c r="PG880" s="803"/>
      <c r="PH880" s="803"/>
      <c r="PI880" s="803"/>
      <c r="PJ880" s="803"/>
      <c r="PK880" s="803"/>
      <c r="PL880" s="803"/>
      <c r="PM880" s="803"/>
      <c r="PN880" s="803"/>
      <c r="PO880" s="803"/>
      <c r="PP880" s="803"/>
      <c r="PQ880" s="803"/>
      <c r="PR880" s="803"/>
      <c r="PS880" s="803"/>
      <c r="PT880" s="803"/>
      <c r="PU880" s="803"/>
      <c r="PV880" s="803"/>
      <c r="PW880" s="803"/>
      <c r="PX880" s="803"/>
      <c r="PY880" s="803"/>
      <c r="PZ880" s="803"/>
      <c r="QA880" s="803"/>
      <c r="QB880" s="803"/>
      <c r="QC880" s="803"/>
      <c r="QD880" s="803"/>
      <c r="QE880" s="803"/>
      <c r="QF880" s="803"/>
      <c r="QG880" s="803"/>
      <c r="QH880" s="803"/>
      <c r="QI880" s="803"/>
      <c r="QJ880" s="803"/>
      <c r="QK880" s="803"/>
      <c r="QL880" s="803"/>
      <c r="QM880" s="803"/>
      <c r="QN880" s="803"/>
      <c r="QO880" s="803"/>
      <c r="QP880" s="803"/>
      <c r="QQ880" s="803"/>
      <c r="QR880" s="803"/>
      <c r="QS880" s="803"/>
      <c r="QT880" s="803"/>
      <c r="QU880" s="803"/>
      <c r="QV880" s="803"/>
      <c r="QW880" s="803"/>
      <c r="QX880" s="803"/>
      <c r="QY880" s="803"/>
      <c r="QZ880" s="803"/>
      <c r="RA880" s="803"/>
      <c r="RB880" s="803"/>
      <c r="RC880" s="803"/>
      <c r="RD880" s="803"/>
      <c r="RE880" s="803"/>
      <c r="RF880" s="803"/>
      <c r="RG880" s="803"/>
      <c r="RH880" s="803"/>
      <c r="RI880" s="803"/>
      <c r="RJ880" s="803"/>
      <c r="RK880" s="803"/>
      <c r="RL880" s="803"/>
      <c r="RM880" s="803"/>
      <c r="RN880" s="803"/>
      <c r="RO880" s="803"/>
      <c r="RP880" s="803"/>
      <c r="RQ880" s="803"/>
      <c r="RR880" s="803"/>
      <c r="RS880" s="803"/>
      <c r="RT880" s="803"/>
      <c r="RU880" s="803"/>
      <c r="RV880" s="803"/>
      <c r="RW880" s="803"/>
      <c r="RX880" s="803"/>
      <c r="RY880" s="803"/>
      <c r="RZ880" s="803"/>
      <c r="SA880" s="803"/>
      <c r="SB880" s="803"/>
      <c r="SC880" s="803"/>
      <c r="SD880" s="803"/>
      <c r="SE880" s="803"/>
      <c r="SF880" s="803"/>
      <c r="SG880" s="803"/>
      <c r="SH880" s="803"/>
      <c r="SI880" s="803"/>
      <c r="SJ880" s="803"/>
      <c r="SK880" s="803"/>
      <c r="SL880" s="803"/>
      <c r="SM880" s="803"/>
      <c r="SN880" s="803"/>
      <c r="SO880" s="803"/>
      <c r="SP880" s="803"/>
      <c r="SQ880" s="803"/>
      <c r="SR880" s="803"/>
      <c r="SS880" s="803"/>
      <c r="ST880" s="803"/>
      <c r="SU880" s="803"/>
      <c r="SV880" s="803"/>
      <c r="SW880" s="803"/>
      <c r="SX880" s="803"/>
      <c r="SY880" s="803"/>
      <c r="SZ880" s="803"/>
      <c r="TA880" s="803"/>
      <c r="TB880" s="803"/>
      <c r="TC880" s="803"/>
      <c r="TD880" s="803"/>
      <c r="TE880" s="803"/>
      <c r="TF880" s="803"/>
      <c r="TG880" s="803"/>
      <c r="TH880" s="803"/>
      <c r="TI880" s="803"/>
      <c r="TJ880" s="803"/>
      <c r="TK880" s="803"/>
      <c r="TL880" s="803"/>
      <c r="TM880" s="803"/>
      <c r="TN880" s="803"/>
      <c r="TO880" s="803"/>
      <c r="TP880" s="803"/>
      <c r="TQ880" s="803"/>
      <c r="TR880" s="803"/>
      <c r="TS880" s="803"/>
      <c r="TT880" s="803"/>
      <c r="TU880" s="803"/>
      <c r="TV880" s="803"/>
      <c r="TW880" s="803"/>
      <c r="TX880" s="803"/>
      <c r="TY880" s="803"/>
      <c r="TZ880" s="803"/>
      <c r="UA880" s="803"/>
      <c r="UB880" s="803"/>
      <c r="UC880" s="803"/>
      <c r="UD880" s="803"/>
      <c r="UE880" s="803"/>
      <c r="UF880" s="803"/>
      <c r="UG880" s="803"/>
      <c r="UH880" s="803"/>
      <c r="UI880" s="803"/>
      <c r="UJ880" s="803"/>
      <c r="UK880" s="803"/>
      <c r="UL880" s="803"/>
      <c r="UM880" s="803"/>
      <c r="UN880" s="803"/>
      <c r="UO880" s="803"/>
      <c r="UP880" s="803"/>
      <c r="UQ880" s="803"/>
      <c r="UR880" s="803"/>
      <c r="US880" s="803"/>
      <c r="UT880" s="803"/>
      <c r="UU880" s="803"/>
      <c r="UV880" s="803"/>
      <c r="UW880" s="803"/>
      <c r="UX880" s="803"/>
      <c r="UY880" s="803"/>
      <c r="UZ880" s="803"/>
      <c r="VA880" s="803"/>
      <c r="VB880" s="803"/>
      <c r="VC880" s="803"/>
      <c r="VD880" s="803"/>
      <c r="VE880" s="803"/>
      <c r="VF880" s="803"/>
      <c r="VG880" s="803"/>
      <c r="VH880" s="803"/>
      <c r="VI880" s="803"/>
      <c r="VJ880" s="803"/>
      <c r="VK880" s="803"/>
      <c r="VL880" s="803"/>
      <c r="VM880" s="803"/>
      <c r="VN880" s="803"/>
      <c r="VO880" s="803"/>
      <c r="VP880" s="803"/>
      <c r="VQ880" s="803"/>
      <c r="VR880" s="803"/>
      <c r="VS880" s="803"/>
      <c r="VT880" s="803"/>
      <c r="VU880" s="803"/>
      <c r="VV880" s="803"/>
      <c r="VW880" s="803"/>
      <c r="VX880" s="803"/>
      <c r="VY880" s="803"/>
      <c r="VZ880" s="803"/>
      <c r="WA880" s="803"/>
      <c r="WB880" s="803"/>
      <c r="WC880" s="803"/>
      <c r="WD880" s="803"/>
      <c r="WE880" s="803"/>
      <c r="WF880" s="803"/>
      <c r="WG880" s="803"/>
      <c r="WH880" s="803"/>
      <c r="WI880" s="803"/>
      <c r="WJ880" s="803"/>
      <c r="WK880" s="803"/>
      <c r="WL880" s="803"/>
      <c r="WM880" s="803"/>
      <c r="WN880" s="803"/>
      <c r="WO880" s="803"/>
      <c r="WP880" s="803"/>
      <c r="WQ880" s="803"/>
      <c r="WR880" s="803"/>
      <c r="WS880" s="803"/>
      <c r="WT880" s="803"/>
      <c r="WU880" s="803"/>
      <c r="WV880" s="803"/>
      <c r="WW880" s="803"/>
      <c r="WX880" s="803"/>
      <c r="WY880" s="803"/>
      <c r="WZ880" s="803"/>
      <c r="XA880" s="803"/>
      <c r="XB880" s="803"/>
      <c r="XC880" s="803"/>
      <c r="XD880" s="803"/>
      <c r="XE880" s="803"/>
      <c r="XF880" s="803"/>
      <c r="XG880" s="803"/>
      <c r="XH880" s="803"/>
      <c r="XI880" s="803"/>
      <c r="XJ880" s="803"/>
      <c r="XK880" s="803"/>
      <c r="XL880" s="803"/>
      <c r="XM880" s="803"/>
      <c r="XN880" s="803"/>
      <c r="XO880" s="803"/>
      <c r="XP880" s="803"/>
      <c r="XQ880" s="803"/>
      <c r="XR880" s="803"/>
      <c r="XS880" s="803"/>
      <c r="XT880" s="803"/>
      <c r="XU880" s="803"/>
      <c r="XV880" s="803"/>
      <c r="XW880" s="803"/>
      <c r="XX880" s="803"/>
      <c r="XY880" s="803"/>
      <c r="XZ880" s="803"/>
      <c r="YA880" s="803"/>
      <c r="YB880" s="803"/>
      <c r="YC880" s="803"/>
      <c r="YD880" s="803"/>
      <c r="YE880" s="803"/>
      <c r="YF880" s="803"/>
      <c r="YG880" s="803"/>
      <c r="YH880" s="803"/>
      <c r="YI880" s="803"/>
      <c r="YJ880" s="803"/>
      <c r="YK880" s="803"/>
      <c r="YL880" s="803"/>
      <c r="YM880" s="803"/>
      <c r="YN880" s="803"/>
      <c r="YO880" s="803"/>
      <c r="YP880" s="803"/>
      <c r="YQ880" s="803"/>
      <c r="YR880" s="803"/>
      <c r="YS880" s="803"/>
      <c r="YT880" s="803"/>
      <c r="YU880" s="803"/>
      <c r="YV880" s="803"/>
      <c r="YW880" s="803"/>
      <c r="YX880" s="803"/>
      <c r="YY880" s="803"/>
      <c r="YZ880" s="803"/>
      <c r="ZA880" s="803"/>
      <c r="ZB880" s="803"/>
      <c r="ZC880" s="803"/>
      <c r="ZD880" s="803"/>
      <c r="ZE880" s="803"/>
      <c r="ZF880" s="803"/>
      <c r="ZG880" s="803"/>
      <c r="ZH880" s="803"/>
      <c r="ZI880" s="803"/>
      <c r="ZJ880" s="803"/>
      <c r="ZK880" s="803"/>
      <c r="ZL880" s="803"/>
      <c r="ZM880" s="803"/>
      <c r="ZN880" s="803"/>
      <c r="ZO880" s="803"/>
      <c r="ZP880" s="803"/>
      <c r="ZQ880" s="803"/>
      <c r="ZR880" s="803"/>
      <c r="ZS880" s="803"/>
      <c r="ZT880" s="803"/>
      <c r="ZU880" s="803"/>
      <c r="ZV880" s="803"/>
      <c r="ZW880" s="803"/>
      <c r="ZX880" s="803"/>
      <c r="ZY880" s="803"/>
      <c r="ZZ880" s="803"/>
      <c r="AAA880" s="803"/>
      <c r="AAB880" s="803"/>
      <c r="AAC880" s="803"/>
      <c r="AAD880" s="803"/>
      <c r="AAE880" s="803"/>
      <c r="AAF880" s="803"/>
      <c r="AAG880" s="803"/>
      <c r="AAH880" s="803"/>
      <c r="AAI880" s="803"/>
      <c r="AAJ880" s="803"/>
      <c r="AAK880" s="803"/>
      <c r="AAL880" s="803"/>
      <c r="AAM880" s="803"/>
      <c r="AAN880" s="803"/>
      <c r="AAO880" s="803"/>
      <c r="AAP880" s="803"/>
      <c r="AAQ880" s="803"/>
      <c r="AAR880" s="803"/>
      <c r="AAS880" s="803"/>
      <c r="AAT880" s="803"/>
      <c r="AAU880" s="803"/>
      <c r="AAV880" s="803"/>
      <c r="AAW880" s="803"/>
      <c r="AAX880" s="803"/>
      <c r="AAY880" s="803"/>
      <c r="AAZ880" s="803"/>
      <c r="ABA880" s="803"/>
      <c r="ABB880" s="803"/>
      <c r="ABC880" s="803"/>
      <c r="ABD880" s="803"/>
      <c r="ABE880" s="803"/>
      <c r="ABF880" s="803"/>
      <c r="ABG880" s="803"/>
      <c r="ABH880" s="803"/>
      <c r="ABI880" s="803"/>
      <c r="ABJ880" s="803"/>
      <c r="ABK880" s="803"/>
      <c r="ABL880" s="803"/>
      <c r="ABM880" s="803"/>
      <c r="ABN880" s="803"/>
      <c r="ABO880" s="803"/>
      <c r="ABP880" s="803"/>
      <c r="ABQ880" s="803"/>
      <c r="ABR880" s="803"/>
      <c r="ABS880" s="803"/>
      <c r="ABT880" s="803"/>
      <c r="ABU880" s="803"/>
      <c r="ABV880" s="803"/>
      <c r="ABW880" s="803"/>
      <c r="ABX880" s="803"/>
      <c r="ABY880" s="803"/>
      <c r="ABZ880" s="803"/>
      <c r="ACA880" s="803"/>
      <c r="ACB880" s="803"/>
      <c r="ACC880" s="803"/>
      <c r="ACD880" s="803"/>
      <c r="ACE880" s="803"/>
      <c r="ACF880" s="803"/>
      <c r="ACG880" s="803"/>
      <c r="ACH880" s="803"/>
      <c r="ACI880" s="803"/>
      <c r="ACJ880" s="803"/>
      <c r="ACK880" s="803"/>
      <c r="ACL880" s="803"/>
      <c r="ACM880" s="803"/>
      <c r="ACN880" s="803"/>
      <c r="ACO880" s="803"/>
      <c r="ACP880" s="803"/>
      <c r="ACQ880" s="803"/>
      <c r="ACR880" s="803"/>
      <c r="ACS880" s="803"/>
      <c r="ACT880" s="803"/>
      <c r="ACU880" s="803"/>
      <c r="ACV880" s="803"/>
      <c r="ACW880" s="803"/>
      <c r="ACX880" s="803"/>
      <c r="ACY880" s="803"/>
      <c r="ACZ880" s="803"/>
      <c r="ADA880" s="803"/>
      <c r="ADB880" s="803"/>
      <c r="ADC880" s="803"/>
      <c r="ADD880" s="803"/>
      <c r="ADE880" s="803"/>
      <c r="ADF880" s="803"/>
      <c r="ADG880" s="803"/>
      <c r="ADH880" s="803"/>
      <c r="ADI880" s="803"/>
      <c r="ADJ880" s="803"/>
      <c r="ADK880" s="803"/>
      <c r="ADL880" s="803"/>
      <c r="ADM880" s="803"/>
      <c r="ADN880" s="803"/>
      <c r="ADO880" s="803"/>
      <c r="ADP880" s="803"/>
      <c r="ADQ880" s="803"/>
      <c r="ADR880" s="803"/>
      <c r="ADS880" s="803"/>
      <c r="ADT880" s="803"/>
      <c r="ADU880" s="803"/>
      <c r="ADV880" s="803"/>
      <c r="ADW880" s="803"/>
      <c r="ADX880" s="803"/>
      <c r="ADY880" s="803"/>
      <c r="ADZ880" s="803"/>
      <c r="AEA880" s="803"/>
      <c r="AEB880" s="803"/>
      <c r="AEC880" s="803"/>
      <c r="AED880" s="803"/>
      <c r="AEE880" s="803"/>
      <c r="AEF880" s="803"/>
      <c r="AEG880" s="803"/>
      <c r="AEH880" s="803"/>
      <c r="AEI880" s="803"/>
      <c r="AEJ880" s="803"/>
      <c r="AEK880" s="803"/>
      <c r="AEL880" s="803"/>
      <c r="AEM880" s="803"/>
      <c r="AEN880" s="803"/>
      <c r="AEO880" s="803"/>
      <c r="AEP880" s="803"/>
      <c r="AEQ880" s="803"/>
      <c r="AER880" s="803"/>
      <c r="AES880" s="803"/>
      <c r="AET880" s="803"/>
      <c r="AEU880" s="803"/>
      <c r="AEV880" s="803"/>
      <c r="AEW880" s="803"/>
      <c r="AEX880" s="803"/>
      <c r="AEY880" s="803"/>
      <c r="AEZ880" s="803"/>
      <c r="AFA880" s="803"/>
      <c r="AFB880" s="803"/>
      <c r="AFC880" s="803"/>
      <c r="AFD880" s="803"/>
      <c r="AFE880" s="803"/>
      <c r="AFF880" s="803"/>
      <c r="AFG880" s="803"/>
      <c r="AFH880" s="803"/>
      <c r="AFI880" s="803"/>
      <c r="AFJ880" s="803"/>
      <c r="AFK880" s="803"/>
      <c r="AFL880" s="803"/>
      <c r="AFM880" s="803"/>
      <c r="AFN880" s="803"/>
      <c r="AFO880" s="803"/>
      <c r="AFP880" s="803"/>
      <c r="AFQ880" s="803"/>
      <c r="AFR880" s="803"/>
      <c r="AFS880" s="803"/>
      <c r="AFT880" s="803"/>
      <c r="AFU880" s="803"/>
      <c r="AFV880" s="803"/>
      <c r="AFW880" s="803"/>
      <c r="AFX880" s="803"/>
      <c r="AFY880" s="803"/>
      <c r="AFZ880" s="803"/>
      <c r="AGA880" s="803"/>
      <c r="AGB880" s="803"/>
      <c r="AGC880" s="803"/>
      <c r="AGD880" s="803"/>
      <c r="AGE880" s="803"/>
      <c r="AGF880" s="803"/>
      <c r="AGG880" s="803"/>
      <c r="AGH880" s="803"/>
      <c r="AGI880" s="803"/>
      <c r="AGJ880" s="803"/>
    </row>
    <row r="881" spans="1:868" s="7" customFormat="1">
      <c r="A881" s="59" t="s">
        <v>451</v>
      </c>
      <c r="B881" s="336" t="s">
        <v>258</v>
      </c>
      <c r="C881" s="34" t="s">
        <v>139</v>
      </c>
      <c r="D881" s="40" t="s">
        <v>99</v>
      </c>
      <c r="E881" s="237">
        <v>2.176E-3</v>
      </c>
      <c r="F881" s="40">
        <v>2</v>
      </c>
      <c r="G881" s="34" t="s">
        <v>412</v>
      </c>
      <c r="H881" s="29">
        <v>1</v>
      </c>
      <c r="I881" s="9">
        <v>2</v>
      </c>
      <c r="J881" s="9">
        <v>2</v>
      </c>
      <c r="K881" s="9">
        <v>1</v>
      </c>
      <c r="L881" s="9">
        <v>1</v>
      </c>
      <c r="M881" s="9">
        <v>1</v>
      </c>
      <c r="N881" s="185">
        <f>IF( OR( ISBLANK(H881),ISBLANK(J881), ISBLANK(K881), ISBLANK(L881), ISBLANK(M881) ), "", 1.5*SQRT(   EXP(2.21*(H881-1)) + EXP(2.21*(J881-1)) + EXP(2.21*(K881-1)) + EXP(2.21*(L881-1)) + EXP(2.21*M881)   )/100*2.45 )</f>
        <v>0.16933510251023262</v>
      </c>
      <c r="O881" s="159">
        <f>IF( OR( ISBLANK(I881),ISBLANK(J881), ISBLANK(K881), ISBLANK(L881), ISBLANK(M881) ), "", 1.5*SQRT( EXP(2.21*(I881-1)) + EXP(2.21*(J881-1)) + EXP(2.21*(K881-1)) + EXP(2.21*(L881-1)) + EXP(2.21*M881)   )/100*2.45 )</f>
        <v>0.19908580854301616</v>
      </c>
      <c r="P881" s="34" t="s">
        <v>1971</v>
      </c>
      <c r="Q881" s="803"/>
      <c r="R881" s="803"/>
      <c r="S881" s="803"/>
      <c r="T881" s="803"/>
      <c r="U881" s="803"/>
      <c r="V881" s="803"/>
      <c r="W881" s="803"/>
      <c r="X881" s="803"/>
      <c r="Y881" s="803"/>
      <c r="Z881" s="803"/>
      <c r="AA881" s="803"/>
      <c r="AB881" s="803"/>
      <c r="AC881" s="803"/>
      <c r="AD881" s="803"/>
      <c r="AE881" s="803"/>
      <c r="AF881" s="803"/>
      <c r="AG881" s="803"/>
      <c r="AH881" s="803"/>
      <c r="AI881" s="803"/>
      <c r="AJ881" s="803"/>
      <c r="AK881" s="803"/>
      <c r="AL881" s="803"/>
      <c r="AM881" s="803"/>
      <c r="AN881" s="803"/>
      <c r="AO881" s="803"/>
      <c r="AP881" s="803"/>
      <c r="AQ881" s="803"/>
      <c r="AR881" s="803"/>
      <c r="AS881" s="803"/>
      <c r="AT881" s="803"/>
      <c r="AU881" s="803"/>
      <c r="AV881" s="803"/>
      <c r="AW881" s="803"/>
      <c r="AX881" s="803"/>
      <c r="AY881" s="803"/>
      <c r="AZ881" s="803"/>
      <c r="BA881" s="803"/>
      <c r="BB881" s="803"/>
      <c r="BC881" s="803"/>
      <c r="BD881" s="803"/>
      <c r="BE881" s="803"/>
      <c r="BF881" s="803"/>
      <c r="BG881" s="803"/>
      <c r="BH881" s="803"/>
      <c r="BI881" s="803"/>
      <c r="BJ881" s="803"/>
      <c r="BK881" s="803"/>
      <c r="BL881" s="803"/>
      <c r="BM881" s="803"/>
      <c r="BN881" s="803"/>
      <c r="BO881" s="803"/>
      <c r="BP881" s="803"/>
      <c r="BQ881" s="803"/>
      <c r="BR881" s="803"/>
      <c r="BS881" s="803"/>
      <c r="BT881" s="803"/>
      <c r="BU881" s="803"/>
      <c r="BV881" s="803"/>
      <c r="BW881" s="803"/>
      <c r="BX881" s="803"/>
      <c r="BY881" s="803"/>
      <c r="BZ881" s="803"/>
      <c r="CA881" s="803"/>
      <c r="CB881" s="803"/>
      <c r="CC881" s="803"/>
      <c r="CD881" s="803"/>
      <c r="CE881" s="803"/>
      <c r="CF881" s="803"/>
      <c r="CG881" s="803"/>
      <c r="CH881" s="803"/>
      <c r="CI881" s="803"/>
      <c r="CJ881" s="803"/>
      <c r="CK881" s="803"/>
      <c r="CL881" s="803"/>
      <c r="CM881" s="803"/>
      <c r="CN881" s="803"/>
      <c r="CO881" s="803"/>
      <c r="CP881" s="803"/>
      <c r="CQ881" s="803"/>
      <c r="CR881" s="803"/>
      <c r="CS881" s="803"/>
      <c r="CT881" s="803"/>
      <c r="CU881" s="803"/>
      <c r="CV881" s="803"/>
      <c r="CW881" s="803"/>
      <c r="CX881" s="803"/>
      <c r="CY881" s="803"/>
      <c r="CZ881" s="803"/>
      <c r="DA881" s="803"/>
      <c r="DB881" s="803"/>
      <c r="DC881" s="803"/>
      <c r="DD881" s="803"/>
      <c r="DE881" s="803"/>
      <c r="DF881" s="803"/>
      <c r="DG881" s="803"/>
      <c r="DH881" s="803"/>
      <c r="DI881" s="803"/>
      <c r="DJ881" s="803"/>
      <c r="DK881" s="803"/>
      <c r="DL881" s="803"/>
      <c r="DM881" s="803"/>
      <c r="DN881" s="803"/>
      <c r="DO881" s="803"/>
      <c r="DP881" s="803"/>
      <c r="DQ881" s="803"/>
      <c r="DR881" s="803"/>
      <c r="DS881" s="803"/>
      <c r="DT881" s="803"/>
      <c r="DU881" s="803"/>
      <c r="DV881" s="803"/>
      <c r="DW881" s="803"/>
      <c r="DX881" s="803"/>
      <c r="DY881" s="803"/>
      <c r="DZ881" s="803"/>
      <c r="EA881" s="803"/>
      <c r="EB881" s="803"/>
      <c r="EC881" s="803"/>
      <c r="ED881" s="803"/>
      <c r="EE881" s="803"/>
      <c r="EF881" s="803"/>
      <c r="EG881" s="803"/>
      <c r="EH881" s="803"/>
      <c r="EI881" s="803"/>
      <c r="EJ881" s="803"/>
      <c r="EK881" s="803"/>
      <c r="EL881" s="803"/>
      <c r="EM881" s="803"/>
      <c r="EN881" s="803"/>
      <c r="EO881" s="803"/>
      <c r="EP881" s="803"/>
      <c r="EQ881" s="803"/>
      <c r="ER881" s="803"/>
      <c r="ES881" s="803"/>
      <c r="ET881" s="803"/>
      <c r="EU881" s="803"/>
      <c r="EV881" s="803"/>
      <c r="EW881" s="803"/>
      <c r="EX881" s="803"/>
      <c r="EY881" s="803"/>
      <c r="EZ881" s="803"/>
      <c r="FA881" s="803"/>
      <c r="FB881" s="803"/>
      <c r="FC881" s="803"/>
      <c r="FD881" s="803"/>
      <c r="FE881" s="803"/>
      <c r="FF881" s="803"/>
      <c r="FG881" s="803"/>
      <c r="FH881" s="803"/>
      <c r="FI881" s="803"/>
      <c r="FJ881" s="803"/>
      <c r="FK881" s="803"/>
      <c r="FL881" s="803"/>
      <c r="FM881" s="803"/>
      <c r="FN881" s="803"/>
      <c r="FO881" s="803"/>
      <c r="FP881" s="803"/>
      <c r="FQ881" s="803"/>
      <c r="FR881" s="803"/>
      <c r="FS881" s="803"/>
      <c r="FT881" s="803"/>
      <c r="FU881" s="803"/>
      <c r="FV881" s="803"/>
      <c r="FW881" s="803"/>
      <c r="FX881" s="803"/>
      <c r="FY881" s="803"/>
      <c r="FZ881" s="803"/>
      <c r="GA881" s="803"/>
      <c r="GB881" s="803"/>
      <c r="GC881" s="803"/>
      <c r="GD881" s="803"/>
      <c r="GE881" s="803"/>
      <c r="GF881" s="803"/>
      <c r="GG881" s="803"/>
      <c r="GH881" s="803"/>
      <c r="GI881" s="803"/>
      <c r="GJ881" s="803"/>
      <c r="GK881" s="803"/>
      <c r="GL881" s="803"/>
      <c r="GM881" s="803"/>
      <c r="GN881" s="803"/>
      <c r="GO881" s="803"/>
      <c r="GP881" s="803"/>
      <c r="GQ881" s="803"/>
      <c r="GR881" s="803"/>
      <c r="GS881" s="803"/>
      <c r="GT881" s="803"/>
      <c r="GU881" s="803"/>
      <c r="GV881" s="803"/>
      <c r="GW881" s="803"/>
      <c r="GX881" s="803"/>
      <c r="GY881" s="803"/>
      <c r="GZ881" s="803"/>
      <c r="HA881" s="803"/>
      <c r="HB881" s="803"/>
      <c r="HC881" s="803"/>
      <c r="HD881" s="803"/>
      <c r="HE881" s="803"/>
      <c r="HF881" s="803"/>
      <c r="HG881" s="803"/>
      <c r="HH881" s="803"/>
      <c r="HI881" s="803"/>
      <c r="HJ881" s="803"/>
      <c r="HK881" s="803"/>
      <c r="HL881" s="803"/>
      <c r="HM881" s="803"/>
      <c r="HN881" s="803"/>
      <c r="HO881" s="803"/>
      <c r="HP881" s="803"/>
      <c r="HQ881" s="803"/>
      <c r="HR881" s="803"/>
      <c r="HS881" s="803"/>
      <c r="HT881" s="803"/>
      <c r="HU881" s="803"/>
      <c r="HV881" s="803"/>
      <c r="HW881" s="803"/>
      <c r="HX881" s="803"/>
      <c r="HY881" s="803"/>
      <c r="HZ881" s="803"/>
      <c r="IA881" s="803"/>
      <c r="IB881" s="803"/>
      <c r="IC881" s="803"/>
      <c r="ID881" s="803"/>
      <c r="IE881" s="803"/>
      <c r="IF881" s="803"/>
      <c r="IG881" s="803"/>
      <c r="IH881" s="803"/>
      <c r="II881" s="803"/>
      <c r="IJ881" s="803"/>
      <c r="IK881" s="803"/>
      <c r="IL881" s="803"/>
      <c r="IM881" s="803"/>
      <c r="IN881" s="803"/>
      <c r="IO881" s="803"/>
      <c r="IP881" s="803"/>
      <c r="IQ881" s="803"/>
      <c r="IR881" s="803"/>
      <c r="IS881" s="803"/>
      <c r="IT881" s="803"/>
      <c r="IU881" s="803"/>
      <c r="IV881" s="803"/>
      <c r="IW881" s="803"/>
      <c r="IX881" s="803"/>
      <c r="IY881" s="803"/>
      <c r="IZ881" s="803"/>
      <c r="JA881" s="803"/>
      <c r="JB881" s="803"/>
      <c r="JC881" s="803"/>
      <c r="JD881" s="803"/>
      <c r="JE881" s="803"/>
      <c r="JF881" s="803"/>
      <c r="JG881" s="803"/>
      <c r="JH881" s="803"/>
      <c r="JI881" s="803"/>
      <c r="JJ881" s="803"/>
      <c r="JK881" s="803"/>
      <c r="JL881" s="803"/>
      <c r="JM881" s="803"/>
      <c r="JN881" s="803"/>
      <c r="JO881" s="803"/>
      <c r="JP881" s="803"/>
      <c r="JQ881" s="803"/>
      <c r="JR881" s="803"/>
      <c r="JS881" s="803"/>
      <c r="JT881" s="803"/>
      <c r="JU881" s="803"/>
      <c r="JV881" s="803"/>
      <c r="JW881" s="803"/>
      <c r="JX881" s="803"/>
      <c r="JY881" s="803"/>
      <c r="JZ881" s="803"/>
      <c r="KA881" s="803"/>
      <c r="KB881" s="803"/>
      <c r="KC881" s="803"/>
      <c r="KD881" s="803"/>
      <c r="KE881" s="803"/>
      <c r="KF881" s="803"/>
      <c r="KG881" s="803"/>
      <c r="KH881" s="803"/>
      <c r="KI881" s="803"/>
      <c r="KJ881" s="803"/>
      <c r="KK881" s="803"/>
      <c r="KL881" s="803"/>
      <c r="KM881" s="803"/>
      <c r="KN881" s="803"/>
      <c r="KO881" s="803"/>
      <c r="KP881" s="803"/>
      <c r="KQ881" s="803"/>
      <c r="KR881" s="803"/>
      <c r="KS881" s="803"/>
      <c r="KT881" s="803"/>
      <c r="KU881" s="803"/>
      <c r="KV881" s="803"/>
      <c r="KW881" s="803"/>
      <c r="KX881" s="803"/>
      <c r="KY881" s="803"/>
      <c r="KZ881" s="803"/>
      <c r="LA881" s="803"/>
      <c r="LB881" s="803"/>
      <c r="LC881" s="803"/>
      <c r="LD881" s="803"/>
      <c r="LE881" s="803"/>
      <c r="LF881" s="803"/>
      <c r="LG881" s="803"/>
      <c r="LH881" s="803"/>
      <c r="LI881" s="803"/>
      <c r="LJ881" s="803"/>
      <c r="LK881" s="803"/>
      <c r="LL881" s="803"/>
      <c r="LM881" s="803"/>
      <c r="LN881" s="803"/>
      <c r="LO881" s="803"/>
      <c r="LP881" s="803"/>
      <c r="LQ881" s="803"/>
      <c r="LR881" s="803"/>
      <c r="LS881" s="803"/>
      <c r="LT881" s="803"/>
      <c r="LU881" s="803"/>
      <c r="LV881" s="803"/>
      <c r="LW881" s="803"/>
      <c r="LX881" s="803"/>
      <c r="LY881" s="803"/>
      <c r="LZ881" s="803"/>
      <c r="MA881" s="803"/>
      <c r="MB881" s="803"/>
      <c r="MC881" s="803"/>
      <c r="MD881" s="803"/>
      <c r="ME881" s="803"/>
      <c r="MF881" s="803"/>
      <c r="MG881" s="803"/>
      <c r="MH881" s="803"/>
      <c r="MI881" s="803"/>
      <c r="MJ881" s="803"/>
      <c r="MK881" s="803"/>
      <c r="ML881" s="803"/>
      <c r="MM881" s="803"/>
      <c r="MN881" s="803"/>
      <c r="MO881" s="803"/>
      <c r="MP881" s="803"/>
      <c r="MQ881" s="803"/>
      <c r="MR881" s="803"/>
      <c r="MS881" s="803"/>
      <c r="MT881" s="803"/>
      <c r="MU881" s="803"/>
      <c r="MV881" s="803"/>
      <c r="MW881" s="803"/>
      <c r="MX881" s="803"/>
      <c r="MY881" s="803"/>
      <c r="MZ881" s="803"/>
      <c r="NA881" s="803"/>
      <c r="NB881" s="803"/>
      <c r="NC881" s="803"/>
      <c r="ND881" s="803"/>
      <c r="NE881" s="803"/>
      <c r="NF881" s="803"/>
      <c r="NG881" s="803"/>
      <c r="NH881" s="803"/>
      <c r="NI881" s="803"/>
      <c r="NJ881" s="803"/>
      <c r="NK881" s="803"/>
      <c r="NL881" s="803"/>
      <c r="NM881" s="803"/>
      <c r="NN881" s="803"/>
      <c r="NO881" s="803"/>
      <c r="NP881" s="803"/>
      <c r="NQ881" s="803"/>
      <c r="NR881" s="803"/>
      <c r="NS881" s="803"/>
      <c r="NT881" s="803"/>
      <c r="NU881" s="803"/>
      <c r="NV881" s="803"/>
      <c r="NW881" s="803"/>
      <c r="NX881" s="803"/>
      <c r="NY881" s="803"/>
      <c r="NZ881" s="803"/>
      <c r="OA881" s="803"/>
      <c r="OB881" s="803"/>
      <c r="OC881" s="803"/>
      <c r="OD881" s="803"/>
      <c r="OE881" s="803"/>
      <c r="OF881" s="803"/>
      <c r="OG881" s="803"/>
      <c r="OH881" s="803"/>
      <c r="OI881" s="803"/>
      <c r="OJ881" s="803"/>
      <c r="OK881" s="803"/>
      <c r="OL881" s="803"/>
      <c r="OM881" s="803"/>
      <c r="ON881" s="803"/>
      <c r="OO881" s="803"/>
      <c r="OP881" s="803"/>
      <c r="OQ881" s="803"/>
      <c r="OR881" s="803"/>
      <c r="OS881" s="803"/>
      <c r="OT881" s="803"/>
      <c r="OU881" s="803"/>
      <c r="OV881" s="803"/>
      <c r="OW881" s="803"/>
      <c r="OX881" s="803"/>
      <c r="OY881" s="803"/>
      <c r="OZ881" s="803"/>
      <c r="PA881" s="803"/>
      <c r="PB881" s="803"/>
      <c r="PC881" s="803"/>
      <c r="PD881" s="803"/>
      <c r="PE881" s="803"/>
      <c r="PF881" s="803"/>
      <c r="PG881" s="803"/>
      <c r="PH881" s="803"/>
      <c r="PI881" s="803"/>
      <c r="PJ881" s="803"/>
      <c r="PK881" s="803"/>
      <c r="PL881" s="803"/>
      <c r="PM881" s="803"/>
      <c r="PN881" s="803"/>
      <c r="PO881" s="803"/>
      <c r="PP881" s="803"/>
      <c r="PQ881" s="803"/>
      <c r="PR881" s="803"/>
      <c r="PS881" s="803"/>
      <c r="PT881" s="803"/>
      <c r="PU881" s="803"/>
      <c r="PV881" s="803"/>
      <c r="PW881" s="803"/>
      <c r="PX881" s="803"/>
      <c r="PY881" s="803"/>
      <c r="PZ881" s="803"/>
      <c r="QA881" s="803"/>
      <c r="QB881" s="803"/>
      <c r="QC881" s="803"/>
      <c r="QD881" s="803"/>
      <c r="QE881" s="803"/>
      <c r="QF881" s="803"/>
      <c r="QG881" s="803"/>
      <c r="QH881" s="803"/>
      <c r="QI881" s="803"/>
      <c r="QJ881" s="803"/>
      <c r="QK881" s="803"/>
      <c r="QL881" s="803"/>
      <c r="QM881" s="803"/>
      <c r="QN881" s="803"/>
      <c r="QO881" s="803"/>
      <c r="QP881" s="803"/>
      <c r="QQ881" s="803"/>
      <c r="QR881" s="803"/>
      <c r="QS881" s="803"/>
      <c r="QT881" s="803"/>
      <c r="QU881" s="803"/>
      <c r="QV881" s="803"/>
      <c r="QW881" s="803"/>
      <c r="QX881" s="803"/>
      <c r="QY881" s="803"/>
      <c r="QZ881" s="803"/>
      <c r="RA881" s="803"/>
      <c r="RB881" s="803"/>
      <c r="RC881" s="803"/>
      <c r="RD881" s="803"/>
      <c r="RE881" s="803"/>
      <c r="RF881" s="803"/>
      <c r="RG881" s="803"/>
      <c r="RH881" s="803"/>
      <c r="RI881" s="803"/>
      <c r="RJ881" s="803"/>
      <c r="RK881" s="803"/>
      <c r="RL881" s="803"/>
      <c r="RM881" s="803"/>
      <c r="RN881" s="803"/>
      <c r="RO881" s="803"/>
      <c r="RP881" s="803"/>
      <c r="RQ881" s="803"/>
      <c r="RR881" s="803"/>
      <c r="RS881" s="803"/>
      <c r="RT881" s="803"/>
      <c r="RU881" s="803"/>
      <c r="RV881" s="803"/>
      <c r="RW881" s="803"/>
      <c r="RX881" s="803"/>
      <c r="RY881" s="803"/>
      <c r="RZ881" s="803"/>
      <c r="SA881" s="803"/>
      <c r="SB881" s="803"/>
      <c r="SC881" s="803"/>
      <c r="SD881" s="803"/>
      <c r="SE881" s="803"/>
      <c r="SF881" s="803"/>
      <c r="SG881" s="803"/>
      <c r="SH881" s="803"/>
      <c r="SI881" s="803"/>
      <c r="SJ881" s="803"/>
      <c r="SK881" s="803"/>
      <c r="SL881" s="803"/>
      <c r="SM881" s="803"/>
      <c r="SN881" s="803"/>
      <c r="SO881" s="803"/>
      <c r="SP881" s="803"/>
      <c r="SQ881" s="803"/>
      <c r="SR881" s="803"/>
      <c r="SS881" s="803"/>
      <c r="ST881" s="803"/>
      <c r="SU881" s="803"/>
      <c r="SV881" s="803"/>
      <c r="SW881" s="803"/>
      <c r="SX881" s="803"/>
      <c r="SY881" s="803"/>
      <c r="SZ881" s="803"/>
      <c r="TA881" s="803"/>
      <c r="TB881" s="803"/>
      <c r="TC881" s="803"/>
      <c r="TD881" s="803"/>
      <c r="TE881" s="803"/>
      <c r="TF881" s="803"/>
      <c r="TG881" s="803"/>
      <c r="TH881" s="803"/>
      <c r="TI881" s="803"/>
      <c r="TJ881" s="803"/>
      <c r="TK881" s="803"/>
      <c r="TL881" s="803"/>
      <c r="TM881" s="803"/>
      <c r="TN881" s="803"/>
      <c r="TO881" s="803"/>
      <c r="TP881" s="803"/>
      <c r="TQ881" s="803"/>
      <c r="TR881" s="803"/>
      <c r="TS881" s="803"/>
      <c r="TT881" s="803"/>
      <c r="TU881" s="803"/>
      <c r="TV881" s="803"/>
      <c r="TW881" s="803"/>
      <c r="TX881" s="803"/>
      <c r="TY881" s="803"/>
      <c r="TZ881" s="803"/>
      <c r="UA881" s="803"/>
      <c r="UB881" s="803"/>
      <c r="UC881" s="803"/>
      <c r="UD881" s="803"/>
      <c r="UE881" s="803"/>
      <c r="UF881" s="803"/>
      <c r="UG881" s="803"/>
      <c r="UH881" s="803"/>
      <c r="UI881" s="803"/>
      <c r="UJ881" s="803"/>
      <c r="UK881" s="803"/>
      <c r="UL881" s="803"/>
      <c r="UM881" s="803"/>
      <c r="UN881" s="803"/>
      <c r="UO881" s="803"/>
      <c r="UP881" s="803"/>
      <c r="UQ881" s="803"/>
      <c r="UR881" s="803"/>
      <c r="US881" s="803"/>
      <c r="UT881" s="803"/>
      <c r="UU881" s="803"/>
      <c r="UV881" s="803"/>
      <c r="UW881" s="803"/>
      <c r="UX881" s="803"/>
      <c r="UY881" s="803"/>
      <c r="UZ881" s="803"/>
      <c r="VA881" s="803"/>
      <c r="VB881" s="803"/>
      <c r="VC881" s="803"/>
      <c r="VD881" s="803"/>
      <c r="VE881" s="803"/>
      <c r="VF881" s="803"/>
      <c r="VG881" s="803"/>
      <c r="VH881" s="803"/>
      <c r="VI881" s="803"/>
      <c r="VJ881" s="803"/>
      <c r="VK881" s="803"/>
      <c r="VL881" s="803"/>
      <c r="VM881" s="803"/>
      <c r="VN881" s="803"/>
      <c r="VO881" s="803"/>
      <c r="VP881" s="803"/>
      <c r="VQ881" s="803"/>
      <c r="VR881" s="803"/>
      <c r="VS881" s="803"/>
      <c r="VT881" s="803"/>
      <c r="VU881" s="803"/>
      <c r="VV881" s="803"/>
      <c r="VW881" s="803"/>
      <c r="VX881" s="803"/>
      <c r="VY881" s="803"/>
      <c r="VZ881" s="803"/>
      <c r="WA881" s="803"/>
      <c r="WB881" s="803"/>
      <c r="WC881" s="803"/>
      <c r="WD881" s="803"/>
      <c r="WE881" s="803"/>
      <c r="WF881" s="803"/>
      <c r="WG881" s="803"/>
      <c r="WH881" s="803"/>
      <c r="WI881" s="803"/>
      <c r="WJ881" s="803"/>
      <c r="WK881" s="803"/>
      <c r="WL881" s="803"/>
      <c r="WM881" s="803"/>
      <c r="WN881" s="803"/>
      <c r="WO881" s="803"/>
      <c r="WP881" s="803"/>
      <c r="WQ881" s="803"/>
      <c r="WR881" s="803"/>
      <c r="WS881" s="803"/>
      <c r="WT881" s="803"/>
      <c r="WU881" s="803"/>
      <c r="WV881" s="803"/>
      <c r="WW881" s="803"/>
      <c r="WX881" s="803"/>
      <c r="WY881" s="803"/>
      <c r="WZ881" s="803"/>
      <c r="XA881" s="803"/>
      <c r="XB881" s="803"/>
      <c r="XC881" s="803"/>
      <c r="XD881" s="803"/>
      <c r="XE881" s="803"/>
      <c r="XF881" s="803"/>
      <c r="XG881" s="803"/>
      <c r="XH881" s="803"/>
      <c r="XI881" s="803"/>
      <c r="XJ881" s="803"/>
      <c r="XK881" s="803"/>
      <c r="XL881" s="803"/>
      <c r="XM881" s="803"/>
      <c r="XN881" s="803"/>
      <c r="XO881" s="803"/>
      <c r="XP881" s="803"/>
      <c r="XQ881" s="803"/>
      <c r="XR881" s="803"/>
      <c r="XS881" s="803"/>
      <c r="XT881" s="803"/>
      <c r="XU881" s="803"/>
      <c r="XV881" s="803"/>
      <c r="XW881" s="803"/>
      <c r="XX881" s="803"/>
      <c r="XY881" s="803"/>
      <c r="XZ881" s="803"/>
      <c r="YA881" s="803"/>
      <c r="YB881" s="803"/>
      <c r="YC881" s="803"/>
      <c r="YD881" s="803"/>
      <c r="YE881" s="803"/>
      <c r="YF881" s="803"/>
      <c r="YG881" s="803"/>
      <c r="YH881" s="803"/>
      <c r="YI881" s="803"/>
      <c r="YJ881" s="803"/>
      <c r="YK881" s="803"/>
      <c r="YL881" s="803"/>
      <c r="YM881" s="803"/>
      <c r="YN881" s="803"/>
      <c r="YO881" s="803"/>
      <c r="YP881" s="803"/>
      <c r="YQ881" s="803"/>
      <c r="YR881" s="803"/>
      <c r="YS881" s="803"/>
      <c r="YT881" s="803"/>
      <c r="YU881" s="803"/>
      <c r="YV881" s="803"/>
      <c r="YW881" s="803"/>
      <c r="YX881" s="803"/>
      <c r="YY881" s="803"/>
      <c r="YZ881" s="803"/>
      <c r="ZA881" s="803"/>
      <c r="ZB881" s="803"/>
      <c r="ZC881" s="803"/>
      <c r="ZD881" s="803"/>
      <c r="ZE881" s="803"/>
      <c r="ZF881" s="803"/>
      <c r="ZG881" s="803"/>
      <c r="ZH881" s="803"/>
      <c r="ZI881" s="803"/>
      <c r="ZJ881" s="803"/>
      <c r="ZK881" s="803"/>
      <c r="ZL881" s="803"/>
      <c r="ZM881" s="803"/>
      <c r="ZN881" s="803"/>
      <c r="ZO881" s="803"/>
      <c r="ZP881" s="803"/>
      <c r="ZQ881" s="803"/>
      <c r="ZR881" s="803"/>
      <c r="ZS881" s="803"/>
      <c r="ZT881" s="803"/>
      <c r="ZU881" s="803"/>
      <c r="ZV881" s="803"/>
      <c r="ZW881" s="803"/>
      <c r="ZX881" s="803"/>
      <c r="ZY881" s="803"/>
      <c r="ZZ881" s="803"/>
      <c r="AAA881" s="803"/>
      <c r="AAB881" s="803"/>
      <c r="AAC881" s="803"/>
      <c r="AAD881" s="803"/>
      <c r="AAE881" s="803"/>
      <c r="AAF881" s="803"/>
      <c r="AAG881" s="803"/>
      <c r="AAH881" s="803"/>
      <c r="AAI881" s="803"/>
      <c r="AAJ881" s="803"/>
      <c r="AAK881" s="803"/>
      <c r="AAL881" s="803"/>
      <c r="AAM881" s="803"/>
      <c r="AAN881" s="803"/>
      <c r="AAO881" s="803"/>
      <c r="AAP881" s="803"/>
      <c r="AAQ881" s="803"/>
      <c r="AAR881" s="803"/>
      <c r="AAS881" s="803"/>
      <c r="AAT881" s="803"/>
      <c r="AAU881" s="803"/>
      <c r="AAV881" s="803"/>
      <c r="AAW881" s="803"/>
      <c r="AAX881" s="803"/>
      <c r="AAY881" s="803"/>
      <c r="AAZ881" s="803"/>
      <c r="ABA881" s="803"/>
      <c r="ABB881" s="803"/>
      <c r="ABC881" s="803"/>
      <c r="ABD881" s="803"/>
      <c r="ABE881" s="803"/>
      <c r="ABF881" s="803"/>
      <c r="ABG881" s="803"/>
      <c r="ABH881" s="803"/>
      <c r="ABI881" s="803"/>
      <c r="ABJ881" s="803"/>
      <c r="ABK881" s="803"/>
      <c r="ABL881" s="803"/>
      <c r="ABM881" s="803"/>
      <c r="ABN881" s="803"/>
      <c r="ABO881" s="803"/>
      <c r="ABP881" s="803"/>
      <c r="ABQ881" s="803"/>
      <c r="ABR881" s="803"/>
      <c r="ABS881" s="803"/>
      <c r="ABT881" s="803"/>
      <c r="ABU881" s="803"/>
      <c r="ABV881" s="803"/>
      <c r="ABW881" s="803"/>
      <c r="ABX881" s="803"/>
      <c r="ABY881" s="803"/>
      <c r="ABZ881" s="803"/>
      <c r="ACA881" s="803"/>
      <c r="ACB881" s="803"/>
      <c r="ACC881" s="803"/>
      <c r="ACD881" s="803"/>
      <c r="ACE881" s="803"/>
      <c r="ACF881" s="803"/>
      <c r="ACG881" s="803"/>
      <c r="ACH881" s="803"/>
      <c r="ACI881" s="803"/>
      <c r="ACJ881" s="803"/>
      <c r="ACK881" s="803"/>
      <c r="ACL881" s="803"/>
      <c r="ACM881" s="803"/>
      <c r="ACN881" s="803"/>
      <c r="ACO881" s="803"/>
      <c r="ACP881" s="803"/>
      <c r="ACQ881" s="803"/>
      <c r="ACR881" s="803"/>
      <c r="ACS881" s="803"/>
      <c r="ACT881" s="803"/>
      <c r="ACU881" s="803"/>
      <c r="ACV881" s="803"/>
      <c r="ACW881" s="803"/>
      <c r="ACX881" s="803"/>
      <c r="ACY881" s="803"/>
      <c r="ACZ881" s="803"/>
      <c r="ADA881" s="803"/>
      <c r="ADB881" s="803"/>
      <c r="ADC881" s="803"/>
      <c r="ADD881" s="803"/>
      <c r="ADE881" s="803"/>
      <c r="ADF881" s="803"/>
      <c r="ADG881" s="803"/>
      <c r="ADH881" s="803"/>
      <c r="ADI881" s="803"/>
      <c r="ADJ881" s="803"/>
      <c r="ADK881" s="803"/>
      <c r="ADL881" s="803"/>
      <c r="ADM881" s="803"/>
      <c r="ADN881" s="803"/>
      <c r="ADO881" s="803"/>
      <c r="ADP881" s="803"/>
      <c r="ADQ881" s="803"/>
      <c r="ADR881" s="803"/>
      <c r="ADS881" s="803"/>
      <c r="ADT881" s="803"/>
      <c r="ADU881" s="803"/>
      <c r="ADV881" s="803"/>
      <c r="ADW881" s="803"/>
      <c r="ADX881" s="803"/>
      <c r="ADY881" s="803"/>
      <c r="ADZ881" s="803"/>
      <c r="AEA881" s="803"/>
      <c r="AEB881" s="803"/>
      <c r="AEC881" s="803"/>
      <c r="AED881" s="803"/>
      <c r="AEE881" s="803"/>
      <c r="AEF881" s="803"/>
      <c r="AEG881" s="803"/>
      <c r="AEH881" s="803"/>
      <c r="AEI881" s="803"/>
      <c r="AEJ881" s="803"/>
      <c r="AEK881" s="803"/>
      <c r="AEL881" s="803"/>
      <c r="AEM881" s="803"/>
      <c r="AEN881" s="803"/>
      <c r="AEO881" s="803"/>
      <c r="AEP881" s="803"/>
      <c r="AEQ881" s="803"/>
      <c r="AER881" s="803"/>
      <c r="AES881" s="803"/>
      <c r="AET881" s="803"/>
      <c r="AEU881" s="803"/>
      <c r="AEV881" s="803"/>
      <c r="AEW881" s="803"/>
      <c r="AEX881" s="803"/>
      <c r="AEY881" s="803"/>
      <c r="AEZ881" s="803"/>
      <c r="AFA881" s="803"/>
      <c r="AFB881" s="803"/>
      <c r="AFC881" s="803"/>
      <c r="AFD881" s="803"/>
      <c r="AFE881" s="803"/>
      <c r="AFF881" s="803"/>
      <c r="AFG881" s="803"/>
      <c r="AFH881" s="803"/>
      <c r="AFI881" s="803"/>
      <c r="AFJ881" s="803"/>
      <c r="AFK881" s="803"/>
      <c r="AFL881" s="803"/>
      <c r="AFM881" s="803"/>
      <c r="AFN881" s="803"/>
      <c r="AFO881" s="803"/>
      <c r="AFP881" s="803"/>
      <c r="AFQ881" s="803"/>
      <c r="AFR881" s="803"/>
      <c r="AFS881" s="803"/>
      <c r="AFT881" s="803"/>
      <c r="AFU881" s="803"/>
      <c r="AFV881" s="803"/>
      <c r="AFW881" s="803"/>
      <c r="AFX881" s="803"/>
      <c r="AFY881" s="803"/>
      <c r="AFZ881" s="803"/>
      <c r="AGA881" s="803"/>
      <c r="AGB881" s="803"/>
      <c r="AGC881" s="803"/>
      <c r="AGD881" s="803"/>
      <c r="AGE881" s="803"/>
      <c r="AGF881" s="803"/>
      <c r="AGG881" s="803"/>
      <c r="AGH881" s="803"/>
      <c r="AGI881" s="803"/>
      <c r="AGJ881" s="803"/>
    </row>
    <row r="882" spans="1:868" s="7" customFormat="1">
      <c r="A882" s="59" t="s">
        <v>502</v>
      </c>
      <c r="B882" s="336" t="s">
        <v>231</v>
      </c>
      <c r="C882" s="34" t="s">
        <v>139</v>
      </c>
      <c r="D882" s="40" t="s">
        <v>99</v>
      </c>
      <c r="E882" s="237">
        <v>0.05</v>
      </c>
      <c r="F882" s="40">
        <v>2</v>
      </c>
      <c r="G882" s="34" t="s">
        <v>157</v>
      </c>
      <c r="H882" s="29">
        <v>1</v>
      </c>
      <c r="I882" s="9">
        <v>2</v>
      </c>
      <c r="J882" s="9">
        <v>2</v>
      </c>
      <c r="K882" s="9">
        <v>1</v>
      </c>
      <c r="L882" s="9">
        <v>3</v>
      </c>
      <c r="M882" s="9">
        <v>3</v>
      </c>
      <c r="N882" s="185">
        <f>IF( OR( ISBLANK(H882),ISBLANK(J882), ISBLANK(K882), ISBLANK(L882), ISBLANK(M882) ), "", 1.5*SQRT(   EXP(2.21*(H882-1)) + EXP(2.21*(J882-1)) + EXP(2.21*(K882-1)) + EXP(2.21*(L882-1)) + EXP(2.21*M882)   )/100*2.45 )</f>
        <v>1.0725046436742278</v>
      </c>
      <c r="O882" s="159">
        <f>IF( OR( ISBLANK(I882),ISBLANK(J882), ISBLANK(K882), ISBLANK(L882), ISBLANK(M882) ), "", 1.5*SQRT( EXP(2.21*(I882-1)) + EXP(2.21*(J882-1)) + EXP(2.21*(K882-1)) + EXP(2.21*(L882-1)) + EXP(2.21*M882)   )/100*2.45 )</f>
        <v>1.0776024280428556</v>
      </c>
      <c r="P882" s="34" t="s">
        <v>1916</v>
      </c>
      <c r="Q882" s="803"/>
      <c r="R882" s="803"/>
      <c r="S882" s="803"/>
      <c r="T882" s="803"/>
      <c r="U882" s="803"/>
      <c r="V882" s="803"/>
      <c r="W882" s="803"/>
      <c r="X882" s="803"/>
      <c r="Y882" s="803"/>
      <c r="Z882" s="803"/>
      <c r="AA882" s="803"/>
      <c r="AB882" s="803"/>
      <c r="AC882" s="803"/>
      <c r="AD882" s="803"/>
      <c r="AE882" s="803"/>
      <c r="AF882" s="803"/>
      <c r="AG882" s="803"/>
      <c r="AH882" s="803"/>
      <c r="AI882" s="803"/>
      <c r="AJ882" s="803"/>
      <c r="AK882" s="803"/>
      <c r="AL882" s="803"/>
      <c r="AM882" s="803"/>
      <c r="AN882" s="803"/>
      <c r="AO882" s="803"/>
      <c r="AP882" s="803"/>
      <c r="AQ882" s="803"/>
      <c r="AR882" s="803"/>
      <c r="AS882" s="803"/>
      <c r="AT882" s="803"/>
      <c r="AU882" s="803"/>
      <c r="AV882" s="803"/>
      <c r="AW882" s="803"/>
      <c r="AX882" s="803"/>
      <c r="AY882" s="803"/>
      <c r="AZ882" s="803"/>
      <c r="BA882" s="803"/>
      <c r="BB882" s="803"/>
      <c r="BC882" s="803"/>
      <c r="BD882" s="803"/>
      <c r="BE882" s="803"/>
      <c r="BF882" s="803"/>
      <c r="BG882" s="803"/>
      <c r="BH882" s="803"/>
      <c r="BI882" s="803"/>
      <c r="BJ882" s="803"/>
      <c r="BK882" s="803"/>
      <c r="BL882" s="803"/>
      <c r="BM882" s="803"/>
      <c r="BN882" s="803"/>
      <c r="BO882" s="803"/>
      <c r="BP882" s="803"/>
      <c r="BQ882" s="803"/>
      <c r="BR882" s="803"/>
      <c r="BS882" s="803"/>
      <c r="BT882" s="803"/>
      <c r="BU882" s="803"/>
      <c r="BV882" s="803"/>
      <c r="BW882" s="803"/>
      <c r="BX882" s="803"/>
      <c r="BY882" s="803"/>
      <c r="BZ882" s="803"/>
      <c r="CA882" s="803"/>
      <c r="CB882" s="803"/>
      <c r="CC882" s="803"/>
      <c r="CD882" s="803"/>
      <c r="CE882" s="803"/>
      <c r="CF882" s="803"/>
      <c r="CG882" s="803"/>
      <c r="CH882" s="803"/>
      <c r="CI882" s="803"/>
      <c r="CJ882" s="803"/>
      <c r="CK882" s="803"/>
      <c r="CL882" s="803"/>
      <c r="CM882" s="803"/>
      <c r="CN882" s="803"/>
      <c r="CO882" s="803"/>
      <c r="CP882" s="803"/>
      <c r="CQ882" s="803"/>
      <c r="CR882" s="803"/>
      <c r="CS882" s="803"/>
      <c r="CT882" s="803"/>
      <c r="CU882" s="803"/>
      <c r="CV882" s="803"/>
      <c r="CW882" s="803"/>
      <c r="CX882" s="803"/>
      <c r="CY882" s="803"/>
      <c r="CZ882" s="803"/>
      <c r="DA882" s="803"/>
      <c r="DB882" s="803"/>
      <c r="DC882" s="803"/>
      <c r="DD882" s="803"/>
      <c r="DE882" s="803"/>
      <c r="DF882" s="803"/>
      <c r="DG882" s="803"/>
      <c r="DH882" s="803"/>
      <c r="DI882" s="803"/>
      <c r="DJ882" s="803"/>
      <c r="DK882" s="803"/>
      <c r="DL882" s="803"/>
      <c r="DM882" s="803"/>
      <c r="DN882" s="803"/>
      <c r="DO882" s="803"/>
      <c r="DP882" s="803"/>
      <c r="DQ882" s="803"/>
      <c r="DR882" s="803"/>
      <c r="DS882" s="803"/>
      <c r="DT882" s="803"/>
      <c r="DU882" s="803"/>
      <c r="DV882" s="803"/>
      <c r="DW882" s="803"/>
      <c r="DX882" s="803"/>
      <c r="DY882" s="803"/>
      <c r="DZ882" s="803"/>
      <c r="EA882" s="803"/>
      <c r="EB882" s="803"/>
      <c r="EC882" s="803"/>
      <c r="ED882" s="803"/>
      <c r="EE882" s="803"/>
      <c r="EF882" s="803"/>
      <c r="EG882" s="803"/>
      <c r="EH882" s="803"/>
      <c r="EI882" s="803"/>
      <c r="EJ882" s="803"/>
      <c r="EK882" s="803"/>
      <c r="EL882" s="803"/>
      <c r="EM882" s="803"/>
      <c r="EN882" s="803"/>
      <c r="EO882" s="803"/>
      <c r="EP882" s="803"/>
      <c r="EQ882" s="803"/>
      <c r="ER882" s="803"/>
      <c r="ES882" s="803"/>
      <c r="ET882" s="803"/>
      <c r="EU882" s="803"/>
      <c r="EV882" s="803"/>
      <c r="EW882" s="803"/>
      <c r="EX882" s="803"/>
      <c r="EY882" s="803"/>
      <c r="EZ882" s="803"/>
      <c r="FA882" s="803"/>
      <c r="FB882" s="803"/>
      <c r="FC882" s="803"/>
      <c r="FD882" s="803"/>
      <c r="FE882" s="803"/>
      <c r="FF882" s="803"/>
      <c r="FG882" s="803"/>
      <c r="FH882" s="803"/>
      <c r="FI882" s="803"/>
      <c r="FJ882" s="803"/>
      <c r="FK882" s="803"/>
      <c r="FL882" s="803"/>
      <c r="FM882" s="803"/>
      <c r="FN882" s="803"/>
      <c r="FO882" s="803"/>
      <c r="FP882" s="803"/>
      <c r="FQ882" s="803"/>
      <c r="FR882" s="803"/>
      <c r="FS882" s="803"/>
      <c r="FT882" s="803"/>
      <c r="FU882" s="803"/>
      <c r="FV882" s="803"/>
      <c r="FW882" s="803"/>
      <c r="FX882" s="803"/>
      <c r="FY882" s="803"/>
      <c r="FZ882" s="803"/>
      <c r="GA882" s="803"/>
      <c r="GB882" s="803"/>
      <c r="GC882" s="803"/>
      <c r="GD882" s="803"/>
      <c r="GE882" s="803"/>
      <c r="GF882" s="803"/>
      <c r="GG882" s="803"/>
      <c r="GH882" s="803"/>
      <c r="GI882" s="803"/>
      <c r="GJ882" s="803"/>
      <c r="GK882" s="803"/>
      <c r="GL882" s="803"/>
      <c r="GM882" s="803"/>
      <c r="GN882" s="803"/>
      <c r="GO882" s="803"/>
      <c r="GP882" s="803"/>
      <c r="GQ882" s="803"/>
      <c r="GR882" s="803"/>
      <c r="GS882" s="803"/>
      <c r="GT882" s="803"/>
      <c r="GU882" s="803"/>
      <c r="GV882" s="803"/>
      <c r="GW882" s="803"/>
      <c r="GX882" s="803"/>
      <c r="GY882" s="803"/>
      <c r="GZ882" s="803"/>
      <c r="HA882" s="803"/>
      <c r="HB882" s="803"/>
      <c r="HC882" s="803"/>
      <c r="HD882" s="803"/>
      <c r="HE882" s="803"/>
      <c r="HF882" s="803"/>
      <c r="HG882" s="803"/>
      <c r="HH882" s="803"/>
      <c r="HI882" s="803"/>
      <c r="HJ882" s="803"/>
      <c r="HK882" s="803"/>
      <c r="HL882" s="803"/>
      <c r="HM882" s="803"/>
      <c r="HN882" s="803"/>
      <c r="HO882" s="803"/>
      <c r="HP882" s="803"/>
      <c r="HQ882" s="803"/>
      <c r="HR882" s="803"/>
      <c r="HS882" s="803"/>
      <c r="HT882" s="803"/>
      <c r="HU882" s="803"/>
      <c r="HV882" s="803"/>
      <c r="HW882" s="803"/>
      <c r="HX882" s="803"/>
      <c r="HY882" s="803"/>
      <c r="HZ882" s="803"/>
      <c r="IA882" s="803"/>
      <c r="IB882" s="803"/>
      <c r="IC882" s="803"/>
      <c r="ID882" s="803"/>
      <c r="IE882" s="803"/>
      <c r="IF882" s="803"/>
      <c r="IG882" s="803"/>
      <c r="IH882" s="803"/>
      <c r="II882" s="803"/>
      <c r="IJ882" s="803"/>
      <c r="IK882" s="803"/>
      <c r="IL882" s="803"/>
      <c r="IM882" s="803"/>
      <c r="IN882" s="803"/>
      <c r="IO882" s="803"/>
      <c r="IP882" s="803"/>
      <c r="IQ882" s="803"/>
      <c r="IR882" s="803"/>
      <c r="IS882" s="803"/>
      <c r="IT882" s="803"/>
      <c r="IU882" s="803"/>
      <c r="IV882" s="803"/>
      <c r="IW882" s="803"/>
      <c r="IX882" s="803"/>
      <c r="IY882" s="803"/>
      <c r="IZ882" s="803"/>
      <c r="JA882" s="803"/>
      <c r="JB882" s="803"/>
      <c r="JC882" s="803"/>
      <c r="JD882" s="803"/>
      <c r="JE882" s="803"/>
      <c r="JF882" s="803"/>
      <c r="JG882" s="803"/>
      <c r="JH882" s="803"/>
      <c r="JI882" s="803"/>
      <c r="JJ882" s="803"/>
      <c r="JK882" s="803"/>
      <c r="JL882" s="803"/>
      <c r="JM882" s="803"/>
      <c r="JN882" s="803"/>
      <c r="JO882" s="803"/>
      <c r="JP882" s="803"/>
      <c r="JQ882" s="803"/>
      <c r="JR882" s="803"/>
      <c r="JS882" s="803"/>
      <c r="JT882" s="803"/>
      <c r="JU882" s="803"/>
      <c r="JV882" s="803"/>
      <c r="JW882" s="803"/>
      <c r="JX882" s="803"/>
      <c r="JY882" s="803"/>
      <c r="JZ882" s="803"/>
      <c r="KA882" s="803"/>
      <c r="KB882" s="803"/>
      <c r="KC882" s="803"/>
      <c r="KD882" s="803"/>
      <c r="KE882" s="803"/>
      <c r="KF882" s="803"/>
      <c r="KG882" s="803"/>
      <c r="KH882" s="803"/>
      <c r="KI882" s="803"/>
      <c r="KJ882" s="803"/>
      <c r="KK882" s="803"/>
      <c r="KL882" s="803"/>
      <c r="KM882" s="803"/>
      <c r="KN882" s="803"/>
      <c r="KO882" s="803"/>
      <c r="KP882" s="803"/>
      <c r="KQ882" s="803"/>
      <c r="KR882" s="803"/>
      <c r="KS882" s="803"/>
      <c r="KT882" s="803"/>
      <c r="KU882" s="803"/>
      <c r="KV882" s="803"/>
      <c r="KW882" s="803"/>
      <c r="KX882" s="803"/>
      <c r="KY882" s="803"/>
      <c r="KZ882" s="803"/>
      <c r="LA882" s="803"/>
      <c r="LB882" s="803"/>
      <c r="LC882" s="803"/>
      <c r="LD882" s="803"/>
      <c r="LE882" s="803"/>
      <c r="LF882" s="803"/>
      <c r="LG882" s="803"/>
      <c r="LH882" s="803"/>
      <c r="LI882" s="803"/>
      <c r="LJ882" s="803"/>
      <c r="LK882" s="803"/>
      <c r="LL882" s="803"/>
      <c r="LM882" s="803"/>
      <c r="LN882" s="803"/>
      <c r="LO882" s="803"/>
      <c r="LP882" s="803"/>
      <c r="LQ882" s="803"/>
      <c r="LR882" s="803"/>
      <c r="LS882" s="803"/>
      <c r="LT882" s="803"/>
      <c r="LU882" s="803"/>
      <c r="LV882" s="803"/>
      <c r="LW882" s="803"/>
      <c r="LX882" s="803"/>
      <c r="LY882" s="803"/>
      <c r="LZ882" s="803"/>
      <c r="MA882" s="803"/>
      <c r="MB882" s="803"/>
      <c r="MC882" s="803"/>
      <c r="MD882" s="803"/>
      <c r="ME882" s="803"/>
      <c r="MF882" s="803"/>
      <c r="MG882" s="803"/>
      <c r="MH882" s="803"/>
      <c r="MI882" s="803"/>
      <c r="MJ882" s="803"/>
      <c r="MK882" s="803"/>
      <c r="ML882" s="803"/>
      <c r="MM882" s="803"/>
      <c r="MN882" s="803"/>
      <c r="MO882" s="803"/>
      <c r="MP882" s="803"/>
      <c r="MQ882" s="803"/>
      <c r="MR882" s="803"/>
      <c r="MS882" s="803"/>
      <c r="MT882" s="803"/>
      <c r="MU882" s="803"/>
      <c r="MV882" s="803"/>
      <c r="MW882" s="803"/>
      <c r="MX882" s="803"/>
      <c r="MY882" s="803"/>
      <c r="MZ882" s="803"/>
      <c r="NA882" s="803"/>
      <c r="NB882" s="803"/>
      <c r="NC882" s="803"/>
      <c r="ND882" s="803"/>
      <c r="NE882" s="803"/>
      <c r="NF882" s="803"/>
      <c r="NG882" s="803"/>
      <c r="NH882" s="803"/>
      <c r="NI882" s="803"/>
      <c r="NJ882" s="803"/>
      <c r="NK882" s="803"/>
      <c r="NL882" s="803"/>
      <c r="NM882" s="803"/>
      <c r="NN882" s="803"/>
      <c r="NO882" s="803"/>
      <c r="NP882" s="803"/>
      <c r="NQ882" s="803"/>
      <c r="NR882" s="803"/>
      <c r="NS882" s="803"/>
      <c r="NT882" s="803"/>
      <c r="NU882" s="803"/>
      <c r="NV882" s="803"/>
      <c r="NW882" s="803"/>
      <c r="NX882" s="803"/>
      <c r="NY882" s="803"/>
      <c r="NZ882" s="803"/>
      <c r="OA882" s="803"/>
      <c r="OB882" s="803"/>
      <c r="OC882" s="803"/>
      <c r="OD882" s="803"/>
      <c r="OE882" s="803"/>
      <c r="OF882" s="803"/>
      <c r="OG882" s="803"/>
      <c r="OH882" s="803"/>
      <c r="OI882" s="803"/>
      <c r="OJ882" s="803"/>
      <c r="OK882" s="803"/>
      <c r="OL882" s="803"/>
      <c r="OM882" s="803"/>
      <c r="ON882" s="803"/>
      <c r="OO882" s="803"/>
      <c r="OP882" s="803"/>
      <c r="OQ882" s="803"/>
      <c r="OR882" s="803"/>
      <c r="OS882" s="803"/>
      <c r="OT882" s="803"/>
      <c r="OU882" s="803"/>
      <c r="OV882" s="803"/>
      <c r="OW882" s="803"/>
      <c r="OX882" s="803"/>
      <c r="OY882" s="803"/>
      <c r="OZ882" s="803"/>
      <c r="PA882" s="803"/>
      <c r="PB882" s="803"/>
      <c r="PC882" s="803"/>
      <c r="PD882" s="803"/>
      <c r="PE882" s="803"/>
      <c r="PF882" s="803"/>
      <c r="PG882" s="803"/>
      <c r="PH882" s="803"/>
      <c r="PI882" s="803"/>
      <c r="PJ882" s="803"/>
      <c r="PK882" s="803"/>
      <c r="PL882" s="803"/>
      <c r="PM882" s="803"/>
      <c r="PN882" s="803"/>
      <c r="PO882" s="803"/>
      <c r="PP882" s="803"/>
      <c r="PQ882" s="803"/>
      <c r="PR882" s="803"/>
      <c r="PS882" s="803"/>
      <c r="PT882" s="803"/>
      <c r="PU882" s="803"/>
      <c r="PV882" s="803"/>
      <c r="PW882" s="803"/>
      <c r="PX882" s="803"/>
      <c r="PY882" s="803"/>
      <c r="PZ882" s="803"/>
      <c r="QA882" s="803"/>
      <c r="QB882" s="803"/>
      <c r="QC882" s="803"/>
      <c r="QD882" s="803"/>
      <c r="QE882" s="803"/>
      <c r="QF882" s="803"/>
      <c r="QG882" s="803"/>
      <c r="QH882" s="803"/>
      <c r="QI882" s="803"/>
      <c r="QJ882" s="803"/>
      <c r="QK882" s="803"/>
      <c r="QL882" s="803"/>
      <c r="QM882" s="803"/>
      <c r="QN882" s="803"/>
      <c r="QO882" s="803"/>
      <c r="QP882" s="803"/>
      <c r="QQ882" s="803"/>
      <c r="QR882" s="803"/>
      <c r="QS882" s="803"/>
      <c r="QT882" s="803"/>
      <c r="QU882" s="803"/>
      <c r="QV882" s="803"/>
      <c r="QW882" s="803"/>
      <c r="QX882" s="803"/>
      <c r="QY882" s="803"/>
      <c r="QZ882" s="803"/>
      <c r="RA882" s="803"/>
      <c r="RB882" s="803"/>
      <c r="RC882" s="803"/>
      <c r="RD882" s="803"/>
      <c r="RE882" s="803"/>
      <c r="RF882" s="803"/>
      <c r="RG882" s="803"/>
      <c r="RH882" s="803"/>
      <c r="RI882" s="803"/>
      <c r="RJ882" s="803"/>
      <c r="RK882" s="803"/>
      <c r="RL882" s="803"/>
      <c r="RM882" s="803"/>
      <c r="RN882" s="803"/>
      <c r="RO882" s="803"/>
      <c r="RP882" s="803"/>
      <c r="RQ882" s="803"/>
      <c r="RR882" s="803"/>
      <c r="RS882" s="803"/>
      <c r="RT882" s="803"/>
      <c r="RU882" s="803"/>
      <c r="RV882" s="803"/>
      <c r="RW882" s="803"/>
      <c r="RX882" s="803"/>
      <c r="RY882" s="803"/>
      <c r="RZ882" s="803"/>
      <c r="SA882" s="803"/>
      <c r="SB882" s="803"/>
      <c r="SC882" s="803"/>
      <c r="SD882" s="803"/>
      <c r="SE882" s="803"/>
      <c r="SF882" s="803"/>
      <c r="SG882" s="803"/>
      <c r="SH882" s="803"/>
      <c r="SI882" s="803"/>
      <c r="SJ882" s="803"/>
      <c r="SK882" s="803"/>
      <c r="SL882" s="803"/>
      <c r="SM882" s="803"/>
      <c r="SN882" s="803"/>
      <c r="SO882" s="803"/>
      <c r="SP882" s="803"/>
      <c r="SQ882" s="803"/>
      <c r="SR882" s="803"/>
      <c r="SS882" s="803"/>
      <c r="ST882" s="803"/>
      <c r="SU882" s="803"/>
      <c r="SV882" s="803"/>
      <c r="SW882" s="803"/>
      <c r="SX882" s="803"/>
      <c r="SY882" s="803"/>
      <c r="SZ882" s="803"/>
      <c r="TA882" s="803"/>
      <c r="TB882" s="803"/>
      <c r="TC882" s="803"/>
      <c r="TD882" s="803"/>
      <c r="TE882" s="803"/>
      <c r="TF882" s="803"/>
      <c r="TG882" s="803"/>
      <c r="TH882" s="803"/>
      <c r="TI882" s="803"/>
      <c r="TJ882" s="803"/>
      <c r="TK882" s="803"/>
      <c r="TL882" s="803"/>
      <c r="TM882" s="803"/>
      <c r="TN882" s="803"/>
      <c r="TO882" s="803"/>
      <c r="TP882" s="803"/>
      <c r="TQ882" s="803"/>
      <c r="TR882" s="803"/>
      <c r="TS882" s="803"/>
      <c r="TT882" s="803"/>
      <c r="TU882" s="803"/>
      <c r="TV882" s="803"/>
      <c r="TW882" s="803"/>
      <c r="TX882" s="803"/>
      <c r="TY882" s="803"/>
      <c r="TZ882" s="803"/>
      <c r="UA882" s="803"/>
      <c r="UB882" s="803"/>
      <c r="UC882" s="803"/>
      <c r="UD882" s="803"/>
      <c r="UE882" s="803"/>
      <c r="UF882" s="803"/>
      <c r="UG882" s="803"/>
      <c r="UH882" s="803"/>
      <c r="UI882" s="803"/>
      <c r="UJ882" s="803"/>
      <c r="UK882" s="803"/>
      <c r="UL882" s="803"/>
      <c r="UM882" s="803"/>
      <c r="UN882" s="803"/>
      <c r="UO882" s="803"/>
      <c r="UP882" s="803"/>
      <c r="UQ882" s="803"/>
      <c r="UR882" s="803"/>
      <c r="US882" s="803"/>
      <c r="UT882" s="803"/>
      <c r="UU882" s="803"/>
      <c r="UV882" s="803"/>
      <c r="UW882" s="803"/>
      <c r="UX882" s="803"/>
      <c r="UY882" s="803"/>
      <c r="UZ882" s="803"/>
      <c r="VA882" s="803"/>
      <c r="VB882" s="803"/>
      <c r="VC882" s="803"/>
      <c r="VD882" s="803"/>
      <c r="VE882" s="803"/>
      <c r="VF882" s="803"/>
      <c r="VG882" s="803"/>
      <c r="VH882" s="803"/>
      <c r="VI882" s="803"/>
      <c r="VJ882" s="803"/>
      <c r="VK882" s="803"/>
      <c r="VL882" s="803"/>
      <c r="VM882" s="803"/>
      <c r="VN882" s="803"/>
      <c r="VO882" s="803"/>
      <c r="VP882" s="803"/>
      <c r="VQ882" s="803"/>
      <c r="VR882" s="803"/>
      <c r="VS882" s="803"/>
      <c r="VT882" s="803"/>
      <c r="VU882" s="803"/>
      <c r="VV882" s="803"/>
      <c r="VW882" s="803"/>
      <c r="VX882" s="803"/>
      <c r="VY882" s="803"/>
      <c r="VZ882" s="803"/>
      <c r="WA882" s="803"/>
      <c r="WB882" s="803"/>
      <c r="WC882" s="803"/>
      <c r="WD882" s="803"/>
      <c r="WE882" s="803"/>
      <c r="WF882" s="803"/>
      <c r="WG882" s="803"/>
      <c r="WH882" s="803"/>
      <c r="WI882" s="803"/>
      <c r="WJ882" s="803"/>
      <c r="WK882" s="803"/>
      <c r="WL882" s="803"/>
      <c r="WM882" s="803"/>
      <c r="WN882" s="803"/>
      <c r="WO882" s="803"/>
      <c r="WP882" s="803"/>
      <c r="WQ882" s="803"/>
      <c r="WR882" s="803"/>
      <c r="WS882" s="803"/>
      <c r="WT882" s="803"/>
      <c r="WU882" s="803"/>
      <c r="WV882" s="803"/>
      <c r="WW882" s="803"/>
      <c r="WX882" s="803"/>
      <c r="WY882" s="803"/>
      <c r="WZ882" s="803"/>
      <c r="XA882" s="803"/>
      <c r="XB882" s="803"/>
      <c r="XC882" s="803"/>
      <c r="XD882" s="803"/>
      <c r="XE882" s="803"/>
      <c r="XF882" s="803"/>
      <c r="XG882" s="803"/>
      <c r="XH882" s="803"/>
      <c r="XI882" s="803"/>
      <c r="XJ882" s="803"/>
      <c r="XK882" s="803"/>
      <c r="XL882" s="803"/>
      <c r="XM882" s="803"/>
      <c r="XN882" s="803"/>
      <c r="XO882" s="803"/>
      <c r="XP882" s="803"/>
      <c r="XQ882" s="803"/>
      <c r="XR882" s="803"/>
      <c r="XS882" s="803"/>
      <c r="XT882" s="803"/>
      <c r="XU882" s="803"/>
      <c r="XV882" s="803"/>
      <c r="XW882" s="803"/>
      <c r="XX882" s="803"/>
      <c r="XY882" s="803"/>
      <c r="XZ882" s="803"/>
      <c r="YA882" s="803"/>
      <c r="YB882" s="803"/>
      <c r="YC882" s="803"/>
      <c r="YD882" s="803"/>
      <c r="YE882" s="803"/>
      <c r="YF882" s="803"/>
      <c r="YG882" s="803"/>
      <c r="YH882" s="803"/>
      <c r="YI882" s="803"/>
      <c r="YJ882" s="803"/>
      <c r="YK882" s="803"/>
      <c r="YL882" s="803"/>
      <c r="YM882" s="803"/>
      <c r="YN882" s="803"/>
      <c r="YO882" s="803"/>
      <c r="YP882" s="803"/>
      <c r="YQ882" s="803"/>
      <c r="YR882" s="803"/>
      <c r="YS882" s="803"/>
      <c r="YT882" s="803"/>
      <c r="YU882" s="803"/>
      <c r="YV882" s="803"/>
      <c r="YW882" s="803"/>
      <c r="YX882" s="803"/>
      <c r="YY882" s="803"/>
      <c r="YZ882" s="803"/>
      <c r="ZA882" s="803"/>
      <c r="ZB882" s="803"/>
      <c r="ZC882" s="803"/>
      <c r="ZD882" s="803"/>
      <c r="ZE882" s="803"/>
      <c r="ZF882" s="803"/>
      <c r="ZG882" s="803"/>
      <c r="ZH882" s="803"/>
      <c r="ZI882" s="803"/>
      <c r="ZJ882" s="803"/>
      <c r="ZK882" s="803"/>
      <c r="ZL882" s="803"/>
      <c r="ZM882" s="803"/>
      <c r="ZN882" s="803"/>
      <c r="ZO882" s="803"/>
      <c r="ZP882" s="803"/>
      <c r="ZQ882" s="803"/>
      <c r="ZR882" s="803"/>
      <c r="ZS882" s="803"/>
      <c r="ZT882" s="803"/>
      <c r="ZU882" s="803"/>
      <c r="ZV882" s="803"/>
      <c r="ZW882" s="803"/>
      <c r="ZX882" s="803"/>
      <c r="ZY882" s="803"/>
      <c r="ZZ882" s="803"/>
      <c r="AAA882" s="803"/>
      <c r="AAB882" s="803"/>
      <c r="AAC882" s="803"/>
      <c r="AAD882" s="803"/>
      <c r="AAE882" s="803"/>
      <c r="AAF882" s="803"/>
      <c r="AAG882" s="803"/>
      <c r="AAH882" s="803"/>
      <c r="AAI882" s="803"/>
      <c r="AAJ882" s="803"/>
      <c r="AAK882" s="803"/>
      <c r="AAL882" s="803"/>
      <c r="AAM882" s="803"/>
      <c r="AAN882" s="803"/>
      <c r="AAO882" s="803"/>
      <c r="AAP882" s="803"/>
      <c r="AAQ882" s="803"/>
      <c r="AAR882" s="803"/>
      <c r="AAS882" s="803"/>
      <c r="AAT882" s="803"/>
      <c r="AAU882" s="803"/>
      <c r="AAV882" s="803"/>
      <c r="AAW882" s="803"/>
      <c r="AAX882" s="803"/>
      <c r="AAY882" s="803"/>
      <c r="AAZ882" s="803"/>
      <c r="ABA882" s="803"/>
      <c r="ABB882" s="803"/>
      <c r="ABC882" s="803"/>
      <c r="ABD882" s="803"/>
      <c r="ABE882" s="803"/>
      <c r="ABF882" s="803"/>
      <c r="ABG882" s="803"/>
      <c r="ABH882" s="803"/>
      <c r="ABI882" s="803"/>
      <c r="ABJ882" s="803"/>
      <c r="ABK882" s="803"/>
      <c r="ABL882" s="803"/>
      <c r="ABM882" s="803"/>
      <c r="ABN882" s="803"/>
      <c r="ABO882" s="803"/>
      <c r="ABP882" s="803"/>
      <c r="ABQ882" s="803"/>
      <c r="ABR882" s="803"/>
      <c r="ABS882" s="803"/>
      <c r="ABT882" s="803"/>
      <c r="ABU882" s="803"/>
      <c r="ABV882" s="803"/>
      <c r="ABW882" s="803"/>
      <c r="ABX882" s="803"/>
      <c r="ABY882" s="803"/>
      <c r="ABZ882" s="803"/>
      <c r="ACA882" s="803"/>
      <c r="ACB882" s="803"/>
      <c r="ACC882" s="803"/>
      <c r="ACD882" s="803"/>
      <c r="ACE882" s="803"/>
      <c r="ACF882" s="803"/>
      <c r="ACG882" s="803"/>
      <c r="ACH882" s="803"/>
      <c r="ACI882" s="803"/>
      <c r="ACJ882" s="803"/>
      <c r="ACK882" s="803"/>
      <c r="ACL882" s="803"/>
      <c r="ACM882" s="803"/>
      <c r="ACN882" s="803"/>
      <c r="ACO882" s="803"/>
      <c r="ACP882" s="803"/>
      <c r="ACQ882" s="803"/>
      <c r="ACR882" s="803"/>
      <c r="ACS882" s="803"/>
      <c r="ACT882" s="803"/>
      <c r="ACU882" s="803"/>
      <c r="ACV882" s="803"/>
      <c r="ACW882" s="803"/>
      <c r="ACX882" s="803"/>
      <c r="ACY882" s="803"/>
      <c r="ACZ882" s="803"/>
      <c r="ADA882" s="803"/>
      <c r="ADB882" s="803"/>
      <c r="ADC882" s="803"/>
      <c r="ADD882" s="803"/>
      <c r="ADE882" s="803"/>
      <c r="ADF882" s="803"/>
      <c r="ADG882" s="803"/>
      <c r="ADH882" s="803"/>
      <c r="ADI882" s="803"/>
      <c r="ADJ882" s="803"/>
      <c r="ADK882" s="803"/>
      <c r="ADL882" s="803"/>
      <c r="ADM882" s="803"/>
      <c r="ADN882" s="803"/>
      <c r="ADO882" s="803"/>
      <c r="ADP882" s="803"/>
      <c r="ADQ882" s="803"/>
      <c r="ADR882" s="803"/>
      <c r="ADS882" s="803"/>
      <c r="ADT882" s="803"/>
      <c r="ADU882" s="803"/>
      <c r="ADV882" s="803"/>
      <c r="ADW882" s="803"/>
      <c r="ADX882" s="803"/>
      <c r="ADY882" s="803"/>
      <c r="ADZ882" s="803"/>
      <c r="AEA882" s="803"/>
      <c r="AEB882" s="803"/>
      <c r="AEC882" s="803"/>
      <c r="AED882" s="803"/>
      <c r="AEE882" s="803"/>
      <c r="AEF882" s="803"/>
      <c r="AEG882" s="803"/>
      <c r="AEH882" s="803"/>
      <c r="AEI882" s="803"/>
      <c r="AEJ882" s="803"/>
      <c r="AEK882" s="803"/>
      <c r="AEL882" s="803"/>
      <c r="AEM882" s="803"/>
      <c r="AEN882" s="803"/>
      <c r="AEO882" s="803"/>
      <c r="AEP882" s="803"/>
      <c r="AEQ882" s="803"/>
      <c r="AER882" s="803"/>
      <c r="AES882" s="803"/>
      <c r="AET882" s="803"/>
      <c r="AEU882" s="803"/>
      <c r="AEV882" s="803"/>
      <c r="AEW882" s="803"/>
      <c r="AEX882" s="803"/>
      <c r="AEY882" s="803"/>
      <c r="AEZ882" s="803"/>
      <c r="AFA882" s="803"/>
      <c r="AFB882" s="803"/>
      <c r="AFC882" s="803"/>
      <c r="AFD882" s="803"/>
      <c r="AFE882" s="803"/>
      <c r="AFF882" s="803"/>
      <c r="AFG882" s="803"/>
      <c r="AFH882" s="803"/>
      <c r="AFI882" s="803"/>
      <c r="AFJ882" s="803"/>
      <c r="AFK882" s="803"/>
      <c r="AFL882" s="803"/>
      <c r="AFM882" s="803"/>
      <c r="AFN882" s="803"/>
      <c r="AFO882" s="803"/>
      <c r="AFP882" s="803"/>
      <c r="AFQ882" s="803"/>
      <c r="AFR882" s="803"/>
      <c r="AFS882" s="803"/>
      <c r="AFT882" s="803"/>
      <c r="AFU882" s="803"/>
      <c r="AFV882" s="803"/>
      <c r="AFW882" s="803"/>
      <c r="AFX882" s="803"/>
      <c r="AFY882" s="803"/>
      <c r="AFZ882" s="803"/>
      <c r="AGA882" s="803"/>
      <c r="AGB882" s="803"/>
      <c r="AGC882" s="803"/>
      <c r="AGD882" s="803"/>
      <c r="AGE882" s="803"/>
      <c r="AGF882" s="803"/>
      <c r="AGG882" s="803"/>
      <c r="AGH882" s="803"/>
      <c r="AGI882" s="803"/>
      <c r="AGJ882" s="803"/>
    </row>
    <row r="883" spans="1:868" s="7" customFormat="1">
      <c r="A883" s="59" t="s">
        <v>502</v>
      </c>
      <c r="B883" s="336" t="s">
        <v>232</v>
      </c>
      <c r="C883" s="34" t="s">
        <v>139</v>
      </c>
      <c r="D883" s="40" t="s">
        <v>99</v>
      </c>
      <c r="E883" s="237">
        <v>0.39400000000000002</v>
      </c>
      <c r="F883" s="40">
        <v>2</v>
      </c>
      <c r="G883" s="34" t="s">
        <v>412</v>
      </c>
      <c r="H883" s="29">
        <v>1</v>
      </c>
      <c r="I883" s="9">
        <v>2</v>
      </c>
      <c r="J883" s="9">
        <v>2</v>
      </c>
      <c r="K883" s="9">
        <v>1</v>
      </c>
      <c r="L883" s="9">
        <v>1</v>
      </c>
      <c r="M883" s="9">
        <v>1</v>
      </c>
      <c r="N883" s="185">
        <f>IF( OR( ISBLANK(H883),ISBLANK(J883), ISBLANK(K883), ISBLANK(L883), ISBLANK(M883) ), "", 1.5*SQRT(   EXP(2.21*(H883-1)) + EXP(2.21*(J883-1)) + EXP(2.21*(K883-1)) + EXP(2.21*(L883-1)) + EXP(2.21*M883)   )/100*2.45 )</f>
        <v>0.16933510251023262</v>
      </c>
      <c r="O883" s="159">
        <f>IF( OR( ISBLANK(I883),ISBLANK(J883), ISBLANK(K883), ISBLANK(L883), ISBLANK(M883) ), "", 1.5*SQRT( EXP(2.21*(I883-1)) + EXP(2.21*(J883-1)) + EXP(2.21*(K883-1)) + EXP(2.21*(L883-1)) + EXP(2.21*M883)   )/100*2.45 )</f>
        <v>0.19908580854301616</v>
      </c>
      <c r="P883" s="34" t="s">
        <v>1940</v>
      </c>
      <c r="Q883" s="803"/>
      <c r="R883" s="803"/>
      <c r="S883" s="803"/>
      <c r="T883" s="803"/>
      <c r="U883" s="803"/>
      <c r="V883" s="803"/>
      <c r="W883" s="803"/>
      <c r="X883" s="803"/>
      <c r="Y883" s="803"/>
      <c r="Z883" s="803"/>
      <c r="AA883" s="803"/>
      <c r="AB883" s="803"/>
      <c r="AC883" s="803"/>
      <c r="AD883" s="803"/>
      <c r="AE883" s="803"/>
      <c r="AF883" s="803"/>
      <c r="AG883" s="803"/>
      <c r="AH883" s="803"/>
      <c r="AI883" s="803"/>
      <c r="AJ883" s="803"/>
      <c r="AK883" s="803"/>
      <c r="AL883" s="803"/>
      <c r="AM883" s="803"/>
      <c r="AN883" s="803"/>
      <c r="AO883" s="803"/>
      <c r="AP883" s="803"/>
      <c r="AQ883" s="803"/>
      <c r="AR883" s="803"/>
      <c r="AS883" s="803"/>
      <c r="AT883" s="803"/>
      <c r="AU883" s="803"/>
      <c r="AV883" s="803"/>
      <c r="AW883" s="803"/>
      <c r="AX883" s="803"/>
      <c r="AY883" s="803"/>
      <c r="AZ883" s="803"/>
      <c r="BA883" s="803"/>
      <c r="BB883" s="803"/>
      <c r="BC883" s="803"/>
      <c r="BD883" s="803"/>
      <c r="BE883" s="803"/>
      <c r="BF883" s="803"/>
      <c r="BG883" s="803"/>
      <c r="BH883" s="803"/>
      <c r="BI883" s="803"/>
      <c r="BJ883" s="803"/>
      <c r="BK883" s="803"/>
      <c r="BL883" s="803"/>
      <c r="BM883" s="803"/>
      <c r="BN883" s="803"/>
      <c r="BO883" s="803"/>
      <c r="BP883" s="803"/>
      <c r="BQ883" s="803"/>
      <c r="BR883" s="803"/>
      <c r="BS883" s="803"/>
      <c r="BT883" s="803"/>
      <c r="BU883" s="803"/>
      <c r="BV883" s="803"/>
      <c r="BW883" s="803"/>
      <c r="BX883" s="803"/>
      <c r="BY883" s="803"/>
      <c r="BZ883" s="803"/>
      <c r="CA883" s="803"/>
      <c r="CB883" s="803"/>
      <c r="CC883" s="803"/>
      <c r="CD883" s="803"/>
      <c r="CE883" s="803"/>
      <c r="CF883" s="803"/>
      <c r="CG883" s="803"/>
      <c r="CH883" s="803"/>
      <c r="CI883" s="803"/>
      <c r="CJ883" s="803"/>
      <c r="CK883" s="803"/>
      <c r="CL883" s="803"/>
      <c r="CM883" s="803"/>
      <c r="CN883" s="803"/>
      <c r="CO883" s="803"/>
      <c r="CP883" s="803"/>
      <c r="CQ883" s="803"/>
      <c r="CR883" s="803"/>
      <c r="CS883" s="803"/>
      <c r="CT883" s="803"/>
      <c r="CU883" s="803"/>
      <c r="CV883" s="803"/>
      <c r="CW883" s="803"/>
      <c r="CX883" s="803"/>
      <c r="CY883" s="803"/>
      <c r="CZ883" s="803"/>
      <c r="DA883" s="803"/>
      <c r="DB883" s="803"/>
      <c r="DC883" s="803"/>
      <c r="DD883" s="803"/>
      <c r="DE883" s="803"/>
      <c r="DF883" s="803"/>
      <c r="DG883" s="803"/>
      <c r="DH883" s="803"/>
      <c r="DI883" s="803"/>
      <c r="DJ883" s="803"/>
      <c r="DK883" s="803"/>
      <c r="DL883" s="803"/>
      <c r="DM883" s="803"/>
      <c r="DN883" s="803"/>
      <c r="DO883" s="803"/>
      <c r="DP883" s="803"/>
      <c r="DQ883" s="803"/>
      <c r="DR883" s="803"/>
      <c r="DS883" s="803"/>
      <c r="DT883" s="803"/>
      <c r="DU883" s="803"/>
      <c r="DV883" s="803"/>
      <c r="DW883" s="803"/>
      <c r="DX883" s="803"/>
      <c r="DY883" s="803"/>
      <c r="DZ883" s="803"/>
      <c r="EA883" s="803"/>
      <c r="EB883" s="803"/>
      <c r="EC883" s="803"/>
      <c r="ED883" s="803"/>
      <c r="EE883" s="803"/>
      <c r="EF883" s="803"/>
      <c r="EG883" s="803"/>
      <c r="EH883" s="803"/>
      <c r="EI883" s="803"/>
      <c r="EJ883" s="803"/>
      <c r="EK883" s="803"/>
      <c r="EL883" s="803"/>
      <c r="EM883" s="803"/>
      <c r="EN883" s="803"/>
      <c r="EO883" s="803"/>
      <c r="EP883" s="803"/>
      <c r="EQ883" s="803"/>
      <c r="ER883" s="803"/>
      <c r="ES883" s="803"/>
      <c r="ET883" s="803"/>
      <c r="EU883" s="803"/>
      <c r="EV883" s="803"/>
      <c r="EW883" s="803"/>
      <c r="EX883" s="803"/>
      <c r="EY883" s="803"/>
      <c r="EZ883" s="803"/>
      <c r="FA883" s="803"/>
      <c r="FB883" s="803"/>
      <c r="FC883" s="803"/>
      <c r="FD883" s="803"/>
      <c r="FE883" s="803"/>
      <c r="FF883" s="803"/>
      <c r="FG883" s="803"/>
      <c r="FH883" s="803"/>
      <c r="FI883" s="803"/>
      <c r="FJ883" s="803"/>
      <c r="FK883" s="803"/>
      <c r="FL883" s="803"/>
      <c r="FM883" s="803"/>
      <c r="FN883" s="803"/>
      <c r="FO883" s="803"/>
      <c r="FP883" s="803"/>
      <c r="FQ883" s="803"/>
      <c r="FR883" s="803"/>
      <c r="FS883" s="803"/>
      <c r="FT883" s="803"/>
      <c r="FU883" s="803"/>
      <c r="FV883" s="803"/>
      <c r="FW883" s="803"/>
      <c r="FX883" s="803"/>
      <c r="FY883" s="803"/>
      <c r="FZ883" s="803"/>
      <c r="GA883" s="803"/>
      <c r="GB883" s="803"/>
      <c r="GC883" s="803"/>
      <c r="GD883" s="803"/>
      <c r="GE883" s="803"/>
      <c r="GF883" s="803"/>
      <c r="GG883" s="803"/>
      <c r="GH883" s="803"/>
      <c r="GI883" s="803"/>
      <c r="GJ883" s="803"/>
      <c r="GK883" s="803"/>
      <c r="GL883" s="803"/>
      <c r="GM883" s="803"/>
      <c r="GN883" s="803"/>
      <c r="GO883" s="803"/>
      <c r="GP883" s="803"/>
      <c r="GQ883" s="803"/>
      <c r="GR883" s="803"/>
      <c r="GS883" s="803"/>
      <c r="GT883" s="803"/>
      <c r="GU883" s="803"/>
      <c r="GV883" s="803"/>
      <c r="GW883" s="803"/>
      <c r="GX883" s="803"/>
      <c r="GY883" s="803"/>
      <c r="GZ883" s="803"/>
      <c r="HA883" s="803"/>
      <c r="HB883" s="803"/>
      <c r="HC883" s="803"/>
      <c r="HD883" s="803"/>
      <c r="HE883" s="803"/>
      <c r="HF883" s="803"/>
      <c r="HG883" s="803"/>
      <c r="HH883" s="803"/>
      <c r="HI883" s="803"/>
      <c r="HJ883" s="803"/>
      <c r="HK883" s="803"/>
      <c r="HL883" s="803"/>
      <c r="HM883" s="803"/>
      <c r="HN883" s="803"/>
      <c r="HO883" s="803"/>
      <c r="HP883" s="803"/>
      <c r="HQ883" s="803"/>
      <c r="HR883" s="803"/>
      <c r="HS883" s="803"/>
      <c r="HT883" s="803"/>
      <c r="HU883" s="803"/>
      <c r="HV883" s="803"/>
      <c r="HW883" s="803"/>
      <c r="HX883" s="803"/>
      <c r="HY883" s="803"/>
      <c r="HZ883" s="803"/>
      <c r="IA883" s="803"/>
      <c r="IB883" s="803"/>
      <c r="IC883" s="803"/>
      <c r="ID883" s="803"/>
      <c r="IE883" s="803"/>
      <c r="IF883" s="803"/>
      <c r="IG883" s="803"/>
      <c r="IH883" s="803"/>
      <c r="II883" s="803"/>
      <c r="IJ883" s="803"/>
      <c r="IK883" s="803"/>
      <c r="IL883" s="803"/>
      <c r="IM883" s="803"/>
      <c r="IN883" s="803"/>
      <c r="IO883" s="803"/>
      <c r="IP883" s="803"/>
      <c r="IQ883" s="803"/>
      <c r="IR883" s="803"/>
      <c r="IS883" s="803"/>
      <c r="IT883" s="803"/>
      <c r="IU883" s="803"/>
      <c r="IV883" s="803"/>
      <c r="IW883" s="803"/>
      <c r="IX883" s="803"/>
      <c r="IY883" s="803"/>
      <c r="IZ883" s="803"/>
      <c r="JA883" s="803"/>
      <c r="JB883" s="803"/>
      <c r="JC883" s="803"/>
      <c r="JD883" s="803"/>
      <c r="JE883" s="803"/>
      <c r="JF883" s="803"/>
      <c r="JG883" s="803"/>
      <c r="JH883" s="803"/>
      <c r="JI883" s="803"/>
      <c r="JJ883" s="803"/>
      <c r="JK883" s="803"/>
      <c r="JL883" s="803"/>
      <c r="JM883" s="803"/>
      <c r="JN883" s="803"/>
      <c r="JO883" s="803"/>
      <c r="JP883" s="803"/>
      <c r="JQ883" s="803"/>
      <c r="JR883" s="803"/>
      <c r="JS883" s="803"/>
      <c r="JT883" s="803"/>
      <c r="JU883" s="803"/>
      <c r="JV883" s="803"/>
      <c r="JW883" s="803"/>
      <c r="JX883" s="803"/>
      <c r="JY883" s="803"/>
      <c r="JZ883" s="803"/>
      <c r="KA883" s="803"/>
      <c r="KB883" s="803"/>
      <c r="KC883" s="803"/>
      <c r="KD883" s="803"/>
      <c r="KE883" s="803"/>
      <c r="KF883" s="803"/>
      <c r="KG883" s="803"/>
      <c r="KH883" s="803"/>
      <c r="KI883" s="803"/>
      <c r="KJ883" s="803"/>
      <c r="KK883" s="803"/>
      <c r="KL883" s="803"/>
      <c r="KM883" s="803"/>
      <c r="KN883" s="803"/>
      <c r="KO883" s="803"/>
      <c r="KP883" s="803"/>
      <c r="KQ883" s="803"/>
      <c r="KR883" s="803"/>
      <c r="KS883" s="803"/>
      <c r="KT883" s="803"/>
      <c r="KU883" s="803"/>
      <c r="KV883" s="803"/>
      <c r="KW883" s="803"/>
      <c r="KX883" s="803"/>
      <c r="KY883" s="803"/>
      <c r="KZ883" s="803"/>
      <c r="LA883" s="803"/>
      <c r="LB883" s="803"/>
      <c r="LC883" s="803"/>
      <c r="LD883" s="803"/>
      <c r="LE883" s="803"/>
      <c r="LF883" s="803"/>
      <c r="LG883" s="803"/>
      <c r="LH883" s="803"/>
      <c r="LI883" s="803"/>
      <c r="LJ883" s="803"/>
      <c r="LK883" s="803"/>
      <c r="LL883" s="803"/>
      <c r="LM883" s="803"/>
      <c r="LN883" s="803"/>
      <c r="LO883" s="803"/>
      <c r="LP883" s="803"/>
      <c r="LQ883" s="803"/>
      <c r="LR883" s="803"/>
      <c r="LS883" s="803"/>
      <c r="LT883" s="803"/>
      <c r="LU883" s="803"/>
      <c r="LV883" s="803"/>
      <c r="LW883" s="803"/>
      <c r="LX883" s="803"/>
      <c r="LY883" s="803"/>
      <c r="LZ883" s="803"/>
      <c r="MA883" s="803"/>
      <c r="MB883" s="803"/>
      <c r="MC883" s="803"/>
      <c r="MD883" s="803"/>
      <c r="ME883" s="803"/>
      <c r="MF883" s="803"/>
      <c r="MG883" s="803"/>
      <c r="MH883" s="803"/>
      <c r="MI883" s="803"/>
      <c r="MJ883" s="803"/>
      <c r="MK883" s="803"/>
      <c r="ML883" s="803"/>
      <c r="MM883" s="803"/>
      <c r="MN883" s="803"/>
      <c r="MO883" s="803"/>
      <c r="MP883" s="803"/>
      <c r="MQ883" s="803"/>
      <c r="MR883" s="803"/>
      <c r="MS883" s="803"/>
      <c r="MT883" s="803"/>
      <c r="MU883" s="803"/>
      <c r="MV883" s="803"/>
      <c r="MW883" s="803"/>
      <c r="MX883" s="803"/>
      <c r="MY883" s="803"/>
      <c r="MZ883" s="803"/>
      <c r="NA883" s="803"/>
      <c r="NB883" s="803"/>
      <c r="NC883" s="803"/>
      <c r="ND883" s="803"/>
      <c r="NE883" s="803"/>
      <c r="NF883" s="803"/>
      <c r="NG883" s="803"/>
      <c r="NH883" s="803"/>
      <c r="NI883" s="803"/>
      <c r="NJ883" s="803"/>
      <c r="NK883" s="803"/>
      <c r="NL883" s="803"/>
      <c r="NM883" s="803"/>
      <c r="NN883" s="803"/>
      <c r="NO883" s="803"/>
      <c r="NP883" s="803"/>
      <c r="NQ883" s="803"/>
      <c r="NR883" s="803"/>
      <c r="NS883" s="803"/>
      <c r="NT883" s="803"/>
      <c r="NU883" s="803"/>
      <c r="NV883" s="803"/>
      <c r="NW883" s="803"/>
      <c r="NX883" s="803"/>
      <c r="NY883" s="803"/>
      <c r="NZ883" s="803"/>
      <c r="OA883" s="803"/>
      <c r="OB883" s="803"/>
      <c r="OC883" s="803"/>
      <c r="OD883" s="803"/>
      <c r="OE883" s="803"/>
      <c r="OF883" s="803"/>
      <c r="OG883" s="803"/>
      <c r="OH883" s="803"/>
      <c r="OI883" s="803"/>
      <c r="OJ883" s="803"/>
      <c r="OK883" s="803"/>
      <c r="OL883" s="803"/>
      <c r="OM883" s="803"/>
      <c r="ON883" s="803"/>
      <c r="OO883" s="803"/>
      <c r="OP883" s="803"/>
      <c r="OQ883" s="803"/>
      <c r="OR883" s="803"/>
      <c r="OS883" s="803"/>
      <c r="OT883" s="803"/>
      <c r="OU883" s="803"/>
      <c r="OV883" s="803"/>
      <c r="OW883" s="803"/>
      <c r="OX883" s="803"/>
      <c r="OY883" s="803"/>
      <c r="OZ883" s="803"/>
      <c r="PA883" s="803"/>
      <c r="PB883" s="803"/>
      <c r="PC883" s="803"/>
      <c r="PD883" s="803"/>
      <c r="PE883" s="803"/>
      <c r="PF883" s="803"/>
      <c r="PG883" s="803"/>
      <c r="PH883" s="803"/>
      <c r="PI883" s="803"/>
      <c r="PJ883" s="803"/>
      <c r="PK883" s="803"/>
      <c r="PL883" s="803"/>
      <c r="PM883" s="803"/>
      <c r="PN883" s="803"/>
      <c r="PO883" s="803"/>
      <c r="PP883" s="803"/>
      <c r="PQ883" s="803"/>
      <c r="PR883" s="803"/>
      <c r="PS883" s="803"/>
      <c r="PT883" s="803"/>
      <c r="PU883" s="803"/>
      <c r="PV883" s="803"/>
      <c r="PW883" s="803"/>
      <c r="PX883" s="803"/>
      <c r="PY883" s="803"/>
      <c r="PZ883" s="803"/>
      <c r="QA883" s="803"/>
      <c r="QB883" s="803"/>
      <c r="QC883" s="803"/>
      <c r="QD883" s="803"/>
      <c r="QE883" s="803"/>
      <c r="QF883" s="803"/>
      <c r="QG883" s="803"/>
      <c r="QH883" s="803"/>
      <c r="QI883" s="803"/>
      <c r="QJ883" s="803"/>
      <c r="QK883" s="803"/>
      <c r="QL883" s="803"/>
      <c r="QM883" s="803"/>
      <c r="QN883" s="803"/>
      <c r="QO883" s="803"/>
      <c r="QP883" s="803"/>
      <c r="QQ883" s="803"/>
      <c r="QR883" s="803"/>
      <c r="QS883" s="803"/>
      <c r="QT883" s="803"/>
      <c r="QU883" s="803"/>
      <c r="QV883" s="803"/>
      <c r="QW883" s="803"/>
      <c r="QX883" s="803"/>
      <c r="QY883" s="803"/>
      <c r="QZ883" s="803"/>
      <c r="RA883" s="803"/>
      <c r="RB883" s="803"/>
      <c r="RC883" s="803"/>
      <c r="RD883" s="803"/>
      <c r="RE883" s="803"/>
      <c r="RF883" s="803"/>
      <c r="RG883" s="803"/>
      <c r="RH883" s="803"/>
      <c r="RI883" s="803"/>
      <c r="RJ883" s="803"/>
      <c r="RK883" s="803"/>
      <c r="RL883" s="803"/>
      <c r="RM883" s="803"/>
      <c r="RN883" s="803"/>
      <c r="RO883" s="803"/>
      <c r="RP883" s="803"/>
      <c r="RQ883" s="803"/>
      <c r="RR883" s="803"/>
      <c r="RS883" s="803"/>
      <c r="RT883" s="803"/>
      <c r="RU883" s="803"/>
      <c r="RV883" s="803"/>
      <c r="RW883" s="803"/>
      <c r="RX883" s="803"/>
      <c r="RY883" s="803"/>
      <c r="RZ883" s="803"/>
      <c r="SA883" s="803"/>
      <c r="SB883" s="803"/>
      <c r="SC883" s="803"/>
      <c r="SD883" s="803"/>
      <c r="SE883" s="803"/>
      <c r="SF883" s="803"/>
      <c r="SG883" s="803"/>
      <c r="SH883" s="803"/>
      <c r="SI883" s="803"/>
      <c r="SJ883" s="803"/>
      <c r="SK883" s="803"/>
      <c r="SL883" s="803"/>
      <c r="SM883" s="803"/>
      <c r="SN883" s="803"/>
      <c r="SO883" s="803"/>
      <c r="SP883" s="803"/>
      <c r="SQ883" s="803"/>
      <c r="SR883" s="803"/>
      <c r="SS883" s="803"/>
      <c r="ST883" s="803"/>
      <c r="SU883" s="803"/>
      <c r="SV883" s="803"/>
      <c r="SW883" s="803"/>
      <c r="SX883" s="803"/>
      <c r="SY883" s="803"/>
      <c r="SZ883" s="803"/>
      <c r="TA883" s="803"/>
      <c r="TB883" s="803"/>
      <c r="TC883" s="803"/>
      <c r="TD883" s="803"/>
      <c r="TE883" s="803"/>
      <c r="TF883" s="803"/>
      <c r="TG883" s="803"/>
      <c r="TH883" s="803"/>
      <c r="TI883" s="803"/>
      <c r="TJ883" s="803"/>
      <c r="TK883" s="803"/>
      <c r="TL883" s="803"/>
      <c r="TM883" s="803"/>
      <c r="TN883" s="803"/>
      <c r="TO883" s="803"/>
      <c r="TP883" s="803"/>
      <c r="TQ883" s="803"/>
      <c r="TR883" s="803"/>
      <c r="TS883" s="803"/>
      <c r="TT883" s="803"/>
      <c r="TU883" s="803"/>
      <c r="TV883" s="803"/>
      <c r="TW883" s="803"/>
      <c r="TX883" s="803"/>
      <c r="TY883" s="803"/>
      <c r="TZ883" s="803"/>
      <c r="UA883" s="803"/>
      <c r="UB883" s="803"/>
      <c r="UC883" s="803"/>
      <c r="UD883" s="803"/>
      <c r="UE883" s="803"/>
      <c r="UF883" s="803"/>
      <c r="UG883" s="803"/>
      <c r="UH883" s="803"/>
      <c r="UI883" s="803"/>
      <c r="UJ883" s="803"/>
      <c r="UK883" s="803"/>
      <c r="UL883" s="803"/>
      <c r="UM883" s="803"/>
      <c r="UN883" s="803"/>
      <c r="UO883" s="803"/>
      <c r="UP883" s="803"/>
      <c r="UQ883" s="803"/>
      <c r="UR883" s="803"/>
      <c r="US883" s="803"/>
      <c r="UT883" s="803"/>
      <c r="UU883" s="803"/>
      <c r="UV883" s="803"/>
      <c r="UW883" s="803"/>
      <c r="UX883" s="803"/>
      <c r="UY883" s="803"/>
      <c r="UZ883" s="803"/>
      <c r="VA883" s="803"/>
      <c r="VB883" s="803"/>
      <c r="VC883" s="803"/>
      <c r="VD883" s="803"/>
      <c r="VE883" s="803"/>
      <c r="VF883" s="803"/>
      <c r="VG883" s="803"/>
      <c r="VH883" s="803"/>
      <c r="VI883" s="803"/>
      <c r="VJ883" s="803"/>
      <c r="VK883" s="803"/>
      <c r="VL883" s="803"/>
      <c r="VM883" s="803"/>
      <c r="VN883" s="803"/>
      <c r="VO883" s="803"/>
      <c r="VP883" s="803"/>
      <c r="VQ883" s="803"/>
      <c r="VR883" s="803"/>
      <c r="VS883" s="803"/>
      <c r="VT883" s="803"/>
      <c r="VU883" s="803"/>
      <c r="VV883" s="803"/>
      <c r="VW883" s="803"/>
      <c r="VX883" s="803"/>
      <c r="VY883" s="803"/>
      <c r="VZ883" s="803"/>
      <c r="WA883" s="803"/>
      <c r="WB883" s="803"/>
      <c r="WC883" s="803"/>
      <c r="WD883" s="803"/>
      <c r="WE883" s="803"/>
      <c r="WF883" s="803"/>
      <c r="WG883" s="803"/>
      <c r="WH883" s="803"/>
      <c r="WI883" s="803"/>
      <c r="WJ883" s="803"/>
      <c r="WK883" s="803"/>
      <c r="WL883" s="803"/>
      <c r="WM883" s="803"/>
      <c r="WN883" s="803"/>
      <c r="WO883" s="803"/>
      <c r="WP883" s="803"/>
      <c r="WQ883" s="803"/>
      <c r="WR883" s="803"/>
      <c r="WS883" s="803"/>
      <c r="WT883" s="803"/>
      <c r="WU883" s="803"/>
      <c r="WV883" s="803"/>
      <c r="WW883" s="803"/>
      <c r="WX883" s="803"/>
      <c r="WY883" s="803"/>
      <c r="WZ883" s="803"/>
      <c r="XA883" s="803"/>
      <c r="XB883" s="803"/>
      <c r="XC883" s="803"/>
      <c r="XD883" s="803"/>
      <c r="XE883" s="803"/>
      <c r="XF883" s="803"/>
      <c r="XG883" s="803"/>
      <c r="XH883" s="803"/>
      <c r="XI883" s="803"/>
      <c r="XJ883" s="803"/>
      <c r="XK883" s="803"/>
      <c r="XL883" s="803"/>
      <c r="XM883" s="803"/>
      <c r="XN883" s="803"/>
      <c r="XO883" s="803"/>
      <c r="XP883" s="803"/>
      <c r="XQ883" s="803"/>
      <c r="XR883" s="803"/>
      <c r="XS883" s="803"/>
      <c r="XT883" s="803"/>
      <c r="XU883" s="803"/>
      <c r="XV883" s="803"/>
      <c r="XW883" s="803"/>
      <c r="XX883" s="803"/>
      <c r="XY883" s="803"/>
      <c r="XZ883" s="803"/>
      <c r="YA883" s="803"/>
      <c r="YB883" s="803"/>
      <c r="YC883" s="803"/>
      <c r="YD883" s="803"/>
      <c r="YE883" s="803"/>
      <c r="YF883" s="803"/>
      <c r="YG883" s="803"/>
      <c r="YH883" s="803"/>
      <c r="YI883" s="803"/>
      <c r="YJ883" s="803"/>
      <c r="YK883" s="803"/>
      <c r="YL883" s="803"/>
      <c r="YM883" s="803"/>
      <c r="YN883" s="803"/>
      <c r="YO883" s="803"/>
      <c r="YP883" s="803"/>
      <c r="YQ883" s="803"/>
      <c r="YR883" s="803"/>
      <c r="YS883" s="803"/>
      <c r="YT883" s="803"/>
      <c r="YU883" s="803"/>
      <c r="YV883" s="803"/>
      <c r="YW883" s="803"/>
      <c r="YX883" s="803"/>
      <c r="YY883" s="803"/>
      <c r="YZ883" s="803"/>
      <c r="ZA883" s="803"/>
      <c r="ZB883" s="803"/>
      <c r="ZC883" s="803"/>
      <c r="ZD883" s="803"/>
      <c r="ZE883" s="803"/>
      <c r="ZF883" s="803"/>
      <c r="ZG883" s="803"/>
      <c r="ZH883" s="803"/>
      <c r="ZI883" s="803"/>
      <c r="ZJ883" s="803"/>
      <c r="ZK883" s="803"/>
      <c r="ZL883" s="803"/>
      <c r="ZM883" s="803"/>
      <c r="ZN883" s="803"/>
      <c r="ZO883" s="803"/>
      <c r="ZP883" s="803"/>
      <c r="ZQ883" s="803"/>
      <c r="ZR883" s="803"/>
      <c r="ZS883" s="803"/>
      <c r="ZT883" s="803"/>
      <c r="ZU883" s="803"/>
      <c r="ZV883" s="803"/>
      <c r="ZW883" s="803"/>
      <c r="ZX883" s="803"/>
      <c r="ZY883" s="803"/>
      <c r="ZZ883" s="803"/>
      <c r="AAA883" s="803"/>
      <c r="AAB883" s="803"/>
      <c r="AAC883" s="803"/>
      <c r="AAD883" s="803"/>
      <c r="AAE883" s="803"/>
      <c r="AAF883" s="803"/>
      <c r="AAG883" s="803"/>
      <c r="AAH883" s="803"/>
      <c r="AAI883" s="803"/>
      <c r="AAJ883" s="803"/>
      <c r="AAK883" s="803"/>
      <c r="AAL883" s="803"/>
      <c r="AAM883" s="803"/>
      <c r="AAN883" s="803"/>
      <c r="AAO883" s="803"/>
      <c r="AAP883" s="803"/>
      <c r="AAQ883" s="803"/>
      <c r="AAR883" s="803"/>
      <c r="AAS883" s="803"/>
      <c r="AAT883" s="803"/>
      <c r="AAU883" s="803"/>
      <c r="AAV883" s="803"/>
      <c r="AAW883" s="803"/>
      <c r="AAX883" s="803"/>
      <c r="AAY883" s="803"/>
      <c r="AAZ883" s="803"/>
      <c r="ABA883" s="803"/>
      <c r="ABB883" s="803"/>
      <c r="ABC883" s="803"/>
      <c r="ABD883" s="803"/>
      <c r="ABE883" s="803"/>
      <c r="ABF883" s="803"/>
      <c r="ABG883" s="803"/>
      <c r="ABH883" s="803"/>
      <c r="ABI883" s="803"/>
      <c r="ABJ883" s="803"/>
      <c r="ABK883" s="803"/>
      <c r="ABL883" s="803"/>
      <c r="ABM883" s="803"/>
      <c r="ABN883" s="803"/>
      <c r="ABO883" s="803"/>
      <c r="ABP883" s="803"/>
      <c r="ABQ883" s="803"/>
      <c r="ABR883" s="803"/>
      <c r="ABS883" s="803"/>
      <c r="ABT883" s="803"/>
      <c r="ABU883" s="803"/>
      <c r="ABV883" s="803"/>
      <c r="ABW883" s="803"/>
      <c r="ABX883" s="803"/>
      <c r="ABY883" s="803"/>
      <c r="ABZ883" s="803"/>
      <c r="ACA883" s="803"/>
      <c r="ACB883" s="803"/>
      <c r="ACC883" s="803"/>
      <c r="ACD883" s="803"/>
      <c r="ACE883" s="803"/>
      <c r="ACF883" s="803"/>
      <c r="ACG883" s="803"/>
      <c r="ACH883" s="803"/>
      <c r="ACI883" s="803"/>
      <c r="ACJ883" s="803"/>
      <c r="ACK883" s="803"/>
      <c r="ACL883" s="803"/>
      <c r="ACM883" s="803"/>
      <c r="ACN883" s="803"/>
      <c r="ACO883" s="803"/>
      <c r="ACP883" s="803"/>
      <c r="ACQ883" s="803"/>
      <c r="ACR883" s="803"/>
      <c r="ACS883" s="803"/>
      <c r="ACT883" s="803"/>
      <c r="ACU883" s="803"/>
      <c r="ACV883" s="803"/>
      <c r="ACW883" s="803"/>
      <c r="ACX883" s="803"/>
      <c r="ACY883" s="803"/>
      <c r="ACZ883" s="803"/>
      <c r="ADA883" s="803"/>
      <c r="ADB883" s="803"/>
      <c r="ADC883" s="803"/>
      <c r="ADD883" s="803"/>
      <c r="ADE883" s="803"/>
      <c r="ADF883" s="803"/>
      <c r="ADG883" s="803"/>
      <c r="ADH883" s="803"/>
      <c r="ADI883" s="803"/>
      <c r="ADJ883" s="803"/>
      <c r="ADK883" s="803"/>
      <c r="ADL883" s="803"/>
      <c r="ADM883" s="803"/>
      <c r="ADN883" s="803"/>
      <c r="ADO883" s="803"/>
      <c r="ADP883" s="803"/>
      <c r="ADQ883" s="803"/>
      <c r="ADR883" s="803"/>
      <c r="ADS883" s="803"/>
      <c r="ADT883" s="803"/>
      <c r="ADU883" s="803"/>
      <c r="ADV883" s="803"/>
      <c r="ADW883" s="803"/>
      <c r="ADX883" s="803"/>
      <c r="ADY883" s="803"/>
      <c r="ADZ883" s="803"/>
      <c r="AEA883" s="803"/>
      <c r="AEB883" s="803"/>
      <c r="AEC883" s="803"/>
      <c r="AED883" s="803"/>
      <c r="AEE883" s="803"/>
      <c r="AEF883" s="803"/>
      <c r="AEG883" s="803"/>
      <c r="AEH883" s="803"/>
      <c r="AEI883" s="803"/>
      <c r="AEJ883" s="803"/>
      <c r="AEK883" s="803"/>
      <c r="AEL883" s="803"/>
      <c r="AEM883" s="803"/>
      <c r="AEN883" s="803"/>
      <c r="AEO883" s="803"/>
      <c r="AEP883" s="803"/>
      <c r="AEQ883" s="803"/>
      <c r="AER883" s="803"/>
      <c r="AES883" s="803"/>
      <c r="AET883" s="803"/>
      <c r="AEU883" s="803"/>
      <c r="AEV883" s="803"/>
      <c r="AEW883" s="803"/>
      <c r="AEX883" s="803"/>
      <c r="AEY883" s="803"/>
      <c r="AEZ883" s="803"/>
      <c r="AFA883" s="803"/>
      <c r="AFB883" s="803"/>
      <c r="AFC883" s="803"/>
      <c r="AFD883" s="803"/>
      <c r="AFE883" s="803"/>
      <c r="AFF883" s="803"/>
      <c r="AFG883" s="803"/>
      <c r="AFH883" s="803"/>
      <c r="AFI883" s="803"/>
      <c r="AFJ883" s="803"/>
      <c r="AFK883" s="803"/>
      <c r="AFL883" s="803"/>
      <c r="AFM883" s="803"/>
      <c r="AFN883" s="803"/>
      <c r="AFO883" s="803"/>
      <c r="AFP883" s="803"/>
      <c r="AFQ883" s="803"/>
      <c r="AFR883" s="803"/>
      <c r="AFS883" s="803"/>
      <c r="AFT883" s="803"/>
      <c r="AFU883" s="803"/>
      <c r="AFV883" s="803"/>
      <c r="AFW883" s="803"/>
      <c r="AFX883" s="803"/>
      <c r="AFY883" s="803"/>
      <c r="AFZ883" s="803"/>
      <c r="AGA883" s="803"/>
      <c r="AGB883" s="803"/>
      <c r="AGC883" s="803"/>
      <c r="AGD883" s="803"/>
      <c r="AGE883" s="803"/>
      <c r="AGF883" s="803"/>
      <c r="AGG883" s="803"/>
      <c r="AGH883" s="803"/>
      <c r="AGI883" s="803"/>
      <c r="AGJ883" s="803"/>
    </row>
    <row r="884" spans="1:868" s="7" customFormat="1">
      <c r="A884" s="59" t="s">
        <v>502</v>
      </c>
      <c r="B884" s="336" t="s">
        <v>251</v>
      </c>
      <c r="C884" s="34" t="s">
        <v>139</v>
      </c>
      <c r="D884" s="40" t="s">
        <v>99</v>
      </c>
      <c r="E884" s="237">
        <v>0.52200000000000002</v>
      </c>
      <c r="F884" s="40">
        <v>1</v>
      </c>
      <c r="G884" s="34" t="s">
        <v>412</v>
      </c>
      <c r="H884" s="29">
        <v>1</v>
      </c>
      <c r="I884" s="9">
        <v>2</v>
      </c>
      <c r="J884" s="9">
        <v>2</v>
      </c>
      <c r="K884" s="9">
        <v>1</v>
      </c>
      <c r="L884" s="9">
        <v>1</v>
      </c>
      <c r="M884" s="9">
        <v>1</v>
      </c>
      <c r="N884" s="185">
        <f>IF( OR( ISBLANK(H884),ISBLANK(J884), ISBLANK(K884), ISBLANK(L884), ISBLANK(M884) ), "", 1.5*SQRT(   EXP(2.21*(H884-1)) + EXP(2.21*(J884-1)) + EXP(2.21*(K884-1)) + EXP(2.21*(L884-1)) + EXP(2.21*M884)   )/100*2.45 )</f>
        <v>0.16933510251023262</v>
      </c>
      <c r="O884" s="159">
        <f>IF( OR( ISBLANK(I884),ISBLANK(J884), ISBLANK(K884), ISBLANK(L884), ISBLANK(M884) ), "", 1.5*SQRT( EXP(2.21*(I884-1)) + EXP(2.21*(J884-1)) + EXP(2.21*(K884-1)) + EXP(2.21*(L884-1)) + EXP(2.21*M884)   )/100*2.45 )</f>
        <v>0.19908580854301616</v>
      </c>
      <c r="P884" s="34" t="s">
        <v>1941</v>
      </c>
      <c r="Q884" s="803"/>
      <c r="R884" s="803"/>
      <c r="S884" s="803"/>
      <c r="T884" s="803"/>
      <c r="U884" s="803"/>
      <c r="V884" s="803"/>
      <c r="W884" s="803"/>
      <c r="X884" s="803"/>
      <c r="Y884" s="803"/>
      <c r="Z884" s="803"/>
      <c r="AA884" s="803"/>
      <c r="AB884" s="803"/>
      <c r="AC884" s="803"/>
      <c r="AD884" s="803"/>
      <c r="AE884" s="803"/>
      <c r="AF884" s="803"/>
      <c r="AG884" s="803"/>
      <c r="AH884" s="803"/>
      <c r="AI884" s="803"/>
      <c r="AJ884" s="803"/>
      <c r="AK884" s="803"/>
      <c r="AL884" s="803"/>
      <c r="AM884" s="803"/>
      <c r="AN884" s="803"/>
      <c r="AO884" s="803"/>
      <c r="AP884" s="803"/>
      <c r="AQ884" s="803"/>
      <c r="AR884" s="803"/>
      <c r="AS884" s="803"/>
      <c r="AT884" s="803"/>
      <c r="AU884" s="803"/>
      <c r="AV884" s="803"/>
      <c r="AW884" s="803"/>
      <c r="AX884" s="803"/>
      <c r="AY884" s="803"/>
      <c r="AZ884" s="803"/>
      <c r="BA884" s="803"/>
      <c r="BB884" s="803"/>
      <c r="BC884" s="803"/>
      <c r="BD884" s="803"/>
      <c r="BE884" s="803"/>
      <c r="BF884" s="803"/>
      <c r="BG884" s="803"/>
      <c r="BH884" s="803"/>
      <c r="BI884" s="803"/>
      <c r="BJ884" s="803"/>
      <c r="BK884" s="803"/>
      <c r="BL884" s="803"/>
      <c r="BM884" s="803"/>
      <c r="BN884" s="803"/>
      <c r="BO884" s="803"/>
      <c r="BP884" s="803"/>
      <c r="BQ884" s="803"/>
      <c r="BR884" s="803"/>
      <c r="BS884" s="803"/>
      <c r="BT884" s="803"/>
      <c r="BU884" s="803"/>
      <c r="BV884" s="803"/>
      <c r="BW884" s="803"/>
      <c r="BX884" s="803"/>
      <c r="BY884" s="803"/>
      <c r="BZ884" s="803"/>
      <c r="CA884" s="803"/>
      <c r="CB884" s="803"/>
      <c r="CC884" s="803"/>
      <c r="CD884" s="803"/>
      <c r="CE884" s="803"/>
      <c r="CF884" s="803"/>
      <c r="CG884" s="803"/>
      <c r="CH884" s="803"/>
      <c r="CI884" s="803"/>
      <c r="CJ884" s="803"/>
      <c r="CK884" s="803"/>
      <c r="CL884" s="803"/>
      <c r="CM884" s="803"/>
      <c r="CN884" s="803"/>
      <c r="CO884" s="803"/>
      <c r="CP884" s="803"/>
      <c r="CQ884" s="803"/>
      <c r="CR884" s="803"/>
      <c r="CS884" s="803"/>
      <c r="CT884" s="803"/>
      <c r="CU884" s="803"/>
      <c r="CV884" s="803"/>
      <c r="CW884" s="803"/>
      <c r="CX884" s="803"/>
      <c r="CY884" s="803"/>
      <c r="CZ884" s="803"/>
      <c r="DA884" s="803"/>
      <c r="DB884" s="803"/>
      <c r="DC884" s="803"/>
      <c r="DD884" s="803"/>
      <c r="DE884" s="803"/>
      <c r="DF884" s="803"/>
      <c r="DG884" s="803"/>
      <c r="DH884" s="803"/>
      <c r="DI884" s="803"/>
      <c r="DJ884" s="803"/>
      <c r="DK884" s="803"/>
      <c r="DL884" s="803"/>
      <c r="DM884" s="803"/>
      <c r="DN884" s="803"/>
      <c r="DO884" s="803"/>
      <c r="DP884" s="803"/>
      <c r="DQ884" s="803"/>
      <c r="DR884" s="803"/>
      <c r="DS884" s="803"/>
      <c r="DT884" s="803"/>
      <c r="DU884" s="803"/>
      <c r="DV884" s="803"/>
      <c r="DW884" s="803"/>
      <c r="DX884" s="803"/>
      <c r="DY884" s="803"/>
      <c r="DZ884" s="803"/>
      <c r="EA884" s="803"/>
      <c r="EB884" s="803"/>
      <c r="EC884" s="803"/>
      <c r="ED884" s="803"/>
      <c r="EE884" s="803"/>
      <c r="EF884" s="803"/>
      <c r="EG884" s="803"/>
      <c r="EH884" s="803"/>
      <c r="EI884" s="803"/>
      <c r="EJ884" s="803"/>
      <c r="EK884" s="803"/>
      <c r="EL884" s="803"/>
      <c r="EM884" s="803"/>
      <c r="EN884" s="803"/>
      <c r="EO884" s="803"/>
      <c r="EP884" s="803"/>
      <c r="EQ884" s="803"/>
      <c r="ER884" s="803"/>
      <c r="ES884" s="803"/>
      <c r="ET884" s="803"/>
      <c r="EU884" s="803"/>
      <c r="EV884" s="803"/>
      <c r="EW884" s="803"/>
      <c r="EX884" s="803"/>
      <c r="EY884" s="803"/>
      <c r="EZ884" s="803"/>
      <c r="FA884" s="803"/>
      <c r="FB884" s="803"/>
      <c r="FC884" s="803"/>
      <c r="FD884" s="803"/>
      <c r="FE884" s="803"/>
      <c r="FF884" s="803"/>
      <c r="FG884" s="803"/>
      <c r="FH884" s="803"/>
      <c r="FI884" s="803"/>
      <c r="FJ884" s="803"/>
      <c r="FK884" s="803"/>
      <c r="FL884" s="803"/>
      <c r="FM884" s="803"/>
      <c r="FN884" s="803"/>
      <c r="FO884" s="803"/>
      <c r="FP884" s="803"/>
      <c r="FQ884" s="803"/>
      <c r="FR884" s="803"/>
      <c r="FS884" s="803"/>
      <c r="FT884" s="803"/>
      <c r="FU884" s="803"/>
      <c r="FV884" s="803"/>
      <c r="FW884" s="803"/>
      <c r="FX884" s="803"/>
      <c r="FY884" s="803"/>
      <c r="FZ884" s="803"/>
      <c r="GA884" s="803"/>
      <c r="GB884" s="803"/>
      <c r="GC884" s="803"/>
      <c r="GD884" s="803"/>
      <c r="GE884" s="803"/>
      <c r="GF884" s="803"/>
      <c r="GG884" s="803"/>
      <c r="GH884" s="803"/>
      <c r="GI884" s="803"/>
      <c r="GJ884" s="803"/>
      <c r="GK884" s="803"/>
      <c r="GL884" s="803"/>
      <c r="GM884" s="803"/>
      <c r="GN884" s="803"/>
      <c r="GO884" s="803"/>
      <c r="GP884" s="803"/>
      <c r="GQ884" s="803"/>
      <c r="GR884" s="803"/>
      <c r="GS884" s="803"/>
      <c r="GT884" s="803"/>
      <c r="GU884" s="803"/>
      <c r="GV884" s="803"/>
      <c r="GW884" s="803"/>
      <c r="GX884" s="803"/>
      <c r="GY884" s="803"/>
      <c r="GZ884" s="803"/>
      <c r="HA884" s="803"/>
      <c r="HB884" s="803"/>
      <c r="HC884" s="803"/>
      <c r="HD884" s="803"/>
      <c r="HE884" s="803"/>
      <c r="HF884" s="803"/>
      <c r="HG884" s="803"/>
      <c r="HH884" s="803"/>
      <c r="HI884" s="803"/>
      <c r="HJ884" s="803"/>
      <c r="HK884" s="803"/>
      <c r="HL884" s="803"/>
      <c r="HM884" s="803"/>
      <c r="HN884" s="803"/>
      <c r="HO884" s="803"/>
      <c r="HP884" s="803"/>
      <c r="HQ884" s="803"/>
      <c r="HR884" s="803"/>
      <c r="HS884" s="803"/>
      <c r="HT884" s="803"/>
      <c r="HU884" s="803"/>
      <c r="HV884" s="803"/>
      <c r="HW884" s="803"/>
      <c r="HX884" s="803"/>
      <c r="HY884" s="803"/>
      <c r="HZ884" s="803"/>
      <c r="IA884" s="803"/>
      <c r="IB884" s="803"/>
      <c r="IC884" s="803"/>
      <c r="ID884" s="803"/>
      <c r="IE884" s="803"/>
      <c r="IF884" s="803"/>
      <c r="IG884" s="803"/>
      <c r="IH884" s="803"/>
      <c r="II884" s="803"/>
      <c r="IJ884" s="803"/>
      <c r="IK884" s="803"/>
      <c r="IL884" s="803"/>
      <c r="IM884" s="803"/>
      <c r="IN884" s="803"/>
      <c r="IO884" s="803"/>
      <c r="IP884" s="803"/>
      <c r="IQ884" s="803"/>
      <c r="IR884" s="803"/>
      <c r="IS884" s="803"/>
      <c r="IT884" s="803"/>
      <c r="IU884" s="803"/>
      <c r="IV884" s="803"/>
      <c r="IW884" s="803"/>
      <c r="IX884" s="803"/>
      <c r="IY884" s="803"/>
      <c r="IZ884" s="803"/>
      <c r="JA884" s="803"/>
      <c r="JB884" s="803"/>
      <c r="JC884" s="803"/>
      <c r="JD884" s="803"/>
      <c r="JE884" s="803"/>
      <c r="JF884" s="803"/>
      <c r="JG884" s="803"/>
      <c r="JH884" s="803"/>
      <c r="JI884" s="803"/>
      <c r="JJ884" s="803"/>
      <c r="JK884" s="803"/>
      <c r="JL884" s="803"/>
      <c r="JM884" s="803"/>
      <c r="JN884" s="803"/>
      <c r="JO884" s="803"/>
      <c r="JP884" s="803"/>
      <c r="JQ884" s="803"/>
      <c r="JR884" s="803"/>
      <c r="JS884" s="803"/>
      <c r="JT884" s="803"/>
      <c r="JU884" s="803"/>
      <c r="JV884" s="803"/>
      <c r="JW884" s="803"/>
      <c r="JX884" s="803"/>
      <c r="JY884" s="803"/>
      <c r="JZ884" s="803"/>
      <c r="KA884" s="803"/>
      <c r="KB884" s="803"/>
      <c r="KC884" s="803"/>
      <c r="KD884" s="803"/>
      <c r="KE884" s="803"/>
      <c r="KF884" s="803"/>
      <c r="KG884" s="803"/>
      <c r="KH884" s="803"/>
      <c r="KI884" s="803"/>
      <c r="KJ884" s="803"/>
      <c r="KK884" s="803"/>
      <c r="KL884" s="803"/>
      <c r="KM884" s="803"/>
      <c r="KN884" s="803"/>
      <c r="KO884" s="803"/>
      <c r="KP884" s="803"/>
      <c r="KQ884" s="803"/>
      <c r="KR884" s="803"/>
      <c r="KS884" s="803"/>
      <c r="KT884" s="803"/>
      <c r="KU884" s="803"/>
      <c r="KV884" s="803"/>
      <c r="KW884" s="803"/>
      <c r="KX884" s="803"/>
      <c r="KY884" s="803"/>
      <c r="KZ884" s="803"/>
      <c r="LA884" s="803"/>
      <c r="LB884" s="803"/>
      <c r="LC884" s="803"/>
      <c r="LD884" s="803"/>
      <c r="LE884" s="803"/>
      <c r="LF884" s="803"/>
      <c r="LG884" s="803"/>
      <c r="LH884" s="803"/>
      <c r="LI884" s="803"/>
      <c r="LJ884" s="803"/>
      <c r="LK884" s="803"/>
      <c r="LL884" s="803"/>
      <c r="LM884" s="803"/>
      <c r="LN884" s="803"/>
      <c r="LO884" s="803"/>
      <c r="LP884" s="803"/>
      <c r="LQ884" s="803"/>
      <c r="LR884" s="803"/>
      <c r="LS884" s="803"/>
      <c r="LT884" s="803"/>
      <c r="LU884" s="803"/>
      <c r="LV884" s="803"/>
      <c r="LW884" s="803"/>
      <c r="LX884" s="803"/>
      <c r="LY884" s="803"/>
      <c r="LZ884" s="803"/>
      <c r="MA884" s="803"/>
      <c r="MB884" s="803"/>
      <c r="MC884" s="803"/>
      <c r="MD884" s="803"/>
      <c r="ME884" s="803"/>
      <c r="MF884" s="803"/>
      <c r="MG884" s="803"/>
      <c r="MH884" s="803"/>
      <c r="MI884" s="803"/>
      <c r="MJ884" s="803"/>
      <c r="MK884" s="803"/>
      <c r="ML884" s="803"/>
      <c r="MM884" s="803"/>
      <c r="MN884" s="803"/>
      <c r="MO884" s="803"/>
      <c r="MP884" s="803"/>
      <c r="MQ884" s="803"/>
      <c r="MR884" s="803"/>
      <c r="MS884" s="803"/>
      <c r="MT884" s="803"/>
      <c r="MU884" s="803"/>
      <c r="MV884" s="803"/>
      <c r="MW884" s="803"/>
      <c r="MX884" s="803"/>
      <c r="MY884" s="803"/>
      <c r="MZ884" s="803"/>
      <c r="NA884" s="803"/>
      <c r="NB884" s="803"/>
      <c r="NC884" s="803"/>
      <c r="ND884" s="803"/>
      <c r="NE884" s="803"/>
      <c r="NF884" s="803"/>
      <c r="NG884" s="803"/>
      <c r="NH884" s="803"/>
      <c r="NI884" s="803"/>
      <c r="NJ884" s="803"/>
      <c r="NK884" s="803"/>
      <c r="NL884" s="803"/>
      <c r="NM884" s="803"/>
      <c r="NN884" s="803"/>
      <c r="NO884" s="803"/>
      <c r="NP884" s="803"/>
      <c r="NQ884" s="803"/>
      <c r="NR884" s="803"/>
      <c r="NS884" s="803"/>
      <c r="NT884" s="803"/>
      <c r="NU884" s="803"/>
      <c r="NV884" s="803"/>
      <c r="NW884" s="803"/>
      <c r="NX884" s="803"/>
      <c r="NY884" s="803"/>
      <c r="NZ884" s="803"/>
      <c r="OA884" s="803"/>
      <c r="OB884" s="803"/>
      <c r="OC884" s="803"/>
      <c r="OD884" s="803"/>
      <c r="OE884" s="803"/>
      <c r="OF884" s="803"/>
      <c r="OG884" s="803"/>
      <c r="OH884" s="803"/>
      <c r="OI884" s="803"/>
      <c r="OJ884" s="803"/>
      <c r="OK884" s="803"/>
      <c r="OL884" s="803"/>
      <c r="OM884" s="803"/>
      <c r="ON884" s="803"/>
      <c r="OO884" s="803"/>
      <c r="OP884" s="803"/>
      <c r="OQ884" s="803"/>
      <c r="OR884" s="803"/>
      <c r="OS884" s="803"/>
      <c r="OT884" s="803"/>
      <c r="OU884" s="803"/>
      <c r="OV884" s="803"/>
      <c r="OW884" s="803"/>
      <c r="OX884" s="803"/>
      <c r="OY884" s="803"/>
      <c r="OZ884" s="803"/>
      <c r="PA884" s="803"/>
      <c r="PB884" s="803"/>
      <c r="PC884" s="803"/>
      <c r="PD884" s="803"/>
      <c r="PE884" s="803"/>
      <c r="PF884" s="803"/>
      <c r="PG884" s="803"/>
      <c r="PH884" s="803"/>
      <c r="PI884" s="803"/>
      <c r="PJ884" s="803"/>
      <c r="PK884" s="803"/>
      <c r="PL884" s="803"/>
      <c r="PM884" s="803"/>
      <c r="PN884" s="803"/>
      <c r="PO884" s="803"/>
      <c r="PP884" s="803"/>
      <c r="PQ884" s="803"/>
      <c r="PR884" s="803"/>
      <c r="PS884" s="803"/>
      <c r="PT884" s="803"/>
      <c r="PU884" s="803"/>
      <c r="PV884" s="803"/>
      <c r="PW884" s="803"/>
      <c r="PX884" s="803"/>
      <c r="PY884" s="803"/>
      <c r="PZ884" s="803"/>
      <c r="QA884" s="803"/>
      <c r="QB884" s="803"/>
      <c r="QC884" s="803"/>
      <c r="QD884" s="803"/>
      <c r="QE884" s="803"/>
      <c r="QF884" s="803"/>
      <c r="QG884" s="803"/>
      <c r="QH884" s="803"/>
      <c r="QI884" s="803"/>
      <c r="QJ884" s="803"/>
      <c r="QK884" s="803"/>
      <c r="QL884" s="803"/>
      <c r="QM884" s="803"/>
      <c r="QN884" s="803"/>
      <c r="QO884" s="803"/>
      <c r="QP884" s="803"/>
      <c r="QQ884" s="803"/>
      <c r="QR884" s="803"/>
      <c r="QS884" s="803"/>
      <c r="QT884" s="803"/>
      <c r="QU884" s="803"/>
      <c r="QV884" s="803"/>
      <c r="QW884" s="803"/>
      <c r="QX884" s="803"/>
      <c r="QY884" s="803"/>
      <c r="QZ884" s="803"/>
      <c r="RA884" s="803"/>
      <c r="RB884" s="803"/>
      <c r="RC884" s="803"/>
      <c r="RD884" s="803"/>
      <c r="RE884" s="803"/>
      <c r="RF884" s="803"/>
      <c r="RG884" s="803"/>
      <c r="RH884" s="803"/>
      <c r="RI884" s="803"/>
      <c r="RJ884" s="803"/>
      <c r="RK884" s="803"/>
      <c r="RL884" s="803"/>
      <c r="RM884" s="803"/>
      <c r="RN884" s="803"/>
      <c r="RO884" s="803"/>
      <c r="RP884" s="803"/>
      <c r="RQ884" s="803"/>
      <c r="RR884" s="803"/>
      <c r="RS884" s="803"/>
      <c r="RT884" s="803"/>
      <c r="RU884" s="803"/>
      <c r="RV884" s="803"/>
      <c r="RW884" s="803"/>
      <c r="RX884" s="803"/>
      <c r="RY884" s="803"/>
      <c r="RZ884" s="803"/>
      <c r="SA884" s="803"/>
      <c r="SB884" s="803"/>
      <c r="SC884" s="803"/>
      <c r="SD884" s="803"/>
      <c r="SE884" s="803"/>
      <c r="SF884" s="803"/>
      <c r="SG884" s="803"/>
      <c r="SH884" s="803"/>
      <c r="SI884" s="803"/>
      <c r="SJ884" s="803"/>
      <c r="SK884" s="803"/>
      <c r="SL884" s="803"/>
      <c r="SM884" s="803"/>
      <c r="SN884" s="803"/>
      <c r="SO884" s="803"/>
      <c r="SP884" s="803"/>
      <c r="SQ884" s="803"/>
      <c r="SR884" s="803"/>
      <c r="SS884" s="803"/>
      <c r="ST884" s="803"/>
      <c r="SU884" s="803"/>
      <c r="SV884" s="803"/>
      <c r="SW884" s="803"/>
      <c r="SX884" s="803"/>
      <c r="SY884" s="803"/>
      <c r="SZ884" s="803"/>
      <c r="TA884" s="803"/>
      <c r="TB884" s="803"/>
      <c r="TC884" s="803"/>
      <c r="TD884" s="803"/>
      <c r="TE884" s="803"/>
      <c r="TF884" s="803"/>
      <c r="TG884" s="803"/>
      <c r="TH884" s="803"/>
      <c r="TI884" s="803"/>
      <c r="TJ884" s="803"/>
      <c r="TK884" s="803"/>
      <c r="TL884" s="803"/>
      <c r="TM884" s="803"/>
      <c r="TN884" s="803"/>
      <c r="TO884" s="803"/>
      <c r="TP884" s="803"/>
      <c r="TQ884" s="803"/>
      <c r="TR884" s="803"/>
      <c r="TS884" s="803"/>
      <c r="TT884" s="803"/>
      <c r="TU884" s="803"/>
      <c r="TV884" s="803"/>
      <c r="TW884" s="803"/>
      <c r="TX884" s="803"/>
      <c r="TY884" s="803"/>
      <c r="TZ884" s="803"/>
      <c r="UA884" s="803"/>
      <c r="UB884" s="803"/>
      <c r="UC884" s="803"/>
      <c r="UD884" s="803"/>
      <c r="UE884" s="803"/>
      <c r="UF884" s="803"/>
      <c r="UG884" s="803"/>
      <c r="UH884" s="803"/>
      <c r="UI884" s="803"/>
      <c r="UJ884" s="803"/>
      <c r="UK884" s="803"/>
      <c r="UL884" s="803"/>
      <c r="UM884" s="803"/>
      <c r="UN884" s="803"/>
      <c r="UO884" s="803"/>
      <c r="UP884" s="803"/>
      <c r="UQ884" s="803"/>
      <c r="UR884" s="803"/>
      <c r="US884" s="803"/>
      <c r="UT884" s="803"/>
      <c r="UU884" s="803"/>
      <c r="UV884" s="803"/>
      <c r="UW884" s="803"/>
      <c r="UX884" s="803"/>
      <c r="UY884" s="803"/>
      <c r="UZ884" s="803"/>
      <c r="VA884" s="803"/>
      <c r="VB884" s="803"/>
      <c r="VC884" s="803"/>
      <c r="VD884" s="803"/>
      <c r="VE884" s="803"/>
      <c r="VF884" s="803"/>
      <c r="VG884" s="803"/>
      <c r="VH884" s="803"/>
      <c r="VI884" s="803"/>
      <c r="VJ884" s="803"/>
      <c r="VK884" s="803"/>
      <c r="VL884" s="803"/>
      <c r="VM884" s="803"/>
      <c r="VN884" s="803"/>
      <c r="VO884" s="803"/>
      <c r="VP884" s="803"/>
      <c r="VQ884" s="803"/>
      <c r="VR884" s="803"/>
      <c r="VS884" s="803"/>
      <c r="VT884" s="803"/>
      <c r="VU884" s="803"/>
      <c r="VV884" s="803"/>
      <c r="VW884" s="803"/>
      <c r="VX884" s="803"/>
      <c r="VY884" s="803"/>
      <c r="VZ884" s="803"/>
      <c r="WA884" s="803"/>
      <c r="WB884" s="803"/>
      <c r="WC884" s="803"/>
      <c r="WD884" s="803"/>
      <c r="WE884" s="803"/>
      <c r="WF884" s="803"/>
      <c r="WG884" s="803"/>
      <c r="WH884" s="803"/>
      <c r="WI884" s="803"/>
      <c r="WJ884" s="803"/>
      <c r="WK884" s="803"/>
      <c r="WL884" s="803"/>
      <c r="WM884" s="803"/>
      <c r="WN884" s="803"/>
      <c r="WO884" s="803"/>
      <c r="WP884" s="803"/>
      <c r="WQ884" s="803"/>
      <c r="WR884" s="803"/>
      <c r="WS884" s="803"/>
      <c r="WT884" s="803"/>
      <c r="WU884" s="803"/>
      <c r="WV884" s="803"/>
      <c r="WW884" s="803"/>
      <c r="WX884" s="803"/>
      <c r="WY884" s="803"/>
      <c r="WZ884" s="803"/>
      <c r="XA884" s="803"/>
      <c r="XB884" s="803"/>
      <c r="XC884" s="803"/>
      <c r="XD884" s="803"/>
      <c r="XE884" s="803"/>
      <c r="XF884" s="803"/>
      <c r="XG884" s="803"/>
      <c r="XH884" s="803"/>
      <c r="XI884" s="803"/>
      <c r="XJ884" s="803"/>
      <c r="XK884" s="803"/>
      <c r="XL884" s="803"/>
      <c r="XM884" s="803"/>
      <c r="XN884" s="803"/>
      <c r="XO884" s="803"/>
      <c r="XP884" s="803"/>
      <c r="XQ884" s="803"/>
      <c r="XR884" s="803"/>
      <c r="XS884" s="803"/>
      <c r="XT884" s="803"/>
      <c r="XU884" s="803"/>
      <c r="XV884" s="803"/>
      <c r="XW884" s="803"/>
      <c r="XX884" s="803"/>
      <c r="XY884" s="803"/>
      <c r="XZ884" s="803"/>
      <c r="YA884" s="803"/>
      <c r="YB884" s="803"/>
      <c r="YC884" s="803"/>
      <c r="YD884" s="803"/>
      <c r="YE884" s="803"/>
      <c r="YF884" s="803"/>
      <c r="YG884" s="803"/>
      <c r="YH884" s="803"/>
      <c r="YI884" s="803"/>
      <c r="YJ884" s="803"/>
      <c r="YK884" s="803"/>
      <c r="YL884" s="803"/>
      <c r="YM884" s="803"/>
      <c r="YN884" s="803"/>
      <c r="YO884" s="803"/>
      <c r="YP884" s="803"/>
      <c r="YQ884" s="803"/>
      <c r="YR884" s="803"/>
      <c r="YS884" s="803"/>
      <c r="YT884" s="803"/>
      <c r="YU884" s="803"/>
      <c r="YV884" s="803"/>
      <c r="YW884" s="803"/>
      <c r="YX884" s="803"/>
      <c r="YY884" s="803"/>
      <c r="YZ884" s="803"/>
      <c r="ZA884" s="803"/>
      <c r="ZB884" s="803"/>
      <c r="ZC884" s="803"/>
      <c r="ZD884" s="803"/>
      <c r="ZE884" s="803"/>
      <c r="ZF884" s="803"/>
      <c r="ZG884" s="803"/>
      <c r="ZH884" s="803"/>
      <c r="ZI884" s="803"/>
      <c r="ZJ884" s="803"/>
      <c r="ZK884" s="803"/>
      <c r="ZL884" s="803"/>
      <c r="ZM884" s="803"/>
      <c r="ZN884" s="803"/>
      <c r="ZO884" s="803"/>
      <c r="ZP884" s="803"/>
      <c r="ZQ884" s="803"/>
      <c r="ZR884" s="803"/>
      <c r="ZS884" s="803"/>
      <c r="ZT884" s="803"/>
      <c r="ZU884" s="803"/>
      <c r="ZV884" s="803"/>
      <c r="ZW884" s="803"/>
      <c r="ZX884" s="803"/>
      <c r="ZY884" s="803"/>
      <c r="ZZ884" s="803"/>
      <c r="AAA884" s="803"/>
      <c r="AAB884" s="803"/>
      <c r="AAC884" s="803"/>
      <c r="AAD884" s="803"/>
      <c r="AAE884" s="803"/>
      <c r="AAF884" s="803"/>
      <c r="AAG884" s="803"/>
      <c r="AAH884" s="803"/>
      <c r="AAI884" s="803"/>
      <c r="AAJ884" s="803"/>
      <c r="AAK884" s="803"/>
      <c r="AAL884" s="803"/>
      <c r="AAM884" s="803"/>
      <c r="AAN884" s="803"/>
      <c r="AAO884" s="803"/>
      <c r="AAP884" s="803"/>
      <c r="AAQ884" s="803"/>
      <c r="AAR884" s="803"/>
      <c r="AAS884" s="803"/>
      <c r="AAT884" s="803"/>
      <c r="AAU884" s="803"/>
      <c r="AAV884" s="803"/>
      <c r="AAW884" s="803"/>
      <c r="AAX884" s="803"/>
      <c r="AAY884" s="803"/>
      <c r="AAZ884" s="803"/>
      <c r="ABA884" s="803"/>
      <c r="ABB884" s="803"/>
      <c r="ABC884" s="803"/>
      <c r="ABD884" s="803"/>
      <c r="ABE884" s="803"/>
      <c r="ABF884" s="803"/>
      <c r="ABG884" s="803"/>
      <c r="ABH884" s="803"/>
      <c r="ABI884" s="803"/>
      <c r="ABJ884" s="803"/>
      <c r="ABK884" s="803"/>
      <c r="ABL884" s="803"/>
      <c r="ABM884" s="803"/>
      <c r="ABN884" s="803"/>
      <c r="ABO884" s="803"/>
      <c r="ABP884" s="803"/>
      <c r="ABQ884" s="803"/>
      <c r="ABR884" s="803"/>
      <c r="ABS884" s="803"/>
      <c r="ABT884" s="803"/>
      <c r="ABU884" s="803"/>
      <c r="ABV884" s="803"/>
      <c r="ABW884" s="803"/>
      <c r="ABX884" s="803"/>
      <c r="ABY884" s="803"/>
      <c r="ABZ884" s="803"/>
      <c r="ACA884" s="803"/>
      <c r="ACB884" s="803"/>
      <c r="ACC884" s="803"/>
      <c r="ACD884" s="803"/>
      <c r="ACE884" s="803"/>
      <c r="ACF884" s="803"/>
      <c r="ACG884" s="803"/>
      <c r="ACH884" s="803"/>
      <c r="ACI884" s="803"/>
      <c r="ACJ884" s="803"/>
      <c r="ACK884" s="803"/>
      <c r="ACL884" s="803"/>
      <c r="ACM884" s="803"/>
      <c r="ACN884" s="803"/>
      <c r="ACO884" s="803"/>
      <c r="ACP884" s="803"/>
      <c r="ACQ884" s="803"/>
      <c r="ACR884" s="803"/>
      <c r="ACS884" s="803"/>
      <c r="ACT884" s="803"/>
      <c r="ACU884" s="803"/>
      <c r="ACV884" s="803"/>
      <c r="ACW884" s="803"/>
      <c r="ACX884" s="803"/>
      <c r="ACY884" s="803"/>
      <c r="ACZ884" s="803"/>
      <c r="ADA884" s="803"/>
      <c r="ADB884" s="803"/>
      <c r="ADC884" s="803"/>
      <c r="ADD884" s="803"/>
      <c r="ADE884" s="803"/>
      <c r="ADF884" s="803"/>
      <c r="ADG884" s="803"/>
      <c r="ADH884" s="803"/>
      <c r="ADI884" s="803"/>
      <c r="ADJ884" s="803"/>
      <c r="ADK884" s="803"/>
      <c r="ADL884" s="803"/>
      <c r="ADM884" s="803"/>
      <c r="ADN884" s="803"/>
      <c r="ADO884" s="803"/>
      <c r="ADP884" s="803"/>
      <c r="ADQ884" s="803"/>
      <c r="ADR884" s="803"/>
      <c r="ADS884" s="803"/>
      <c r="ADT884" s="803"/>
      <c r="ADU884" s="803"/>
      <c r="ADV884" s="803"/>
      <c r="ADW884" s="803"/>
      <c r="ADX884" s="803"/>
      <c r="ADY884" s="803"/>
      <c r="ADZ884" s="803"/>
      <c r="AEA884" s="803"/>
      <c r="AEB884" s="803"/>
      <c r="AEC884" s="803"/>
      <c r="AED884" s="803"/>
      <c r="AEE884" s="803"/>
      <c r="AEF884" s="803"/>
      <c r="AEG884" s="803"/>
      <c r="AEH884" s="803"/>
      <c r="AEI884" s="803"/>
      <c r="AEJ884" s="803"/>
      <c r="AEK884" s="803"/>
      <c r="AEL884" s="803"/>
      <c r="AEM884" s="803"/>
      <c r="AEN884" s="803"/>
      <c r="AEO884" s="803"/>
      <c r="AEP884" s="803"/>
      <c r="AEQ884" s="803"/>
      <c r="AER884" s="803"/>
      <c r="AES884" s="803"/>
      <c r="AET884" s="803"/>
      <c r="AEU884" s="803"/>
      <c r="AEV884" s="803"/>
      <c r="AEW884" s="803"/>
      <c r="AEX884" s="803"/>
      <c r="AEY884" s="803"/>
      <c r="AEZ884" s="803"/>
      <c r="AFA884" s="803"/>
      <c r="AFB884" s="803"/>
      <c r="AFC884" s="803"/>
      <c r="AFD884" s="803"/>
      <c r="AFE884" s="803"/>
      <c r="AFF884" s="803"/>
      <c r="AFG884" s="803"/>
      <c r="AFH884" s="803"/>
      <c r="AFI884" s="803"/>
      <c r="AFJ884" s="803"/>
      <c r="AFK884" s="803"/>
      <c r="AFL884" s="803"/>
      <c r="AFM884" s="803"/>
      <c r="AFN884" s="803"/>
      <c r="AFO884" s="803"/>
      <c r="AFP884" s="803"/>
      <c r="AFQ884" s="803"/>
      <c r="AFR884" s="803"/>
      <c r="AFS884" s="803"/>
      <c r="AFT884" s="803"/>
      <c r="AFU884" s="803"/>
      <c r="AFV884" s="803"/>
      <c r="AFW884" s="803"/>
      <c r="AFX884" s="803"/>
      <c r="AFY884" s="803"/>
      <c r="AFZ884" s="803"/>
      <c r="AGA884" s="803"/>
      <c r="AGB884" s="803"/>
      <c r="AGC884" s="803"/>
      <c r="AGD884" s="803"/>
      <c r="AGE884" s="803"/>
      <c r="AGF884" s="803"/>
      <c r="AGG884" s="803"/>
      <c r="AGH884" s="803"/>
      <c r="AGI884" s="803"/>
      <c r="AGJ884" s="803"/>
    </row>
    <row r="885" spans="1:868" s="7" customFormat="1">
      <c r="A885" s="59" t="s">
        <v>502</v>
      </c>
      <c r="B885" s="336" t="s">
        <v>258</v>
      </c>
      <c r="C885" s="34" t="s">
        <v>139</v>
      </c>
      <c r="D885" s="40" t="s">
        <v>99</v>
      </c>
      <c r="E885" s="237">
        <v>3.4000000000000002E-2</v>
      </c>
      <c r="F885" s="40">
        <v>2</v>
      </c>
      <c r="G885" s="34" t="s">
        <v>412</v>
      </c>
      <c r="H885" s="29">
        <v>1</v>
      </c>
      <c r="I885" s="9">
        <v>2</v>
      </c>
      <c r="J885" s="9">
        <v>2</v>
      </c>
      <c r="K885" s="9">
        <v>1</v>
      </c>
      <c r="L885" s="9">
        <v>1</v>
      </c>
      <c r="M885" s="9">
        <v>1</v>
      </c>
      <c r="N885" s="185"/>
      <c r="O885" s="159"/>
      <c r="P885" s="34" t="s">
        <v>1942</v>
      </c>
      <c r="Q885" s="803"/>
      <c r="R885" s="803"/>
      <c r="S885" s="803"/>
      <c r="T885" s="803"/>
      <c r="U885" s="803"/>
      <c r="V885" s="803"/>
      <c r="W885" s="803"/>
      <c r="X885" s="803"/>
      <c r="Y885" s="803"/>
      <c r="Z885" s="803"/>
      <c r="AA885" s="803"/>
      <c r="AB885" s="803"/>
      <c r="AC885" s="803"/>
      <c r="AD885" s="803"/>
      <c r="AE885" s="803"/>
      <c r="AF885" s="803"/>
      <c r="AG885" s="803"/>
      <c r="AH885" s="803"/>
      <c r="AI885" s="803"/>
      <c r="AJ885" s="803"/>
      <c r="AK885" s="803"/>
      <c r="AL885" s="803"/>
      <c r="AM885" s="803"/>
      <c r="AN885" s="803"/>
      <c r="AO885" s="803"/>
      <c r="AP885" s="803"/>
      <c r="AQ885" s="803"/>
      <c r="AR885" s="803"/>
      <c r="AS885" s="803"/>
      <c r="AT885" s="803"/>
      <c r="AU885" s="803"/>
      <c r="AV885" s="803"/>
      <c r="AW885" s="803"/>
      <c r="AX885" s="803"/>
      <c r="AY885" s="803"/>
      <c r="AZ885" s="803"/>
      <c r="BA885" s="803"/>
      <c r="BB885" s="803"/>
      <c r="BC885" s="803"/>
      <c r="BD885" s="803"/>
      <c r="BE885" s="803"/>
      <c r="BF885" s="803"/>
      <c r="BG885" s="803"/>
      <c r="BH885" s="803"/>
      <c r="BI885" s="803"/>
      <c r="BJ885" s="803"/>
      <c r="BK885" s="803"/>
      <c r="BL885" s="803"/>
      <c r="BM885" s="803"/>
      <c r="BN885" s="803"/>
      <c r="BO885" s="803"/>
      <c r="BP885" s="803"/>
      <c r="BQ885" s="803"/>
      <c r="BR885" s="803"/>
      <c r="BS885" s="803"/>
      <c r="BT885" s="803"/>
      <c r="BU885" s="803"/>
      <c r="BV885" s="803"/>
      <c r="BW885" s="803"/>
      <c r="BX885" s="803"/>
      <c r="BY885" s="803"/>
      <c r="BZ885" s="803"/>
      <c r="CA885" s="803"/>
      <c r="CB885" s="803"/>
      <c r="CC885" s="803"/>
      <c r="CD885" s="803"/>
      <c r="CE885" s="803"/>
      <c r="CF885" s="803"/>
      <c r="CG885" s="803"/>
      <c r="CH885" s="803"/>
      <c r="CI885" s="803"/>
      <c r="CJ885" s="803"/>
      <c r="CK885" s="803"/>
      <c r="CL885" s="803"/>
      <c r="CM885" s="803"/>
      <c r="CN885" s="803"/>
      <c r="CO885" s="803"/>
      <c r="CP885" s="803"/>
      <c r="CQ885" s="803"/>
      <c r="CR885" s="803"/>
      <c r="CS885" s="803"/>
      <c r="CT885" s="803"/>
      <c r="CU885" s="803"/>
      <c r="CV885" s="803"/>
      <c r="CW885" s="803"/>
      <c r="CX885" s="803"/>
      <c r="CY885" s="803"/>
      <c r="CZ885" s="803"/>
      <c r="DA885" s="803"/>
      <c r="DB885" s="803"/>
      <c r="DC885" s="803"/>
      <c r="DD885" s="803"/>
      <c r="DE885" s="803"/>
      <c r="DF885" s="803"/>
      <c r="DG885" s="803"/>
      <c r="DH885" s="803"/>
      <c r="DI885" s="803"/>
      <c r="DJ885" s="803"/>
      <c r="DK885" s="803"/>
      <c r="DL885" s="803"/>
      <c r="DM885" s="803"/>
      <c r="DN885" s="803"/>
      <c r="DO885" s="803"/>
      <c r="DP885" s="803"/>
      <c r="DQ885" s="803"/>
      <c r="DR885" s="803"/>
      <c r="DS885" s="803"/>
      <c r="DT885" s="803"/>
      <c r="DU885" s="803"/>
      <c r="DV885" s="803"/>
      <c r="DW885" s="803"/>
      <c r="DX885" s="803"/>
      <c r="DY885" s="803"/>
      <c r="DZ885" s="803"/>
      <c r="EA885" s="803"/>
      <c r="EB885" s="803"/>
      <c r="EC885" s="803"/>
      <c r="ED885" s="803"/>
      <c r="EE885" s="803"/>
      <c r="EF885" s="803"/>
      <c r="EG885" s="803"/>
      <c r="EH885" s="803"/>
      <c r="EI885" s="803"/>
      <c r="EJ885" s="803"/>
      <c r="EK885" s="803"/>
      <c r="EL885" s="803"/>
      <c r="EM885" s="803"/>
      <c r="EN885" s="803"/>
      <c r="EO885" s="803"/>
      <c r="EP885" s="803"/>
      <c r="EQ885" s="803"/>
      <c r="ER885" s="803"/>
      <c r="ES885" s="803"/>
      <c r="ET885" s="803"/>
      <c r="EU885" s="803"/>
      <c r="EV885" s="803"/>
      <c r="EW885" s="803"/>
      <c r="EX885" s="803"/>
      <c r="EY885" s="803"/>
      <c r="EZ885" s="803"/>
      <c r="FA885" s="803"/>
      <c r="FB885" s="803"/>
      <c r="FC885" s="803"/>
      <c r="FD885" s="803"/>
      <c r="FE885" s="803"/>
      <c r="FF885" s="803"/>
      <c r="FG885" s="803"/>
      <c r="FH885" s="803"/>
      <c r="FI885" s="803"/>
      <c r="FJ885" s="803"/>
      <c r="FK885" s="803"/>
      <c r="FL885" s="803"/>
      <c r="FM885" s="803"/>
      <c r="FN885" s="803"/>
      <c r="FO885" s="803"/>
      <c r="FP885" s="803"/>
      <c r="FQ885" s="803"/>
      <c r="FR885" s="803"/>
      <c r="FS885" s="803"/>
      <c r="FT885" s="803"/>
      <c r="FU885" s="803"/>
      <c r="FV885" s="803"/>
      <c r="FW885" s="803"/>
      <c r="FX885" s="803"/>
      <c r="FY885" s="803"/>
      <c r="FZ885" s="803"/>
      <c r="GA885" s="803"/>
      <c r="GB885" s="803"/>
      <c r="GC885" s="803"/>
      <c r="GD885" s="803"/>
      <c r="GE885" s="803"/>
      <c r="GF885" s="803"/>
      <c r="GG885" s="803"/>
      <c r="GH885" s="803"/>
      <c r="GI885" s="803"/>
      <c r="GJ885" s="803"/>
      <c r="GK885" s="803"/>
      <c r="GL885" s="803"/>
      <c r="GM885" s="803"/>
      <c r="GN885" s="803"/>
      <c r="GO885" s="803"/>
      <c r="GP885" s="803"/>
      <c r="GQ885" s="803"/>
      <c r="GR885" s="803"/>
      <c r="GS885" s="803"/>
      <c r="GT885" s="803"/>
      <c r="GU885" s="803"/>
      <c r="GV885" s="803"/>
      <c r="GW885" s="803"/>
      <c r="GX885" s="803"/>
      <c r="GY885" s="803"/>
      <c r="GZ885" s="803"/>
      <c r="HA885" s="803"/>
      <c r="HB885" s="803"/>
      <c r="HC885" s="803"/>
      <c r="HD885" s="803"/>
      <c r="HE885" s="803"/>
      <c r="HF885" s="803"/>
      <c r="HG885" s="803"/>
      <c r="HH885" s="803"/>
      <c r="HI885" s="803"/>
      <c r="HJ885" s="803"/>
      <c r="HK885" s="803"/>
      <c r="HL885" s="803"/>
      <c r="HM885" s="803"/>
      <c r="HN885" s="803"/>
      <c r="HO885" s="803"/>
      <c r="HP885" s="803"/>
      <c r="HQ885" s="803"/>
      <c r="HR885" s="803"/>
      <c r="HS885" s="803"/>
      <c r="HT885" s="803"/>
      <c r="HU885" s="803"/>
      <c r="HV885" s="803"/>
      <c r="HW885" s="803"/>
      <c r="HX885" s="803"/>
      <c r="HY885" s="803"/>
      <c r="HZ885" s="803"/>
      <c r="IA885" s="803"/>
      <c r="IB885" s="803"/>
      <c r="IC885" s="803"/>
      <c r="ID885" s="803"/>
      <c r="IE885" s="803"/>
      <c r="IF885" s="803"/>
      <c r="IG885" s="803"/>
      <c r="IH885" s="803"/>
      <c r="II885" s="803"/>
      <c r="IJ885" s="803"/>
      <c r="IK885" s="803"/>
      <c r="IL885" s="803"/>
      <c r="IM885" s="803"/>
      <c r="IN885" s="803"/>
      <c r="IO885" s="803"/>
      <c r="IP885" s="803"/>
      <c r="IQ885" s="803"/>
      <c r="IR885" s="803"/>
      <c r="IS885" s="803"/>
      <c r="IT885" s="803"/>
      <c r="IU885" s="803"/>
      <c r="IV885" s="803"/>
      <c r="IW885" s="803"/>
      <c r="IX885" s="803"/>
      <c r="IY885" s="803"/>
      <c r="IZ885" s="803"/>
      <c r="JA885" s="803"/>
      <c r="JB885" s="803"/>
      <c r="JC885" s="803"/>
      <c r="JD885" s="803"/>
      <c r="JE885" s="803"/>
      <c r="JF885" s="803"/>
      <c r="JG885" s="803"/>
      <c r="JH885" s="803"/>
      <c r="JI885" s="803"/>
      <c r="JJ885" s="803"/>
      <c r="JK885" s="803"/>
      <c r="JL885" s="803"/>
      <c r="JM885" s="803"/>
      <c r="JN885" s="803"/>
      <c r="JO885" s="803"/>
      <c r="JP885" s="803"/>
      <c r="JQ885" s="803"/>
      <c r="JR885" s="803"/>
      <c r="JS885" s="803"/>
      <c r="JT885" s="803"/>
      <c r="JU885" s="803"/>
      <c r="JV885" s="803"/>
      <c r="JW885" s="803"/>
      <c r="JX885" s="803"/>
      <c r="JY885" s="803"/>
      <c r="JZ885" s="803"/>
      <c r="KA885" s="803"/>
      <c r="KB885" s="803"/>
      <c r="KC885" s="803"/>
      <c r="KD885" s="803"/>
      <c r="KE885" s="803"/>
      <c r="KF885" s="803"/>
      <c r="KG885" s="803"/>
      <c r="KH885" s="803"/>
      <c r="KI885" s="803"/>
      <c r="KJ885" s="803"/>
      <c r="KK885" s="803"/>
      <c r="KL885" s="803"/>
      <c r="KM885" s="803"/>
      <c r="KN885" s="803"/>
      <c r="KO885" s="803"/>
      <c r="KP885" s="803"/>
      <c r="KQ885" s="803"/>
      <c r="KR885" s="803"/>
      <c r="KS885" s="803"/>
      <c r="KT885" s="803"/>
      <c r="KU885" s="803"/>
      <c r="KV885" s="803"/>
      <c r="KW885" s="803"/>
      <c r="KX885" s="803"/>
      <c r="KY885" s="803"/>
      <c r="KZ885" s="803"/>
      <c r="LA885" s="803"/>
      <c r="LB885" s="803"/>
      <c r="LC885" s="803"/>
      <c r="LD885" s="803"/>
      <c r="LE885" s="803"/>
      <c r="LF885" s="803"/>
      <c r="LG885" s="803"/>
      <c r="LH885" s="803"/>
      <c r="LI885" s="803"/>
      <c r="LJ885" s="803"/>
      <c r="LK885" s="803"/>
      <c r="LL885" s="803"/>
      <c r="LM885" s="803"/>
      <c r="LN885" s="803"/>
      <c r="LO885" s="803"/>
      <c r="LP885" s="803"/>
      <c r="LQ885" s="803"/>
      <c r="LR885" s="803"/>
      <c r="LS885" s="803"/>
      <c r="LT885" s="803"/>
      <c r="LU885" s="803"/>
      <c r="LV885" s="803"/>
      <c r="LW885" s="803"/>
      <c r="LX885" s="803"/>
      <c r="LY885" s="803"/>
      <c r="LZ885" s="803"/>
      <c r="MA885" s="803"/>
      <c r="MB885" s="803"/>
      <c r="MC885" s="803"/>
      <c r="MD885" s="803"/>
      <c r="ME885" s="803"/>
      <c r="MF885" s="803"/>
      <c r="MG885" s="803"/>
      <c r="MH885" s="803"/>
      <c r="MI885" s="803"/>
      <c r="MJ885" s="803"/>
      <c r="MK885" s="803"/>
      <c r="ML885" s="803"/>
      <c r="MM885" s="803"/>
      <c r="MN885" s="803"/>
      <c r="MO885" s="803"/>
      <c r="MP885" s="803"/>
      <c r="MQ885" s="803"/>
      <c r="MR885" s="803"/>
      <c r="MS885" s="803"/>
      <c r="MT885" s="803"/>
      <c r="MU885" s="803"/>
      <c r="MV885" s="803"/>
      <c r="MW885" s="803"/>
      <c r="MX885" s="803"/>
      <c r="MY885" s="803"/>
      <c r="MZ885" s="803"/>
      <c r="NA885" s="803"/>
      <c r="NB885" s="803"/>
      <c r="NC885" s="803"/>
      <c r="ND885" s="803"/>
      <c r="NE885" s="803"/>
      <c r="NF885" s="803"/>
      <c r="NG885" s="803"/>
      <c r="NH885" s="803"/>
      <c r="NI885" s="803"/>
      <c r="NJ885" s="803"/>
      <c r="NK885" s="803"/>
      <c r="NL885" s="803"/>
      <c r="NM885" s="803"/>
      <c r="NN885" s="803"/>
      <c r="NO885" s="803"/>
      <c r="NP885" s="803"/>
      <c r="NQ885" s="803"/>
      <c r="NR885" s="803"/>
      <c r="NS885" s="803"/>
      <c r="NT885" s="803"/>
      <c r="NU885" s="803"/>
      <c r="NV885" s="803"/>
      <c r="NW885" s="803"/>
      <c r="NX885" s="803"/>
      <c r="NY885" s="803"/>
      <c r="NZ885" s="803"/>
      <c r="OA885" s="803"/>
      <c r="OB885" s="803"/>
      <c r="OC885" s="803"/>
      <c r="OD885" s="803"/>
      <c r="OE885" s="803"/>
      <c r="OF885" s="803"/>
      <c r="OG885" s="803"/>
      <c r="OH885" s="803"/>
      <c r="OI885" s="803"/>
      <c r="OJ885" s="803"/>
      <c r="OK885" s="803"/>
      <c r="OL885" s="803"/>
      <c r="OM885" s="803"/>
      <c r="ON885" s="803"/>
      <c r="OO885" s="803"/>
      <c r="OP885" s="803"/>
      <c r="OQ885" s="803"/>
      <c r="OR885" s="803"/>
      <c r="OS885" s="803"/>
      <c r="OT885" s="803"/>
      <c r="OU885" s="803"/>
      <c r="OV885" s="803"/>
      <c r="OW885" s="803"/>
      <c r="OX885" s="803"/>
      <c r="OY885" s="803"/>
      <c r="OZ885" s="803"/>
      <c r="PA885" s="803"/>
      <c r="PB885" s="803"/>
      <c r="PC885" s="803"/>
      <c r="PD885" s="803"/>
      <c r="PE885" s="803"/>
      <c r="PF885" s="803"/>
      <c r="PG885" s="803"/>
      <c r="PH885" s="803"/>
      <c r="PI885" s="803"/>
      <c r="PJ885" s="803"/>
      <c r="PK885" s="803"/>
      <c r="PL885" s="803"/>
      <c r="PM885" s="803"/>
      <c r="PN885" s="803"/>
      <c r="PO885" s="803"/>
      <c r="PP885" s="803"/>
      <c r="PQ885" s="803"/>
      <c r="PR885" s="803"/>
      <c r="PS885" s="803"/>
      <c r="PT885" s="803"/>
      <c r="PU885" s="803"/>
      <c r="PV885" s="803"/>
      <c r="PW885" s="803"/>
      <c r="PX885" s="803"/>
      <c r="PY885" s="803"/>
      <c r="PZ885" s="803"/>
      <c r="QA885" s="803"/>
      <c r="QB885" s="803"/>
      <c r="QC885" s="803"/>
      <c r="QD885" s="803"/>
      <c r="QE885" s="803"/>
      <c r="QF885" s="803"/>
      <c r="QG885" s="803"/>
      <c r="QH885" s="803"/>
      <c r="QI885" s="803"/>
      <c r="QJ885" s="803"/>
      <c r="QK885" s="803"/>
      <c r="QL885" s="803"/>
      <c r="QM885" s="803"/>
      <c r="QN885" s="803"/>
      <c r="QO885" s="803"/>
      <c r="QP885" s="803"/>
      <c r="QQ885" s="803"/>
      <c r="QR885" s="803"/>
      <c r="QS885" s="803"/>
      <c r="QT885" s="803"/>
      <c r="QU885" s="803"/>
      <c r="QV885" s="803"/>
      <c r="QW885" s="803"/>
      <c r="QX885" s="803"/>
      <c r="QY885" s="803"/>
      <c r="QZ885" s="803"/>
      <c r="RA885" s="803"/>
      <c r="RB885" s="803"/>
      <c r="RC885" s="803"/>
      <c r="RD885" s="803"/>
      <c r="RE885" s="803"/>
      <c r="RF885" s="803"/>
      <c r="RG885" s="803"/>
      <c r="RH885" s="803"/>
      <c r="RI885" s="803"/>
      <c r="RJ885" s="803"/>
      <c r="RK885" s="803"/>
      <c r="RL885" s="803"/>
      <c r="RM885" s="803"/>
      <c r="RN885" s="803"/>
      <c r="RO885" s="803"/>
      <c r="RP885" s="803"/>
      <c r="RQ885" s="803"/>
      <c r="RR885" s="803"/>
      <c r="RS885" s="803"/>
      <c r="RT885" s="803"/>
      <c r="RU885" s="803"/>
      <c r="RV885" s="803"/>
      <c r="RW885" s="803"/>
      <c r="RX885" s="803"/>
      <c r="RY885" s="803"/>
      <c r="RZ885" s="803"/>
      <c r="SA885" s="803"/>
      <c r="SB885" s="803"/>
      <c r="SC885" s="803"/>
      <c r="SD885" s="803"/>
      <c r="SE885" s="803"/>
      <c r="SF885" s="803"/>
      <c r="SG885" s="803"/>
      <c r="SH885" s="803"/>
      <c r="SI885" s="803"/>
      <c r="SJ885" s="803"/>
      <c r="SK885" s="803"/>
      <c r="SL885" s="803"/>
      <c r="SM885" s="803"/>
      <c r="SN885" s="803"/>
      <c r="SO885" s="803"/>
      <c r="SP885" s="803"/>
      <c r="SQ885" s="803"/>
      <c r="SR885" s="803"/>
      <c r="SS885" s="803"/>
      <c r="ST885" s="803"/>
      <c r="SU885" s="803"/>
      <c r="SV885" s="803"/>
      <c r="SW885" s="803"/>
      <c r="SX885" s="803"/>
      <c r="SY885" s="803"/>
      <c r="SZ885" s="803"/>
      <c r="TA885" s="803"/>
      <c r="TB885" s="803"/>
      <c r="TC885" s="803"/>
      <c r="TD885" s="803"/>
      <c r="TE885" s="803"/>
      <c r="TF885" s="803"/>
      <c r="TG885" s="803"/>
      <c r="TH885" s="803"/>
      <c r="TI885" s="803"/>
      <c r="TJ885" s="803"/>
      <c r="TK885" s="803"/>
      <c r="TL885" s="803"/>
      <c r="TM885" s="803"/>
      <c r="TN885" s="803"/>
      <c r="TO885" s="803"/>
      <c r="TP885" s="803"/>
      <c r="TQ885" s="803"/>
      <c r="TR885" s="803"/>
      <c r="TS885" s="803"/>
      <c r="TT885" s="803"/>
      <c r="TU885" s="803"/>
      <c r="TV885" s="803"/>
      <c r="TW885" s="803"/>
      <c r="TX885" s="803"/>
      <c r="TY885" s="803"/>
      <c r="TZ885" s="803"/>
      <c r="UA885" s="803"/>
      <c r="UB885" s="803"/>
      <c r="UC885" s="803"/>
      <c r="UD885" s="803"/>
      <c r="UE885" s="803"/>
      <c r="UF885" s="803"/>
      <c r="UG885" s="803"/>
      <c r="UH885" s="803"/>
      <c r="UI885" s="803"/>
      <c r="UJ885" s="803"/>
      <c r="UK885" s="803"/>
      <c r="UL885" s="803"/>
      <c r="UM885" s="803"/>
      <c r="UN885" s="803"/>
      <c r="UO885" s="803"/>
      <c r="UP885" s="803"/>
      <c r="UQ885" s="803"/>
      <c r="UR885" s="803"/>
      <c r="US885" s="803"/>
      <c r="UT885" s="803"/>
      <c r="UU885" s="803"/>
      <c r="UV885" s="803"/>
      <c r="UW885" s="803"/>
      <c r="UX885" s="803"/>
      <c r="UY885" s="803"/>
      <c r="UZ885" s="803"/>
      <c r="VA885" s="803"/>
      <c r="VB885" s="803"/>
      <c r="VC885" s="803"/>
      <c r="VD885" s="803"/>
      <c r="VE885" s="803"/>
      <c r="VF885" s="803"/>
      <c r="VG885" s="803"/>
      <c r="VH885" s="803"/>
      <c r="VI885" s="803"/>
      <c r="VJ885" s="803"/>
      <c r="VK885" s="803"/>
      <c r="VL885" s="803"/>
      <c r="VM885" s="803"/>
      <c r="VN885" s="803"/>
      <c r="VO885" s="803"/>
      <c r="VP885" s="803"/>
      <c r="VQ885" s="803"/>
      <c r="VR885" s="803"/>
      <c r="VS885" s="803"/>
      <c r="VT885" s="803"/>
      <c r="VU885" s="803"/>
      <c r="VV885" s="803"/>
      <c r="VW885" s="803"/>
      <c r="VX885" s="803"/>
      <c r="VY885" s="803"/>
      <c r="VZ885" s="803"/>
      <c r="WA885" s="803"/>
      <c r="WB885" s="803"/>
      <c r="WC885" s="803"/>
      <c r="WD885" s="803"/>
      <c r="WE885" s="803"/>
      <c r="WF885" s="803"/>
      <c r="WG885" s="803"/>
      <c r="WH885" s="803"/>
      <c r="WI885" s="803"/>
      <c r="WJ885" s="803"/>
      <c r="WK885" s="803"/>
      <c r="WL885" s="803"/>
      <c r="WM885" s="803"/>
      <c r="WN885" s="803"/>
      <c r="WO885" s="803"/>
      <c r="WP885" s="803"/>
      <c r="WQ885" s="803"/>
      <c r="WR885" s="803"/>
      <c r="WS885" s="803"/>
      <c r="WT885" s="803"/>
      <c r="WU885" s="803"/>
      <c r="WV885" s="803"/>
      <c r="WW885" s="803"/>
      <c r="WX885" s="803"/>
      <c r="WY885" s="803"/>
      <c r="WZ885" s="803"/>
      <c r="XA885" s="803"/>
      <c r="XB885" s="803"/>
      <c r="XC885" s="803"/>
      <c r="XD885" s="803"/>
      <c r="XE885" s="803"/>
      <c r="XF885" s="803"/>
      <c r="XG885" s="803"/>
      <c r="XH885" s="803"/>
      <c r="XI885" s="803"/>
      <c r="XJ885" s="803"/>
      <c r="XK885" s="803"/>
      <c r="XL885" s="803"/>
      <c r="XM885" s="803"/>
      <c r="XN885" s="803"/>
      <c r="XO885" s="803"/>
      <c r="XP885" s="803"/>
      <c r="XQ885" s="803"/>
      <c r="XR885" s="803"/>
      <c r="XS885" s="803"/>
      <c r="XT885" s="803"/>
      <c r="XU885" s="803"/>
      <c r="XV885" s="803"/>
      <c r="XW885" s="803"/>
      <c r="XX885" s="803"/>
      <c r="XY885" s="803"/>
      <c r="XZ885" s="803"/>
      <c r="YA885" s="803"/>
      <c r="YB885" s="803"/>
      <c r="YC885" s="803"/>
      <c r="YD885" s="803"/>
      <c r="YE885" s="803"/>
      <c r="YF885" s="803"/>
      <c r="YG885" s="803"/>
      <c r="YH885" s="803"/>
      <c r="YI885" s="803"/>
      <c r="YJ885" s="803"/>
      <c r="YK885" s="803"/>
      <c r="YL885" s="803"/>
      <c r="YM885" s="803"/>
      <c r="YN885" s="803"/>
      <c r="YO885" s="803"/>
      <c r="YP885" s="803"/>
      <c r="YQ885" s="803"/>
      <c r="YR885" s="803"/>
      <c r="YS885" s="803"/>
      <c r="YT885" s="803"/>
      <c r="YU885" s="803"/>
      <c r="YV885" s="803"/>
      <c r="YW885" s="803"/>
      <c r="YX885" s="803"/>
      <c r="YY885" s="803"/>
      <c r="YZ885" s="803"/>
      <c r="ZA885" s="803"/>
      <c r="ZB885" s="803"/>
      <c r="ZC885" s="803"/>
      <c r="ZD885" s="803"/>
      <c r="ZE885" s="803"/>
      <c r="ZF885" s="803"/>
      <c r="ZG885" s="803"/>
      <c r="ZH885" s="803"/>
      <c r="ZI885" s="803"/>
      <c r="ZJ885" s="803"/>
      <c r="ZK885" s="803"/>
      <c r="ZL885" s="803"/>
      <c r="ZM885" s="803"/>
      <c r="ZN885" s="803"/>
      <c r="ZO885" s="803"/>
      <c r="ZP885" s="803"/>
      <c r="ZQ885" s="803"/>
      <c r="ZR885" s="803"/>
      <c r="ZS885" s="803"/>
      <c r="ZT885" s="803"/>
      <c r="ZU885" s="803"/>
      <c r="ZV885" s="803"/>
      <c r="ZW885" s="803"/>
      <c r="ZX885" s="803"/>
      <c r="ZY885" s="803"/>
      <c r="ZZ885" s="803"/>
      <c r="AAA885" s="803"/>
      <c r="AAB885" s="803"/>
      <c r="AAC885" s="803"/>
      <c r="AAD885" s="803"/>
      <c r="AAE885" s="803"/>
      <c r="AAF885" s="803"/>
      <c r="AAG885" s="803"/>
      <c r="AAH885" s="803"/>
      <c r="AAI885" s="803"/>
      <c r="AAJ885" s="803"/>
      <c r="AAK885" s="803"/>
      <c r="AAL885" s="803"/>
      <c r="AAM885" s="803"/>
      <c r="AAN885" s="803"/>
      <c r="AAO885" s="803"/>
      <c r="AAP885" s="803"/>
      <c r="AAQ885" s="803"/>
      <c r="AAR885" s="803"/>
      <c r="AAS885" s="803"/>
      <c r="AAT885" s="803"/>
      <c r="AAU885" s="803"/>
      <c r="AAV885" s="803"/>
      <c r="AAW885" s="803"/>
      <c r="AAX885" s="803"/>
      <c r="AAY885" s="803"/>
      <c r="AAZ885" s="803"/>
      <c r="ABA885" s="803"/>
      <c r="ABB885" s="803"/>
      <c r="ABC885" s="803"/>
      <c r="ABD885" s="803"/>
      <c r="ABE885" s="803"/>
      <c r="ABF885" s="803"/>
      <c r="ABG885" s="803"/>
      <c r="ABH885" s="803"/>
      <c r="ABI885" s="803"/>
      <c r="ABJ885" s="803"/>
      <c r="ABK885" s="803"/>
      <c r="ABL885" s="803"/>
      <c r="ABM885" s="803"/>
      <c r="ABN885" s="803"/>
      <c r="ABO885" s="803"/>
      <c r="ABP885" s="803"/>
      <c r="ABQ885" s="803"/>
      <c r="ABR885" s="803"/>
      <c r="ABS885" s="803"/>
      <c r="ABT885" s="803"/>
      <c r="ABU885" s="803"/>
      <c r="ABV885" s="803"/>
      <c r="ABW885" s="803"/>
      <c r="ABX885" s="803"/>
      <c r="ABY885" s="803"/>
      <c r="ABZ885" s="803"/>
      <c r="ACA885" s="803"/>
      <c r="ACB885" s="803"/>
      <c r="ACC885" s="803"/>
      <c r="ACD885" s="803"/>
      <c r="ACE885" s="803"/>
      <c r="ACF885" s="803"/>
      <c r="ACG885" s="803"/>
      <c r="ACH885" s="803"/>
      <c r="ACI885" s="803"/>
      <c r="ACJ885" s="803"/>
      <c r="ACK885" s="803"/>
      <c r="ACL885" s="803"/>
      <c r="ACM885" s="803"/>
      <c r="ACN885" s="803"/>
      <c r="ACO885" s="803"/>
      <c r="ACP885" s="803"/>
      <c r="ACQ885" s="803"/>
      <c r="ACR885" s="803"/>
      <c r="ACS885" s="803"/>
      <c r="ACT885" s="803"/>
      <c r="ACU885" s="803"/>
      <c r="ACV885" s="803"/>
      <c r="ACW885" s="803"/>
      <c r="ACX885" s="803"/>
      <c r="ACY885" s="803"/>
      <c r="ACZ885" s="803"/>
      <c r="ADA885" s="803"/>
      <c r="ADB885" s="803"/>
      <c r="ADC885" s="803"/>
      <c r="ADD885" s="803"/>
      <c r="ADE885" s="803"/>
      <c r="ADF885" s="803"/>
      <c r="ADG885" s="803"/>
      <c r="ADH885" s="803"/>
      <c r="ADI885" s="803"/>
      <c r="ADJ885" s="803"/>
      <c r="ADK885" s="803"/>
      <c r="ADL885" s="803"/>
      <c r="ADM885" s="803"/>
      <c r="ADN885" s="803"/>
      <c r="ADO885" s="803"/>
      <c r="ADP885" s="803"/>
      <c r="ADQ885" s="803"/>
      <c r="ADR885" s="803"/>
      <c r="ADS885" s="803"/>
      <c r="ADT885" s="803"/>
      <c r="ADU885" s="803"/>
      <c r="ADV885" s="803"/>
      <c r="ADW885" s="803"/>
      <c r="ADX885" s="803"/>
      <c r="ADY885" s="803"/>
      <c r="ADZ885" s="803"/>
      <c r="AEA885" s="803"/>
      <c r="AEB885" s="803"/>
      <c r="AEC885" s="803"/>
      <c r="AED885" s="803"/>
      <c r="AEE885" s="803"/>
      <c r="AEF885" s="803"/>
      <c r="AEG885" s="803"/>
      <c r="AEH885" s="803"/>
      <c r="AEI885" s="803"/>
      <c r="AEJ885" s="803"/>
      <c r="AEK885" s="803"/>
      <c r="AEL885" s="803"/>
      <c r="AEM885" s="803"/>
      <c r="AEN885" s="803"/>
      <c r="AEO885" s="803"/>
      <c r="AEP885" s="803"/>
      <c r="AEQ885" s="803"/>
      <c r="AER885" s="803"/>
      <c r="AES885" s="803"/>
      <c r="AET885" s="803"/>
      <c r="AEU885" s="803"/>
      <c r="AEV885" s="803"/>
      <c r="AEW885" s="803"/>
      <c r="AEX885" s="803"/>
      <c r="AEY885" s="803"/>
      <c r="AEZ885" s="803"/>
      <c r="AFA885" s="803"/>
      <c r="AFB885" s="803"/>
      <c r="AFC885" s="803"/>
      <c r="AFD885" s="803"/>
      <c r="AFE885" s="803"/>
      <c r="AFF885" s="803"/>
      <c r="AFG885" s="803"/>
      <c r="AFH885" s="803"/>
      <c r="AFI885" s="803"/>
      <c r="AFJ885" s="803"/>
      <c r="AFK885" s="803"/>
      <c r="AFL885" s="803"/>
      <c r="AFM885" s="803"/>
      <c r="AFN885" s="803"/>
      <c r="AFO885" s="803"/>
      <c r="AFP885" s="803"/>
      <c r="AFQ885" s="803"/>
      <c r="AFR885" s="803"/>
      <c r="AFS885" s="803"/>
      <c r="AFT885" s="803"/>
      <c r="AFU885" s="803"/>
      <c r="AFV885" s="803"/>
      <c r="AFW885" s="803"/>
      <c r="AFX885" s="803"/>
      <c r="AFY885" s="803"/>
      <c r="AFZ885" s="803"/>
      <c r="AGA885" s="803"/>
      <c r="AGB885" s="803"/>
      <c r="AGC885" s="803"/>
      <c r="AGD885" s="803"/>
      <c r="AGE885" s="803"/>
      <c r="AGF885" s="803"/>
      <c r="AGG885" s="803"/>
      <c r="AGH885" s="803"/>
      <c r="AGI885" s="803"/>
      <c r="AGJ885" s="803"/>
    </row>
    <row r="886" spans="1:868" s="7" customFormat="1">
      <c r="A886" s="59" t="s">
        <v>417</v>
      </c>
      <c r="B886" s="336" t="s">
        <v>223</v>
      </c>
      <c r="C886" s="34" t="s">
        <v>139</v>
      </c>
      <c r="D886" s="40" t="s">
        <v>99</v>
      </c>
      <c r="E886" s="237">
        <v>0.03</v>
      </c>
      <c r="F886" s="40">
        <v>1</v>
      </c>
      <c r="G886" s="34" t="s">
        <v>412</v>
      </c>
      <c r="H886" s="29">
        <v>1</v>
      </c>
      <c r="I886" s="9">
        <v>2</v>
      </c>
      <c r="J886" s="9">
        <v>2</v>
      </c>
      <c r="K886" s="9">
        <v>1</v>
      </c>
      <c r="L886" s="9">
        <v>1</v>
      </c>
      <c r="M886" s="9">
        <v>1</v>
      </c>
      <c r="N886" s="185">
        <f>IF( OR( ISBLANK(H886),ISBLANK(J886), ISBLANK(K886), ISBLANK(L886), ISBLANK(M886) ), "", 1.5*SQRT(   EXP(2.21*(H886-1)) + EXP(2.21*(J886-1)) + EXP(2.21*(K886-1)) + EXP(2.21*(L886-1)) + EXP(2.21*M886)   )/100*2.45 )</f>
        <v>0.16933510251023262</v>
      </c>
      <c r="O886" s="159">
        <f>IF( OR( ISBLANK(I886),ISBLANK(J886), ISBLANK(K886), ISBLANK(L886), ISBLANK(M886) ), "", 1.5*SQRT( EXP(2.21*(I886-1)) + EXP(2.21*(J886-1)) + EXP(2.21*(K886-1)) + EXP(2.21*(L886-1)) + EXP(2.21*M886)   )/100*2.45 )</f>
        <v>0.19908580854301616</v>
      </c>
      <c r="P886" s="34" t="s">
        <v>833</v>
      </c>
      <c r="Q886" s="803"/>
      <c r="R886" s="803"/>
      <c r="S886" s="803"/>
      <c r="T886" s="803"/>
      <c r="U886" s="803"/>
      <c r="V886" s="803"/>
      <c r="W886" s="803"/>
      <c r="X886" s="803"/>
      <c r="Y886" s="803"/>
      <c r="Z886" s="803"/>
      <c r="AA886" s="803"/>
      <c r="AB886" s="803"/>
      <c r="AC886" s="803"/>
      <c r="AD886" s="803"/>
      <c r="AE886" s="803"/>
      <c r="AF886" s="803"/>
      <c r="AG886" s="803"/>
      <c r="AH886" s="803"/>
      <c r="AI886" s="803"/>
      <c r="AJ886" s="803"/>
      <c r="AK886" s="803"/>
      <c r="AL886" s="803"/>
      <c r="AM886" s="803"/>
      <c r="AN886" s="803"/>
      <c r="AO886" s="803"/>
      <c r="AP886" s="803"/>
      <c r="AQ886" s="803"/>
      <c r="AR886" s="803"/>
      <c r="AS886" s="803"/>
      <c r="AT886" s="803"/>
      <c r="AU886" s="803"/>
      <c r="AV886" s="803"/>
      <c r="AW886" s="803"/>
      <c r="AX886" s="803"/>
      <c r="AY886" s="803"/>
      <c r="AZ886" s="803"/>
      <c r="BA886" s="803"/>
      <c r="BB886" s="803"/>
      <c r="BC886" s="803"/>
      <c r="BD886" s="803"/>
      <c r="BE886" s="803"/>
      <c r="BF886" s="803"/>
      <c r="BG886" s="803"/>
      <c r="BH886" s="803"/>
      <c r="BI886" s="803"/>
      <c r="BJ886" s="803"/>
      <c r="BK886" s="803"/>
      <c r="BL886" s="803"/>
      <c r="BM886" s="803"/>
      <c r="BN886" s="803"/>
      <c r="BO886" s="803"/>
      <c r="BP886" s="803"/>
      <c r="BQ886" s="803"/>
      <c r="BR886" s="803"/>
      <c r="BS886" s="803"/>
      <c r="BT886" s="803"/>
      <c r="BU886" s="803"/>
      <c r="BV886" s="803"/>
      <c r="BW886" s="803"/>
      <c r="BX886" s="803"/>
      <c r="BY886" s="803"/>
      <c r="BZ886" s="803"/>
      <c r="CA886" s="803"/>
      <c r="CB886" s="803"/>
      <c r="CC886" s="803"/>
      <c r="CD886" s="803"/>
      <c r="CE886" s="803"/>
      <c r="CF886" s="803"/>
      <c r="CG886" s="803"/>
      <c r="CH886" s="803"/>
      <c r="CI886" s="803"/>
      <c r="CJ886" s="803"/>
      <c r="CK886" s="803"/>
      <c r="CL886" s="803"/>
      <c r="CM886" s="803"/>
      <c r="CN886" s="803"/>
      <c r="CO886" s="803"/>
      <c r="CP886" s="803"/>
      <c r="CQ886" s="803"/>
      <c r="CR886" s="803"/>
      <c r="CS886" s="803"/>
      <c r="CT886" s="803"/>
      <c r="CU886" s="803"/>
      <c r="CV886" s="803"/>
      <c r="CW886" s="803"/>
      <c r="CX886" s="803"/>
      <c r="CY886" s="803"/>
      <c r="CZ886" s="803"/>
      <c r="DA886" s="803"/>
      <c r="DB886" s="803"/>
      <c r="DC886" s="803"/>
      <c r="DD886" s="803"/>
      <c r="DE886" s="803"/>
      <c r="DF886" s="803"/>
      <c r="DG886" s="803"/>
      <c r="DH886" s="803"/>
      <c r="DI886" s="803"/>
      <c r="DJ886" s="803"/>
      <c r="DK886" s="803"/>
      <c r="DL886" s="803"/>
      <c r="DM886" s="803"/>
      <c r="DN886" s="803"/>
      <c r="DO886" s="803"/>
      <c r="DP886" s="803"/>
      <c r="DQ886" s="803"/>
      <c r="DR886" s="803"/>
      <c r="DS886" s="803"/>
      <c r="DT886" s="803"/>
      <c r="DU886" s="803"/>
      <c r="DV886" s="803"/>
      <c r="DW886" s="803"/>
      <c r="DX886" s="803"/>
      <c r="DY886" s="803"/>
      <c r="DZ886" s="803"/>
      <c r="EA886" s="803"/>
      <c r="EB886" s="803"/>
      <c r="EC886" s="803"/>
      <c r="ED886" s="803"/>
      <c r="EE886" s="803"/>
      <c r="EF886" s="803"/>
      <c r="EG886" s="803"/>
      <c r="EH886" s="803"/>
      <c r="EI886" s="803"/>
      <c r="EJ886" s="803"/>
      <c r="EK886" s="803"/>
      <c r="EL886" s="803"/>
      <c r="EM886" s="803"/>
      <c r="EN886" s="803"/>
      <c r="EO886" s="803"/>
      <c r="EP886" s="803"/>
      <c r="EQ886" s="803"/>
      <c r="ER886" s="803"/>
      <c r="ES886" s="803"/>
      <c r="ET886" s="803"/>
      <c r="EU886" s="803"/>
      <c r="EV886" s="803"/>
      <c r="EW886" s="803"/>
      <c r="EX886" s="803"/>
      <c r="EY886" s="803"/>
      <c r="EZ886" s="803"/>
      <c r="FA886" s="803"/>
      <c r="FB886" s="803"/>
      <c r="FC886" s="803"/>
      <c r="FD886" s="803"/>
      <c r="FE886" s="803"/>
      <c r="FF886" s="803"/>
      <c r="FG886" s="803"/>
      <c r="FH886" s="803"/>
      <c r="FI886" s="803"/>
      <c r="FJ886" s="803"/>
      <c r="FK886" s="803"/>
      <c r="FL886" s="803"/>
      <c r="FM886" s="803"/>
      <c r="FN886" s="803"/>
      <c r="FO886" s="803"/>
      <c r="FP886" s="803"/>
      <c r="FQ886" s="803"/>
      <c r="FR886" s="803"/>
      <c r="FS886" s="803"/>
      <c r="FT886" s="803"/>
      <c r="FU886" s="803"/>
      <c r="FV886" s="803"/>
      <c r="FW886" s="803"/>
      <c r="FX886" s="803"/>
      <c r="FY886" s="803"/>
      <c r="FZ886" s="803"/>
      <c r="GA886" s="803"/>
      <c r="GB886" s="803"/>
      <c r="GC886" s="803"/>
      <c r="GD886" s="803"/>
      <c r="GE886" s="803"/>
      <c r="GF886" s="803"/>
      <c r="GG886" s="803"/>
      <c r="GH886" s="803"/>
      <c r="GI886" s="803"/>
      <c r="GJ886" s="803"/>
      <c r="GK886" s="803"/>
      <c r="GL886" s="803"/>
      <c r="GM886" s="803"/>
      <c r="GN886" s="803"/>
      <c r="GO886" s="803"/>
      <c r="GP886" s="803"/>
      <c r="GQ886" s="803"/>
      <c r="GR886" s="803"/>
      <c r="GS886" s="803"/>
      <c r="GT886" s="803"/>
      <c r="GU886" s="803"/>
      <c r="GV886" s="803"/>
      <c r="GW886" s="803"/>
      <c r="GX886" s="803"/>
      <c r="GY886" s="803"/>
      <c r="GZ886" s="803"/>
      <c r="HA886" s="803"/>
      <c r="HB886" s="803"/>
      <c r="HC886" s="803"/>
      <c r="HD886" s="803"/>
      <c r="HE886" s="803"/>
      <c r="HF886" s="803"/>
      <c r="HG886" s="803"/>
      <c r="HH886" s="803"/>
      <c r="HI886" s="803"/>
      <c r="HJ886" s="803"/>
      <c r="HK886" s="803"/>
      <c r="HL886" s="803"/>
      <c r="HM886" s="803"/>
      <c r="HN886" s="803"/>
      <c r="HO886" s="803"/>
      <c r="HP886" s="803"/>
      <c r="HQ886" s="803"/>
      <c r="HR886" s="803"/>
      <c r="HS886" s="803"/>
      <c r="HT886" s="803"/>
      <c r="HU886" s="803"/>
      <c r="HV886" s="803"/>
      <c r="HW886" s="803"/>
      <c r="HX886" s="803"/>
      <c r="HY886" s="803"/>
      <c r="HZ886" s="803"/>
      <c r="IA886" s="803"/>
      <c r="IB886" s="803"/>
      <c r="IC886" s="803"/>
      <c r="ID886" s="803"/>
      <c r="IE886" s="803"/>
      <c r="IF886" s="803"/>
      <c r="IG886" s="803"/>
      <c r="IH886" s="803"/>
      <c r="II886" s="803"/>
      <c r="IJ886" s="803"/>
      <c r="IK886" s="803"/>
      <c r="IL886" s="803"/>
      <c r="IM886" s="803"/>
      <c r="IN886" s="803"/>
      <c r="IO886" s="803"/>
      <c r="IP886" s="803"/>
      <c r="IQ886" s="803"/>
      <c r="IR886" s="803"/>
      <c r="IS886" s="803"/>
      <c r="IT886" s="803"/>
      <c r="IU886" s="803"/>
      <c r="IV886" s="803"/>
      <c r="IW886" s="803"/>
      <c r="IX886" s="803"/>
      <c r="IY886" s="803"/>
      <c r="IZ886" s="803"/>
      <c r="JA886" s="803"/>
      <c r="JB886" s="803"/>
      <c r="JC886" s="803"/>
      <c r="JD886" s="803"/>
      <c r="JE886" s="803"/>
      <c r="JF886" s="803"/>
      <c r="JG886" s="803"/>
      <c r="JH886" s="803"/>
      <c r="JI886" s="803"/>
      <c r="JJ886" s="803"/>
      <c r="JK886" s="803"/>
      <c r="JL886" s="803"/>
      <c r="JM886" s="803"/>
      <c r="JN886" s="803"/>
      <c r="JO886" s="803"/>
      <c r="JP886" s="803"/>
      <c r="JQ886" s="803"/>
      <c r="JR886" s="803"/>
      <c r="JS886" s="803"/>
      <c r="JT886" s="803"/>
      <c r="JU886" s="803"/>
      <c r="JV886" s="803"/>
      <c r="JW886" s="803"/>
      <c r="JX886" s="803"/>
      <c r="JY886" s="803"/>
      <c r="JZ886" s="803"/>
      <c r="KA886" s="803"/>
      <c r="KB886" s="803"/>
      <c r="KC886" s="803"/>
      <c r="KD886" s="803"/>
      <c r="KE886" s="803"/>
      <c r="KF886" s="803"/>
      <c r="KG886" s="803"/>
      <c r="KH886" s="803"/>
      <c r="KI886" s="803"/>
      <c r="KJ886" s="803"/>
      <c r="KK886" s="803"/>
      <c r="KL886" s="803"/>
      <c r="KM886" s="803"/>
      <c r="KN886" s="803"/>
      <c r="KO886" s="803"/>
      <c r="KP886" s="803"/>
      <c r="KQ886" s="803"/>
      <c r="KR886" s="803"/>
      <c r="KS886" s="803"/>
      <c r="KT886" s="803"/>
      <c r="KU886" s="803"/>
      <c r="KV886" s="803"/>
      <c r="KW886" s="803"/>
      <c r="KX886" s="803"/>
      <c r="KY886" s="803"/>
      <c r="KZ886" s="803"/>
      <c r="LA886" s="803"/>
      <c r="LB886" s="803"/>
      <c r="LC886" s="803"/>
      <c r="LD886" s="803"/>
      <c r="LE886" s="803"/>
      <c r="LF886" s="803"/>
      <c r="LG886" s="803"/>
      <c r="LH886" s="803"/>
      <c r="LI886" s="803"/>
      <c r="LJ886" s="803"/>
      <c r="LK886" s="803"/>
      <c r="LL886" s="803"/>
      <c r="LM886" s="803"/>
      <c r="LN886" s="803"/>
      <c r="LO886" s="803"/>
      <c r="LP886" s="803"/>
      <c r="LQ886" s="803"/>
      <c r="LR886" s="803"/>
      <c r="LS886" s="803"/>
      <c r="LT886" s="803"/>
      <c r="LU886" s="803"/>
      <c r="LV886" s="803"/>
      <c r="LW886" s="803"/>
      <c r="LX886" s="803"/>
      <c r="LY886" s="803"/>
      <c r="LZ886" s="803"/>
      <c r="MA886" s="803"/>
      <c r="MB886" s="803"/>
      <c r="MC886" s="803"/>
      <c r="MD886" s="803"/>
      <c r="ME886" s="803"/>
      <c r="MF886" s="803"/>
      <c r="MG886" s="803"/>
      <c r="MH886" s="803"/>
      <c r="MI886" s="803"/>
      <c r="MJ886" s="803"/>
      <c r="MK886" s="803"/>
      <c r="ML886" s="803"/>
      <c r="MM886" s="803"/>
      <c r="MN886" s="803"/>
      <c r="MO886" s="803"/>
      <c r="MP886" s="803"/>
      <c r="MQ886" s="803"/>
      <c r="MR886" s="803"/>
      <c r="MS886" s="803"/>
      <c r="MT886" s="803"/>
      <c r="MU886" s="803"/>
      <c r="MV886" s="803"/>
      <c r="MW886" s="803"/>
      <c r="MX886" s="803"/>
      <c r="MY886" s="803"/>
      <c r="MZ886" s="803"/>
      <c r="NA886" s="803"/>
      <c r="NB886" s="803"/>
      <c r="NC886" s="803"/>
      <c r="ND886" s="803"/>
      <c r="NE886" s="803"/>
      <c r="NF886" s="803"/>
      <c r="NG886" s="803"/>
      <c r="NH886" s="803"/>
      <c r="NI886" s="803"/>
      <c r="NJ886" s="803"/>
      <c r="NK886" s="803"/>
      <c r="NL886" s="803"/>
      <c r="NM886" s="803"/>
      <c r="NN886" s="803"/>
      <c r="NO886" s="803"/>
      <c r="NP886" s="803"/>
      <c r="NQ886" s="803"/>
      <c r="NR886" s="803"/>
      <c r="NS886" s="803"/>
      <c r="NT886" s="803"/>
      <c r="NU886" s="803"/>
      <c r="NV886" s="803"/>
      <c r="NW886" s="803"/>
      <c r="NX886" s="803"/>
      <c r="NY886" s="803"/>
      <c r="NZ886" s="803"/>
      <c r="OA886" s="803"/>
      <c r="OB886" s="803"/>
      <c r="OC886" s="803"/>
      <c r="OD886" s="803"/>
      <c r="OE886" s="803"/>
      <c r="OF886" s="803"/>
      <c r="OG886" s="803"/>
      <c r="OH886" s="803"/>
      <c r="OI886" s="803"/>
      <c r="OJ886" s="803"/>
      <c r="OK886" s="803"/>
      <c r="OL886" s="803"/>
      <c r="OM886" s="803"/>
      <c r="ON886" s="803"/>
      <c r="OO886" s="803"/>
      <c r="OP886" s="803"/>
      <c r="OQ886" s="803"/>
      <c r="OR886" s="803"/>
      <c r="OS886" s="803"/>
      <c r="OT886" s="803"/>
      <c r="OU886" s="803"/>
      <c r="OV886" s="803"/>
      <c r="OW886" s="803"/>
      <c r="OX886" s="803"/>
      <c r="OY886" s="803"/>
      <c r="OZ886" s="803"/>
      <c r="PA886" s="803"/>
      <c r="PB886" s="803"/>
      <c r="PC886" s="803"/>
      <c r="PD886" s="803"/>
      <c r="PE886" s="803"/>
      <c r="PF886" s="803"/>
      <c r="PG886" s="803"/>
      <c r="PH886" s="803"/>
      <c r="PI886" s="803"/>
      <c r="PJ886" s="803"/>
      <c r="PK886" s="803"/>
      <c r="PL886" s="803"/>
      <c r="PM886" s="803"/>
      <c r="PN886" s="803"/>
      <c r="PO886" s="803"/>
      <c r="PP886" s="803"/>
      <c r="PQ886" s="803"/>
      <c r="PR886" s="803"/>
      <c r="PS886" s="803"/>
      <c r="PT886" s="803"/>
      <c r="PU886" s="803"/>
      <c r="PV886" s="803"/>
      <c r="PW886" s="803"/>
      <c r="PX886" s="803"/>
      <c r="PY886" s="803"/>
      <c r="PZ886" s="803"/>
      <c r="QA886" s="803"/>
      <c r="QB886" s="803"/>
      <c r="QC886" s="803"/>
      <c r="QD886" s="803"/>
      <c r="QE886" s="803"/>
      <c r="QF886" s="803"/>
      <c r="QG886" s="803"/>
      <c r="QH886" s="803"/>
      <c r="QI886" s="803"/>
      <c r="QJ886" s="803"/>
      <c r="QK886" s="803"/>
      <c r="QL886" s="803"/>
      <c r="QM886" s="803"/>
      <c r="QN886" s="803"/>
      <c r="QO886" s="803"/>
      <c r="QP886" s="803"/>
      <c r="QQ886" s="803"/>
      <c r="QR886" s="803"/>
      <c r="QS886" s="803"/>
      <c r="QT886" s="803"/>
      <c r="QU886" s="803"/>
      <c r="QV886" s="803"/>
      <c r="QW886" s="803"/>
      <c r="QX886" s="803"/>
      <c r="QY886" s="803"/>
      <c r="QZ886" s="803"/>
      <c r="RA886" s="803"/>
      <c r="RB886" s="803"/>
      <c r="RC886" s="803"/>
      <c r="RD886" s="803"/>
      <c r="RE886" s="803"/>
      <c r="RF886" s="803"/>
      <c r="RG886" s="803"/>
      <c r="RH886" s="803"/>
      <c r="RI886" s="803"/>
      <c r="RJ886" s="803"/>
      <c r="RK886" s="803"/>
      <c r="RL886" s="803"/>
      <c r="RM886" s="803"/>
      <c r="RN886" s="803"/>
      <c r="RO886" s="803"/>
      <c r="RP886" s="803"/>
      <c r="RQ886" s="803"/>
      <c r="RR886" s="803"/>
      <c r="RS886" s="803"/>
      <c r="RT886" s="803"/>
      <c r="RU886" s="803"/>
      <c r="RV886" s="803"/>
      <c r="RW886" s="803"/>
      <c r="RX886" s="803"/>
      <c r="RY886" s="803"/>
      <c r="RZ886" s="803"/>
      <c r="SA886" s="803"/>
      <c r="SB886" s="803"/>
      <c r="SC886" s="803"/>
      <c r="SD886" s="803"/>
      <c r="SE886" s="803"/>
      <c r="SF886" s="803"/>
      <c r="SG886" s="803"/>
      <c r="SH886" s="803"/>
      <c r="SI886" s="803"/>
      <c r="SJ886" s="803"/>
      <c r="SK886" s="803"/>
      <c r="SL886" s="803"/>
      <c r="SM886" s="803"/>
      <c r="SN886" s="803"/>
      <c r="SO886" s="803"/>
      <c r="SP886" s="803"/>
      <c r="SQ886" s="803"/>
      <c r="SR886" s="803"/>
      <c r="SS886" s="803"/>
      <c r="ST886" s="803"/>
      <c r="SU886" s="803"/>
      <c r="SV886" s="803"/>
      <c r="SW886" s="803"/>
      <c r="SX886" s="803"/>
      <c r="SY886" s="803"/>
      <c r="SZ886" s="803"/>
      <c r="TA886" s="803"/>
      <c r="TB886" s="803"/>
      <c r="TC886" s="803"/>
      <c r="TD886" s="803"/>
      <c r="TE886" s="803"/>
      <c r="TF886" s="803"/>
      <c r="TG886" s="803"/>
      <c r="TH886" s="803"/>
      <c r="TI886" s="803"/>
      <c r="TJ886" s="803"/>
      <c r="TK886" s="803"/>
      <c r="TL886" s="803"/>
      <c r="TM886" s="803"/>
      <c r="TN886" s="803"/>
      <c r="TO886" s="803"/>
      <c r="TP886" s="803"/>
      <c r="TQ886" s="803"/>
      <c r="TR886" s="803"/>
      <c r="TS886" s="803"/>
      <c r="TT886" s="803"/>
      <c r="TU886" s="803"/>
      <c r="TV886" s="803"/>
      <c r="TW886" s="803"/>
      <c r="TX886" s="803"/>
      <c r="TY886" s="803"/>
      <c r="TZ886" s="803"/>
      <c r="UA886" s="803"/>
      <c r="UB886" s="803"/>
      <c r="UC886" s="803"/>
      <c r="UD886" s="803"/>
      <c r="UE886" s="803"/>
      <c r="UF886" s="803"/>
      <c r="UG886" s="803"/>
      <c r="UH886" s="803"/>
      <c r="UI886" s="803"/>
      <c r="UJ886" s="803"/>
      <c r="UK886" s="803"/>
      <c r="UL886" s="803"/>
      <c r="UM886" s="803"/>
      <c r="UN886" s="803"/>
      <c r="UO886" s="803"/>
      <c r="UP886" s="803"/>
      <c r="UQ886" s="803"/>
      <c r="UR886" s="803"/>
      <c r="US886" s="803"/>
      <c r="UT886" s="803"/>
      <c r="UU886" s="803"/>
      <c r="UV886" s="803"/>
      <c r="UW886" s="803"/>
      <c r="UX886" s="803"/>
      <c r="UY886" s="803"/>
      <c r="UZ886" s="803"/>
      <c r="VA886" s="803"/>
      <c r="VB886" s="803"/>
      <c r="VC886" s="803"/>
      <c r="VD886" s="803"/>
      <c r="VE886" s="803"/>
      <c r="VF886" s="803"/>
      <c r="VG886" s="803"/>
      <c r="VH886" s="803"/>
      <c r="VI886" s="803"/>
      <c r="VJ886" s="803"/>
      <c r="VK886" s="803"/>
      <c r="VL886" s="803"/>
      <c r="VM886" s="803"/>
      <c r="VN886" s="803"/>
      <c r="VO886" s="803"/>
      <c r="VP886" s="803"/>
      <c r="VQ886" s="803"/>
      <c r="VR886" s="803"/>
      <c r="VS886" s="803"/>
      <c r="VT886" s="803"/>
      <c r="VU886" s="803"/>
      <c r="VV886" s="803"/>
      <c r="VW886" s="803"/>
      <c r="VX886" s="803"/>
      <c r="VY886" s="803"/>
      <c r="VZ886" s="803"/>
      <c r="WA886" s="803"/>
      <c r="WB886" s="803"/>
      <c r="WC886" s="803"/>
      <c r="WD886" s="803"/>
      <c r="WE886" s="803"/>
      <c r="WF886" s="803"/>
      <c r="WG886" s="803"/>
      <c r="WH886" s="803"/>
      <c r="WI886" s="803"/>
      <c r="WJ886" s="803"/>
      <c r="WK886" s="803"/>
      <c r="WL886" s="803"/>
      <c r="WM886" s="803"/>
      <c r="WN886" s="803"/>
      <c r="WO886" s="803"/>
      <c r="WP886" s="803"/>
      <c r="WQ886" s="803"/>
      <c r="WR886" s="803"/>
      <c r="WS886" s="803"/>
      <c r="WT886" s="803"/>
      <c r="WU886" s="803"/>
      <c r="WV886" s="803"/>
      <c r="WW886" s="803"/>
      <c r="WX886" s="803"/>
      <c r="WY886" s="803"/>
      <c r="WZ886" s="803"/>
      <c r="XA886" s="803"/>
      <c r="XB886" s="803"/>
      <c r="XC886" s="803"/>
      <c r="XD886" s="803"/>
      <c r="XE886" s="803"/>
      <c r="XF886" s="803"/>
      <c r="XG886" s="803"/>
      <c r="XH886" s="803"/>
      <c r="XI886" s="803"/>
      <c r="XJ886" s="803"/>
      <c r="XK886" s="803"/>
      <c r="XL886" s="803"/>
      <c r="XM886" s="803"/>
      <c r="XN886" s="803"/>
      <c r="XO886" s="803"/>
      <c r="XP886" s="803"/>
      <c r="XQ886" s="803"/>
      <c r="XR886" s="803"/>
      <c r="XS886" s="803"/>
      <c r="XT886" s="803"/>
      <c r="XU886" s="803"/>
      <c r="XV886" s="803"/>
      <c r="XW886" s="803"/>
      <c r="XX886" s="803"/>
      <c r="XY886" s="803"/>
      <c r="XZ886" s="803"/>
      <c r="YA886" s="803"/>
      <c r="YB886" s="803"/>
      <c r="YC886" s="803"/>
      <c r="YD886" s="803"/>
      <c r="YE886" s="803"/>
      <c r="YF886" s="803"/>
      <c r="YG886" s="803"/>
      <c r="YH886" s="803"/>
      <c r="YI886" s="803"/>
      <c r="YJ886" s="803"/>
      <c r="YK886" s="803"/>
      <c r="YL886" s="803"/>
      <c r="YM886" s="803"/>
      <c r="YN886" s="803"/>
      <c r="YO886" s="803"/>
      <c r="YP886" s="803"/>
      <c r="YQ886" s="803"/>
      <c r="YR886" s="803"/>
      <c r="YS886" s="803"/>
      <c r="YT886" s="803"/>
      <c r="YU886" s="803"/>
      <c r="YV886" s="803"/>
      <c r="YW886" s="803"/>
      <c r="YX886" s="803"/>
      <c r="YY886" s="803"/>
      <c r="YZ886" s="803"/>
      <c r="ZA886" s="803"/>
      <c r="ZB886" s="803"/>
      <c r="ZC886" s="803"/>
      <c r="ZD886" s="803"/>
      <c r="ZE886" s="803"/>
      <c r="ZF886" s="803"/>
      <c r="ZG886" s="803"/>
      <c r="ZH886" s="803"/>
      <c r="ZI886" s="803"/>
      <c r="ZJ886" s="803"/>
      <c r="ZK886" s="803"/>
      <c r="ZL886" s="803"/>
      <c r="ZM886" s="803"/>
      <c r="ZN886" s="803"/>
      <c r="ZO886" s="803"/>
      <c r="ZP886" s="803"/>
      <c r="ZQ886" s="803"/>
      <c r="ZR886" s="803"/>
      <c r="ZS886" s="803"/>
      <c r="ZT886" s="803"/>
      <c r="ZU886" s="803"/>
      <c r="ZV886" s="803"/>
      <c r="ZW886" s="803"/>
      <c r="ZX886" s="803"/>
      <c r="ZY886" s="803"/>
      <c r="ZZ886" s="803"/>
      <c r="AAA886" s="803"/>
      <c r="AAB886" s="803"/>
      <c r="AAC886" s="803"/>
      <c r="AAD886" s="803"/>
      <c r="AAE886" s="803"/>
      <c r="AAF886" s="803"/>
      <c r="AAG886" s="803"/>
      <c r="AAH886" s="803"/>
      <c r="AAI886" s="803"/>
      <c r="AAJ886" s="803"/>
      <c r="AAK886" s="803"/>
      <c r="AAL886" s="803"/>
      <c r="AAM886" s="803"/>
      <c r="AAN886" s="803"/>
      <c r="AAO886" s="803"/>
      <c r="AAP886" s="803"/>
      <c r="AAQ886" s="803"/>
      <c r="AAR886" s="803"/>
      <c r="AAS886" s="803"/>
      <c r="AAT886" s="803"/>
      <c r="AAU886" s="803"/>
      <c r="AAV886" s="803"/>
      <c r="AAW886" s="803"/>
      <c r="AAX886" s="803"/>
      <c r="AAY886" s="803"/>
      <c r="AAZ886" s="803"/>
      <c r="ABA886" s="803"/>
      <c r="ABB886" s="803"/>
      <c r="ABC886" s="803"/>
      <c r="ABD886" s="803"/>
      <c r="ABE886" s="803"/>
      <c r="ABF886" s="803"/>
      <c r="ABG886" s="803"/>
      <c r="ABH886" s="803"/>
      <c r="ABI886" s="803"/>
      <c r="ABJ886" s="803"/>
      <c r="ABK886" s="803"/>
      <c r="ABL886" s="803"/>
      <c r="ABM886" s="803"/>
      <c r="ABN886" s="803"/>
      <c r="ABO886" s="803"/>
      <c r="ABP886" s="803"/>
      <c r="ABQ886" s="803"/>
      <c r="ABR886" s="803"/>
      <c r="ABS886" s="803"/>
      <c r="ABT886" s="803"/>
      <c r="ABU886" s="803"/>
      <c r="ABV886" s="803"/>
      <c r="ABW886" s="803"/>
      <c r="ABX886" s="803"/>
      <c r="ABY886" s="803"/>
      <c r="ABZ886" s="803"/>
      <c r="ACA886" s="803"/>
      <c r="ACB886" s="803"/>
      <c r="ACC886" s="803"/>
      <c r="ACD886" s="803"/>
      <c r="ACE886" s="803"/>
      <c r="ACF886" s="803"/>
      <c r="ACG886" s="803"/>
      <c r="ACH886" s="803"/>
      <c r="ACI886" s="803"/>
      <c r="ACJ886" s="803"/>
      <c r="ACK886" s="803"/>
      <c r="ACL886" s="803"/>
      <c r="ACM886" s="803"/>
      <c r="ACN886" s="803"/>
      <c r="ACO886" s="803"/>
      <c r="ACP886" s="803"/>
      <c r="ACQ886" s="803"/>
      <c r="ACR886" s="803"/>
      <c r="ACS886" s="803"/>
      <c r="ACT886" s="803"/>
      <c r="ACU886" s="803"/>
      <c r="ACV886" s="803"/>
      <c r="ACW886" s="803"/>
      <c r="ACX886" s="803"/>
      <c r="ACY886" s="803"/>
      <c r="ACZ886" s="803"/>
      <c r="ADA886" s="803"/>
      <c r="ADB886" s="803"/>
      <c r="ADC886" s="803"/>
      <c r="ADD886" s="803"/>
      <c r="ADE886" s="803"/>
      <c r="ADF886" s="803"/>
      <c r="ADG886" s="803"/>
      <c r="ADH886" s="803"/>
      <c r="ADI886" s="803"/>
      <c r="ADJ886" s="803"/>
      <c r="ADK886" s="803"/>
      <c r="ADL886" s="803"/>
      <c r="ADM886" s="803"/>
      <c r="ADN886" s="803"/>
      <c r="ADO886" s="803"/>
      <c r="ADP886" s="803"/>
      <c r="ADQ886" s="803"/>
      <c r="ADR886" s="803"/>
      <c r="ADS886" s="803"/>
      <c r="ADT886" s="803"/>
      <c r="ADU886" s="803"/>
      <c r="ADV886" s="803"/>
      <c r="ADW886" s="803"/>
      <c r="ADX886" s="803"/>
      <c r="ADY886" s="803"/>
      <c r="ADZ886" s="803"/>
      <c r="AEA886" s="803"/>
      <c r="AEB886" s="803"/>
      <c r="AEC886" s="803"/>
      <c r="AED886" s="803"/>
      <c r="AEE886" s="803"/>
      <c r="AEF886" s="803"/>
      <c r="AEG886" s="803"/>
      <c r="AEH886" s="803"/>
      <c r="AEI886" s="803"/>
      <c r="AEJ886" s="803"/>
      <c r="AEK886" s="803"/>
      <c r="AEL886" s="803"/>
      <c r="AEM886" s="803"/>
      <c r="AEN886" s="803"/>
      <c r="AEO886" s="803"/>
      <c r="AEP886" s="803"/>
      <c r="AEQ886" s="803"/>
      <c r="AER886" s="803"/>
      <c r="AES886" s="803"/>
      <c r="AET886" s="803"/>
      <c r="AEU886" s="803"/>
      <c r="AEV886" s="803"/>
      <c r="AEW886" s="803"/>
      <c r="AEX886" s="803"/>
      <c r="AEY886" s="803"/>
      <c r="AEZ886" s="803"/>
      <c r="AFA886" s="803"/>
      <c r="AFB886" s="803"/>
      <c r="AFC886" s="803"/>
      <c r="AFD886" s="803"/>
      <c r="AFE886" s="803"/>
      <c r="AFF886" s="803"/>
      <c r="AFG886" s="803"/>
      <c r="AFH886" s="803"/>
      <c r="AFI886" s="803"/>
      <c r="AFJ886" s="803"/>
      <c r="AFK886" s="803"/>
      <c r="AFL886" s="803"/>
      <c r="AFM886" s="803"/>
      <c r="AFN886" s="803"/>
      <c r="AFO886" s="803"/>
      <c r="AFP886" s="803"/>
      <c r="AFQ886" s="803"/>
      <c r="AFR886" s="803"/>
      <c r="AFS886" s="803"/>
      <c r="AFT886" s="803"/>
      <c r="AFU886" s="803"/>
      <c r="AFV886" s="803"/>
      <c r="AFW886" s="803"/>
      <c r="AFX886" s="803"/>
      <c r="AFY886" s="803"/>
      <c r="AFZ886" s="803"/>
      <c r="AGA886" s="803"/>
      <c r="AGB886" s="803"/>
      <c r="AGC886" s="803"/>
      <c r="AGD886" s="803"/>
      <c r="AGE886" s="803"/>
      <c r="AGF886" s="803"/>
      <c r="AGG886" s="803"/>
      <c r="AGH886" s="803"/>
      <c r="AGI886" s="803"/>
      <c r="AGJ886" s="803"/>
    </row>
    <row r="887" spans="1:868" s="7" customFormat="1">
      <c r="A887" s="59" t="s">
        <v>417</v>
      </c>
      <c r="B887" s="336" t="s">
        <v>464</v>
      </c>
      <c r="C887" s="34" t="s">
        <v>139</v>
      </c>
      <c r="D887" s="40" t="s">
        <v>99</v>
      </c>
      <c r="E887" s="237">
        <f>0.97*0.1</f>
        <v>9.7000000000000003E-2</v>
      </c>
      <c r="F887" s="40">
        <v>2</v>
      </c>
      <c r="G887" s="34" t="s">
        <v>412</v>
      </c>
      <c r="H887" s="29">
        <v>1</v>
      </c>
      <c r="I887" s="9">
        <v>2</v>
      </c>
      <c r="J887" s="9">
        <v>2</v>
      </c>
      <c r="K887" s="9">
        <v>1</v>
      </c>
      <c r="L887" s="9">
        <v>1</v>
      </c>
      <c r="M887" s="9">
        <v>1</v>
      </c>
      <c r="N887" s="185">
        <f>IF( OR( ISBLANK(H887),ISBLANK(J887), ISBLANK(K887), ISBLANK(L887), ISBLANK(M887) ), "", 1.5*SQRT(   EXP(2.21*(H887-1)) + EXP(2.21*(J887-1)) + EXP(2.21*(K887-1)) + EXP(2.21*(L887-1)) + EXP(2.21*M887)   )/100*2.45 )</f>
        <v>0.16933510251023262</v>
      </c>
      <c r="O887" s="159">
        <f>IF( OR( ISBLANK(I887),ISBLANK(J887), ISBLANK(K887), ISBLANK(L887), ISBLANK(M887) ), "", 1.5*SQRT( EXP(2.21*(I887-1)) + EXP(2.21*(J887-1)) + EXP(2.21*(K887-1)) + EXP(2.21*(L887-1)) + EXP(2.21*M887)   )/100*2.45 )</f>
        <v>0.19908580854301616</v>
      </c>
      <c r="P887" s="34" t="s">
        <v>847</v>
      </c>
      <c r="Q887" s="803"/>
      <c r="R887" s="803"/>
      <c r="S887" s="803"/>
      <c r="T887" s="803"/>
      <c r="U887" s="803"/>
      <c r="V887" s="803"/>
      <c r="W887" s="803"/>
      <c r="X887" s="803"/>
      <c r="Y887" s="803"/>
      <c r="Z887" s="803"/>
      <c r="AA887" s="803"/>
      <c r="AB887" s="803"/>
      <c r="AC887" s="803"/>
      <c r="AD887" s="803"/>
      <c r="AE887" s="803"/>
      <c r="AF887" s="803"/>
      <c r="AG887" s="803"/>
      <c r="AH887" s="803"/>
      <c r="AI887" s="803"/>
      <c r="AJ887" s="803"/>
      <c r="AK887" s="803"/>
      <c r="AL887" s="803"/>
      <c r="AM887" s="803"/>
      <c r="AN887" s="803"/>
      <c r="AO887" s="803"/>
      <c r="AP887" s="803"/>
      <c r="AQ887" s="803"/>
      <c r="AR887" s="803"/>
      <c r="AS887" s="803"/>
      <c r="AT887" s="803"/>
      <c r="AU887" s="803"/>
      <c r="AV887" s="803"/>
      <c r="AW887" s="803"/>
      <c r="AX887" s="803"/>
      <c r="AY887" s="803"/>
      <c r="AZ887" s="803"/>
      <c r="BA887" s="803"/>
      <c r="BB887" s="803"/>
      <c r="BC887" s="803"/>
      <c r="BD887" s="803"/>
      <c r="BE887" s="803"/>
      <c r="BF887" s="803"/>
      <c r="BG887" s="803"/>
      <c r="BH887" s="803"/>
      <c r="BI887" s="803"/>
      <c r="BJ887" s="803"/>
      <c r="BK887" s="803"/>
      <c r="BL887" s="803"/>
      <c r="BM887" s="803"/>
      <c r="BN887" s="803"/>
      <c r="BO887" s="803"/>
      <c r="BP887" s="803"/>
      <c r="BQ887" s="803"/>
      <c r="BR887" s="803"/>
      <c r="BS887" s="803"/>
      <c r="BT887" s="803"/>
      <c r="BU887" s="803"/>
      <c r="BV887" s="803"/>
      <c r="BW887" s="803"/>
      <c r="BX887" s="803"/>
      <c r="BY887" s="803"/>
      <c r="BZ887" s="803"/>
      <c r="CA887" s="803"/>
      <c r="CB887" s="803"/>
      <c r="CC887" s="803"/>
      <c r="CD887" s="803"/>
      <c r="CE887" s="803"/>
      <c r="CF887" s="803"/>
      <c r="CG887" s="803"/>
      <c r="CH887" s="803"/>
      <c r="CI887" s="803"/>
      <c r="CJ887" s="803"/>
      <c r="CK887" s="803"/>
      <c r="CL887" s="803"/>
      <c r="CM887" s="803"/>
      <c r="CN887" s="803"/>
      <c r="CO887" s="803"/>
      <c r="CP887" s="803"/>
      <c r="CQ887" s="803"/>
      <c r="CR887" s="803"/>
      <c r="CS887" s="803"/>
      <c r="CT887" s="803"/>
      <c r="CU887" s="803"/>
      <c r="CV887" s="803"/>
      <c r="CW887" s="803"/>
      <c r="CX887" s="803"/>
      <c r="CY887" s="803"/>
      <c r="CZ887" s="803"/>
      <c r="DA887" s="803"/>
      <c r="DB887" s="803"/>
      <c r="DC887" s="803"/>
      <c r="DD887" s="803"/>
      <c r="DE887" s="803"/>
      <c r="DF887" s="803"/>
      <c r="DG887" s="803"/>
      <c r="DH887" s="803"/>
      <c r="DI887" s="803"/>
      <c r="DJ887" s="803"/>
      <c r="DK887" s="803"/>
      <c r="DL887" s="803"/>
      <c r="DM887" s="803"/>
      <c r="DN887" s="803"/>
      <c r="DO887" s="803"/>
      <c r="DP887" s="803"/>
      <c r="DQ887" s="803"/>
      <c r="DR887" s="803"/>
      <c r="DS887" s="803"/>
      <c r="DT887" s="803"/>
      <c r="DU887" s="803"/>
      <c r="DV887" s="803"/>
      <c r="DW887" s="803"/>
      <c r="DX887" s="803"/>
      <c r="DY887" s="803"/>
      <c r="DZ887" s="803"/>
      <c r="EA887" s="803"/>
      <c r="EB887" s="803"/>
      <c r="EC887" s="803"/>
      <c r="ED887" s="803"/>
      <c r="EE887" s="803"/>
      <c r="EF887" s="803"/>
      <c r="EG887" s="803"/>
      <c r="EH887" s="803"/>
      <c r="EI887" s="803"/>
      <c r="EJ887" s="803"/>
      <c r="EK887" s="803"/>
      <c r="EL887" s="803"/>
      <c r="EM887" s="803"/>
      <c r="EN887" s="803"/>
      <c r="EO887" s="803"/>
      <c r="EP887" s="803"/>
      <c r="EQ887" s="803"/>
      <c r="ER887" s="803"/>
      <c r="ES887" s="803"/>
      <c r="ET887" s="803"/>
      <c r="EU887" s="803"/>
      <c r="EV887" s="803"/>
      <c r="EW887" s="803"/>
      <c r="EX887" s="803"/>
      <c r="EY887" s="803"/>
      <c r="EZ887" s="803"/>
      <c r="FA887" s="803"/>
      <c r="FB887" s="803"/>
      <c r="FC887" s="803"/>
      <c r="FD887" s="803"/>
      <c r="FE887" s="803"/>
      <c r="FF887" s="803"/>
      <c r="FG887" s="803"/>
      <c r="FH887" s="803"/>
      <c r="FI887" s="803"/>
      <c r="FJ887" s="803"/>
      <c r="FK887" s="803"/>
      <c r="FL887" s="803"/>
      <c r="FM887" s="803"/>
      <c r="FN887" s="803"/>
      <c r="FO887" s="803"/>
      <c r="FP887" s="803"/>
      <c r="FQ887" s="803"/>
      <c r="FR887" s="803"/>
      <c r="FS887" s="803"/>
      <c r="FT887" s="803"/>
      <c r="FU887" s="803"/>
      <c r="FV887" s="803"/>
      <c r="FW887" s="803"/>
      <c r="FX887" s="803"/>
      <c r="FY887" s="803"/>
      <c r="FZ887" s="803"/>
      <c r="GA887" s="803"/>
      <c r="GB887" s="803"/>
      <c r="GC887" s="803"/>
      <c r="GD887" s="803"/>
      <c r="GE887" s="803"/>
      <c r="GF887" s="803"/>
      <c r="GG887" s="803"/>
      <c r="GH887" s="803"/>
      <c r="GI887" s="803"/>
      <c r="GJ887" s="803"/>
      <c r="GK887" s="803"/>
      <c r="GL887" s="803"/>
      <c r="GM887" s="803"/>
      <c r="GN887" s="803"/>
      <c r="GO887" s="803"/>
      <c r="GP887" s="803"/>
      <c r="GQ887" s="803"/>
      <c r="GR887" s="803"/>
      <c r="GS887" s="803"/>
      <c r="GT887" s="803"/>
      <c r="GU887" s="803"/>
      <c r="GV887" s="803"/>
      <c r="GW887" s="803"/>
      <c r="GX887" s="803"/>
      <c r="GY887" s="803"/>
      <c r="GZ887" s="803"/>
      <c r="HA887" s="803"/>
      <c r="HB887" s="803"/>
      <c r="HC887" s="803"/>
      <c r="HD887" s="803"/>
      <c r="HE887" s="803"/>
      <c r="HF887" s="803"/>
      <c r="HG887" s="803"/>
      <c r="HH887" s="803"/>
      <c r="HI887" s="803"/>
      <c r="HJ887" s="803"/>
      <c r="HK887" s="803"/>
      <c r="HL887" s="803"/>
      <c r="HM887" s="803"/>
      <c r="HN887" s="803"/>
      <c r="HO887" s="803"/>
      <c r="HP887" s="803"/>
      <c r="HQ887" s="803"/>
      <c r="HR887" s="803"/>
      <c r="HS887" s="803"/>
      <c r="HT887" s="803"/>
      <c r="HU887" s="803"/>
      <c r="HV887" s="803"/>
      <c r="HW887" s="803"/>
      <c r="HX887" s="803"/>
      <c r="HY887" s="803"/>
      <c r="HZ887" s="803"/>
      <c r="IA887" s="803"/>
      <c r="IB887" s="803"/>
      <c r="IC887" s="803"/>
      <c r="ID887" s="803"/>
      <c r="IE887" s="803"/>
      <c r="IF887" s="803"/>
      <c r="IG887" s="803"/>
      <c r="IH887" s="803"/>
      <c r="II887" s="803"/>
      <c r="IJ887" s="803"/>
      <c r="IK887" s="803"/>
      <c r="IL887" s="803"/>
      <c r="IM887" s="803"/>
      <c r="IN887" s="803"/>
      <c r="IO887" s="803"/>
      <c r="IP887" s="803"/>
      <c r="IQ887" s="803"/>
      <c r="IR887" s="803"/>
      <c r="IS887" s="803"/>
      <c r="IT887" s="803"/>
      <c r="IU887" s="803"/>
      <c r="IV887" s="803"/>
      <c r="IW887" s="803"/>
      <c r="IX887" s="803"/>
      <c r="IY887" s="803"/>
      <c r="IZ887" s="803"/>
      <c r="JA887" s="803"/>
      <c r="JB887" s="803"/>
      <c r="JC887" s="803"/>
      <c r="JD887" s="803"/>
      <c r="JE887" s="803"/>
      <c r="JF887" s="803"/>
      <c r="JG887" s="803"/>
      <c r="JH887" s="803"/>
      <c r="JI887" s="803"/>
      <c r="JJ887" s="803"/>
      <c r="JK887" s="803"/>
      <c r="JL887" s="803"/>
      <c r="JM887" s="803"/>
      <c r="JN887" s="803"/>
      <c r="JO887" s="803"/>
      <c r="JP887" s="803"/>
      <c r="JQ887" s="803"/>
      <c r="JR887" s="803"/>
      <c r="JS887" s="803"/>
      <c r="JT887" s="803"/>
      <c r="JU887" s="803"/>
      <c r="JV887" s="803"/>
      <c r="JW887" s="803"/>
      <c r="JX887" s="803"/>
      <c r="JY887" s="803"/>
      <c r="JZ887" s="803"/>
      <c r="KA887" s="803"/>
      <c r="KB887" s="803"/>
      <c r="KC887" s="803"/>
      <c r="KD887" s="803"/>
      <c r="KE887" s="803"/>
      <c r="KF887" s="803"/>
      <c r="KG887" s="803"/>
      <c r="KH887" s="803"/>
      <c r="KI887" s="803"/>
      <c r="KJ887" s="803"/>
      <c r="KK887" s="803"/>
      <c r="KL887" s="803"/>
      <c r="KM887" s="803"/>
      <c r="KN887" s="803"/>
      <c r="KO887" s="803"/>
      <c r="KP887" s="803"/>
      <c r="KQ887" s="803"/>
      <c r="KR887" s="803"/>
      <c r="KS887" s="803"/>
      <c r="KT887" s="803"/>
      <c r="KU887" s="803"/>
      <c r="KV887" s="803"/>
      <c r="KW887" s="803"/>
      <c r="KX887" s="803"/>
      <c r="KY887" s="803"/>
      <c r="KZ887" s="803"/>
      <c r="LA887" s="803"/>
      <c r="LB887" s="803"/>
      <c r="LC887" s="803"/>
      <c r="LD887" s="803"/>
      <c r="LE887" s="803"/>
      <c r="LF887" s="803"/>
      <c r="LG887" s="803"/>
      <c r="LH887" s="803"/>
      <c r="LI887" s="803"/>
      <c r="LJ887" s="803"/>
      <c r="LK887" s="803"/>
      <c r="LL887" s="803"/>
      <c r="LM887" s="803"/>
      <c r="LN887" s="803"/>
      <c r="LO887" s="803"/>
      <c r="LP887" s="803"/>
      <c r="LQ887" s="803"/>
      <c r="LR887" s="803"/>
      <c r="LS887" s="803"/>
      <c r="LT887" s="803"/>
      <c r="LU887" s="803"/>
      <c r="LV887" s="803"/>
      <c r="LW887" s="803"/>
      <c r="LX887" s="803"/>
      <c r="LY887" s="803"/>
      <c r="LZ887" s="803"/>
      <c r="MA887" s="803"/>
      <c r="MB887" s="803"/>
      <c r="MC887" s="803"/>
      <c r="MD887" s="803"/>
      <c r="ME887" s="803"/>
      <c r="MF887" s="803"/>
      <c r="MG887" s="803"/>
      <c r="MH887" s="803"/>
      <c r="MI887" s="803"/>
      <c r="MJ887" s="803"/>
      <c r="MK887" s="803"/>
      <c r="ML887" s="803"/>
      <c r="MM887" s="803"/>
      <c r="MN887" s="803"/>
      <c r="MO887" s="803"/>
      <c r="MP887" s="803"/>
      <c r="MQ887" s="803"/>
      <c r="MR887" s="803"/>
      <c r="MS887" s="803"/>
      <c r="MT887" s="803"/>
      <c r="MU887" s="803"/>
      <c r="MV887" s="803"/>
      <c r="MW887" s="803"/>
      <c r="MX887" s="803"/>
      <c r="MY887" s="803"/>
      <c r="MZ887" s="803"/>
      <c r="NA887" s="803"/>
      <c r="NB887" s="803"/>
      <c r="NC887" s="803"/>
      <c r="ND887" s="803"/>
      <c r="NE887" s="803"/>
      <c r="NF887" s="803"/>
      <c r="NG887" s="803"/>
      <c r="NH887" s="803"/>
      <c r="NI887" s="803"/>
      <c r="NJ887" s="803"/>
      <c r="NK887" s="803"/>
      <c r="NL887" s="803"/>
      <c r="NM887" s="803"/>
      <c r="NN887" s="803"/>
      <c r="NO887" s="803"/>
      <c r="NP887" s="803"/>
      <c r="NQ887" s="803"/>
      <c r="NR887" s="803"/>
      <c r="NS887" s="803"/>
      <c r="NT887" s="803"/>
      <c r="NU887" s="803"/>
      <c r="NV887" s="803"/>
      <c r="NW887" s="803"/>
      <c r="NX887" s="803"/>
      <c r="NY887" s="803"/>
      <c r="NZ887" s="803"/>
      <c r="OA887" s="803"/>
      <c r="OB887" s="803"/>
      <c r="OC887" s="803"/>
      <c r="OD887" s="803"/>
      <c r="OE887" s="803"/>
      <c r="OF887" s="803"/>
      <c r="OG887" s="803"/>
      <c r="OH887" s="803"/>
      <c r="OI887" s="803"/>
      <c r="OJ887" s="803"/>
      <c r="OK887" s="803"/>
      <c r="OL887" s="803"/>
      <c r="OM887" s="803"/>
      <c r="ON887" s="803"/>
      <c r="OO887" s="803"/>
      <c r="OP887" s="803"/>
      <c r="OQ887" s="803"/>
      <c r="OR887" s="803"/>
      <c r="OS887" s="803"/>
      <c r="OT887" s="803"/>
      <c r="OU887" s="803"/>
      <c r="OV887" s="803"/>
      <c r="OW887" s="803"/>
      <c r="OX887" s="803"/>
      <c r="OY887" s="803"/>
      <c r="OZ887" s="803"/>
      <c r="PA887" s="803"/>
      <c r="PB887" s="803"/>
      <c r="PC887" s="803"/>
      <c r="PD887" s="803"/>
      <c r="PE887" s="803"/>
      <c r="PF887" s="803"/>
      <c r="PG887" s="803"/>
      <c r="PH887" s="803"/>
      <c r="PI887" s="803"/>
      <c r="PJ887" s="803"/>
      <c r="PK887" s="803"/>
      <c r="PL887" s="803"/>
      <c r="PM887" s="803"/>
      <c r="PN887" s="803"/>
      <c r="PO887" s="803"/>
      <c r="PP887" s="803"/>
      <c r="PQ887" s="803"/>
      <c r="PR887" s="803"/>
      <c r="PS887" s="803"/>
      <c r="PT887" s="803"/>
      <c r="PU887" s="803"/>
      <c r="PV887" s="803"/>
      <c r="PW887" s="803"/>
      <c r="PX887" s="803"/>
      <c r="PY887" s="803"/>
      <c r="PZ887" s="803"/>
      <c r="QA887" s="803"/>
      <c r="QB887" s="803"/>
      <c r="QC887" s="803"/>
      <c r="QD887" s="803"/>
      <c r="QE887" s="803"/>
      <c r="QF887" s="803"/>
      <c r="QG887" s="803"/>
      <c r="QH887" s="803"/>
      <c r="QI887" s="803"/>
      <c r="QJ887" s="803"/>
      <c r="QK887" s="803"/>
      <c r="QL887" s="803"/>
      <c r="QM887" s="803"/>
      <c r="QN887" s="803"/>
      <c r="QO887" s="803"/>
      <c r="QP887" s="803"/>
      <c r="QQ887" s="803"/>
      <c r="QR887" s="803"/>
      <c r="QS887" s="803"/>
      <c r="QT887" s="803"/>
      <c r="QU887" s="803"/>
      <c r="QV887" s="803"/>
      <c r="QW887" s="803"/>
      <c r="QX887" s="803"/>
      <c r="QY887" s="803"/>
      <c r="QZ887" s="803"/>
      <c r="RA887" s="803"/>
      <c r="RB887" s="803"/>
      <c r="RC887" s="803"/>
      <c r="RD887" s="803"/>
      <c r="RE887" s="803"/>
      <c r="RF887" s="803"/>
      <c r="RG887" s="803"/>
      <c r="RH887" s="803"/>
      <c r="RI887" s="803"/>
      <c r="RJ887" s="803"/>
      <c r="RK887" s="803"/>
      <c r="RL887" s="803"/>
      <c r="RM887" s="803"/>
      <c r="RN887" s="803"/>
      <c r="RO887" s="803"/>
      <c r="RP887" s="803"/>
      <c r="RQ887" s="803"/>
      <c r="RR887" s="803"/>
      <c r="RS887" s="803"/>
      <c r="RT887" s="803"/>
      <c r="RU887" s="803"/>
      <c r="RV887" s="803"/>
      <c r="RW887" s="803"/>
      <c r="RX887" s="803"/>
      <c r="RY887" s="803"/>
      <c r="RZ887" s="803"/>
      <c r="SA887" s="803"/>
      <c r="SB887" s="803"/>
      <c r="SC887" s="803"/>
      <c r="SD887" s="803"/>
      <c r="SE887" s="803"/>
      <c r="SF887" s="803"/>
      <c r="SG887" s="803"/>
      <c r="SH887" s="803"/>
      <c r="SI887" s="803"/>
      <c r="SJ887" s="803"/>
      <c r="SK887" s="803"/>
      <c r="SL887" s="803"/>
      <c r="SM887" s="803"/>
      <c r="SN887" s="803"/>
      <c r="SO887" s="803"/>
      <c r="SP887" s="803"/>
      <c r="SQ887" s="803"/>
      <c r="SR887" s="803"/>
      <c r="SS887" s="803"/>
      <c r="ST887" s="803"/>
      <c r="SU887" s="803"/>
      <c r="SV887" s="803"/>
      <c r="SW887" s="803"/>
      <c r="SX887" s="803"/>
      <c r="SY887" s="803"/>
      <c r="SZ887" s="803"/>
      <c r="TA887" s="803"/>
      <c r="TB887" s="803"/>
      <c r="TC887" s="803"/>
      <c r="TD887" s="803"/>
      <c r="TE887" s="803"/>
      <c r="TF887" s="803"/>
      <c r="TG887" s="803"/>
      <c r="TH887" s="803"/>
      <c r="TI887" s="803"/>
      <c r="TJ887" s="803"/>
      <c r="TK887" s="803"/>
      <c r="TL887" s="803"/>
      <c r="TM887" s="803"/>
      <c r="TN887" s="803"/>
      <c r="TO887" s="803"/>
      <c r="TP887" s="803"/>
      <c r="TQ887" s="803"/>
      <c r="TR887" s="803"/>
      <c r="TS887" s="803"/>
      <c r="TT887" s="803"/>
      <c r="TU887" s="803"/>
      <c r="TV887" s="803"/>
      <c r="TW887" s="803"/>
      <c r="TX887" s="803"/>
      <c r="TY887" s="803"/>
      <c r="TZ887" s="803"/>
      <c r="UA887" s="803"/>
      <c r="UB887" s="803"/>
      <c r="UC887" s="803"/>
      <c r="UD887" s="803"/>
      <c r="UE887" s="803"/>
      <c r="UF887" s="803"/>
      <c r="UG887" s="803"/>
      <c r="UH887" s="803"/>
      <c r="UI887" s="803"/>
      <c r="UJ887" s="803"/>
      <c r="UK887" s="803"/>
      <c r="UL887" s="803"/>
      <c r="UM887" s="803"/>
      <c r="UN887" s="803"/>
      <c r="UO887" s="803"/>
      <c r="UP887" s="803"/>
      <c r="UQ887" s="803"/>
      <c r="UR887" s="803"/>
      <c r="US887" s="803"/>
      <c r="UT887" s="803"/>
      <c r="UU887" s="803"/>
      <c r="UV887" s="803"/>
      <c r="UW887" s="803"/>
      <c r="UX887" s="803"/>
      <c r="UY887" s="803"/>
      <c r="UZ887" s="803"/>
      <c r="VA887" s="803"/>
      <c r="VB887" s="803"/>
      <c r="VC887" s="803"/>
      <c r="VD887" s="803"/>
      <c r="VE887" s="803"/>
      <c r="VF887" s="803"/>
      <c r="VG887" s="803"/>
      <c r="VH887" s="803"/>
      <c r="VI887" s="803"/>
      <c r="VJ887" s="803"/>
      <c r="VK887" s="803"/>
      <c r="VL887" s="803"/>
      <c r="VM887" s="803"/>
      <c r="VN887" s="803"/>
      <c r="VO887" s="803"/>
      <c r="VP887" s="803"/>
      <c r="VQ887" s="803"/>
      <c r="VR887" s="803"/>
      <c r="VS887" s="803"/>
      <c r="VT887" s="803"/>
      <c r="VU887" s="803"/>
      <c r="VV887" s="803"/>
      <c r="VW887" s="803"/>
      <c r="VX887" s="803"/>
      <c r="VY887" s="803"/>
      <c r="VZ887" s="803"/>
      <c r="WA887" s="803"/>
      <c r="WB887" s="803"/>
      <c r="WC887" s="803"/>
      <c r="WD887" s="803"/>
      <c r="WE887" s="803"/>
      <c r="WF887" s="803"/>
      <c r="WG887" s="803"/>
      <c r="WH887" s="803"/>
      <c r="WI887" s="803"/>
      <c r="WJ887" s="803"/>
      <c r="WK887" s="803"/>
      <c r="WL887" s="803"/>
      <c r="WM887" s="803"/>
      <c r="WN887" s="803"/>
      <c r="WO887" s="803"/>
      <c r="WP887" s="803"/>
      <c r="WQ887" s="803"/>
      <c r="WR887" s="803"/>
      <c r="WS887" s="803"/>
      <c r="WT887" s="803"/>
      <c r="WU887" s="803"/>
      <c r="WV887" s="803"/>
      <c r="WW887" s="803"/>
      <c r="WX887" s="803"/>
      <c r="WY887" s="803"/>
      <c r="WZ887" s="803"/>
      <c r="XA887" s="803"/>
      <c r="XB887" s="803"/>
      <c r="XC887" s="803"/>
      <c r="XD887" s="803"/>
      <c r="XE887" s="803"/>
      <c r="XF887" s="803"/>
      <c r="XG887" s="803"/>
      <c r="XH887" s="803"/>
      <c r="XI887" s="803"/>
      <c r="XJ887" s="803"/>
      <c r="XK887" s="803"/>
      <c r="XL887" s="803"/>
      <c r="XM887" s="803"/>
      <c r="XN887" s="803"/>
      <c r="XO887" s="803"/>
      <c r="XP887" s="803"/>
      <c r="XQ887" s="803"/>
      <c r="XR887" s="803"/>
      <c r="XS887" s="803"/>
      <c r="XT887" s="803"/>
      <c r="XU887" s="803"/>
      <c r="XV887" s="803"/>
      <c r="XW887" s="803"/>
      <c r="XX887" s="803"/>
      <c r="XY887" s="803"/>
      <c r="XZ887" s="803"/>
      <c r="YA887" s="803"/>
      <c r="YB887" s="803"/>
      <c r="YC887" s="803"/>
      <c r="YD887" s="803"/>
      <c r="YE887" s="803"/>
      <c r="YF887" s="803"/>
      <c r="YG887" s="803"/>
      <c r="YH887" s="803"/>
      <c r="YI887" s="803"/>
      <c r="YJ887" s="803"/>
      <c r="YK887" s="803"/>
      <c r="YL887" s="803"/>
      <c r="YM887" s="803"/>
      <c r="YN887" s="803"/>
      <c r="YO887" s="803"/>
      <c r="YP887" s="803"/>
      <c r="YQ887" s="803"/>
      <c r="YR887" s="803"/>
      <c r="YS887" s="803"/>
      <c r="YT887" s="803"/>
      <c r="YU887" s="803"/>
      <c r="YV887" s="803"/>
      <c r="YW887" s="803"/>
      <c r="YX887" s="803"/>
      <c r="YY887" s="803"/>
      <c r="YZ887" s="803"/>
      <c r="ZA887" s="803"/>
      <c r="ZB887" s="803"/>
      <c r="ZC887" s="803"/>
      <c r="ZD887" s="803"/>
      <c r="ZE887" s="803"/>
      <c r="ZF887" s="803"/>
      <c r="ZG887" s="803"/>
      <c r="ZH887" s="803"/>
      <c r="ZI887" s="803"/>
      <c r="ZJ887" s="803"/>
      <c r="ZK887" s="803"/>
      <c r="ZL887" s="803"/>
      <c r="ZM887" s="803"/>
      <c r="ZN887" s="803"/>
      <c r="ZO887" s="803"/>
      <c r="ZP887" s="803"/>
      <c r="ZQ887" s="803"/>
      <c r="ZR887" s="803"/>
      <c r="ZS887" s="803"/>
      <c r="ZT887" s="803"/>
      <c r="ZU887" s="803"/>
      <c r="ZV887" s="803"/>
      <c r="ZW887" s="803"/>
      <c r="ZX887" s="803"/>
      <c r="ZY887" s="803"/>
      <c r="ZZ887" s="803"/>
      <c r="AAA887" s="803"/>
      <c r="AAB887" s="803"/>
      <c r="AAC887" s="803"/>
      <c r="AAD887" s="803"/>
      <c r="AAE887" s="803"/>
      <c r="AAF887" s="803"/>
      <c r="AAG887" s="803"/>
      <c r="AAH887" s="803"/>
      <c r="AAI887" s="803"/>
      <c r="AAJ887" s="803"/>
      <c r="AAK887" s="803"/>
      <c r="AAL887" s="803"/>
      <c r="AAM887" s="803"/>
      <c r="AAN887" s="803"/>
      <c r="AAO887" s="803"/>
      <c r="AAP887" s="803"/>
      <c r="AAQ887" s="803"/>
      <c r="AAR887" s="803"/>
      <c r="AAS887" s="803"/>
      <c r="AAT887" s="803"/>
      <c r="AAU887" s="803"/>
      <c r="AAV887" s="803"/>
      <c r="AAW887" s="803"/>
      <c r="AAX887" s="803"/>
      <c r="AAY887" s="803"/>
      <c r="AAZ887" s="803"/>
      <c r="ABA887" s="803"/>
      <c r="ABB887" s="803"/>
      <c r="ABC887" s="803"/>
      <c r="ABD887" s="803"/>
      <c r="ABE887" s="803"/>
      <c r="ABF887" s="803"/>
      <c r="ABG887" s="803"/>
      <c r="ABH887" s="803"/>
      <c r="ABI887" s="803"/>
      <c r="ABJ887" s="803"/>
      <c r="ABK887" s="803"/>
      <c r="ABL887" s="803"/>
      <c r="ABM887" s="803"/>
      <c r="ABN887" s="803"/>
      <c r="ABO887" s="803"/>
      <c r="ABP887" s="803"/>
      <c r="ABQ887" s="803"/>
      <c r="ABR887" s="803"/>
      <c r="ABS887" s="803"/>
      <c r="ABT887" s="803"/>
      <c r="ABU887" s="803"/>
      <c r="ABV887" s="803"/>
      <c r="ABW887" s="803"/>
      <c r="ABX887" s="803"/>
      <c r="ABY887" s="803"/>
      <c r="ABZ887" s="803"/>
      <c r="ACA887" s="803"/>
      <c r="ACB887" s="803"/>
      <c r="ACC887" s="803"/>
      <c r="ACD887" s="803"/>
      <c r="ACE887" s="803"/>
      <c r="ACF887" s="803"/>
      <c r="ACG887" s="803"/>
      <c r="ACH887" s="803"/>
      <c r="ACI887" s="803"/>
      <c r="ACJ887" s="803"/>
      <c r="ACK887" s="803"/>
      <c r="ACL887" s="803"/>
      <c r="ACM887" s="803"/>
      <c r="ACN887" s="803"/>
      <c r="ACO887" s="803"/>
      <c r="ACP887" s="803"/>
      <c r="ACQ887" s="803"/>
      <c r="ACR887" s="803"/>
      <c r="ACS887" s="803"/>
      <c r="ACT887" s="803"/>
      <c r="ACU887" s="803"/>
      <c r="ACV887" s="803"/>
      <c r="ACW887" s="803"/>
      <c r="ACX887" s="803"/>
      <c r="ACY887" s="803"/>
      <c r="ACZ887" s="803"/>
      <c r="ADA887" s="803"/>
      <c r="ADB887" s="803"/>
      <c r="ADC887" s="803"/>
      <c r="ADD887" s="803"/>
      <c r="ADE887" s="803"/>
      <c r="ADF887" s="803"/>
      <c r="ADG887" s="803"/>
      <c r="ADH887" s="803"/>
      <c r="ADI887" s="803"/>
      <c r="ADJ887" s="803"/>
      <c r="ADK887" s="803"/>
      <c r="ADL887" s="803"/>
      <c r="ADM887" s="803"/>
      <c r="ADN887" s="803"/>
      <c r="ADO887" s="803"/>
      <c r="ADP887" s="803"/>
      <c r="ADQ887" s="803"/>
      <c r="ADR887" s="803"/>
      <c r="ADS887" s="803"/>
      <c r="ADT887" s="803"/>
      <c r="ADU887" s="803"/>
      <c r="ADV887" s="803"/>
      <c r="ADW887" s="803"/>
      <c r="ADX887" s="803"/>
      <c r="ADY887" s="803"/>
      <c r="ADZ887" s="803"/>
      <c r="AEA887" s="803"/>
      <c r="AEB887" s="803"/>
      <c r="AEC887" s="803"/>
      <c r="AED887" s="803"/>
      <c r="AEE887" s="803"/>
      <c r="AEF887" s="803"/>
      <c r="AEG887" s="803"/>
      <c r="AEH887" s="803"/>
      <c r="AEI887" s="803"/>
      <c r="AEJ887" s="803"/>
      <c r="AEK887" s="803"/>
      <c r="AEL887" s="803"/>
      <c r="AEM887" s="803"/>
      <c r="AEN887" s="803"/>
      <c r="AEO887" s="803"/>
      <c r="AEP887" s="803"/>
      <c r="AEQ887" s="803"/>
      <c r="AER887" s="803"/>
      <c r="AES887" s="803"/>
      <c r="AET887" s="803"/>
      <c r="AEU887" s="803"/>
      <c r="AEV887" s="803"/>
      <c r="AEW887" s="803"/>
      <c r="AEX887" s="803"/>
      <c r="AEY887" s="803"/>
      <c r="AEZ887" s="803"/>
      <c r="AFA887" s="803"/>
      <c r="AFB887" s="803"/>
      <c r="AFC887" s="803"/>
      <c r="AFD887" s="803"/>
      <c r="AFE887" s="803"/>
      <c r="AFF887" s="803"/>
      <c r="AFG887" s="803"/>
      <c r="AFH887" s="803"/>
      <c r="AFI887" s="803"/>
      <c r="AFJ887" s="803"/>
      <c r="AFK887" s="803"/>
      <c r="AFL887" s="803"/>
      <c r="AFM887" s="803"/>
      <c r="AFN887" s="803"/>
      <c r="AFO887" s="803"/>
      <c r="AFP887" s="803"/>
      <c r="AFQ887" s="803"/>
      <c r="AFR887" s="803"/>
      <c r="AFS887" s="803"/>
      <c r="AFT887" s="803"/>
      <c r="AFU887" s="803"/>
      <c r="AFV887" s="803"/>
      <c r="AFW887" s="803"/>
      <c r="AFX887" s="803"/>
      <c r="AFY887" s="803"/>
      <c r="AFZ887" s="803"/>
      <c r="AGA887" s="803"/>
      <c r="AGB887" s="803"/>
      <c r="AGC887" s="803"/>
      <c r="AGD887" s="803"/>
      <c r="AGE887" s="803"/>
      <c r="AGF887" s="803"/>
      <c r="AGG887" s="803"/>
      <c r="AGH887" s="803"/>
      <c r="AGI887" s="803"/>
      <c r="AGJ887" s="803"/>
    </row>
    <row r="888" spans="1:868" s="7" customFormat="1">
      <c r="A888" s="59" t="s">
        <v>417</v>
      </c>
      <c r="B888" s="336" t="s">
        <v>465</v>
      </c>
      <c r="C888" s="34" t="s">
        <v>139</v>
      </c>
      <c r="D888" s="40" t="s">
        <v>99</v>
      </c>
      <c r="E888" s="237">
        <f>0.97*0.9</f>
        <v>0.873</v>
      </c>
      <c r="F888" s="40">
        <v>2</v>
      </c>
      <c r="G888" s="34" t="s">
        <v>412</v>
      </c>
      <c r="H888" s="29">
        <v>1</v>
      </c>
      <c r="I888" s="9">
        <v>2</v>
      </c>
      <c r="J888" s="9">
        <v>2</v>
      </c>
      <c r="K888" s="9">
        <v>1</v>
      </c>
      <c r="L888" s="9">
        <v>1</v>
      </c>
      <c r="M888" s="9">
        <v>1</v>
      </c>
      <c r="N888" s="185">
        <f>IF( OR( ISBLANK(H888),ISBLANK(J888), ISBLANK(K888), ISBLANK(L888), ISBLANK(M888) ), "", 1.5*SQRT(   EXP(2.21*(H888-1)) + EXP(2.21*(J888-1)) + EXP(2.21*(K888-1)) + EXP(2.21*(L888-1)) + EXP(2.21*M888)   )/100*2.45 )</f>
        <v>0.16933510251023262</v>
      </c>
      <c r="O888" s="159">
        <f>IF( OR( ISBLANK(I888),ISBLANK(J888), ISBLANK(K888), ISBLANK(L888), ISBLANK(M888) ), "", 1.5*SQRT( EXP(2.21*(I888-1)) + EXP(2.21*(J888-1)) + EXP(2.21*(K888-1)) + EXP(2.21*(L888-1)) + EXP(2.21*M888)   )/100*2.45 )</f>
        <v>0.19908580854301616</v>
      </c>
      <c r="P888" s="34" t="s">
        <v>848</v>
      </c>
      <c r="Q888" s="803"/>
      <c r="R888" s="803"/>
      <c r="S888" s="803"/>
      <c r="T888" s="803"/>
      <c r="U888" s="803"/>
      <c r="V888" s="803"/>
      <c r="W888" s="803"/>
      <c r="X888" s="803"/>
      <c r="Y888" s="803"/>
      <c r="Z888" s="803"/>
      <c r="AA888" s="803"/>
      <c r="AB888" s="803"/>
      <c r="AC888" s="803"/>
      <c r="AD888" s="803"/>
      <c r="AE888" s="803"/>
      <c r="AF888" s="803"/>
      <c r="AG888" s="803"/>
      <c r="AH888" s="803"/>
      <c r="AI888" s="803"/>
      <c r="AJ888" s="803"/>
      <c r="AK888" s="803"/>
      <c r="AL888" s="803"/>
      <c r="AM888" s="803"/>
      <c r="AN888" s="803"/>
      <c r="AO888" s="803"/>
      <c r="AP888" s="803"/>
      <c r="AQ888" s="803"/>
      <c r="AR888" s="803"/>
      <c r="AS888" s="803"/>
      <c r="AT888" s="803"/>
      <c r="AU888" s="803"/>
      <c r="AV888" s="803"/>
      <c r="AW888" s="803"/>
      <c r="AX888" s="803"/>
      <c r="AY888" s="803"/>
      <c r="AZ888" s="803"/>
      <c r="BA888" s="803"/>
      <c r="BB888" s="803"/>
      <c r="BC888" s="803"/>
      <c r="BD888" s="803"/>
      <c r="BE888" s="803"/>
      <c r="BF888" s="803"/>
      <c r="BG888" s="803"/>
      <c r="BH888" s="803"/>
      <c r="BI888" s="803"/>
      <c r="BJ888" s="803"/>
      <c r="BK888" s="803"/>
      <c r="BL888" s="803"/>
      <c r="BM888" s="803"/>
      <c r="BN888" s="803"/>
      <c r="BO888" s="803"/>
      <c r="BP888" s="803"/>
      <c r="BQ888" s="803"/>
      <c r="BR888" s="803"/>
      <c r="BS888" s="803"/>
      <c r="BT888" s="803"/>
      <c r="BU888" s="803"/>
      <c r="BV888" s="803"/>
      <c r="BW888" s="803"/>
      <c r="BX888" s="803"/>
      <c r="BY888" s="803"/>
      <c r="BZ888" s="803"/>
      <c r="CA888" s="803"/>
      <c r="CB888" s="803"/>
      <c r="CC888" s="803"/>
      <c r="CD888" s="803"/>
      <c r="CE888" s="803"/>
      <c r="CF888" s="803"/>
      <c r="CG888" s="803"/>
      <c r="CH888" s="803"/>
      <c r="CI888" s="803"/>
      <c r="CJ888" s="803"/>
      <c r="CK888" s="803"/>
      <c r="CL888" s="803"/>
      <c r="CM888" s="803"/>
      <c r="CN888" s="803"/>
      <c r="CO888" s="803"/>
      <c r="CP888" s="803"/>
      <c r="CQ888" s="803"/>
      <c r="CR888" s="803"/>
      <c r="CS888" s="803"/>
      <c r="CT888" s="803"/>
      <c r="CU888" s="803"/>
      <c r="CV888" s="803"/>
      <c r="CW888" s="803"/>
      <c r="CX888" s="803"/>
      <c r="CY888" s="803"/>
      <c r="CZ888" s="803"/>
      <c r="DA888" s="803"/>
      <c r="DB888" s="803"/>
      <c r="DC888" s="803"/>
      <c r="DD888" s="803"/>
      <c r="DE888" s="803"/>
      <c r="DF888" s="803"/>
      <c r="DG888" s="803"/>
      <c r="DH888" s="803"/>
      <c r="DI888" s="803"/>
      <c r="DJ888" s="803"/>
      <c r="DK888" s="803"/>
      <c r="DL888" s="803"/>
      <c r="DM888" s="803"/>
      <c r="DN888" s="803"/>
      <c r="DO888" s="803"/>
      <c r="DP888" s="803"/>
      <c r="DQ888" s="803"/>
      <c r="DR888" s="803"/>
      <c r="DS888" s="803"/>
      <c r="DT888" s="803"/>
      <c r="DU888" s="803"/>
      <c r="DV888" s="803"/>
      <c r="DW888" s="803"/>
      <c r="DX888" s="803"/>
      <c r="DY888" s="803"/>
      <c r="DZ888" s="803"/>
      <c r="EA888" s="803"/>
      <c r="EB888" s="803"/>
      <c r="EC888" s="803"/>
      <c r="ED888" s="803"/>
      <c r="EE888" s="803"/>
      <c r="EF888" s="803"/>
      <c r="EG888" s="803"/>
      <c r="EH888" s="803"/>
      <c r="EI888" s="803"/>
      <c r="EJ888" s="803"/>
      <c r="EK888" s="803"/>
      <c r="EL888" s="803"/>
      <c r="EM888" s="803"/>
      <c r="EN888" s="803"/>
      <c r="EO888" s="803"/>
      <c r="EP888" s="803"/>
      <c r="EQ888" s="803"/>
      <c r="ER888" s="803"/>
      <c r="ES888" s="803"/>
      <c r="ET888" s="803"/>
      <c r="EU888" s="803"/>
      <c r="EV888" s="803"/>
      <c r="EW888" s="803"/>
      <c r="EX888" s="803"/>
      <c r="EY888" s="803"/>
      <c r="EZ888" s="803"/>
      <c r="FA888" s="803"/>
      <c r="FB888" s="803"/>
      <c r="FC888" s="803"/>
      <c r="FD888" s="803"/>
      <c r="FE888" s="803"/>
      <c r="FF888" s="803"/>
      <c r="FG888" s="803"/>
      <c r="FH888" s="803"/>
      <c r="FI888" s="803"/>
      <c r="FJ888" s="803"/>
      <c r="FK888" s="803"/>
      <c r="FL888" s="803"/>
      <c r="FM888" s="803"/>
      <c r="FN888" s="803"/>
      <c r="FO888" s="803"/>
      <c r="FP888" s="803"/>
      <c r="FQ888" s="803"/>
      <c r="FR888" s="803"/>
      <c r="FS888" s="803"/>
      <c r="FT888" s="803"/>
      <c r="FU888" s="803"/>
      <c r="FV888" s="803"/>
      <c r="FW888" s="803"/>
      <c r="FX888" s="803"/>
      <c r="FY888" s="803"/>
      <c r="FZ888" s="803"/>
      <c r="GA888" s="803"/>
      <c r="GB888" s="803"/>
      <c r="GC888" s="803"/>
      <c r="GD888" s="803"/>
      <c r="GE888" s="803"/>
      <c r="GF888" s="803"/>
      <c r="GG888" s="803"/>
      <c r="GH888" s="803"/>
      <c r="GI888" s="803"/>
      <c r="GJ888" s="803"/>
      <c r="GK888" s="803"/>
      <c r="GL888" s="803"/>
      <c r="GM888" s="803"/>
      <c r="GN888" s="803"/>
      <c r="GO888" s="803"/>
      <c r="GP888" s="803"/>
      <c r="GQ888" s="803"/>
      <c r="GR888" s="803"/>
      <c r="GS888" s="803"/>
      <c r="GT888" s="803"/>
      <c r="GU888" s="803"/>
      <c r="GV888" s="803"/>
      <c r="GW888" s="803"/>
      <c r="GX888" s="803"/>
      <c r="GY888" s="803"/>
      <c r="GZ888" s="803"/>
      <c r="HA888" s="803"/>
      <c r="HB888" s="803"/>
      <c r="HC888" s="803"/>
      <c r="HD888" s="803"/>
      <c r="HE888" s="803"/>
      <c r="HF888" s="803"/>
      <c r="HG888" s="803"/>
      <c r="HH888" s="803"/>
      <c r="HI888" s="803"/>
      <c r="HJ888" s="803"/>
      <c r="HK888" s="803"/>
      <c r="HL888" s="803"/>
      <c r="HM888" s="803"/>
      <c r="HN888" s="803"/>
      <c r="HO888" s="803"/>
      <c r="HP888" s="803"/>
      <c r="HQ888" s="803"/>
      <c r="HR888" s="803"/>
      <c r="HS888" s="803"/>
      <c r="HT888" s="803"/>
      <c r="HU888" s="803"/>
      <c r="HV888" s="803"/>
      <c r="HW888" s="803"/>
      <c r="HX888" s="803"/>
      <c r="HY888" s="803"/>
      <c r="HZ888" s="803"/>
      <c r="IA888" s="803"/>
      <c r="IB888" s="803"/>
      <c r="IC888" s="803"/>
      <c r="ID888" s="803"/>
      <c r="IE888" s="803"/>
      <c r="IF888" s="803"/>
      <c r="IG888" s="803"/>
      <c r="IH888" s="803"/>
      <c r="II888" s="803"/>
      <c r="IJ888" s="803"/>
      <c r="IK888" s="803"/>
      <c r="IL888" s="803"/>
      <c r="IM888" s="803"/>
      <c r="IN888" s="803"/>
      <c r="IO888" s="803"/>
      <c r="IP888" s="803"/>
      <c r="IQ888" s="803"/>
      <c r="IR888" s="803"/>
      <c r="IS888" s="803"/>
      <c r="IT888" s="803"/>
      <c r="IU888" s="803"/>
      <c r="IV888" s="803"/>
      <c r="IW888" s="803"/>
      <c r="IX888" s="803"/>
      <c r="IY888" s="803"/>
      <c r="IZ888" s="803"/>
      <c r="JA888" s="803"/>
      <c r="JB888" s="803"/>
      <c r="JC888" s="803"/>
      <c r="JD888" s="803"/>
      <c r="JE888" s="803"/>
      <c r="JF888" s="803"/>
      <c r="JG888" s="803"/>
      <c r="JH888" s="803"/>
      <c r="JI888" s="803"/>
      <c r="JJ888" s="803"/>
      <c r="JK888" s="803"/>
      <c r="JL888" s="803"/>
      <c r="JM888" s="803"/>
      <c r="JN888" s="803"/>
      <c r="JO888" s="803"/>
      <c r="JP888" s="803"/>
      <c r="JQ888" s="803"/>
      <c r="JR888" s="803"/>
      <c r="JS888" s="803"/>
      <c r="JT888" s="803"/>
      <c r="JU888" s="803"/>
      <c r="JV888" s="803"/>
      <c r="JW888" s="803"/>
      <c r="JX888" s="803"/>
      <c r="JY888" s="803"/>
      <c r="JZ888" s="803"/>
      <c r="KA888" s="803"/>
      <c r="KB888" s="803"/>
      <c r="KC888" s="803"/>
      <c r="KD888" s="803"/>
      <c r="KE888" s="803"/>
      <c r="KF888" s="803"/>
      <c r="KG888" s="803"/>
      <c r="KH888" s="803"/>
      <c r="KI888" s="803"/>
      <c r="KJ888" s="803"/>
      <c r="KK888" s="803"/>
      <c r="KL888" s="803"/>
      <c r="KM888" s="803"/>
      <c r="KN888" s="803"/>
      <c r="KO888" s="803"/>
      <c r="KP888" s="803"/>
      <c r="KQ888" s="803"/>
      <c r="KR888" s="803"/>
      <c r="KS888" s="803"/>
      <c r="KT888" s="803"/>
      <c r="KU888" s="803"/>
      <c r="KV888" s="803"/>
      <c r="KW888" s="803"/>
      <c r="KX888" s="803"/>
      <c r="KY888" s="803"/>
      <c r="KZ888" s="803"/>
      <c r="LA888" s="803"/>
      <c r="LB888" s="803"/>
      <c r="LC888" s="803"/>
      <c r="LD888" s="803"/>
      <c r="LE888" s="803"/>
      <c r="LF888" s="803"/>
      <c r="LG888" s="803"/>
      <c r="LH888" s="803"/>
      <c r="LI888" s="803"/>
      <c r="LJ888" s="803"/>
      <c r="LK888" s="803"/>
      <c r="LL888" s="803"/>
      <c r="LM888" s="803"/>
      <c r="LN888" s="803"/>
      <c r="LO888" s="803"/>
      <c r="LP888" s="803"/>
      <c r="LQ888" s="803"/>
      <c r="LR888" s="803"/>
      <c r="LS888" s="803"/>
      <c r="LT888" s="803"/>
      <c r="LU888" s="803"/>
      <c r="LV888" s="803"/>
      <c r="LW888" s="803"/>
      <c r="LX888" s="803"/>
      <c r="LY888" s="803"/>
      <c r="LZ888" s="803"/>
      <c r="MA888" s="803"/>
      <c r="MB888" s="803"/>
      <c r="MC888" s="803"/>
      <c r="MD888" s="803"/>
      <c r="ME888" s="803"/>
      <c r="MF888" s="803"/>
      <c r="MG888" s="803"/>
      <c r="MH888" s="803"/>
      <c r="MI888" s="803"/>
      <c r="MJ888" s="803"/>
      <c r="MK888" s="803"/>
      <c r="ML888" s="803"/>
      <c r="MM888" s="803"/>
      <c r="MN888" s="803"/>
      <c r="MO888" s="803"/>
      <c r="MP888" s="803"/>
      <c r="MQ888" s="803"/>
      <c r="MR888" s="803"/>
      <c r="MS888" s="803"/>
      <c r="MT888" s="803"/>
      <c r="MU888" s="803"/>
      <c r="MV888" s="803"/>
      <c r="MW888" s="803"/>
      <c r="MX888" s="803"/>
      <c r="MY888" s="803"/>
      <c r="MZ888" s="803"/>
      <c r="NA888" s="803"/>
      <c r="NB888" s="803"/>
      <c r="NC888" s="803"/>
      <c r="ND888" s="803"/>
      <c r="NE888" s="803"/>
      <c r="NF888" s="803"/>
      <c r="NG888" s="803"/>
      <c r="NH888" s="803"/>
      <c r="NI888" s="803"/>
      <c r="NJ888" s="803"/>
      <c r="NK888" s="803"/>
      <c r="NL888" s="803"/>
      <c r="NM888" s="803"/>
      <c r="NN888" s="803"/>
      <c r="NO888" s="803"/>
      <c r="NP888" s="803"/>
      <c r="NQ888" s="803"/>
      <c r="NR888" s="803"/>
      <c r="NS888" s="803"/>
      <c r="NT888" s="803"/>
      <c r="NU888" s="803"/>
      <c r="NV888" s="803"/>
      <c r="NW888" s="803"/>
      <c r="NX888" s="803"/>
      <c r="NY888" s="803"/>
      <c r="NZ888" s="803"/>
      <c r="OA888" s="803"/>
      <c r="OB888" s="803"/>
      <c r="OC888" s="803"/>
      <c r="OD888" s="803"/>
      <c r="OE888" s="803"/>
      <c r="OF888" s="803"/>
      <c r="OG888" s="803"/>
      <c r="OH888" s="803"/>
      <c r="OI888" s="803"/>
      <c r="OJ888" s="803"/>
      <c r="OK888" s="803"/>
      <c r="OL888" s="803"/>
      <c r="OM888" s="803"/>
      <c r="ON888" s="803"/>
      <c r="OO888" s="803"/>
      <c r="OP888" s="803"/>
      <c r="OQ888" s="803"/>
      <c r="OR888" s="803"/>
      <c r="OS888" s="803"/>
      <c r="OT888" s="803"/>
      <c r="OU888" s="803"/>
      <c r="OV888" s="803"/>
      <c r="OW888" s="803"/>
      <c r="OX888" s="803"/>
      <c r="OY888" s="803"/>
      <c r="OZ888" s="803"/>
      <c r="PA888" s="803"/>
      <c r="PB888" s="803"/>
      <c r="PC888" s="803"/>
      <c r="PD888" s="803"/>
      <c r="PE888" s="803"/>
      <c r="PF888" s="803"/>
      <c r="PG888" s="803"/>
      <c r="PH888" s="803"/>
      <c r="PI888" s="803"/>
      <c r="PJ888" s="803"/>
      <c r="PK888" s="803"/>
      <c r="PL888" s="803"/>
      <c r="PM888" s="803"/>
      <c r="PN888" s="803"/>
      <c r="PO888" s="803"/>
      <c r="PP888" s="803"/>
      <c r="PQ888" s="803"/>
      <c r="PR888" s="803"/>
      <c r="PS888" s="803"/>
      <c r="PT888" s="803"/>
      <c r="PU888" s="803"/>
      <c r="PV888" s="803"/>
      <c r="PW888" s="803"/>
      <c r="PX888" s="803"/>
      <c r="PY888" s="803"/>
      <c r="PZ888" s="803"/>
      <c r="QA888" s="803"/>
      <c r="QB888" s="803"/>
      <c r="QC888" s="803"/>
      <c r="QD888" s="803"/>
      <c r="QE888" s="803"/>
      <c r="QF888" s="803"/>
      <c r="QG888" s="803"/>
      <c r="QH888" s="803"/>
      <c r="QI888" s="803"/>
      <c r="QJ888" s="803"/>
      <c r="QK888" s="803"/>
      <c r="QL888" s="803"/>
      <c r="QM888" s="803"/>
      <c r="QN888" s="803"/>
      <c r="QO888" s="803"/>
      <c r="QP888" s="803"/>
      <c r="QQ888" s="803"/>
      <c r="QR888" s="803"/>
      <c r="QS888" s="803"/>
      <c r="QT888" s="803"/>
      <c r="QU888" s="803"/>
      <c r="QV888" s="803"/>
      <c r="QW888" s="803"/>
      <c r="QX888" s="803"/>
      <c r="QY888" s="803"/>
      <c r="QZ888" s="803"/>
      <c r="RA888" s="803"/>
      <c r="RB888" s="803"/>
      <c r="RC888" s="803"/>
      <c r="RD888" s="803"/>
      <c r="RE888" s="803"/>
      <c r="RF888" s="803"/>
      <c r="RG888" s="803"/>
      <c r="RH888" s="803"/>
      <c r="RI888" s="803"/>
      <c r="RJ888" s="803"/>
      <c r="RK888" s="803"/>
      <c r="RL888" s="803"/>
      <c r="RM888" s="803"/>
      <c r="RN888" s="803"/>
      <c r="RO888" s="803"/>
      <c r="RP888" s="803"/>
      <c r="RQ888" s="803"/>
      <c r="RR888" s="803"/>
      <c r="RS888" s="803"/>
      <c r="RT888" s="803"/>
      <c r="RU888" s="803"/>
      <c r="RV888" s="803"/>
      <c r="RW888" s="803"/>
      <c r="RX888" s="803"/>
      <c r="RY888" s="803"/>
      <c r="RZ888" s="803"/>
      <c r="SA888" s="803"/>
      <c r="SB888" s="803"/>
      <c r="SC888" s="803"/>
      <c r="SD888" s="803"/>
      <c r="SE888" s="803"/>
      <c r="SF888" s="803"/>
      <c r="SG888" s="803"/>
      <c r="SH888" s="803"/>
      <c r="SI888" s="803"/>
      <c r="SJ888" s="803"/>
      <c r="SK888" s="803"/>
      <c r="SL888" s="803"/>
      <c r="SM888" s="803"/>
      <c r="SN888" s="803"/>
      <c r="SO888" s="803"/>
      <c r="SP888" s="803"/>
      <c r="SQ888" s="803"/>
      <c r="SR888" s="803"/>
      <c r="SS888" s="803"/>
      <c r="ST888" s="803"/>
      <c r="SU888" s="803"/>
      <c r="SV888" s="803"/>
      <c r="SW888" s="803"/>
      <c r="SX888" s="803"/>
      <c r="SY888" s="803"/>
      <c r="SZ888" s="803"/>
      <c r="TA888" s="803"/>
      <c r="TB888" s="803"/>
      <c r="TC888" s="803"/>
      <c r="TD888" s="803"/>
      <c r="TE888" s="803"/>
      <c r="TF888" s="803"/>
      <c r="TG888" s="803"/>
      <c r="TH888" s="803"/>
      <c r="TI888" s="803"/>
      <c r="TJ888" s="803"/>
      <c r="TK888" s="803"/>
      <c r="TL888" s="803"/>
      <c r="TM888" s="803"/>
      <c r="TN888" s="803"/>
      <c r="TO888" s="803"/>
      <c r="TP888" s="803"/>
      <c r="TQ888" s="803"/>
      <c r="TR888" s="803"/>
      <c r="TS888" s="803"/>
      <c r="TT888" s="803"/>
      <c r="TU888" s="803"/>
      <c r="TV888" s="803"/>
      <c r="TW888" s="803"/>
      <c r="TX888" s="803"/>
      <c r="TY888" s="803"/>
      <c r="TZ888" s="803"/>
      <c r="UA888" s="803"/>
      <c r="UB888" s="803"/>
      <c r="UC888" s="803"/>
      <c r="UD888" s="803"/>
      <c r="UE888" s="803"/>
      <c r="UF888" s="803"/>
      <c r="UG888" s="803"/>
      <c r="UH888" s="803"/>
      <c r="UI888" s="803"/>
      <c r="UJ888" s="803"/>
      <c r="UK888" s="803"/>
      <c r="UL888" s="803"/>
      <c r="UM888" s="803"/>
      <c r="UN888" s="803"/>
      <c r="UO888" s="803"/>
      <c r="UP888" s="803"/>
      <c r="UQ888" s="803"/>
      <c r="UR888" s="803"/>
      <c r="US888" s="803"/>
      <c r="UT888" s="803"/>
      <c r="UU888" s="803"/>
      <c r="UV888" s="803"/>
      <c r="UW888" s="803"/>
      <c r="UX888" s="803"/>
      <c r="UY888" s="803"/>
      <c r="UZ888" s="803"/>
      <c r="VA888" s="803"/>
      <c r="VB888" s="803"/>
      <c r="VC888" s="803"/>
      <c r="VD888" s="803"/>
      <c r="VE888" s="803"/>
      <c r="VF888" s="803"/>
      <c r="VG888" s="803"/>
      <c r="VH888" s="803"/>
      <c r="VI888" s="803"/>
      <c r="VJ888" s="803"/>
      <c r="VK888" s="803"/>
      <c r="VL888" s="803"/>
      <c r="VM888" s="803"/>
      <c r="VN888" s="803"/>
      <c r="VO888" s="803"/>
      <c r="VP888" s="803"/>
      <c r="VQ888" s="803"/>
      <c r="VR888" s="803"/>
      <c r="VS888" s="803"/>
      <c r="VT888" s="803"/>
      <c r="VU888" s="803"/>
      <c r="VV888" s="803"/>
      <c r="VW888" s="803"/>
      <c r="VX888" s="803"/>
      <c r="VY888" s="803"/>
      <c r="VZ888" s="803"/>
      <c r="WA888" s="803"/>
      <c r="WB888" s="803"/>
      <c r="WC888" s="803"/>
      <c r="WD888" s="803"/>
      <c r="WE888" s="803"/>
      <c r="WF888" s="803"/>
      <c r="WG888" s="803"/>
      <c r="WH888" s="803"/>
      <c r="WI888" s="803"/>
      <c r="WJ888" s="803"/>
      <c r="WK888" s="803"/>
      <c r="WL888" s="803"/>
      <c r="WM888" s="803"/>
      <c r="WN888" s="803"/>
      <c r="WO888" s="803"/>
      <c r="WP888" s="803"/>
      <c r="WQ888" s="803"/>
      <c r="WR888" s="803"/>
      <c r="WS888" s="803"/>
      <c r="WT888" s="803"/>
      <c r="WU888" s="803"/>
      <c r="WV888" s="803"/>
      <c r="WW888" s="803"/>
      <c r="WX888" s="803"/>
      <c r="WY888" s="803"/>
      <c r="WZ888" s="803"/>
      <c r="XA888" s="803"/>
      <c r="XB888" s="803"/>
      <c r="XC888" s="803"/>
      <c r="XD888" s="803"/>
      <c r="XE888" s="803"/>
      <c r="XF888" s="803"/>
      <c r="XG888" s="803"/>
      <c r="XH888" s="803"/>
      <c r="XI888" s="803"/>
      <c r="XJ888" s="803"/>
      <c r="XK888" s="803"/>
      <c r="XL888" s="803"/>
      <c r="XM888" s="803"/>
      <c r="XN888" s="803"/>
      <c r="XO888" s="803"/>
      <c r="XP888" s="803"/>
      <c r="XQ888" s="803"/>
      <c r="XR888" s="803"/>
      <c r="XS888" s="803"/>
      <c r="XT888" s="803"/>
      <c r="XU888" s="803"/>
      <c r="XV888" s="803"/>
      <c r="XW888" s="803"/>
      <c r="XX888" s="803"/>
      <c r="XY888" s="803"/>
      <c r="XZ888" s="803"/>
      <c r="YA888" s="803"/>
      <c r="YB888" s="803"/>
      <c r="YC888" s="803"/>
      <c r="YD888" s="803"/>
      <c r="YE888" s="803"/>
      <c r="YF888" s="803"/>
      <c r="YG888" s="803"/>
      <c r="YH888" s="803"/>
      <c r="YI888" s="803"/>
      <c r="YJ888" s="803"/>
      <c r="YK888" s="803"/>
      <c r="YL888" s="803"/>
      <c r="YM888" s="803"/>
      <c r="YN888" s="803"/>
      <c r="YO888" s="803"/>
      <c r="YP888" s="803"/>
      <c r="YQ888" s="803"/>
      <c r="YR888" s="803"/>
      <c r="YS888" s="803"/>
      <c r="YT888" s="803"/>
      <c r="YU888" s="803"/>
      <c r="YV888" s="803"/>
      <c r="YW888" s="803"/>
      <c r="YX888" s="803"/>
      <c r="YY888" s="803"/>
      <c r="YZ888" s="803"/>
      <c r="ZA888" s="803"/>
      <c r="ZB888" s="803"/>
      <c r="ZC888" s="803"/>
      <c r="ZD888" s="803"/>
      <c r="ZE888" s="803"/>
      <c r="ZF888" s="803"/>
      <c r="ZG888" s="803"/>
      <c r="ZH888" s="803"/>
      <c r="ZI888" s="803"/>
      <c r="ZJ888" s="803"/>
      <c r="ZK888" s="803"/>
      <c r="ZL888" s="803"/>
      <c r="ZM888" s="803"/>
      <c r="ZN888" s="803"/>
      <c r="ZO888" s="803"/>
      <c r="ZP888" s="803"/>
      <c r="ZQ888" s="803"/>
      <c r="ZR888" s="803"/>
      <c r="ZS888" s="803"/>
      <c r="ZT888" s="803"/>
      <c r="ZU888" s="803"/>
      <c r="ZV888" s="803"/>
      <c r="ZW888" s="803"/>
      <c r="ZX888" s="803"/>
      <c r="ZY888" s="803"/>
      <c r="ZZ888" s="803"/>
      <c r="AAA888" s="803"/>
      <c r="AAB888" s="803"/>
      <c r="AAC888" s="803"/>
      <c r="AAD888" s="803"/>
      <c r="AAE888" s="803"/>
      <c r="AAF888" s="803"/>
      <c r="AAG888" s="803"/>
      <c r="AAH888" s="803"/>
      <c r="AAI888" s="803"/>
      <c r="AAJ888" s="803"/>
      <c r="AAK888" s="803"/>
      <c r="AAL888" s="803"/>
      <c r="AAM888" s="803"/>
      <c r="AAN888" s="803"/>
      <c r="AAO888" s="803"/>
      <c r="AAP888" s="803"/>
      <c r="AAQ888" s="803"/>
      <c r="AAR888" s="803"/>
      <c r="AAS888" s="803"/>
      <c r="AAT888" s="803"/>
      <c r="AAU888" s="803"/>
      <c r="AAV888" s="803"/>
      <c r="AAW888" s="803"/>
      <c r="AAX888" s="803"/>
      <c r="AAY888" s="803"/>
      <c r="AAZ888" s="803"/>
      <c r="ABA888" s="803"/>
      <c r="ABB888" s="803"/>
      <c r="ABC888" s="803"/>
      <c r="ABD888" s="803"/>
      <c r="ABE888" s="803"/>
      <c r="ABF888" s="803"/>
      <c r="ABG888" s="803"/>
      <c r="ABH888" s="803"/>
      <c r="ABI888" s="803"/>
      <c r="ABJ888" s="803"/>
      <c r="ABK888" s="803"/>
      <c r="ABL888" s="803"/>
      <c r="ABM888" s="803"/>
      <c r="ABN888" s="803"/>
      <c r="ABO888" s="803"/>
      <c r="ABP888" s="803"/>
      <c r="ABQ888" s="803"/>
      <c r="ABR888" s="803"/>
      <c r="ABS888" s="803"/>
      <c r="ABT888" s="803"/>
      <c r="ABU888" s="803"/>
      <c r="ABV888" s="803"/>
      <c r="ABW888" s="803"/>
      <c r="ABX888" s="803"/>
      <c r="ABY888" s="803"/>
      <c r="ABZ888" s="803"/>
      <c r="ACA888" s="803"/>
      <c r="ACB888" s="803"/>
      <c r="ACC888" s="803"/>
      <c r="ACD888" s="803"/>
      <c r="ACE888" s="803"/>
      <c r="ACF888" s="803"/>
      <c r="ACG888" s="803"/>
      <c r="ACH888" s="803"/>
      <c r="ACI888" s="803"/>
      <c r="ACJ888" s="803"/>
      <c r="ACK888" s="803"/>
      <c r="ACL888" s="803"/>
      <c r="ACM888" s="803"/>
      <c r="ACN888" s="803"/>
      <c r="ACO888" s="803"/>
      <c r="ACP888" s="803"/>
      <c r="ACQ888" s="803"/>
      <c r="ACR888" s="803"/>
      <c r="ACS888" s="803"/>
      <c r="ACT888" s="803"/>
      <c r="ACU888" s="803"/>
      <c r="ACV888" s="803"/>
      <c r="ACW888" s="803"/>
      <c r="ACX888" s="803"/>
      <c r="ACY888" s="803"/>
      <c r="ACZ888" s="803"/>
      <c r="ADA888" s="803"/>
      <c r="ADB888" s="803"/>
      <c r="ADC888" s="803"/>
      <c r="ADD888" s="803"/>
      <c r="ADE888" s="803"/>
      <c r="ADF888" s="803"/>
      <c r="ADG888" s="803"/>
      <c r="ADH888" s="803"/>
      <c r="ADI888" s="803"/>
      <c r="ADJ888" s="803"/>
      <c r="ADK888" s="803"/>
      <c r="ADL888" s="803"/>
      <c r="ADM888" s="803"/>
      <c r="ADN888" s="803"/>
      <c r="ADO888" s="803"/>
      <c r="ADP888" s="803"/>
      <c r="ADQ888" s="803"/>
      <c r="ADR888" s="803"/>
      <c r="ADS888" s="803"/>
      <c r="ADT888" s="803"/>
      <c r="ADU888" s="803"/>
      <c r="ADV888" s="803"/>
      <c r="ADW888" s="803"/>
      <c r="ADX888" s="803"/>
      <c r="ADY888" s="803"/>
      <c r="ADZ888" s="803"/>
      <c r="AEA888" s="803"/>
      <c r="AEB888" s="803"/>
      <c r="AEC888" s="803"/>
      <c r="AED888" s="803"/>
      <c r="AEE888" s="803"/>
      <c r="AEF888" s="803"/>
      <c r="AEG888" s="803"/>
      <c r="AEH888" s="803"/>
      <c r="AEI888" s="803"/>
      <c r="AEJ888" s="803"/>
      <c r="AEK888" s="803"/>
      <c r="AEL888" s="803"/>
      <c r="AEM888" s="803"/>
      <c r="AEN888" s="803"/>
      <c r="AEO888" s="803"/>
      <c r="AEP888" s="803"/>
      <c r="AEQ888" s="803"/>
      <c r="AER888" s="803"/>
      <c r="AES888" s="803"/>
      <c r="AET888" s="803"/>
      <c r="AEU888" s="803"/>
      <c r="AEV888" s="803"/>
      <c r="AEW888" s="803"/>
      <c r="AEX888" s="803"/>
      <c r="AEY888" s="803"/>
      <c r="AEZ888" s="803"/>
      <c r="AFA888" s="803"/>
      <c r="AFB888" s="803"/>
      <c r="AFC888" s="803"/>
      <c r="AFD888" s="803"/>
      <c r="AFE888" s="803"/>
      <c r="AFF888" s="803"/>
      <c r="AFG888" s="803"/>
      <c r="AFH888" s="803"/>
      <c r="AFI888" s="803"/>
      <c r="AFJ888" s="803"/>
      <c r="AFK888" s="803"/>
      <c r="AFL888" s="803"/>
      <c r="AFM888" s="803"/>
      <c r="AFN888" s="803"/>
      <c r="AFO888" s="803"/>
      <c r="AFP888" s="803"/>
      <c r="AFQ888" s="803"/>
      <c r="AFR888" s="803"/>
      <c r="AFS888" s="803"/>
      <c r="AFT888" s="803"/>
      <c r="AFU888" s="803"/>
      <c r="AFV888" s="803"/>
      <c r="AFW888" s="803"/>
      <c r="AFX888" s="803"/>
      <c r="AFY888" s="803"/>
      <c r="AFZ888" s="803"/>
      <c r="AGA888" s="803"/>
      <c r="AGB888" s="803"/>
      <c r="AGC888" s="803"/>
      <c r="AGD888" s="803"/>
      <c r="AGE888" s="803"/>
      <c r="AGF888" s="803"/>
      <c r="AGG888" s="803"/>
      <c r="AGH888" s="803"/>
      <c r="AGI888" s="803"/>
      <c r="AGJ888" s="803"/>
    </row>
    <row r="889" spans="1:868" s="7" customFormat="1">
      <c r="A889" s="59" t="s">
        <v>465</v>
      </c>
      <c r="B889" s="336" t="s">
        <v>467</v>
      </c>
      <c r="C889" s="34" t="s">
        <v>139</v>
      </c>
      <c r="D889" s="40" t="s">
        <v>99</v>
      </c>
      <c r="E889" s="237">
        <f>0.1*E883</f>
        <v>3.9400000000000004E-2</v>
      </c>
      <c r="F889" s="40">
        <v>2</v>
      </c>
      <c r="G889" s="34" t="s">
        <v>412</v>
      </c>
      <c r="H889" s="29">
        <v>1</v>
      </c>
      <c r="I889" s="9">
        <v>2</v>
      </c>
      <c r="J889" s="9">
        <v>2</v>
      </c>
      <c r="K889" s="9">
        <v>1</v>
      </c>
      <c r="L889" s="9">
        <v>1</v>
      </c>
      <c r="M889" s="9">
        <v>1</v>
      </c>
      <c r="N889" s="185">
        <f>IF( OR( ISBLANK(H889),ISBLANK(J889), ISBLANK(K889), ISBLANK(L889), ISBLANK(M889) ), "", 1.5*SQRT(   EXP(2.21*(H889-1)) + EXP(2.21*(J889-1)) + EXP(2.21*(K889-1)) + EXP(2.21*(L889-1)) + EXP(2.21*M889)   )/100*2.45 )</f>
        <v>0.16933510251023262</v>
      </c>
      <c r="O889" s="159">
        <f>IF( OR( ISBLANK(I889),ISBLANK(J889), ISBLANK(K889), ISBLANK(L889), ISBLANK(M889) ), "", 1.5*SQRT( EXP(2.21*(I889-1)) + EXP(2.21*(J889-1)) + EXP(2.21*(K889-1)) + EXP(2.21*(L889-1)) + EXP(2.21*M889)   )/100*2.45 )</f>
        <v>0.19908580854301616</v>
      </c>
      <c r="P889" s="34" t="s">
        <v>835</v>
      </c>
      <c r="Q889" s="803"/>
      <c r="R889" s="803"/>
      <c r="S889" s="803"/>
      <c r="T889" s="803"/>
      <c r="U889" s="803"/>
      <c r="V889" s="803"/>
      <c r="W889" s="803"/>
      <c r="X889" s="803"/>
      <c r="Y889" s="803"/>
      <c r="Z889" s="803"/>
      <c r="AA889" s="803"/>
      <c r="AB889" s="803"/>
      <c r="AC889" s="803"/>
      <c r="AD889" s="803"/>
      <c r="AE889" s="803"/>
      <c r="AF889" s="803"/>
      <c r="AG889" s="803"/>
      <c r="AH889" s="803"/>
      <c r="AI889" s="803"/>
      <c r="AJ889" s="803"/>
      <c r="AK889" s="803"/>
      <c r="AL889" s="803"/>
      <c r="AM889" s="803"/>
      <c r="AN889" s="803"/>
      <c r="AO889" s="803"/>
      <c r="AP889" s="803"/>
      <c r="AQ889" s="803"/>
      <c r="AR889" s="803"/>
      <c r="AS889" s="803"/>
      <c r="AT889" s="803"/>
      <c r="AU889" s="803"/>
      <c r="AV889" s="803"/>
      <c r="AW889" s="803"/>
      <c r="AX889" s="803"/>
      <c r="AY889" s="803"/>
      <c r="AZ889" s="803"/>
      <c r="BA889" s="803"/>
      <c r="BB889" s="803"/>
      <c r="BC889" s="803"/>
      <c r="BD889" s="803"/>
      <c r="BE889" s="803"/>
      <c r="BF889" s="803"/>
      <c r="BG889" s="803"/>
      <c r="BH889" s="803"/>
      <c r="BI889" s="803"/>
      <c r="BJ889" s="803"/>
      <c r="BK889" s="803"/>
      <c r="BL889" s="803"/>
      <c r="BM889" s="803"/>
      <c r="BN889" s="803"/>
      <c r="BO889" s="803"/>
      <c r="BP889" s="803"/>
      <c r="BQ889" s="803"/>
      <c r="BR889" s="803"/>
      <c r="BS889" s="803"/>
      <c r="BT889" s="803"/>
      <c r="BU889" s="803"/>
      <c r="BV889" s="803"/>
      <c r="BW889" s="803"/>
      <c r="BX889" s="803"/>
      <c r="BY889" s="803"/>
      <c r="BZ889" s="803"/>
      <c r="CA889" s="803"/>
      <c r="CB889" s="803"/>
      <c r="CC889" s="803"/>
      <c r="CD889" s="803"/>
      <c r="CE889" s="803"/>
      <c r="CF889" s="803"/>
      <c r="CG889" s="803"/>
      <c r="CH889" s="803"/>
      <c r="CI889" s="803"/>
      <c r="CJ889" s="803"/>
      <c r="CK889" s="803"/>
      <c r="CL889" s="803"/>
      <c r="CM889" s="803"/>
      <c r="CN889" s="803"/>
      <c r="CO889" s="803"/>
      <c r="CP889" s="803"/>
      <c r="CQ889" s="803"/>
      <c r="CR889" s="803"/>
      <c r="CS889" s="803"/>
      <c r="CT889" s="803"/>
      <c r="CU889" s="803"/>
      <c r="CV889" s="803"/>
      <c r="CW889" s="803"/>
      <c r="CX889" s="803"/>
      <c r="CY889" s="803"/>
      <c r="CZ889" s="803"/>
      <c r="DA889" s="803"/>
      <c r="DB889" s="803"/>
      <c r="DC889" s="803"/>
      <c r="DD889" s="803"/>
      <c r="DE889" s="803"/>
      <c r="DF889" s="803"/>
      <c r="DG889" s="803"/>
      <c r="DH889" s="803"/>
      <c r="DI889" s="803"/>
      <c r="DJ889" s="803"/>
      <c r="DK889" s="803"/>
      <c r="DL889" s="803"/>
      <c r="DM889" s="803"/>
      <c r="DN889" s="803"/>
      <c r="DO889" s="803"/>
      <c r="DP889" s="803"/>
      <c r="DQ889" s="803"/>
      <c r="DR889" s="803"/>
      <c r="DS889" s="803"/>
      <c r="DT889" s="803"/>
      <c r="DU889" s="803"/>
      <c r="DV889" s="803"/>
      <c r="DW889" s="803"/>
      <c r="DX889" s="803"/>
      <c r="DY889" s="803"/>
      <c r="DZ889" s="803"/>
      <c r="EA889" s="803"/>
      <c r="EB889" s="803"/>
      <c r="EC889" s="803"/>
      <c r="ED889" s="803"/>
      <c r="EE889" s="803"/>
      <c r="EF889" s="803"/>
      <c r="EG889" s="803"/>
      <c r="EH889" s="803"/>
      <c r="EI889" s="803"/>
      <c r="EJ889" s="803"/>
      <c r="EK889" s="803"/>
      <c r="EL889" s="803"/>
      <c r="EM889" s="803"/>
      <c r="EN889" s="803"/>
      <c r="EO889" s="803"/>
      <c r="EP889" s="803"/>
      <c r="EQ889" s="803"/>
      <c r="ER889" s="803"/>
      <c r="ES889" s="803"/>
      <c r="ET889" s="803"/>
      <c r="EU889" s="803"/>
      <c r="EV889" s="803"/>
      <c r="EW889" s="803"/>
      <c r="EX889" s="803"/>
      <c r="EY889" s="803"/>
      <c r="EZ889" s="803"/>
      <c r="FA889" s="803"/>
      <c r="FB889" s="803"/>
      <c r="FC889" s="803"/>
      <c r="FD889" s="803"/>
      <c r="FE889" s="803"/>
      <c r="FF889" s="803"/>
      <c r="FG889" s="803"/>
      <c r="FH889" s="803"/>
      <c r="FI889" s="803"/>
      <c r="FJ889" s="803"/>
      <c r="FK889" s="803"/>
      <c r="FL889" s="803"/>
      <c r="FM889" s="803"/>
      <c r="FN889" s="803"/>
      <c r="FO889" s="803"/>
      <c r="FP889" s="803"/>
      <c r="FQ889" s="803"/>
      <c r="FR889" s="803"/>
      <c r="FS889" s="803"/>
      <c r="FT889" s="803"/>
      <c r="FU889" s="803"/>
      <c r="FV889" s="803"/>
      <c r="FW889" s="803"/>
      <c r="FX889" s="803"/>
      <c r="FY889" s="803"/>
      <c r="FZ889" s="803"/>
      <c r="GA889" s="803"/>
      <c r="GB889" s="803"/>
      <c r="GC889" s="803"/>
      <c r="GD889" s="803"/>
      <c r="GE889" s="803"/>
      <c r="GF889" s="803"/>
      <c r="GG889" s="803"/>
      <c r="GH889" s="803"/>
      <c r="GI889" s="803"/>
      <c r="GJ889" s="803"/>
      <c r="GK889" s="803"/>
      <c r="GL889" s="803"/>
      <c r="GM889" s="803"/>
      <c r="GN889" s="803"/>
      <c r="GO889" s="803"/>
      <c r="GP889" s="803"/>
      <c r="GQ889" s="803"/>
      <c r="GR889" s="803"/>
      <c r="GS889" s="803"/>
      <c r="GT889" s="803"/>
      <c r="GU889" s="803"/>
      <c r="GV889" s="803"/>
      <c r="GW889" s="803"/>
      <c r="GX889" s="803"/>
      <c r="GY889" s="803"/>
      <c r="GZ889" s="803"/>
      <c r="HA889" s="803"/>
      <c r="HB889" s="803"/>
      <c r="HC889" s="803"/>
      <c r="HD889" s="803"/>
      <c r="HE889" s="803"/>
      <c r="HF889" s="803"/>
      <c r="HG889" s="803"/>
      <c r="HH889" s="803"/>
      <c r="HI889" s="803"/>
      <c r="HJ889" s="803"/>
      <c r="HK889" s="803"/>
      <c r="HL889" s="803"/>
      <c r="HM889" s="803"/>
      <c r="HN889" s="803"/>
      <c r="HO889" s="803"/>
      <c r="HP889" s="803"/>
      <c r="HQ889" s="803"/>
      <c r="HR889" s="803"/>
      <c r="HS889" s="803"/>
      <c r="HT889" s="803"/>
      <c r="HU889" s="803"/>
      <c r="HV889" s="803"/>
      <c r="HW889" s="803"/>
      <c r="HX889" s="803"/>
      <c r="HY889" s="803"/>
      <c r="HZ889" s="803"/>
      <c r="IA889" s="803"/>
      <c r="IB889" s="803"/>
      <c r="IC889" s="803"/>
      <c r="ID889" s="803"/>
      <c r="IE889" s="803"/>
      <c r="IF889" s="803"/>
      <c r="IG889" s="803"/>
      <c r="IH889" s="803"/>
      <c r="II889" s="803"/>
      <c r="IJ889" s="803"/>
      <c r="IK889" s="803"/>
      <c r="IL889" s="803"/>
      <c r="IM889" s="803"/>
      <c r="IN889" s="803"/>
      <c r="IO889" s="803"/>
      <c r="IP889" s="803"/>
      <c r="IQ889" s="803"/>
      <c r="IR889" s="803"/>
      <c r="IS889" s="803"/>
      <c r="IT889" s="803"/>
      <c r="IU889" s="803"/>
      <c r="IV889" s="803"/>
      <c r="IW889" s="803"/>
      <c r="IX889" s="803"/>
      <c r="IY889" s="803"/>
      <c r="IZ889" s="803"/>
      <c r="JA889" s="803"/>
      <c r="JB889" s="803"/>
      <c r="JC889" s="803"/>
      <c r="JD889" s="803"/>
      <c r="JE889" s="803"/>
      <c r="JF889" s="803"/>
      <c r="JG889" s="803"/>
      <c r="JH889" s="803"/>
      <c r="JI889" s="803"/>
      <c r="JJ889" s="803"/>
      <c r="JK889" s="803"/>
      <c r="JL889" s="803"/>
      <c r="JM889" s="803"/>
      <c r="JN889" s="803"/>
      <c r="JO889" s="803"/>
      <c r="JP889" s="803"/>
      <c r="JQ889" s="803"/>
      <c r="JR889" s="803"/>
      <c r="JS889" s="803"/>
      <c r="JT889" s="803"/>
      <c r="JU889" s="803"/>
      <c r="JV889" s="803"/>
      <c r="JW889" s="803"/>
      <c r="JX889" s="803"/>
      <c r="JY889" s="803"/>
      <c r="JZ889" s="803"/>
      <c r="KA889" s="803"/>
      <c r="KB889" s="803"/>
      <c r="KC889" s="803"/>
      <c r="KD889" s="803"/>
      <c r="KE889" s="803"/>
      <c r="KF889" s="803"/>
      <c r="KG889" s="803"/>
      <c r="KH889" s="803"/>
      <c r="KI889" s="803"/>
      <c r="KJ889" s="803"/>
      <c r="KK889" s="803"/>
      <c r="KL889" s="803"/>
      <c r="KM889" s="803"/>
      <c r="KN889" s="803"/>
      <c r="KO889" s="803"/>
      <c r="KP889" s="803"/>
      <c r="KQ889" s="803"/>
      <c r="KR889" s="803"/>
      <c r="KS889" s="803"/>
      <c r="KT889" s="803"/>
      <c r="KU889" s="803"/>
      <c r="KV889" s="803"/>
      <c r="KW889" s="803"/>
      <c r="KX889" s="803"/>
      <c r="KY889" s="803"/>
      <c r="KZ889" s="803"/>
      <c r="LA889" s="803"/>
      <c r="LB889" s="803"/>
      <c r="LC889" s="803"/>
      <c r="LD889" s="803"/>
      <c r="LE889" s="803"/>
      <c r="LF889" s="803"/>
      <c r="LG889" s="803"/>
      <c r="LH889" s="803"/>
      <c r="LI889" s="803"/>
      <c r="LJ889" s="803"/>
      <c r="LK889" s="803"/>
      <c r="LL889" s="803"/>
      <c r="LM889" s="803"/>
      <c r="LN889" s="803"/>
      <c r="LO889" s="803"/>
      <c r="LP889" s="803"/>
      <c r="LQ889" s="803"/>
      <c r="LR889" s="803"/>
      <c r="LS889" s="803"/>
      <c r="LT889" s="803"/>
      <c r="LU889" s="803"/>
      <c r="LV889" s="803"/>
      <c r="LW889" s="803"/>
      <c r="LX889" s="803"/>
      <c r="LY889" s="803"/>
      <c r="LZ889" s="803"/>
      <c r="MA889" s="803"/>
      <c r="MB889" s="803"/>
      <c r="MC889" s="803"/>
      <c r="MD889" s="803"/>
      <c r="ME889" s="803"/>
      <c r="MF889" s="803"/>
      <c r="MG889" s="803"/>
      <c r="MH889" s="803"/>
      <c r="MI889" s="803"/>
      <c r="MJ889" s="803"/>
      <c r="MK889" s="803"/>
      <c r="ML889" s="803"/>
      <c r="MM889" s="803"/>
      <c r="MN889" s="803"/>
      <c r="MO889" s="803"/>
      <c r="MP889" s="803"/>
      <c r="MQ889" s="803"/>
      <c r="MR889" s="803"/>
      <c r="MS889" s="803"/>
      <c r="MT889" s="803"/>
      <c r="MU889" s="803"/>
      <c r="MV889" s="803"/>
      <c r="MW889" s="803"/>
      <c r="MX889" s="803"/>
      <c r="MY889" s="803"/>
      <c r="MZ889" s="803"/>
      <c r="NA889" s="803"/>
      <c r="NB889" s="803"/>
      <c r="NC889" s="803"/>
      <c r="ND889" s="803"/>
      <c r="NE889" s="803"/>
      <c r="NF889" s="803"/>
      <c r="NG889" s="803"/>
      <c r="NH889" s="803"/>
      <c r="NI889" s="803"/>
      <c r="NJ889" s="803"/>
      <c r="NK889" s="803"/>
      <c r="NL889" s="803"/>
      <c r="NM889" s="803"/>
      <c r="NN889" s="803"/>
      <c r="NO889" s="803"/>
      <c r="NP889" s="803"/>
      <c r="NQ889" s="803"/>
      <c r="NR889" s="803"/>
      <c r="NS889" s="803"/>
      <c r="NT889" s="803"/>
      <c r="NU889" s="803"/>
      <c r="NV889" s="803"/>
      <c r="NW889" s="803"/>
      <c r="NX889" s="803"/>
      <c r="NY889" s="803"/>
      <c r="NZ889" s="803"/>
      <c r="OA889" s="803"/>
      <c r="OB889" s="803"/>
      <c r="OC889" s="803"/>
      <c r="OD889" s="803"/>
      <c r="OE889" s="803"/>
      <c r="OF889" s="803"/>
      <c r="OG889" s="803"/>
      <c r="OH889" s="803"/>
      <c r="OI889" s="803"/>
      <c r="OJ889" s="803"/>
      <c r="OK889" s="803"/>
      <c r="OL889" s="803"/>
      <c r="OM889" s="803"/>
      <c r="ON889" s="803"/>
      <c r="OO889" s="803"/>
      <c r="OP889" s="803"/>
      <c r="OQ889" s="803"/>
      <c r="OR889" s="803"/>
      <c r="OS889" s="803"/>
      <c r="OT889" s="803"/>
      <c r="OU889" s="803"/>
      <c r="OV889" s="803"/>
      <c r="OW889" s="803"/>
      <c r="OX889" s="803"/>
      <c r="OY889" s="803"/>
      <c r="OZ889" s="803"/>
      <c r="PA889" s="803"/>
      <c r="PB889" s="803"/>
      <c r="PC889" s="803"/>
      <c r="PD889" s="803"/>
      <c r="PE889" s="803"/>
      <c r="PF889" s="803"/>
      <c r="PG889" s="803"/>
      <c r="PH889" s="803"/>
      <c r="PI889" s="803"/>
      <c r="PJ889" s="803"/>
      <c r="PK889" s="803"/>
      <c r="PL889" s="803"/>
      <c r="PM889" s="803"/>
      <c r="PN889" s="803"/>
      <c r="PO889" s="803"/>
      <c r="PP889" s="803"/>
      <c r="PQ889" s="803"/>
      <c r="PR889" s="803"/>
      <c r="PS889" s="803"/>
      <c r="PT889" s="803"/>
      <c r="PU889" s="803"/>
      <c r="PV889" s="803"/>
      <c r="PW889" s="803"/>
      <c r="PX889" s="803"/>
      <c r="PY889" s="803"/>
      <c r="PZ889" s="803"/>
      <c r="QA889" s="803"/>
      <c r="QB889" s="803"/>
      <c r="QC889" s="803"/>
      <c r="QD889" s="803"/>
      <c r="QE889" s="803"/>
      <c r="QF889" s="803"/>
      <c r="QG889" s="803"/>
      <c r="QH889" s="803"/>
      <c r="QI889" s="803"/>
      <c r="QJ889" s="803"/>
      <c r="QK889" s="803"/>
      <c r="QL889" s="803"/>
      <c r="QM889" s="803"/>
      <c r="QN889" s="803"/>
      <c r="QO889" s="803"/>
      <c r="QP889" s="803"/>
      <c r="QQ889" s="803"/>
      <c r="QR889" s="803"/>
      <c r="QS889" s="803"/>
      <c r="QT889" s="803"/>
      <c r="QU889" s="803"/>
      <c r="QV889" s="803"/>
      <c r="QW889" s="803"/>
      <c r="QX889" s="803"/>
      <c r="QY889" s="803"/>
      <c r="QZ889" s="803"/>
      <c r="RA889" s="803"/>
      <c r="RB889" s="803"/>
      <c r="RC889" s="803"/>
      <c r="RD889" s="803"/>
      <c r="RE889" s="803"/>
      <c r="RF889" s="803"/>
      <c r="RG889" s="803"/>
      <c r="RH889" s="803"/>
      <c r="RI889" s="803"/>
      <c r="RJ889" s="803"/>
      <c r="RK889" s="803"/>
      <c r="RL889" s="803"/>
      <c r="RM889" s="803"/>
      <c r="RN889" s="803"/>
      <c r="RO889" s="803"/>
      <c r="RP889" s="803"/>
      <c r="RQ889" s="803"/>
      <c r="RR889" s="803"/>
      <c r="RS889" s="803"/>
      <c r="RT889" s="803"/>
      <c r="RU889" s="803"/>
      <c r="RV889" s="803"/>
      <c r="RW889" s="803"/>
      <c r="RX889" s="803"/>
      <c r="RY889" s="803"/>
      <c r="RZ889" s="803"/>
      <c r="SA889" s="803"/>
      <c r="SB889" s="803"/>
      <c r="SC889" s="803"/>
      <c r="SD889" s="803"/>
      <c r="SE889" s="803"/>
      <c r="SF889" s="803"/>
      <c r="SG889" s="803"/>
      <c r="SH889" s="803"/>
      <c r="SI889" s="803"/>
      <c r="SJ889" s="803"/>
      <c r="SK889" s="803"/>
      <c r="SL889" s="803"/>
      <c r="SM889" s="803"/>
      <c r="SN889" s="803"/>
      <c r="SO889" s="803"/>
      <c r="SP889" s="803"/>
      <c r="SQ889" s="803"/>
      <c r="SR889" s="803"/>
      <c r="SS889" s="803"/>
      <c r="ST889" s="803"/>
      <c r="SU889" s="803"/>
      <c r="SV889" s="803"/>
      <c r="SW889" s="803"/>
      <c r="SX889" s="803"/>
      <c r="SY889" s="803"/>
      <c r="SZ889" s="803"/>
      <c r="TA889" s="803"/>
      <c r="TB889" s="803"/>
      <c r="TC889" s="803"/>
      <c r="TD889" s="803"/>
      <c r="TE889" s="803"/>
      <c r="TF889" s="803"/>
      <c r="TG889" s="803"/>
      <c r="TH889" s="803"/>
      <c r="TI889" s="803"/>
      <c r="TJ889" s="803"/>
      <c r="TK889" s="803"/>
      <c r="TL889" s="803"/>
      <c r="TM889" s="803"/>
      <c r="TN889" s="803"/>
      <c r="TO889" s="803"/>
      <c r="TP889" s="803"/>
      <c r="TQ889" s="803"/>
      <c r="TR889" s="803"/>
      <c r="TS889" s="803"/>
      <c r="TT889" s="803"/>
      <c r="TU889" s="803"/>
      <c r="TV889" s="803"/>
      <c r="TW889" s="803"/>
      <c r="TX889" s="803"/>
      <c r="TY889" s="803"/>
      <c r="TZ889" s="803"/>
      <c r="UA889" s="803"/>
      <c r="UB889" s="803"/>
      <c r="UC889" s="803"/>
      <c r="UD889" s="803"/>
      <c r="UE889" s="803"/>
      <c r="UF889" s="803"/>
      <c r="UG889" s="803"/>
      <c r="UH889" s="803"/>
      <c r="UI889" s="803"/>
      <c r="UJ889" s="803"/>
      <c r="UK889" s="803"/>
      <c r="UL889" s="803"/>
      <c r="UM889" s="803"/>
      <c r="UN889" s="803"/>
      <c r="UO889" s="803"/>
      <c r="UP889" s="803"/>
      <c r="UQ889" s="803"/>
      <c r="UR889" s="803"/>
      <c r="US889" s="803"/>
      <c r="UT889" s="803"/>
      <c r="UU889" s="803"/>
      <c r="UV889" s="803"/>
      <c r="UW889" s="803"/>
      <c r="UX889" s="803"/>
      <c r="UY889" s="803"/>
      <c r="UZ889" s="803"/>
      <c r="VA889" s="803"/>
      <c r="VB889" s="803"/>
      <c r="VC889" s="803"/>
      <c r="VD889" s="803"/>
      <c r="VE889" s="803"/>
      <c r="VF889" s="803"/>
      <c r="VG889" s="803"/>
      <c r="VH889" s="803"/>
      <c r="VI889" s="803"/>
      <c r="VJ889" s="803"/>
      <c r="VK889" s="803"/>
      <c r="VL889" s="803"/>
      <c r="VM889" s="803"/>
      <c r="VN889" s="803"/>
      <c r="VO889" s="803"/>
      <c r="VP889" s="803"/>
      <c r="VQ889" s="803"/>
      <c r="VR889" s="803"/>
      <c r="VS889" s="803"/>
      <c r="VT889" s="803"/>
      <c r="VU889" s="803"/>
      <c r="VV889" s="803"/>
      <c r="VW889" s="803"/>
      <c r="VX889" s="803"/>
      <c r="VY889" s="803"/>
      <c r="VZ889" s="803"/>
      <c r="WA889" s="803"/>
      <c r="WB889" s="803"/>
      <c r="WC889" s="803"/>
      <c r="WD889" s="803"/>
      <c r="WE889" s="803"/>
      <c r="WF889" s="803"/>
      <c r="WG889" s="803"/>
      <c r="WH889" s="803"/>
      <c r="WI889" s="803"/>
      <c r="WJ889" s="803"/>
      <c r="WK889" s="803"/>
      <c r="WL889" s="803"/>
      <c r="WM889" s="803"/>
      <c r="WN889" s="803"/>
      <c r="WO889" s="803"/>
      <c r="WP889" s="803"/>
      <c r="WQ889" s="803"/>
      <c r="WR889" s="803"/>
      <c r="WS889" s="803"/>
      <c r="WT889" s="803"/>
      <c r="WU889" s="803"/>
      <c r="WV889" s="803"/>
      <c r="WW889" s="803"/>
      <c r="WX889" s="803"/>
      <c r="WY889" s="803"/>
      <c r="WZ889" s="803"/>
      <c r="XA889" s="803"/>
      <c r="XB889" s="803"/>
      <c r="XC889" s="803"/>
      <c r="XD889" s="803"/>
      <c r="XE889" s="803"/>
      <c r="XF889" s="803"/>
      <c r="XG889" s="803"/>
      <c r="XH889" s="803"/>
      <c r="XI889" s="803"/>
      <c r="XJ889" s="803"/>
      <c r="XK889" s="803"/>
      <c r="XL889" s="803"/>
      <c r="XM889" s="803"/>
      <c r="XN889" s="803"/>
      <c r="XO889" s="803"/>
      <c r="XP889" s="803"/>
      <c r="XQ889" s="803"/>
      <c r="XR889" s="803"/>
      <c r="XS889" s="803"/>
      <c r="XT889" s="803"/>
      <c r="XU889" s="803"/>
      <c r="XV889" s="803"/>
      <c r="XW889" s="803"/>
      <c r="XX889" s="803"/>
      <c r="XY889" s="803"/>
      <c r="XZ889" s="803"/>
      <c r="YA889" s="803"/>
      <c r="YB889" s="803"/>
      <c r="YC889" s="803"/>
      <c r="YD889" s="803"/>
      <c r="YE889" s="803"/>
      <c r="YF889" s="803"/>
      <c r="YG889" s="803"/>
      <c r="YH889" s="803"/>
      <c r="YI889" s="803"/>
      <c r="YJ889" s="803"/>
      <c r="YK889" s="803"/>
      <c r="YL889" s="803"/>
      <c r="YM889" s="803"/>
      <c r="YN889" s="803"/>
      <c r="YO889" s="803"/>
      <c r="YP889" s="803"/>
      <c r="YQ889" s="803"/>
      <c r="YR889" s="803"/>
      <c r="YS889" s="803"/>
      <c r="YT889" s="803"/>
      <c r="YU889" s="803"/>
      <c r="YV889" s="803"/>
      <c r="YW889" s="803"/>
      <c r="YX889" s="803"/>
      <c r="YY889" s="803"/>
      <c r="YZ889" s="803"/>
      <c r="ZA889" s="803"/>
      <c r="ZB889" s="803"/>
      <c r="ZC889" s="803"/>
      <c r="ZD889" s="803"/>
      <c r="ZE889" s="803"/>
      <c r="ZF889" s="803"/>
      <c r="ZG889" s="803"/>
      <c r="ZH889" s="803"/>
      <c r="ZI889" s="803"/>
      <c r="ZJ889" s="803"/>
      <c r="ZK889" s="803"/>
      <c r="ZL889" s="803"/>
      <c r="ZM889" s="803"/>
      <c r="ZN889" s="803"/>
      <c r="ZO889" s="803"/>
      <c r="ZP889" s="803"/>
      <c r="ZQ889" s="803"/>
      <c r="ZR889" s="803"/>
      <c r="ZS889" s="803"/>
      <c r="ZT889" s="803"/>
      <c r="ZU889" s="803"/>
      <c r="ZV889" s="803"/>
      <c r="ZW889" s="803"/>
      <c r="ZX889" s="803"/>
      <c r="ZY889" s="803"/>
      <c r="ZZ889" s="803"/>
      <c r="AAA889" s="803"/>
      <c r="AAB889" s="803"/>
      <c r="AAC889" s="803"/>
      <c r="AAD889" s="803"/>
      <c r="AAE889" s="803"/>
      <c r="AAF889" s="803"/>
      <c r="AAG889" s="803"/>
      <c r="AAH889" s="803"/>
      <c r="AAI889" s="803"/>
      <c r="AAJ889" s="803"/>
      <c r="AAK889" s="803"/>
      <c r="AAL889" s="803"/>
      <c r="AAM889" s="803"/>
      <c r="AAN889" s="803"/>
      <c r="AAO889" s="803"/>
      <c r="AAP889" s="803"/>
      <c r="AAQ889" s="803"/>
      <c r="AAR889" s="803"/>
      <c r="AAS889" s="803"/>
      <c r="AAT889" s="803"/>
      <c r="AAU889" s="803"/>
      <c r="AAV889" s="803"/>
      <c r="AAW889" s="803"/>
      <c r="AAX889" s="803"/>
      <c r="AAY889" s="803"/>
      <c r="AAZ889" s="803"/>
      <c r="ABA889" s="803"/>
      <c r="ABB889" s="803"/>
      <c r="ABC889" s="803"/>
      <c r="ABD889" s="803"/>
      <c r="ABE889" s="803"/>
      <c r="ABF889" s="803"/>
      <c r="ABG889" s="803"/>
      <c r="ABH889" s="803"/>
      <c r="ABI889" s="803"/>
      <c r="ABJ889" s="803"/>
      <c r="ABK889" s="803"/>
      <c r="ABL889" s="803"/>
      <c r="ABM889" s="803"/>
      <c r="ABN889" s="803"/>
      <c r="ABO889" s="803"/>
      <c r="ABP889" s="803"/>
      <c r="ABQ889" s="803"/>
      <c r="ABR889" s="803"/>
      <c r="ABS889" s="803"/>
      <c r="ABT889" s="803"/>
      <c r="ABU889" s="803"/>
      <c r="ABV889" s="803"/>
      <c r="ABW889" s="803"/>
      <c r="ABX889" s="803"/>
      <c r="ABY889" s="803"/>
      <c r="ABZ889" s="803"/>
      <c r="ACA889" s="803"/>
      <c r="ACB889" s="803"/>
      <c r="ACC889" s="803"/>
      <c r="ACD889" s="803"/>
      <c r="ACE889" s="803"/>
      <c r="ACF889" s="803"/>
      <c r="ACG889" s="803"/>
      <c r="ACH889" s="803"/>
      <c r="ACI889" s="803"/>
      <c r="ACJ889" s="803"/>
      <c r="ACK889" s="803"/>
      <c r="ACL889" s="803"/>
      <c r="ACM889" s="803"/>
      <c r="ACN889" s="803"/>
      <c r="ACO889" s="803"/>
      <c r="ACP889" s="803"/>
      <c r="ACQ889" s="803"/>
      <c r="ACR889" s="803"/>
      <c r="ACS889" s="803"/>
      <c r="ACT889" s="803"/>
      <c r="ACU889" s="803"/>
      <c r="ACV889" s="803"/>
      <c r="ACW889" s="803"/>
      <c r="ACX889" s="803"/>
      <c r="ACY889" s="803"/>
      <c r="ACZ889" s="803"/>
      <c r="ADA889" s="803"/>
      <c r="ADB889" s="803"/>
      <c r="ADC889" s="803"/>
      <c r="ADD889" s="803"/>
      <c r="ADE889" s="803"/>
      <c r="ADF889" s="803"/>
      <c r="ADG889" s="803"/>
      <c r="ADH889" s="803"/>
      <c r="ADI889" s="803"/>
      <c r="ADJ889" s="803"/>
      <c r="ADK889" s="803"/>
      <c r="ADL889" s="803"/>
      <c r="ADM889" s="803"/>
      <c r="ADN889" s="803"/>
      <c r="ADO889" s="803"/>
      <c r="ADP889" s="803"/>
      <c r="ADQ889" s="803"/>
      <c r="ADR889" s="803"/>
      <c r="ADS889" s="803"/>
      <c r="ADT889" s="803"/>
      <c r="ADU889" s="803"/>
      <c r="ADV889" s="803"/>
      <c r="ADW889" s="803"/>
      <c r="ADX889" s="803"/>
      <c r="ADY889" s="803"/>
      <c r="ADZ889" s="803"/>
      <c r="AEA889" s="803"/>
      <c r="AEB889" s="803"/>
      <c r="AEC889" s="803"/>
      <c r="AED889" s="803"/>
      <c r="AEE889" s="803"/>
      <c r="AEF889" s="803"/>
      <c r="AEG889" s="803"/>
      <c r="AEH889" s="803"/>
      <c r="AEI889" s="803"/>
      <c r="AEJ889" s="803"/>
      <c r="AEK889" s="803"/>
      <c r="AEL889" s="803"/>
      <c r="AEM889" s="803"/>
      <c r="AEN889" s="803"/>
      <c r="AEO889" s="803"/>
      <c r="AEP889" s="803"/>
      <c r="AEQ889" s="803"/>
      <c r="AER889" s="803"/>
      <c r="AES889" s="803"/>
      <c r="AET889" s="803"/>
      <c r="AEU889" s="803"/>
      <c r="AEV889" s="803"/>
      <c r="AEW889" s="803"/>
      <c r="AEX889" s="803"/>
      <c r="AEY889" s="803"/>
      <c r="AEZ889" s="803"/>
      <c r="AFA889" s="803"/>
      <c r="AFB889" s="803"/>
      <c r="AFC889" s="803"/>
      <c r="AFD889" s="803"/>
      <c r="AFE889" s="803"/>
      <c r="AFF889" s="803"/>
      <c r="AFG889" s="803"/>
      <c r="AFH889" s="803"/>
      <c r="AFI889" s="803"/>
      <c r="AFJ889" s="803"/>
      <c r="AFK889" s="803"/>
      <c r="AFL889" s="803"/>
      <c r="AFM889" s="803"/>
      <c r="AFN889" s="803"/>
      <c r="AFO889" s="803"/>
      <c r="AFP889" s="803"/>
      <c r="AFQ889" s="803"/>
      <c r="AFR889" s="803"/>
      <c r="AFS889" s="803"/>
      <c r="AFT889" s="803"/>
      <c r="AFU889" s="803"/>
      <c r="AFV889" s="803"/>
      <c r="AFW889" s="803"/>
      <c r="AFX889" s="803"/>
      <c r="AFY889" s="803"/>
      <c r="AFZ889" s="803"/>
      <c r="AGA889" s="803"/>
      <c r="AGB889" s="803"/>
      <c r="AGC889" s="803"/>
      <c r="AGD889" s="803"/>
      <c r="AGE889" s="803"/>
      <c r="AGF889" s="803"/>
      <c r="AGG889" s="803"/>
      <c r="AGH889" s="803"/>
      <c r="AGI889" s="803"/>
      <c r="AGJ889" s="803"/>
    </row>
    <row r="890" spans="1:868" s="7" customFormat="1">
      <c r="A890" s="59" t="s">
        <v>465</v>
      </c>
      <c r="B890" s="336" t="s">
        <v>456</v>
      </c>
      <c r="C890" s="34" t="s">
        <v>139</v>
      </c>
      <c r="D890" s="40" t="s">
        <v>99</v>
      </c>
      <c r="E890" s="237" t="s">
        <v>150</v>
      </c>
      <c r="F890" s="40">
        <v>1</v>
      </c>
      <c r="G890" s="34" t="s">
        <v>412</v>
      </c>
      <c r="H890" s="29"/>
      <c r="I890" s="9"/>
      <c r="J890" s="9"/>
      <c r="K890" s="9"/>
      <c r="L890" s="9"/>
      <c r="M890" s="9"/>
      <c r="N890" s="185" t="str">
        <f>IF( OR( ISBLANK(H890),ISBLANK(J890), ISBLANK(K890), ISBLANK(L890), ISBLANK(M890) ), "", 1.5*SQRT(   EXP(2.21*(H890-1)) + EXP(2.21*(J890-1)) + EXP(2.21*(K890-1)) + EXP(2.21*(L890-1)) + EXP(2.21*M890)   )/100*2.45 )</f>
        <v/>
      </c>
      <c r="O890" s="159" t="str">
        <f>IF( OR( ISBLANK(I890),ISBLANK(J890), ISBLANK(K890), ISBLANK(L890), ISBLANK(M890) ), "", 1.5*SQRT( EXP(2.21*(I890-1)) + EXP(2.21*(J890-1)) + EXP(2.21*(K890-1)) + EXP(2.21*(L890-1)) + EXP(2.21*M890)   )/100*2.45 )</f>
        <v/>
      </c>
      <c r="P890" s="34" t="s">
        <v>1927</v>
      </c>
      <c r="Q890" s="803"/>
      <c r="R890" s="803"/>
      <c r="S890" s="803"/>
      <c r="T890" s="803"/>
      <c r="U890" s="803"/>
      <c r="V890" s="803"/>
      <c r="W890" s="803"/>
      <c r="X890" s="803"/>
      <c r="Y890" s="803"/>
      <c r="Z890" s="803"/>
      <c r="AA890" s="803"/>
      <c r="AB890" s="803"/>
      <c r="AC890" s="803"/>
      <c r="AD890" s="803"/>
      <c r="AE890" s="803"/>
      <c r="AF890" s="803"/>
      <c r="AG890" s="803"/>
      <c r="AH890" s="803"/>
      <c r="AI890" s="803"/>
      <c r="AJ890" s="803"/>
      <c r="AK890" s="803"/>
      <c r="AL890" s="803"/>
      <c r="AM890" s="803"/>
      <c r="AN890" s="803"/>
      <c r="AO890" s="803"/>
      <c r="AP890" s="803"/>
      <c r="AQ890" s="803"/>
      <c r="AR890" s="803"/>
      <c r="AS890" s="803"/>
      <c r="AT890" s="803"/>
      <c r="AU890" s="803"/>
      <c r="AV890" s="803"/>
      <c r="AW890" s="803"/>
      <c r="AX890" s="803"/>
      <c r="AY890" s="803"/>
      <c r="AZ890" s="803"/>
      <c r="BA890" s="803"/>
      <c r="BB890" s="803"/>
      <c r="BC890" s="803"/>
      <c r="BD890" s="803"/>
      <c r="BE890" s="803"/>
      <c r="BF890" s="803"/>
      <c r="BG890" s="803"/>
      <c r="BH890" s="803"/>
      <c r="BI890" s="803"/>
      <c r="BJ890" s="803"/>
      <c r="BK890" s="803"/>
      <c r="BL890" s="803"/>
      <c r="BM890" s="803"/>
      <c r="BN890" s="803"/>
      <c r="BO890" s="803"/>
      <c r="BP890" s="803"/>
      <c r="BQ890" s="803"/>
      <c r="BR890" s="803"/>
      <c r="BS890" s="803"/>
      <c r="BT890" s="803"/>
      <c r="BU890" s="803"/>
      <c r="BV890" s="803"/>
      <c r="BW890" s="803"/>
      <c r="BX890" s="803"/>
      <c r="BY890" s="803"/>
      <c r="BZ890" s="803"/>
      <c r="CA890" s="803"/>
      <c r="CB890" s="803"/>
      <c r="CC890" s="803"/>
      <c r="CD890" s="803"/>
      <c r="CE890" s="803"/>
      <c r="CF890" s="803"/>
      <c r="CG890" s="803"/>
      <c r="CH890" s="803"/>
      <c r="CI890" s="803"/>
      <c r="CJ890" s="803"/>
      <c r="CK890" s="803"/>
      <c r="CL890" s="803"/>
      <c r="CM890" s="803"/>
      <c r="CN890" s="803"/>
      <c r="CO890" s="803"/>
      <c r="CP890" s="803"/>
      <c r="CQ890" s="803"/>
      <c r="CR890" s="803"/>
      <c r="CS890" s="803"/>
      <c r="CT890" s="803"/>
      <c r="CU890" s="803"/>
      <c r="CV890" s="803"/>
      <c r="CW890" s="803"/>
      <c r="CX890" s="803"/>
      <c r="CY890" s="803"/>
      <c r="CZ890" s="803"/>
      <c r="DA890" s="803"/>
      <c r="DB890" s="803"/>
      <c r="DC890" s="803"/>
      <c r="DD890" s="803"/>
      <c r="DE890" s="803"/>
      <c r="DF890" s="803"/>
      <c r="DG890" s="803"/>
      <c r="DH890" s="803"/>
      <c r="DI890" s="803"/>
      <c r="DJ890" s="803"/>
      <c r="DK890" s="803"/>
      <c r="DL890" s="803"/>
      <c r="DM890" s="803"/>
      <c r="DN890" s="803"/>
      <c r="DO890" s="803"/>
      <c r="DP890" s="803"/>
      <c r="DQ890" s="803"/>
      <c r="DR890" s="803"/>
      <c r="DS890" s="803"/>
      <c r="DT890" s="803"/>
      <c r="DU890" s="803"/>
      <c r="DV890" s="803"/>
      <c r="DW890" s="803"/>
      <c r="DX890" s="803"/>
      <c r="DY890" s="803"/>
      <c r="DZ890" s="803"/>
      <c r="EA890" s="803"/>
      <c r="EB890" s="803"/>
      <c r="EC890" s="803"/>
      <c r="ED890" s="803"/>
      <c r="EE890" s="803"/>
      <c r="EF890" s="803"/>
      <c r="EG890" s="803"/>
      <c r="EH890" s="803"/>
      <c r="EI890" s="803"/>
      <c r="EJ890" s="803"/>
      <c r="EK890" s="803"/>
      <c r="EL890" s="803"/>
      <c r="EM890" s="803"/>
      <c r="EN890" s="803"/>
      <c r="EO890" s="803"/>
      <c r="EP890" s="803"/>
      <c r="EQ890" s="803"/>
      <c r="ER890" s="803"/>
      <c r="ES890" s="803"/>
      <c r="ET890" s="803"/>
      <c r="EU890" s="803"/>
      <c r="EV890" s="803"/>
      <c r="EW890" s="803"/>
      <c r="EX890" s="803"/>
      <c r="EY890" s="803"/>
      <c r="EZ890" s="803"/>
      <c r="FA890" s="803"/>
      <c r="FB890" s="803"/>
      <c r="FC890" s="803"/>
      <c r="FD890" s="803"/>
      <c r="FE890" s="803"/>
      <c r="FF890" s="803"/>
      <c r="FG890" s="803"/>
      <c r="FH890" s="803"/>
      <c r="FI890" s="803"/>
      <c r="FJ890" s="803"/>
      <c r="FK890" s="803"/>
      <c r="FL890" s="803"/>
      <c r="FM890" s="803"/>
      <c r="FN890" s="803"/>
      <c r="FO890" s="803"/>
      <c r="FP890" s="803"/>
      <c r="FQ890" s="803"/>
      <c r="FR890" s="803"/>
      <c r="FS890" s="803"/>
      <c r="FT890" s="803"/>
      <c r="FU890" s="803"/>
      <c r="FV890" s="803"/>
      <c r="FW890" s="803"/>
      <c r="FX890" s="803"/>
      <c r="FY890" s="803"/>
      <c r="FZ890" s="803"/>
      <c r="GA890" s="803"/>
      <c r="GB890" s="803"/>
      <c r="GC890" s="803"/>
      <c r="GD890" s="803"/>
      <c r="GE890" s="803"/>
      <c r="GF890" s="803"/>
      <c r="GG890" s="803"/>
      <c r="GH890" s="803"/>
      <c r="GI890" s="803"/>
      <c r="GJ890" s="803"/>
      <c r="GK890" s="803"/>
      <c r="GL890" s="803"/>
      <c r="GM890" s="803"/>
      <c r="GN890" s="803"/>
      <c r="GO890" s="803"/>
      <c r="GP890" s="803"/>
      <c r="GQ890" s="803"/>
      <c r="GR890" s="803"/>
      <c r="GS890" s="803"/>
      <c r="GT890" s="803"/>
      <c r="GU890" s="803"/>
      <c r="GV890" s="803"/>
      <c r="GW890" s="803"/>
      <c r="GX890" s="803"/>
      <c r="GY890" s="803"/>
      <c r="GZ890" s="803"/>
      <c r="HA890" s="803"/>
      <c r="HB890" s="803"/>
      <c r="HC890" s="803"/>
      <c r="HD890" s="803"/>
      <c r="HE890" s="803"/>
      <c r="HF890" s="803"/>
      <c r="HG890" s="803"/>
      <c r="HH890" s="803"/>
      <c r="HI890" s="803"/>
      <c r="HJ890" s="803"/>
      <c r="HK890" s="803"/>
      <c r="HL890" s="803"/>
      <c r="HM890" s="803"/>
      <c r="HN890" s="803"/>
      <c r="HO890" s="803"/>
      <c r="HP890" s="803"/>
      <c r="HQ890" s="803"/>
      <c r="HR890" s="803"/>
      <c r="HS890" s="803"/>
      <c r="HT890" s="803"/>
      <c r="HU890" s="803"/>
      <c r="HV890" s="803"/>
      <c r="HW890" s="803"/>
      <c r="HX890" s="803"/>
      <c r="HY890" s="803"/>
      <c r="HZ890" s="803"/>
      <c r="IA890" s="803"/>
      <c r="IB890" s="803"/>
      <c r="IC890" s="803"/>
      <c r="ID890" s="803"/>
      <c r="IE890" s="803"/>
      <c r="IF890" s="803"/>
      <c r="IG890" s="803"/>
      <c r="IH890" s="803"/>
      <c r="II890" s="803"/>
      <c r="IJ890" s="803"/>
      <c r="IK890" s="803"/>
      <c r="IL890" s="803"/>
      <c r="IM890" s="803"/>
      <c r="IN890" s="803"/>
      <c r="IO890" s="803"/>
      <c r="IP890" s="803"/>
      <c r="IQ890" s="803"/>
      <c r="IR890" s="803"/>
      <c r="IS890" s="803"/>
      <c r="IT890" s="803"/>
      <c r="IU890" s="803"/>
      <c r="IV890" s="803"/>
      <c r="IW890" s="803"/>
      <c r="IX890" s="803"/>
      <c r="IY890" s="803"/>
      <c r="IZ890" s="803"/>
      <c r="JA890" s="803"/>
      <c r="JB890" s="803"/>
      <c r="JC890" s="803"/>
      <c r="JD890" s="803"/>
      <c r="JE890" s="803"/>
      <c r="JF890" s="803"/>
      <c r="JG890" s="803"/>
      <c r="JH890" s="803"/>
      <c r="JI890" s="803"/>
      <c r="JJ890" s="803"/>
      <c r="JK890" s="803"/>
      <c r="JL890" s="803"/>
      <c r="JM890" s="803"/>
      <c r="JN890" s="803"/>
      <c r="JO890" s="803"/>
      <c r="JP890" s="803"/>
      <c r="JQ890" s="803"/>
      <c r="JR890" s="803"/>
      <c r="JS890" s="803"/>
      <c r="JT890" s="803"/>
      <c r="JU890" s="803"/>
      <c r="JV890" s="803"/>
      <c r="JW890" s="803"/>
      <c r="JX890" s="803"/>
      <c r="JY890" s="803"/>
      <c r="JZ890" s="803"/>
      <c r="KA890" s="803"/>
      <c r="KB890" s="803"/>
      <c r="KC890" s="803"/>
      <c r="KD890" s="803"/>
      <c r="KE890" s="803"/>
      <c r="KF890" s="803"/>
      <c r="KG890" s="803"/>
      <c r="KH890" s="803"/>
      <c r="KI890" s="803"/>
      <c r="KJ890" s="803"/>
      <c r="KK890" s="803"/>
      <c r="KL890" s="803"/>
      <c r="KM890" s="803"/>
      <c r="KN890" s="803"/>
      <c r="KO890" s="803"/>
      <c r="KP890" s="803"/>
      <c r="KQ890" s="803"/>
      <c r="KR890" s="803"/>
      <c r="KS890" s="803"/>
      <c r="KT890" s="803"/>
      <c r="KU890" s="803"/>
      <c r="KV890" s="803"/>
      <c r="KW890" s="803"/>
      <c r="KX890" s="803"/>
      <c r="KY890" s="803"/>
      <c r="KZ890" s="803"/>
      <c r="LA890" s="803"/>
      <c r="LB890" s="803"/>
      <c r="LC890" s="803"/>
      <c r="LD890" s="803"/>
      <c r="LE890" s="803"/>
      <c r="LF890" s="803"/>
      <c r="LG890" s="803"/>
      <c r="LH890" s="803"/>
      <c r="LI890" s="803"/>
      <c r="LJ890" s="803"/>
      <c r="LK890" s="803"/>
      <c r="LL890" s="803"/>
      <c r="LM890" s="803"/>
      <c r="LN890" s="803"/>
      <c r="LO890" s="803"/>
      <c r="LP890" s="803"/>
      <c r="LQ890" s="803"/>
      <c r="LR890" s="803"/>
      <c r="LS890" s="803"/>
      <c r="LT890" s="803"/>
      <c r="LU890" s="803"/>
      <c r="LV890" s="803"/>
      <c r="LW890" s="803"/>
      <c r="LX890" s="803"/>
      <c r="LY890" s="803"/>
      <c r="LZ890" s="803"/>
      <c r="MA890" s="803"/>
      <c r="MB890" s="803"/>
      <c r="MC890" s="803"/>
      <c r="MD890" s="803"/>
      <c r="ME890" s="803"/>
      <c r="MF890" s="803"/>
      <c r="MG890" s="803"/>
      <c r="MH890" s="803"/>
      <c r="MI890" s="803"/>
      <c r="MJ890" s="803"/>
      <c r="MK890" s="803"/>
      <c r="ML890" s="803"/>
      <c r="MM890" s="803"/>
      <c r="MN890" s="803"/>
      <c r="MO890" s="803"/>
      <c r="MP890" s="803"/>
      <c r="MQ890" s="803"/>
      <c r="MR890" s="803"/>
      <c r="MS890" s="803"/>
      <c r="MT890" s="803"/>
      <c r="MU890" s="803"/>
      <c r="MV890" s="803"/>
      <c r="MW890" s="803"/>
      <c r="MX890" s="803"/>
      <c r="MY890" s="803"/>
      <c r="MZ890" s="803"/>
      <c r="NA890" s="803"/>
      <c r="NB890" s="803"/>
      <c r="NC890" s="803"/>
      <c r="ND890" s="803"/>
      <c r="NE890" s="803"/>
      <c r="NF890" s="803"/>
      <c r="NG890" s="803"/>
      <c r="NH890" s="803"/>
      <c r="NI890" s="803"/>
      <c r="NJ890" s="803"/>
      <c r="NK890" s="803"/>
      <c r="NL890" s="803"/>
      <c r="NM890" s="803"/>
      <c r="NN890" s="803"/>
      <c r="NO890" s="803"/>
      <c r="NP890" s="803"/>
      <c r="NQ890" s="803"/>
      <c r="NR890" s="803"/>
      <c r="NS890" s="803"/>
      <c r="NT890" s="803"/>
      <c r="NU890" s="803"/>
      <c r="NV890" s="803"/>
      <c r="NW890" s="803"/>
      <c r="NX890" s="803"/>
      <c r="NY890" s="803"/>
      <c r="NZ890" s="803"/>
      <c r="OA890" s="803"/>
      <c r="OB890" s="803"/>
      <c r="OC890" s="803"/>
      <c r="OD890" s="803"/>
      <c r="OE890" s="803"/>
      <c r="OF890" s="803"/>
      <c r="OG890" s="803"/>
      <c r="OH890" s="803"/>
      <c r="OI890" s="803"/>
      <c r="OJ890" s="803"/>
      <c r="OK890" s="803"/>
      <c r="OL890" s="803"/>
      <c r="OM890" s="803"/>
      <c r="ON890" s="803"/>
      <c r="OO890" s="803"/>
      <c r="OP890" s="803"/>
      <c r="OQ890" s="803"/>
      <c r="OR890" s="803"/>
      <c r="OS890" s="803"/>
      <c r="OT890" s="803"/>
      <c r="OU890" s="803"/>
      <c r="OV890" s="803"/>
      <c r="OW890" s="803"/>
      <c r="OX890" s="803"/>
      <c r="OY890" s="803"/>
      <c r="OZ890" s="803"/>
      <c r="PA890" s="803"/>
      <c r="PB890" s="803"/>
      <c r="PC890" s="803"/>
      <c r="PD890" s="803"/>
      <c r="PE890" s="803"/>
      <c r="PF890" s="803"/>
      <c r="PG890" s="803"/>
      <c r="PH890" s="803"/>
      <c r="PI890" s="803"/>
      <c r="PJ890" s="803"/>
      <c r="PK890" s="803"/>
      <c r="PL890" s="803"/>
      <c r="PM890" s="803"/>
      <c r="PN890" s="803"/>
      <c r="PO890" s="803"/>
      <c r="PP890" s="803"/>
      <c r="PQ890" s="803"/>
      <c r="PR890" s="803"/>
      <c r="PS890" s="803"/>
      <c r="PT890" s="803"/>
      <c r="PU890" s="803"/>
      <c r="PV890" s="803"/>
      <c r="PW890" s="803"/>
      <c r="PX890" s="803"/>
      <c r="PY890" s="803"/>
      <c r="PZ890" s="803"/>
      <c r="QA890" s="803"/>
      <c r="QB890" s="803"/>
      <c r="QC890" s="803"/>
      <c r="QD890" s="803"/>
      <c r="QE890" s="803"/>
      <c r="QF890" s="803"/>
      <c r="QG890" s="803"/>
      <c r="QH890" s="803"/>
      <c r="QI890" s="803"/>
      <c r="QJ890" s="803"/>
      <c r="QK890" s="803"/>
      <c r="QL890" s="803"/>
      <c r="QM890" s="803"/>
      <c r="QN890" s="803"/>
      <c r="QO890" s="803"/>
      <c r="QP890" s="803"/>
      <c r="QQ890" s="803"/>
      <c r="QR890" s="803"/>
      <c r="QS890" s="803"/>
      <c r="QT890" s="803"/>
      <c r="QU890" s="803"/>
      <c r="QV890" s="803"/>
      <c r="QW890" s="803"/>
      <c r="QX890" s="803"/>
      <c r="QY890" s="803"/>
      <c r="QZ890" s="803"/>
      <c r="RA890" s="803"/>
      <c r="RB890" s="803"/>
      <c r="RC890" s="803"/>
      <c r="RD890" s="803"/>
      <c r="RE890" s="803"/>
      <c r="RF890" s="803"/>
      <c r="RG890" s="803"/>
      <c r="RH890" s="803"/>
      <c r="RI890" s="803"/>
      <c r="RJ890" s="803"/>
      <c r="RK890" s="803"/>
      <c r="RL890" s="803"/>
      <c r="RM890" s="803"/>
      <c r="RN890" s="803"/>
      <c r="RO890" s="803"/>
      <c r="RP890" s="803"/>
      <c r="RQ890" s="803"/>
      <c r="RR890" s="803"/>
      <c r="RS890" s="803"/>
      <c r="RT890" s="803"/>
      <c r="RU890" s="803"/>
      <c r="RV890" s="803"/>
      <c r="RW890" s="803"/>
      <c r="RX890" s="803"/>
      <c r="RY890" s="803"/>
      <c r="RZ890" s="803"/>
      <c r="SA890" s="803"/>
      <c r="SB890" s="803"/>
      <c r="SC890" s="803"/>
      <c r="SD890" s="803"/>
      <c r="SE890" s="803"/>
      <c r="SF890" s="803"/>
      <c r="SG890" s="803"/>
      <c r="SH890" s="803"/>
      <c r="SI890" s="803"/>
      <c r="SJ890" s="803"/>
      <c r="SK890" s="803"/>
      <c r="SL890" s="803"/>
      <c r="SM890" s="803"/>
      <c r="SN890" s="803"/>
      <c r="SO890" s="803"/>
      <c r="SP890" s="803"/>
      <c r="SQ890" s="803"/>
      <c r="SR890" s="803"/>
      <c r="SS890" s="803"/>
      <c r="ST890" s="803"/>
      <c r="SU890" s="803"/>
      <c r="SV890" s="803"/>
      <c r="SW890" s="803"/>
      <c r="SX890" s="803"/>
      <c r="SY890" s="803"/>
      <c r="SZ890" s="803"/>
      <c r="TA890" s="803"/>
      <c r="TB890" s="803"/>
      <c r="TC890" s="803"/>
      <c r="TD890" s="803"/>
      <c r="TE890" s="803"/>
      <c r="TF890" s="803"/>
      <c r="TG890" s="803"/>
      <c r="TH890" s="803"/>
      <c r="TI890" s="803"/>
      <c r="TJ890" s="803"/>
      <c r="TK890" s="803"/>
      <c r="TL890" s="803"/>
      <c r="TM890" s="803"/>
      <c r="TN890" s="803"/>
      <c r="TO890" s="803"/>
      <c r="TP890" s="803"/>
      <c r="TQ890" s="803"/>
      <c r="TR890" s="803"/>
      <c r="TS890" s="803"/>
      <c r="TT890" s="803"/>
      <c r="TU890" s="803"/>
      <c r="TV890" s="803"/>
      <c r="TW890" s="803"/>
      <c r="TX890" s="803"/>
      <c r="TY890" s="803"/>
      <c r="TZ890" s="803"/>
      <c r="UA890" s="803"/>
      <c r="UB890" s="803"/>
      <c r="UC890" s="803"/>
      <c r="UD890" s="803"/>
      <c r="UE890" s="803"/>
      <c r="UF890" s="803"/>
      <c r="UG890" s="803"/>
      <c r="UH890" s="803"/>
      <c r="UI890" s="803"/>
      <c r="UJ890" s="803"/>
      <c r="UK890" s="803"/>
      <c r="UL890" s="803"/>
      <c r="UM890" s="803"/>
      <c r="UN890" s="803"/>
      <c r="UO890" s="803"/>
      <c r="UP890" s="803"/>
      <c r="UQ890" s="803"/>
      <c r="UR890" s="803"/>
      <c r="US890" s="803"/>
      <c r="UT890" s="803"/>
      <c r="UU890" s="803"/>
      <c r="UV890" s="803"/>
      <c r="UW890" s="803"/>
      <c r="UX890" s="803"/>
      <c r="UY890" s="803"/>
      <c r="UZ890" s="803"/>
      <c r="VA890" s="803"/>
      <c r="VB890" s="803"/>
      <c r="VC890" s="803"/>
      <c r="VD890" s="803"/>
      <c r="VE890" s="803"/>
      <c r="VF890" s="803"/>
      <c r="VG890" s="803"/>
      <c r="VH890" s="803"/>
      <c r="VI890" s="803"/>
      <c r="VJ890" s="803"/>
      <c r="VK890" s="803"/>
      <c r="VL890" s="803"/>
      <c r="VM890" s="803"/>
      <c r="VN890" s="803"/>
      <c r="VO890" s="803"/>
      <c r="VP890" s="803"/>
      <c r="VQ890" s="803"/>
      <c r="VR890" s="803"/>
      <c r="VS890" s="803"/>
      <c r="VT890" s="803"/>
      <c r="VU890" s="803"/>
      <c r="VV890" s="803"/>
      <c r="VW890" s="803"/>
      <c r="VX890" s="803"/>
      <c r="VY890" s="803"/>
      <c r="VZ890" s="803"/>
      <c r="WA890" s="803"/>
      <c r="WB890" s="803"/>
      <c r="WC890" s="803"/>
      <c r="WD890" s="803"/>
      <c r="WE890" s="803"/>
      <c r="WF890" s="803"/>
      <c r="WG890" s="803"/>
      <c r="WH890" s="803"/>
      <c r="WI890" s="803"/>
      <c r="WJ890" s="803"/>
      <c r="WK890" s="803"/>
      <c r="WL890" s="803"/>
      <c r="WM890" s="803"/>
      <c r="WN890" s="803"/>
      <c r="WO890" s="803"/>
      <c r="WP890" s="803"/>
      <c r="WQ890" s="803"/>
      <c r="WR890" s="803"/>
      <c r="WS890" s="803"/>
      <c r="WT890" s="803"/>
      <c r="WU890" s="803"/>
      <c r="WV890" s="803"/>
      <c r="WW890" s="803"/>
      <c r="WX890" s="803"/>
      <c r="WY890" s="803"/>
      <c r="WZ890" s="803"/>
      <c r="XA890" s="803"/>
      <c r="XB890" s="803"/>
      <c r="XC890" s="803"/>
      <c r="XD890" s="803"/>
      <c r="XE890" s="803"/>
      <c r="XF890" s="803"/>
      <c r="XG890" s="803"/>
      <c r="XH890" s="803"/>
      <c r="XI890" s="803"/>
      <c r="XJ890" s="803"/>
      <c r="XK890" s="803"/>
      <c r="XL890" s="803"/>
      <c r="XM890" s="803"/>
      <c r="XN890" s="803"/>
      <c r="XO890" s="803"/>
      <c r="XP890" s="803"/>
      <c r="XQ890" s="803"/>
      <c r="XR890" s="803"/>
      <c r="XS890" s="803"/>
      <c r="XT890" s="803"/>
      <c r="XU890" s="803"/>
      <c r="XV890" s="803"/>
      <c r="XW890" s="803"/>
      <c r="XX890" s="803"/>
      <c r="XY890" s="803"/>
      <c r="XZ890" s="803"/>
      <c r="YA890" s="803"/>
      <c r="YB890" s="803"/>
      <c r="YC890" s="803"/>
      <c r="YD890" s="803"/>
      <c r="YE890" s="803"/>
      <c r="YF890" s="803"/>
      <c r="YG890" s="803"/>
      <c r="YH890" s="803"/>
      <c r="YI890" s="803"/>
      <c r="YJ890" s="803"/>
      <c r="YK890" s="803"/>
      <c r="YL890" s="803"/>
      <c r="YM890" s="803"/>
      <c r="YN890" s="803"/>
      <c r="YO890" s="803"/>
      <c r="YP890" s="803"/>
      <c r="YQ890" s="803"/>
      <c r="YR890" s="803"/>
      <c r="YS890" s="803"/>
      <c r="YT890" s="803"/>
      <c r="YU890" s="803"/>
      <c r="YV890" s="803"/>
      <c r="YW890" s="803"/>
      <c r="YX890" s="803"/>
      <c r="YY890" s="803"/>
      <c r="YZ890" s="803"/>
      <c r="ZA890" s="803"/>
      <c r="ZB890" s="803"/>
      <c r="ZC890" s="803"/>
      <c r="ZD890" s="803"/>
      <c r="ZE890" s="803"/>
      <c r="ZF890" s="803"/>
      <c r="ZG890" s="803"/>
      <c r="ZH890" s="803"/>
      <c r="ZI890" s="803"/>
      <c r="ZJ890" s="803"/>
      <c r="ZK890" s="803"/>
      <c r="ZL890" s="803"/>
      <c r="ZM890" s="803"/>
      <c r="ZN890" s="803"/>
      <c r="ZO890" s="803"/>
      <c r="ZP890" s="803"/>
      <c r="ZQ890" s="803"/>
      <c r="ZR890" s="803"/>
      <c r="ZS890" s="803"/>
      <c r="ZT890" s="803"/>
      <c r="ZU890" s="803"/>
      <c r="ZV890" s="803"/>
      <c r="ZW890" s="803"/>
      <c r="ZX890" s="803"/>
      <c r="ZY890" s="803"/>
      <c r="ZZ890" s="803"/>
      <c r="AAA890" s="803"/>
      <c r="AAB890" s="803"/>
      <c r="AAC890" s="803"/>
      <c r="AAD890" s="803"/>
      <c r="AAE890" s="803"/>
      <c r="AAF890" s="803"/>
      <c r="AAG890" s="803"/>
      <c r="AAH890" s="803"/>
      <c r="AAI890" s="803"/>
      <c r="AAJ890" s="803"/>
      <c r="AAK890" s="803"/>
      <c r="AAL890" s="803"/>
      <c r="AAM890" s="803"/>
      <c r="AAN890" s="803"/>
      <c r="AAO890" s="803"/>
      <c r="AAP890" s="803"/>
      <c r="AAQ890" s="803"/>
      <c r="AAR890" s="803"/>
      <c r="AAS890" s="803"/>
      <c r="AAT890" s="803"/>
      <c r="AAU890" s="803"/>
      <c r="AAV890" s="803"/>
      <c r="AAW890" s="803"/>
      <c r="AAX890" s="803"/>
      <c r="AAY890" s="803"/>
      <c r="AAZ890" s="803"/>
      <c r="ABA890" s="803"/>
      <c r="ABB890" s="803"/>
      <c r="ABC890" s="803"/>
      <c r="ABD890" s="803"/>
      <c r="ABE890" s="803"/>
      <c r="ABF890" s="803"/>
      <c r="ABG890" s="803"/>
      <c r="ABH890" s="803"/>
      <c r="ABI890" s="803"/>
      <c r="ABJ890" s="803"/>
      <c r="ABK890" s="803"/>
      <c r="ABL890" s="803"/>
      <c r="ABM890" s="803"/>
      <c r="ABN890" s="803"/>
      <c r="ABO890" s="803"/>
      <c r="ABP890" s="803"/>
      <c r="ABQ890" s="803"/>
      <c r="ABR890" s="803"/>
      <c r="ABS890" s="803"/>
      <c r="ABT890" s="803"/>
      <c r="ABU890" s="803"/>
      <c r="ABV890" s="803"/>
      <c r="ABW890" s="803"/>
      <c r="ABX890" s="803"/>
      <c r="ABY890" s="803"/>
      <c r="ABZ890" s="803"/>
      <c r="ACA890" s="803"/>
      <c r="ACB890" s="803"/>
      <c r="ACC890" s="803"/>
      <c r="ACD890" s="803"/>
      <c r="ACE890" s="803"/>
      <c r="ACF890" s="803"/>
      <c r="ACG890" s="803"/>
      <c r="ACH890" s="803"/>
      <c r="ACI890" s="803"/>
      <c r="ACJ890" s="803"/>
      <c r="ACK890" s="803"/>
      <c r="ACL890" s="803"/>
      <c r="ACM890" s="803"/>
      <c r="ACN890" s="803"/>
      <c r="ACO890" s="803"/>
      <c r="ACP890" s="803"/>
      <c r="ACQ890" s="803"/>
      <c r="ACR890" s="803"/>
      <c r="ACS890" s="803"/>
      <c r="ACT890" s="803"/>
      <c r="ACU890" s="803"/>
      <c r="ACV890" s="803"/>
      <c r="ACW890" s="803"/>
      <c r="ACX890" s="803"/>
      <c r="ACY890" s="803"/>
      <c r="ACZ890" s="803"/>
      <c r="ADA890" s="803"/>
      <c r="ADB890" s="803"/>
      <c r="ADC890" s="803"/>
      <c r="ADD890" s="803"/>
      <c r="ADE890" s="803"/>
      <c r="ADF890" s="803"/>
      <c r="ADG890" s="803"/>
      <c r="ADH890" s="803"/>
      <c r="ADI890" s="803"/>
      <c r="ADJ890" s="803"/>
      <c r="ADK890" s="803"/>
      <c r="ADL890" s="803"/>
      <c r="ADM890" s="803"/>
      <c r="ADN890" s="803"/>
      <c r="ADO890" s="803"/>
      <c r="ADP890" s="803"/>
      <c r="ADQ890" s="803"/>
      <c r="ADR890" s="803"/>
      <c r="ADS890" s="803"/>
      <c r="ADT890" s="803"/>
      <c r="ADU890" s="803"/>
      <c r="ADV890" s="803"/>
      <c r="ADW890" s="803"/>
      <c r="ADX890" s="803"/>
      <c r="ADY890" s="803"/>
      <c r="ADZ890" s="803"/>
      <c r="AEA890" s="803"/>
      <c r="AEB890" s="803"/>
      <c r="AEC890" s="803"/>
      <c r="AED890" s="803"/>
      <c r="AEE890" s="803"/>
      <c r="AEF890" s="803"/>
      <c r="AEG890" s="803"/>
      <c r="AEH890" s="803"/>
      <c r="AEI890" s="803"/>
      <c r="AEJ890" s="803"/>
      <c r="AEK890" s="803"/>
      <c r="AEL890" s="803"/>
      <c r="AEM890" s="803"/>
      <c r="AEN890" s="803"/>
      <c r="AEO890" s="803"/>
      <c r="AEP890" s="803"/>
      <c r="AEQ890" s="803"/>
      <c r="AER890" s="803"/>
      <c r="AES890" s="803"/>
      <c r="AET890" s="803"/>
      <c r="AEU890" s="803"/>
      <c r="AEV890" s="803"/>
      <c r="AEW890" s="803"/>
      <c r="AEX890" s="803"/>
      <c r="AEY890" s="803"/>
      <c r="AEZ890" s="803"/>
      <c r="AFA890" s="803"/>
      <c r="AFB890" s="803"/>
      <c r="AFC890" s="803"/>
      <c r="AFD890" s="803"/>
      <c r="AFE890" s="803"/>
      <c r="AFF890" s="803"/>
      <c r="AFG890" s="803"/>
      <c r="AFH890" s="803"/>
      <c r="AFI890" s="803"/>
      <c r="AFJ890" s="803"/>
      <c r="AFK890" s="803"/>
      <c r="AFL890" s="803"/>
      <c r="AFM890" s="803"/>
      <c r="AFN890" s="803"/>
      <c r="AFO890" s="803"/>
      <c r="AFP890" s="803"/>
      <c r="AFQ890" s="803"/>
      <c r="AFR890" s="803"/>
      <c r="AFS890" s="803"/>
      <c r="AFT890" s="803"/>
      <c r="AFU890" s="803"/>
      <c r="AFV890" s="803"/>
      <c r="AFW890" s="803"/>
      <c r="AFX890" s="803"/>
      <c r="AFY890" s="803"/>
      <c r="AFZ890" s="803"/>
      <c r="AGA890" s="803"/>
      <c r="AGB890" s="803"/>
      <c r="AGC890" s="803"/>
      <c r="AGD890" s="803"/>
      <c r="AGE890" s="803"/>
      <c r="AGF890" s="803"/>
      <c r="AGG890" s="803"/>
      <c r="AGH890" s="803"/>
      <c r="AGI890" s="803"/>
      <c r="AGJ890" s="803"/>
    </row>
    <row r="891" spans="1:868" s="803" customFormat="1">
      <c r="A891" s="59" t="s">
        <v>456</v>
      </c>
      <c r="B891" s="336" t="s">
        <v>327</v>
      </c>
      <c r="C891" s="34" t="s">
        <v>139</v>
      </c>
      <c r="D891" s="40" t="s">
        <v>99</v>
      </c>
      <c r="E891" s="237" t="s">
        <v>150</v>
      </c>
      <c r="F891" s="40">
        <v>1</v>
      </c>
      <c r="G891" s="34" t="s">
        <v>412</v>
      </c>
      <c r="H891" s="29"/>
      <c r="I891" s="9"/>
      <c r="J891" s="9"/>
      <c r="K891" s="9"/>
      <c r="L891" s="9"/>
      <c r="M891" s="9"/>
      <c r="N891" s="185" t="str">
        <f>IF( OR( ISBLANK(H891),ISBLANK(J891), ISBLANK(K891), ISBLANK(L891), ISBLANK(M891) ), "", 1.5*SQRT(   EXP(2.21*(H891-1)) + EXP(2.21*(J891-1)) + EXP(2.21*(K891-1)) + EXP(2.21*(L891-1)) + EXP(2.21*M891)   )/100*2.45 )</f>
        <v/>
      </c>
      <c r="O891" s="159" t="str">
        <f>IF( OR( ISBLANK(I891),ISBLANK(J891), ISBLANK(K891), ISBLANK(L891), ISBLANK(M891) ), "", 1.5*SQRT( EXP(2.21*(I891-1)) + EXP(2.21*(J891-1)) + EXP(2.21*(K891-1)) + EXP(2.21*(L891-1)) + EXP(2.21*M891)   )/100*2.45 )</f>
        <v/>
      </c>
      <c r="P891" s="34" t="s">
        <v>1928</v>
      </c>
    </row>
    <row r="892" spans="1:868" s="803" customFormat="1">
      <c r="A892" s="59" t="s">
        <v>456</v>
      </c>
      <c r="B892" s="336" t="s">
        <v>228</v>
      </c>
      <c r="C892" s="34" t="s">
        <v>139</v>
      </c>
      <c r="D892" s="40" t="s">
        <v>99</v>
      </c>
      <c r="E892" s="237">
        <v>0</v>
      </c>
      <c r="F892" s="40">
        <v>2</v>
      </c>
      <c r="G892" s="34" t="s">
        <v>412</v>
      </c>
      <c r="H892" s="29">
        <v>1</v>
      </c>
      <c r="I892" s="9">
        <v>2</v>
      </c>
      <c r="J892" s="9">
        <v>2</v>
      </c>
      <c r="K892" s="9">
        <v>1</v>
      </c>
      <c r="L892" s="9">
        <v>1</v>
      </c>
      <c r="M892" s="9">
        <v>1</v>
      </c>
      <c r="N892" s="185">
        <f>IF( OR( ISBLANK(H892),ISBLANK(J892), ISBLANK(K892), ISBLANK(L892), ISBLANK(M892) ), "", 1.5*SQRT(   EXP(2.21*(H892-1)) + EXP(2.21*(J892-1)) + EXP(2.21*(K892-1)) + EXP(2.21*(L892-1)) + EXP(2.21*M892)   )/100*2.45 )</f>
        <v>0.16933510251023262</v>
      </c>
      <c r="O892" s="159">
        <f>IF( OR( ISBLANK(I892),ISBLANK(J892), ISBLANK(K892), ISBLANK(L892), ISBLANK(M892) ), "", 1.5*SQRT( EXP(2.21*(I892-1)) + EXP(2.21*(J892-1)) + EXP(2.21*(K892-1)) + EXP(2.21*(L892-1)) + EXP(2.21*M892)   )/100*2.45 )</f>
        <v>0.19908580854301616</v>
      </c>
      <c r="P892" s="34" t="s">
        <v>837</v>
      </c>
    </row>
    <row r="893" spans="1:868" s="803" customFormat="1">
      <c r="A893" s="59" t="s">
        <v>467</v>
      </c>
      <c r="B893" s="336" t="s">
        <v>228</v>
      </c>
      <c r="C893" s="34" t="s">
        <v>139</v>
      </c>
      <c r="D893" s="40" t="s">
        <v>99</v>
      </c>
      <c r="E893" s="237">
        <v>1</v>
      </c>
      <c r="F893" s="40">
        <v>2</v>
      </c>
      <c r="G893" s="34" t="s">
        <v>412</v>
      </c>
      <c r="H893" s="29">
        <v>1</v>
      </c>
      <c r="I893" s="9">
        <v>2</v>
      </c>
      <c r="J893" s="9">
        <v>2</v>
      </c>
      <c r="K893" s="9">
        <v>1</v>
      </c>
      <c r="L893" s="9">
        <v>1</v>
      </c>
      <c r="M893" s="9">
        <v>1</v>
      </c>
      <c r="N893" s="185">
        <f>IF( OR( ISBLANK(H893),ISBLANK(J893), ISBLANK(K893), ISBLANK(L893), ISBLANK(M893) ), "", 1.5*SQRT(   EXP(2.21*(H893-1)) + EXP(2.21*(J893-1)) + EXP(2.21*(K893-1)) + EXP(2.21*(L893-1)) + EXP(2.21*M893)   )/100*2.45 )</f>
        <v>0.16933510251023262</v>
      </c>
      <c r="O893" s="159">
        <f>IF( OR( ISBLANK(I893),ISBLANK(J893), ISBLANK(K893), ISBLANK(L893), ISBLANK(M893) ), "", 1.5*SQRT( EXP(2.21*(I893-1)) + EXP(2.21*(J893-1)) + EXP(2.21*(K893-1)) + EXP(2.21*(L893-1)) + EXP(2.21*M893)   )/100*2.45 )</f>
        <v>0.19908580854301616</v>
      </c>
      <c r="P893" s="34" t="s">
        <v>836</v>
      </c>
    </row>
    <row r="894" spans="1:868" s="803" customFormat="1">
      <c r="A894" s="59" t="s">
        <v>464</v>
      </c>
      <c r="B894" s="336" t="s">
        <v>466</v>
      </c>
      <c r="C894" s="34" t="s">
        <v>139</v>
      </c>
      <c r="D894" s="40" t="s">
        <v>99</v>
      </c>
      <c r="E894" s="237">
        <v>0.03</v>
      </c>
      <c r="F894" s="40">
        <v>2</v>
      </c>
      <c r="G894" s="34" t="s">
        <v>412</v>
      </c>
      <c r="H894" s="29">
        <v>1</v>
      </c>
      <c r="I894" s="9">
        <v>2</v>
      </c>
      <c r="J894" s="9">
        <v>2</v>
      </c>
      <c r="K894" s="9">
        <v>1</v>
      </c>
      <c r="L894" s="9">
        <v>1</v>
      </c>
      <c r="M894" s="9">
        <v>1</v>
      </c>
      <c r="N894" s="185">
        <f>IF( OR( ISBLANK(H894),ISBLANK(J894), ISBLANK(K894), ISBLANK(L894), ISBLANK(M894) ), "", 1.5*SQRT(   EXP(2.21*(H894-1)) + EXP(2.21*(J894-1)) + EXP(2.21*(K894-1)) + EXP(2.21*(L894-1)) + EXP(2.21*M894)   )/100*2.45 )</f>
        <v>0.16933510251023262</v>
      </c>
      <c r="O894" s="159">
        <f>IF( OR( ISBLANK(I894),ISBLANK(J894), ISBLANK(K894), ISBLANK(L894), ISBLANK(M894) ), "", 1.5*SQRT( EXP(2.21*(I894-1)) + EXP(2.21*(J894-1)) + EXP(2.21*(K894-1)) + EXP(2.21*(L894-1)) + EXP(2.21*M894)   )/100*2.45 )</f>
        <v>0.19908580854301616</v>
      </c>
      <c r="P894" s="34" t="s">
        <v>834</v>
      </c>
    </row>
    <row r="895" spans="1:868" s="803" customFormat="1">
      <c r="A895" s="59" t="s">
        <v>464</v>
      </c>
      <c r="B895" s="336" t="s">
        <v>459</v>
      </c>
      <c r="C895" s="34" t="s">
        <v>139</v>
      </c>
      <c r="D895" s="40" t="s">
        <v>99</v>
      </c>
      <c r="E895" s="237" t="s">
        <v>150</v>
      </c>
      <c r="F895" s="40">
        <v>1</v>
      </c>
      <c r="G895" s="34" t="s">
        <v>412</v>
      </c>
      <c r="H895" s="29"/>
      <c r="I895" s="9"/>
      <c r="J895" s="9"/>
      <c r="K895" s="9"/>
      <c r="L895" s="9"/>
      <c r="M895" s="9"/>
      <c r="N895" s="185" t="str">
        <f>IF( OR( ISBLANK(H895),ISBLANK(J895), ISBLANK(K895), ISBLANK(L895), ISBLANK(M895) ), "", 1.5*SQRT(   EXP(2.21*(H895-1)) + EXP(2.21*(J895-1)) + EXP(2.21*(K895-1)) + EXP(2.21*(L895-1)) + EXP(2.21*M895)   )/100*2.45 )</f>
        <v/>
      </c>
      <c r="O895" s="159" t="str">
        <f>IF( OR( ISBLANK(I895),ISBLANK(J895), ISBLANK(K895), ISBLANK(L895), ISBLANK(M895) ), "", 1.5*SQRT( EXP(2.21*(I895-1)) + EXP(2.21*(J895-1)) + EXP(2.21*(K895-1)) + EXP(2.21*(L895-1)) + EXP(2.21*M895)   )/100*2.45 )</f>
        <v/>
      </c>
      <c r="P895" s="34" t="s">
        <v>1927</v>
      </c>
    </row>
    <row r="896" spans="1:868" s="803" customFormat="1">
      <c r="A896" s="59" t="s">
        <v>459</v>
      </c>
      <c r="B896" s="336" t="s">
        <v>327</v>
      </c>
      <c r="C896" s="34" t="s">
        <v>139</v>
      </c>
      <c r="D896" s="40" t="s">
        <v>99</v>
      </c>
      <c r="E896" s="237" t="s">
        <v>150</v>
      </c>
      <c r="F896" s="40">
        <v>1</v>
      </c>
      <c r="G896" s="34" t="s">
        <v>412</v>
      </c>
      <c r="H896" s="29"/>
      <c r="I896" s="9"/>
      <c r="J896" s="9"/>
      <c r="K896" s="9"/>
      <c r="L896" s="9"/>
      <c r="M896" s="9"/>
      <c r="N896" s="185" t="str">
        <f>IF( OR( ISBLANK(H896),ISBLANK(J896), ISBLANK(K896), ISBLANK(L896), ISBLANK(M896) ), "", 1.5*SQRT(   EXP(2.21*(H896-1)) + EXP(2.21*(J896-1)) + EXP(2.21*(K896-1)) + EXP(2.21*(L896-1)) + EXP(2.21*M896)   )/100*2.45 )</f>
        <v/>
      </c>
      <c r="O896" s="159" t="str">
        <f>IF( OR( ISBLANK(I896),ISBLANK(J896), ISBLANK(K896), ISBLANK(L896), ISBLANK(M896) ), "", 1.5*SQRT( EXP(2.21*(I896-1)) + EXP(2.21*(J896-1)) + EXP(2.21*(K896-1)) + EXP(2.21*(L896-1)) + EXP(2.21*M896)   )/100*2.45 )</f>
        <v/>
      </c>
      <c r="P896" s="34"/>
    </row>
    <row r="897" spans="1:18" s="803" customFormat="1">
      <c r="A897" s="59" t="s">
        <v>459</v>
      </c>
      <c r="B897" s="336" t="s">
        <v>231</v>
      </c>
      <c r="C897" s="34" t="s">
        <v>139</v>
      </c>
      <c r="D897" s="40" t="s">
        <v>99</v>
      </c>
      <c r="E897" s="237">
        <v>0</v>
      </c>
      <c r="F897" s="40">
        <v>2</v>
      </c>
      <c r="G897" s="34" t="s">
        <v>412</v>
      </c>
      <c r="H897" s="29">
        <v>1</v>
      </c>
      <c r="I897" s="9">
        <v>2</v>
      </c>
      <c r="J897" s="9">
        <v>2</v>
      </c>
      <c r="K897" s="9">
        <v>1</v>
      </c>
      <c r="L897" s="9">
        <v>1</v>
      </c>
      <c r="M897" s="9">
        <v>1</v>
      </c>
      <c r="N897" s="185">
        <f>IF( OR( ISBLANK(H897),ISBLANK(J897), ISBLANK(K897), ISBLANK(L897), ISBLANK(M897) ), "", 1.5*SQRT(   EXP(2.21*(H897-1)) + EXP(2.21*(J897-1)) + EXP(2.21*(K897-1)) + EXP(2.21*(L897-1)) + EXP(2.21*M897)   )/100*2.45 )</f>
        <v>0.16933510251023262</v>
      </c>
      <c r="O897" s="159">
        <f>IF( OR( ISBLANK(I897),ISBLANK(J897), ISBLANK(K897), ISBLANK(L897), ISBLANK(M897) ), "", 1.5*SQRT( EXP(2.21*(I897-1)) + EXP(2.21*(J897-1)) + EXP(2.21*(K897-1)) + EXP(2.21*(L897-1)) + EXP(2.21*M897)   )/100*2.45 )</f>
        <v>0.19908580854301616</v>
      </c>
      <c r="P897" s="34" t="s">
        <v>1946</v>
      </c>
    </row>
    <row r="898" spans="1:18" s="803" customFormat="1">
      <c r="A898" s="59" t="s">
        <v>459</v>
      </c>
      <c r="B898" s="336" t="s">
        <v>232</v>
      </c>
      <c r="C898" s="34" t="s">
        <v>139</v>
      </c>
      <c r="D898" s="40" t="s">
        <v>99</v>
      </c>
      <c r="E898" s="237">
        <v>0</v>
      </c>
      <c r="F898" s="40">
        <v>2</v>
      </c>
      <c r="G898" s="34" t="s">
        <v>412</v>
      </c>
      <c r="H898" s="29">
        <v>1</v>
      </c>
      <c r="I898" s="9">
        <v>2</v>
      </c>
      <c r="J898" s="9">
        <v>2</v>
      </c>
      <c r="K898" s="9">
        <v>1</v>
      </c>
      <c r="L898" s="9">
        <v>1</v>
      </c>
      <c r="M898" s="9">
        <v>1</v>
      </c>
      <c r="N898" s="185">
        <f>IF( OR( ISBLANK(H898),ISBLANK(J898), ISBLANK(K898), ISBLANK(L898), ISBLANK(M898) ), "", 1.5*SQRT(   EXP(2.21*(H898-1)) + EXP(2.21*(J898-1)) + EXP(2.21*(K898-1)) + EXP(2.21*(L898-1)) + EXP(2.21*M898)   )/100*2.45 )</f>
        <v>0.16933510251023262</v>
      </c>
      <c r="O898" s="159">
        <f>IF( OR( ISBLANK(I898),ISBLANK(J898), ISBLANK(K898), ISBLANK(L898), ISBLANK(M898) ), "", 1.5*SQRT( EXP(2.21*(I898-1)) + EXP(2.21*(J898-1)) + EXP(2.21*(K898-1)) + EXP(2.21*(L898-1)) + EXP(2.21*M898)   )/100*2.45 )</f>
        <v>0.19908580854301616</v>
      </c>
      <c r="P898" s="34" t="s">
        <v>1946</v>
      </c>
    </row>
    <row r="899" spans="1:18" s="803" customFormat="1">
      <c r="A899" s="59" t="s">
        <v>459</v>
      </c>
      <c r="B899" s="336" t="s">
        <v>251</v>
      </c>
      <c r="C899" s="34" t="s">
        <v>139</v>
      </c>
      <c r="D899" s="40" t="s">
        <v>99</v>
      </c>
      <c r="E899" s="237">
        <v>0</v>
      </c>
      <c r="F899" s="40">
        <v>2</v>
      </c>
      <c r="G899" s="34" t="s">
        <v>412</v>
      </c>
      <c r="H899" s="29">
        <v>1</v>
      </c>
      <c r="I899" s="9">
        <v>2</v>
      </c>
      <c r="J899" s="9">
        <v>2</v>
      </c>
      <c r="K899" s="9">
        <v>1</v>
      </c>
      <c r="L899" s="9">
        <v>1</v>
      </c>
      <c r="M899" s="9">
        <v>1</v>
      </c>
      <c r="N899" s="185">
        <f>IF( OR( ISBLANK(H899),ISBLANK(J899), ISBLANK(K899), ISBLANK(L899), ISBLANK(M899) ), "", 1.5*SQRT(   EXP(2.21*(H899-1)) + EXP(2.21*(J899-1)) + EXP(2.21*(K899-1)) + EXP(2.21*(L899-1)) + EXP(2.21*M899)   )/100*2.45 )</f>
        <v>0.16933510251023262</v>
      </c>
      <c r="O899" s="159">
        <f>IF( OR( ISBLANK(I899),ISBLANK(J899), ISBLANK(K899), ISBLANK(L899), ISBLANK(M899) ), "", 1.5*SQRT( EXP(2.21*(I899-1)) + EXP(2.21*(J899-1)) + EXP(2.21*(K899-1)) + EXP(2.21*(L899-1)) + EXP(2.21*M899)   )/100*2.45 )</f>
        <v>0.19908580854301616</v>
      </c>
      <c r="P899" s="34" t="s">
        <v>1946</v>
      </c>
    </row>
    <row r="900" spans="1:18" s="803" customFormat="1">
      <c r="A900" s="59" t="s">
        <v>459</v>
      </c>
      <c r="B900" s="336" t="s">
        <v>258</v>
      </c>
      <c r="C900" s="34" t="s">
        <v>139</v>
      </c>
      <c r="D900" s="40" t="s">
        <v>99</v>
      </c>
      <c r="E900" s="237">
        <v>0</v>
      </c>
      <c r="F900" s="40">
        <v>2</v>
      </c>
      <c r="G900" s="34" t="s">
        <v>412</v>
      </c>
      <c r="H900" s="29">
        <v>1</v>
      </c>
      <c r="I900" s="9">
        <v>2</v>
      </c>
      <c r="J900" s="9">
        <v>2</v>
      </c>
      <c r="K900" s="9">
        <v>1</v>
      </c>
      <c r="L900" s="9">
        <v>1</v>
      </c>
      <c r="M900" s="9">
        <v>1</v>
      </c>
      <c r="N900" s="185">
        <f>IF( OR( ISBLANK(H900),ISBLANK(J900), ISBLANK(K900), ISBLANK(L900), ISBLANK(M900) ), "", 1.5*SQRT(   EXP(2.21*(H900-1)) + EXP(2.21*(J900-1)) + EXP(2.21*(K900-1)) + EXP(2.21*(L900-1)) + EXP(2.21*M900)   )/100*2.45 )</f>
        <v>0.16933510251023262</v>
      </c>
      <c r="O900" s="159">
        <f>IF( OR( ISBLANK(I900),ISBLANK(J900), ISBLANK(K900), ISBLANK(L900), ISBLANK(M900) ), "", 1.5*SQRT( EXP(2.21*(I900-1)) + EXP(2.21*(J900-1)) + EXP(2.21*(K900-1)) + EXP(2.21*(L900-1)) + EXP(2.21*M900)   )/100*2.45 )</f>
        <v>0.19908580854301616</v>
      </c>
      <c r="P900" s="34" t="s">
        <v>1946</v>
      </c>
    </row>
    <row r="901" spans="1:18" s="803" customFormat="1">
      <c r="A901" s="59" t="s">
        <v>466</v>
      </c>
      <c r="B901" s="336" t="s">
        <v>231</v>
      </c>
      <c r="C901" s="34" t="s">
        <v>139</v>
      </c>
      <c r="D901" s="40" t="s">
        <v>99</v>
      </c>
      <c r="E901" s="237">
        <v>0.05</v>
      </c>
      <c r="F901" s="40">
        <v>2</v>
      </c>
      <c r="G901" s="34" t="s">
        <v>157</v>
      </c>
      <c r="H901" s="29">
        <v>1</v>
      </c>
      <c r="I901" s="9">
        <v>2</v>
      </c>
      <c r="J901" s="9">
        <v>2</v>
      </c>
      <c r="K901" s="9">
        <v>1</v>
      </c>
      <c r="L901" s="9">
        <v>3</v>
      </c>
      <c r="M901" s="9">
        <v>3</v>
      </c>
      <c r="N901" s="185">
        <f>IF( OR( ISBLANK(H901),ISBLANK(J901), ISBLANK(K901), ISBLANK(L901), ISBLANK(M901) ), "", 1.5*SQRT(   EXP(2.21*(H901-1)) + EXP(2.21*(J901-1)) + EXP(2.21*(K901-1)) + EXP(2.21*(L901-1)) + EXP(2.21*M901)   )/100*2.45 )</f>
        <v>1.0725046436742278</v>
      </c>
      <c r="O901" s="159">
        <f>IF( OR( ISBLANK(I901),ISBLANK(J901), ISBLANK(K901), ISBLANK(L901), ISBLANK(M901) ), "", 1.5*SQRT( EXP(2.21*(I901-1)) + EXP(2.21*(J901-1)) + EXP(2.21*(K901-1)) + EXP(2.21*(L901-1)) + EXP(2.21*M901)   )/100*2.45 )</f>
        <v>1.0776024280428556</v>
      </c>
      <c r="P901" s="34" t="s">
        <v>1916</v>
      </c>
    </row>
    <row r="902" spans="1:18" s="803" customFormat="1">
      <c r="A902" s="59" t="s">
        <v>466</v>
      </c>
      <c r="B902" s="336" t="s">
        <v>232</v>
      </c>
      <c r="C902" s="34" t="s">
        <v>139</v>
      </c>
      <c r="D902" s="40" t="s">
        <v>99</v>
      </c>
      <c r="E902" s="237">
        <v>0.39400000000000002</v>
      </c>
      <c r="F902" s="40">
        <v>2</v>
      </c>
      <c r="G902" s="34" t="s">
        <v>412</v>
      </c>
      <c r="H902" s="29">
        <v>1</v>
      </c>
      <c r="I902" s="9">
        <v>2</v>
      </c>
      <c r="J902" s="9">
        <v>2</v>
      </c>
      <c r="K902" s="9">
        <v>1</v>
      </c>
      <c r="L902" s="9">
        <v>1</v>
      </c>
      <c r="M902" s="9">
        <v>1</v>
      </c>
      <c r="N902" s="185">
        <f>IF( OR( ISBLANK(H902),ISBLANK(J902), ISBLANK(K902), ISBLANK(L902), ISBLANK(M902) ), "", 1.5*SQRT(   EXP(2.21*(H902-1)) + EXP(2.21*(J902-1)) + EXP(2.21*(K902-1)) + EXP(2.21*(L902-1)) + EXP(2.21*M902)   )/100*2.45 )</f>
        <v>0.16933510251023262</v>
      </c>
      <c r="O902" s="159">
        <f>IF( OR( ISBLANK(I902),ISBLANK(J902), ISBLANK(K902), ISBLANK(L902), ISBLANK(M902) ), "", 1.5*SQRT( EXP(2.21*(I902-1)) + EXP(2.21*(J902-1)) + EXP(2.21*(K902-1)) + EXP(2.21*(L902-1)) + EXP(2.21*M902)   )/100*2.45 )</f>
        <v>0.19908580854301616</v>
      </c>
      <c r="P902" s="34" t="s">
        <v>1940</v>
      </c>
    </row>
    <row r="903" spans="1:18" s="803" customFormat="1">
      <c r="A903" s="59" t="s">
        <v>466</v>
      </c>
      <c r="B903" s="336" t="s">
        <v>251</v>
      </c>
      <c r="C903" s="34" t="s">
        <v>139</v>
      </c>
      <c r="D903" s="40" t="s">
        <v>99</v>
      </c>
      <c r="E903" s="237">
        <v>0.52200000000000002</v>
      </c>
      <c r="F903" s="40">
        <v>1</v>
      </c>
      <c r="G903" s="34" t="s">
        <v>412</v>
      </c>
      <c r="H903" s="29">
        <v>1</v>
      </c>
      <c r="I903" s="9">
        <v>2</v>
      </c>
      <c r="J903" s="9">
        <v>2</v>
      </c>
      <c r="K903" s="9">
        <v>1</v>
      </c>
      <c r="L903" s="9">
        <v>1</v>
      </c>
      <c r="M903" s="9">
        <v>1</v>
      </c>
      <c r="N903" s="185">
        <f>IF( OR( ISBLANK(H903),ISBLANK(J903), ISBLANK(K903), ISBLANK(L903), ISBLANK(M903) ), "", 1.5*SQRT(   EXP(2.21*(H903-1)) + EXP(2.21*(J903-1)) + EXP(2.21*(K903-1)) + EXP(2.21*(L903-1)) + EXP(2.21*M903)   )/100*2.45 )</f>
        <v>0.16933510251023262</v>
      </c>
      <c r="O903" s="159">
        <f>IF( OR( ISBLANK(I903),ISBLANK(J903), ISBLANK(K903), ISBLANK(L903), ISBLANK(M903) ), "", 1.5*SQRT( EXP(2.21*(I903-1)) + EXP(2.21*(J903-1)) + EXP(2.21*(K903-1)) + EXP(2.21*(L903-1)) + EXP(2.21*M903)   )/100*2.45 )</f>
        <v>0.19908580854301616</v>
      </c>
      <c r="P903" s="34" t="s">
        <v>1941</v>
      </c>
    </row>
    <row r="904" spans="1:18" s="803" customFormat="1">
      <c r="A904" s="59" t="s">
        <v>466</v>
      </c>
      <c r="B904" s="336" t="s">
        <v>258</v>
      </c>
      <c r="C904" s="34" t="s">
        <v>139</v>
      </c>
      <c r="D904" s="40" t="s">
        <v>99</v>
      </c>
      <c r="E904" s="237">
        <v>3.4000000000000002E-2</v>
      </c>
      <c r="F904" s="40">
        <v>2</v>
      </c>
      <c r="G904" s="34" t="s">
        <v>412</v>
      </c>
      <c r="H904" s="29">
        <v>1</v>
      </c>
      <c r="I904" s="9">
        <v>2</v>
      </c>
      <c r="J904" s="9">
        <v>2</v>
      </c>
      <c r="K904" s="9">
        <v>1</v>
      </c>
      <c r="L904" s="9">
        <v>1</v>
      </c>
      <c r="M904" s="9">
        <v>1</v>
      </c>
      <c r="N904" s="185"/>
      <c r="O904" s="159"/>
      <c r="P904" s="34" t="s">
        <v>1942</v>
      </c>
    </row>
    <row r="905" spans="1:18" s="803" customFormat="1">
      <c r="A905" s="55" t="s">
        <v>238</v>
      </c>
      <c r="B905" s="260" t="s">
        <v>204</v>
      </c>
      <c r="C905" s="55" t="s">
        <v>139</v>
      </c>
      <c r="D905" s="260" t="s">
        <v>139</v>
      </c>
      <c r="E905" s="237">
        <v>2.7E-4</v>
      </c>
      <c r="F905" s="168">
        <v>2</v>
      </c>
      <c r="G905" s="55" t="s">
        <v>163</v>
      </c>
      <c r="H905" s="29">
        <v>2</v>
      </c>
      <c r="I905" s="9">
        <v>2</v>
      </c>
      <c r="J905" s="9">
        <v>2</v>
      </c>
      <c r="K905" s="9">
        <v>3</v>
      </c>
      <c r="L905" s="9">
        <v>3</v>
      </c>
      <c r="M905" s="9">
        <v>3</v>
      </c>
      <c r="N905" s="185">
        <f>IF( OR( ISBLANK(H905),ISBLANK(J905), ISBLANK(K905), ISBLANK(L905), ISBLANK(M905) ), "", 1.5*SQRT(   EXP(2.21*(H905-1)) + EXP(2.21*(J905-1)) + EXP(2.21*(K905-1)) + EXP(2.21*(L905-1)) + EXP(2.21*M905)   )/100*2.45 )</f>
        <v>1.1278755061256258</v>
      </c>
      <c r="O905" s="159">
        <f>IF( OR( ISBLANK(I905),ISBLANK(J905), ISBLANK(K905), ISBLANK(L905), ISBLANK(M905) ), "", 1.5*SQRT( EXP(2.21*(I905-1)) + EXP(2.21*(J905-1)) + EXP(2.21*(K905-1)) + EXP(2.21*(L905-1)) + EXP(2.21*M905)   )/100*2.45 )</f>
        <v>1.1278755061256258</v>
      </c>
      <c r="P905" s="34"/>
    </row>
    <row r="906" spans="1:18" s="803" customFormat="1">
      <c r="A906" s="55" t="s">
        <v>238</v>
      </c>
      <c r="B906" s="260" t="s">
        <v>223</v>
      </c>
      <c r="C906" s="55" t="s">
        <v>139</v>
      </c>
      <c r="D906" s="260" t="s">
        <v>139</v>
      </c>
      <c r="E906" s="237" t="s">
        <v>150</v>
      </c>
      <c r="F906" s="168">
        <v>1</v>
      </c>
      <c r="G906" s="55" t="s">
        <v>163</v>
      </c>
      <c r="H906" s="29"/>
      <c r="I906" s="9"/>
      <c r="J906" s="9"/>
      <c r="K906" s="9"/>
      <c r="L906" s="9"/>
      <c r="M906" s="9"/>
      <c r="N906" s="185" t="str">
        <f>IF( OR( ISBLANK(H906),ISBLANK(J906), ISBLANK(K906), ISBLANK(L906), ISBLANK(M906) ), "", 1.5*SQRT(   EXP(2.21*(H906-1)) + EXP(2.21*(J906-1)) + EXP(2.21*(K906-1)) + EXP(2.21*(L906-1)) + EXP(2.21*M906)   )/100*2.45 )</f>
        <v/>
      </c>
      <c r="O906" s="159" t="str">
        <f>IF( OR( ISBLANK(I906),ISBLANK(J906), ISBLANK(K906), ISBLANK(L906), ISBLANK(M906) ), "", 1.5*SQRT( EXP(2.21*(I906-1)) + EXP(2.21*(J906-1)) + EXP(2.21*(K906-1)) + EXP(2.21*(L906-1)) + EXP(2.21*M906)   )/100*2.45 )</f>
        <v/>
      </c>
      <c r="P906" s="34"/>
      <c r="R906" s="821"/>
    </row>
    <row r="907" spans="1:18" s="803" customFormat="1">
      <c r="A907" s="34" t="s">
        <v>39</v>
      </c>
      <c r="B907" s="40" t="s">
        <v>138</v>
      </c>
      <c r="C907" s="34" t="s">
        <v>139</v>
      </c>
      <c r="D907" s="40" t="s">
        <v>85</v>
      </c>
      <c r="E907" s="237">
        <v>0</v>
      </c>
      <c r="F907" s="168">
        <v>1</v>
      </c>
      <c r="G907" s="34" t="s">
        <v>140</v>
      </c>
      <c r="H907" s="29"/>
      <c r="I907" s="9"/>
      <c r="J907" s="9"/>
      <c r="K907" s="9"/>
      <c r="L907" s="9"/>
      <c r="M907" s="9"/>
      <c r="N907" s="185" t="str">
        <f>IF( OR( ISBLANK(H907),ISBLANK(J907), ISBLANK(K907), ISBLANK(L907), ISBLANK(M907) ), "", 1.5*SQRT(   EXP(2.21*(H907-1)) + EXP(2.21*(J907-1)) + EXP(2.21*(K907-1)) + EXP(2.21*(L907-1)) + EXP(2.21*M907)   )/100*2.45 )</f>
        <v/>
      </c>
      <c r="O907" s="159" t="str">
        <f>IF( OR( ISBLANK(I907),ISBLANK(J907), ISBLANK(K907), ISBLANK(L907), ISBLANK(M907) ), "", 1.5*SQRT( EXP(2.21*(I907-1)) + EXP(2.21*(J907-1)) + EXP(2.21*(K907-1)) + EXP(2.21*(L907-1)) + EXP(2.21*M907)   )/100*2.45 )</f>
        <v/>
      </c>
      <c r="P907" s="34"/>
    </row>
    <row r="908" spans="1:18" s="803" customFormat="1">
      <c r="A908" s="34" t="s">
        <v>39</v>
      </c>
      <c r="B908" s="40" t="s">
        <v>138</v>
      </c>
      <c r="C908" s="34" t="s">
        <v>139</v>
      </c>
      <c r="D908" s="40" t="s">
        <v>86</v>
      </c>
      <c r="E908" s="237">
        <v>1.2200000000000001E-2</v>
      </c>
      <c r="F908" s="168">
        <v>1</v>
      </c>
      <c r="G908" s="34" t="s">
        <v>140</v>
      </c>
      <c r="H908" s="29">
        <v>2</v>
      </c>
      <c r="I908" s="9">
        <v>2</v>
      </c>
      <c r="J908" s="9">
        <v>2</v>
      </c>
      <c r="K908" s="9">
        <v>1</v>
      </c>
      <c r="L908" s="9">
        <v>1</v>
      </c>
      <c r="M908" s="9">
        <v>2</v>
      </c>
      <c r="N908" s="185">
        <f>IF( OR( ISBLANK(H908),ISBLANK(J908), ISBLANK(K908), ISBLANK(L908), ISBLANK(M908) ), "", 1.5*SQRT(   EXP(2.21*(H908-1)) + EXP(2.21*(J908-1)) + EXP(2.21*(K908-1)) + EXP(2.21*(L908-1)) + EXP(2.21*M908)   )/100*2.45 )</f>
        <v>0.37356464144298934</v>
      </c>
      <c r="O908" s="159">
        <f>IF( OR( ISBLANK(I908),ISBLANK(J908), ISBLANK(K908), ISBLANK(L908), ISBLANK(M908) ), "", 1.5*SQRT( EXP(2.21*(I908-1)) + EXP(2.21*(J908-1)) + EXP(2.21*(K908-1)) + EXP(2.21*(L908-1)) + EXP(2.21*M908)   )/100*2.45 )</f>
        <v>0.37356464144298934</v>
      </c>
      <c r="P908" s="34"/>
    </row>
    <row r="909" spans="1:18" s="803" customFormat="1">
      <c r="A909" s="34" t="s">
        <v>39</v>
      </c>
      <c r="B909" s="40" t="s">
        <v>138</v>
      </c>
      <c r="C909" s="34" t="s">
        <v>139</v>
      </c>
      <c r="D909" s="40" t="s">
        <v>87</v>
      </c>
      <c r="E909" s="237">
        <v>0</v>
      </c>
      <c r="F909" s="168">
        <v>1</v>
      </c>
      <c r="G909" s="34" t="s">
        <v>140</v>
      </c>
      <c r="H909" s="29"/>
      <c r="I909" s="9"/>
      <c r="J909" s="9"/>
      <c r="K909" s="9"/>
      <c r="L909" s="9"/>
      <c r="M909" s="9"/>
      <c r="N909" s="185" t="str">
        <f>IF( OR( ISBLANK(H909),ISBLANK(J909), ISBLANK(K909), ISBLANK(L909), ISBLANK(M909) ), "", 1.5*SQRT(   EXP(2.21*(H909-1)) + EXP(2.21*(J909-1)) + EXP(2.21*(K909-1)) + EXP(2.21*(L909-1)) + EXP(2.21*M909)   )/100*2.45 )</f>
        <v/>
      </c>
      <c r="O909" s="159" t="str">
        <f>IF( OR( ISBLANK(I909),ISBLANK(J909), ISBLANK(K909), ISBLANK(L909), ISBLANK(M909) ), "", 1.5*SQRT( EXP(2.21*(I909-1)) + EXP(2.21*(J909-1)) + EXP(2.21*(K909-1)) + EXP(2.21*(L909-1)) + EXP(2.21*M909)   )/100*2.45 )</f>
        <v/>
      </c>
      <c r="P909" s="34"/>
    </row>
    <row r="910" spans="1:18" s="803" customFormat="1">
      <c r="A910" s="34" t="s">
        <v>39</v>
      </c>
      <c r="B910" s="40" t="s">
        <v>138</v>
      </c>
      <c r="C910" s="34" t="s">
        <v>139</v>
      </c>
      <c r="D910" s="40" t="s">
        <v>88</v>
      </c>
      <c r="E910" s="237">
        <v>0</v>
      </c>
      <c r="F910" s="168">
        <v>1</v>
      </c>
      <c r="G910" s="34" t="s">
        <v>140</v>
      </c>
      <c r="H910" s="29"/>
      <c r="I910" s="9"/>
      <c r="J910" s="9"/>
      <c r="K910" s="9"/>
      <c r="L910" s="9"/>
      <c r="M910" s="9"/>
      <c r="N910" s="185" t="str">
        <f>IF( OR( ISBLANK(H910),ISBLANK(J910), ISBLANK(K910), ISBLANK(L910), ISBLANK(M910) ), "", 1.5*SQRT(   EXP(2.21*(H910-1)) + EXP(2.21*(J910-1)) + EXP(2.21*(K910-1)) + EXP(2.21*(L910-1)) + EXP(2.21*M910)   )/100*2.45 )</f>
        <v/>
      </c>
      <c r="O910" s="159" t="str">
        <f>IF( OR( ISBLANK(I910),ISBLANK(J910), ISBLANK(K910), ISBLANK(L910), ISBLANK(M910) ), "", 1.5*SQRT( EXP(2.21*(I910-1)) + EXP(2.21*(J910-1)) + EXP(2.21*(K910-1)) + EXP(2.21*(L910-1)) + EXP(2.21*M910)   )/100*2.45 )</f>
        <v/>
      </c>
      <c r="P910" s="34"/>
    </row>
    <row r="911" spans="1:18" s="803" customFormat="1">
      <c r="A911" s="34" t="s">
        <v>39</v>
      </c>
      <c r="B911" s="40" t="s">
        <v>138</v>
      </c>
      <c r="C911" s="34" t="s">
        <v>139</v>
      </c>
      <c r="D911" s="40" t="s">
        <v>89</v>
      </c>
      <c r="E911" s="237">
        <v>0</v>
      </c>
      <c r="F911" s="168">
        <v>1</v>
      </c>
      <c r="G911" s="34" t="s">
        <v>140</v>
      </c>
      <c r="H911" s="29"/>
      <c r="I911" s="9"/>
      <c r="J911" s="9"/>
      <c r="K911" s="9"/>
      <c r="L911" s="9"/>
      <c r="M911" s="9"/>
      <c r="N911" s="185" t="str">
        <f>IF( OR( ISBLANK(H911),ISBLANK(J911), ISBLANK(K911), ISBLANK(L911), ISBLANK(M911) ), "", 1.5*SQRT(   EXP(2.21*(H911-1)) + EXP(2.21*(J911-1)) + EXP(2.21*(K911-1)) + EXP(2.21*(L911-1)) + EXP(2.21*M911)   )/100*2.45 )</f>
        <v/>
      </c>
      <c r="O911" s="159" t="str">
        <f>IF( OR( ISBLANK(I911),ISBLANK(J911), ISBLANK(K911), ISBLANK(L911), ISBLANK(M911) ), "", 1.5*SQRT( EXP(2.21*(I911-1)) + EXP(2.21*(J911-1)) + EXP(2.21*(K911-1)) + EXP(2.21*(L911-1)) + EXP(2.21*M911)   )/100*2.45 )</f>
        <v/>
      </c>
      <c r="P911" s="34"/>
    </row>
    <row r="912" spans="1:18" s="803" customFormat="1">
      <c r="A912" s="34" t="s">
        <v>39</v>
      </c>
      <c r="B912" s="40" t="s">
        <v>138</v>
      </c>
      <c r="C912" s="34" t="s">
        <v>139</v>
      </c>
      <c r="D912" s="40" t="s">
        <v>90</v>
      </c>
      <c r="E912" s="237">
        <v>0</v>
      </c>
      <c r="F912" s="168">
        <v>1</v>
      </c>
      <c r="G912" s="34" t="s">
        <v>140</v>
      </c>
      <c r="H912" s="29"/>
      <c r="I912" s="9"/>
      <c r="J912" s="9"/>
      <c r="K912" s="9"/>
      <c r="L912" s="9"/>
      <c r="M912" s="9"/>
      <c r="N912" s="185" t="str">
        <f>IF( OR( ISBLANK(H912),ISBLANK(J912), ISBLANK(K912), ISBLANK(L912), ISBLANK(M912) ), "", 1.5*SQRT(   EXP(2.21*(H912-1)) + EXP(2.21*(J912-1)) + EXP(2.21*(K912-1)) + EXP(2.21*(L912-1)) + EXP(2.21*M912)   )/100*2.45 )</f>
        <v/>
      </c>
      <c r="O912" s="159" t="str">
        <f>IF( OR( ISBLANK(I912),ISBLANK(J912), ISBLANK(K912), ISBLANK(L912), ISBLANK(M912) ), "", 1.5*SQRT( EXP(2.21*(I912-1)) + EXP(2.21*(J912-1)) + EXP(2.21*(K912-1)) + EXP(2.21*(L912-1)) + EXP(2.21*M912)   )/100*2.45 )</f>
        <v/>
      </c>
      <c r="P912" s="34"/>
    </row>
    <row r="913" spans="1:16" s="803" customFormat="1">
      <c r="A913" s="34" t="s">
        <v>39</v>
      </c>
      <c r="B913" s="40" t="s">
        <v>138</v>
      </c>
      <c r="C913" s="34" t="s">
        <v>139</v>
      </c>
      <c r="D913" s="40" t="s">
        <v>91</v>
      </c>
      <c r="E913" s="237">
        <v>0</v>
      </c>
      <c r="F913" s="168">
        <v>1</v>
      </c>
      <c r="G913" s="34" t="s">
        <v>140</v>
      </c>
      <c r="H913" s="29"/>
      <c r="I913" s="9"/>
      <c r="J913" s="9"/>
      <c r="K913" s="9"/>
      <c r="L913" s="9"/>
      <c r="M913" s="9"/>
      <c r="N913" s="185" t="str">
        <f>IF( OR( ISBLANK(H913),ISBLANK(J913), ISBLANK(K913), ISBLANK(L913), ISBLANK(M913) ), "", 1.5*SQRT(   EXP(2.21*(H913-1)) + EXP(2.21*(J913-1)) + EXP(2.21*(K913-1)) + EXP(2.21*(L913-1)) + EXP(2.21*M913)   )/100*2.45 )</f>
        <v/>
      </c>
      <c r="O913" s="159" t="str">
        <f>IF( OR( ISBLANK(I913),ISBLANK(J913), ISBLANK(K913), ISBLANK(L913), ISBLANK(M913) ), "", 1.5*SQRT( EXP(2.21*(I913-1)) + EXP(2.21*(J913-1)) + EXP(2.21*(K913-1)) + EXP(2.21*(L913-1)) + EXP(2.21*M913)   )/100*2.45 )</f>
        <v/>
      </c>
      <c r="P913" s="34"/>
    </row>
    <row r="914" spans="1:16" s="803" customFormat="1">
      <c r="A914" s="34" t="s">
        <v>39</v>
      </c>
      <c r="B914" s="40" t="s">
        <v>138</v>
      </c>
      <c r="C914" s="34" t="s">
        <v>139</v>
      </c>
      <c r="D914" s="40" t="s">
        <v>98</v>
      </c>
      <c r="E914" s="237">
        <v>0</v>
      </c>
      <c r="F914" s="168">
        <v>1</v>
      </c>
      <c r="G914" s="34" t="s">
        <v>141</v>
      </c>
      <c r="H914" s="29"/>
      <c r="I914" s="9"/>
      <c r="J914" s="9"/>
      <c r="K914" s="9"/>
      <c r="L914" s="9"/>
      <c r="M914" s="9"/>
      <c r="N914" s="185" t="str">
        <f>IF( OR( ISBLANK(H914),ISBLANK(J914), ISBLANK(K914), ISBLANK(L914), ISBLANK(M914) ), "", 1.5*SQRT(   EXP(2.21*(H914-1)) + EXP(2.21*(J914-1)) + EXP(2.21*(K914-1)) + EXP(2.21*(L914-1)) + EXP(2.21*M914)   )/100*2.45 )</f>
        <v/>
      </c>
      <c r="O914" s="159" t="str">
        <f>IF( OR( ISBLANK(I914),ISBLANK(J914), ISBLANK(K914), ISBLANK(L914), ISBLANK(M914) ), "", 1.5*SQRT( EXP(2.21*(I914-1)) + EXP(2.21*(J914-1)) + EXP(2.21*(K914-1)) + EXP(2.21*(L914-1)) + EXP(2.21*M914)   )/100*2.45 )</f>
        <v/>
      </c>
      <c r="P914" s="34"/>
    </row>
    <row r="915" spans="1:16" s="803" customFormat="1">
      <c r="A915" s="34" t="s">
        <v>39</v>
      </c>
      <c r="B915" s="40" t="s">
        <v>142</v>
      </c>
      <c r="C915" s="34" t="s">
        <v>139</v>
      </c>
      <c r="D915" s="40" t="s">
        <v>85</v>
      </c>
      <c r="E915" s="237">
        <v>3.2899999999999999E-2</v>
      </c>
      <c r="F915" s="168">
        <v>1</v>
      </c>
      <c r="G915" s="34" t="s">
        <v>140</v>
      </c>
      <c r="H915" s="29">
        <v>2</v>
      </c>
      <c r="I915" s="9">
        <v>2</v>
      </c>
      <c r="J915" s="9">
        <v>2</v>
      </c>
      <c r="K915" s="9">
        <v>1</v>
      </c>
      <c r="L915" s="9">
        <v>1</v>
      </c>
      <c r="M915" s="9">
        <v>2</v>
      </c>
      <c r="N915" s="185">
        <f>IF( OR( ISBLANK(H915),ISBLANK(J915), ISBLANK(K915), ISBLANK(L915), ISBLANK(M915) ), "", 1.5*SQRT(   EXP(2.21*(H915-1)) + EXP(2.21*(J915-1)) + EXP(2.21*(K915-1)) + EXP(2.21*(L915-1)) + EXP(2.21*M915)   )/100*2.45 )</f>
        <v>0.37356464144298934</v>
      </c>
      <c r="O915" s="159">
        <f>IF( OR( ISBLANK(I915),ISBLANK(J915), ISBLANK(K915), ISBLANK(L915), ISBLANK(M915) ), "", 1.5*SQRT( EXP(2.21*(I915-1)) + EXP(2.21*(J915-1)) + EXP(2.21*(K915-1)) + EXP(2.21*(L915-1)) + EXP(2.21*M915)   )/100*2.45 )</f>
        <v>0.37356464144298934</v>
      </c>
      <c r="P915" s="34"/>
    </row>
    <row r="916" spans="1:16" s="803" customFormat="1">
      <c r="A916" s="34" t="s">
        <v>39</v>
      </c>
      <c r="B916" s="40" t="s">
        <v>142</v>
      </c>
      <c r="C916" s="34" t="s">
        <v>139</v>
      </c>
      <c r="D916" s="40" t="s">
        <v>86</v>
      </c>
      <c r="E916" s="237">
        <v>0</v>
      </c>
      <c r="F916" s="168">
        <v>1</v>
      </c>
      <c r="G916" s="34" t="s">
        <v>140</v>
      </c>
      <c r="H916" s="29"/>
      <c r="I916" s="9"/>
      <c r="J916" s="9"/>
      <c r="K916" s="9"/>
      <c r="L916" s="9"/>
      <c r="M916" s="9"/>
      <c r="N916" s="185" t="str">
        <f>IF( OR( ISBLANK(H916),ISBLANK(J916), ISBLANK(K916), ISBLANK(L916), ISBLANK(M916) ), "", 1.5*SQRT(   EXP(2.21*(H916-1)) + EXP(2.21*(J916-1)) + EXP(2.21*(K916-1)) + EXP(2.21*(L916-1)) + EXP(2.21*M916)   )/100*2.45 )</f>
        <v/>
      </c>
      <c r="O916" s="159" t="str">
        <f>IF( OR( ISBLANK(I916),ISBLANK(J916), ISBLANK(K916), ISBLANK(L916), ISBLANK(M916) ), "", 1.5*SQRT( EXP(2.21*(I916-1)) + EXP(2.21*(J916-1)) + EXP(2.21*(K916-1)) + EXP(2.21*(L916-1)) + EXP(2.21*M916)   )/100*2.45 )</f>
        <v/>
      </c>
      <c r="P916" s="34"/>
    </row>
    <row r="917" spans="1:16" s="803" customFormat="1">
      <c r="A917" s="34" t="s">
        <v>39</v>
      </c>
      <c r="B917" s="40" t="s">
        <v>142</v>
      </c>
      <c r="C917" s="34" t="s">
        <v>139</v>
      </c>
      <c r="D917" s="40" t="s">
        <v>87</v>
      </c>
      <c r="E917" s="237">
        <v>2.58E-2</v>
      </c>
      <c r="F917" s="168">
        <v>1</v>
      </c>
      <c r="G917" s="34" t="s">
        <v>140</v>
      </c>
      <c r="H917" s="29">
        <v>2</v>
      </c>
      <c r="I917" s="9">
        <v>2</v>
      </c>
      <c r="J917" s="9">
        <v>2</v>
      </c>
      <c r="K917" s="9">
        <v>1</v>
      </c>
      <c r="L917" s="9">
        <v>1</v>
      </c>
      <c r="M917" s="9">
        <v>2</v>
      </c>
      <c r="N917" s="185">
        <f>IF( OR( ISBLANK(H917),ISBLANK(J917), ISBLANK(K917), ISBLANK(L917), ISBLANK(M917) ), "", 1.5*SQRT(   EXP(2.21*(H917-1)) + EXP(2.21*(J917-1)) + EXP(2.21*(K917-1)) + EXP(2.21*(L917-1)) + EXP(2.21*M917)   )/100*2.45 )</f>
        <v>0.37356464144298934</v>
      </c>
      <c r="O917" s="159">
        <f>IF( OR( ISBLANK(I917),ISBLANK(J917), ISBLANK(K917), ISBLANK(L917), ISBLANK(M917) ), "", 1.5*SQRT( EXP(2.21*(I917-1)) + EXP(2.21*(J917-1)) + EXP(2.21*(K917-1)) + EXP(2.21*(L917-1)) + EXP(2.21*M917)   )/100*2.45 )</f>
        <v>0.37356464144298934</v>
      </c>
      <c r="P917" s="34"/>
    </row>
    <row r="918" spans="1:16" s="803" customFormat="1">
      <c r="A918" s="34" t="s">
        <v>39</v>
      </c>
      <c r="B918" s="40" t="s">
        <v>142</v>
      </c>
      <c r="C918" s="34" t="s">
        <v>139</v>
      </c>
      <c r="D918" s="40" t="s">
        <v>88</v>
      </c>
      <c r="E918" s="237">
        <v>0</v>
      </c>
      <c r="F918" s="168">
        <v>1</v>
      </c>
      <c r="G918" s="34" t="s">
        <v>140</v>
      </c>
      <c r="H918" s="29"/>
      <c r="I918" s="9"/>
      <c r="J918" s="9"/>
      <c r="K918" s="9"/>
      <c r="L918" s="9"/>
      <c r="M918" s="9"/>
      <c r="N918" s="185" t="str">
        <f>IF( OR( ISBLANK(H918),ISBLANK(J918), ISBLANK(K918), ISBLANK(L918), ISBLANK(M918) ), "", 1.5*SQRT(   EXP(2.21*(H918-1)) + EXP(2.21*(J918-1)) + EXP(2.21*(K918-1)) + EXP(2.21*(L918-1)) + EXP(2.21*M918)   )/100*2.45 )</f>
        <v/>
      </c>
      <c r="O918" s="159" t="str">
        <f>IF( OR( ISBLANK(I918),ISBLANK(J918), ISBLANK(K918), ISBLANK(L918), ISBLANK(M918) ), "", 1.5*SQRT( EXP(2.21*(I918-1)) + EXP(2.21*(J918-1)) + EXP(2.21*(K918-1)) + EXP(2.21*(L918-1)) + EXP(2.21*M918)   )/100*2.45 )</f>
        <v/>
      </c>
      <c r="P918" s="34"/>
    </row>
    <row r="919" spans="1:16" s="803" customFormat="1">
      <c r="A919" s="34" t="s">
        <v>39</v>
      </c>
      <c r="B919" s="40" t="s">
        <v>142</v>
      </c>
      <c r="C919" s="34" t="s">
        <v>139</v>
      </c>
      <c r="D919" s="40" t="s">
        <v>89</v>
      </c>
      <c r="E919" s="237">
        <v>0</v>
      </c>
      <c r="F919" s="168">
        <v>1</v>
      </c>
      <c r="G919" s="34" t="s">
        <v>140</v>
      </c>
      <c r="H919" s="29"/>
      <c r="I919" s="9"/>
      <c r="J919" s="9"/>
      <c r="K919" s="9"/>
      <c r="L919" s="9"/>
      <c r="M919" s="9"/>
      <c r="N919" s="185" t="str">
        <f>IF( OR( ISBLANK(H919),ISBLANK(J919), ISBLANK(K919), ISBLANK(L919), ISBLANK(M919) ), "", 1.5*SQRT(   EXP(2.21*(H919-1)) + EXP(2.21*(J919-1)) + EXP(2.21*(K919-1)) + EXP(2.21*(L919-1)) + EXP(2.21*M919)   )/100*2.45 )</f>
        <v/>
      </c>
      <c r="O919" s="159" t="str">
        <f>IF( OR( ISBLANK(I919),ISBLANK(J919), ISBLANK(K919), ISBLANK(L919), ISBLANK(M919) ), "", 1.5*SQRT( EXP(2.21*(I919-1)) + EXP(2.21*(J919-1)) + EXP(2.21*(K919-1)) + EXP(2.21*(L919-1)) + EXP(2.21*M919)   )/100*2.45 )</f>
        <v/>
      </c>
      <c r="P919" s="34"/>
    </row>
    <row r="920" spans="1:16" s="803" customFormat="1">
      <c r="A920" s="34" t="s">
        <v>39</v>
      </c>
      <c r="B920" s="40" t="s">
        <v>142</v>
      </c>
      <c r="C920" s="34" t="s">
        <v>139</v>
      </c>
      <c r="D920" s="40" t="s">
        <v>90</v>
      </c>
      <c r="E920" s="237">
        <v>0</v>
      </c>
      <c r="F920" s="168">
        <v>1</v>
      </c>
      <c r="G920" s="34" t="s">
        <v>140</v>
      </c>
      <c r="H920" s="29"/>
      <c r="I920" s="9"/>
      <c r="J920" s="9"/>
      <c r="K920" s="9"/>
      <c r="L920" s="9"/>
      <c r="M920" s="9"/>
      <c r="N920" s="185" t="str">
        <f>IF( OR( ISBLANK(H920),ISBLANK(J920), ISBLANK(K920), ISBLANK(L920), ISBLANK(M920) ), "", 1.5*SQRT(   EXP(2.21*(H920-1)) + EXP(2.21*(J920-1)) + EXP(2.21*(K920-1)) + EXP(2.21*(L920-1)) + EXP(2.21*M920)   )/100*2.45 )</f>
        <v/>
      </c>
      <c r="O920" s="159" t="str">
        <f>IF( OR( ISBLANK(I920),ISBLANK(J920), ISBLANK(K920), ISBLANK(L920), ISBLANK(M920) ), "", 1.5*SQRT( EXP(2.21*(I920-1)) + EXP(2.21*(J920-1)) + EXP(2.21*(K920-1)) + EXP(2.21*(L920-1)) + EXP(2.21*M920)   )/100*2.45 )</f>
        <v/>
      </c>
      <c r="P920" s="34"/>
    </row>
    <row r="921" spans="1:16" s="803" customFormat="1">
      <c r="A921" s="34" t="s">
        <v>39</v>
      </c>
      <c r="B921" s="40" t="s">
        <v>142</v>
      </c>
      <c r="C921" s="34" t="s">
        <v>139</v>
      </c>
      <c r="D921" s="40" t="s">
        <v>91</v>
      </c>
      <c r="E921" s="237">
        <v>0</v>
      </c>
      <c r="F921" s="168">
        <v>1</v>
      </c>
      <c r="G921" s="34" t="s">
        <v>140</v>
      </c>
      <c r="H921" s="29"/>
      <c r="I921" s="9"/>
      <c r="J921" s="9"/>
      <c r="K921" s="9"/>
      <c r="L921" s="9"/>
      <c r="M921" s="9"/>
      <c r="N921" s="185" t="str">
        <f>IF( OR( ISBLANK(H921),ISBLANK(J921), ISBLANK(K921), ISBLANK(L921), ISBLANK(M921) ), "", 1.5*SQRT(   EXP(2.21*(H921-1)) + EXP(2.21*(J921-1)) + EXP(2.21*(K921-1)) + EXP(2.21*(L921-1)) + EXP(2.21*M921)   )/100*2.45 )</f>
        <v/>
      </c>
      <c r="O921" s="159" t="str">
        <f>IF( OR( ISBLANK(I921),ISBLANK(J921), ISBLANK(K921), ISBLANK(L921), ISBLANK(M921) ), "", 1.5*SQRT( EXP(2.21*(I921-1)) + EXP(2.21*(J921-1)) + EXP(2.21*(K921-1)) + EXP(2.21*(L921-1)) + EXP(2.21*M921)   )/100*2.45 )</f>
        <v/>
      </c>
      <c r="P921" s="34"/>
    </row>
    <row r="922" spans="1:16" s="803" customFormat="1">
      <c r="A922" s="34" t="s">
        <v>39</v>
      </c>
      <c r="B922" s="40" t="s">
        <v>142</v>
      </c>
      <c r="C922" s="34" t="s">
        <v>139</v>
      </c>
      <c r="D922" s="40" t="s">
        <v>98</v>
      </c>
      <c r="E922" s="237">
        <v>1.3310580204778157E-2</v>
      </c>
      <c r="F922" s="168">
        <v>1</v>
      </c>
      <c r="G922" s="34" t="s">
        <v>141</v>
      </c>
      <c r="H922" s="29">
        <v>2</v>
      </c>
      <c r="I922" s="9">
        <v>1</v>
      </c>
      <c r="J922" s="9">
        <v>2</v>
      </c>
      <c r="K922" s="9">
        <v>2</v>
      </c>
      <c r="L922" s="9">
        <v>1</v>
      </c>
      <c r="M922" s="9">
        <v>2</v>
      </c>
      <c r="N922" s="185">
        <f>IF( OR( ISBLANK(H922),ISBLANK(J922), ISBLANK(K922), ISBLANK(L922), ISBLANK(M922) ), "", 1.5*SQRT(   EXP(2.21*(H922-1)) + EXP(2.21*(J922-1)) + EXP(2.21*(K922-1)) + EXP(2.21*(L922-1)) + EXP(2.21*M922)   )/100*2.45 )</f>
        <v>0.38795788889711302</v>
      </c>
      <c r="O922" s="159">
        <f>IF( OR( ISBLANK(I922),ISBLANK(J922), ISBLANK(K922), ISBLANK(L922), ISBLANK(M922) ), "", 1.5*SQRT( EXP(2.21*(I922-1)) + EXP(2.21*(J922-1)) + EXP(2.21*(K922-1)) + EXP(2.21*(L922-1)) + EXP(2.21*M922)   )/100*2.45 )</f>
        <v>0.37356464144298934</v>
      </c>
      <c r="P922" s="34"/>
    </row>
    <row r="923" spans="1:16" s="803" customFormat="1">
      <c r="A923" s="34" t="s">
        <v>39</v>
      </c>
      <c r="B923" s="40" t="s">
        <v>183</v>
      </c>
      <c r="C923" s="34" t="s">
        <v>139</v>
      </c>
      <c r="D923" s="40" t="s">
        <v>85</v>
      </c>
      <c r="E923" s="237">
        <v>1.41E-2</v>
      </c>
      <c r="F923" s="168">
        <v>1</v>
      </c>
      <c r="G923" s="34" t="s">
        <v>140</v>
      </c>
      <c r="H923" s="29">
        <v>2</v>
      </c>
      <c r="I923" s="9">
        <v>2</v>
      </c>
      <c r="J923" s="9">
        <v>2</v>
      </c>
      <c r="K923" s="9">
        <v>1</v>
      </c>
      <c r="L923" s="9">
        <v>1</v>
      </c>
      <c r="M923" s="9">
        <v>2</v>
      </c>
      <c r="N923" s="185">
        <f>IF( OR( ISBLANK(H923),ISBLANK(J923), ISBLANK(K923), ISBLANK(L923), ISBLANK(M923) ), "", 1.5*SQRT(   EXP(2.21*(H923-1)) + EXP(2.21*(J923-1)) + EXP(2.21*(K923-1)) + EXP(2.21*(L923-1)) + EXP(2.21*M923)   )/100*2.45 )</f>
        <v>0.37356464144298934</v>
      </c>
      <c r="O923" s="159">
        <f>IF( OR( ISBLANK(I923),ISBLANK(J923), ISBLANK(K923), ISBLANK(L923), ISBLANK(M923) ), "", 1.5*SQRT( EXP(2.21*(I923-1)) + EXP(2.21*(J923-1)) + EXP(2.21*(K923-1)) + EXP(2.21*(L923-1)) + EXP(2.21*M923)   )/100*2.45 )</f>
        <v>0.37356464144298934</v>
      </c>
      <c r="P923" s="34"/>
    </row>
    <row r="924" spans="1:16" s="803" customFormat="1">
      <c r="A924" s="34" t="s">
        <v>39</v>
      </c>
      <c r="B924" s="40" t="s">
        <v>183</v>
      </c>
      <c r="C924" s="34" t="s">
        <v>139</v>
      </c>
      <c r="D924" s="40" t="s">
        <v>86</v>
      </c>
      <c r="E924" s="237">
        <v>0</v>
      </c>
      <c r="F924" s="168">
        <v>1</v>
      </c>
      <c r="G924" s="34" t="s">
        <v>140</v>
      </c>
      <c r="H924" s="29"/>
      <c r="I924" s="9"/>
      <c r="J924" s="9"/>
      <c r="K924" s="9"/>
      <c r="L924" s="9"/>
      <c r="M924" s="9"/>
      <c r="N924" s="185" t="str">
        <f>IF( OR( ISBLANK(H924),ISBLANK(J924), ISBLANK(K924), ISBLANK(L924), ISBLANK(M924) ), "", 1.5*SQRT(   EXP(2.21*(H924-1)) + EXP(2.21*(J924-1)) + EXP(2.21*(K924-1)) + EXP(2.21*(L924-1)) + EXP(2.21*M924)   )/100*2.45 )</f>
        <v/>
      </c>
      <c r="O924" s="159" t="str">
        <f>IF( OR( ISBLANK(I924),ISBLANK(J924), ISBLANK(K924), ISBLANK(L924), ISBLANK(M924) ), "", 1.5*SQRT( EXP(2.21*(I924-1)) + EXP(2.21*(J924-1)) + EXP(2.21*(K924-1)) + EXP(2.21*(L924-1)) + EXP(2.21*M924)   )/100*2.45 )</f>
        <v/>
      </c>
      <c r="P924" s="34"/>
    </row>
    <row r="925" spans="1:16" s="803" customFormat="1">
      <c r="A925" s="34" t="s">
        <v>39</v>
      </c>
      <c r="B925" s="40" t="s">
        <v>183</v>
      </c>
      <c r="C925" s="34" t="s">
        <v>139</v>
      </c>
      <c r="D925" s="40" t="s">
        <v>87</v>
      </c>
      <c r="E925" s="237">
        <v>0</v>
      </c>
      <c r="F925" s="168">
        <v>1</v>
      </c>
      <c r="G925" s="34" t="s">
        <v>140</v>
      </c>
      <c r="H925" s="29"/>
      <c r="I925" s="9"/>
      <c r="J925" s="9"/>
      <c r="K925" s="9"/>
      <c r="L925" s="9"/>
      <c r="M925" s="9"/>
      <c r="N925" s="185" t="str">
        <f>IF( OR( ISBLANK(H925),ISBLANK(J925), ISBLANK(K925), ISBLANK(L925), ISBLANK(M925) ), "", 1.5*SQRT(   EXP(2.21*(H925-1)) + EXP(2.21*(J925-1)) + EXP(2.21*(K925-1)) + EXP(2.21*(L925-1)) + EXP(2.21*M925)   )/100*2.45 )</f>
        <v/>
      </c>
      <c r="O925" s="159" t="str">
        <f>IF( OR( ISBLANK(I925),ISBLANK(J925), ISBLANK(K925), ISBLANK(L925), ISBLANK(M925) ), "", 1.5*SQRT( EXP(2.21*(I925-1)) + EXP(2.21*(J925-1)) + EXP(2.21*(K925-1)) + EXP(2.21*(L925-1)) + EXP(2.21*M925)   )/100*2.45 )</f>
        <v/>
      </c>
      <c r="P925" s="34"/>
    </row>
    <row r="926" spans="1:16" s="803" customFormat="1">
      <c r="A926" s="34" t="s">
        <v>39</v>
      </c>
      <c r="B926" s="40" t="s">
        <v>183</v>
      </c>
      <c r="C926" s="34" t="s">
        <v>139</v>
      </c>
      <c r="D926" s="40" t="s">
        <v>88</v>
      </c>
      <c r="E926" s="237">
        <v>0</v>
      </c>
      <c r="F926" s="168">
        <v>1</v>
      </c>
      <c r="G926" s="34" t="s">
        <v>140</v>
      </c>
      <c r="H926" s="29"/>
      <c r="I926" s="9"/>
      <c r="J926" s="9"/>
      <c r="K926" s="9"/>
      <c r="L926" s="9"/>
      <c r="M926" s="9"/>
      <c r="N926" s="185" t="str">
        <f>IF( OR( ISBLANK(H926),ISBLANK(J926), ISBLANK(K926), ISBLANK(L926), ISBLANK(M926) ), "", 1.5*SQRT(   EXP(2.21*(H926-1)) + EXP(2.21*(J926-1)) + EXP(2.21*(K926-1)) + EXP(2.21*(L926-1)) + EXP(2.21*M926)   )/100*2.45 )</f>
        <v/>
      </c>
      <c r="O926" s="159" t="str">
        <f>IF( OR( ISBLANK(I926),ISBLANK(J926), ISBLANK(K926), ISBLANK(L926), ISBLANK(M926) ), "", 1.5*SQRT( EXP(2.21*(I926-1)) + EXP(2.21*(J926-1)) + EXP(2.21*(K926-1)) + EXP(2.21*(L926-1)) + EXP(2.21*M926)   )/100*2.45 )</f>
        <v/>
      </c>
      <c r="P926" s="34"/>
    </row>
    <row r="927" spans="1:16" s="803" customFormat="1">
      <c r="A927" s="34" t="s">
        <v>39</v>
      </c>
      <c r="B927" s="40" t="s">
        <v>183</v>
      </c>
      <c r="C927" s="34" t="s">
        <v>139</v>
      </c>
      <c r="D927" s="40" t="s">
        <v>89</v>
      </c>
      <c r="E927" s="237">
        <v>0</v>
      </c>
      <c r="F927" s="168">
        <v>1</v>
      </c>
      <c r="G927" s="34" t="s">
        <v>140</v>
      </c>
      <c r="H927" s="29"/>
      <c r="I927" s="9"/>
      <c r="J927" s="9"/>
      <c r="K927" s="9"/>
      <c r="L927" s="9"/>
      <c r="M927" s="9"/>
      <c r="N927" s="185" t="str">
        <f>IF( OR( ISBLANK(H927),ISBLANK(J927), ISBLANK(K927), ISBLANK(L927), ISBLANK(M927) ), "", 1.5*SQRT(   EXP(2.21*(H927-1)) + EXP(2.21*(J927-1)) + EXP(2.21*(K927-1)) + EXP(2.21*(L927-1)) + EXP(2.21*M927)   )/100*2.45 )</f>
        <v/>
      </c>
      <c r="O927" s="159" t="str">
        <f>IF( OR( ISBLANK(I927),ISBLANK(J927), ISBLANK(K927), ISBLANK(L927), ISBLANK(M927) ), "", 1.5*SQRT( EXP(2.21*(I927-1)) + EXP(2.21*(J927-1)) + EXP(2.21*(K927-1)) + EXP(2.21*(L927-1)) + EXP(2.21*M927)   )/100*2.45 )</f>
        <v/>
      </c>
      <c r="P927" s="34"/>
    </row>
    <row r="928" spans="1:16" s="803" customFormat="1">
      <c r="A928" s="34" t="s">
        <v>39</v>
      </c>
      <c r="B928" s="40" t="s">
        <v>183</v>
      </c>
      <c r="C928" s="34" t="s">
        <v>139</v>
      </c>
      <c r="D928" s="40" t="s">
        <v>90</v>
      </c>
      <c r="E928" s="237">
        <v>0</v>
      </c>
      <c r="F928" s="168">
        <v>1</v>
      </c>
      <c r="G928" s="34" t="s">
        <v>140</v>
      </c>
      <c r="H928" s="29"/>
      <c r="I928" s="9"/>
      <c r="J928" s="9"/>
      <c r="K928" s="9"/>
      <c r="L928" s="9"/>
      <c r="M928" s="9"/>
      <c r="N928" s="185" t="str">
        <f>IF( OR( ISBLANK(H928),ISBLANK(J928), ISBLANK(K928), ISBLANK(L928), ISBLANK(M928) ), "", 1.5*SQRT(   EXP(2.21*(H928-1)) + EXP(2.21*(J928-1)) + EXP(2.21*(K928-1)) + EXP(2.21*(L928-1)) + EXP(2.21*M928)   )/100*2.45 )</f>
        <v/>
      </c>
      <c r="O928" s="159" t="str">
        <f>IF( OR( ISBLANK(I928),ISBLANK(J928), ISBLANK(K928), ISBLANK(L928), ISBLANK(M928) ), "", 1.5*SQRT( EXP(2.21*(I928-1)) + EXP(2.21*(J928-1)) + EXP(2.21*(K928-1)) + EXP(2.21*(L928-1)) + EXP(2.21*M928)   )/100*2.45 )</f>
        <v/>
      </c>
      <c r="P928" s="34"/>
    </row>
    <row r="929" spans="1:16" s="803" customFormat="1">
      <c r="A929" s="34" t="s">
        <v>39</v>
      </c>
      <c r="B929" s="40" t="s">
        <v>183</v>
      </c>
      <c r="C929" s="34" t="s">
        <v>139</v>
      </c>
      <c r="D929" s="40" t="s">
        <v>91</v>
      </c>
      <c r="E929" s="237">
        <v>0</v>
      </c>
      <c r="F929" s="168">
        <v>1</v>
      </c>
      <c r="G929" s="34" t="s">
        <v>140</v>
      </c>
      <c r="H929" s="29"/>
      <c r="I929" s="9"/>
      <c r="J929" s="9"/>
      <c r="K929" s="9"/>
      <c r="L929" s="9"/>
      <c r="M929" s="9"/>
      <c r="N929" s="185" t="str">
        <f>IF( OR( ISBLANK(H929),ISBLANK(J929), ISBLANK(K929), ISBLANK(L929), ISBLANK(M929) ), "", 1.5*SQRT(   EXP(2.21*(H929-1)) + EXP(2.21*(J929-1)) + EXP(2.21*(K929-1)) + EXP(2.21*(L929-1)) + EXP(2.21*M929)   )/100*2.45 )</f>
        <v/>
      </c>
      <c r="O929" s="159" t="str">
        <f>IF( OR( ISBLANK(I929),ISBLANK(J929), ISBLANK(K929), ISBLANK(L929), ISBLANK(M929) ), "", 1.5*SQRT( EXP(2.21*(I929-1)) + EXP(2.21*(J929-1)) + EXP(2.21*(K929-1)) + EXP(2.21*(L929-1)) + EXP(2.21*M929)   )/100*2.45 )</f>
        <v/>
      </c>
      <c r="P929" s="34"/>
    </row>
    <row r="930" spans="1:16" s="803" customFormat="1">
      <c r="A930" s="34" t="s">
        <v>39</v>
      </c>
      <c r="B930" s="40" t="s">
        <v>183</v>
      </c>
      <c r="C930" s="34" t="s">
        <v>139</v>
      </c>
      <c r="D930" s="40" t="s">
        <v>98</v>
      </c>
      <c r="E930" s="237">
        <v>0</v>
      </c>
      <c r="F930" s="168">
        <v>1</v>
      </c>
      <c r="G930" s="34" t="s">
        <v>141</v>
      </c>
      <c r="H930" s="29"/>
      <c r="I930" s="9"/>
      <c r="J930" s="9"/>
      <c r="K930" s="9"/>
      <c r="L930" s="9"/>
      <c r="M930" s="9"/>
      <c r="N930" s="185" t="str">
        <f>IF( OR( ISBLANK(H930),ISBLANK(J930), ISBLANK(K930), ISBLANK(L930), ISBLANK(M930) ), "", 1.5*SQRT(   EXP(2.21*(H930-1)) + EXP(2.21*(J930-1)) + EXP(2.21*(K930-1)) + EXP(2.21*(L930-1)) + EXP(2.21*M930)   )/100*2.45 )</f>
        <v/>
      </c>
      <c r="O930" s="159" t="str">
        <f>IF( OR( ISBLANK(I930),ISBLANK(J930), ISBLANK(K930), ISBLANK(L930), ISBLANK(M930) ), "", 1.5*SQRT( EXP(2.21*(I930-1)) + EXP(2.21*(J930-1)) + EXP(2.21*(K930-1)) + EXP(2.21*(L930-1)) + EXP(2.21*M930)   )/100*2.45 )</f>
        <v/>
      </c>
      <c r="P930" s="34"/>
    </row>
    <row r="931" spans="1:16" s="803" customFormat="1">
      <c r="A931" s="34" t="s">
        <v>39</v>
      </c>
      <c r="B931" s="40" t="s">
        <v>200</v>
      </c>
      <c r="C931" s="34" t="s">
        <v>139</v>
      </c>
      <c r="D931" s="40" t="s">
        <v>85</v>
      </c>
      <c r="E931" s="237">
        <v>0.1348</v>
      </c>
      <c r="F931" s="168">
        <v>1</v>
      </c>
      <c r="G931" s="34" t="s">
        <v>140</v>
      </c>
      <c r="H931" s="29">
        <v>2</v>
      </c>
      <c r="I931" s="9">
        <v>2</v>
      </c>
      <c r="J931" s="9">
        <v>2</v>
      </c>
      <c r="K931" s="9">
        <v>1</v>
      </c>
      <c r="L931" s="9">
        <v>1</v>
      </c>
      <c r="M931" s="9">
        <v>2</v>
      </c>
      <c r="N931" s="185">
        <f>IF( OR( ISBLANK(H931),ISBLANK(J931), ISBLANK(K931), ISBLANK(L931), ISBLANK(M931) ), "", 1.5*SQRT(   EXP(2.21*(H931-1)) + EXP(2.21*(J931-1)) + EXP(2.21*(K931-1)) + EXP(2.21*(L931-1)) + EXP(2.21*M931)   )/100*2.45 )</f>
        <v>0.37356464144298934</v>
      </c>
      <c r="O931" s="159">
        <f>IF( OR( ISBLANK(I931),ISBLANK(J931), ISBLANK(K931), ISBLANK(L931), ISBLANK(M931) ), "", 1.5*SQRT( EXP(2.21*(I931-1)) + EXP(2.21*(J931-1)) + EXP(2.21*(K931-1)) + EXP(2.21*(L931-1)) + EXP(2.21*M931)   )/100*2.45 )</f>
        <v>0.37356464144298934</v>
      </c>
      <c r="P931" s="34"/>
    </row>
    <row r="932" spans="1:16" s="803" customFormat="1">
      <c r="A932" s="34" t="s">
        <v>39</v>
      </c>
      <c r="B932" s="40" t="s">
        <v>200</v>
      </c>
      <c r="C932" s="34" t="s">
        <v>139</v>
      </c>
      <c r="D932" s="40" t="s">
        <v>86</v>
      </c>
      <c r="E932" s="237">
        <v>0.27379999999999999</v>
      </c>
      <c r="F932" s="168">
        <v>1</v>
      </c>
      <c r="G932" s="34" t="s">
        <v>140</v>
      </c>
      <c r="H932" s="29">
        <v>2</v>
      </c>
      <c r="I932" s="9">
        <v>2</v>
      </c>
      <c r="J932" s="9">
        <v>2</v>
      </c>
      <c r="K932" s="9">
        <v>1</v>
      </c>
      <c r="L932" s="9">
        <v>1</v>
      </c>
      <c r="M932" s="9">
        <v>2</v>
      </c>
      <c r="N932" s="185">
        <f>IF( OR( ISBLANK(H932),ISBLANK(J932), ISBLANK(K932), ISBLANK(L932), ISBLANK(M932) ), "", 1.5*SQRT(   EXP(2.21*(H932-1)) + EXP(2.21*(J932-1)) + EXP(2.21*(K932-1)) + EXP(2.21*(L932-1)) + EXP(2.21*M932)   )/100*2.45 )</f>
        <v>0.37356464144298934</v>
      </c>
      <c r="O932" s="159">
        <f>IF( OR( ISBLANK(I932),ISBLANK(J932), ISBLANK(K932), ISBLANK(L932), ISBLANK(M932) ), "", 1.5*SQRT( EXP(2.21*(I932-1)) + EXP(2.21*(J932-1)) + EXP(2.21*(K932-1)) + EXP(2.21*(L932-1)) + EXP(2.21*M932)   )/100*2.45 )</f>
        <v>0.37356464144298934</v>
      </c>
      <c r="P932" s="34"/>
    </row>
    <row r="933" spans="1:16" s="803" customFormat="1">
      <c r="A933" s="34" t="s">
        <v>39</v>
      </c>
      <c r="B933" s="40" t="s">
        <v>200</v>
      </c>
      <c r="C933" s="34" t="s">
        <v>139</v>
      </c>
      <c r="D933" s="40" t="s">
        <v>87</v>
      </c>
      <c r="E933" s="237">
        <v>0.1031</v>
      </c>
      <c r="F933" s="168">
        <v>1</v>
      </c>
      <c r="G933" s="34" t="s">
        <v>140</v>
      </c>
      <c r="H933" s="29">
        <v>2</v>
      </c>
      <c r="I933" s="9">
        <v>2</v>
      </c>
      <c r="J933" s="9">
        <v>2</v>
      </c>
      <c r="K933" s="9">
        <v>1</v>
      </c>
      <c r="L933" s="9">
        <v>1</v>
      </c>
      <c r="M933" s="9">
        <v>2</v>
      </c>
      <c r="N933" s="185">
        <f>IF( OR( ISBLANK(H933),ISBLANK(J933), ISBLANK(K933), ISBLANK(L933), ISBLANK(M933) ), "", 1.5*SQRT(   EXP(2.21*(H933-1)) + EXP(2.21*(J933-1)) + EXP(2.21*(K933-1)) + EXP(2.21*(L933-1)) + EXP(2.21*M933)   )/100*2.45 )</f>
        <v>0.37356464144298934</v>
      </c>
      <c r="O933" s="159">
        <f>IF( OR( ISBLANK(I933),ISBLANK(J933), ISBLANK(K933), ISBLANK(L933), ISBLANK(M933) ), "", 1.5*SQRT( EXP(2.21*(I933-1)) + EXP(2.21*(J933-1)) + EXP(2.21*(K933-1)) + EXP(2.21*(L933-1)) + EXP(2.21*M933)   )/100*2.45 )</f>
        <v>0.37356464144298934</v>
      </c>
      <c r="P933" s="34"/>
    </row>
    <row r="934" spans="1:16" s="803" customFormat="1">
      <c r="A934" s="34" t="s">
        <v>39</v>
      </c>
      <c r="B934" s="40" t="s">
        <v>200</v>
      </c>
      <c r="C934" s="34" t="s">
        <v>139</v>
      </c>
      <c r="D934" s="40" t="s">
        <v>88</v>
      </c>
      <c r="E934" s="237">
        <v>1.1900000000000001E-2</v>
      </c>
      <c r="F934" s="168">
        <v>1</v>
      </c>
      <c r="G934" s="34" t="s">
        <v>140</v>
      </c>
      <c r="H934" s="29">
        <v>2</v>
      </c>
      <c r="I934" s="9">
        <v>2</v>
      </c>
      <c r="J934" s="9">
        <v>2</v>
      </c>
      <c r="K934" s="9">
        <v>1</v>
      </c>
      <c r="L934" s="9">
        <v>1</v>
      </c>
      <c r="M934" s="9">
        <v>2</v>
      </c>
      <c r="N934" s="185">
        <f>IF( OR( ISBLANK(H934),ISBLANK(J934), ISBLANK(K934), ISBLANK(L934), ISBLANK(M934) ), "", 1.5*SQRT(   EXP(2.21*(H934-1)) + EXP(2.21*(J934-1)) + EXP(2.21*(K934-1)) + EXP(2.21*(L934-1)) + EXP(2.21*M934)   )/100*2.45 )</f>
        <v>0.37356464144298934</v>
      </c>
      <c r="O934" s="159">
        <f>IF( OR( ISBLANK(I934),ISBLANK(J934), ISBLANK(K934), ISBLANK(L934), ISBLANK(M934) ), "", 1.5*SQRT( EXP(2.21*(I934-1)) + EXP(2.21*(J934-1)) + EXP(2.21*(K934-1)) + EXP(2.21*(L934-1)) + EXP(2.21*M934)   )/100*2.45 )</f>
        <v>0.37356464144298934</v>
      </c>
      <c r="P934" s="34"/>
    </row>
    <row r="935" spans="1:16" s="803" customFormat="1">
      <c r="A935" s="34" t="s">
        <v>39</v>
      </c>
      <c r="B935" s="40" t="s">
        <v>200</v>
      </c>
      <c r="C935" s="34" t="s">
        <v>139</v>
      </c>
      <c r="D935" s="40" t="s">
        <v>89</v>
      </c>
      <c r="E935" s="237">
        <v>0</v>
      </c>
      <c r="F935" s="168">
        <v>1</v>
      </c>
      <c r="G935" s="34" t="s">
        <v>140</v>
      </c>
      <c r="H935" s="29"/>
      <c r="I935" s="9"/>
      <c r="J935" s="9"/>
      <c r="K935" s="9"/>
      <c r="L935" s="9"/>
      <c r="M935" s="9"/>
      <c r="N935" s="185" t="str">
        <f>IF( OR( ISBLANK(H935),ISBLANK(J935), ISBLANK(K935), ISBLANK(L935), ISBLANK(M935) ), "", 1.5*SQRT(   EXP(2.21*(H935-1)) + EXP(2.21*(J935-1)) + EXP(2.21*(K935-1)) + EXP(2.21*(L935-1)) + EXP(2.21*M935)   )/100*2.45 )</f>
        <v/>
      </c>
      <c r="O935" s="159" t="str">
        <f>IF( OR( ISBLANK(I935),ISBLANK(J935), ISBLANK(K935), ISBLANK(L935), ISBLANK(M935) ), "", 1.5*SQRT( EXP(2.21*(I935-1)) + EXP(2.21*(J935-1)) + EXP(2.21*(K935-1)) + EXP(2.21*(L935-1)) + EXP(2.21*M935)   )/100*2.45 )</f>
        <v/>
      </c>
      <c r="P935" s="34"/>
    </row>
    <row r="936" spans="1:16" s="803" customFormat="1">
      <c r="A936" s="34" t="s">
        <v>39</v>
      </c>
      <c r="B936" s="40" t="s">
        <v>200</v>
      </c>
      <c r="C936" s="34" t="s">
        <v>139</v>
      </c>
      <c r="D936" s="40" t="s">
        <v>90</v>
      </c>
      <c r="E936" s="237">
        <v>1.14E-2</v>
      </c>
      <c r="F936" s="168">
        <v>1</v>
      </c>
      <c r="G936" s="34" t="s">
        <v>140</v>
      </c>
      <c r="H936" s="29">
        <v>2</v>
      </c>
      <c r="I936" s="9">
        <v>2</v>
      </c>
      <c r="J936" s="9">
        <v>2</v>
      </c>
      <c r="K936" s="9">
        <v>1</v>
      </c>
      <c r="L936" s="9">
        <v>1</v>
      </c>
      <c r="M936" s="9">
        <v>2</v>
      </c>
      <c r="N936" s="185">
        <f>IF( OR( ISBLANK(H936),ISBLANK(J936), ISBLANK(K936), ISBLANK(L936), ISBLANK(M936) ), "", 1.5*SQRT(   EXP(2.21*(H936-1)) + EXP(2.21*(J936-1)) + EXP(2.21*(K936-1)) + EXP(2.21*(L936-1)) + EXP(2.21*M936)   )/100*2.45 )</f>
        <v>0.37356464144298934</v>
      </c>
      <c r="O936" s="159">
        <f>IF( OR( ISBLANK(I936),ISBLANK(J936), ISBLANK(K936), ISBLANK(L936), ISBLANK(M936) ), "", 1.5*SQRT( EXP(2.21*(I936-1)) + EXP(2.21*(J936-1)) + EXP(2.21*(K936-1)) + EXP(2.21*(L936-1)) + EXP(2.21*M936)   )/100*2.45 )</f>
        <v>0.37356464144298934</v>
      </c>
      <c r="P936" s="34"/>
    </row>
    <row r="937" spans="1:16" s="803" customFormat="1">
      <c r="A937" s="34" t="s">
        <v>39</v>
      </c>
      <c r="B937" s="40" t="s">
        <v>200</v>
      </c>
      <c r="C937" s="34" t="s">
        <v>139</v>
      </c>
      <c r="D937" s="40" t="s">
        <v>91</v>
      </c>
      <c r="E937" s="237">
        <v>1.12E-2</v>
      </c>
      <c r="F937" s="168">
        <v>1</v>
      </c>
      <c r="G937" s="34" t="s">
        <v>140</v>
      </c>
      <c r="H937" s="29">
        <v>2</v>
      </c>
      <c r="I937" s="9">
        <v>2</v>
      </c>
      <c r="J937" s="9">
        <v>2</v>
      </c>
      <c r="K937" s="9">
        <v>1</v>
      </c>
      <c r="L937" s="9">
        <v>1</v>
      </c>
      <c r="M937" s="9">
        <v>2</v>
      </c>
      <c r="N937" s="185">
        <f>IF( OR( ISBLANK(H937),ISBLANK(J937), ISBLANK(K937), ISBLANK(L937), ISBLANK(M937) ), "", 1.5*SQRT(   EXP(2.21*(H937-1)) + EXP(2.21*(J937-1)) + EXP(2.21*(K937-1)) + EXP(2.21*(L937-1)) + EXP(2.21*M937)   )/100*2.45 )</f>
        <v>0.37356464144298934</v>
      </c>
      <c r="O937" s="159">
        <f>IF( OR( ISBLANK(I937),ISBLANK(J937), ISBLANK(K937), ISBLANK(L937), ISBLANK(M937) ), "", 1.5*SQRT( EXP(2.21*(I937-1)) + EXP(2.21*(J937-1)) + EXP(2.21*(K937-1)) + EXP(2.21*(L937-1)) + EXP(2.21*M937)   )/100*2.45 )</f>
        <v>0.37356464144298934</v>
      </c>
      <c r="P937" s="34"/>
    </row>
    <row r="938" spans="1:16" s="803" customFormat="1">
      <c r="A938" s="34" t="s">
        <v>39</v>
      </c>
      <c r="B938" s="40" t="s">
        <v>200</v>
      </c>
      <c r="C938" s="34" t="s">
        <v>139</v>
      </c>
      <c r="D938" s="40" t="s">
        <v>98</v>
      </c>
      <c r="E938" s="237">
        <v>0.12556313993174059</v>
      </c>
      <c r="F938" s="168">
        <v>1</v>
      </c>
      <c r="G938" s="34" t="s">
        <v>141</v>
      </c>
      <c r="H938" s="29">
        <v>2</v>
      </c>
      <c r="I938" s="9">
        <v>1</v>
      </c>
      <c r="J938" s="9">
        <v>2</v>
      </c>
      <c r="K938" s="9">
        <v>2</v>
      </c>
      <c r="L938" s="9">
        <v>1</v>
      </c>
      <c r="M938" s="9">
        <v>2</v>
      </c>
      <c r="N938" s="185">
        <f>IF( OR( ISBLANK(H938),ISBLANK(J938), ISBLANK(K938), ISBLANK(L938), ISBLANK(M938) ), "", 1.5*SQRT(   EXP(2.21*(H938-1)) + EXP(2.21*(J938-1)) + EXP(2.21*(K938-1)) + EXP(2.21*(L938-1)) + EXP(2.21*M938)   )/100*2.45 )</f>
        <v>0.38795788889711302</v>
      </c>
      <c r="O938" s="159">
        <f>IF( OR( ISBLANK(I938),ISBLANK(J938), ISBLANK(K938), ISBLANK(L938), ISBLANK(M938) ), "", 1.5*SQRT( EXP(2.21*(I938-1)) + EXP(2.21*(J938-1)) + EXP(2.21*(K938-1)) + EXP(2.21*(L938-1)) + EXP(2.21*M938)   )/100*2.45 )</f>
        <v>0.37356464144298934</v>
      </c>
      <c r="P938" s="34"/>
    </row>
    <row r="939" spans="1:16" s="803" customFormat="1">
      <c r="A939" s="34" t="s">
        <v>39</v>
      </c>
      <c r="B939" s="40" t="s">
        <v>201</v>
      </c>
      <c r="C939" s="34" t="s">
        <v>139</v>
      </c>
      <c r="D939" s="40" t="s">
        <v>85</v>
      </c>
      <c r="E939" s="237">
        <v>1.6000000000000001E-3</v>
      </c>
      <c r="F939" s="168">
        <v>1</v>
      </c>
      <c r="G939" s="34" t="s">
        <v>140</v>
      </c>
      <c r="H939" s="29">
        <v>2</v>
      </c>
      <c r="I939" s="9">
        <v>2</v>
      </c>
      <c r="J939" s="9">
        <v>2</v>
      </c>
      <c r="K939" s="9">
        <v>1</v>
      </c>
      <c r="L939" s="9">
        <v>1</v>
      </c>
      <c r="M939" s="9">
        <v>2</v>
      </c>
      <c r="N939" s="185">
        <f>IF( OR( ISBLANK(H939),ISBLANK(J939), ISBLANK(K939), ISBLANK(L939), ISBLANK(M939) ), "", 1.5*SQRT(   EXP(2.21*(H939-1)) + EXP(2.21*(J939-1)) + EXP(2.21*(K939-1)) + EXP(2.21*(L939-1)) + EXP(2.21*M939)   )/100*2.45 )</f>
        <v>0.37356464144298934</v>
      </c>
      <c r="O939" s="159">
        <f>IF( OR( ISBLANK(I939),ISBLANK(J939), ISBLANK(K939), ISBLANK(L939), ISBLANK(M939) ), "", 1.5*SQRT( EXP(2.21*(I939-1)) + EXP(2.21*(J939-1)) + EXP(2.21*(K939-1)) + EXP(2.21*(L939-1)) + EXP(2.21*M939)   )/100*2.45 )</f>
        <v>0.37356464144298934</v>
      </c>
      <c r="P939" s="34"/>
    </row>
    <row r="940" spans="1:16" s="803" customFormat="1">
      <c r="A940" s="34" t="s">
        <v>39</v>
      </c>
      <c r="B940" s="40" t="s">
        <v>201</v>
      </c>
      <c r="C940" s="34" t="s">
        <v>139</v>
      </c>
      <c r="D940" s="40" t="s">
        <v>86</v>
      </c>
      <c r="E940" s="237">
        <v>0.38629999999999998</v>
      </c>
      <c r="F940" s="168">
        <v>1</v>
      </c>
      <c r="G940" s="34" t="s">
        <v>140</v>
      </c>
      <c r="H940" s="29">
        <v>2</v>
      </c>
      <c r="I940" s="9">
        <v>2</v>
      </c>
      <c r="J940" s="9">
        <v>2</v>
      </c>
      <c r="K940" s="9">
        <v>1</v>
      </c>
      <c r="L940" s="9">
        <v>1</v>
      </c>
      <c r="M940" s="9">
        <v>2</v>
      </c>
      <c r="N940" s="185">
        <f>IF( OR( ISBLANK(H940),ISBLANK(J940), ISBLANK(K940), ISBLANK(L940), ISBLANK(M940) ), "", 1.5*SQRT(   EXP(2.21*(H940-1)) + EXP(2.21*(J940-1)) + EXP(2.21*(K940-1)) + EXP(2.21*(L940-1)) + EXP(2.21*M940)   )/100*2.45 )</f>
        <v>0.37356464144298934</v>
      </c>
      <c r="O940" s="159">
        <f>IF( OR( ISBLANK(I940),ISBLANK(J940), ISBLANK(K940), ISBLANK(L940), ISBLANK(M940) ), "", 1.5*SQRT( EXP(2.21*(I940-1)) + EXP(2.21*(J940-1)) + EXP(2.21*(K940-1)) + EXP(2.21*(L940-1)) + EXP(2.21*M940)   )/100*2.45 )</f>
        <v>0.37356464144298934</v>
      </c>
      <c r="P940" s="34"/>
    </row>
    <row r="941" spans="1:16" s="803" customFormat="1">
      <c r="A941" s="34" t="s">
        <v>39</v>
      </c>
      <c r="B941" s="40" t="s">
        <v>201</v>
      </c>
      <c r="C941" s="34" t="s">
        <v>139</v>
      </c>
      <c r="D941" s="40" t="s">
        <v>87</v>
      </c>
      <c r="E941" s="237">
        <v>1.03E-2</v>
      </c>
      <c r="F941" s="168">
        <v>1</v>
      </c>
      <c r="G941" s="34" t="s">
        <v>140</v>
      </c>
      <c r="H941" s="29">
        <v>2</v>
      </c>
      <c r="I941" s="9">
        <v>2</v>
      </c>
      <c r="J941" s="9">
        <v>2</v>
      </c>
      <c r="K941" s="9">
        <v>1</v>
      </c>
      <c r="L941" s="9">
        <v>1</v>
      </c>
      <c r="M941" s="9">
        <v>2</v>
      </c>
      <c r="N941" s="185">
        <f>IF( OR( ISBLANK(H941),ISBLANK(J941), ISBLANK(K941), ISBLANK(L941), ISBLANK(M941) ), "", 1.5*SQRT(   EXP(2.21*(H941-1)) + EXP(2.21*(J941-1)) + EXP(2.21*(K941-1)) + EXP(2.21*(L941-1)) + EXP(2.21*M941)   )/100*2.45 )</f>
        <v>0.37356464144298934</v>
      </c>
      <c r="O941" s="159">
        <f>IF( OR( ISBLANK(I941),ISBLANK(J941), ISBLANK(K941), ISBLANK(L941), ISBLANK(M941) ), "", 1.5*SQRT( EXP(2.21*(I941-1)) + EXP(2.21*(J941-1)) + EXP(2.21*(K941-1)) + EXP(2.21*(L941-1)) + EXP(2.21*M941)   )/100*2.45 )</f>
        <v>0.37356464144298934</v>
      </c>
      <c r="P941" s="34"/>
    </row>
    <row r="942" spans="1:16" s="803" customFormat="1">
      <c r="A942" s="34" t="s">
        <v>39</v>
      </c>
      <c r="B942" s="40" t="s">
        <v>201</v>
      </c>
      <c r="C942" s="34" t="s">
        <v>139</v>
      </c>
      <c r="D942" s="40" t="s">
        <v>88</v>
      </c>
      <c r="E942" s="237">
        <v>0</v>
      </c>
      <c r="F942" s="168">
        <v>1</v>
      </c>
      <c r="G942" s="34" t="s">
        <v>140</v>
      </c>
      <c r="H942" s="29"/>
      <c r="I942" s="9"/>
      <c r="J942" s="9"/>
      <c r="K942" s="9"/>
      <c r="L942" s="9"/>
      <c r="M942" s="9"/>
      <c r="N942" s="185" t="str">
        <f>IF( OR( ISBLANK(H942),ISBLANK(J942), ISBLANK(K942), ISBLANK(L942), ISBLANK(M942) ), "", 1.5*SQRT(   EXP(2.21*(H942-1)) + EXP(2.21*(J942-1)) + EXP(2.21*(K942-1)) + EXP(2.21*(L942-1)) + EXP(2.21*M942)   )/100*2.45 )</f>
        <v/>
      </c>
      <c r="O942" s="159" t="str">
        <f>IF( OR( ISBLANK(I942),ISBLANK(J942), ISBLANK(K942), ISBLANK(L942), ISBLANK(M942) ), "", 1.5*SQRT( EXP(2.21*(I942-1)) + EXP(2.21*(J942-1)) + EXP(2.21*(K942-1)) + EXP(2.21*(L942-1)) + EXP(2.21*M942)   )/100*2.45 )</f>
        <v/>
      </c>
      <c r="P942" s="34"/>
    </row>
    <row r="943" spans="1:16" s="803" customFormat="1">
      <c r="A943" s="34" t="s">
        <v>39</v>
      </c>
      <c r="B943" s="40" t="s">
        <v>201</v>
      </c>
      <c r="C943" s="34" t="s">
        <v>139</v>
      </c>
      <c r="D943" s="40" t="s">
        <v>89</v>
      </c>
      <c r="E943" s="237">
        <v>0</v>
      </c>
      <c r="F943" s="168">
        <v>1</v>
      </c>
      <c r="G943" s="34" t="s">
        <v>140</v>
      </c>
      <c r="H943" s="29"/>
      <c r="I943" s="9"/>
      <c r="J943" s="9"/>
      <c r="K943" s="9"/>
      <c r="L943" s="9"/>
      <c r="M943" s="9"/>
      <c r="N943" s="185" t="str">
        <f>IF( OR( ISBLANK(H943),ISBLANK(J943), ISBLANK(K943), ISBLANK(L943), ISBLANK(M943) ), "", 1.5*SQRT(   EXP(2.21*(H943-1)) + EXP(2.21*(J943-1)) + EXP(2.21*(K943-1)) + EXP(2.21*(L943-1)) + EXP(2.21*M943)   )/100*2.45 )</f>
        <v/>
      </c>
      <c r="O943" s="159" t="str">
        <f>IF( OR( ISBLANK(I943),ISBLANK(J943), ISBLANK(K943), ISBLANK(L943), ISBLANK(M943) ), "", 1.5*SQRT( EXP(2.21*(I943-1)) + EXP(2.21*(J943-1)) + EXP(2.21*(K943-1)) + EXP(2.21*(L943-1)) + EXP(2.21*M943)   )/100*2.45 )</f>
        <v/>
      </c>
      <c r="P943" s="34"/>
    </row>
    <row r="944" spans="1:16" s="803" customFormat="1">
      <c r="A944" s="34" t="s">
        <v>39</v>
      </c>
      <c r="B944" s="40" t="s">
        <v>201</v>
      </c>
      <c r="C944" s="34" t="s">
        <v>139</v>
      </c>
      <c r="D944" s="40" t="s">
        <v>90</v>
      </c>
      <c r="E944" s="237">
        <v>2.2700000000000001E-2</v>
      </c>
      <c r="F944" s="168">
        <v>1</v>
      </c>
      <c r="G944" s="34" t="s">
        <v>140</v>
      </c>
      <c r="H944" s="29">
        <v>2</v>
      </c>
      <c r="I944" s="9">
        <v>2</v>
      </c>
      <c r="J944" s="9">
        <v>2</v>
      </c>
      <c r="K944" s="9">
        <v>1</v>
      </c>
      <c r="L944" s="9">
        <v>1</v>
      </c>
      <c r="M944" s="9">
        <v>2</v>
      </c>
      <c r="N944" s="185">
        <f>IF( OR( ISBLANK(H944),ISBLANK(J944), ISBLANK(K944), ISBLANK(L944), ISBLANK(M944) ), "", 1.5*SQRT(   EXP(2.21*(H944-1)) + EXP(2.21*(J944-1)) + EXP(2.21*(K944-1)) + EXP(2.21*(L944-1)) + EXP(2.21*M944)   )/100*2.45 )</f>
        <v>0.37356464144298934</v>
      </c>
      <c r="O944" s="159">
        <f>IF( OR( ISBLANK(I944),ISBLANK(J944), ISBLANK(K944), ISBLANK(L944), ISBLANK(M944) ), "", 1.5*SQRT( EXP(2.21*(I944-1)) + EXP(2.21*(J944-1)) + EXP(2.21*(K944-1)) + EXP(2.21*(L944-1)) + EXP(2.21*M944)   )/100*2.45 )</f>
        <v>0.37356464144298934</v>
      </c>
      <c r="P944" s="34"/>
    </row>
    <row r="945" spans="1:16" s="803" customFormat="1">
      <c r="A945" s="34" t="s">
        <v>39</v>
      </c>
      <c r="B945" s="40" t="s">
        <v>201</v>
      </c>
      <c r="C945" s="34" t="s">
        <v>139</v>
      </c>
      <c r="D945" s="40" t="s">
        <v>91</v>
      </c>
      <c r="E945" s="237">
        <v>0.41420000000000001</v>
      </c>
      <c r="F945" s="168">
        <v>2</v>
      </c>
      <c r="G945" s="34" t="s">
        <v>140</v>
      </c>
      <c r="H945" s="29">
        <v>2</v>
      </c>
      <c r="I945" s="9">
        <v>2</v>
      </c>
      <c r="J945" s="9">
        <v>2</v>
      </c>
      <c r="K945" s="9">
        <v>1</v>
      </c>
      <c r="L945" s="9">
        <v>1</v>
      </c>
      <c r="M945" s="9">
        <v>2</v>
      </c>
      <c r="N945" s="185">
        <f>IF( OR( ISBLANK(H945),ISBLANK(J945), ISBLANK(K945), ISBLANK(L945), ISBLANK(M945) ), "", 1.5*SQRT(   EXP(2.21*(H945-1)) + EXP(2.21*(J945-1)) + EXP(2.21*(K945-1)) + EXP(2.21*(L945-1)) + EXP(2.21*M945)   )/100*2.45 )</f>
        <v>0.37356464144298934</v>
      </c>
      <c r="O945" s="159">
        <f>IF( OR( ISBLANK(I945),ISBLANK(J945), ISBLANK(K945), ISBLANK(L945), ISBLANK(M945) ), "", 1.5*SQRT( EXP(2.21*(I945-1)) + EXP(2.21*(J945-1)) + EXP(2.21*(K945-1)) + EXP(2.21*(L945-1)) + EXP(2.21*M945)   )/100*2.45 )</f>
        <v>0.37356464144298934</v>
      </c>
      <c r="P945" s="34" t="s">
        <v>226</v>
      </c>
    </row>
    <row r="946" spans="1:16" s="803" customFormat="1">
      <c r="A946" s="34" t="s">
        <v>39</v>
      </c>
      <c r="B946" s="40" t="s">
        <v>201</v>
      </c>
      <c r="C946" s="34" t="s">
        <v>139</v>
      </c>
      <c r="D946" s="40" t="s">
        <v>98</v>
      </c>
      <c r="E946" s="237">
        <v>0</v>
      </c>
      <c r="F946" s="168">
        <v>1</v>
      </c>
      <c r="G946" s="34" t="s">
        <v>141</v>
      </c>
      <c r="H946" s="29"/>
      <c r="I946" s="9"/>
      <c r="J946" s="9"/>
      <c r="K946" s="9"/>
      <c r="L946" s="9"/>
      <c r="M946" s="9"/>
      <c r="N946" s="185" t="str">
        <f>IF( OR( ISBLANK(H946),ISBLANK(J946), ISBLANK(K946), ISBLANK(L946), ISBLANK(M946) ), "", 1.5*SQRT(   EXP(2.21*(H946-1)) + EXP(2.21*(J946-1)) + EXP(2.21*(K946-1)) + EXP(2.21*(L946-1)) + EXP(2.21*M946)   )/100*2.45 )</f>
        <v/>
      </c>
      <c r="O946" s="159" t="str">
        <f>IF( OR( ISBLANK(I946),ISBLANK(J946), ISBLANK(K946), ISBLANK(L946), ISBLANK(M946) ), "", 1.5*SQRT( EXP(2.21*(I946-1)) + EXP(2.21*(J946-1)) + EXP(2.21*(K946-1)) + EXP(2.21*(L946-1)) + EXP(2.21*M946)   )/100*2.45 )</f>
        <v/>
      </c>
      <c r="P946" s="34"/>
    </row>
    <row r="947" spans="1:16" s="803" customFormat="1">
      <c r="A947" s="34" t="s">
        <v>39</v>
      </c>
      <c r="B947" s="40" t="s">
        <v>202</v>
      </c>
      <c r="C947" s="34" t="s">
        <v>139</v>
      </c>
      <c r="D947" s="40" t="s">
        <v>85</v>
      </c>
      <c r="E947" s="237">
        <v>9.2499999999999999E-2</v>
      </c>
      <c r="F947" s="168">
        <v>1</v>
      </c>
      <c r="G947" s="34" t="s">
        <v>140</v>
      </c>
      <c r="H947" s="29">
        <v>2</v>
      </c>
      <c r="I947" s="9">
        <v>2</v>
      </c>
      <c r="J947" s="9">
        <v>2</v>
      </c>
      <c r="K947" s="9">
        <v>1</v>
      </c>
      <c r="L947" s="9">
        <v>1</v>
      </c>
      <c r="M947" s="9">
        <v>2</v>
      </c>
      <c r="N947" s="185">
        <f>IF( OR( ISBLANK(H947),ISBLANK(J947), ISBLANK(K947), ISBLANK(L947), ISBLANK(M947) ), "", 1.5*SQRT(   EXP(2.21*(H947-1)) + EXP(2.21*(J947-1)) + EXP(2.21*(K947-1)) + EXP(2.21*(L947-1)) + EXP(2.21*M947)   )/100*2.45 )</f>
        <v>0.37356464144298934</v>
      </c>
      <c r="O947" s="159">
        <f>IF( OR( ISBLANK(I947),ISBLANK(J947), ISBLANK(K947), ISBLANK(L947), ISBLANK(M947) ), "", 1.5*SQRT( EXP(2.21*(I947-1)) + EXP(2.21*(J947-1)) + EXP(2.21*(K947-1)) + EXP(2.21*(L947-1)) + EXP(2.21*M947)   )/100*2.45 )</f>
        <v>0.37356464144298934</v>
      </c>
      <c r="P947" s="34"/>
    </row>
    <row r="948" spans="1:16" s="803" customFormat="1">
      <c r="A948" s="34" t="s">
        <v>39</v>
      </c>
      <c r="B948" s="40" t="s">
        <v>202</v>
      </c>
      <c r="C948" s="34" t="s">
        <v>139</v>
      </c>
      <c r="D948" s="40" t="s">
        <v>86</v>
      </c>
      <c r="E948" s="237">
        <v>6.8500000000000005E-2</v>
      </c>
      <c r="F948" s="168">
        <v>1</v>
      </c>
      <c r="G948" s="34" t="s">
        <v>140</v>
      </c>
      <c r="H948" s="29">
        <v>2</v>
      </c>
      <c r="I948" s="9">
        <v>2</v>
      </c>
      <c r="J948" s="9">
        <v>2</v>
      </c>
      <c r="K948" s="9">
        <v>1</v>
      </c>
      <c r="L948" s="9">
        <v>1</v>
      </c>
      <c r="M948" s="9">
        <v>2</v>
      </c>
      <c r="N948" s="185">
        <f>IF( OR( ISBLANK(H948),ISBLANK(J948), ISBLANK(K948), ISBLANK(L948), ISBLANK(M948) ), "", 1.5*SQRT(   EXP(2.21*(H948-1)) + EXP(2.21*(J948-1)) + EXP(2.21*(K948-1)) + EXP(2.21*(L948-1)) + EXP(2.21*M948)   )/100*2.45 )</f>
        <v>0.37356464144298934</v>
      </c>
      <c r="O948" s="159">
        <f>IF( OR( ISBLANK(I948),ISBLANK(J948), ISBLANK(K948), ISBLANK(L948), ISBLANK(M948) ), "", 1.5*SQRT( EXP(2.21*(I948-1)) + EXP(2.21*(J948-1)) + EXP(2.21*(K948-1)) + EXP(2.21*(L948-1)) + EXP(2.21*M948)   )/100*2.45 )</f>
        <v>0.37356464144298934</v>
      </c>
      <c r="P948" s="34"/>
    </row>
    <row r="949" spans="1:16" s="803" customFormat="1">
      <c r="A949" s="34" t="s">
        <v>39</v>
      </c>
      <c r="B949" s="40" t="s">
        <v>202</v>
      </c>
      <c r="C949" s="34" t="s">
        <v>139</v>
      </c>
      <c r="D949" s="40" t="s">
        <v>87</v>
      </c>
      <c r="E949" s="237">
        <v>0.17780000000000001</v>
      </c>
      <c r="F949" s="168">
        <v>1</v>
      </c>
      <c r="G949" s="34" t="s">
        <v>140</v>
      </c>
      <c r="H949" s="29">
        <v>2</v>
      </c>
      <c r="I949" s="9">
        <v>2</v>
      </c>
      <c r="J949" s="9">
        <v>2</v>
      </c>
      <c r="K949" s="9">
        <v>1</v>
      </c>
      <c r="L949" s="9">
        <v>1</v>
      </c>
      <c r="M949" s="9">
        <v>2</v>
      </c>
      <c r="N949" s="185">
        <f>IF( OR( ISBLANK(H949),ISBLANK(J949), ISBLANK(K949), ISBLANK(L949), ISBLANK(M949) ), "", 1.5*SQRT(   EXP(2.21*(H949-1)) + EXP(2.21*(J949-1)) + EXP(2.21*(K949-1)) + EXP(2.21*(L949-1)) + EXP(2.21*M949)   )/100*2.45 )</f>
        <v>0.37356464144298934</v>
      </c>
      <c r="O949" s="159">
        <f>IF( OR( ISBLANK(I949),ISBLANK(J949), ISBLANK(K949), ISBLANK(L949), ISBLANK(M949) ), "", 1.5*SQRT( EXP(2.21*(I949-1)) + EXP(2.21*(J949-1)) + EXP(2.21*(K949-1)) + EXP(2.21*(L949-1)) + EXP(2.21*M949)   )/100*2.45 )</f>
        <v>0.37356464144298934</v>
      </c>
      <c r="P949" s="34"/>
    </row>
    <row r="950" spans="1:16" s="803" customFormat="1">
      <c r="A950" s="34" t="s">
        <v>39</v>
      </c>
      <c r="B950" s="40" t="s">
        <v>202</v>
      </c>
      <c r="C950" s="34" t="s">
        <v>139</v>
      </c>
      <c r="D950" s="40" t="s">
        <v>88</v>
      </c>
      <c r="E950" s="237">
        <v>0</v>
      </c>
      <c r="F950" s="168">
        <v>1</v>
      </c>
      <c r="G950" s="34" t="s">
        <v>140</v>
      </c>
      <c r="H950" s="29"/>
      <c r="I950" s="9"/>
      <c r="J950" s="9"/>
      <c r="K950" s="9"/>
      <c r="L950" s="9"/>
      <c r="M950" s="9"/>
      <c r="N950" s="185" t="str">
        <f>IF( OR( ISBLANK(H950),ISBLANK(J950), ISBLANK(K950), ISBLANK(L950), ISBLANK(M950) ), "", 1.5*SQRT(   EXP(2.21*(H950-1)) + EXP(2.21*(J950-1)) + EXP(2.21*(K950-1)) + EXP(2.21*(L950-1)) + EXP(2.21*M950)   )/100*2.45 )</f>
        <v/>
      </c>
      <c r="O950" s="159" t="str">
        <f>IF( OR( ISBLANK(I950),ISBLANK(J950), ISBLANK(K950), ISBLANK(L950), ISBLANK(M950) ), "", 1.5*SQRT( EXP(2.21*(I950-1)) + EXP(2.21*(J950-1)) + EXP(2.21*(K950-1)) + EXP(2.21*(L950-1)) + EXP(2.21*M950)   )/100*2.45 )</f>
        <v/>
      </c>
      <c r="P950" s="34"/>
    </row>
    <row r="951" spans="1:16" s="803" customFormat="1">
      <c r="A951" s="34" t="s">
        <v>39</v>
      </c>
      <c r="B951" s="40" t="s">
        <v>202</v>
      </c>
      <c r="C951" s="34" t="s">
        <v>139</v>
      </c>
      <c r="D951" s="40" t="s">
        <v>89</v>
      </c>
      <c r="E951" s="237">
        <v>0</v>
      </c>
      <c r="F951" s="168">
        <v>1</v>
      </c>
      <c r="G951" s="34" t="s">
        <v>140</v>
      </c>
      <c r="H951" s="29"/>
      <c r="I951" s="9"/>
      <c r="J951" s="9"/>
      <c r="K951" s="9"/>
      <c r="L951" s="9"/>
      <c r="M951" s="9"/>
      <c r="N951" s="185" t="str">
        <f>IF( OR( ISBLANK(H951),ISBLANK(J951), ISBLANK(K951), ISBLANK(L951), ISBLANK(M951) ), "", 1.5*SQRT(   EXP(2.21*(H951-1)) + EXP(2.21*(J951-1)) + EXP(2.21*(K951-1)) + EXP(2.21*(L951-1)) + EXP(2.21*M951)   )/100*2.45 )</f>
        <v/>
      </c>
      <c r="O951" s="159" t="str">
        <f>IF( OR( ISBLANK(I951),ISBLANK(J951), ISBLANK(K951), ISBLANK(L951), ISBLANK(M951) ), "", 1.5*SQRT( EXP(2.21*(I951-1)) + EXP(2.21*(J951-1)) + EXP(2.21*(K951-1)) + EXP(2.21*(L951-1)) + EXP(2.21*M951)   )/100*2.45 )</f>
        <v/>
      </c>
      <c r="P951" s="34"/>
    </row>
    <row r="952" spans="1:16" s="803" customFormat="1">
      <c r="A952" s="34" t="s">
        <v>39</v>
      </c>
      <c r="B952" s="40" t="s">
        <v>202</v>
      </c>
      <c r="C952" s="34" t="s">
        <v>139</v>
      </c>
      <c r="D952" s="40" t="s">
        <v>90</v>
      </c>
      <c r="E952" s="237">
        <v>5.6800000000000003E-2</v>
      </c>
      <c r="F952" s="168">
        <v>1</v>
      </c>
      <c r="G952" s="34" t="s">
        <v>140</v>
      </c>
      <c r="H952" s="29">
        <v>2</v>
      </c>
      <c r="I952" s="9">
        <v>2</v>
      </c>
      <c r="J952" s="9">
        <v>2</v>
      </c>
      <c r="K952" s="9">
        <v>1</v>
      </c>
      <c r="L952" s="9">
        <v>1</v>
      </c>
      <c r="M952" s="9">
        <v>2</v>
      </c>
      <c r="N952" s="185">
        <f>IF( OR( ISBLANK(H952),ISBLANK(J952), ISBLANK(K952), ISBLANK(L952), ISBLANK(M952) ), "", 1.5*SQRT(   EXP(2.21*(H952-1)) + EXP(2.21*(J952-1)) + EXP(2.21*(K952-1)) + EXP(2.21*(L952-1)) + EXP(2.21*M952)   )/100*2.45 )</f>
        <v>0.37356464144298934</v>
      </c>
      <c r="O952" s="159">
        <f>IF( OR( ISBLANK(I952),ISBLANK(J952), ISBLANK(K952), ISBLANK(L952), ISBLANK(M952) ), "", 1.5*SQRT( EXP(2.21*(I952-1)) + EXP(2.21*(J952-1)) + EXP(2.21*(K952-1)) + EXP(2.21*(L952-1)) + EXP(2.21*M952)   )/100*2.45 )</f>
        <v>0.37356464144298934</v>
      </c>
      <c r="P952" s="34"/>
    </row>
    <row r="953" spans="1:16" s="803" customFormat="1">
      <c r="A953" s="34" t="s">
        <v>39</v>
      </c>
      <c r="B953" s="40" t="s">
        <v>202</v>
      </c>
      <c r="C953" s="34" t="s">
        <v>139</v>
      </c>
      <c r="D953" s="40" t="s">
        <v>91</v>
      </c>
      <c r="E953" s="237">
        <v>6.2199999999999998E-2</v>
      </c>
      <c r="F953" s="168">
        <v>1</v>
      </c>
      <c r="G953" s="34" t="s">
        <v>140</v>
      </c>
      <c r="H953" s="29">
        <v>2</v>
      </c>
      <c r="I953" s="9">
        <v>2</v>
      </c>
      <c r="J953" s="9">
        <v>2</v>
      </c>
      <c r="K953" s="9">
        <v>1</v>
      </c>
      <c r="L953" s="9">
        <v>1</v>
      </c>
      <c r="M953" s="9">
        <v>2</v>
      </c>
      <c r="N953" s="185">
        <f>IF( OR( ISBLANK(H953),ISBLANK(J953), ISBLANK(K953), ISBLANK(L953), ISBLANK(M953) ), "", 1.5*SQRT(   EXP(2.21*(H953-1)) + EXP(2.21*(J953-1)) + EXP(2.21*(K953-1)) + EXP(2.21*(L953-1)) + EXP(2.21*M953)   )/100*2.45 )</f>
        <v>0.37356464144298934</v>
      </c>
      <c r="O953" s="159">
        <f>IF( OR( ISBLANK(I953),ISBLANK(J953), ISBLANK(K953), ISBLANK(L953), ISBLANK(M953) ), "", 1.5*SQRT( EXP(2.21*(I953-1)) + EXP(2.21*(J953-1)) + EXP(2.21*(K953-1)) + EXP(2.21*(L953-1)) + EXP(2.21*M953)   )/100*2.45 )</f>
        <v>0.37356464144298934</v>
      </c>
      <c r="P953" s="34"/>
    </row>
    <row r="954" spans="1:16" s="803" customFormat="1">
      <c r="A954" s="34" t="s">
        <v>39</v>
      </c>
      <c r="B954" s="40" t="s">
        <v>202</v>
      </c>
      <c r="C954" s="34" t="s">
        <v>139</v>
      </c>
      <c r="D954" s="40" t="s">
        <v>98</v>
      </c>
      <c r="E954" s="237">
        <v>0.28529010238907848</v>
      </c>
      <c r="F954" s="168">
        <v>1</v>
      </c>
      <c r="G954" s="34" t="s">
        <v>141</v>
      </c>
      <c r="H954" s="29">
        <v>2</v>
      </c>
      <c r="I954" s="9">
        <v>1</v>
      </c>
      <c r="J954" s="9">
        <v>2</v>
      </c>
      <c r="K954" s="9">
        <v>2</v>
      </c>
      <c r="L954" s="9">
        <v>1</v>
      </c>
      <c r="M954" s="9">
        <v>2</v>
      </c>
      <c r="N954" s="185">
        <f>IF( OR( ISBLANK(H954),ISBLANK(J954), ISBLANK(K954), ISBLANK(L954), ISBLANK(M954) ), "", 1.5*SQRT(   EXP(2.21*(H954-1)) + EXP(2.21*(J954-1)) + EXP(2.21*(K954-1)) + EXP(2.21*(L954-1)) + EXP(2.21*M954)   )/100*2.45 )</f>
        <v>0.38795788889711302</v>
      </c>
      <c r="O954" s="159">
        <f>IF( OR( ISBLANK(I954),ISBLANK(J954), ISBLANK(K954), ISBLANK(L954), ISBLANK(M954) ), "", 1.5*SQRT( EXP(2.21*(I954-1)) + EXP(2.21*(J954-1)) + EXP(2.21*(K954-1)) + EXP(2.21*(L954-1)) + EXP(2.21*M954)   )/100*2.45 )</f>
        <v>0.37356464144298934</v>
      </c>
      <c r="P954" s="34"/>
    </row>
    <row r="955" spans="1:16" s="803" customFormat="1">
      <c r="A955" s="34" t="s">
        <v>39</v>
      </c>
      <c r="B955" s="40" t="s">
        <v>235</v>
      </c>
      <c r="C955" s="34" t="s">
        <v>139</v>
      </c>
      <c r="D955" s="40" t="s">
        <v>85</v>
      </c>
      <c r="E955" s="237">
        <v>5.33E-2</v>
      </c>
      <c r="F955" s="168">
        <v>1</v>
      </c>
      <c r="G955" s="34" t="s">
        <v>140</v>
      </c>
      <c r="H955" s="29">
        <v>2</v>
      </c>
      <c r="I955" s="9">
        <v>2</v>
      </c>
      <c r="J955" s="9">
        <v>2</v>
      </c>
      <c r="K955" s="9">
        <v>1</v>
      </c>
      <c r="L955" s="9">
        <v>1</v>
      </c>
      <c r="M955" s="9">
        <v>2</v>
      </c>
      <c r="N955" s="185">
        <f>IF( OR( ISBLANK(H955),ISBLANK(J955), ISBLANK(K955), ISBLANK(L955), ISBLANK(M955) ), "", 1.5*SQRT(   EXP(2.21*(H955-1)) + EXP(2.21*(J955-1)) + EXP(2.21*(K955-1)) + EXP(2.21*(L955-1)) + EXP(2.21*M955)   )/100*2.45 )</f>
        <v>0.37356464144298934</v>
      </c>
      <c r="O955" s="159">
        <f>IF( OR( ISBLANK(I955),ISBLANK(J955), ISBLANK(K955), ISBLANK(L955), ISBLANK(M955) ), "", 1.5*SQRT( EXP(2.21*(I955-1)) + EXP(2.21*(J955-1)) + EXP(2.21*(K955-1)) + EXP(2.21*(L955-1)) + EXP(2.21*M955)   )/100*2.45 )</f>
        <v>0.37356464144298934</v>
      </c>
      <c r="P955" s="34"/>
    </row>
    <row r="956" spans="1:16" s="803" customFormat="1">
      <c r="A956" s="34" t="s">
        <v>39</v>
      </c>
      <c r="B956" s="40" t="s">
        <v>235</v>
      </c>
      <c r="C956" s="34" t="s">
        <v>139</v>
      </c>
      <c r="D956" s="40" t="s">
        <v>86</v>
      </c>
      <c r="E956" s="237">
        <v>0</v>
      </c>
      <c r="F956" s="168">
        <v>1</v>
      </c>
      <c r="G956" s="34" t="s">
        <v>140</v>
      </c>
      <c r="H956" s="29"/>
      <c r="I956" s="9"/>
      <c r="J956" s="9"/>
      <c r="K956" s="9"/>
      <c r="L956" s="9"/>
      <c r="M956" s="9"/>
      <c r="N956" s="185" t="str">
        <f>IF( OR( ISBLANK(H956),ISBLANK(J956), ISBLANK(K956), ISBLANK(L956), ISBLANK(M956) ), "", 1.5*SQRT(   EXP(2.21*(H956-1)) + EXP(2.21*(J956-1)) + EXP(2.21*(K956-1)) + EXP(2.21*(L956-1)) + EXP(2.21*M956)   )/100*2.45 )</f>
        <v/>
      </c>
      <c r="O956" s="159" t="str">
        <f>IF( OR( ISBLANK(I956),ISBLANK(J956), ISBLANK(K956), ISBLANK(L956), ISBLANK(M956) ), "", 1.5*SQRT( EXP(2.21*(I956-1)) + EXP(2.21*(J956-1)) + EXP(2.21*(K956-1)) + EXP(2.21*(L956-1)) + EXP(2.21*M956)   )/100*2.45 )</f>
        <v/>
      </c>
      <c r="P956" s="34"/>
    </row>
    <row r="957" spans="1:16" s="803" customFormat="1">
      <c r="A957" s="34" t="s">
        <v>39</v>
      </c>
      <c r="B957" s="40" t="s">
        <v>235</v>
      </c>
      <c r="C957" s="34" t="s">
        <v>139</v>
      </c>
      <c r="D957" s="40" t="s">
        <v>87</v>
      </c>
      <c r="E957" s="237">
        <v>2.58E-2</v>
      </c>
      <c r="F957" s="168">
        <v>1</v>
      </c>
      <c r="G957" s="34" t="s">
        <v>140</v>
      </c>
      <c r="H957" s="29">
        <v>2</v>
      </c>
      <c r="I957" s="9">
        <v>2</v>
      </c>
      <c r="J957" s="9">
        <v>2</v>
      </c>
      <c r="K957" s="9">
        <v>1</v>
      </c>
      <c r="L957" s="9">
        <v>1</v>
      </c>
      <c r="M957" s="9">
        <v>2</v>
      </c>
      <c r="N957" s="185">
        <f>IF( OR( ISBLANK(H957),ISBLANK(J957), ISBLANK(K957), ISBLANK(L957), ISBLANK(M957) ), "", 1.5*SQRT(   EXP(2.21*(H957-1)) + EXP(2.21*(J957-1)) + EXP(2.21*(K957-1)) + EXP(2.21*(L957-1)) + EXP(2.21*M957)   )/100*2.45 )</f>
        <v>0.37356464144298934</v>
      </c>
      <c r="O957" s="159">
        <f>IF( OR( ISBLANK(I957),ISBLANK(J957), ISBLANK(K957), ISBLANK(L957), ISBLANK(M957) ), "", 1.5*SQRT( EXP(2.21*(I957-1)) + EXP(2.21*(J957-1)) + EXP(2.21*(K957-1)) + EXP(2.21*(L957-1)) + EXP(2.21*M957)   )/100*2.45 )</f>
        <v>0.37356464144298934</v>
      </c>
      <c r="P957" s="34"/>
    </row>
    <row r="958" spans="1:16" s="803" customFormat="1">
      <c r="A958" s="34" t="s">
        <v>39</v>
      </c>
      <c r="B958" s="40" t="s">
        <v>235</v>
      </c>
      <c r="C958" s="34" t="s">
        <v>139</v>
      </c>
      <c r="D958" s="40" t="s">
        <v>88</v>
      </c>
      <c r="E958" s="237">
        <v>0</v>
      </c>
      <c r="F958" s="168">
        <v>1</v>
      </c>
      <c r="G958" s="34" t="s">
        <v>140</v>
      </c>
      <c r="H958" s="29"/>
      <c r="I958" s="9"/>
      <c r="J958" s="9"/>
      <c r="K958" s="9"/>
      <c r="L958" s="9"/>
      <c r="M958" s="9"/>
      <c r="N958" s="185" t="str">
        <f>IF( OR( ISBLANK(H958),ISBLANK(J958), ISBLANK(K958), ISBLANK(L958), ISBLANK(M958) ), "", 1.5*SQRT(   EXP(2.21*(H958-1)) + EXP(2.21*(J958-1)) + EXP(2.21*(K958-1)) + EXP(2.21*(L958-1)) + EXP(2.21*M958)   )/100*2.45 )</f>
        <v/>
      </c>
      <c r="O958" s="159" t="str">
        <f>IF( OR( ISBLANK(I958),ISBLANK(J958), ISBLANK(K958), ISBLANK(L958), ISBLANK(M958) ), "", 1.5*SQRT( EXP(2.21*(I958-1)) + EXP(2.21*(J958-1)) + EXP(2.21*(K958-1)) + EXP(2.21*(L958-1)) + EXP(2.21*M958)   )/100*2.45 )</f>
        <v/>
      </c>
      <c r="P958" s="34"/>
    </row>
    <row r="959" spans="1:16" s="803" customFormat="1">
      <c r="A959" s="34" t="s">
        <v>39</v>
      </c>
      <c r="B959" s="40" t="s">
        <v>235</v>
      </c>
      <c r="C959" s="34" t="s">
        <v>139</v>
      </c>
      <c r="D959" s="40" t="s">
        <v>89</v>
      </c>
      <c r="E959" s="237">
        <v>0</v>
      </c>
      <c r="F959" s="168">
        <v>1</v>
      </c>
      <c r="G959" s="34" t="s">
        <v>140</v>
      </c>
      <c r="H959" s="29"/>
      <c r="I959" s="9"/>
      <c r="J959" s="9"/>
      <c r="K959" s="9"/>
      <c r="L959" s="9"/>
      <c r="M959" s="9"/>
      <c r="N959" s="185" t="str">
        <f>IF( OR( ISBLANK(H959),ISBLANK(J959), ISBLANK(K959), ISBLANK(L959), ISBLANK(M959) ), "", 1.5*SQRT(   EXP(2.21*(H959-1)) + EXP(2.21*(J959-1)) + EXP(2.21*(K959-1)) + EXP(2.21*(L959-1)) + EXP(2.21*M959)   )/100*2.45 )</f>
        <v/>
      </c>
      <c r="O959" s="159" t="str">
        <f>IF( OR( ISBLANK(I959),ISBLANK(J959), ISBLANK(K959), ISBLANK(L959), ISBLANK(M959) ), "", 1.5*SQRT( EXP(2.21*(I959-1)) + EXP(2.21*(J959-1)) + EXP(2.21*(K959-1)) + EXP(2.21*(L959-1)) + EXP(2.21*M959)   )/100*2.45 )</f>
        <v/>
      </c>
      <c r="P959" s="34"/>
    </row>
    <row r="960" spans="1:16" s="803" customFormat="1">
      <c r="A960" s="34" t="s">
        <v>39</v>
      </c>
      <c r="B960" s="40" t="s">
        <v>235</v>
      </c>
      <c r="C960" s="34" t="s">
        <v>139</v>
      </c>
      <c r="D960" s="40" t="s">
        <v>90</v>
      </c>
      <c r="E960" s="237">
        <v>0</v>
      </c>
      <c r="F960" s="168">
        <v>1</v>
      </c>
      <c r="G960" s="34" t="s">
        <v>140</v>
      </c>
      <c r="H960" s="29"/>
      <c r="I960" s="9"/>
      <c r="J960" s="9"/>
      <c r="K960" s="9"/>
      <c r="L960" s="9"/>
      <c r="M960" s="9"/>
      <c r="N960" s="185" t="str">
        <f>IF( OR( ISBLANK(H960),ISBLANK(J960), ISBLANK(K960), ISBLANK(L960), ISBLANK(M960) ), "", 1.5*SQRT(   EXP(2.21*(H960-1)) + EXP(2.21*(J960-1)) + EXP(2.21*(K960-1)) + EXP(2.21*(L960-1)) + EXP(2.21*M960)   )/100*2.45 )</f>
        <v/>
      </c>
      <c r="O960" s="159" t="str">
        <f>IF( OR( ISBLANK(I960),ISBLANK(J960), ISBLANK(K960), ISBLANK(L960), ISBLANK(M960) ), "", 1.5*SQRT( EXP(2.21*(I960-1)) + EXP(2.21*(J960-1)) + EXP(2.21*(K960-1)) + EXP(2.21*(L960-1)) + EXP(2.21*M960)   )/100*2.45 )</f>
        <v/>
      </c>
      <c r="P960" s="34"/>
    </row>
    <row r="961" spans="1:16" s="803" customFormat="1">
      <c r="A961" s="34" t="s">
        <v>39</v>
      </c>
      <c r="B961" s="40" t="s">
        <v>235</v>
      </c>
      <c r="C961" s="34" t="s">
        <v>139</v>
      </c>
      <c r="D961" s="40" t="s">
        <v>91</v>
      </c>
      <c r="E961" s="237">
        <v>0</v>
      </c>
      <c r="F961" s="168">
        <v>1</v>
      </c>
      <c r="G961" s="34" t="s">
        <v>140</v>
      </c>
      <c r="H961" s="29"/>
      <c r="I961" s="9"/>
      <c r="J961" s="9"/>
      <c r="K961" s="9"/>
      <c r="L961" s="9"/>
      <c r="M961" s="9"/>
      <c r="N961" s="185" t="str">
        <f>IF( OR( ISBLANK(H961),ISBLANK(J961), ISBLANK(K961), ISBLANK(L961), ISBLANK(M961) ), "", 1.5*SQRT(   EXP(2.21*(H961-1)) + EXP(2.21*(J961-1)) + EXP(2.21*(K961-1)) + EXP(2.21*(L961-1)) + EXP(2.21*M961)   )/100*2.45 )</f>
        <v/>
      </c>
      <c r="O961" s="159" t="str">
        <f>IF( OR( ISBLANK(I961),ISBLANK(J961), ISBLANK(K961), ISBLANK(L961), ISBLANK(M961) ), "", 1.5*SQRT( EXP(2.21*(I961-1)) + EXP(2.21*(J961-1)) + EXP(2.21*(K961-1)) + EXP(2.21*(L961-1)) + EXP(2.21*M961)   )/100*2.45 )</f>
        <v/>
      </c>
      <c r="P961" s="34"/>
    </row>
    <row r="962" spans="1:16" s="803" customFormat="1">
      <c r="A962" s="34" t="s">
        <v>39</v>
      </c>
      <c r="B962" s="40" t="s">
        <v>235</v>
      </c>
      <c r="C962" s="34" t="s">
        <v>139</v>
      </c>
      <c r="D962" s="40" t="s">
        <v>98</v>
      </c>
      <c r="E962" s="237">
        <v>0</v>
      </c>
      <c r="F962" s="168">
        <v>1</v>
      </c>
      <c r="G962" s="34" t="s">
        <v>141</v>
      </c>
      <c r="H962" s="29"/>
      <c r="I962" s="9"/>
      <c r="J962" s="9"/>
      <c r="K962" s="9"/>
      <c r="L962" s="9"/>
      <c r="M962" s="9"/>
      <c r="N962" s="185" t="str">
        <f>IF( OR( ISBLANK(H962),ISBLANK(J962), ISBLANK(K962), ISBLANK(L962), ISBLANK(M962) ), "", 1.5*SQRT(   EXP(2.21*(H962-1)) + EXP(2.21*(J962-1)) + EXP(2.21*(K962-1)) + EXP(2.21*(L962-1)) + EXP(2.21*M962)   )/100*2.45 )</f>
        <v/>
      </c>
      <c r="O962" s="159" t="str">
        <f>IF( OR( ISBLANK(I962),ISBLANK(J962), ISBLANK(K962), ISBLANK(L962), ISBLANK(M962) ), "", 1.5*SQRT( EXP(2.21*(I962-1)) + EXP(2.21*(J962-1)) + EXP(2.21*(K962-1)) + EXP(2.21*(L962-1)) + EXP(2.21*M962)   )/100*2.45 )</f>
        <v/>
      </c>
      <c r="P962" s="34"/>
    </row>
    <row r="963" spans="1:16" s="803" customFormat="1">
      <c r="A963" s="34" t="s">
        <v>39</v>
      </c>
      <c r="B963" s="40" t="s">
        <v>203</v>
      </c>
      <c r="C963" s="34" t="s">
        <v>139</v>
      </c>
      <c r="D963" s="40" t="s">
        <v>85</v>
      </c>
      <c r="E963" s="237">
        <v>1.41E-2</v>
      </c>
      <c r="F963" s="168">
        <v>1</v>
      </c>
      <c r="G963" s="34" t="s">
        <v>140</v>
      </c>
      <c r="H963" s="29">
        <v>2</v>
      </c>
      <c r="I963" s="9">
        <v>2</v>
      </c>
      <c r="J963" s="9">
        <v>2</v>
      </c>
      <c r="K963" s="9">
        <v>1</v>
      </c>
      <c r="L963" s="9">
        <v>1</v>
      </c>
      <c r="M963" s="9">
        <v>2</v>
      </c>
      <c r="N963" s="185">
        <f>IF( OR( ISBLANK(H963),ISBLANK(J963), ISBLANK(K963), ISBLANK(L963), ISBLANK(M963) ), "", 1.5*SQRT(   EXP(2.21*(H963-1)) + EXP(2.21*(J963-1)) + EXP(2.21*(K963-1)) + EXP(2.21*(L963-1)) + EXP(2.21*M963)   )/100*2.45 )</f>
        <v>0.37356464144298934</v>
      </c>
      <c r="O963" s="159">
        <f>IF( OR( ISBLANK(I963),ISBLANK(J963), ISBLANK(K963), ISBLANK(L963), ISBLANK(M963) ), "", 1.5*SQRT( EXP(2.21*(I963-1)) + EXP(2.21*(J963-1)) + EXP(2.21*(K963-1)) + EXP(2.21*(L963-1)) + EXP(2.21*M963)   )/100*2.45 )</f>
        <v>0.37356464144298934</v>
      </c>
      <c r="P963" s="34"/>
    </row>
    <row r="964" spans="1:16" s="803" customFormat="1">
      <c r="A964" s="34" t="s">
        <v>39</v>
      </c>
      <c r="B964" s="40" t="s">
        <v>203</v>
      </c>
      <c r="C964" s="34" t="s">
        <v>139</v>
      </c>
      <c r="D964" s="40" t="s">
        <v>86</v>
      </c>
      <c r="E964" s="237">
        <v>8.3099999999999993E-2</v>
      </c>
      <c r="F964" s="168">
        <v>1</v>
      </c>
      <c r="G964" s="34" t="s">
        <v>140</v>
      </c>
      <c r="H964" s="29">
        <v>2</v>
      </c>
      <c r="I964" s="9">
        <v>2</v>
      </c>
      <c r="J964" s="9">
        <v>2</v>
      </c>
      <c r="K964" s="9">
        <v>1</v>
      </c>
      <c r="L964" s="9">
        <v>1</v>
      </c>
      <c r="M964" s="9">
        <v>2</v>
      </c>
      <c r="N964" s="185">
        <f>IF( OR( ISBLANK(H964),ISBLANK(J964), ISBLANK(K964), ISBLANK(L964), ISBLANK(M964) ), "", 1.5*SQRT(   EXP(2.21*(H964-1)) + EXP(2.21*(J964-1)) + EXP(2.21*(K964-1)) + EXP(2.21*(L964-1)) + EXP(2.21*M964)   )/100*2.45 )</f>
        <v>0.37356464144298934</v>
      </c>
      <c r="O964" s="159">
        <f>IF( OR( ISBLANK(I964),ISBLANK(J964), ISBLANK(K964), ISBLANK(L964), ISBLANK(M964) ), "", 1.5*SQRT( EXP(2.21*(I964-1)) + EXP(2.21*(J964-1)) + EXP(2.21*(K964-1)) + EXP(2.21*(L964-1)) + EXP(2.21*M964)   )/100*2.45 )</f>
        <v>0.37356464144298934</v>
      </c>
      <c r="P964" s="34"/>
    </row>
    <row r="965" spans="1:16" s="803" customFormat="1">
      <c r="A965" s="34" t="s">
        <v>39</v>
      </c>
      <c r="B965" s="40" t="s">
        <v>203</v>
      </c>
      <c r="C965" s="34" t="s">
        <v>139</v>
      </c>
      <c r="D965" s="40" t="s">
        <v>87</v>
      </c>
      <c r="E965" s="237">
        <v>0.38140000000000002</v>
      </c>
      <c r="F965" s="168">
        <v>1</v>
      </c>
      <c r="G965" s="34" t="s">
        <v>140</v>
      </c>
      <c r="H965" s="29">
        <v>2</v>
      </c>
      <c r="I965" s="9">
        <v>2</v>
      </c>
      <c r="J965" s="9">
        <v>2</v>
      </c>
      <c r="K965" s="9">
        <v>1</v>
      </c>
      <c r="L965" s="9">
        <v>1</v>
      </c>
      <c r="M965" s="9">
        <v>2</v>
      </c>
      <c r="N965" s="185">
        <f>IF( OR( ISBLANK(H965),ISBLANK(J965), ISBLANK(K965), ISBLANK(L965), ISBLANK(M965) ), "", 1.5*SQRT(   EXP(2.21*(H965-1)) + EXP(2.21*(J965-1)) + EXP(2.21*(K965-1)) + EXP(2.21*(L965-1)) + EXP(2.21*M965)   )/100*2.45 )</f>
        <v>0.37356464144298934</v>
      </c>
      <c r="O965" s="159">
        <f>IF( OR( ISBLANK(I965),ISBLANK(J965), ISBLANK(K965), ISBLANK(L965), ISBLANK(M965) ), "", 1.5*SQRT( EXP(2.21*(I965-1)) + EXP(2.21*(J965-1)) + EXP(2.21*(K965-1)) + EXP(2.21*(L965-1)) + EXP(2.21*M965)   )/100*2.45 )</f>
        <v>0.37356464144298934</v>
      </c>
      <c r="P965" s="34"/>
    </row>
    <row r="966" spans="1:16" s="803" customFormat="1">
      <c r="A966" s="34" t="s">
        <v>39</v>
      </c>
      <c r="B966" s="40" t="s">
        <v>203</v>
      </c>
      <c r="C966" s="34" t="s">
        <v>139</v>
      </c>
      <c r="D966" s="40" t="s">
        <v>88</v>
      </c>
      <c r="E966" s="237">
        <v>0.79759999999999998</v>
      </c>
      <c r="F966" s="168">
        <v>1</v>
      </c>
      <c r="G966" s="34" t="s">
        <v>140</v>
      </c>
      <c r="H966" s="29">
        <v>2</v>
      </c>
      <c r="I966" s="9">
        <v>2</v>
      </c>
      <c r="J966" s="9">
        <v>2</v>
      </c>
      <c r="K966" s="9">
        <v>1</v>
      </c>
      <c r="L966" s="9">
        <v>1</v>
      </c>
      <c r="M966" s="9">
        <v>2</v>
      </c>
      <c r="N966" s="185">
        <f>IF( OR( ISBLANK(H966),ISBLANK(J966), ISBLANK(K966), ISBLANK(L966), ISBLANK(M966) ), "", 1.5*SQRT(   EXP(2.21*(H966-1)) + EXP(2.21*(J966-1)) + EXP(2.21*(K966-1)) + EXP(2.21*(L966-1)) + EXP(2.21*M966)   )/100*2.45 )</f>
        <v>0.37356464144298934</v>
      </c>
      <c r="O966" s="159">
        <f>IF( OR( ISBLANK(I966),ISBLANK(J966), ISBLANK(K966), ISBLANK(L966), ISBLANK(M966) ), "", 1.5*SQRT( EXP(2.21*(I966-1)) + EXP(2.21*(J966-1)) + EXP(2.21*(K966-1)) + EXP(2.21*(L966-1)) + EXP(2.21*M966)   )/100*2.45 )</f>
        <v>0.37356464144298934</v>
      </c>
      <c r="P966" s="34"/>
    </row>
    <row r="967" spans="1:16" s="803" customFormat="1">
      <c r="A967" s="34" t="s">
        <v>39</v>
      </c>
      <c r="B967" s="40" t="s">
        <v>203</v>
      </c>
      <c r="C967" s="34" t="s">
        <v>139</v>
      </c>
      <c r="D967" s="40" t="s">
        <v>89</v>
      </c>
      <c r="E967" s="237">
        <v>0</v>
      </c>
      <c r="F967" s="168">
        <v>1</v>
      </c>
      <c r="G967" s="34" t="s">
        <v>140</v>
      </c>
      <c r="H967" s="29"/>
      <c r="I967" s="9"/>
      <c r="J967" s="9"/>
      <c r="K967" s="9"/>
      <c r="L967" s="9"/>
      <c r="M967" s="9"/>
      <c r="N967" s="185" t="str">
        <f>IF( OR( ISBLANK(H967),ISBLANK(J967), ISBLANK(K967), ISBLANK(L967), ISBLANK(M967) ), "", 1.5*SQRT(   EXP(2.21*(H967-1)) + EXP(2.21*(J967-1)) + EXP(2.21*(K967-1)) + EXP(2.21*(L967-1)) + EXP(2.21*M967)   )/100*2.45 )</f>
        <v/>
      </c>
      <c r="O967" s="159" t="str">
        <f>IF( OR( ISBLANK(I967),ISBLANK(J967), ISBLANK(K967), ISBLANK(L967), ISBLANK(M967) ), "", 1.5*SQRT( EXP(2.21*(I967-1)) + EXP(2.21*(J967-1)) + EXP(2.21*(K967-1)) + EXP(2.21*(L967-1)) + EXP(2.21*M967)   )/100*2.45 )</f>
        <v/>
      </c>
      <c r="P967" s="34"/>
    </row>
    <row r="968" spans="1:16" s="803" customFormat="1">
      <c r="A968" s="34" t="s">
        <v>39</v>
      </c>
      <c r="B968" s="40" t="s">
        <v>203</v>
      </c>
      <c r="C968" s="34" t="s">
        <v>139</v>
      </c>
      <c r="D968" s="40" t="s">
        <v>90</v>
      </c>
      <c r="E968" s="237">
        <v>0.45450000000000002</v>
      </c>
      <c r="F968" s="168">
        <v>1</v>
      </c>
      <c r="G968" s="34" t="s">
        <v>140</v>
      </c>
      <c r="H968" s="29">
        <v>2</v>
      </c>
      <c r="I968" s="9">
        <v>2</v>
      </c>
      <c r="J968" s="9">
        <v>2</v>
      </c>
      <c r="K968" s="9">
        <v>1</v>
      </c>
      <c r="L968" s="9">
        <v>1</v>
      </c>
      <c r="M968" s="9">
        <v>2</v>
      </c>
      <c r="N968" s="185">
        <f>IF( OR( ISBLANK(H968),ISBLANK(J968), ISBLANK(K968), ISBLANK(L968), ISBLANK(M968) ), "", 1.5*SQRT(   EXP(2.21*(H968-1)) + EXP(2.21*(J968-1)) + EXP(2.21*(K968-1)) + EXP(2.21*(L968-1)) + EXP(2.21*M968)   )/100*2.45 )</f>
        <v>0.37356464144298934</v>
      </c>
      <c r="O968" s="159">
        <f>IF( OR( ISBLANK(I968),ISBLANK(J968), ISBLANK(K968), ISBLANK(L968), ISBLANK(M968) ), "", 1.5*SQRT( EXP(2.21*(I968-1)) + EXP(2.21*(J968-1)) + EXP(2.21*(K968-1)) + EXP(2.21*(L968-1)) + EXP(2.21*M968)   )/100*2.45 )</f>
        <v>0.37356464144298934</v>
      </c>
      <c r="P968" s="34"/>
    </row>
    <row r="969" spans="1:16" s="803" customFormat="1">
      <c r="A969" s="34" t="s">
        <v>39</v>
      </c>
      <c r="B969" s="40" t="s">
        <v>203</v>
      </c>
      <c r="C969" s="34" t="s">
        <v>139</v>
      </c>
      <c r="D969" s="40" t="s">
        <v>91</v>
      </c>
      <c r="E969" s="237">
        <v>0.44280000000000003</v>
      </c>
      <c r="F969" s="168">
        <v>2</v>
      </c>
      <c r="G969" s="34" t="s">
        <v>140</v>
      </c>
      <c r="H969" s="29">
        <v>2</v>
      </c>
      <c r="I969" s="9">
        <v>2</v>
      </c>
      <c r="J969" s="9">
        <v>2</v>
      </c>
      <c r="K969" s="9">
        <v>1</v>
      </c>
      <c r="L969" s="9">
        <v>1</v>
      </c>
      <c r="M969" s="9">
        <v>2</v>
      </c>
      <c r="N969" s="185">
        <f>IF( OR( ISBLANK(H969),ISBLANK(J969), ISBLANK(K969), ISBLANK(L969), ISBLANK(M969) ), "", 1.5*SQRT(   EXP(2.21*(H969-1)) + EXP(2.21*(J969-1)) + EXP(2.21*(K969-1)) + EXP(2.21*(L969-1)) + EXP(2.21*M969)   )/100*2.45 )</f>
        <v>0.37356464144298934</v>
      </c>
      <c r="O969" s="159">
        <f>IF( OR( ISBLANK(I969),ISBLANK(J969), ISBLANK(K969), ISBLANK(L969), ISBLANK(M969) ), "", 1.5*SQRT( EXP(2.21*(I969-1)) + EXP(2.21*(J969-1)) + EXP(2.21*(K969-1)) + EXP(2.21*(L969-1)) + EXP(2.21*M969)   )/100*2.45 )</f>
        <v>0.37356464144298934</v>
      </c>
      <c r="P969" s="34" t="s">
        <v>226</v>
      </c>
    </row>
    <row r="970" spans="1:16" s="803" customFormat="1">
      <c r="A970" s="34" t="s">
        <v>39</v>
      </c>
      <c r="B970" s="40" t="s">
        <v>203</v>
      </c>
      <c r="C970" s="34" t="s">
        <v>139</v>
      </c>
      <c r="D970" s="40" t="s">
        <v>98</v>
      </c>
      <c r="E970" s="237">
        <v>0.20723549488054607</v>
      </c>
      <c r="F970" s="168">
        <v>1</v>
      </c>
      <c r="G970" s="34" t="s">
        <v>141</v>
      </c>
      <c r="H970" s="29">
        <v>2</v>
      </c>
      <c r="I970" s="9">
        <v>1</v>
      </c>
      <c r="J970" s="9">
        <v>2</v>
      </c>
      <c r="K970" s="9">
        <v>2</v>
      </c>
      <c r="L970" s="9">
        <v>1</v>
      </c>
      <c r="M970" s="9">
        <v>2</v>
      </c>
      <c r="N970" s="185">
        <f>IF( OR( ISBLANK(H970),ISBLANK(J970), ISBLANK(K970), ISBLANK(L970), ISBLANK(M970) ), "", 1.5*SQRT(   EXP(2.21*(H970-1)) + EXP(2.21*(J970-1)) + EXP(2.21*(K970-1)) + EXP(2.21*(L970-1)) + EXP(2.21*M970)   )/100*2.45 )</f>
        <v>0.38795788889711302</v>
      </c>
      <c r="O970" s="159">
        <f>IF( OR( ISBLANK(I970),ISBLANK(J970), ISBLANK(K970), ISBLANK(L970), ISBLANK(M970) ), "", 1.5*SQRT( EXP(2.21*(I970-1)) + EXP(2.21*(J970-1)) + EXP(2.21*(K970-1)) + EXP(2.21*(L970-1)) + EXP(2.21*M970)   )/100*2.45 )</f>
        <v>0.37356464144298934</v>
      </c>
      <c r="P970" s="34"/>
    </row>
    <row r="971" spans="1:16" s="803" customFormat="1">
      <c r="A971" s="34" t="s">
        <v>39</v>
      </c>
      <c r="B971" s="40" t="s">
        <v>236</v>
      </c>
      <c r="C971" s="34" t="s">
        <v>139</v>
      </c>
      <c r="D971" s="40" t="s">
        <v>85</v>
      </c>
      <c r="E971" s="237">
        <v>0.65669999999999995</v>
      </c>
      <c r="F971" s="168">
        <v>1</v>
      </c>
      <c r="G971" s="34" t="s">
        <v>140</v>
      </c>
      <c r="H971" s="29">
        <v>2</v>
      </c>
      <c r="I971" s="9">
        <v>2</v>
      </c>
      <c r="J971" s="9">
        <v>2</v>
      </c>
      <c r="K971" s="9">
        <v>1</v>
      </c>
      <c r="L971" s="9">
        <v>1</v>
      </c>
      <c r="M971" s="9">
        <v>2</v>
      </c>
      <c r="N971" s="185">
        <f>IF( OR( ISBLANK(H971),ISBLANK(J971), ISBLANK(K971), ISBLANK(L971), ISBLANK(M971) ), "", 1.5*SQRT(   EXP(2.21*(H971-1)) + EXP(2.21*(J971-1)) + EXP(2.21*(K971-1)) + EXP(2.21*(L971-1)) + EXP(2.21*M971)   )/100*2.45 )</f>
        <v>0.37356464144298934</v>
      </c>
      <c r="O971" s="159">
        <f>IF( OR( ISBLANK(I971),ISBLANK(J971), ISBLANK(K971), ISBLANK(L971), ISBLANK(M971) ), "", 1.5*SQRT( EXP(2.21*(I971-1)) + EXP(2.21*(J971-1)) + EXP(2.21*(K971-1)) + EXP(2.21*(L971-1)) + EXP(2.21*M971)   )/100*2.45 )</f>
        <v>0.37356464144298934</v>
      </c>
      <c r="P971" s="34"/>
    </row>
    <row r="972" spans="1:16" s="803" customFormat="1">
      <c r="A972" s="34" t="s">
        <v>39</v>
      </c>
      <c r="B972" s="40" t="s">
        <v>236</v>
      </c>
      <c r="C972" s="34" t="s">
        <v>139</v>
      </c>
      <c r="D972" s="40" t="s">
        <v>86</v>
      </c>
      <c r="E972" s="237">
        <v>1.2200000000000001E-2</v>
      </c>
      <c r="F972" s="168">
        <v>1</v>
      </c>
      <c r="G972" s="34" t="s">
        <v>140</v>
      </c>
      <c r="H972" s="29">
        <v>2</v>
      </c>
      <c r="I972" s="9">
        <v>2</v>
      </c>
      <c r="J972" s="9">
        <v>2</v>
      </c>
      <c r="K972" s="9">
        <v>1</v>
      </c>
      <c r="L972" s="9">
        <v>1</v>
      </c>
      <c r="M972" s="9">
        <v>2</v>
      </c>
      <c r="N972" s="185">
        <f>IF( OR( ISBLANK(H972),ISBLANK(J972), ISBLANK(K972), ISBLANK(L972), ISBLANK(M972) ), "", 1.5*SQRT(   EXP(2.21*(H972-1)) + EXP(2.21*(J972-1)) + EXP(2.21*(K972-1)) + EXP(2.21*(L972-1)) + EXP(2.21*M972)   )/100*2.45 )</f>
        <v>0.37356464144298934</v>
      </c>
      <c r="O972" s="159">
        <f>IF( OR( ISBLANK(I972),ISBLANK(J972), ISBLANK(K972), ISBLANK(L972), ISBLANK(M972) ), "", 1.5*SQRT( EXP(2.21*(I972-1)) + EXP(2.21*(J972-1)) + EXP(2.21*(K972-1)) + EXP(2.21*(L972-1)) + EXP(2.21*M972)   )/100*2.45 )</f>
        <v>0.37356464144298934</v>
      </c>
      <c r="P972" s="34"/>
    </row>
    <row r="973" spans="1:16" s="803" customFormat="1">
      <c r="A973" s="34" t="s">
        <v>39</v>
      </c>
      <c r="B973" s="40" t="s">
        <v>236</v>
      </c>
      <c r="C973" s="34" t="s">
        <v>139</v>
      </c>
      <c r="D973" s="40" t="s">
        <v>87</v>
      </c>
      <c r="E973" s="237">
        <v>6.9599999999999995E-2</v>
      </c>
      <c r="F973" s="168">
        <v>1</v>
      </c>
      <c r="G973" s="34" t="s">
        <v>140</v>
      </c>
      <c r="H973" s="29">
        <v>2</v>
      </c>
      <c r="I973" s="9">
        <v>2</v>
      </c>
      <c r="J973" s="9">
        <v>2</v>
      </c>
      <c r="K973" s="9">
        <v>1</v>
      </c>
      <c r="L973" s="9">
        <v>1</v>
      </c>
      <c r="M973" s="9">
        <v>2</v>
      </c>
      <c r="N973" s="185">
        <f>IF( OR( ISBLANK(H973),ISBLANK(J973), ISBLANK(K973), ISBLANK(L973), ISBLANK(M973) ), "", 1.5*SQRT(   EXP(2.21*(H973-1)) + EXP(2.21*(J973-1)) + EXP(2.21*(K973-1)) + EXP(2.21*(L973-1)) + EXP(2.21*M973)   )/100*2.45 )</f>
        <v>0.37356464144298934</v>
      </c>
      <c r="O973" s="159">
        <f>IF( OR( ISBLANK(I973),ISBLANK(J973), ISBLANK(K973), ISBLANK(L973), ISBLANK(M973) ), "", 1.5*SQRT( EXP(2.21*(I973-1)) + EXP(2.21*(J973-1)) + EXP(2.21*(K973-1)) + EXP(2.21*(L973-1)) + EXP(2.21*M973)   )/100*2.45 )</f>
        <v>0.37356464144298934</v>
      </c>
      <c r="P973" s="34"/>
    </row>
    <row r="974" spans="1:16" s="803" customFormat="1">
      <c r="A974" s="34" t="s">
        <v>39</v>
      </c>
      <c r="B974" s="40" t="s">
        <v>236</v>
      </c>
      <c r="C974" s="34" t="s">
        <v>139</v>
      </c>
      <c r="D974" s="40" t="s">
        <v>88</v>
      </c>
      <c r="E974" s="237">
        <v>3.5700000000000003E-2</v>
      </c>
      <c r="F974" s="168">
        <v>1</v>
      </c>
      <c r="G974" s="34" t="s">
        <v>140</v>
      </c>
      <c r="H974" s="29">
        <v>2</v>
      </c>
      <c r="I974" s="9">
        <v>2</v>
      </c>
      <c r="J974" s="9">
        <v>2</v>
      </c>
      <c r="K974" s="9">
        <v>1</v>
      </c>
      <c r="L974" s="9">
        <v>1</v>
      </c>
      <c r="M974" s="9">
        <v>2</v>
      </c>
      <c r="N974" s="185">
        <f>IF( OR( ISBLANK(H974),ISBLANK(J974), ISBLANK(K974), ISBLANK(L974), ISBLANK(M974) ), "", 1.5*SQRT(   EXP(2.21*(H974-1)) + EXP(2.21*(J974-1)) + EXP(2.21*(K974-1)) + EXP(2.21*(L974-1)) + EXP(2.21*M974)   )/100*2.45 )</f>
        <v>0.37356464144298934</v>
      </c>
      <c r="O974" s="159">
        <f>IF( OR( ISBLANK(I974),ISBLANK(J974), ISBLANK(K974), ISBLANK(L974), ISBLANK(M974) ), "", 1.5*SQRT( EXP(2.21*(I974-1)) + EXP(2.21*(J974-1)) + EXP(2.21*(K974-1)) + EXP(2.21*(L974-1)) + EXP(2.21*M974)   )/100*2.45 )</f>
        <v>0.37356464144298934</v>
      </c>
      <c r="P974" s="34"/>
    </row>
    <row r="975" spans="1:16" s="803" customFormat="1">
      <c r="A975" s="34" t="s">
        <v>39</v>
      </c>
      <c r="B975" s="40" t="s">
        <v>236</v>
      </c>
      <c r="C975" s="34" t="s">
        <v>139</v>
      </c>
      <c r="D975" s="40" t="s">
        <v>89</v>
      </c>
      <c r="E975" s="237">
        <v>0</v>
      </c>
      <c r="F975" s="168">
        <v>1</v>
      </c>
      <c r="G975" s="34" t="s">
        <v>140</v>
      </c>
      <c r="H975" s="29"/>
      <c r="I975" s="9"/>
      <c r="J975" s="9"/>
      <c r="K975" s="9"/>
      <c r="L975" s="9"/>
      <c r="M975" s="9"/>
      <c r="N975" s="185" t="str">
        <f>IF( OR( ISBLANK(H975),ISBLANK(J975), ISBLANK(K975), ISBLANK(L975), ISBLANK(M975) ), "", 1.5*SQRT(   EXP(2.21*(H975-1)) + EXP(2.21*(J975-1)) + EXP(2.21*(K975-1)) + EXP(2.21*(L975-1)) + EXP(2.21*M975)   )/100*2.45 )</f>
        <v/>
      </c>
      <c r="O975" s="159" t="str">
        <f>IF( OR( ISBLANK(I975),ISBLANK(J975), ISBLANK(K975), ISBLANK(L975), ISBLANK(M975) ), "", 1.5*SQRT( EXP(2.21*(I975-1)) + EXP(2.21*(J975-1)) + EXP(2.21*(K975-1)) + EXP(2.21*(L975-1)) + EXP(2.21*M975)   )/100*2.45 )</f>
        <v/>
      </c>
      <c r="P975" s="34"/>
    </row>
    <row r="976" spans="1:16" s="803" customFormat="1">
      <c r="A976" s="34" t="s">
        <v>39</v>
      </c>
      <c r="B976" s="40" t="s">
        <v>236</v>
      </c>
      <c r="C976" s="34" t="s">
        <v>139</v>
      </c>
      <c r="D976" s="40" t="s">
        <v>90</v>
      </c>
      <c r="E976" s="237">
        <v>7.9500000000000001E-2</v>
      </c>
      <c r="F976" s="168">
        <v>1</v>
      </c>
      <c r="G976" s="34" t="s">
        <v>140</v>
      </c>
      <c r="H976" s="29">
        <v>2</v>
      </c>
      <c r="I976" s="9">
        <v>2</v>
      </c>
      <c r="J976" s="9">
        <v>2</v>
      </c>
      <c r="K976" s="9">
        <v>1</v>
      </c>
      <c r="L976" s="9">
        <v>1</v>
      </c>
      <c r="M976" s="9">
        <v>2</v>
      </c>
      <c r="N976" s="185">
        <f>IF( OR( ISBLANK(H976),ISBLANK(J976), ISBLANK(K976), ISBLANK(L976), ISBLANK(M976) ), "", 1.5*SQRT(   EXP(2.21*(H976-1)) + EXP(2.21*(J976-1)) + EXP(2.21*(K976-1)) + EXP(2.21*(L976-1)) + EXP(2.21*M976)   )/100*2.45 )</f>
        <v>0.37356464144298934</v>
      </c>
      <c r="O976" s="159">
        <f>IF( OR( ISBLANK(I976),ISBLANK(J976), ISBLANK(K976), ISBLANK(L976), ISBLANK(M976) ), "", 1.5*SQRT( EXP(2.21*(I976-1)) + EXP(2.21*(J976-1)) + EXP(2.21*(K976-1)) + EXP(2.21*(L976-1)) + EXP(2.21*M976)   )/100*2.45 )</f>
        <v>0.37356464144298934</v>
      </c>
      <c r="P976" s="34"/>
    </row>
    <row r="977" spans="1:16" s="803" customFormat="1">
      <c r="A977" s="34" t="s">
        <v>39</v>
      </c>
      <c r="B977" s="40" t="s">
        <v>236</v>
      </c>
      <c r="C977" s="34" t="s">
        <v>139</v>
      </c>
      <c r="D977" s="40" t="s">
        <v>91</v>
      </c>
      <c r="E977" s="237">
        <v>0.01</v>
      </c>
      <c r="F977" s="168">
        <v>1</v>
      </c>
      <c r="G977" s="34" t="s">
        <v>140</v>
      </c>
      <c r="H977" s="29">
        <v>2</v>
      </c>
      <c r="I977" s="9">
        <v>2</v>
      </c>
      <c r="J977" s="9">
        <v>2</v>
      </c>
      <c r="K977" s="9">
        <v>1</v>
      </c>
      <c r="L977" s="9">
        <v>1</v>
      </c>
      <c r="M977" s="9">
        <v>2</v>
      </c>
      <c r="N977" s="185">
        <f>IF( OR( ISBLANK(H977),ISBLANK(J977), ISBLANK(K977), ISBLANK(L977), ISBLANK(M977) ), "", 1.5*SQRT(   EXP(2.21*(H977-1)) + EXP(2.21*(J977-1)) + EXP(2.21*(K977-1)) + EXP(2.21*(L977-1)) + EXP(2.21*M977)   )/100*2.45 )</f>
        <v>0.37356464144298934</v>
      </c>
      <c r="O977" s="159">
        <f>IF( OR( ISBLANK(I977),ISBLANK(J977), ISBLANK(K977), ISBLANK(L977), ISBLANK(M977) ), "", 1.5*SQRT( EXP(2.21*(I977-1)) + EXP(2.21*(J977-1)) + EXP(2.21*(K977-1)) + EXP(2.21*(L977-1)) + EXP(2.21*M977)   )/100*2.45 )</f>
        <v>0.37356464144298934</v>
      </c>
      <c r="P977" s="34"/>
    </row>
    <row r="978" spans="1:16" s="803" customFormat="1">
      <c r="A978" s="34" t="s">
        <v>39</v>
      </c>
      <c r="B978" s="40" t="s">
        <v>236</v>
      </c>
      <c r="C978" s="34" t="s">
        <v>139</v>
      </c>
      <c r="D978" s="40" t="s">
        <v>98</v>
      </c>
      <c r="E978" s="237">
        <v>0</v>
      </c>
      <c r="F978" s="168">
        <v>1</v>
      </c>
      <c r="G978" s="34" t="s">
        <v>141</v>
      </c>
      <c r="H978" s="29"/>
      <c r="I978" s="9"/>
      <c r="J978" s="9"/>
      <c r="K978" s="9"/>
      <c r="L978" s="9"/>
      <c r="M978" s="9"/>
      <c r="N978" s="185" t="str">
        <f>IF( OR( ISBLANK(H978),ISBLANK(J978), ISBLANK(K978), ISBLANK(L978), ISBLANK(M978) ), "", 1.5*SQRT(   EXP(2.21*(H978-1)) + EXP(2.21*(J978-1)) + EXP(2.21*(K978-1)) + EXP(2.21*(L978-1)) + EXP(2.21*M978)   )/100*2.45 )</f>
        <v/>
      </c>
      <c r="O978" s="159" t="str">
        <f>IF( OR( ISBLANK(I978),ISBLANK(J978), ISBLANK(K978), ISBLANK(L978), ISBLANK(M978) ), "", 1.5*SQRT( EXP(2.21*(I978-1)) + EXP(2.21*(J978-1)) + EXP(2.21*(K978-1)) + EXP(2.21*(L978-1)) + EXP(2.21*M978)   )/100*2.45 )</f>
        <v/>
      </c>
      <c r="P978" s="34"/>
    </row>
    <row r="979" spans="1:16" s="803" customFormat="1">
      <c r="A979" s="34" t="s">
        <v>39</v>
      </c>
      <c r="B979" s="40" t="s">
        <v>237</v>
      </c>
      <c r="C979" s="34" t="s">
        <v>139</v>
      </c>
      <c r="D979" s="40" t="s">
        <v>85</v>
      </c>
      <c r="E979" s="237">
        <v>0</v>
      </c>
      <c r="F979" s="168">
        <v>1</v>
      </c>
      <c r="G979" s="34" t="s">
        <v>140</v>
      </c>
      <c r="H979" s="29"/>
      <c r="I979" s="9"/>
      <c r="J979" s="9"/>
      <c r="K979" s="9"/>
      <c r="L979" s="9"/>
      <c r="M979" s="9"/>
      <c r="N979" s="185" t="str">
        <f>IF( OR( ISBLANK(H979),ISBLANK(J979), ISBLANK(K979), ISBLANK(L979), ISBLANK(M979) ), "", 1.5*SQRT(   EXP(2.21*(H979-1)) + EXP(2.21*(J979-1)) + EXP(2.21*(K979-1)) + EXP(2.21*(L979-1)) + EXP(2.21*M979)   )/100*2.45 )</f>
        <v/>
      </c>
      <c r="O979" s="159" t="str">
        <f>IF( OR( ISBLANK(I979),ISBLANK(J979), ISBLANK(K979), ISBLANK(L979), ISBLANK(M979) ), "", 1.5*SQRT( EXP(2.21*(I979-1)) + EXP(2.21*(J979-1)) + EXP(2.21*(K979-1)) + EXP(2.21*(L979-1)) + EXP(2.21*M979)   )/100*2.45 )</f>
        <v/>
      </c>
      <c r="P979" s="34"/>
    </row>
    <row r="980" spans="1:16" s="803" customFormat="1">
      <c r="A980" s="34" t="s">
        <v>39</v>
      </c>
      <c r="B980" s="40" t="s">
        <v>237</v>
      </c>
      <c r="C980" s="34" t="s">
        <v>139</v>
      </c>
      <c r="D980" s="40" t="s">
        <v>86</v>
      </c>
      <c r="E980" s="237">
        <v>0.1638</v>
      </c>
      <c r="F980" s="168">
        <v>1</v>
      </c>
      <c r="G980" s="34" t="s">
        <v>140</v>
      </c>
      <c r="H980" s="29">
        <v>2</v>
      </c>
      <c r="I980" s="9">
        <v>2</v>
      </c>
      <c r="J980" s="9">
        <v>2</v>
      </c>
      <c r="K980" s="9">
        <v>1</v>
      </c>
      <c r="L980" s="9">
        <v>1</v>
      </c>
      <c r="M980" s="9">
        <v>2</v>
      </c>
      <c r="N980" s="185">
        <f>IF( OR( ISBLANK(H980),ISBLANK(J980), ISBLANK(K980), ISBLANK(L980), ISBLANK(M980) ), "", 1.5*SQRT(   EXP(2.21*(H980-1)) + EXP(2.21*(J980-1)) + EXP(2.21*(K980-1)) + EXP(2.21*(L980-1)) + EXP(2.21*M980)   )/100*2.45 )</f>
        <v>0.37356464144298934</v>
      </c>
      <c r="O980" s="159">
        <f>IF( OR( ISBLANK(I980),ISBLANK(J980), ISBLANK(K980), ISBLANK(L980), ISBLANK(M980) ), "", 1.5*SQRT( EXP(2.21*(I980-1)) + EXP(2.21*(J980-1)) + EXP(2.21*(K980-1)) + EXP(2.21*(L980-1)) + EXP(2.21*M980)   )/100*2.45 )</f>
        <v>0.37356464144298934</v>
      </c>
      <c r="P980" s="34"/>
    </row>
    <row r="981" spans="1:16" s="803" customFormat="1">
      <c r="A981" s="34" t="s">
        <v>39</v>
      </c>
      <c r="B981" s="40" t="s">
        <v>237</v>
      </c>
      <c r="C981" s="34" t="s">
        <v>139</v>
      </c>
      <c r="D981" s="40" t="s">
        <v>87</v>
      </c>
      <c r="E981" s="237">
        <v>0.20619999999999999</v>
      </c>
      <c r="F981" s="168">
        <v>1</v>
      </c>
      <c r="G981" s="34" t="s">
        <v>140</v>
      </c>
      <c r="H981" s="29">
        <v>2</v>
      </c>
      <c r="I981" s="9">
        <v>2</v>
      </c>
      <c r="J981" s="9">
        <v>2</v>
      </c>
      <c r="K981" s="9">
        <v>1</v>
      </c>
      <c r="L981" s="9">
        <v>1</v>
      </c>
      <c r="M981" s="9">
        <v>2</v>
      </c>
      <c r="N981" s="185">
        <f>IF( OR( ISBLANK(H981),ISBLANK(J981), ISBLANK(K981), ISBLANK(L981), ISBLANK(M981) ), "", 1.5*SQRT(   EXP(2.21*(H981-1)) + EXP(2.21*(J981-1)) + EXP(2.21*(K981-1)) + EXP(2.21*(L981-1)) + EXP(2.21*M981)   )/100*2.45 )</f>
        <v>0.37356464144298934</v>
      </c>
      <c r="O981" s="159">
        <f>IF( OR( ISBLANK(I981),ISBLANK(J981), ISBLANK(K981), ISBLANK(L981), ISBLANK(M981) ), "", 1.5*SQRT( EXP(2.21*(I981-1)) + EXP(2.21*(J981-1)) + EXP(2.21*(K981-1)) + EXP(2.21*(L981-1)) + EXP(2.21*M981)   )/100*2.45 )</f>
        <v>0.37356464144298934</v>
      </c>
      <c r="P981" s="34"/>
    </row>
    <row r="982" spans="1:16" s="803" customFormat="1">
      <c r="A982" s="34" t="s">
        <v>39</v>
      </c>
      <c r="B982" s="40" t="s">
        <v>237</v>
      </c>
      <c r="C982" s="34" t="s">
        <v>139</v>
      </c>
      <c r="D982" s="40" t="s">
        <v>88</v>
      </c>
      <c r="E982" s="237">
        <v>0.15479999999999999</v>
      </c>
      <c r="F982" s="168">
        <v>1</v>
      </c>
      <c r="G982" s="34" t="s">
        <v>140</v>
      </c>
      <c r="H982" s="29">
        <v>2</v>
      </c>
      <c r="I982" s="9">
        <v>2</v>
      </c>
      <c r="J982" s="9">
        <v>2</v>
      </c>
      <c r="K982" s="9">
        <v>1</v>
      </c>
      <c r="L982" s="9">
        <v>1</v>
      </c>
      <c r="M982" s="9">
        <v>2</v>
      </c>
      <c r="N982" s="185">
        <f>IF( OR( ISBLANK(H982),ISBLANK(J982), ISBLANK(K982), ISBLANK(L982), ISBLANK(M982) ), "", 1.5*SQRT(   EXP(2.21*(H982-1)) + EXP(2.21*(J982-1)) + EXP(2.21*(K982-1)) + EXP(2.21*(L982-1)) + EXP(2.21*M982)   )/100*2.45 )</f>
        <v>0.37356464144298934</v>
      </c>
      <c r="O982" s="159">
        <f>IF( OR( ISBLANK(I982),ISBLANK(J982), ISBLANK(K982), ISBLANK(L982), ISBLANK(M982) ), "", 1.5*SQRT( EXP(2.21*(I982-1)) + EXP(2.21*(J982-1)) + EXP(2.21*(K982-1)) + EXP(2.21*(L982-1)) + EXP(2.21*M982)   )/100*2.45 )</f>
        <v>0.37356464144298934</v>
      </c>
      <c r="P982" s="34"/>
    </row>
    <row r="983" spans="1:16" s="803" customFormat="1">
      <c r="A983" s="34" t="s">
        <v>39</v>
      </c>
      <c r="B983" s="40" t="s">
        <v>237</v>
      </c>
      <c r="C983" s="34" t="s">
        <v>139</v>
      </c>
      <c r="D983" s="40" t="s">
        <v>89</v>
      </c>
      <c r="E983" s="237">
        <v>1</v>
      </c>
      <c r="F983" s="168">
        <v>1</v>
      </c>
      <c r="G983" s="34" t="s">
        <v>140</v>
      </c>
      <c r="H983" s="29"/>
      <c r="I983" s="9"/>
      <c r="J983" s="9"/>
      <c r="K983" s="9"/>
      <c r="L983" s="9"/>
      <c r="M983" s="9"/>
      <c r="N983" s="185" t="str">
        <f>IF( OR( ISBLANK(H983),ISBLANK(J983), ISBLANK(K983), ISBLANK(L983), ISBLANK(M983) ), "", 1.5*SQRT(   EXP(2.21*(H983-1)) + EXP(2.21*(J983-1)) + EXP(2.21*(K983-1)) + EXP(2.21*(L983-1)) + EXP(2.21*M983)   )/100*2.45 )</f>
        <v/>
      </c>
      <c r="O983" s="159" t="str">
        <f>IF( OR( ISBLANK(I983),ISBLANK(J983), ISBLANK(K983), ISBLANK(L983), ISBLANK(M983) ), "", 1.5*SQRT( EXP(2.21*(I983-1)) + EXP(2.21*(J983-1)) + EXP(2.21*(K983-1)) + EXP(2.21*(L983-1)) + EXP(2.21*M983)   )/100*2.45 )</f>
        <v/>
      </c>
      <c r="P983" s="34"/>
    </row>
    <row r="984" spans="1:16" s="803" customFormat="1">
      <c r="A984" s="34" t="s">
        <v>39</v>
      </c>
      <c r="B984" s="40" t="s">
        <v>237</v>
      </c>
      <c r="C984" s="34" t="s">
        <v>139</v>
      </c>
      <c r="D984" s="40" t="s">
        <v>90</v>
      </c>
      <c r="E984" s="237">
        <v>0.375</v>
      </c>
      <c r="F984" s="168">
        <v>1</v>
      </c>
      <c r="G984" s="34" t="s">
        <v>140</v>
      </c>
      <c r="H984" s="29">
        <v>2</v>
      </c>
      <c r="I984" s="9">
        <v>2</v>
      </c>
      <c r="J984" s="9">
        <v>2</v>
      </c>
      <c r="K984" s="9">
        <v>1</v>
      </c>
      <c r="L984" s="9">
        <v>1</v>
      </c>
      <c r="M984" s="9">
        <v>2</v>
      </c>
      <c r="N984" s="185">
        <f>IF( OR( ISBLANK(H984),ISBLANK(J984), ISBLANK(K984), ISBLANK(L984), ISBLANK(M984) ), "", 1.5*SQRT(   EXP(2.21*(H984-1)) + EXP(2.21*(J984-1)) + EXP(2.21*(K984-1)) + EXP(2.21*(L984-1)) + EXP(2.21*M984)   )/100*2.45 )</f>
        <v>0.37356464144298934</v>
      </c>
      <c r="O984" s="159">
        <f>IF( OR( ISBLANK(I984),ISBLANK(J984), ISBLANK(K984), ISBLANK(L984), ISBLANK(M984) ), "", 1.5*SQRT( EXP(2.21*(I984-1)) + EXP(2.21*(J984-1)) + EXP(2.21*(K984-1)) + EXP(2.21*(L984-1)) + EXP(2.21*M984)   )/100*2.45 )</f>
        <v>0.37356464144298934</v>
      </c>
      <c r="P984" s="34"/>
    </row>
    <row r="985" spans="1:16" s="803" customFormat="1">
      <c r="A985" s="34" t="s">
        <v>39</v>
      </c>
      <c r="B985" s="40" t="s">
        <v>237</v>
      </c>
      <c r="C985" s="34" t="s">
        <v>139</v>
      </c>
      <c r="D985" s="40" t="s">
        <v>91</v>
      </c>
      <c r="E985" s="237">
        <v>5.9700000000000003E-2</v>
      </c>
      <c r="F985" s="168">
        <v>1</v>
      </c>
      <c r="G985" s="34" t="s">
        <v>140</v>
      </c>
      <c r="H985" s="29">
        <v>2</v>
      </c>
      <c r="I985" s="9">
        <v>2</v>
      </c>
      <c r="J985" s="9">
        <v>2</v>
      </c>
      <c r="K985" s="9">
        <v>1</v>
      </c>
      <c r="L985" s="9">
        <v>1</v>
      </c>
      <c r="M985" s="9">
        <v>2</v>
      </c>
      <c r="N985" s="185">
        <f>IF( OR( ISBLANK(H985),ISBLANK(J985), ISBLANK(K985), ISBLANK(L985), ISBLANK(M985) ), "", 1.5*SQRT(   EXP(2.21*(H985-1)) + EXP(2.21*(J985-1)) + EXP(2.21*(K985-1)) + EXP(2.21*(L985-1)) + EXP(2.21*M985)   )/100*2.45 )</f>
        <v>0.37356464144298934</v>
      </c>
      <c r="O985" s="159">
        <f>IF( OR( ISBLANK(I985),ISBLANK(J985), ISBLANK(K985), ISBLANK(L985), ISBLANK(M985) ), "", 1.5*SQRT( EXP(2.21*(I985-1)) + EXP(2.21*(J985-1)) + EXP(2.21*(K985-1)) + EXP(2.21*(L985-1)) + EXP(2.21*M985)   )/100*2.45 )</f>
        <v>0.37356464144298934</v>
      </c>
      <c r="P985" s="34"/>
    </row>
    <row r="986" spans="1:16" s="803" customFormat="1">
      <c r="A986" s="34" t="s">
        <v>39</v>
      </c>
      <c r="B986" s="40" t="s">
        <v>237</v>
      </c>
      <c r="C986" s="34" t="s">
        <v>139</v>
      </c>
      <c r="D986" s="40" t="s">
        <v>98</v>
      </c>
      <c r="E986" s="237">
        <v>0.36860068259385664</v>
      </c>
      <c r="F986" s="168">
        <v>1</v>
      </c>
      <c r="G986" s="34" t="s">
        <v>141</v>
      </c>
      <c r="H986" s="29">
        <v>2</v>
      </c>
      <c r="I986" s="9">
        <v>1</v>
      </c>
      <c r="J986" s="9">
        <v>2</v>
      </c>
      <c r="K986" s="9">
        <v>2</v>
      </c>
      <c r="L986" s="9">
        <v>1</v>
      </c>
      <c r="M986" s="9">
        <v>2</v>
      </c>
      <c r="N986" s="185">
        <f>IF( OR( ISBLANK(H986),ISBLANK(J986), ISBLANK(K986), ISBLANK(L986), ISBLANK(M986) ), "", 1.5*SQRT(   EXP(2.21*(H986-1)) + EXP(2.21*(J986-1)) + EXP(2.21*(K986-1)) + EXP(2.21*(L986-1)) + EXP(2.21*M986)   )/100*2.45 )</f>
        <v>0.38795788889711302</v>
      </c>
      <c r="O986" s="159">
        <f>IF( OR( ISBLANK(I986),ISBLANK(J986), ISBLANK(K986), ISBLANK(L986), ISBLANK(M986) ), "", 1.5*SQRT( EXP(2.21*(I986-1)) + EXP(2.21*(J986-1)) + EXP(2.21*(K986-1)) + EXP(2.21*(L986-1)) + EXP(2.21*M986)   )/100*2.45 )</f>
        <v>0.37356464144298934</v>
      </c>
      <c r="P986" s="34"/>
    </row>
    <row r="987" spans="1:16" s="803" customFormat="1">
      <c r="A987" s="34" t="s">
        <v>244</v>
      </c>
      <c r="B987" s="40" t="s">
        <v>245</v>
      </c>
      <c r="C987" s="34" t="s">
        <v>139</v>
      </c>
      <c r="D987" s="40" t="s">
        <v>85</v>
      </c>
      <c r="E987" s="237">
        <v>9.4320486815415827E-2</v>
      </c>
      <c r="F987" s="168">
        <v>1</v>
      </c>
      <c r="G987" s="34" t="s">
        <v>246</v>
      </c>
      <c r="H987" s="29">
        <v>2</v>
      </c>
      <c r="I987" s="9">
        <v>2</v>
      </c>
      <c r="J987" s="9">
        <v>2</v>
      </c>
      <c r="K987" s="9">
        <v>3</v>
      </c>
      <c r="L987" s="9">
        <v>1</v>
      </c>
      <c r="M987" s="9">
        <v>3</v>
      </c>
      <c r="N987" s="185">
        <f>IF( OR( ISBLANK(H987),ISBLANK(J987), ISBLANK(K987), ISBLANK(L987), ISBLANK(M987) ), "", 1.5*SQRT(   EXP(2.21*(H987-1)) + EXP(2.21*(J987-1)) + EXP(2.21*(K987-1)) + EXP(2.21*(L987-1)) + EXP(2.21*M987)   )/100*2.45 )</f>
        <v>1.0776024280428556</v>
      </c>
      <c r="O987" s="159">
        <f>IF( OR( ISBLANK(I987),ISBLANK(J987), ISBLANK(K987), ISBLANK(L987), ISBLANK(M987) ), "", 1.5*SQRT( EXP(2.21*(I987-1)) + EXP(2.21*(J987-1)) + EXP(2.21*(K987-1)) + EXP(2.21*(L987-1)) + EXP(2.21*M987)   )/100*2.45 )</f>
        <v>1.0776024280428556</v>
      </c>
      <c r="P987" s="34" t="s">
        <v>247</v>
      </c>
    </row>
    <row r="988" spans="1:16" s="803" customFormat="1">
      <c r="A988" s="34" t="s">
        <v>244</v>
      </c>
      <c r="B988" s="40" t="s">
        <v>245</v>
      </c>
      <c r="C988" s="34" t="s">
        <v>139</v>
      </c>
      <c r="D988" s="40" t="s">
        <v>86</v>
      </c>
      <c r="E988" s="237">
        <v>9.4320486815415827E-2</v>
      </c>
      <c r="F988" s="168">
        <v>1</v>
      </c>
      <c r="G988" s="34" t="s">
        <v>246</v>
      </c>
      <c r="H988" s="29">
        <v>2</v>
      </c>
      <c r="I988" s="9">
        <v>2</v>
      </c>
      <c r="J988" s="9">
        <v>2</v>
      </c>
      <c r="K988" s="9">
        <v>3</v>
      </c>
      <c r="L988" s="9">
        <v>1</v>
      </c>
      <c r="M988" s="9">
        <v>3</v>
      </c>
      <c r="N988" s="185">
        <f>IF( OR( ISBLANK(H988),ISBLANK(J988), ISBLANK(K988), ISBLANK(L988), ISBLANK(M988) ), "", 1.5*SQRT(   EXP(2.21*(H988-1)) + EXP(2.21*(J988-1)) + EXP(2.21*(K988-1)) + EXP(2.21*(L988-1)) + EXP(2.21*M988)   )/100*2.45 )</f>
        <v>1.0776024280428556</v>
      </c>
      <c r="O988" s="159">
        <f>IF( OR( ISBLANK(I988),ISBLANK(J988), ISBLANK(K988), ISBLANK(L988), ISBLANK(M988) ), "", 1.5*SQRT( EXP(2.21*(I988-1)) + EXP(2.21*(J988-1)) + EXP(2.21*(K988-1)) + EXP(2.21*(L988-1)) + EXP(2.21*M988)   )/100*2.45 )</f>
        <v>1.0776024280428556</v>
      </c>
      <c r="P988" s="34" t="s">
        <v>247</v>
      </c>
    </row>
    <row r="989" spans="1:16" s="803" customFormat="1">
      <c r="A989" s="34" t="s">
        <v>244</v>
      </c>
      <c r="B989" s="40" t="s">
        <v>245</v>
      </c>
      <c r="C989" s="34" t="s">
        <v>139</v>
      </c>
      <c r="D989" s="40" t="s">
        <v>87</v>
      </c>
      <c r="E989" s="237">
        <v>9.4320486815415827E-2</v>
      </c>
      <c r="F989" s="168">
        <v>1</v>
      </c>
      <c r="G989" s="34" t="s">
        <v>246</v>
      </c>
      <c r="H989" s="29">
        <v>2</v>
      </c>
      <c r="I989" s="9">
        <v>2</v>
      </c>
      <c r="J989" s="9">
        <v>2</v>
      </c>
      <c r="K989" s="9">
        <v>3</v>
      </c>
      <c r="L989" s="9">
        <v>1</v>
      </c>
      <c r="M989" s="9">
        <v>3</v>
      </c>
      <c r="N989" s="185">
        <f>IF( OR( ISBLANK(H989),ISBLANK(J989), ISBLANK(K989), ISBLANK(L989), ISBLANK(M989) ), "", 1.5*SQRT(   EXP(2.21*(H989-1)) + EXP(2.21*(J989-1)) + EXP(2.21*(K989-1)) + EXP(2.21*(L989-1)) + EXP(2.21*M989)   )/100*2.45 )</f>
        <v>1.0776024280428556</v>
      </c>
      <c r="O989" s="159">
        <f>IF( OR( ISBLANK(I989),ISBLANK(J989), ISBLANK(K989), ISBLANK(L989), ISBLANK(M989) ), "", 1.5*SQRT( EXP(2.21*(I989-1)) + EXP(2.21*(J989-1)) + EXP(2.21*(K989-1)) + EXP(2.21*(L989-1)) + EXP(2.21*M989)   )/100*2.45 )</f>
        <v>1.0776024280428556</v>
      </c>
      <c r="P989" s="34" t="s">
        <v>247</v>
      </c>
    </row>
    <row r="990" spans="1:16" s="803" customFormat="1">
      <c r="A990" s="34" t="s">
        <v>244</v>
      </c>
      <c r="B990" s="40" t="s">
        <v>245</v>
      </c>
      <c r="C990" s="34" t="s">
        <v>139</v>
      </c>
      <c r="D990" s="40" t="s">
        <v>88</v>
      </c>
      <c r="E990" s="237">
        <v>9.4320486815415827E-2</v>
      </c>
      <c r="F990" s="168">
        <v>1</v>
      </c>
      <c r="G990" s="34" t="s">
        <v>246</v>
      </c>
      <c r="H990" s="29">
        <v>2</v>
      </c>
      <c r="I990" s="9">
        <v>2</v>
      </c>
      <c r="J990" s="9">
        <v>2</v>
      </c>
      <c r="K990" s="9">
        <v>3</v>
      </c>
      <c r="L990" s="9">
        <v>1</v>
      </c>
      <c r="M990" s="9">
        <v>3</v>
      </c>
      <c r="N990" s="185">
        <f>IF( OR( ISBLANK(H990),ISBLANK(J990), ISBLANK(K990), ISBLANK(L990), ISBLANK(M990) ), "", 1.5*SQRT(   EXP(2.21*(H990-1)) + EXP(2.21*(J990-1)) + EXP(2.21*(K990-1)) + EXP(2.21*(L990-1)) + EXP(2.21*M990)   )/100*2.45 )</f>
        <v>1.0776024280428556</v>
      </c>
      <c r="O990" s="159">
        <f>IF( OR( ISBLANK(I990),ISBLANK(J990), ISBLANK(K990), ISBLANK(L990), ISBLANK(M990) ), "", 1.5*SQRT( EXP(2.21*(I990-1)) + EXP(2.21*(J990-1)) + EXP(2.21*(K990-1)) + EXP(2.21*(L990-1)) + EXP(2.21*M990)   )/100*2.45 )</f>
        <v>1.0776024280428556</v>
      </c>
      <c r="P990" s="34" t="s">
        <v>247</v>
      </c>
    </row>
    <row r="991" spans="1:16" s="803" customFormat="1">
      <c r="A991" s="34" t="s">
        <v>244</v>
      </c>
      <c r="B991" s="40" t="s">
        <v>245</v>
      </c>
      <c r="C991" s="34" t="s">
        <v>139</v>
      </c>
      <c r="D991" s="40" t="s">
        <v>89</v>
      </c>
      <c r="E991" s="237">
        <v>9.4320486815415827E-2</v>
      </c>
      <c r="F991" s="168">
        <v>1</v>
      </c>
      <c r="G991" s="34" t="s">
        <v>246</v>
      </c>
      <c r="H991" s="29">
        <v>2</v>
      </c>
      <c r="I991" s="9">
        <v>2</v>
      </c>
      <c r="J991" s="9">
        <v>2</v>
      </c>
      <c r="K991" s="9">
        <v>3</v>
      </c>
      <c r="L991" s="9">
        <v>1</v>
      </c>
      <c r="M991" s="9">
        <v>3</v>
      </c>
      <c r="N991" s="185">
        <f>IF( OR( ISBLANK(H991),ISBLANK(J991), ISBLANK(K991), ISBLANK(L991), ISBLANK(M991) ), "", 1.5*SQRT(   EXP(2.21*(H991-1)) + EXP(2.21*(J991-1)) + EXP(2.21*(K991-1)) + EXP(2.21*(L991-1)) + EXP(2.21*M991)   )/100*2.45 )</f>
        <v>1.0776024280428556</v>
      </c>
      <c r="O991" s="159">
        <f>IF( OR( ISBLANK(I991),ISBLANK(J991), ISBLANK(K991), ISBLANK(L991), ISBLANK(M991) ), "", 1.5*SQRT( EXP(2.21*(I991-1)) + EXP(2.21*(J991-1)) + EXP(2.21*(K991-1)) + EXP(2.21*(L991-1)) + EXP(2.21*M991)   )/100*2.45 )</f>
        <v>1.0776024280428556</v>
      </c>
      <c r="P991" s="34" t="s">
        <v>247</v>
      </c>
    </row>
    <row r="992" spans="1:16" s="803" customFormat="1">
      <c r="A992" s="34" t="s">
        <v>244</v>
      </c>
      <c r="B992" s="40" t="s">
        <v>245</v>
      </c>
      <c r="C992" s="34" t="s">
        <v>139</v>
      </c>
      <c r="D992" s="40" t="s">
        <v>90</v>
      </c>
      <c r="E992" s="237">
        <v>9.4320486815415827E-2</v>
      </c>
      <c r="F992" s="168">
        <v>1</v>
      </c>
      <c r="G992" s="34" t="s">
        <v>246</v>
      </c>
      <c r="H992" s="29">
        <v>2</v>
      </c>
      <c r="I992" s="9">
        <v>2</v>
      </c>
      <c r="J992" s="9">
        <v>2</v>
      </c>
      <c r="K992" s="9">
        <v>3</v>
      </c>
      <c r="L992" s="9">
        <v>1</v>
      </c>
      <c r="M992" s="9">
        <v>3</v>
      </c>
      <c r="N992" s="185">
        <f>IF( OR( ISBLANK(H992),ISBLANK(J992), ISBLANK(K992), ISBLANK(L992), ISBLANK(M992) ), "", 1.5*SQRT(   EXP(2.21*(H992-1)) + EXP(2.21*(J992-1)) + EXP(2.21*(K992-1)) + EXP(2.21*(L992-1)) + EXP(2.21*M992)   )/100*2.45 )</f>
        <v>1.0776024280428556</v>
      </c>
      <c r="O992" s="159">
        <f>IF( OR( ISBLANK(I992),ISBLANK(J992), ISBLANK(K992), ISBLANK(L992), ISBLANK(M992) ), "", 1.5*SQRT( EXP(2.21*(I992-1)) + EXP(2.21*(J992-1)) + EXP(2.21*(K992-1)) + EXP(2.21*(L992-1)) + EXP(2.21*M992)   )/100*2.45 )</f>
        <v>1.0776024280428556</v>
      </c>
      <c r="P992" s="34" t="s">
        <v>247</v>
      </c>
    </row>
    <row r="993" spans="1:16" s="803" customFormat="1">
      <c r="A993" s="34" t="s">
        <v>244</v>
      </c>
      <c r="B993" s="40" t="s">
        <v>245</v>
      </c>
      <c r="C993" s="34" t="s">
        <v>139</v>
      </c>
      <c r="D993" s="40" t="s">
        <v>91</v>
      </c>
      <c r="E993" s="237">
        <v>9.4320486815415827E-2</v>
      </c>
      <c r="F993" s="168">
        <v>1</v>
      </c>
      <c r="G993" s="34" t="s">
        <v>246</v>
      </c>
      <c r="H993" s="29">
        <v>2</v>
      </c>
      <c r="I993" s="9">
        <v>2</v>
      </c>
      <c r="J993" s="9">
        <v>2</v>
      </c>
      <c r="K993" s="9">
        <v>1</v>
      </c>
      <c r="L993" s="9">
        <v>1</v>
      </c>
      <c r="M993" s="9">
        <v>1</v>
      </c>
      <c r="N993" s="185">
        <f>IF( OR( ISBLANK(H993),ISBLANK(J993), ISBLANK(K993), ISBLANK(L993), ISBLANK(M993) ), "", 1.5*SQRT(   EXP(2.21*(H993-1)) + EXP(2.21*(J993-1)) + EXP(2.21*(K993-1)) + EXP(2.21*(L993-1)) + EXP(2.21*M993)   )/100*2.45 )</f>
        <v>0.19908580854301616</v>
      </c>
      <c r="O993" s="159">
        <f>IF( OR( ISBLANK(I993),ISBLANK(J993), ISBLANK(K993), ISBLANK(L993), ISBLANK(M993) ), "", 1.5*SQRT( EXP(2.21*(I993-1)) + EXP(2.21*(J993-1)) + EXP(2.21*(K993-1)) + EXP(2.21*(L993-1)) + EXP(2.21*M993)   )/100*2.45 )</f>
        <v>0.19908580854301616</v>
      </c>
      <c r="P993" s="34"/>
    </row>
    <row r="994" spans="1:16" s="803" customFormat="1">
      <c r="A994" s="34" t="s">
        <v>244</v>
      </c>
      <c r="B994" s="40" t="s">
        <v>179</v>
      </c>
      <c r="C994" s="34" t="s">
        <v>139</v>
      </c>
      <c r="D994" s="40" t="s">
        <v>85</v>
      </c>
      <c r="E994" s="237">
        <v>6.9999999999999951E-2</v>
      </c>
      <c r="F994" s="168">
        <v>1</v>
      </c>
      <c r="G994" s="34" t="s">
        <v>281</v>
      </c>
      <c r="H994" s="29">
        <v>2</v>
      </c>
      <c r="I994" s="9">
        <v>2</v>
      </c>
      <c r="J994" s="9">
        <v>1</v>
      </c>
      <c r="K994" s="9">
        <v>3</v>
      </c>
      <c r="L994" s="9">
        <v>1</v>
      </c>
      <c r="M994" s="9">
        <v>3</v>
      </c>
      <c r="N994" s="185">
        <f>IF( OR( ISBLANK(H994),ISBLANK(J994), ISBLANK(K994), ISBLANK(L994), ISBLANK(M994) ), "", 1.5*SQRT(   EXP(2.21*(H994-1)) + EXP(2.21*(J994-1)) + EXP(2.21*(K994-1)) + EXP(2.21*(L994-1)) + EXP(2.21*M994)   )/100*2.45 )</f>
        <v>1.0725046436742278</v>
      </c>
      <c r="O994" s="159">
        <f>IF( OR( ISBLANK(I994),ISBLANK(J994), ISBLANK(K994), ISBLANK(L994), ISBLANK(M994) ), "", 1.5*SQRT( EXP(2.21*(I994-1)) + EXP(2.21*(J994-1)) + EXP(2.21*(K994-1)) + EXP(2.21*(L994-1)) + EXP(2.21*M994)   )/100*2.45 )</f>
        <v>1.0725046436742278</v>
      </c>
      <c r="P994" s="34" t="s">
        <v>282</v>
      </c>
    </row>
    <row r="995" spans="1:16" s="803" customFormat="1">
      <c r="A995" s="34" t="s">
        <v>244</v>
      </c>
      <c r="B995" s="40" t="s">
        <v>179</v>
      </c>
      <c r="C995" s="34" t="s">
        <v>139</v>
      </c>
      <c r="D995" s="40" t="s">
        <v>86</v>
      </c>
      <c r="E995" s="237">
        <v>6.9999999999999951E-2</v>
      </c>
      <c r="F995" s="168">
        <v>1</v>
      </c>
      <c r="G995" s="34" t="s">
        <v>281</v>
      </c>
      <c r="H995" s="29">
        <v>2</v>
      </c>
      <c r="I995" s="9">
        <v>2</v>
      </c>
      <c r="J995" s="9">
        <v>1</v>
      </c>
      <c r="K995" s="9">
        <v>3</v>
      </c>
      <c r="L995" s="9">
        <v>1</v>
      </c>
      <c r="M995" s="9">
        <v>3</v>
      </c>
      <c r="N995" s="185">
        <f>IF( OR( ISBLANK(H995),ISBLANK(J995), ISBLANK(K995), ISBLANK(L995), ISBLANK(M995) ), "", 1.5*SQRT(   EXP(2.21*(H995-1)) + EXP(2.21*(J995-1)) + EXP(2.21*(K995-1)) + EXP(2.21*(L995-1)) + EXP(2.21*M995)   )/100*2.45 )</f>
        <v>1.0725046436742278</v>
      </c>
      <c r="O995" s="159">
        <f>IF( OR( ISBLANK(I995),ISBLANK(J995), ISBLANK(K995), ISBLANK(L995), ISBLANK(M995) ), "", 1.5*SQRT( EXP(2.21*(I995-1)) + EXP(2.21*(J995-1)) + EXP(2.21*(K995-1)) + EXP(2.21*(L995-1)) + EXP(2.21*M995)   )/100*2.45 )</f>
        <v>1.0725046436742278</v>
      </c>
      <c r="P995" s="34" t="s">
        <v>282</v>
      </c>
    </row>
    <row r="996" spans="1:16" s="803" customFormat="1">
      <c r="A996" s="34" t="s">
        <v>244</v>
      </c>
      <c r="B996" s="40" t="s">
        <v>179</v>
      </c>
      <c r="C996" s="34" t="s">
        <v>139</v>
      </c>
      <c r="D996" s="40" t="s">
        <v>87</v>
      </c>
      <c r="E996" s="237">
        <v>6.9999999999999951E-2</v>
      </c>
      <c r="F996" s="168">
        <v>1</v>
      </c>
      <c r="G996" s="34" t="s">
        <v>281</v>
      </c>
      <c r="H996" s="29">
        <v>2</v>
      </c>
      <c r="I996" s="9">
        <v>2</v>
      </c>
      <c r="J996" s="9">
        <v>1</v>
      </c>
      <c r="K996" s="9">
        <v>3</v>
      </c>
      <c r="L996" s="9">
        <v>1</v>
      </c>
      <c r="M996" s="9">
        <v>3</v>
      </c>
      <c r="N996" s="185">
        <f>IF( OR( ISBLANK(H996),ISBLANK(J996), ISBLANK(K996), ISBLANK(L996), ISBLANK(M996) ), "", 1.5*SQRT(   EXP(2.21*(H996-1)) + EXP(2.21*(J996-1)) + EXP(2.21*(K996-1)) + EXP(2.21*(L996-1)) + EXP(2.21*M996)   )/100*2.45 )</f>
        <v>1.0725046436742278</v>
      </c>
      <c r="O996" s="159">
        <f>IF( OR( ISBLANK(I996),ISBLANK(J996), ISBLANK(K996), ISBLANK(L996), ISBLANK(M996) ), "", 1.5*SQRT( EXP(2.21*(I996-1)) + EXP(2.21*(J996-1)) + EXP(2.21*(K996-1)) + EXP(2.21*(L996-1)) + EXP(2.21*M996)   )/100*2.45 )</f>
        <v>1.0725046436742278</v>
      </c>
      <c r="P996" s="34" t="s">
        <v>282</v>
      </c>
    </row>
    <row r="997" spans="1:16" s="803" customFormat="1">
      <c r="A997" s="34" t="s">
        <v>244</v>
      </c>
      <c r="B997" s="40" t="s">
        <v>179</v>
      </c>
      <c r="C997" s="34" t="s">
        <v>139</v>
      </c>
      <c r="D997" s="40" t="s">
        <v>88</v>
      </c>
      <c r="E997" s="237">
        <v>6.9999999999999951E-2</v>
      </c>
      <c r="F997" s="168">
        <v>1</v>
      </c>
      <c r="G997" s="34" t="s">
        <v>281</v>
      </c>
      <c r="H997" s="29">
        <v>2</v>
      </c>
      <c r="I997" s="9">
        <v>2</v>
      </c>
      <c r="J997" s="9">
        <v>1</v>
      </c>
      <c r="K997" s="9">
        <v>3</v>
      </c>
      <c r="L997" s="9">
        <v>1</v>
      </c>
      <c r="M997" s="9">
        <v>3</v>
      </c>
      <c r="N997" s="185">
        <f>IF( OR( ISBLANK(H997),ISBLANK(J997), ISBLANK(K997), ISBLANK(L997), ISBLANK(M997) ), "", 1.5*SQRT(   EXP(2.21*(H997-1)) + EXP(2.21*(J997-1)) + EXP(2.21*(K997-1)) + EXP(2.21*(L997-1)) + EXP(2.21*M997)   )/100*2.45 )</f>
        <v>1.0725046436742278</v>
      </c>
      <c r="O997" s="159">
        <f>IF( OR( ISBLANK(I997),ISBLANK(J997), ISBLANK(K997), ISBLANK(L997), ISBLANK(M997) ), "", 1.5*SQRT( EXP(2.21*(I997-1)) + EXP(2.21*(J997-1)) + EXP(2.21*(K997-1)) + EXP(2.21*(L997-1)) + EXP(2.21*M997)   )/100*2.45 )</f>
        <v>1.0725046436742278</v>
      </c>
      <c r="P997" s="34" t="s">
        <v>282</v>
      </c>
    </row>
    <row r="998" spans="1:16" s="803" customFormat="1">
      <c r="A998" s="34" t="s">
        <v>244</v>
      </c>
      <c r="B998" s="40" t="s">
        <v>179</v>
      </c>
      <c r="C998" s="34" t="s">
        <v>139</v>
      </c>
      <c r="D998" s="40" t="s">
        <v>89</v>
      </c>
      <c r="E998" s="237">
        <v>6.9999999999999951E-2</v>
      </c>
      <c r="F998" s="168">
        <v>1</v>
      </c>
      <c r="G998" s="34" t="s">
        <v>281</v>
      </c>
      <c r="H998" s="29">
        <v>2</v>
      </c>
      <c r="I998" s="9">
        <v>2</v>
      </c>
      <c r="J998" s="9">
        <v>1</v>
      </c>
      <c r="K998" s="9">
        <v>3</v>
      </c>
      <c r="L998" s="9">
        <v>1</v>
      </c>
      <c r="M998" s="9">
        <v>3</v>
      </c>
      <c r="N998" s="185">
        <f>IF( OR( ISBLANK(H998),ISBLANK(J998), ISBLANK(K998), ISBLANK(L998), ISBLANK(M998) ), "", 1.5*SQRT(   EXP(2.21*(H998-1)) + EXP(2.21*(J998-1)) + EXP(2.21*(K998-1)) + EXP(2.21*(L998-1)) + EXP(2.21*M998)   )/100*2.45 )</f>
        <v>1.0725046436742278</v>
      </c>
      <c r="O998" s="159">
        <f>IF( OR( ISBLANK(I998),ISBLANK(J998), ISBLANK(K998), ISBLANK(L998), ISBLANK(M998) ), "", 1.5*SQRT( EXP(2.21*(I998-1)) + EXP(2.21*(J998-1)) + EXP(2.21*(K998-1)) + EXP(2.21*(L998-1)) + EXP(2.21*M998)   )/100*2.45 )</f>
        <v>1.0725046436742278</v>
      </c>
      <c r="P998" s="34" t="s">
        <v>282</v>
      </c>
    </row>
    <row r="999" spans="1:16" s="803" customFormat="1">
      <c r="A999" s="34" t="s">
        <v>244</v>
      </c>
      <c r="B999" s="40" t="s">
        <v>179</v>
      </c>
      <c r="C999" s="34" t="s">
        <v>139</v>
      </c>
      <c r="D999" s="40" t="s">
        <v>90</v>
      </c>
      <c r="E999" s="237">
        <v>6.9999999999999951E-2</v>
      </c>
      <c r="F999" s="168">
        <v>1</v>
      </c>
      <c r="G999" s="34" t="s">
        <v>281</v>
      </c>
      <c r="H999" s="29">
        <v>2</v>
      </c>
      <c r="I999" s="9">
        <v>2</v>
      </c>
      <c r="J999" s="9">
        <v>1</v>
      </c>
      <c r="K999" s="9">
        <v>3</v>
      </c>
      <c r="L999" s="9">
        <v>1</v>
      </c>
      <c r="M999" s="9">
        <v>3</v>
      </c>
      <c r="N999" s="185">
        <f>IF( OR( ISBLANK(H999),ISBLANK(J999), ISBLANK(K999), ISBLANK(L999), ISBLANK(M999) ), "", 1.5*SQRT(   EXP(2.21*(H999-1)) + EXP(2.21*(J999-1)) + EXP(2.21*(K999-1)) + EXP(2.21*(L999-1)) + EXP(2.21*M999)   )/100*2.45 )</f>
        <v>1.0725046436742278</v>
      </c>
      <c r="O999" s="159">
        <f>IF( OR( ISBLANK(I999),ISBLANK(J999), ISBLANK(K999), ISBLANK(L999), ISBLANK(M999) ), "", 1.5*SQRT( EXP(2.21*(I999-1)) + EXP(2.21*(J999-1)) + EXP(2.21*(K999-1)) + EXP(2.21*(L999-1)) + EXP(2.21*M999)   )/100*2.45 )</f>
        <v>1.0725046436742278</v>
      </c>
      <c r="P999" s="34" t="s">
        <v>282</v>
      </c>
    </row>
    <row r="1000" spans="1:16" s="803" customFormat="1">
      <c r="A1000" s="34" t="s">
        <v>244</v>
      </c>
      <c r="B1000" s="40" t="s">
        <v>179</v>
      </c>
      <c r="C1000" s="34" t="s">
        <v>139</v>
      </c>
      <c r="D1000" s="40" t="s">
        <v>91</v>
      </c>
      <c r="E1000" s="237">
        <v>6.9999999999999951E-2</v>
      </c>
      <c r="F1000" s="168">
        <v>1</v>
      </c>
      <c r="G1000" s="34" t="s">
        <v>281</v>
      </c>
      <c r="H1000" s="29">
        <v>2</v>
      </c>
      <c r="I1000" s="9">
        <v>2</v>
      </c>
      <c r="J1000" s="9">
        <v>2</v>
      </c>
      <c r="K1000" s="9">
        <v>1</v>
      </c>
      <c r="L1000" s="9">
        <v>1</v>
      </c>
      <c r="M1000" s="9">
        <v>2</v>
      </c>
      <c r="N1000" s="185">
        <f>IF( OR( ISBLANK(H1000),ISBLANK(J1000), ISBLANK(K1000), ISBLANK(L1000), ISBLANK(M1000) ), "", 1.5*SQRT(   EXP(2.21*(H1000-1)) + EXP(2.21*(J1000-1)) + EXP(2.21*(K1000-1)) + EXP(2.21*(L1000-1)) + EXP(2.21*M1000)   )/100*2.45 )</f>
        <v>0.37356464144298934</v>
      </c>
      <c r="O1000" s="159">
        <f>IF( OR( ISBLANK(I1000),ISBLANK(J1000), ISBLANK(K1000), ISBLANK(L1000), ISBLANK(M1000) ), "", 1.5*SQRT( EXP(2.21*(I1000-1)) + EXP(2.21*(J1000-1)) + EXP(2.21*(K1000-1)) + EXP(2.21*(L1000-1)) + EXP(2.21*M1000)   )/100*2.45 )</f>
        <v>0.37356464144298934</v>
      </c>
      <c r="P1000" s="34"/>
    </row>
    <row r="1001" spans="1:16" s="803" customFormat="1">
      <c r="A1001" s="34" t="s">
        <v>244</v>
      </c>
      <c r="B1001" s="40" t="s">
        <v>283</v>
      </c>
      <c r="C1001" s="34" t="s">
        <v>139</v>
      </c>
      <c r="D1001" s="40" t="s">
        <v>139</v>
      </c>
      <c r="E1001" s="237" t="s">
        <v>150</v>
      </c>
      <c r="F1001" s="168">
        <v>1</v>
      </c>
      <c r="G1001" s="34"/>
      <c r="H1001" s="29"/>
      <c r="I1001" s="9"/>
      <c r="J1001" s="9"/>
      <c r="K1001" s="9"/>
      <c r="L1001" s="9"/>
      <c r="M1001" s="9"/>
      <c r="N1001" s="185" t="str">
        <f>IF( OR( ISBLANK(H1001),ISBLANK(J1001), ISBLANK(K1001), ISBLANK(L1001), ISBLANK(M1001) ), "", 1.5*SQRT(   EXP(2.21*(H1001-1)) + EXP(2.21*(J1001-1)) + EXP(2.21*(K1001-1)) + EXP(2.21*(L1001-1)) + EXP(2.21*M1001)   )/100*2.45 )</f>
        <v/>
      </c>
      <c r="O1001" s="159" t="str">
        <f>IF( OR( ISBLANK(I1001),ISBLANK(J1001), ISBLANK(K1001), ISBLANK(L1001), ISBLANK(M1001) ), "", 1.5*SQRT( EXP(2.21*(I1001-1)) + EXP(2.21*(J1001-1)) + EXP(2.21*(K1001-1)) + EXP(2.21*(L1001-1)) + EXP(2.21*M1001)   )/100*2.45 )</f>
        <v/>
      </c>
      <c r="P1001" s="34"/>
    </row>
    <row r="1002" spans="1:16" s="803" customFormat="1">
      <c r="A1002" s="34" t="s">
        <v>244</v>
      </c>
      <c r="B1002" s="40" t="s">
        <v>176</v>
      </c>
      <c r="C1002" s="34" t="s">
        <v>139</v>
      </c>
      <c r="D1002" s="40" t="s">
        <v>139</v>
      </c>
      <c r="E1002" s="237">
        <v>1E-4</v>
      </c>
      <c r="F1002" s="168">
        <v>2</v>
      </c>
      <c r="G1002" s="34" t="s">
        <v>157</v>
      </c>
      <c r="H1002" s="29">
        <v>1</v>
      </c>
      <c r="I1002" s="9">
        <v>2</v>
      </c>
      <c r="J1002" s="9">
        <v>1</v>
      </c>
      <c r="K1002" s="9">
        <v>1</v>
      </c>
      <c r="L1002" s="9">
        <v>1</v>
      </c>
      <c r="M1002" s="9">
        <v>3</v>
      </c>
      <c r="N1002" s="185">
        <f>IF( OR( ISBLANK(H1002),ISBLANK(J1002), ISBLANK(K1002), ISBLANK(L1002), ISBLANK(M1002) ), "", 1.5*SQRT(   EXP(2.21*(H1002-1)) + EXP(2.21*(J1002-1)) + EXP(2.21*(K1002-1)) + EXP(2.21*(L1002-1)) + EXP(2.21*M1002)   )/100*2.45 )</f>
        <v>1.0141150152164344</v>
      </c>
      <c r="O1002" s="159">
        <f>IF( OR( ISBLANK(I1002),ISBLANK(J1002), ISBLANK(K1002), ISBLANK(L1002), ISBLANK(M1002) ), "", 1.5*SQRT( EXP(2.21*(I1002-1)) + EXP(2.21*(J1002-1)) + EXP(2.21*(K1002-1)) + EXP(2.21*(L1002-1)) + EXP(2.21*M1002)   )/100*2.45 )</f>
        <v>1.0195048044558224</v>
      </c>
      <c r="P1002" s="34"/>
    </row>
    <row r="1003" spans="1:16" s="803" customFormat="1">
      <c r="A1003" s="34" t="s">
        <v>283</v>
      </c>
      <c r="B1003" s="40" t="s">
        <v>245</v>
      </c>
      <c r="C1003" s="34" t="s">
        <v>139</v>
      </c>
      <c r="D1003" s="40" t="s">
        <v>85</v>
      </c>
      <c r="E1003" s="237">
        <v>0.16159999999999999</v>
      </c>
      <c r="F1003" s="168">
        <v>1</v>
      </c>
      <c r="G1003" s="34" t="s">
        <v>246</v>
      </c>
      <c r="H1003" s="29">
        <v>1</v>
      </c>
      <c r="I1003" s="9">
        <v>2</v>
      </c>
      <c r="J1003" s="9">
        <v>2</v>
      </c>
      <c r="K1003" s="9">
        <v>3</v>
      </c>
      <c r="L1003" s="9">
        <v>1</v>
      </c>
      <c r="M1003" s="9">
        <v>1</v>
      </c>
      <c r="N1003" s="185">
        <f>IF( OR( ISBLANK(H1003),ISBLANK(J1003), ISBLANK(K1003), ISBLANK(L1003), ISBLANK(M1003) ), "", 1.5*SQRT(   EXP(2.21*(H1003-1)) + EXP(2.21*(J1003-1)) + EXP(2.21*(K1003-1)) + EXP(2.21*(L1003-1)) + EXP(2.21*M1003)   )/100*2.45 )</f>
        <v>0.37356464144298934</v>
      </c>
      <c r="O1003" s="159">
        <f>IF( OR( ISBLANK(I1003),ISBLANK(J1003), ISBLANK(K1003), ISBLANK(L1003), ISBLANK(M1003) ), "", 1.5*SQRT( EXP(2.21*(I1003-1)) + EXP(2.21*(J1003-1)) + EXP(2.21*(K1003-1)) + EXP(2.21*(L1003-1)) + EXP(2.21*M1003)   )/100*2.45 )</f>
        <v>0.38795788889711302</v>
      </c>
      <c r="P1003" s="34" t="s">
        <v>247</v>
      </c>
    </row>
    <row r="1004" spans="1:16" s="803" customFormat="1">
      <c r="A1004" s="34" t="s">
        <v>283</v>
      </c>
      <c r="B1004" s="40" t="s">
        <v>245</v>
      </c>
      <c r="C1004" s="34" t="s">
        <v>139</v>
      </c>
      <c r="D1004" s="40" t="s">
        <v>86</v>
      </c>
      <c r="E1004" s="237">
        <v>0.16159999999999999</v>
      </c>
      <c r="F1004" s="168">
        <v>1</v>
      </c>
      <c r="G1004" s="34" t="s">
        <v>246</v>
      </c>
      <c r="H1004" s="29">
        <v>1</v>
      </c>
      <c r="I1004" s="9">
        <v>2</v>
      </c>
      <c r="J1004" s="9">
        <v>2</v>
      </c>
      <c r="K1004" s="9">
        <v>3</v>
      </c>
      <c r="L1004" s="9">
        <v>1</v>
      </c>
      <c r="M1004" s="9">
        <v>1</v>
      </c>
      <c r="N1004" s="185">
        <f>IF( OR( ISBLANK(H1004),ISBLANK(J1004), ISBLANK(K1004), ISBLANK(L1004), ISBLANK(M1004) ), "", 1.5*SQRT(   EXP(2.21*(H1004-1)) + EXP(2.21*(J1004-1)) + EXP(2.21*(K1004-1)) + EXP(2.21*(L1004-1)) + EXP(2.21*M1004)   )/100*2.45 )</f>
        <v>0.37356464144298934</v>
      </c>
      <c r="O1004" s="159">
        <f>IF( OR( ISBLANK(I1004),ISBLANK(J1004), ISBLANK(K1004), ISBLANK(L1004), ISBLANK(M1004) ), "", 1.5*SQRT( EXP(2.21*(I1004-1)) + EXP(2.21*(J1004-1)) + EXP(2.21*(K1004-1)) + EXP(2.21*(L1004-1)) + EXP(2.21*M1004)   )/100*2.45 )</f>
        <v>0.38795788889711302</v>
      </c>
      <c r="P1004" s="34" t="s">
        <v>247</v>
      </c>
    </row>
    <row r="1005" spans="1:16" s="803" customFormat="1">
      <c r="A1005" s="34" t="s">
        <v>283</v>
      </c>
      <c r="B1005" s="40" t="s">
        <v>245</v>
      </c>
      <c r="C1005" s="34" t="s">
        <v>139</v>
      </c>
      <c r="D1005" s="40" t="s">
        <v>87</v>
      </c>
      <c r="E1005" s="237">
        <v>0.16159999999999999</v>
      </c>
      <c r="F1005" s="168">
        <v>1</v>
      </c>
      <c r="G1005" s="34" t="s">
        <v>246</v>
      </c>
      <c r="H1005" s="29">
        <v>1</v>
      </c>
      <c r="I1005" s="9">
        <v>2</v>
      </c>
      <c r="J1005" s="9">
        <v>2</v>
      </c>
      <c r="K1005" s="9">
        <v>3</v>
      </c>
      <c r="L1005" s="9">
        <v>1</v>
      </c>
      <c r="M1005" s="9">
        <v>1</v>
      </c>
      <c r="N1005" s="185">
        <f>IF( OR( ISBLANK(H1005),ISBLANK(J1005), ISBLANK(K1005), ISBLANK(L1005), ISBLANK(M1005) ), "", 1.5*SQRT(   EXP(2.21*(H1005-1)) + EXP(2.21*(J1005-1)) + EXP(2.21*(K1005-1)) + EXP(2.21*(L1005-1)) + EXP(2.21*M1005)   )/100*2.45 )</f>
        <v>0.37356464144298934</v>
      </c>
      <c r="O1005" s="159">
        <f>IF( OR( ISBLANK(I1005),ISBLANK(J1005), ISBLANK(K1005), ISBLANK(L1005), ISBLANK(M1005) ), "", 1.5*SQRT( EXP(2.21*(I1005-1)) + EXP(2.21*(J1005-1)) + EXP(2.21*(K1005-1)) + EXP(2.21*(L1005-1)) + EXP(2.21*M1005)   )/100*2.45 )</f>
        <v>0.38795788889711302</v>
      </c>
      <c r="P1005" s="34" t="s">
        <v>247</v>
      </c>
    </row>
    <row r="1006" spans="1:16" s="803" customFormat="1">
      <c r="A1006" s="34" t="s">
        <v>283</v>
      </c>
      <c r="B1006" s="40" t="s">
        <v>245</v>
      </c>
      <c r="C1006" s="34" t="s">
        <v>139</v>
      </c>
      <c r="D1006" s="40" t="s">
        <v>88</v>
      </c>
      <c r="E1006" s="237">
        <v>0.16159999999999999</v>
      </c>
      <c r="F1006" s="168">
        <v>1</v>
      </c>
      <c r="G1006" s="34" t="s">
        <v>246</v>
      </c>
      <c r="H1006" s="29">
        <v>1</v>
      </c>
      <c r="I1006" s="9">
        <v>2</v>
      </c>
      <c r="J1006" s="9">
        <v>2</v>
      </c>
      <c r="K1006" s="9">
        <v>3</v>
      </c>
      <c r="L1006" s="9">
        <v>1</v>
      </c>
      <c r="M1006" s="9">
        <v>1</v>
      </c>
      <c r="N1006" s="185">
        <f>IF( OR( ISBLANK(H1006),ISBLANK(J1006), ISBLANK(K1006), ISBLANK(L1006), ISBLANK(M1006) ), "", 1.5*SQRT(   EXP(2.21*(H1006-1)) + EXP(2.21*(J1006-1)) + EXP(2.21*(K1006-1)) + EXP(2.21*(L1006-1)) + EXP(2.21*M1006)   )/100*2.45 )</f>
        <v>0.37356464144298934</v>
      </c>
      <c r="O1006" s="159">
        <f>IF( OR( ISBLANK(I1006),ISBLANK(J1006), ISBLANK(K1006), ISBLANK(L1006), ISBLANK(M1006) ), "", 1.5*SQRT( EXP(2.21*(I1006-1)) + EXP(2.21*(J1006-1)) + EXP(2.21*(K1006-1)) + EXP(2.21*(L1006-1)) + EXP(2.21*M1006)   )/100*2.45 )</f>
        <v>0.38795788889711302</v>
      </c>
      <c r="P1006" s="34" t="s">
        <v>247</v>
      </c>
    </row>
    <row r="1007" spans="1:16" s="803" customFormat="1">
      <c r="A1007" s="34" t="s">
        <v>283</v>
      </c>
      <c r="B1007" s="40" t="s">
        <v>245</v>
      </c>
      <c r="C1007" s="34" t="s">
        <v>139</v>
      </c>
      <c r="D1007" s="40" t="s">
        <v>89</v>
      </c>
      <c r="E1007" s="237">
        <v>0.16159999999999999</v>
      </c>
      <c r="F1007" s="168">
        <v>1</v>
      </c>
      <c r="G1007" s="34" t="s">
        <v>246</v>
      </c>
      <c r="H1007" s="29">
        <v>1</v>
      </c>
      <c r="I1007" s="9">
        <v>2</v>
      </c>
      <c r="J1007" s="9">
        <v>2</v>
      </c>
      <c r="K1007" s="9">
        <v>3</v>
      </c>
      <c r="L1007" s="9">
        <v>1</v>
      </c>
      <c r="M1007" s="9">
        <v>1</v>
      </c>
      <c r="N1007" s="185">
        <f>IF( OR( ISBLANK(H1007),ISBLANK(J1007), ISBLANK(K1007), ISBLANK(L1007), ISBLANK(M1007) ), "", 1.5*SQRT(   EXP(2.21*(H1007-1)) + EXP(2.21*(J1007-1)) + EXP(2.21*(K1007-1)) + EXP(2.21*(L1007-1)) + EXP(2.21*M1007)   )/100*2.45 )</f>
        <v>0.37356464144298934</v>
      </c>
      <c r="O1007" s="159">
        <f>IF( OR( ISBLANK(I1007),ISBLANK(J1007), ISBLANK(K1007), ISBLANK(L1007), ISBLANK(M1007) ), "", 1.5*SQRT( EXP(2.21*(I1007-1)) + EXP(2.21*(J1007-1)) + EXP(2.21*(K1007-1)) + EXP(2.21*(L1007-1)) + EXP(2.21*M1007)   )/100*2.45 )</f>
        <v>0.38795788889711302</v>
      </c>
      <c r="P1007" s="34" t="s">
        <v>247</v>
      </c>
    </row>
    <row r="1008" spans="1:16" s="803" customFormat="1">
      <c r="A1008" s="34" t="s">
        <v>283</v>
      </c>
      <c r="B1008" s="40" t="s">
        <v>245</v>
      </c>
      <c r="C1008" s="34" t="s">
        <v>139</v>
      </c>
      <c r="D1008" s="40" t="s">
        <v>90</v>
      </c>
      <c r="E1008" s="237">
        <v>0.16159999999999999</v>
      </c>
      <c r="F1008" s="168">
        <v>1</v>
      </c>
      <c r="G1008" s="34" t="s">
        <v>246</v>
      </c>
      <c r="H1008" s="29">
        <v>1</v>
      </c>
      <c r="I1008" s="9">
        <v>2</v>
      </c>
      <c r="J1008" s="9">
        <v>2</v>
      </c>
      <c r="K1008" s="9">
        <v>3</v>
      </c>
      <c r="L1008" s="9">
        <v>1</v>
      </c>
      <c r="M1008" s="9">
        <v>1</v>
      </c>
      <c r="N1008" s="185">
        <f>IF( OR( ISBLANK(H1008),ISBLANK(J1008), ISBLANK(K1008), ISBLANK(L1008), ISBLANK(M1008) ), "", 1.5*SQRT(   EXP(2.21*(H1008-1)) + EXP(2.21*(J1008-1)) + EXP(2.21*(K1008-1)) + EXP(2.21*(L1008-1)) + EXP(2.21*M1008)   )/100*2.45 )</f>
        <v>0.37356464144298934</v>
      </c>
      <c r="O1008" s="159">
        <f>IF( OR( ISBLANK(I1008),ISBLANK(J1008), ISBLANK(K1008), ISBLANK(L1008), ISBLANK(M1008) ), "", 1.5*SQRT( EXP(2.21*(I1008-1)) + EXP(2.21*(J1008-1)) + EXP(2.21*(K1008-1)) + EXP(2.21*(L1008-1)) + EXP(2.21*M1008)   )/100*2.45 )</f>
        <v>0.38795788889711302</v>
      </c>
      <c r="P1008" s="34" t="s">
        <v>247</v>
      </c>
    </row>
    <row r="1009" spans="1:16" s="803" customFormat="1">
      <c r="A1009" s="34" t="s">
        <v>283</v>
      </c>
      <c r="B1009" s="40" t="s">
        <v>245</v>
      </c>
      <c r="C1009" s="34" t="s">
        <v>139</v>
      </c>
      <c r="D1009" s="40" t="s">
        <v>91</v>
      </c>
      <c r="E1009" s="237">
        <v>0.16159999999999999</v>
      </c>
      <c r="F1009" s="168">
        <v>1</v>
      </c>
      <c r="G1009" s="34" t="s">
        <v>246</v>
      </c>
      <c r="H1009" s="29">
        <v>1</v>
      </c>
      <c r="I1009" s="9">
        <v>2</v>
      </c>
      <c r="J1009" s="9">
        <v>2</v>
      </c>
      <c r="K1009" s="9">
        <v>1</v>
      </c>
      <c r="L1009" s="9">
        <v>1</v>
      </c>
      <c r="M1009" s="9">
        <v>1</v>
      </c>
      <c r="N1009" s="185">
        <f>IF( OR( ISBLANK(H1009),ISBLANK(J1009), ISBLANK(K1009), ISBLANK(L1009), ISBLANK(M1009) ), "", 1.5*SQRT(   EXP(2.21*(H1009-1)) + EXP(2.21*(J1009-1)) + EXP(2.21*(K1009-1)) + EXP(2.21*(L1009-1)) + EXP(2.21*M1009)   )/100*2.45 )</f>
        <v>0.16933510251023262</v>
      </c>
      <c r="O1009" s="159">
        <f>IF( OR( ISBLANK(I1009),ISBLANK(J1009), ISBLANK(K1009), ISBLANK(L1009), ISBLANK(M1009) ), "", 1.5*SQRT( EXP(2.21*(I1009-1)) + EXP(2.21*(J1009-1)) + EXP(2.21*(K1009-1)) + EXP(2.21*(L1009-1)) + EXP(2.21*M1009)   )/100*2.45 )</f>
        <v>0.19908580854301616</v>
      </c>
      <c r="P1009" s="34"/>
    </row>
    <row r="1010" spans="1:16" s="803" customFormat="1">
      <c r="A1010" s="34" t="s">
        <v>283</v>
      </c>
      <c r="B1010" s="40" t="s">
        <v>179</v>
      </c>
      <c r="C1010" s="34" t="s">
        <v>139</v>
      </c>
      <c r="D1010" s="40" t="s">
        <v>85</v>
      </c>
      <c r="E1010" s="237">
        <v>7.5999999999999998E-2</v>
      </c>
      <c r="F1010" s="168">
        <v>1</v>
      </c>
      <c r="G1010" s="34" t="s">
        <v>296</v>
      </c>
      <c r="H1010" s="29">
        <v>2</v>
      </c>
      <c r="I1010" s="9">
        <v>2</v>
      </c>
      <c r="J1010" s="9">
        <v>3</v>
      </c>
      <c r="K1010" s="9">
        <v>3</v>
      </c>
      <c r="L1010" s="9">
        <v>1</v>
      </c>
      <c r="M1010" s="9">
        <v>2</v>
      </c>
      <c r="N1010" s="185">
        <f>IF( OR( ISBLANK(H1010),ISBLANK(J1010), ISBLANK(K1010), ISBLANK(L1010), ISBLANK(M1010) ), "", 1.5*SQRT(   EXP(2.21*(H1010-1)) + EXP(2.21*(J1010-1)) + EXP(2.21*(K1010-1)) + EXP(2.21*(L1010-1)) + EXP(2.21*M1010)   )/100*2.45 )</f>
        <v>0.59189702474662764</v>
      </c>
      <c r="O1010" s="159">
        <f>IF( OR( ISBLANK(I1010),ISBLANK(J1010), ISBLANK(K1010), ISBLANK(L1010), ISBLANK(M1010) ), "", 1.5*SQRT( EXP(2.21*(I1010-1)) + EXP(2.21*(J1010-1)) + EXP(2.21*(K1010-1)) + EXP(2.21*(L1010-1)) + EXP(2.21*M1010)   )/100*2.45 )</f>
        <v>0.59189702474662764</v>
      </c>
      <c r="P1010" s="34"/>
    </row>
    <row r="1011" spans="1:16" s="803" customFormat="1">
      <c r="A1011" s="34" t="s">
        <v>283</v>
      </c>
      <c r="B1011" s="40" t="s">
        <v>179</v>
      </c>
      <c r="C1011" s="34" t="s">
        <v>139</v>
      </c>
      <c r="D1011" s="40" t="s">
        <v>86</v>
      </c>
      <c r="E1011" s="237">
        <v>7.5999999999999998E-2</v>
      </c>
      <c r="F1011" s="168">
        <v>1</v>
      </c>
      <c r="G1011" s="34" t="s">
        <v>298</v>
      </c>
      <c r="H1011" s="29">
        <v>2</v>
      </c>
      <c r="I1011" s="9">
        <v>2</v>
      </c>
      <c r="J1011" s="9">
        <v>3</v>
      </c>
      <c r="K1011" s="9">
        <v>3</v>
      </c>
      <c r="L1011" s="9">
        <v>1</v>
      </c>
      <c r="M1011" s="9">
        <v>2</v>
      </c>
      <c r="N1011" s="185">
        <f>IF( OR( ISBLANK(H1011),ISBLANK(J1011), ISBLANK(K1011), ISBLANK(L1011), ISBLANK(M1011) ), "", 1.5*SQRT(   EXP(2.21*(H1011-1)) + EXP(2.21*(J1011-1)) + EXP(2.21*(K1011-1)) + EXP(2.21*(L1011-1)) + EXP(2.21*M1011)   )/100*2.45 )</f>
        <v>0.59189702474662764</v>
      </c>
      <c r="O1011" s="159">
        <f>IF( OR( ISBLANK(I1011),ISBLANK(J1011), ISBLANK(K1011), ISBLANK(L1011), ISBLANK(M1011) ), "", 1.5*SQRT( EXP(2.21*(I1011-1)) + EXP(2.21*(J1011-1)) + EXP(2.21*(K1011-1)) + EXP(2.21*(L1011-1)) + EXP(2.21*M1011)   )/100*2.45 )</f>
        <v>0.59189702474662764</v>
      </c>
      <c r="P1011" s="34"/>
    </row>
    <row r="1012" spans="1:16" s="803" customFormat="1">
      <c r="A1012" s="34" t="s">
        <v>283</v>
      </c>
      <c r="B1012" s="40" t="s">
        <v>179</v>
      </c>
      <c r="C1012" s="34" t="s">
        <v>139</v>
      </c>
      <c r="D1012" s="40" t="s">
        <v>87</v>
      </c>
      <c r="E1012" s="237">
        <v>7.5999999999999998E-2</v>
      </c>
      <c r="F1012" s="168">
        <v>1</v>
      </c>
      <c r="G1012" s="34" t="s">
        <v>299</v>
      </c>
      <c r="H1012" s="29">
        <v>2</v>
      </c>
      <c r="I1012" s="9">
        <v>2</v>
      </c>
      <c r="J1012" s="9">
        <v>3</v>
      </c>
      <c r="K1012" s="9">
        <v>3</v>
      </c>
      <c r="L1012" s="9">
        <v>1</v>
      </c>
      <c r="M1012" s="9">
        <v>2</v>
      </c>
      <c r="N1012" s="185">
        <f>IF( OR( ISBLANK(H1012),ISBLANK(J1012), ISBLANK(K1012), ISBLANK(L1012), ISBLANK(M1012) ), "", 1.5*SQRT(   EXP(2.21*(H1012-1)) + EXP(2.21*(J1012-1)) + EXP(2.21*(K1012-1)) + EXP(2.21*(L1012-1)) + EXP(2.21*M1012)   )/100*2.45 )</f>
        <v>0.59189702474662764</v>
      </c>
      <c r="O1012" s="159">
        <f>IF( OR( ISBLANK(I1012),ISBLANK(J1012), ISBLANK(K1012), ISBLANK(L1012), ISBLANK(M1012) ), "", 1.5*SQRT( EXP(2.21*(I1012-1)) + EXP(2.21*(J1012-1)) + EXP(2.21*(K1012-1)) + EXP(2.21*(L1012-1)) + EXP(2.21*M1012)   )/100*2.45 )</f>
        <v>0.59189702474662764</v>
      </c>
      <c r="P1012" s="34"/>
    </row>
    <row r="1013" spans="1:16" s="803" customFormat="1">
      <c r="A1013" s="34" t="s">
        <v>283</v>
      </c>
      <c r="B1013" s="40" t="s">
        <v>254</v>
      </c>
      <c r="C1013" s="34" t="s">
        <v>139</v>
      </c>
      <c r="D1013" s="40" t="s">
        <v>139</v>
      </c>
      <c r="E1013" s="69">
        <f>0.004*0.0001/100</f>
        <v>4.0000000000000002E-9</v>
      </c>
      <c r="F1013" s="168">
        <v>2</v>
      </c>
      <c r="G1013" s="37" t="s">
        <v>1974</v>
      </c>
      <c r="H1013" s="29">
        <v>2</v>
      </c>
      <c r="I1013" s="9">
        <v>1</v>
      </c>
      <c r="J1013" s="9">
        <v>2</v>
      </c>
      <c r="K1013" s="9">
        <v>3</v>
      </c>
      <c r="L1013" s="9">
        <v>3</v>
      </c>
      <c r="M1013" s="9">
        <v>1</v>
      </c>
      <c r="N1013" s="185">
        <f>IF( OR( ISBLANK(H1013),ISBLANK(J1013), ISBLANK(K1013), ISBLANK(L1013), ISBLANK(M1013) ), "", 1.5*SQRT(   EXP(2.21*(H1013-1)) + EXP(2.21*(J1013-1)) + EXP(2.21*(K1013-1)) + EXP(2.21*(L1013-1)) + EXP(2.21*M1013)   )/100*2.45 )</f>
        <v>0.51126068492676302</v>
      </c>
      <c r="O1013" s="159">
        <f>IF( OR( ISBLANK(I1013),ISBLANK(J1013), ISBLANK(K1013), ISBLANK(L1013), ISBLANK(M1013) ), "", 1.5*SQRT( EXP(2.21*(I1013-1)) + EXP(2.21*(J1013-1)) + EXP(2.21*(K1013-1)) + EXP(2.21*(L1013-1)) + EXP(2.21*M1013)   )/100*2.45 )</f>
        <v>0.50042652380814845</v>
      </c>
      <c r="P1013" s="34"/>
    </row>
    <row r="1014" spans="1:16" s="803" customFormat="1">
      <c r="A1014" s="34" t="s">
        <v>283</v>
      </c>
      <c r="B1014" s="40" t="s">
        <v>254</v>
      </c>
      <c r="C1014" s="34" t="s">
        <v>139</v>
      </c>
      <c r="D1014" s="40" t="s">
        <v>139</v>
      </c>
      <c r="E1014" s="69">
        <f>0.004*0.04/100</f>
        <v>1.6000000000000001E-6</v>
      </c>
      <c r="F1014" s="168">
        <v>2</v>
      </c>
      <c r="G1014" s="37" t="s">
        <v>1974</v>
      </c>
      <c r="H1014" s="29">
        <v>2</v>
      </c>
      <c r="I1014" s="9">
        <v>1</v>
      </c>
      <c r="J1014" s="9">
        <v>2</v>
      </c>
      <c r="K1014" s="9">
        <v>3</v>
      </c>
      <c r="L1014" s="9">
        <v>3</v>
      </c>
      <c r="M1014" s="9">
        <v>1</v>
      </c>
      <c r="N1014" s="185">
        <f>IF( OR( ISBLANK(H1014),ISBLANK(J1014), ISBLANK(K1014), ISBLANK(L1014), ISBLANK(M1014) ), "", 1.5*SQRT(   EXP(2.21*(H1014-1)) + EXP(2.21*(J1014-1)) + EXP(2.21*(K1014-1)) + EXP(2.21*(L1014-1)) + EXP(2.21*M1014)   )/100*2.45 )</f>
        <v>0.51126068492676302</v>
      </c>
      <c r="O1014" s="159">
        <f>IF( OR( ISBLANK(I1014),ISBLANK(J1014), ISBLANK(K1014), ISBLANK(L1014), ISBLANK(M1014) ), "", 1.5*SQRT( EXP(2.21*(I1014-1)) + EXP(2.21*(J1014-1)) + EXP(2.21*(K1014-1)) + EXP(2.21*(L1014-1)) + EXP(2.21*M1014)   )/100*2.45 )</f>
        <v>0.50042652380814845</v>
      </c>
      <c r="P1014" s="34"/>
    </row>
    <row r="1015" spans="1:16" s="803" customFormat="1">
      <c r="A1015" s="34" t="s">
        <v>283</v>
      </c>
      <c r="B1015" s="40" t="s">
        <v>184</v>
      </c>
      <c r="C1015" s="34" t="s">
        <v>139</v>
      </c>
      <c r="D1015" s="40" t="s">
        <v>139</v>
      </c>
      <c r="E1015" s="237">
        <v>0</v>
      </c>
      <c r="F1015" s="168">
        <v>1</v>
      </c>
      <c r="G1015" s="34" t="s">
        <v>157</v>
      </c>
      <c r="H1015" s="29"/>
      <c r="I1015" s="9"/>
      <c r="J1015" s="9"/>
      <c r="K1015" s="9"/>
      <c r="L1015" s="9"/>
      <c r="M1015" s="9"/>
      <c r="N1015" s="185" t="str">
        <f>IF( OR( ISBLANK(H1015),ISBLANK(J1015), ISBLANK(K1015), ISBLANK(L1015), ISBLANK(M1015) ), "", 1.5*SQRT(   EXP(2.21*(H1015-1)) + EXP(2.21*(J1015-1)) + EXP(2.21*(K1015-1)) + EXP(2.21*(L1015-1)) + EXP(2.21*M1015)   )/100*2.45 )</f>
        <v/>
      </c>
      <c r="O1015" s="159" t="str">
        <f>IF( OR( ISBLANK(I1015),ISBLANK(J1015), ISBLANK(K1015), ISBLANK(L1015), ISBLANK(M1015) ), "", 1.5*SQRT( EXP(2.21*(I1015-1)) + EXP(2.21*(J1015-1)) + EXP(2.21*(K1015-1)) + EXP(2.21*(L1015-1)) + EXP(2.21*M1015)   )/100*2.45 )</f>
        <v/>
      </c>
      <c r="P1015" s="34"/>
    </row>
    <row r="1016" spans="1:16" s="803" customFormat="1">
      <c r="A1016" s="34" t="s">
        <v>283</v>
      </c>
      <c r="B1016" s="40" t="s">
        <v>251</v>
      </c>
      <c r="C1016" s="34" t="s">
        <v>139</v>
      </c>
      <c r="D1016" s="40" t="s">
        <v>139</v>
      </c>
      <c r="E1016" s="69">
        <f>(1-0.004)*0.0001/100</f>
        <v>9.9600000000000008E-7</v>
      </c>
      <c r="F1016" s="168">
        <v>2</v>
      </c>
      <c r="G1016" s="37" t="s">
        <v>1974</v>
      </c>
      <c r="H1016" s="29">
        <v>2</v>
      </c>
      <c r="I1016" s="9">
        <v>1</v>
      </c>
      <c r="J1016" s="9">
        <v>2</v>
      </c>
      <c r="K1016" s="9">
        <v>3</v>
      </c>
      <c r="L1016" s="9">
        <v>3</v>
      </c>
      <c r="M1016" s="9">
        <v>1</v>
      </c>
      <c r="N1016" s="185">
        <f>IF( OR( ISBLANK(H1016),ISBLANK(J1016), ISBLANK(K1016), ISBLANK(L1016), ISBLANK(M1016) ), "", 1.5*SQRT(   EXP(2.21*(H1016-1)) + EXP(2.21*(J1016-1)) + EXP(2.21*(K1016-1)) + EXP(2.21*(L1016-1)) + EXP(2.21*M1016)   )/100*2.45 )</f>
        <v>0.51126068492676302</v>
      </c>
      <c r="O1016" s="159">
        <f>IF( OR( ISBLANK(I1016),ISBLANK(J1016), ISBLANK(K1016), ISBLANK(L1016), ISBLANK(M1016) ), "", 1.5*SQRT( EXP(2.21*(I1016-1)) + EXP(2.21*(J1016-1)) + EXP(2.21*(K1016-1)) + EXP(2.21*(L1016-1)) + EXP(2.21*M1016)   )/100*2.45 )</f>
        <v>0.50042652380814845</v>
      </c>
      <c r="P1016" s="34"/>
    </row>
    <row r="1017" spans="1:16" s="803" customFormat="1">
      <c r="A1017" s="34" t="s">
        <v>283</v>
      </c>
      <c r="B1017" s="40" t="s">
        <v>179</v>
      </c>
      <c r="C1017" s="34" t="s">
        <v>139</v>
      </c>
      <c r="D1017" s="40" t="s">
        <v>88</v>
      </c>
      <c r="E1017" s="237">
        <v>7.5999999999999998E-2</v>
      </c>
      <c r="F1017" s="168">
        <v>1</v>
      </c>
      <c r="G1017" s="34" t="s">
        <v>300</v>
      </c>
      <c r="H1017" s="29">
        <v>2</v>
      </c>
      <c r="I1017" s="9">
        <v>2</v>
      </c>
      <c r="J1017" s="9">
        <v>3</v>
      </c>
      <c r="K1017" s="9">
        <v>3</v>
      </c>
      <c r="L1017" s="9">
        <v>1</v>
      </c>
      <c r="M1017" s="9">
        <v>2</v>
      </c>
      <c r="N1017" s="185">
        <f>IF( OR( ISBLANK(H1017),ISBLANK(J1017), ISBLANK(K1017), ISBLANK(L1017), ISBLANK(M1017) ), "", 1.5*SQRT(   EXP(2.21*(H1017-1)) + EXP(2.21*(J1017-1)) + EXP(2.21*(K1017-1)) + EXP(2.21*(L1017-1)) + EXP(2.21*M1017)   )/100*2.45 )</f>
        <v>0.59189702474662764</v>
      </c>
      <c r="O1017" s="159">
        <f>IF( OR( ISBLANK(I1017),ISBLANK(J1017), ISBLANK(K1017), ISBLANK(L1017), ISBLANK(M1017) ), "", 1.5*SQRT( EXP(2.21*(I1017-1)) + EXP(2.21*(J1017-1)) + EXP(2.21*(K1017-1)) + EXP(2.21*(L1017-1)) + EXP(2.21*M1017)   )/100*2.45 )</f>
        <v>0.59189702474662764</v>
      </c>
      <c r="P1017" s="34"/>
    </row>
    <row r="1018" spans="1:16" s="803" customFormat="1">
      <c r="A1018" s="34" t="s">
        <v>283</v>
      </c>
      <c r="B1018" s="40" t="s">
        <v>251</v>
      </c>
      <c r="C1018" s="34" t="s">
        <v>139</v>
      </c>
      <c r="D1018" s="40" t="s">
        <v>139</v>
      </c>
      <c r="E1018" s="69">
        <f>(1-0.004)*0.04/100</f>
        <v>3.9839999999999998E-4</v>
      </c>
      <c r="F1018" s="168">
        <v>2</v>
      </c>
      <c r="G1018" s="37" t="s">
        <v>1974</v>
      </c>
      <c r="H1018" s="29">
        <v>2</v>
      </c>
      <c r="I1018" s="9">
        <v>1</v>
      </c>
      <c r="J1018" s="9">
        <v>2</v>
      </c>
      <c r="K1018" s="9">
        <v>3</v>
      </c>
      <c r="L1018" s="9">
        <v>3</v>
      </c>
      <c r="M1018" s="9">
        <v>1</v>
      </c>
      <c r="N1018" s="185">
        <f>IF( OR( ISBLANK(H1018),ISBLANK(J1018), ISBLANK(K1018), ISBLANK(L1018), ISBLANK(M1018) ), "", 1.5*SQRT(   EXP(2.21*(H1018-1)) + EXP(2.21*(J1018-1)) + EXP(2.21*(K1018-1)) + EXP(2.21*(L1018-1)) + EXP(2.21*M1018)   )/100*2.45 )</f>
        <v>0.51126068492676302</v>
      </c>
      <c r="O1018" s="159">
        <f>IF( OR( ISBLANK(I1018),ISBLANK(J1018), ISBLANK(K1018), ISBLANK(L1018), ISBLANK(M1018) ), "", 1.5*SQRT( EXP(2.21*(I1018-1)) + EXP(2.21*(J1018-1)) + EXP(2.21*(K1018-1)) + EXP(2.21*(L1018-1)) + EXP(2.21*M1018)   )/100*2.45 )</f>
        <v>0.50042652380814845</v>
      </c>
      <c r="P1018" s="34"/>
    </row>
    <row r="1019" spans="1:16" s="803" customFormat="1">
      <c r="A1019" s="34" t="s">
        <v>283</v>
      </c>
      <c r="B1019" s="40" t="s">
        <v>248</v>
      </c>
      <c r="C1019" s="34" t="s">
        <v>139</v>
      </c>
      <c r="D1019" s="40" t="s">
        <v>139</v>
      </c>
      <c r="E1019" s="237" t="s">
        <v>150</v>
      </c>
      <c r="F1019" s="168">
        <v>1</v>
      </c>
      <c r="G1019" s="34"/>
      <c r="H1019" s="29"/>
      <c r="I1019" s="9"/>
      <c r="J1019" s="9"/>
      <c r="K1019" s="9"/>
      <c r="L1019" s="9"/>
      <c r="M1019" s="9"/>
      <c r="N1019" s="185" t="str">
        <f>IF( OR( ISBLANK(H1019),ISBLANK(J1019), ISBLANK(K1019), ISBLANK(L1019), ISBLANK(M1019) ), "", 1.5*SQRT(   EXP(2.21*(H1019-1)) + EXP(2.21*(J1019-1)) + EXP(2.21*(K1019-1)) + EXP(2.21*(L1019-1)) + EXP(2.21*M1019)   )/100*2.45 )</f>
        <v/>
      </c>
      <c r="O1019" s="159" t="str">
        <f>IF( OR( ISBLANK(I1019),ISBLANK(J1019), ISBLANK(K1019), ISBLANK(L1019), ISBLANK(M1019) ), "", 1.5*SQRT( EXP(2.21*(I1019-1)) + EXP(2.21*(J1019-1)) + EXP(2.21*(K1019-1)) + EXP(2.21*(L1019-1)) + EXP(2.21*M1019)   )/100*2.45 )</f>
        <v/>
      </c>
      <c r="P1019" s="34"/>
    </row>
    <row r="1020" spans="1:16" s="803" customFormat="1">
      <c r="A1020" s="34" t="s">
        <v>283</v>
      </c>
      <c r="B1020" s="40" t="s">
        <v>179</v>
      </c>
      <c r="C1020" s="34" t="s">
        <v>139</v>
      </c>
      <c r="D1020" s="40" t="s">
        <v>89</v>
      </c>
      <c r="E1020" s="237">
        <v>7.5999999999999998E-2</v>
      </c>
      <c r="F1020" s="168">
        <v>1</v>
      </c>
      <c r="G1020" s="34" t="s">
        <v>301</v>
      </c>
      <c r="H1020" s="29">
        <v>2</v>
      </c>
      <c r="I1020" s="9">
        <v>2</v>
      </c>
      <c r="J1020" s="9">
        <v>3</v>
      </c>
      <c r="K1020" s="9">
        <v>3</v>
      </c>
      <c r="L1020" s="9">
        <v>1</v>
      </c>
      <c r="M1020" s="9">
        <v>2</v>
      </c>
      <c r="N1020" s="185">
        <f>IF( OR( ISBLANK(H1020),ISBLANK(J1020), ISBLANK(K1020), ISBLANK(L1020), ISBLANK(M1020) ), "", 1.5*SQRT(   EXP(2.21*(H1020-1)) + EXP(2.21*(J1020-1)) + EXP(2.21*(K1020-1)) + EXP(2.21*(L1020-1)) + EXP(2.21*M1020)   )/100*2.45 )</f>
        <v>0.59189702474662764</v>
      </c>
      <c r="O1020" s="159">
        <f>IF( OR( ISBLANK(I1020),ISBLANK(J1020), ISBLANK(K1020), ISBLANK(L1020), ISBLANK(M1020) ), "", 1.5*SQRT( EXP(2.21*(I1020-1)) + EXP(2.21*(J1020-1)) + EXP(2.21*(K1020-1)) + EXP(2.21*(L1020-1)) + EXP(2.21*M1020)   )/100*2.45 )</f>
        <v>0.59189702474662764</v>
      </c>
      <c r="P1020" s="34"/>
    </row>
    <row r="1021" spans="1:16" s="803" customFormat="1">
      <c r="A1021" s="34" t="s">
        <v>283</v>
      </c>
      <c r="B1021" s="40" t="s">
        <v>179</v>
      </c>
      <c r="C1021" s="34" t="s">
        <v>139</v>
      </c>
      <c r="D1021" s="40" t="s">
        <v>90</v>
      </c>
      <c r="E1021" s="237">
        <v>7.5999999999999998E-2</v>
      </c>
      <c r="F1021" s="168">
        <v>1</v>
      </c>
      <c r="G1021" s="34" t="s">
        <v>309</v>
      </c>
      <c r="H1021" s="29">
        <v>2</v>
      </c>
      <c r="I1021" s="9">
        <v>2</v>
      </c>
      <c r="J1021" s="9">
        <v>3</v>
      </c>
      <c r="K1021" s="9">
        <v>3</v>
      </c>
      <c r="L1021" s="9">
        <v>1</v>
      </c>
      <c r="M1021" s="9">
        <v>2</v>
      </c>
      <c r="N1021" s="185">
        <f>IF( OR( ISBLANK(H1021),ISBLANK(J1021), ISBLANK(K1021), ISBLANK(L1021), ISBLANK(M1021) ), "", 1.5*SQRT(   EXP(2.21*(H1021-1)) + EXP(2.21*(J1021-1)) + EXP(2.21*(K1021-1)) + EXP(2.21*(L1021-1)) + EXP(2.21*M1021)   )/100*2.45 )</f>
        <v>0.59189702474662764</v>
      </c>
      <c r="O1021" s="159">
        <f>IF( OR( ISBLANK(I1021),ISBLANK(J1021), ISBLANK(K1021), ISBLANK(L1021), ISBLANK(M1021) ), "", 1.5*SQRT( EXP(2.21*(I1021-1)) + EXP(2.21*(J1021-1)) + EXP(2.21*(K1021-1)) + EXP(2.21*(L1021-1)) + EXP(2.21*M1021)   )/100*2.45 )</f>
        <v>0.59189702474662764</v>
      </c>
      <c r="P1021" s="34"/>
    </row>
    <row r="1022" spans="1:16" s="803" customFormat="1">
      <c r="A1022" s="34" t="s">
        <v>283</v>
      </c>
      <c r="B1022" s="40" t="s">
        <v>179</v>
      </c>
      <c r="C1022" s="34" t="s">
        <v>139</v>
      </c>
      <c r="D1022" s="40" t="s">
        <v>91</v>
      </c>
      <c r="E1022" s="237">
        <v>0.03</v>
      </c>
      <c r="F1022" s="168">
        <v>1</v>
      </c>
      <c r="G1022" s="34" t="s">
        <v>255</v>
      </c>
      <c r="H1022" s="29">
        <v>1</v>
      </c>
      <c r="I1022" s="9">
        <v>2</v>
      </c>
      <c r="J1022" s="9">
        <v>3</v>
      </c>
      <c r="K1022" s="9">
        <v>1</v>
      </c>
      <c r="L1022" s="9">
        <v>1</v>
      </c>
      <c r="M1022" s="9">
        <v>2</v>
      </c>
      <c r="N1022" s="185">
        <f>IF( OR( ISBLANK(H1022),ISBLANK(J1022), ISBLANK(K1022), ISBLANK(L1022), ISBLANK(M1022) ), "", 1.5*SQRT(   EXP(2.21*(H1022-1)) + EXP(2.21*(J1022-1)) + EXP(2.21*(K1022-1)) + EXP(2.21*(L1022-1)) + EXP(2.21*M1022)   )/100*2.45 )</f>
        <v>0.47802211380704585</v>
      </c>
      <c r="O1022" s="159">
        <f>IF( OR( ISBLANK(I1022),ISBLANK(J1022), ISBLANK(K1022), ISBLANK(L1022), ISBLANK(M1022) ), "", 1.5*SQRT( EXP(2.21*(I1022-1)) + EXP(2.21*(J1022-1)) + EXP(2.21*(K1022-1)) + EXP(2.21*(L1022-1)) + EXP(2.21*M1022)   )/100*2.45 )</f>
        <v>0.48935255543384243</v>
      </c>
      <c r="P1022" s="34"/>
    </row>
    <row r="1023" spans="1:16" s="803" customFormat="1">
      <c r="A1023" s="59" t="s">
        <v>118</v>
      </c>
      <c r="B1023" s="336" t="s">
        <v>411</v>
      </c>
      <c r="C1023" s="34" t="s">
        <v>139</v>
      </c>
      <c r="D1023" s="40" t="s">
        <v>99</v>
      </c>
      <c r="E1023" s="1199">
        <v>0.10650572468270171</v>
      </c>
      <c r="F1023" s="40">
        <v>2</v>
      </c>
      <c r="G1023" s="34" t="s">
        <v>412</v>
      </c>
      <c r="H1023" s="29">
        <v>1</v>
      </c>
      <c r="I1023" s="9">
        <v>2</v>
      </c>
      <c r="J1023" s="9">
        <v>2</v>
      </c>
      <c r="K1023" s="9">
        <v>1</v>
      </c>
      <c r="L1023" s="9">
        <v>1</v>
      </c>
      <c r="M1023" s="9">
        <v>2</v>
      </c>
      <c r="N1023" s="185">
        <f>IF( OR( ISBLANK(H1023),ISBLANK(J1023), ISBLANK(K1023), ISBLANK(L1023), ISBLANK(M1023) ), "", 1.5*SQRT(   EXP(2.21*(H1023-1)) + EXP(2.21*(J1023-1)) + EXP(2.21*(K1023-1)) + EXP(2.21*(L1023-1)) + EXP(2.21*M1023)   )/100*2.45 )</f>
        <v>0.35859414261160716</v>
      </c>
      <c r="O1023" s="159">
        <f>IF( OR( ISBLANK(I1023),ISBLANK(J1023), ISBLANK(K1023), ISBLANK(L1023), ISBLANK(M1023) ), "", 1.5*SQRT( EXP(2.21*(I1023-1)) + EXP(2.21*(J1023-1)) + EXP(2.21*(K1023-1)) + EXP(2.21*(L1023-1)) + EXP(2.21*M1023)   )/100*2.45 )</f>
        <v>0.37356464144298934</v>
      </c>
      <c r="P1023" s="34"/>
    </row>
    <row r="1024" spans="1:16" s="803" customFormat="1">
      <c r="A1024" s="59" t="s">
        <v>118</v>
      </c>
      <c r="B1024" s="336" t="s">
        <v>413</v>
      </c>
      <c r="C1024" s="34" t="s">
        <v>139</v>
      </c>
      <c r="D1024" s="40" t="s">
        <v>99</v>
      </c>
      <c r="E1024" s="1199" t="s">
        <v>150</v>
      </c>
      <c r="F1024" s="40">
        <v>1</v>
      </c>
      <c r="G1024" s="34" t="s">
        <v>412</v>
      </c>
      <c r="H1024" s="29"/>
      <c r="I1024" s="9"/>
      <c r="J1024" s="9"/>
      <c r="K1024" s="9"/>
      <c r="L1024" s="9"/>
      <c r="M1024" s="9"/>
      <c r="N1024" s="185"/>
      <c r="O1024" s="159" t="str">
        <f>IF( OR( ISBLANK(I1024),ISBLANK(J1024), ISBLANK(K1024), ISBLANK(L1024), ISBLANK(M1024) ), "", 1.5*SQRT( EXP(2.21*(I1024-1)) + EXP(2.21*(J1024-1)) + EXP(2.21*(K1024-1)) + EXP(2.21*(L1024-1)) + EXP(2.21*M1024)   )/100*2.45 )</f>
        <v/>
      </c>
      <c r="P1024" s="34"/>
    </row>
    <row r="1025" spans="1:16" s="803" customFormat="1">
      <c r="A1025" s="59" t="s">
        <v>118</v>
      </c>
      <c r="B1025" s="336" t="s">
        <v>414</v>
      </c>
      <c r="C1025" s="34" t="s">
        <v>139</v>
      </c>
      <c r="D1025" s="40" t="s">
        <v>99</v>
      </c>
      <c r="E1025" s="1199">
        <v>7.1003816455134469E-2</v>
      </c>
      <c r="F1025" s="40">
        <v>2</v>
      </c>
      <c r="G1025" s="34" t="s">
        <v>412</v>
      </c>
      <c r="H1025" s="29">
        <v>1</v>
      </c>
      <c r="I1025" s="9">
        <v>2</v>
      </c>
      <c r="J1025" s="9">
        <v>2</v>
      </c>
      <c r="K1025" s="9">
        <v>1</v>
      </c>
      <c r="L1025" s="9">
        <v>1</v>
      </c>
      <c r="M1025" s="9">
        <v>2</v>
      </c>
      <c r="N1025" s="185">
        <f>IF( OR( ISBLANK(H1025),ISBLANK(J1025), ISBLANK(K1025), ISBLANK(L1025), ISBLANK(M1025) ), "", 1.5*SQRT(   EXP(2.21*(H1025-1)) + EXP(2.21*(J1025-1)) + EXP(2.21*(K1025-1)) + EXP(2.21*(L1025-1)) + EXP(2.21*M1025)   )/100*2.45 )</f>
        <v>0.35859414261160716</v>
      </c>
      <c r="O1025" s="159">
        <f>IF( OR( ISBLANK(I1025),ISBLANK(J1025), ISBLANK(K1025), ISBLANK(L1025), ISBLANK(M1025) ), "", 1.5*SQRT( EXP(2.21*(I1025-1)) + EXP(2.21*(J1025-1)) + EXP(2.21*(K1025-1)) + EXP(2.21*(L1025-1)) + EXP(2.21*M1025)   )/100*2.45 )</f>
        <v>0.37356464144298934</v>
      </c>
      <c r="P1025" s="34"/>
    </row>
    <row r="1026" spans="1:16" s="803" customFormat="1">
      <c r="A1026" s="59" t="s">
        <v>118</v>
      </c>
      <c r="B1026" s="336" t="s">
        <v>415</v>
      </c>
      <c r="C1026" s="34" t="s">
        <v>139</v>
      </c>
      <c r="D1026" s="40" t="s">
        <v>99</v>
      </c>
      <c r="E1026" s="1199">
        <v>7.810419810064792E-2</v>
      </c>
      <c r="F1026" s="40">
        <v>2</v>
      </c>
      <c r="G1026" s="34" t="s">
        <v>412</v>
      </c>
      <c r="H1026" s="29">
        <v>1</v>
      </c>
      <c r="I1026" s="9">
        <v>2</v>
      </c>
      <c r="J1026" s="9">
        <v>2</v>
      </c>
      <c r="K1026" s="9">
        <v>1</v>
      </c>
      <c r="L1026" s="9">
        <v>1</v>
      </c>
      <c r="M1026" s="9">
        <v>2</v>
      </c>
      <c r="N1026" s="185">
        <f>IF( OR( ISBLANK(H1026),ISBLANK(J1026), ISBLANK(K1026), ISBLANK(L1026), ISBLANK(M1026) ), "", 1.5*SQRT(   EXP(2.21*(H1026-1)) + EXP(2.21*(J1026-1)) + EXP(2.21*(K1026-1)) + EXP(2.21*(L1026-1)) + EXP(2.21*M1026)   )/100*2.45 )</f>
        <v>0.35859414261160716</v>
      </c>
      <c r="O1026" s="159">
        <f>IF( OR( ISBLANK(I1026),ISBLANK(J1026), ISBLANK(K1026), ISBLANK(L1026), ISBLANK(M1026) ), "", 1.5*SQRT( EXP(2.21*(I1026-1)) + EXP(2.21*(J1026-1)) + EXP(2.21*(K1026-1)) + EXP(2.21*(L1026-1)) + EXP(2.21*M1026)   )/100*2.45 )</f>
        <v>0.37356464144298934</v>
      </c>
      <c r="P1026" s="34"/>
    </row>
    <row r="1027" spans="1:16" s="803" customFormat="1">
      <c r="A1027" s="59" t="s">
        <v>118</v>
      </c>
      <c r="B1027" s="336" t="s">
        <v>416</v>
      </c>
      <c r="C1027" s="34" t="s">
        <v>139</v>
      </c>
      <c r="D1027" s="40" t="s">
        <v>99</v>
      </c>
      <c r="E1027" s="1199">
        <v>7.810419810064792E-2</v>
      </c>
      <c r="F1027" s="40">
        <v>2</v>
      </c>
      <c r="G1027" s="34" t="s">
        <v>412</v>
      </c>
      <c r="H1027" s="29">
        <v>1</v>
      </c>
      <c r="I1027" s="9">
        <v>2</v>
      </c>
      <c r="J1027" s="9">
        <v>2</v>
      </c>
      <c r="K1027" s="9">
        <v>1</v>
      </c>
      <c r="L1027" s="9">
        <v>1</v>
      </c>
      <c r="M1027" s="9">
        <v>2</v>
      </c>
      <c r="N1027" s="185">
        <f>IF( OR( ISBLANK(H1027),ISBLANK(J1027), ISBLANK(K1027), ISBLANK(L1027), ISBLANK(M1027) ), "", 1.5*SQRT(   EXP(2.21*(H1027-1)) + EXP(2.21*(J1027-1)) + EXP(2.21*(K1027-1)) + EXP(2.21*(L1027-1)) + EXP(2.21*M1027)   )/100*2.45 )</f>
        <v>0.35859414261160716</v>
      </c>
      <c r="O1027" s="159">
        <f>IF( OR( ISBLANK(I1027),ISBLANK(J1027), ISBLANK(K1027), ISBLANK(L1027), ISBLANK(M1027) ), "", 1.5*SQRT( EXP(2.21*(I1027-1)) + EXP(2.21*(J1027-1)) + EXP(2.21*(K1027-1)) + EXP(2.21*(L1027-1)) + EXP(2.21*M1027)   )/100*2.45 )</f>
        <v>0.37356464144298934</v>
      </c>
      <c r="P1027" s="34"/>
    </row>
    <row r="1028" spans="1:16" s="803" customFormat="1">
      <c r="A1028" s="59" t="s">
        <v>118</v>
      </c>
      <c r="B1028" s="336" t="s">
        <v>417</v>
      </c>
      <c r="C1028" s="34" t="s">
        <v>139</v>
      </c>
      <c r="D1028" s="40" t="s">
        <v>99</v>
      </c>
      <c r="E1028" s="1199">
        <v>0.10650572468270171</v>
      </c>
      <c r="F1028" s="40">
        <v>2</v>
      </c>
      <c r="G1028" s="34" t="s">
        <v>412</v>
      </c>
      <c r="H1028" s="29">
        <v>1</v>
      </c>
      <c r="I1028" s="9">
        <v>2</v>
      </c>
      <c r="J1028" s="9">
        <v>2</v>
      </c>
      <c r="K1028" s="9">
        <v>1</v>
      </c>
      <c r="L1028" s="9">
        <v>1</v>
      </c>
      <c r="M1028" s="9">
        <v>2</v>
      </c>
      <c r="N1028" s="185">
        <f>IF( OR( ISBLANK(H1028),ISBLANK(J1028), ISBLANK(K1028), ISBLANK(L1028), ISBLANK(M1028) ), "", 1.5*SQRT(   EXP(2.21*(H1028-1)) + EXP(2.21*(J1028-1)) + EXP(2.21*(K1028-1)) + EXP(2.21*(L1028-1)) + EXP(2.21*M1028)   )/100*2.45 )</f>
        <v>0.35859414261160716</v>
      </c>
      <c r="O1028" s="159">
        <f>IF( OR( ISBLANK(I1028),ISBLANK(J1028), ISBLANK(K1028), ISBLANK(L1028), ISBLANK(M1028) ), "", 1.5*SQRT( EXP(2.21*(I1028-1)) + EXP(2.21*(J1028-1)) + EXP(2.21*(K1028-1)) + EXP(2.21*(L1028-1)) + EXP(2.21*M1028)   )/100*2.45 )</f>
        <v>0.37356464144298934</v>
      </c>
      <c r="P1028" s="34"/>
    </row>
    <row r="1029" spans="1:16" s="803" customFormat="1">
      <c r="A1029" s="59" t="s">
        <v>118</v>
      </c>
      <c r="B1029" s="336" t="s">
        <v>418</v>
      </c>
      <c r="C1029" s="34" t="s">
        <v>139</v>
      </c>
      <c r="D1029" s="40" t="s">
        <v>99</v>
      </c>
      <c r="E1029" s="1199">
        <v>8.5204579746161357E-2</v>
      </c>
      <c r="F1029" s="40">
        <v>2</v>
      </c>
      <c r="G1029" s="34" t="s">
        <v>412</v>
      </c>
      <c r="H1029" s="29">
        <v>1</v>
      </c>
      <c r="I1029" s="9">
        <v>2</v>
      </c>
      <c r="J1029" s="9">
        <v>2</v>
      </c>
      <c r="K1029" s="9">
        <v>1</v>
      </c>
      <c r="L1029" s="9">
        <v>1</v>
      </c>
      <c r="M1029" s="9">
        <v>2</v>
      </c>
      <c r="N1029" s="185">
        <f>IF( OR( ISBLANK(H1029),ISBLANK(J1029), ISBLANK(K1029), ISBLANK(L1029), ISBLANK(M1029) ), "", 1.5*SQRT(   EXP(2.21*(H1029-1)) + EXP(2.21*(J1029-1)) + EXP(2.21*(K1029-1)) + EXP(2.21*(L1029-1)) + EXP(2.21*M1029)   )/100*2.45 )</f>
        <v>0.35859414261160716</v>
      </c>
      <c r="O1029" s="159">
        <f>IF( OR( ISBLANK(I1029),ISBLANK(J1029), ISBLANK(K1029), ISBLANK(L1029), ISBLANK(M1029) ), "", 1.5*SQRT( EXP(2.21*(I1029-1)) + EXP(2.21*(J1029-1)) + EXP(2.21*(K1029-1)) + EXP(2.21*(L1029-1)) + EXP(2.21*M1029)   )/100*2.45 )</f>
        <v>0.37356464144298934</v>
      </c>
      <c r="P1029" s="34"/>
    </row>
    <row r="1030" spans="1:16" s="803" customFormat="1">
      <c r="A1030" s="59" t="s">
        <v>118</v>
      </c>
      <c r="B1030" s="336" t="s">
        <v>419</v>
      </c>
      <c r="C1030" s="34" t="s">
        <v>139</v>
      </c>
      <c r="D1030" s="40" t="s">
        <v>99</v>
      </c>
      <c r="E1030" s="1199">
        <v>6.4613472974172373E-2</v>
      </c>
      <c r="F1030" s="40">
        <v>2</v>
      </c>
      <c r="G1030" s="34" t="s">
        <v>412</v>
      </c>
      <c r="H1030" s="29">
        <v>1</v>
      </c>
      <c r="I1030" s="9">
        <v>2</v>
      </c>
      <c r="J1030" s="9">
        <v>2</v>
      </c>
      <c r="K1030" s="9">
        <v>1</v>
      </c>
      <c r="L1030" s="9">
        <v>1</v>
      </c>
      <c r="M1030" s="9">
        <v>2</v>
      </c>
      <c r="N1030" s="185">
        <f>IF( OR( ISBLANK(H1030),ISBLANK(J1030), ISBLANK(K1030), ISBLANK(L1030), ISBLANK(M1030) ), "", 1.5*SQRT(   EXP(2.21*(H1030-1)) + EXP(2.21*(J1030-1)) + EXP(2.21*(K1030-1)) + EXP(2.21*(L1030-1)) + EXP(2.21*M1030)   )/100*2.45 )</f>
        <v>0.35859414261160716</v>
      </c>
      <c r="O1030" s="159">
        <f>IF( OR( ISBLANK(I1030),ISBLANK(J1030), ISBLANK(K1030), ISBLANK(L1030), ISBLANK(M1030) ), "", 1.5*SQRT( EXP(2.21*(I1030-1)) + EXP(2.21*(J1030-1)) + EXP(2.21*(K1030-1)) + EXP(2.21*(L1030-1)) + EXP(2.21*M1030)   )/100*2.45 )</f>
        <v>0.37356464144298934</v>
      </c>
      <c r="P1030" s="34"/>
    </row>
    <row r="1031" spans="1:16" s="803" customFormat="1">
      <c r="A1031" s="59" t="s">
        <v>118</v>
      </c>
      <c r="B1031" s="336" t="s">
        <v>420</v>
      </c>
      <c r="C1031" s="34" t="s">
        <v>139</v>
      </c>
      <c r="D1031" s="40" t="s">
        <v>99</v>
      </c>
      <c r="E1031" s="1199">
        <v>1.9881068607437654E-2</v>
      </c>
      <c r="F1031" s="40">
        <v>2</v>
      </c>
      <c r="G1031" s="34" t="s">
        <v>412</v>
      </c>
      <c r="H1031" s="29">
        <v>1</v>
      </c>
      <c r="I1031" s="9">
        <v>2</v>
      </c>
      <c r="J1031" s="9">
        <v>2</v>
      </c>
      <c r="K1031" s="9">
        <v>1</v>
      </c>
      <c r="L1031" s="9">
        <v>1</v>
      </c>
      <c r="M1031" s="9">
        <v>2</v>
      </c>
      <c r="N1031" s="185">
        <f>IF( OR( ISBLANK(H1031),ISBLANK(J1031), ISBLANK(K1031), ISBLANK(L1031), ISBLANK(M1031) ), "", 1.5*SQRT(   EXP(2.21*(H1031-1)) + EXP(2.21*(J1031-1)) + EXP(2.21*(K1031-1)) + EXP(2.21*(L1031-1)) + EXP(2.21*M1031)   )/100*2.45 )</f>
        <v>0.35859414261160716</v>
      </c>
      <c r="O1031" s="159">
        <f>IF( OR( ISBLANK(I1031),ISBLANK(J1031), ISBLANK(K1031), ISBLANK(L1031), ISBLANK(M1031) ), "", 1.5*SQRT( EXP(2.21*(I1031-1)) + EXP(2.21*(J1031-1)) + EXP(2.21*(K1031-1)) + EXP(2.21*(L1031-1)) + EXP(2.21*M1031)   )/100*2.45 )</f>
        <v>0.37356464144298934</v>
      </c>
      <c r="P1031" s="237"/>
    </row>
    <row r="1032" spans="1:16" s="803" customFormat="1">
      <c r="A1032" s="59" t="s">
        <v>118</v>
      </c>
      <c r="B1032" s="336" t="s">
        <v>421</v>
      </c>
      <c r="C1032" s="34" t="s">
        <v>139</v>
      </c>
      <c r="D1032" s="40" t="s">
        <v>99</v>
      </c>
      <c r="E1032" s="1199">
        <v>5.4672938670453558E-2</v>
      </c>
      <c r="F1032" s="40">
        <v>2</v>
      </c>
      <c r="G1032" s="34" t="s">
        <v>412</v>
      </c>
      <c r="H1032" s="29">
        <v>1</v>
      </c>
      <c r="I1032" s="9">
        <v>2</v>
      </c>
      <c r="J1032" s="9">
        <v>2</v>
      </c>
      <c r="K1032" s="9">
        <v>1</v>
      </c>
      <c r="L1032" s="9">
        <v>1</v>
      </c>
      <c r="M1032" s="9">
        <v>2</v>
      </c>
      <c r="N1032" s="185">
        <f>IF( OR( ISBLANK(H1032),ISBLANK(J1032), ISBLANK(K1032), ISBLANK(L1032), ISBLANK(M1032) ), "", 1.5*SQRT(   EXP(2.21*(H1032-1)) + EXP(2.21*(J1032-1)) + EXP(2.21*(K1032-1)) + EXP(2.21*(L1032-1)) + EXP(2.21*M1032)   )/100*2.45 )</f>
        <v>0.35859414261160716</v>
      </c>
      <c r="O1032" s="159">
        <f>IF( OR( ISBLANK(I1032),ISBLANK(J1032), ISBLANK(K1032), ISBLANK(L1032), ISBLANK(M1032) ), "", 1.5*SQRT( EXP(2.21*(I1032-1)) + EXP(2.21*(J1032-1)) + EXP(2.21*(K1032-1)) + EXP(2.21*(L1032-1)) + EXP(2.21*M1032)   )/100*2.45 )</f>
        <v>0.37356464144298934</v>
      </c>
      <c r="P1032" s="790"/>
    </row>
    <row r="1033" spans="1:16" s="803" customFormat="1">
      <c r="A1033" s="59" t="s">
        <v>118</v>
      </c>
      <c r="B1033" s="336" t="s">
        <v>422</v>
      </c>
      <c r="C1033" s="34" t="s">
        <v>139</v>
      </c>
      <c r="D1033" s="40" t="s">
        <v>99</v>
      </c>
      <c r="E1033" s="1199">
        <v>5.4672938670453558E-2</v>
      </c>
      <c r="F1033" s="40">
        <v>2</v>
      </c>
      <c r="G1033" s="34" t="s">
        <v>412</v>
      </c>
      <c r="H1033" s="29">
        <v>1</v>
      </c>
      <c r="I1033" s="9">
        <v>2</v>
      </c>
      <c r="J1033" s="9">
        <v>2</v>
      </c>
      <c r="K1033" s="9">
        <v>1</v>
      </c>
      <c r="L1033" s="9">
        <v>1</v>
      </c>
      <c r="M1033" s="9">
        <v>2</v>
      </c>
      <c r="N1033" s="185">
        <f>IF( OR( ISBLANK(H1033),ISBLANK(J1033), ISBLANK(K1033), ISBLANK(L1033), ISBLANK(M1033) ), "", 1.5*SQRT(   EXP(2.21*(H1033-1)) + EXP(2.21*(J1033-1)) + EXP(2.21*(K1033-1)) + EXP(2.21*(L1033-1)) + EXP(2.21*M1033)   )/100*2.45 )</f>
        <v>0.35859414261160716</v>
      </c>
      <c r="O1033" s="159">
        <f>IF( OR( ISBLANK(I1033),ISBLANK(J1033), ISBLANK(K1033), ISBLANK(L1033), ISBLANK(M1033) ), "", 1.5*SQRT( EXP(2.21*(I1033-1)) + EXP(2.21*(J1033-1)) + EXP(2.21*(K1033-1)) + EXP(2.21*(L1033-1)) + EXP(2.21*M1033)   )/100*2.45 )</f>
        <v>0.37356464144298934</v>
      </c>
      <c r="P1033" s="34"/>
    </row>
    <row r="1034" spans="1:16" s="803" customFormat="1">
      <c r="A1034" s="59" t="s">
        <v>118</v>
      </c>
      <c r="B1034" s="336" t="s">
        <v>423</v>
      </c>
      <c r="C1034" s="34" t="s">
        <v>139</v>
      </c>
      <c r="D1034" s="40" t="s">
        <v>99</v>
      </c>
      <c r="E1034" s="1199">
        <v>6.4613472974172373E-2</v>
      </c>
      <c r="F1034" s="40">
        <v>2</v>
      </c>
      <c r="G1034" s="34" t="s">
        <v>412</v>
      </c>
      <c r="H1034" s="29">
        <v>1</v>
      </c>
      <c r="I1034" s="9">
        <v>2</v>
      </c>
      <c r="J1034" s="9">
        <v>2</v>
      </c>
      <c r="K1034" s="9">
        <v>1</v>
      </c>
      <c r="L1034" s="9">
        <v>1</v>
      </c>
      <c r="M1034" s="9">
        <v>2</v>
      </c>
      <c r="N1034" s="185">
        <f>IF( OR( ISBLANK(H1034),ISBLANK(J1034), ISBLANK(K1034), ISBLANK(L1034), ISBLANK(M1034) ), "", 1.5*SQRT(   EXP(2.21*(H1034-1)) + EXP(2.21*(J1034-1)) + EXP(2.21*(K1034-1)) + EXP(2.21*(L1034-1)) + EXP(2.21*M1034)   )/100*2.45 )</f>
        <v>0.35859414261160716</v>
      </c>
      <c r="O1034" s="159">
        <f>IF( OR( ISBLANK(I1034),ISBLANK(J1034), ISBLANK(K1034), ISBLANK(L1034), ISBLANK(M1034) ), "", 1.5*SQRT( EXP(2.21*(I1034-1)) + EXP(2.21*(J1034-1)) + EXP(2.21*(K1034-1)) + EXP(2.21*(L1034-1)) + EXP(2.21*M1034)   )/100*2.45 )</f>
        <v>0.37356464144298934</v>
      </c>
      <c r="P1034" s="34"/>
    </row>
    <row r="1035" spans="1:16" s="803" customFormat="1">
      <c r="A1035" s="59" t="s">
        <v>118</v>
      </c>
      <c r="B1035" s="336" t="s">
        <v>424</v>
      </c>
      <c r="C1035" s="34" t="s">
        <v>139</v>
      </c>
      <c r="D1035" s="40" t="s">
        <v>99</v>
      </c>
      <c r="E1035" s="1199">
        <v>4.6596254548681999E-2</v>
      </c>
      <c r="F1035" s="40">
        <v>2</v>
      </c>
      <c r="G1035" s="34" t="s">
        <v>412</v>
      </c>
      <c r="H1035" s="29">
        <v>1</v>
      </c>
      <c r="I1035" s="9">
        <v>2</v>
      </c>
      <c r="J1035" s="9">
        <v>2</v>
      </c>
      <c r="K1035" s="9">
        <v>1</v>
      </c>
      <c r="L1035" s="9">
        <v>1</v>
      </c>
      <c r="M1035" s="9">
        <v>2</v>
      </c>
      <c r="N1035" s="185">
        <f>IF( OR( ISBLANK(H1035),ISBLANK(J1035), ISBLANK(K1035), ISBLANK(L1035), ISBLANK(M1035) ), "", 1.5*SQRT(   EXP(2.21*(H1035-1)) + EXP(2.21*(J1035-1)) + EXP(2.21*(K1035-1)) + EXP(2.21*(L1035-1)) + EXP(2.21*M1035)   )/100*2.45 )</f>
        <v>0.35859414261160716</v>
      </c>
      <c r="O1035" s="159">
        <f>IF( OR( ISBLANK(I1035),ISBLANK(J1035), ISBLANK(K1035), ISBLANK(L1035), ISBLANK(M1035) ), "", 1.5*SQRT( EXP(2.21*(I1035-1)) + EXP(2.21*(J1035-1)) + EXP(2.21*(K1035-1)) + EXP(2.21*(L1035-1)) + EXP(2.21*M1035)   )/100*2.45 )</f>
        <v>0.37356464144298934</v>
      </c>
      <c r="P1035" s="34"/>
    </row>
    <row r="1036" spans="1:16" s="803" customFormat="1">
      <c r="A1036" s="59" t="s">
        <v>118</v>
      </c>
      <c r="B1036" s="336" t="s">
        <v>425</v>
      </c>
      <c r="C1036" s="34" t="s">
        <v>139</v>
      </c>
      <c r="D1036" s="40" t="s">
        <v>99</v>
      </c>
      <c r="E1036" s="1199">
        <v>5.5915505458418391E-2</v>
      </c>
      <c r="F1036" s="40">
        <v>2</v>
      </c>
      <c r="G1036" s="34" t="s">
        <v>412</v>
      </c>
      <c r="H1036" s="29">
        <v>1</v>
      </c>
      <c r="I1036" s="9">
        <v>2</v>
      </c>
      <c r="J1036" s="9">
        <v>2</v>
      </c>
      <c r="K1036" s="9">
        <v>1</v>
      </c>
      <c r="L1036" s="9">
        <v>1</v>
      </c>
      <c r="M1036" s="9">
        <v>2</v>
      </c>
      <c r="N1036" s="185">
        <f>IF( OR( ISBLANK(H1036),ISBLANK(J1036), ISBLANK(K1036), ISBLANK(L1036), ISBLANK(M1036) ), "", 1.5*SQRT(   EXP(2.21*(H1036-1)) + EXP(2.21*(J1036-1)) + EXP(2.21*(K1036-1)) + EXP(2.21*(L1036-1)) + EXP(2.21*M1036)   )/100*2.45 )</f>
        <v>0.35859414261160716</v>
      </c>
      <c r="O1036" s="159">
        <f>IF( OR( ISBLANK(I1036),ISBLANK(J1036), ISBLANK(K1036), ISBLANK(L1036), ISBLANK(M1036) ), "", 1.5*SQRT( EXP(2.21*(I1036-1)) + EXP(2.21*(J1036-1)) + EXP(2.21*(K1036-1)) + EXP(2.21*(L1036-1)) + EXP(2.21*M1036)   )/100*2.45 )</f>
        <v>0.37356464144298934</v>
      </c>
      <c r="P1036" s="34"/>
    </row>
    <row r="1037" spans="1:16" s="803" customFormat="1">
      <c r="A1037" s="59" t="s">
        <v>418</v>
      </c>
      <c r="B1037" s="336" t="s">
        <v>223</v>
      </c>
      <c r="C1037" s="34" t="s">
        <v>139</v>
      </c>
      <c r="D1037" s="40" t="s">
        <v>99</v>
      </c>
      <c r="E1037" s="237">
        <v>0.03</v>
      </c>
      <c r="F1037" s="40">
        <v>1</v>
      </c>
      <c r="G1037" s="34" t="s">
        <v>412</v>
      </c>
      <c r="H1037" s="29">
        <v>1</v>
      </c>
      <c r="I1037" s="9">
        <v>2</v>
      </c>
      <c r="J1037" s="9">
        <v>2</v>
      </c>
      <c r="K1037" s="9">
        <v>1</v>
      </c>
      <c r="L1037" s="9">
        <v>1</v>
      </c>
      <c r="M1037" s="9">
        <v>1</v>
      </c>
      <c r="N1037" s="185">
        <f>IF( OR( ISBLANK(H1037),ISBLANK(J1037), ISBLANK(K1037), ISBLANK(L1037), ISBLANK(M1037) ), "", 1.5*SQRT(   EXP(2.21*(H1037-1)) + EXP(2.21*(J1037-1)) + EXP(2.21*(K1037-1)) + EXP(2.21*(L1037-1)) + EXP(2.21*M1037)   )/100*2.45 )</f>
        <v>0.16933510251023262</v>
      </c>
      <c r="O1037" s="159">
        <f>IF( OR( ISBLANK(I1037),ISBLANK(J1037), ISBLANK(K1037), ISBLANK(L1037), ISBLANK(M1037) ), "", 1.5*SQRT( EXP(2.21*(I1037-1)) + EXP(2.21*(J1037-1)) + EXP(2.21*(K1037-1)) + EXP(2.21*(L1037-1)) + EXP(2.21*M1037)   )/100*2.45 )</f>
        <v>0.19908580854301616</v>
      </c>
      <c r="P1037" s="34" t="s">
        <v>833</v>
      </c>
    </row>
    <row r="1038" spans="1:16" s="803" customFormat="1">
      <c r="A1038" s="59" t="s">
        <v>418</v>
      </c>
      <c r="B1038" s="336" t="s">
        <v>470</v>
      </c>
      <c r="C1038" s="34" t="s">
        <v>139</v>
      </c>
      <c r="D1038" s="40" t="s">
        <v>99</v>
      </c>
      <c r="E1038" s="237">
        <f>0.97*0.25</f>
        <v>0.24249999999999999</v>
      </c>
      <c r="F1038" s="40">
        <v>2</v>
      </c>
      <c r="G1038" s="34" t="s">
        <v>412</v>
      </c>
      <c r="H1038" s="29">
        <v>1</v>
      </c>
      <c r="I1038" s="9">
        <v>2</v>
      </c>
      <c r="J1038" s="9">
        <v>2</v>
      </c>
      <c r="K1038" s="9">
        <v>1</v>
      </c>
      <c r="L1038" s="9">
        <v>1</v>
      </c>
      <c r="M1038" s="9">
        <v>1</v>
      </c>
      <c r="N1038" s="185">
        <f>IF( OR( ISBLANK(H1038),ISBLANK(J1038), ISBLANK(K1038), ISBLANK(L1038), ISBLANK(M1038) ), "", 1.5*SQRT(   EXP(2.21*(H1038-1)) + EXP(2.21*(J1038-1)) + EXP(2.21*(K1038-1)) + EXP(2.21*(L1038-1)) + EXP(2.21*M1038)   )/100*2.45 )</f>
        <v>0.16933510251023262</v>
      </c>
      <c r="O1038" s="159">
        <f>IF( OR( ISBLANK(I1038),ISBLANK(J1038), ISBLANK(K1038), ISBLANK(L1038), ISBLANK(M1038) ), "", 1.5*SQRT( EXP(2.21*(I1038-1)) + EXP(2.21*(J1038-1)) + EXP(2.21*(K1038-1)) + EXP(2.21*(L1038-1)) + EXP(2.21*M1038)   )/100*2.45 )</f>
        <v>0.19908580854301616</v>
      </c>
      <c r="P1038" s="34" t="s">
        <v>841</v>
      </c>
    </row>
    <row r="1039" spans="1:16" s="803" customFormat="1">
      <c r="A1039" s="59" t="s">
        <v>418</v>
      </c>
      <c r="B1039" s="336" t="s">
        <v>471</v>
      </c>
      <c r="C1039" s="34" t="s">
        <v>139</v>
      </c>
      <c r="D1039" s="40" t="s">
        <v>99</v>
      </c>
      <c r="E1039" s="237">
        <f>0.97*0.75</f>
        <v>0.72750000000000004</v>
      </c>
      <c r="F1039" s="40">
        <v>2</v>
      </c>
      <c r="G1039" s="34" t="s">
        <v>412</v>
      </c>
      <c r="H1039" s="29">
        <v>1</v>
      </c>
      <c r="I1039" s="9">
        <v>2</v>
      </c>
      <c r="J1039" s="9">
        <v>2</v>
      </c>
      <c r="K1039" s="9">
        <v>1</v>
      </c>
      <c r="L1039" s="9">
        <v>1</v>
      </c>
      <c r="M1039" s="9">
        <v>1</v>
      </c>
      <c r="N1039" s="185">
        <f>IF( OR( ISBLANK(H1039),ISBLANK(J1039), ISBLANK(K1039), ISBLANK(L1039), ISBLANK(M1039) ), "", 1.5*SQRT(   EXP(2.21*(H1039-1)) + EXP(2.21*(J1039-1)) + EXP(2.21*(K1039-1)) + EXP(2.21*(L1039-1)) + EXP(2.21*M1039)   )/100*2.45 )</f>
        <v>0.16933510251023262</v>
      </c>
      <c r="O1039" s="159">
        <f>IF( OR( ISBLANK(I1039),ISBLANK(J1039), ISBLANK(K1039), ISBLANK(L1039), ISBLANK(M1039) ), "", 1.5*SQRT( EXP(2.21*(I1039-1)) + EXP(2.21*(J1039-1)) + EXP(2.21*(K1039-1)) + EXP(2.21*(L1039-1)) + EXP(2.21*M1039)   )/100*2.45 )</f>
        <v>0.19908580854301616</v>
      </c>
      <c r="P1039" s="34" t="s">
        <v>848</v>
      </c>
    </row>
    <row r="1040" spans="1:16" s="803" customFormat="1">
      <c r="A1040" s="59" t="s">
        <v>471</v>
      </c>
      <c r="B1040" s="336" t="s">
        <v>473</v>
      </c>
      <c r="C1040" s="34" t="s">
        <v>139</v>
      </c>
      <c r="D1040" s="40" t="s">
        <v>99</v>
      </c>
      <c r="E1040" s="237">
        <f>0.1*E1034</f>
        <v>6.4613472974172376E-3</v>
      </c>
      <c r="F1040" s="40">
        <v>2</v>
      </c>
      <c r="G1040" s="34" t="s">
        <v>412</v>
      </c>
      <c r="H1040" s="29">
        <v>1</v>
      </c>
      <c r="I1040" s="9">
        <v>2</v>
      </c>
      <c r="J1040" s="9">
        <v>2</v>
      </c>
      <c r="K1040" s="9">
        <v>1</v>
      </c>
      <c r="L1040" s="9">
        <v>1</v>
      </c>
      <c r="M1040" s="9">
        <v>1</v>
      </c>
      <c r="N1040" s="185">
        <f>IF( OR( ISBLANK(H1040),ISBLANK(J1040), ISBLANK(K1040), ISBLANK(L1040), ISBLANK(M1040) ), "", 1.5*SQRT(   EXP(2.21*(H1040-1)) + EXP(2.21*(J1040-1)) + EXP(2.21*(K1040-1)) + EXP(2.21*(L1040-1)) + EXP(2.21*M1040)   )/100*2.45 )</f>
        <v>0.16933510251023262</v>
      </c>
      <c r="O1040" s="159">
        <f>IF( OR( ISBLANK(I1040),ISBLANK(J1040), ISBLANK(K1040), ISBLANK(L1040), ISBLANK(M1040) ), "", 1.5*SQRT( EXP(2.21*(I1040-1)) + EXP(2.21*(J1040-1)) + EXP(2.21*(K1040-1)) + EXP(2.21*(L1040-1)) + EXP(2.21*M1040)   )/100*2.45 )</f>
        <v>0.19908580854301616</v>
      </c>
      <c r="P1040" s="34" t="s">
        <v>835</v>
      </c>
    </row>
    <row r="1041" spans="1:20" s="803" customFormat="1">
      <c r="A1041" s="59" t="s">
        <v>471</v>
      </c>
      <c r="B1041" s="336" t="s">
        <v>468</v>
      </c>
      <c r="C1041" s="34" t="s">
        <v>139</v>
      </c>
      <c r="D1041" s="40" t="s">
        <v>99</v>
      </c>
      <c r="E1041" s="237" t="s">
        <v>150</v>
      </c>
      <c r="F1041" s="40">
        <v>1</v>
      </c>
      <c r="G1041" s="34" t="s">
        <v>412</v>
      </c>
      <c r="H1041" s="29">
        <v>1</v>
      </c>
      <c r="I1041" s="9">
        <v>2</v>
      </c>
      <c r="J1041" s="9">
        <v>2</v>
      </c>
      <c r="K1041" s="9">
        <v>1</v>
      </c>
      <c r="L1041" s="9">
        <v>1</v>
      </c>
      <c r="M1041" s="9">
        <v>1</v>
      </c>
      <c r="N1041" s="185">
        <f>IF( OR( ISBLANK(H1041),ISBLANK(J1041), ISBLANK(K1041), ISBLANK(L1041), ISBLANK(M1041) ), "", 1.5*SQRT(   EXP(2.21*(H1041-1)) + EXP(2.21*(J1041-1)) + EXP(2.21*(K1041-1)) + EXP(2.21*(L1041-1)) + EXP(2.21*M1041)   )/100*2.45 )</f>
        <v>0.16933510251023262</v>
      </c>
      <c r="O1041" s="159">
        <f>IF( OR( ISBLANK(I1041),ISBLANK(J1041), ISBLANK(K1041), ISBLANK(L1041), ISBLANK(M1041) ), "", 1.5*SQRT( EXP(2.21*(I1041-1)) + EXP(2.21*(J1041-1)) + EXP(2.21*(K1041-1)) + EXP(2.21*(L1041-1)) + EXP(2.21*M1041)   )/100*2.45 )</f>
        <v>0.19908580854301616</v>
      </c>
      <c r="P1041" s="34" t="s">
        <v>1962</v>
      </c>
    </row>
    <row r="1042" spans="1:20" s="803" customFormat="1">
      <c r="A1042" s="59" t="s">
        <v>468</v>
      </c>
      <c r="B1042" s="336" t="s">
        <v>327</v>
      </c>
      <c r="C1042" s="34" t="s">
        <v>139</v>
      </c>
      <c r="D1042" s="40" t="s">
        <v>99</v>
      </c>
      <c r="E1042" s="237" t="s">
        <v>150</v>
      </c>
      <c r="F1042" s="40">
        <v>1</v>
      </c>
      <c r="G1042" s="34" t="s">
        <v>412</v>
      </c>
      <c r="H1042" s="29"/>
      <c r="I1042" s="9"/>
      <c r="J1042" s="9"/>
      <c r="K1042" s="9"/>
      <c r="L1042" s="9"/>
      <c r="M1042" s="9"/>
      <c r="N1042" s="185" t="str">
        <f>IF( OR( ISBLANK(H1042),ISBLANK(J1042), ISBLANK(K1042), ISBLANK(L1042), ISBLANK(M1042) ), "", 1.5*SQRT(   EXP(2.21*(H1042-1)) + EXP(2.21*(J1042-1)) + EXP(2.21*(K1042-1)) + EXP(2.21*(L1042-1)) + EXP(2.21*M1042)   )/100*2.45 )</f>
        <v/>
      </c>
      <c r="O1042" s="159" t="str">
        <f>IF( OR( ISBLANK(I1042),ISBLANK(J1042), ISBLANK(K1042), ISBLANK(L1042), ISBLANK(M1042) ), "", 1.5*SQRT( EXP(2.21*(I1042-1)) + EXP(2.21*(J1042-1)) + EXP(2.21*(K1042-1)) + EXP(2.21*(L1042-1)) + EXP(2.21*M1042)   )/100*2.45 )</f>
        <v/>
      </c>
      <c r="P1042" s="34" t="s">
        <v>1963</v>
      </c>
    </row>
    <row r="1043" spans="1:20" s="803" customFormat="1">
      <c r="A1043" s="59" t="s">
        <v>468</v>
      </c>
      <c r="B1043" s="336" t="s">
        <v>228</v>
      </c>
      <c r="C1043" s="34" t="s">
        <v>139</v>
      </c>
      <c r="D1043" s="40" t="s">
        <v>99</v>
      </c>
      <c r="E1043" s="237">
        <v>3.2000000000000001E-2</v>
      </c>
      <c r="F1043" s="40">
        <v>2</v>
      </c>
      <c r="G1043" s="34" t="s">
        <v>412</v>
      </c>
      <c r="H1043" s="29">
        <v>1</v>
      </c>
      <c r="I1043" s="9">
        <v>2</v>
      </c>
      <c r="J1043" s="9">
        <v>2</v>
      </c>
      <c r="K1043" s="9">
        <v>1</v>
      </c>
      <c r="L1043" s="9">
        <v>1</v>
      </c>
      <c r="M1043" s="9">
        <v>1</v>
      </c>
      <c r="N1043" s="185">
        <f>IF( OR( ISBLANK(H1043),ISBLANK(J1043), ISBLANK(K1043), ISBLANK(L1043), ISBLANK(M1043) ), "", 1.5*SQRT(   EXP(2.21*(H1043-1)) + EXP(2.21*(J1043-1)) + EXP(2.21*(K1043-1)) + EXP(2.21*(L1043-1)) + EXP(2.21*M1043)   )/100*2.45 )</f>
        <v>0.16933510251023262</v>
      </c>
      <c r="O1043" s="159">
        <f>IF( OR( ISBLANK(I1043),ISBLANK(J1043), ISBLANK(K1043), ISBLANK(L1043), ISBLANK(M1043) ), "", 1.5*SQRT( EXP(2.21*(I1043-1)) + EXP(2.21*(J1043-1)) + EXP(2.21*(K1043-1)) + EXP(2.21*(L1043-1)) + EXP(2.21*M1043)   )/100*2.45 )</f>
        <v>0.19908580854301616</v>
      </c>
      <c r="P1043" s="34" t="s">
        <v>840</v>
      </c>
    </row>
    <row r="1044" spans="1:20" s="803" customFormat="1">
      <c r="A1044" s="59" t="s">
        <v>473</v>
      </c>
      <c r="B1044" s="336" t="s">
        <v>228</v>
      </c>
      <c r="C1044" s="34" t="s">
        <v>139</v>
      </c>
      <c r="D1044" s="40" t="s">
        <v>99</v>
      </c>
      <c r="E1044" s="237">
        <v>1</v>
      </c>
      <c r="F1044" s="40">
        <v>2</v>
      </c>
      <c r="G1044" s="34" t="s">
        <v>412</v>
      </c>
      <c r="H1044" s="29"/>
      <c r="I1044" s="9"/>
      <c r="J1044" s="9"/>
      <c r="K1044" s="9"/>
      <c r="L1044" s="9"/>
      <c r="M1044" s="9"/>
      <c r="N1044" s="185" t="str">
        <f>IF( OR( ISBLANK(H1044),ISBLANK(J1044), ISBLANK(K1044), ISBLANK(L1044), ISBLANK(M1044) ), "", 1.5*SQRT(   EXP(2.21*(H1044-1)) + EXP(2.21*(J1044-1)) + EXP(2.21*(K1044-1)) + EXP(2.21*(L1044-1)) + EXP(2.21*M1044)   )/100*2.45 )</f>
        <v/>
      </c>
      <c r="O1044" s="159" t="str">
        <f>IF( OR( ISBLANK(I1044),ISBLANK(J1044), ISBLANK(K1044), ISBLANK(L1044), ISBLANK(M1044) ), "", 1.5*SQRT( EXP(2.21*(I1044-1)) + EXP(2.21*(J1044-1)) + EXP(2.21*(K1044-1)) + EXP(2.21*(L1044-1)) + EXP(2.21*M1044)   )/100*2.45 )</f>
        <v/>
      </c>
      <c r="P1044" s="34" t="s">
        <v>836</v>
      </c>
    </row>
    <row r="1045" spans="1:20" s="803" customFormat="1">
      <c r="A1045" s="59" t="s">
        <v>470</v>
      </c>
      <c r="B1045" s="336" t="s">
        <v>472</v>
      </c>
      <c r="C1045" s="34" t="s">
        <v>139</v>
      </c>
      <c r="D1045" s="40" t="s">
        <v>99</v>
      </c>
      <c r="E1045" s="237">
        <v>0.03</v>
      </c>
      <c r="F1045" s="40">
        <v>2</v>
      </c>
      <c r="G1045" s="34" t="s">
        <v>412</v>
      </c>
      <c r="H1045" s="29">
        <v>1</v>
      </c>
      <c r="I1045" s="9">
        <v>2</v>
      </c>
      <c r="J1045" s="9">
        <v>2</v>
      </c>
      <c r="K1045" s="9">
        <v>1</v>
      </c>
      <c r="L1045" s="9">
        <v>1</v>
      </c>
      <c r="M1045" s="9">
        <v>1</v>
      </c>
      <c r="N1045" s="185">
        <f>IF( OR( ISBLANK(H1045),ISBLANK(J1045), ISBLANK(K1045), ISBLANK(L1045), ISBLANK(M1045) ), "", 1.5*SQRT(   EXP(2.21*(H1045-1)) + EXP(2.21*(J1045-1)) + EXP(2.21*(K1045-1)) + EXP(2.21*(L1045-1)) + EXP(2.21*M1045)   )/100*2.45 )</f>
        <v>0.16933510251023262</v>
      </c>
      <c r="O1045" s="159">
        <f>IF( OR( ISBLANK(I1045),ISBLANK(J1045), ISBLANK(K1045), ISBLANK(L1045), ISBLANK(M1045) ), "", 1.5*SQRT( EXP(2.21*(I1045-1)) + EXP(2.21*(J1045-1)) + EXP(2.21*(K1045-1)) + EXP(2.21*(L1045-1)) + EXP(2.21*M1045)   )/100*2.45 )</f>
        <v>0.19908580854301616</v>
      </c>
      <c r="P1045" s="34" t="s">
        <v>834</v>
      </c>
    </row>
    <row r="1046" spans="1:20" s="803" customFormat="1">
      <c r="A1046" s="59" t="s">
        <v>470</v>
      </c>
      <c r="B1046" s="336" t="s">
        <v>469</v>
      </c>
      <c r="C1046" s="34" t="s">
        <v>139</v>
      </c>
      <c r="D1046" s="40" t="s">
        <v>99</v>
      </c>
      <c r="E1046" s="237" t="s">
        <v>150</v>
      </c>
      <c r="F1046" s="40">
        <v>1</v>
      </c>
      <c r="G1046" s="34" t="s">
        <v>412</v>
      </c>
      <c r="H1046" s="29"/>
      <c r="I1046" s="9"/>
      <c r="J1046" s="9"/>
      <c r="K1046" s="9"/>
      <c r="L1046" s="9"/>
      <c r="M1046" s="9"/>
      <c r="N1046" s="185" t="str">
        <f>IF( OR( ISBLANK(H1046),ISBLANK(J1046), ISBLANK(K1046), ISBLANK(L1046), ISBLANK(M1046) ), "", 1.5*SQRT(   EXP(2.21*(H1046-1)) + EXP(2.21*(J1046-1)) + EXP(2.21*(K1046-1)) + EXP(2.21*(L1046-1)) + EXP(2.21*M1046)   )/100*2.45 )</f>
        <v/>
      </c>
      <c r="O1046" s="159" t="str">
        <f>IF( OR( ISBLANK(I1046),ISBLANK(J1046), ISBLANK(K1046), ISBLANK(L1046), ISBLANK(M1046) ), "", 1.5*SQRT( EXP(2.21*(I1046-1)) + EXP(2.21*(J1046-1)) + EXP(2.21*(K1046-1)) + EXP(2.21*(L1046-1)) + EXP(2.21*M1046)   )/100*2.45 )</f>
        <v/>
      </c>
      <c r="P1046" s="34" t="s">
        <v>1962</v>
      </c>
      <c r="T1046" s="7"/>
    </row>
    <row r="1047" spans="1:20" s="803" customFormat="1">
      <c r="A1047" s="59" t="s">
        <v>469</v>
      </c>
      <c r="B1047" s="336" t="s">
        <v>327</v>
      </c>
      <c r="C1047" s="34" t="s">
        <v>139</v>
      </c>
      <c r="D1047" s="40" t="s">
        <v>99</v>
      </c>
      <c r="E1047" s="237" t="s">
        <v>150</v>
      </c>
      <c r="F1047" s="40">
        <v>1</v>
      </c>
      <c r="G1047" s="34" t="s">
        <v>412</v>
      </c>
      <c r="H1047" s="29"/>
      <c r="I1047" s="9"/>
      <c r="J1047" s="9"/>
      <c r="K1047" s="9"/>
      <c r="L1047" s="9"/>
      <c r="M1047" s="9"/>
      <c r="N1047" s="185" t="str">
        <f>IF( OR( ISBLANK(H1047),ISBLANK(J1047), ISBLANK(K1047), ISBLANK(L1047), ISBLANK(M1047) ), "", 1.5*SQRT(   EXP(2.21*(H1047-1)) + EXP(2.21*(J1047-1)) + EXP(2.21*(K1047-1)) + EXP(2.21*(L1047-1)) + EXP(2.21*M1047)   )/100*2.45 )</f>
        <v/>
      </c>
      <c r="O1047" s="159" t="str">
        <f>IF( OR( ISBLANK(I1047),ISBLANK(J1047), ISBLANK(K1047), ISBLANK(L1047), ISBLANK(M1047) ), "", 1.5*SQRT( EXP(2.21*(I1047-1)) + EXP(2.21*(J1047-1)) + EXP(2.21*(K1047-1)) + EXP(2.21*(L1047-1)) + EXP(2.21*M1047)   )/100*2.45 )</f>
        <v/>
      </c>
      <c r="P1047" s="34"/>
      <c r="R1047" s="822"/>
      <c r="T1047" s="7"/>
    </row>
    <row r="1048" spans="1:20" s="803" customFormat="1">
      <c r="A1048" s="59" t="s">
        <v>469</v>
      </c>
      <c r="B1048" s="336" t="s">
        <v>231</v>
      </c>
      <c r="C1048" s="34" t="s">
        <v>139</v>
      </c>
      <c r="D1048" s="40" t="s">
        <v>99</v>
      </c>
      <c r="E1048" s="237">
        <v>1.6000000000000001E-3</v>
      </c>
      <c r="F1048" s="40">
        <v>2</v>
      </c>
      <c r="G1048" s="34" t="s">
        <v>1976</v>
      </c>
      <c r="H1048" s="29">
        <v>1</v>
      </c>
      <c r="I1048" s="9">
        <v>2</v>
      </c>
      <c r="J1048" s="9">
        <v>2</v>
      </c>
      <c r="K1048" s="9">
        <v>1</v>
      </c>
      <c r="L1048" s="9">
        <v>3</v>
      </c>
      <c r="M1048" s="9">
        <v>3</v>
      </c>
      <c r="N1048" s="185">
        <f>IF( OR( ISBLANK(H1048),ISBLANK(J1048), ISBLANK(K1048), ISBLANK(L1048), ISBLANK(M1048) ), "", 1.5*SQRT(   EXP(2.21*(H1048-1)) + EXP(2.21*(J1048-1)) + EXP(2.21*(K1048-1)) + EXP(2.21*(L1048-1)) + EXP(2.21*M1048)   )/100*2.45 )</f>
        <v>1.0725046436742278</v>
      </c>
      <c r="O1048" s="159">
        <f>IF( OR( ISBLANK(I1048),ISBLANK(J1048), ISBLANK(K1048), ISBLANK(L1048), ISBLANK(M1048) ), "", 1.5*SQRT( EXP(2.21*(I1048-1)) + EXP(2.21*(J1048-1)) + EXP(2.21*(K1048-1)) + EXP(2.21*(L1048-1)) + EXP(2.21*M1048)   )/100*2.45 )</f>
        <v>1.0776024280428556</v>
      </c>
      <c r="P1048" s="34" t="s">
        <v>1952</v>
      </c>
      <c r="T1048" s="7"/>
    </row>
    <row r="1049" spans="1:20" s="803" customFormat="1">
      <c r="A1049" s="59" t="s">
        <v>469</v>
      </c>
      <c r="B1049" s="336" t="s">
        <v>232</v>
      </c>
      <c r="C1049" s="34" t="s">
        <v>139</v>
      </c>
      <c r="D1049" s="40" t="s">
        <v>99</v>
      </c>
      <c r="E1049" s="237">
        <v>1.26E-2</v>
      </c>
      <c r="F1049" s="40">
        <v>2</v>
      </c>
      <c r="G1049" s="34" t="s">
        <v>412</v>
      </c>
      <c r="H1049" s="29">
        <v>1</v>
      </c>
      <c r="I1049" s="9">
        <v>2</v>
      </c>
      <c r="J1049" s="9">
        <v>2</v>
      </c>
      <c r="K1049" s="9">
        <v>1</v>
      </c>
      <c r="L1049" s="9">
        <v>1</v>
      </c>
      <c r="M1049" s="9">
        <v>1</v>
      </c>
      <c r="N1049" s="185">
        <f>IF( OR( ISBLANK(H1049),ISBLANK(J1049), ISBLANK(K1049), ISBLANK(L1049), ISBLANK(M1049) ), "", 1.5*SQRT(   EXP(2.21*(H1049-1)) + EXP(2.21*(J1049-1)) + EXP(2.21*(K1049-1)) + EXP(2.21*(L1049-1)) + EXP(2.21*M1049)   )/100*2.45 )</f>
        <v>0.16933510251023262</v>
      </c>
      <c r="O1049" s="159">
        <f>IF( OR( ISBLANK(I1049),ISBLANK(J1049), ISBLANK(K1049), ISBLANK(L1049), ISBLANK(M1049) ), "", 1.5*SQRT( EXP(2.21*(I1049-1)) + EXP(2.21*(J1049-1)) + EXP(2.21*(K1049-1)) + EXP(2.21*(L1049-1)) + EXP(2.21*M1049)   )/100*2.45 )</f>
        <v>0.19908580854301616</v>
      </c>
      <c r="P1049" s="34" t="s">
        <v>1953</v>
      </c>
      <c r="T1049" s="7"/>
    </row>
    <row r="1050" spans="1:20" s="803" customFormat="1">
      <c r="A1050" s="59" t="s">
        <v>469</v>
      </c>
      <c r="B1050" s="336" t="s">
        <v>251</v>
      </c>
      <c r="C1050" s="34" t="s">
        <v>139</v>
      </c>
      <c r="D1050" s="40" t="s">
        <v>99</v>
      </c>
      <c r="E1050" s="237">
        <v>1.67E-2</v>
      </c>
      <c r="F1050" s="40">
        <v>2</v>
      </c>
      <c r="G1050" s="34" t="s">
        <v>412</v>
      </c>
      <c r="H1050" s="29">
        <v>1</v>
      </c>
      <c r="I1050" s="9">
        <v>2</v>
      </c>
      <c r="J1050" s="9">
        <v>2</v>
      </c>
      <c r="K1050" s="9">
        <v>1</v>
      </c>
      <c r="L1050" s="9">
        <v>1</v>
      </c>
      <c r="M1050" s="9">
        <v>1</v>
      </c>
      <c r="N1050" s="185">
        <f>IF( OR( ISBLANK(H1050),ISBLANK(J1050), ISBLANK(K1050), ISBLANK(L1050), ISBLANK(M1050) ), "", 1.5*SQRT(   EXP(2.21*(H1050-1)) + EXP(2.21*(J1050-1)) + EXP(2.21*(K1050-1)) + EXP(2.21*(L1050-1)) + EXP(2.21*M1050)   )/100*2.45 )</f>
        <v>0.16933510251023262</v>
      </c>
      <c r="O1050" s="159">
        <f>IF( OR( ISBLANK(I1050),ISBLANK(J1050), ISBLANK(K1050), ISBLANK(L1050), ISBLANK(M1050) ), "", 1.5*SQRT( EXP(2.21*(I1050-1)) + EXP(2.21*(J1050-1)) + EXP(2.21*(K1050-1)) + EXP(2.21*(L1050-1)) + EXP(2.21*M1050)   )/100*2.45 )</f>
        <v>0.19908580854301616</v>
      </c>
      <c r="P1050" s="34" t="s">
        <v>1959</v>
      </c>
      <c r="T1050" s="7"/>
    </row>
    <row r="1051" spans="1:20" s="803" customFormat="1">
      <c r="A1051" s="59" t="s">
        <v>469</v>
      </c>
      <c r="B1051" s="336" t="s">
        <v>258</v>
      </c>
      <c r="C1051" s="34" t="s">
        <v>139</v>
      </c>
      <c r="D1051" s="40" t="s">
        <v>99</v>
      </c>
      <c r="E1051" s="237">
        <v>1.1000000000000001E-3</v>
      </c>
      <c r="F1051" s="40">
        <v>2</v>
      </c>
      <c r="G1051" s="34" t="s">
        <v>412</v>
      </c>
      <c r="H1051" s="29">
        <v>1</v>
      </c>
      <c r="I1051" s="9">
        <v>2</v>
      </c>
      <c r="J1051" s="9">
        <v>2</v>
      </c>
      <c r="K1051" s="9">
        <v>1</v>
      </c>
      <c r="L1051" s="9">
        <v>1</v>
      </c>
      <c r="M1051" s="9">
        <v>1</v>
      </c>
      <c r="N1051" s="185">
        <f>IF( OR( ISBLANK(H1051),ISBLANK(J1051), ISBLANK(K1051), ISBLANK(L1051), ISBLANK(M1051) ), "", 1.5*SQRT(   EXP(2.21*(H1051-1)) + EXP(2.21*(J1051-1)) + EXP(2.21*(K1051-1)) + EXP(2.21*(L1051-1)) + EXP(2.21*M1051)   )/100*2.45 )</f>
        <v>0.16933510251023262</v>
      </c>
      <c r="O1051" s="159">
        <f>IF( OR( ISBLANK(I1051),ISBLANK(J1051), ISBLANK(K1051), ISBLANK(L1051), ISBLANK(M1051) ), "", 1.5*SQRT( EXP(2.21*(I1051-1)) + EXP(2.21*(J1051-1)) + EXP(2.21*(K1051-1)) + EXP(2.21*(L1051-1)) + EXP(2.21*M1051)   )/100*2.45 )</f>
        <v>0.19908580854301616</v>
      </c>
      <c r="P1051" s="34" t="s">
        <v>1954</v>
      </c>
    </row>
    <row r="1052" spans="1:20" s="803" customFormat="1">
      <c r="A1052" s="59" t="s">
        <v>472</v>
      </c>
      <c r="B1052" s="336" t="s">
        <v>231</v>
      </c>
      <c r="C1052" s="34" t="s">
        <v>139</v>
      </c>
      <c r="D1052" s="40" t="s">
        <v>99</v>
      </c>
      <c r="E1052" s="237">
        <v>0.05</v>
      </c>
      <c r="F1052" s="40">
        <v>2</v>
      </c>
      <c r="G1052" s="34" t="s">
        <v>157</v>
      </c>
      <c r="H1052" s="29">
        <v>1</v>
      </c>
      <c r="I1052" s="9">
        <v>2</v>
      </c>
      <c r="J1052" s="9">
        <v>2</v>
      </c>
      <c r="K1052" s="9">
        <v>1</v>
      </c>
      <c r="L1052" s="9">
        <v>3</v>
      </c>
      <c r="M1052" s="9">
        <v>3</v>
      </c>
      <c r="N1052" s="185">
        <f>IF( OR( ISBLANK(H1052),ISBLANK(J1052), ISBLANK(K1052), ISBLANK(L1052), ISBLANK(M1052) ), "", 1.5*SQRT(   EXP(2.21*(H1052-1)) + EXP(2.21*(J1052-1)) + EXP(2.21*(K1052-1)) + EXP(2.21*(L1052-1)) + EXP(2.21*M1052)   )/100*2.45 )</f>
        <v>1.0725046436742278</v>
      </c>
      <c r="O1052" s="159">
        <f>IF( OR( ISBLANK(I1052),ISBLANK(J1052), ISBLANK(K1052), ISBLANK(L1052), ISBLANK(M1052) ), "", 1.5*SQRT( EXP(2.21*(I1052-1)) + EXP(2.21*(J1052-1)) + EXP(2.21*(K1052-1)) + EXP(2.21*(L1052-1)) + EXP(2.21*M1052)   )/100*2.45 )</f>
        <v>1.0776024280428556</v>
      </c>
      <c r="P1052" s="34" t="s">
        <v>1916</v>
      </c>
    </row>
    <row r="1053" spans="1:20" s="803" customFormat="1">
      <c r="A1053" s="59" t="s">
        <v>472</v>
      </c>
      <c r="B1053" s="336" t="s">
        <v>232</v>
      </c>
      <c r="C1053" s="34" t="s">
        <v>139</v>
      </c>
      <c r="D1053" s="40" t="s">
        <v>99</v>
      </c>
      <c r="E1053" s="237">
        <v>0.39400000000000002</v>
      </c>
      <c r="F1053" s="40">
        <v>2</v>
      </c>
      <c r="G1053" s="34" t="s">
        <v>412</v>
      </c>
      <c r="H1053" s="29">
        <v>1</v>
      </c>
      <c r="I1053" s="9">
        <v>2</v>
      </c>
      <c r="J1053" s="9">
        <v>2</v>
      </c>
      <c r="K1053" s="9">
        <v>1</v>
      </c>
      <c r="L1053" s="9">
        <v>1</v>
      </c>
      <c r="M1053" s="9">
        <v>1</v>
      </c>
      <c r="N1053" s="185">
        <f>IF( OR( ISBLANK(H1053),ISBLANK(J1053), ISBLANK(K1053), ISBLANK(L1053), ISBLANK(M1053) ), "", 1.5*SQRT(   EXP(2.21*(H1053-1)) + EXP(2.21*(J1053-1)) + EXP(2.21*(K1053-1)) + EXP(2.21*(L1053-1)) + EXP(2.21*M1053)   )/100*2.45 )</f>
        <v>0.16933510251023262</v>
      </c>
      <c r="O1053" s="159">
        <f>IF( OR( ISBLANK(I1053),ISBLANK(J1053), ISBLANK(K1053), ISBLANK(L1053), ISBLANK(M1053) ), "", 1.5*SQRT( EXP(2.21*(I1053-1)) + EXP(2.21*(J1053-1)) + EXP(2.21*(K1053-1)) + EXP(2.21*(L1053-1)) + EXP(2.21*M1053)   )/100*2.45 )</f>
        <v>0.19908580854301616</v>
      </c>
      <c r="P1053" s="34" t="s">
        <v>1940</v>
      </c>
    </row>
    <row r="1054" spans="1:20" s="803" customFormat="1">
      <c r="A1054" s="59" t="s">
        <v>472</v>
      </c>
      <c r="B1054" s="336" t="s">
        <v>251</v>
      </c>
      <c r="C1054" s="34" t="s">
        <v>139</v>
      </c>
      <c r="D1054" s="40" t="s">
        <v>99</v>
      </c>
      <c r="E1054" s="237">
        <v>0.52200000000000002</v>
      </c>
      <c r="F1054" s="40">
        <v>1</v>
      </c>
      <c r="G1054" s="34" t="s">
        <v>412</v>
      </c>
      <c r="H1054" s="29">
        <v>1</v>
      </c>
      <c r="I1054" s="9">
        <v>2</v>
      </c>
      <c r="J1054" s="9">
        <v>2</v>
      </c>
      <c r="K1054" s="9">
        <v>1</v>
      </c>
      <c r="L1054" s="9">
        <v>1</v>
      </c>
      <c r="M1054" s="9">
        <v>1</v>
      </c>
      <c r="N1054" s="185">
        <f>IF( OR( ISBLANK(H1054),ISBLANK(J1054), ISBLANK(K1054), ISBLANK(L1054), ISBLANK(M1054) ), "", 1.5*SQRT(   EXP(2.21*(H1054-1)) + EXP(2.21*(J1054-1)) + EXP(2.21*(K1054-1)) + EXP(2.21*(L1054-1)) + EXP(2.21*M1054)   )/100*2.45 )</f>
        <v>0.16933510251023262</v>
      </c>
      <c r="O1054" s="159">
        <f>IF( OR( ISBLANK(I1054),ISBLANK(J1054), ISBLANK(K1054), ISBLANK(L1054), ISBLANK(M1054) ), "", 1.5*SQRT( EXP(2.21*(I1054-1)) + EXP(2.21*(J1054-1)) + EXP(2.21*(K1054-1)) + EXP(2.21*(L1054-1)) + EXP(2.21*M1054)   )/100*2.45 )</f>
        <v>0.19908580854301616</v>
      </c>
      <c r="P1054" s="34" t="s">
        <v>1941</v>
      </c>
    </row>
    <row r="1055" spans="1:20" s="803" customFormat="1">
      <c r="A1055" s="59" t="s">
        <v>472</v>
      </c>
      <c r="B1055" s="336" t="s">
        <v>258</v>
      </c>
      <c r="C1055" s="34" t="s">
        <v>139</v>
      </c>
      <c r="D1055" s="40" t="s">
        <v>99</v>
      </c>
      <c r="E1055" s="237">
        <v>3.4000000000000002E-2</v>
      </c>
      <c r="F1055" s="40">
        <v>2</v>
      </c>
      <c r="G1055" s="34" t="s">
        <v>412</v>
      </c>
      <c r="H1055" s="29">
        <v>1</v>
      </c>
      <c r="I1055" s="9">
        <v>2</v>
      </c>
      <c r="J1055" s="9">
        <v>2</v>
      </c>
      <c r="K1055" s="9">
        <v>1</v>
      </c>
      <c r="L1055" s="9">
        <v>1</v>
      </c>
      <c r="M1055" s="9">
        <v>1</v>
      </c>
      <c r="N1055" s="185">
        <f>IF( OR( ISBLANK(H1055),ISBLANK(J1055), ISBLANK(K1055), ISBLANK(L1055), ISBLANK(M1055) ), "", 1.5*SQRT(   EXP(2.21*(H1055-1)) + EXP(2.21*(J1055-1)) + EXP(2.21*(K1055-1)) + EXP(2.21*(L1055-1)) + EXP(2.21*M1055)   )/100*2.45 )</f>
        <v>0.16933510251023262</v>
      </c>
      <c r="O1055" s="159">
        <f>IF( OR( ISBLANK(I1055),ISBLANK(J1055), ISBLANK(K1055), ISBLANK(L1055), ISBLANK(M1055) ), "", 1.5*SQRT( EXP(2.21*(I1055-1)) + EXP(2.21*(J1055-1)) + EXP(2.21*(K1055-1)) + EXP(2.21*(L1055-1)) + EXP(2.21*M1055)   )/100*2.45 )</f>
        <v>0.19908580854301616</v>
      </c>
      <c r="P1055" s="34" t="s">
        <v>1942</v>
      </c>
    </row>
    <row r="1056" spans="1:20" s="803" customFormat="1">
      <c r="A1056" s="34" t="str">
        <f>Clothing!A491</f>
        <v>Pants and shorts</v>
      </c>
      <c r="B1056" s="40" t="str">
        <f>Clothing!B491</f>
        <v>Clothing washed (in use)</v>
      </c>
      <c r="C1056" s="34" t="str">
        <f>Clothing!C491</f>
        <v>any</v>
      </c>
      <c r="D1056" s="40" t="str">
        <f>Clothing!D491</f>
        <v>any</v>
      </c>
      <c r="E1056" s="34">
        <f>Clothing!E491</f>
        <v>1.3554814450000001E-2</v>
      </c>
      <c r="F1056" s="40">
        <f>Clothing!F491</f>
        <v>2</v>
      </c>
      <c r="G1056" s="34" t="str">
        <f>Clothing!G491</f>
        <v>Computed from wearing, washing, drying TCs</v>
      </c>
      <c r="H1056" s="1188">
        <f>Clothing!H491</f>
        <v>2</v>
      </c>
      <c r="I1056" s="307">
        <f>Clothing!I491</f>
        <v>2</v>
      </c>
      <c r="J1056" s="307">
        <f>Clothing!J491</f>
        <v>2</v>
      </c>
      <c r="K1056" s="307">
        <f>Clothing!K491</f>
        <v>2</v>
      </c>
      <c r="L1056" s="307">
        <f>Clothing!L491</f>
        <v>2</v>
      </c>
      <c r="M1056" s="307">
        <f>Clothing!M491</f>
        <v>2</v>
      </c>
      <c r="N1056" s="185">
        <f>IF( OR( ISBLANK(H1056),ISBLANK(J1056), ISBLANK(K1056), ISBLANK(L1056), ISBLANK(M1056) ), "", 1.5*SQRT(   EXP(2.21*(H1056-1)) + EXP(2.21*(J1056-1)) + EXP(2.21*(K1056-1)) + EXP(2.21*(L1056-1)) + EXP(2.21*M1056)   )/100*2.45 )</f>
        <v>0.40183591897512122</v>
      </c>
      <c r="O1056" s="159">
        <f>IF( OR( ISBLANK(I1056),ISBLANK(J1056), ISBLANK(K1056), ISBLANK(L1056), ISBLANK(M1056) ), "", 1.5*SQRT( EXP(2.21*(I1056-1)) + EXP(2.21*(J1056-1)) + EXP(2.21*(K1056-1)) + EXP(2.21*(L1056-1)) + EXP(2.21*M1056)   )/100*2.45 )</f>
        <v>0.40183591897512122</v>
      </c>
      <c r="P1056" s="973"/>
    </row>
    <row r="1057" spans="1:16" s="803" customFormat="1">
      <c r="A1057" s="34" t="str">
        <f>Clothing!A492</f>
        <v>Pants and shorts</v>
      </c>
      <c r="B1057" s="40" t="str">
        <f>Clothing!B492</f>
        <v>Clothing washed (discarded)</v>
      </c>
      <c r="C1057" s="34" t="str">
        <f>Clothing!C492</f>
        <v>any</v>
      </c>
      <c r="D1057" s="40" t="str">
        <f>Clothing!D492</f>
        <v>any</v>
      </c>
      <c r="E1057" s="34" t="str">
        <f>Clothing!E492</f>
        <v>rest</v>
      </c>
      <c r="F1057" s="40">
        <f>Clothing!F492</f>
        <v>1</v>
      </c>
      <c r="G1057" s="34"/>
      <c r="H1057" s="1188"/>
      <c r="I1057" s="307"/>
      <c r="J1057" s="307"/>
      <c r="K1057" s="307"/>
      <c r="L1057" s="307"/>
      <c r="M1057" s="307"/>
      <c r="N1057" s="185" t="str">
        <f>IF( OR( ISBLANK(H1057),ISBLANK(J1057), ISBLANK(K1057), ISBLANK(L1057), ISBLANK(M1057) ), "", 1.5*SQRT(   EXP(2.21*(H1057-1)) + EXP(2.21*(J1057-1)) + EXP(2.21*(K1057-1)) + EXP(2.21*(L1057-1)) + EXP(2.21*M1057)   )/100*2.45 )</f>
        <v/>
      </c>
      <c r="O1057" s="159" t="str">
        <f>IF( OR( ISBLANK(I1057),ISBLANK(J1057), ISBLANK(K1057), ISBLANK(L1057), ISBLANK(M1057) ), "", 1.5*SQRT( EXP(2.21*(I1057-1)) + EXP(2.21*(J1057-1)) + EXP(2.21*(K1057-1)) + EXP(2.21*(L1057-1)) + EXP(2.21*M1057)   )/100*2.45 )</f>
        <v/>
      </c>
      <c r="P1057" s="973"/>
    </row>
    <row r="1058" spans="1:16" s="803" customFormat="1">
      <c r="A1058" s="55" t="s">
        <v>239</v>
      </c>
      <c r="B1058" s="260" t="s">
        <v>204</v>
      </c>
      <c r="C1058" s="55" t="s">
        <v>139</v>
      </c>
      <c r="D1058" s="260" t="s">
        <v>139</v>
      </c>
      <c r="E1058" s="237">
        <v>2.7E-4</v>
      </c>
      <c r="F1058" s="168">
        <v>2</v>
      </c>
      <c r="G1058" s="55" t="s">
        <v>163</v>
      </c>
      <c r="H1058" s="29">
        <v>2</v>
      </c>
      <c r="I1058" s="9">
        <v>2</v>
      </c>
      <c r="J1058" s="9">
        <v>2</v>
      </c>
      <c r="K1058" s="9">
        <v>3</v>
      </c>
      <c r="L1058" s="9">
        <v>3</v>
      </c>
      <c r="M1058" s="9">
        <v>3</v>
      </c>
      <c r="N1058" s="185">
        <f>IF( OR( ISBLANK(H1058),ISBLANK(J1058), ISBLANK(K1058), ISBLANK(L1058), ISBLANK(M1058) ), "", 1.5*SQRT(   EXP(2.21*(H1058-1)) + EXP(2.21*(J1058-1)) + EXP(2.21*(K1058-1)) + EXP(2.21*(L1058-1)) + EXP(2.21*M1058)   )/100*2.45 )</f>
        <v>1.1278755061256258</v>
      </c>
      <c r="O1058" s="159">
        <f>IF( OR( ISBLANK(I1058),ISBLANK(J1058), ISBLANK(K1058), ISBLANK(L1058), ISBLANK(M1058) ), "", 1.5*SQRT( EXP(2.21*(I1058-1)) + EXP(2.21*(J1058-1)) + EXP(2.21*(K1058-1)) + EXP(2.21*(L1058-1)) + EXP(2.21*M1058)   )/100*2.45 )</f>
        <v>1.1278755061256258</v>
      </c>
      <c r="P1058" s="34"/>
    </row>
    <row r="1059" spans="1:16" s="803" customFormat="1">
      <c r="A1059" s="55" t="s">
        <v>239</v>
      </c>
      <c r="B1059" s="260" t="s">
        <v>356</v>
      </c>
      <c r="C1059" s="55" t="s">
        <v>139</v>
      </c>
      <c r="D1059" s="260" t="s">
        <v>139</v>
      </c>
      <c r="E1059" s="237">
        <v>0.16500000000000001</v>
      </c>
      <c r="F1059" s="168">
        <v>2</v>
      </c>
      <c r="G1059" s="55" t="s">
        <v>406</v>
      </c>
      <c r="H1059" s="29">
        <v>2</v>
      </c>
      <c r="I1059" s="9">
        <v>2</v>
      </c>
      <c r="J1059" s="9">
        <v>2</v>
      </c>
      <c r="K1059" s="9">
        <v>1</v>
      </c>
      <c r="L1059" s="9">
        <v>1</v>
      </c>
      <c r="M1059" s="9">
        <v>2</v>
      </c>
      <c r="N1059" s="185">
        <f>IF( OR( ISBLANK(H1059),ISBLANK(J1059), ISBLANK(K1059), ISBLANK(L1059), ISBLANK(M1059) ), "", 1.5*SQRT(   EXP(2.21*(H1059-1)) + EXP(2.21*(J1059-1)) + EXP(2.21*(K1059-1)) + EXP(2.21*(L1059-1)) + EXP(2.21*M1059)   )/100*2.45 )</f>
        <v>0.37356464144298934</v>
      </c>
      <c r="O1059" s="159">
        <f>IF( OR( ISBLANK(I1059),ISBLANK(J1059), ISBLANK(K1059), ISBLANK(L1059), ISBLANK(M1059) ), "", 1.5*SQRT( EXP(2.21*(I1059-1)) + EXP(2.21*(J1059-1)) + EXP(2.21*(K1059-1)) + EXP(2.21*(L1059-1)) + EXP(2.21*M1059)   )/100*2.45 )</f>
        <v>0.37356464144298934</v>
      </c>
      <c r="P1059" s="34"/>
    </row>
    <row r="1060" spans="1:16" s="803" customFormat="1">
      <c r="A1060" s="55" t="s">
        <v>239</v>
      </c>
      <c r="B1060" s="260" t="s">
        <v>356</v>
      </c>
      <c r="C1060" s="55" t="s">
        <v>139</v>
      </c>
      <c r="D1060" s="260" t="s">
        <v>139</v>
      </c>
      <c r="E1060" s="237">
        <v>0.52500000000000002</v>
      </c>
      <c r="F1060" s="168">
        <v>2</v>
      </c>
      <c r="G1060" s="55" t="s">
        <v>406</v>
      </c>
      <c r="H1060" s="29">
        <v>2</v>
      </c>
      <c r="I1060" s="9">
        <v>2</v>
      </c>
      <c r="J1060" s="9">
        <v>2</v>
      </c>
      <c r="K1060" s="9">
        <v>1</v>
      </c>
      <c r="L1060" s="9">
        <v>1</v>
      </c>
      <c r="M1060" s="9">
        <v>2</v>
      </c>
      <c r="N1060" s="185">
        <f>IF( OR( ISBLANK(H1060),ISBLANK(J1060), ISBLANK(K1060), ISBLANK(L1060), ISBLANK(M1060) ), "", 1.5*SQRT(   EXP(2.21*(H1060-1)) + EXP(2.21*(J1060-1)) + EXP(2.21*(K1060-1)) + EXP(2.21*(L1060-1)) + EXP(2.21*M1060)   )/100*2.45 )</f>
        <v>0.37356464144298934</v>
      </c>
      <c r="O1060" s="159">
        <f>IF( OR( ISBLANK(I1060),ISBLANK(J1060), ISBLANK(K1060), ISBLANK(L1060), ISBLANK(M1060) ), "", 1.5*SQRT( EXP(2.21*(I1060-1)) + EXP(2.21*(J1060-1)) + EXP(2.21*(K1060-1)) + EXP(2.21*(L1060-1)) + EXP(2.21*M1060)   )/100*2.45 )</f>
        <v>0.37356464144298934</v>
      </c>
      <c r="P1060" s="34"/>
    </row>
    <row r="1061" spans="1:16" s="803" customFormat="1">
      <c r="A1061" s="55" t="s">
        <v>239</v>
      </c>
      <c r="B1061" s="260" t="s">
        <v>223</v>
      </c>
      <c r="C1061" s="55" t="s">
        <v>139</v>
      </c>
      <c r="D1061" s="260" t="s">
        <v>139</v>
      </c>
      <c r="E1061" s="237" t="s">
        <v>150</v>
      </c>
      <c r="F1061" s="168">
        <v>1</v>
      </c>
      <c r="G1061" s="55" t="s">
        <v>340</v>
      </c>
      <c r="H1061" s="29"/>
      <c r="I1061" s="9"/>
      <c r="J1061" s="9"/>
      <c r="K1061" s="9"/>
      <c r="L1061" s="9"/>
      <c r="M1061" s="9"/>
      <c r="N1061" s="185" t="str">
        <f>IF( OR( ISBLANK(H1061),ISBLANK(J1061), ISBLANK(K1061), ISBLANK(L1061), ISBLANK(M1061) ), "", 1.5*SQRT(   EXP(2.21*(H1061-1)) + EXP(2.21*(J1061-1)) + EXP(2.21*(K1061-1)) + EXP(2.21*(L1061-1)) + EXP(2.21*M1061)   )/100*2.45 )</f>
        <v/>
      </c>
      <c r="O1061" s="159" t="str">
        <f>IF( OR( ISBLANK(I1061),ISBLANK(J1061), ISBLANK(K1061), ISBLANK(L1061), ISBLANK(M1061) ), "", 1.5*SQRT( EXP(2.21*(I1061-1)) + EXP(2.21*(J1061-1)) + EXP(2.21*(K1061-1)) + EXP(2.21*(L1061-1)) + EXP(2.21*M1061)   )/100*2.45 )</f>
        <v/>
      </c>
      <c r="P1061" s="34"/>
    </row>
    <row r="1062" spans="1:16" s="803" customFormat="1">
      <c r="A1062" s="34" t="s">
        <v>347</v>
      </c>
      <c r="B1062" s="40" t="s">
        <v>232</v>
      </c>
      <c r="C1062" s="34" t="s">
        <v>139</v>
      </c>
      <c r="D1062" s="40" t="s">
        <v>139</v>
      </c>
      <c r="E1062" s="237" t="s">
        <v>150</v>
      </c>
      <c r="F1062" s="168">
        <v>1</v>
      </c>
      <c r="G1062" s="34"/>
      <c r="H1062" s="29"/>
      <c r="I1062" s="9"/>
      <c r="J1062" s="9"/>
      <c r="K1062" s="9"/>
      <c r="L1062" s="9"/>
      <c r="M1062" s="9"/>
      <c r="N1062" s="185" t="str">
        <f>IF( OR( ISBLANK(H1062),ISBLANK(J1062), ISBLANK(K1062), ISBLANK(L1062), ISBLANK(M1062) ), "", 1.5*SQRT(   EXP(2.21*(H1062-1)) + EXP(2.21*(J1062-1)) + EXP(2.21*(K1062-1)) + EXP(2.21*(L1062-1)) + EXP(2.21*M1062)   )/100*2.45 )</f>
        <v/>
      </c>
      <c r="O1062" s="159" t="str">
        <f>IF( OR( ISBLANK(I1062),ISBLANK(J1062), ISBLANK(K1062), ISBLANK(L1062), ISBLANK(M1062) ), "", 1.5*SQRT( EXP(2.21*(I1062-1)) + EXP(2.21*(J1062-1)) + EXP(2.21*(K1062-1)) + EXP(2.21*(L1062-1)) + EXP(2.21*M1062)   )/100*2.45 )</f>
        <v/>
      </c>
      <c r="P1062" s="34"/>
    </row>
    <row r="1063" spans="1:16" s="803" customFormat="1">
      <c r="A1063" s="34" t="s">
        <v>347</v>
      </c>
      <c r="B1063" s="40" t="s">
        <v>327</v>
      </c>
      <c r="C1063" s="34" t="s">
        <v>139</v>
      </c>
      <c r="D1063" s="40" t="s">
        <v>139</v>
      </c>
      <c r="E1063" s="237">
        <v>0.05</v>
      </c>
      <c r="F1063" s="168">
        <v>1</v>
      </c>
      <c r="G1063" s="34" t="s">
        <v>344</v>
      </c>
      <c r="H1063" s="29">
        <v>2</v>
      </c>
      <c r="I1063" s="9">
        <v>1</v>
      </c>
      <c r="J1063" s="9">
        <v>2</v>
      </c>
      <c r="K1063" s="9">
        <v>3</v>
      </c>
      <c r="L1063" s="9">
        <v>1</v>
      </c>
      <c r="M1063" s="9">
        <v>3</v>
      </c>
      <c r="N1063" s="185">
        <f>IF( OR( ISBLANK(H1063),ISBLANK(J1063), ISBLANK(K1063), ISBLANK(L1063), ISBLANK(M1063) ), "", 1.5*SQRT(   EXP(2.21*(H1063-1)) + EXP(2.21*(J1063-1)) + EXP(2.21*(K1063-1)) + EXP(2.21*(L1063-1)) + EXP(2.21*M1063)   )/100*2.45 )</f>
        <v>1.0776024280428556</v>
      </c>
      <c r="O1063" s="159">
        <f>IF( OR( ISBLANK(I1063),ISBLANK(J1063), ISBLANK(K1063), ISBLANK(L1063), ISBLANK(M1063) ), "", 1.5*SQRT( EXP(2.21*(I1063-1)) + EXP(2.21*(J1063-1)) + EXP(2.21*(K1063-1)) + EXP(2.21*(L1063-1)) + EXP(2.21*M1063)   )/100*2.45 )</f>
        <v>1.0725046436742278</v>
      </c>
      <c r="P1063" s="34" t="s">
        <v>345</v>
      </c>
    </row>
    <row r="1064" spans="1:16" s="803" customFormat="1">
      <c r="A1064" s="34" t="s">
        <v>259</v>
      </c>
      <c r="B1064" s="40" t="s">
        <v>260</v>
      </c>
      <c r="C1064" s="34" t="s">
        <v>139</v>
      </c>
      <c r="D1064" s="40" t="s">
        <v>139</v>
      </c>
      <c r="E1064" s="237" t="s">
        <v>150</v>
      </c>
      <c r="F1064" s="40">
        <v>1</v>
      </c>
      <c r="G1064" s="34"/>
      <c r="H1064" s="29"/>
      <c r="I1064" s="9"/>
      <c r="J1064" s="9"/>
      <c r="K1064" s="9"/>
      <c r="L1064" s="9"/>
      <c r="M1064" s="9"/>
      <c r="N1064" s="185" t="str">
        <f>IF( OR( ISBLANK(H1064),ISBLANK(J1064), ISBLANK(K1064), ISBLANK(L1064), ISBLANK(M1064) ), "", 1.5*SQRT(   EXP(2.21*(H1064-1)) + EXP(2.21*(J1064-1)) + EXP(2.21*(K1064-1)) + EXP(2.21*(L1064-1)) + EXP(2.21*M1064)   )/100*2.45 )</f>
        <v/>
      </c>
      <c r="O1064" s="159" t="str">
        <f>IF( OR( ISBLANK(I1064),ISBLANK(J1064), ISBLANK(K1064), ISBLANK(L1064), ISBLANK(M1064) ), "", 1.5*SQRT( EXP(2.21*(I1064-1)) + EXP(2.21*(J1064-1)) + EXP(2.21*(K1064-1)) + EXP(2.21*(L1064-1)) + EXP(2.21*M1064)   )/100*2.45 )</f>
        <v/>
      </c>
      <c r="P1064" s="34"/>
    </row>
    <row r="1065" spans="1:16" s="803" customFormat="1">
      <c r="A1065" s="34" t="s">
        <v>259</v>
      </c>
      <c r="B1065" s="40" t="s">
        <v>261</v>
      </c>
      <c r="C1065" s="34" t="s">
        <v>139</v>
      </c>
      <c r="D1065" s="40" t="s">
        <v>139</v>
      </c>
      <c r="E1065" s="1195">
        <v>9.9999999999999995E-7</v>
      </c>
      <c r="F1065" s="40">
        <v>2</v>
      </c>
      <c r="G1065" s="37" t="s">
        <v>1974</v>
      </c>
      <c r="H1065" s="29">
        <v>2</v>
      </c>
      <c r="I1065" s="9">
        <v>2</v>
      </c>
      <c r="J1065" s="9">
        <v>3</v>
      </c>
      <c r="K1065" s="9">
        <v>3</v>
      </c>
      <c r="L1065" s="9">
        <v>3</v>
      </c>
      <c r="M1065" s="9">
        <v>2</v>
      </c>
      <c r="N1065" s="185">
        <f>IF( OR( ISBLANK(H1065),ISBLANK(J1065), ISBLANK(K1065), ISBLANK(L1065), ISBLANK(M1065) ), "", 1.5*SQRT(   EXP(2.21*(H1065-1)) + EXP(2.21*(J1065-1)) + EXP(2.21*(K1065-1)) + EXP(2.21*(L1065-1)) + EXP(2.21*M1065)   )/100*2.45 )</f>
        <v>0.67913051197703389</v>
      </c>
      <c r="O1065" s="159">
        <f>IF( OR( ISBLANK(I1065),ISBLANK(J1065), ISBLANK(K1065), ISBLANK(L1065), ISBLANK(M1065) ), "", 1.5*SQRT( EXP(2.21*(I1065-1)) + EXP(2.21*(J1065-1)) + EXP(2.21*(K1065-1)) + EXP(2.21*(L1065-1)) + EXP(2.21*M1065)   )/100*2.45 )</f>
        <v>0.67913051197703389</v>
      </c>
      <c r="P1065" s="1181" t="s">
        <v>1972</v>
      </c>
    </row>
    <row r="1066" spans="1:16" s="803" customFormat="1">
      <c r="A1066" s="34" t="s">
        <v>259</v>
      </c>
      <c r="B1066" s="40" t="s">
        <v>261</v>
      </c>
      <c r="C1066" s="34" t="s">
        <v>139</v>
      </c>
      <c r="D1066" s="40" t="s">
        <v>139</v>
      </c>
      <c r="E1066" s="1195">
        <v>4.0000000000000002E-4</v>
      </c>
      <c r="F1066" s="40">
        <v>2</v>
      </c>
      <c r="G1066" s="37" t="s">
        <v>1974</v>
      </c>
      <c r="H1066" s="29">
        <v>2</v>
      </c>
      <c r="I1066" s="9">
        <v>2</v>
      </c>
      <c r="J1066" s="9">
        <v>3</v>
      </c>
      <c r="K1066" s="9">
        <v>3</v>
      </c>
      <c r="L1066" s="9">
        <v>3</v>
      </c>
      <c r="M1066" s="9">
        <v>2</v>
      </c>
      <c r="N1066" s="185">
        <f>IF( OR( ISBLANK(H1066),ISBLANK(J1066), ISBLANK(K1066), ISBLANK(L1066), ISBLANK(M1066) ), "", 1.5*SQRT(   EXP(2.21*(H1066-1)) + EXP(2.21*(J1066-1)) + EXP(2.21*(K1066-1)) + EXP(2.21*(L1066-1)) + EXP(2.21*M1066)   )/100*2.45 )</f>
        <v>0.67913051197703389</v>
      </c>
      <c r="O1066" s="159">
        <f>IF( OR( ISBLANK(I1066),ISBLANK(J1066), ISBLANK(K1066), ISBLANK(L1066), ISBLANK(M1066) ), "", 1.5*SQRT( EXP(2.21*(I1066-1)) + EXP(2.21*(J1066-1)) + EXP(2.21*(K1066-1)) + EXP(2.21*(L1066-1)) + EXP(2.21*M1066)   )/100*2.45 )</f>
        <v>0.67913051197703389</v>
      </c>
      <c r="P1066" s="1181" t="s">
        <v>1972</v>
      </c>
    </row>
    <row r="1067" spans="1:16" s="803" customFormat="1">
      <c r="A1067" s="34" t="s">
        <v>261</v>
      </c>
      <c r="B1067" s="40" t="s">
        <v>254</v>
      </c>
      <c r="C1067" s="34" t="s">
        <v>139</v>
      </c>
      <c r="D1067" s="40" t="s">
        <v>139</v>
      </c>
      <c r="E1067" s="1195">
        <v>4.0000000000000001E-3</v>
      </c>
      <c r="F1067" s="40">
        <v>2</v>
      </c>
      <c r="G1067" s="37" t="s">
        <v>1975</v>
      </c>
      <c r="H1067" s="29">
        <v>2</v>
      </c>
      <c r="I1067" s="9">
        <v>2</v>
      </c>
      <c r="J1067" s="9">
        <v>3</v>
      </c>
      <c r="K1067" s="9">
        <v>3</v>
      </c>
      <c r="L1067" s="9">
        <v>3</v>
      </c>
      <c r="M1067" s="9">
        <v>2</v>
      </c>
      <c r="N1067" s="185">
        <f>IF( OR( ISBLANK(H1067),ISBLANK(J1067), ISBLANK(K1067), ISBLANK(L1067), ISBLANK(M1067) ), "", 1.5*SQRT(   EXP(2.21*(H1067-1)) + EXP(2.21*(J1067-1)) + EXP(2.21*(K1067-1)) + EXP(2.21*(L1067-1)) + EXP(2.21*M1067)   )/100*2.45 )</f>
        <v>0.67913051197703389</v>
      </c>
      <c r="O1067" s="159">
        <f>IF( OR( ISBLANK(I1067),ISBLANK(J1067), ISBLANK(K1067), ISBLANK(L1067), ISBLANK(M1067) ), "", 1.5*SQRT( EXP(2.21*(I1067-1)) + EXP(2.21*(J1067-1)) + EXP(2.21*(K1067-1)) + EXP(2.21*(L1067-1)) + EXP(2.21*M1067)   )/100*2.45 )</f>
        <v>0.67913051197703389</v>
      </c>
      <c r="P1067" s="34" t="s">
        <v>1973</v>
      </c>
    </row>
    <row r="1068" spans="1:16" s="803" customFormat="1">
      <c r="A1068" s="34" t="s">
        <v>261</v>
      </c>
      <c r="B1068" s="40" t="s">
        <v>251</v>
      </c>
      <c r="C1068" s="34" t="s">
        <v>139</v>
      </c>
      <c r="D1068" s="40" t="s">
        <v>139</v>
      </c>
      <c r="E1068" s="1195">
        <v>0.996</v>
      </c>
      <c r="F1068" s="40">
        <v>2</v>
      </c>
      <c r="G1068" s="37" t="s">
        <v>1975</v>
      </c>
      <c r="H1068" s="29">
        <v>2</v>
      </c>
      <c r="I1068" s="9">
        <v>2</v>
      </c>
      <c r="J1068" s="9">
        <v>3</v>
      </c>
      <c r="K1068" s="9">
        <v>3</v>
      </c>
      <c r="L1068" s="9">
        <v>3</v>
      </c>
      <c r="M1068" s="9">
        <v>2</v>
      </c>
      <c r="N1068" s="185">
        <f>IF( OR( ISBLANK(H1068),ISBLANK(J1068), ISBLANK(K1068), ISBLANK(L1068), ISBLANK(M1068) ), "", 1.5*SQRT(   EXP(2.21*(H1068-1)) + EXP(2.21*(J1068-1)) + EXP(2.21*(K1068-1)) + EXP(2.21*(L1068-1)) + EXP(2.21*M1068)   )/100*2.45 )</f>
        <v>0.67913051197703389</v>
      </c>
      <c r="O1068" s="159">
        <f>IF( OR( ISBLANK(I1068),ISBLANK(J1068), ISBLANK(K1068), ISBLANK(L1068), ISBLANK(M1068) ), "", 1.5*SQRT( EXP(2.21*(I1068-1)) + EXP(2.21*(J1068-1)) + EXP(2.21*(K1068-1)) + EXP(2.21*(L1068-1)) + EXP(2.21*M1068)   )/100*2.45 )</f>
        <v>0.67913051197703389</v>
      </c>
      <c r="P1068" s="34" t="s">
        <v>1973</v>
      </c>
    </row>
    <row r="1069" spans="1:16" s="803" customFormat="1">
      <c r="A1069" s="34" t="s">
        <v>262</v>
      </c>
      <c r="B1069" s="40" t="s">
        <v>258</v>
      </c>
      <c r="C1069" s="34" t="s">
        <v>139</v>
      </c>
      <c r="D1069" s="40" t="s">
        <v>139</v>
      </c>
      <c r="E1069" s="237">
        <v>0.25</v>
      </c>
      <c r="F1069" s="40">
        <v>2</v>
      </c>
      <c r="G1069" s="37" t="s">
        <v>1975</v>
      </c>
      <c r="H1069" s="29">
        <v>2</v>
      </c>
      <c r="I1069" s="9">
        <v>2</v>
      </c>
      <c r="J1069" s="9">
        <v>3</v>
      </c>
      <c r="K1069" s="9">
        <v>3</v>
      </c>
      <c r="L1069" s="9">
        <v>3</v>
      </c>
      <c r="M1069" s="9">
        <v>2</v>
      </c>
      <c r="N1069" s="185">
        <f>IF( OR( ISBLANK(H1069),ISBLANK(J1069), ISBLANK(K1069), ISBLANK(L1069), ISBLANK(M1069) ), "", 1.5*SQRT(   EXP(2.21*(H1069-1)) + EXP(2.21*(J1069-1)) + EXP(2.21*(K1069-1)) + EXP(2.21*(L1069-1)) + EXP(2.21*M1069)   )/100*2.45 )</f>
        <v>0.67913051197703389</v>
      </c>
      <c r="O1069" s="159">
        <f>IF( OR( ISBLANK(I1069),ISBLANK(J1069), ISBLANK(K1069), ISBLANK(L1069), ISBLANK(M1069) ), "", 1.5*SQRT( EXP(2.21*(I1069-1)) + EXP(2.21*(J1069-1)) + EXP(2.21*(K1069-1)) + EXP(2.21*(L1069-1)) + EXP(2.21*M1069)   )/100*2.45 )</f>
        <v>0.67913051197703389</v>
      </c>
      <c r="P1069" s="34" t="s">
        <v>1973</v>
      </c>
    </row>
    <row r="1070" spans="1:16" s="803" customFormat="1">
      <c r="A1070" s="34" t="s">
        <v>262</v>
      </c>
      <c r="B1070" s="40" t="s">
        <v>251</v>
      </c>
      <c r="C1070" s="34" t="s">
        <v>139</v>
      </c>
      <c r="D1070" s="40" t="s">
        <v>139</v>
      </c>
      <c r="E1070" s="237">
        <v>0.75</v>
      </c>
      <c r="F1070" s="40">
        <v>2</v>
      </c>
      <c r="G1070" s="37" t="s">
        <v>1975</v>
      </c>
      <c r="H1070" s="29">
        <v>2</v>
      </c>
      <c r="I1070" s="9">
        <v>2</v>
      </c>
      <c r="J1070" s="9">
        <v>3</v>
      </c>
      <c r="K1070" s="9">
        <v>3</v>
      </c>
      <c r="L1070" s="9">
        <v>3</v>
      </c>
      <c r="M1070" s="9">
        <v>2</v>
      </c>
      <c r="N1070" s="185">
        <f>IF( OR( ISBLANK(H1070),ISBLANK(J1070), ISBLANK(K1070), ISBLANK(L1070), ISBLANK(M1070) ), "", 1.5*SQRT(   EXP(2.21*(H1070-1)) + EXP(2.21*(J1070-1)) + EXP(2.21*(K1070-1)) + EXP(2.21*(L1070-1)) + EXP(2.21*M1070)   )/100*2.45 )</f>
        <v>0.67913051197703389</v>
      </c>
      <c r="O1070" s="159">
        <f>IF( OR( ISBLANK(I1070),ISBLANK(J1070), ISBLANK(K1070), ISBLANK(L1070), ISBLANK(M1070) ), "", 1.5*SQRT( EXP(2.21*(I1070-1)) + EXP(2.21*(J1070-1)) + EXP(2.21*(K1070-1)) + EXP(2.21*(L1070-1)) + EXP(2.21*M1070)   )/100*2.45 )</f>
        <v>0.67913051197703389</v>
      </c>
      <c r="P1070" s="34" t="s">
        <v>1973</v>
      </c>
    </row>
    <row r="1071" spans="1:16" s="803" customFormat="1">
      <c r="A1071" s="34" t="s">
        <v>160</v>
      </c>
      <c r="B1071" s="40" t="s">
        <v>155</v>
      </c>
      <c r="C1071" s="34" t="s">
        <v>139</v>
      </c>
      <c r="D1071" s="40" t="s">
        <v>139</v>
      </c>
      <c r="E1071" s="237" t="s">
        <v>150</v>
      </c>
      <c r="F1071" s="168">
        <v>1</v>
      </c>
      <c r="G1071" s="34" t="s">
        <v>157</v>
      </c>
      <c r="H1071" s="29">
        <v>1</v>
      </c>
      <c r="I1071" s="9">
        <v>1</v>
      </c>
      <c r="J1071" s="9">
        <v>1</v>
      </c>
      <c r="K1071" s="9">
        <v>3</v>
      </c>
      <c r="L1071" s="9">
        <v>3</v>
      </c>
      <c r="M1071" s="9">
        <v>3</v>
      </c>
      <c r="N1071" s="185">
        <f>IF( OR( ISBLANK(H1071),ISBLANK(J1071), ISBLANK(K1071), ISBLANK(L1071), ISBLANK(M1071) ), "", 1.5*SQRT(   EXP(2.21*(H1071-1)) + EXP(2.21*(J1071-1)) + EXP(2.21*(K1071-1)) + EXP(2.21*(L1071-1)) + EXP(2.21*M1071)   )/100*2.45 )</f>
        <v>1.1181151966036349</v>
      </c>
      <c r="O1071" s="159">
        <f>IF( OR( ISBLANK(I1071),ISBLANK(J1071), ISBLANK(K1071), ISBLANK(L1071), ISBLANK(M1071) ), "", 1.5*SQRT( EXP(2.21*(I1071-1)) + EXP(2.21*(J1071-1)) + EXP(2.21*(K1071-1)) + EXP(2.21*(L1071-1)) + EXP(2.21*M1071)   )/100*2.45 )</f>
        <v>1.1181151966036349</v>
      </c>
      <c r="P1071" s="34" t="s">
        <v>158</v>
      </c>
    </row>
    <row r="1072" spans="1:16" s="803" customFormat="1">
      <c r="A1072" s="34" t="s">
        <v>160</v>
      </c>
      <c r="B1072" s="40" t="s">
        <v>143</v>
      </c>
      <c r="C1072" s="34" t="s">
        <v>139</v>
      </c>
      <c r="D1072" s="40" t="s">
        <v>139</v>
      </c>
      <c r="E1072" s="237">
        <v>0.05</v>
      </c>
      <c r="F1072" s="168">
        <v>2</v>
      </c>
      <c r="G1072" s="34" t="s">
        <v>166</v>
      </c>
      <c r="H1072" s="29">
        <v>1</v>
      </c>
      <c r="I1072" s="9">
        <v>1</v>
      </c>
      <c r="J1072" s="9">
        <v>1</v>
      </c>
      <c r="K1072" s="9">
        <v>3</v>
      </c>
      <c r="L1072" s="9">
        <v>3</v>
      </c>
      <c r="M1072" s="9">
        <v>3</v>
      </c>
      <c r="N1072" s="185">
        <f>IF( OR( ISBLANK(H1072),ISBLANK(J1072), ISBLANK(K1072), ISBLANK(L1072), ISBLANK(M1072) ), "", 1.5*SQRT(   EXP(2.21*(H1072-1)) + EXP(2.21*(J1072-1)) + EXP(2.21*(K1072-1)) + EXP(2.21*(L1072-1)) + EXP(2.21*M1072)   )/100*2.45 )</f>
        <v>1.1181151966036349</v>
      </c>
      <c r="O1072" s="159">
        <f>IF( OR( ISBLANK(I1072),ISBLANK(J1072), ISBLANK(K1072), ISBLANK(L1072), ISBLANK(M1072) ), "", 1.5*SQRT( EXP(2.21*(I1072-1)) + EXP(2.21*(J1072-1)) + EXP(2.21*(K1072-1)) + EXP(2.21*(L1072-1)) + EXP(2.21*M1072)   )/100*2.45 )</f>
        <v>1.1181151966036349</v>
      </c>
      <c r="P1072" s="34" t="s">
        <v>158</v>
      </c>
    </row>
    <row r="1073" spans="1:16" s="803" customFormat="1">
      <c r="A1073" s="59" t="s">
        <v>422</v>
      </c>
      <c r="B1073" s="336" t="s">
        <v>223</v>
      </c>
      <c r="C1073" s="34" t="s">
        <v>139</v>
      </c>
      <c r="D1073" s="40" t="s">
        <v>99</v>
      </c>
      <c r="E1073" s="237">
        <v>0.15</v>
      </c>
      <c r="F1073" s="40">
        <v>1</v>
      </c>
      <c r="G1073" s="34" t="s">
        <v>412</v>
      </c>
      <c r="H1073" s="29">
        <v>1</v>
      </c>
      <c r="I1073" s="9">
        <v>2</v>
      </c>
      <c r="J1073" s="9">
        <v>2</v>
      </c>
      <c r="K1073" s="9">
        <v>1</v>
      </c>
      <c r="L1073" s="9">
        <v>1</v>
      </c>
      <c r="M1073" s="9">
        <v>1</v>
      </c>
      <c r="N1073" s="185">
        <f>IF( OR( ISBLANK(H1073),ISBLANK(J1073), ISBLANK(K1073), ISBLANK(L1073), ISBLANK(M1073) ), "", 1.5*SQRT(   EXP(2.21*(H1073-1)) + EXP(2.21*(J1073-1)) + EXP(2.21*(K1073-1)) + EXP(2.21*(L1073-1)) + EXP(2.21*M1073)   )/100*2.45 )</f>
        <v>0.16933510251023262</v>
      </c>
      <c r="O1073" s="159">
        <f>IF( OR( ISBLANK(I1073),ISBLANK(J1073), ISBLANK(K1073), ISBLANK(L1073), ISBLANK(M1073) ), "", 1.5*SQRT( EXP(2.21*(I1073-1)) + EXP(2.21*(J1073-1)) + EXP(2.21*(K1073-1)) + EXP(2.21*(L1073-1)) + EXP(2.21*M1073)   )/100*2.45 )</f>
        <v>0.19908580854301616</v>
      </c>
      <c r="P1073" s="34" t="s">
        <v>851</v>
      </c>
    </row>
    <row r="1074" spans="1:16" s="803" customFormat="1">
      <c r="A1074" s="59" t="s">
        <v>422</v>
      </c>
      <c r="B1074" s="336" t="s">
        <v>494</v>
      </c>
      <c r="C1074" s="34" t="s">
        <v>139</v>
      </c>
      <c r="D1074" s="40" t="s">
        <v>99</v>
      </c>
      <c r="E1074" s="237">
        <v>0</v>
      </c>
      <c r="F1074" s="40">
        <v>2</v>
      </c>
      <c r="G1074" s="34" t="s">
        <v>412</v>
      </c>
      <c r="H1074" s="29">
        <v>1</v>
      </c>
      <c r="I1074" s="9">
        <v>2</v>
      </c>
      <c r="J1074" s="9">
        <v>2</v>
      </c>
      <c r="K1074" s="9">
        <v>1</v>
      </c>
      <c r="L1074" s="9">
        <v>1</v>
      </c>
      <c r="M1074" s="9">
        <v>1</v>
      </c>
      <c r="N1074" s="185">
        <f>IF( OR( ISBLANK(H1074),ISBLANK(J1074), ISBLANK(K1074), ISBLANK(L1074), ISBLANK(M1074) ), "", 1.5*SQRT(   EXP(2.21*(H1074-1)) + EXP(2.21*(J1074-1)) + EXP(2.21*(K1074-1)) + EXP(2.21*(L1074-1)) + EXP(2.21*M1074)   )/100*2.45 )</f>
        <v>0.16933510251023262</v>
      </c>
      <c r="O1074" s="159">
        <f>IF( OR( ISBLANK(I1074),ISBLANK(J1074), ISBLANK(K1074), ISBLANK(L1074), ISBLANK(M1074) ), "", 1.5*SQRT( EXP(2.21*(I1074-1)) + EXP(2.21*(J1074-1)) + EXP(2.21*(K1074-1)) + EXP(2.21*(L1074-1)) + EXP(2.21*M1074)   )/100*2.45 )</f>
        <v>0.19908580854301616</v>
      </c>
      <c r="P1074" s="34" t="s">
        <v>856</v>
      </c>
    </row>
    <row r="1075" spans="1:16" s="803" customFormat="1">
      <c r="A1075" s="59" t="s">
        <v>422</v>
      </c>
      <c r="B1075" s="336" t="s">
        <v>495</v>
      </c>
      <c r="C1075" s="34" t="s">
        <v>139</v>
      </c>
      <c r="D1075" s="40" t="s">
        <v>99</v>
      </c>
      <c r="E1075" s="237">
        <v>0.85</v>
      </c>
      <c r="F1075" s="40">
        <v>2</v>
      </c>
      <c r="G1075" s="34" t="s">
        <v>412</v>
      </c>
      <c r="H1075" s="29">
        <v>1</v>
      </c>
      <c r="I1075" s="9">
        <v>2</v>
      </c>
      <c r="J1075" s="9">
        <v>2</v>
      </c>
      <c r="K1075" s="9">
        <v>1</v>
      </c>
      <c r="L1075" s="9">
        <v>1</v>
      </c>
      <c r="M1075" s="9">
        <v>1</v>
      </c>
      <c r="N1075" s="185">
        <f>IF( OR( ISBLANK(H1075),ISBLANK(J1075), ISBLANK(K1075), ISBLANK(L1075), ISBLANK(M1075) ), "", 1.5*SQRT(   EXP(2.21*(H1075-1)) + EXP(2.21*(J1075-1)) + EXP(2.21*(K1075-1)) + EXP(2.21*(L1075-1)) + EXP(2.21*M1075)   )/100*2.45 )</f>
        <v>0.16933510251023262</v>
      </c>
      <c r="O1075" s="159">
        <f>IF( OR( ISBLANK(I1075),ISBLANK(J1075), ISBLANK(K1075), ISBLANK(L1075), ISBLANK(M1075) ), "", 1.5*SQRT( EXP(2.21*(I1075-1)) + EXP(2.21*(J1075-1)) + EXP(2.21*(K1075-1)) + EXP(2.21*(L1075-1)) + EXP(2.21*M1075)   )/100*2.45 )</f>
        <v>0.19908580854301616</v>
      </c>
      <c r="P1075" s="34" t="s">
        <v>857</v>
      </c>
    </row>
    <row r="1076" spans="1:16" s="803" customFormat="1">
      <c r="A1076" s="59" t="s">
        <v>495</v>
      </c>
      <c r="B1076" s="336" t="s">
        <v>498</v>
      </c>
      <c r="C1076" s="34" t="s">
        <v>139</v>
      </c>
      <c r="D1076" s="40" t="s">
        <v>99</v>
      </c>
      <c r="E1076" s="237">
        <f>0.1*E1070</f>
        <v>7.5000000000000011E-2</v>
      </c>
      <c r="F1076" s="40">
        <v>2</v>
      </c>
      <c r="G1076" s="34" t="s">
        <v>412</v>
      </c>
      <c r="H1076" s="29">
        <v>1</v>
      </c>
      <c r="I1076" s="9">
        <v>2</v>
      </c>
      <c r="J1076" s="9">
        <v>2</v>
      </c>
      <c r="K1076" s="9">
        <v>1</v>
      </c>
      <c r="L1076" s="9">
        <v>1</v>
      </c>
      <c r="M1076" s="9">
        <v>1</v>
      </c>
      <c r="N1076" s="185">
        <f>IF( OR( ISBLANK(H1076),ISBLANK(J1076), ISBLANK(K1076), ISBLANK(L1076), ISBLANK(M1076) ), "", 1.5*SQRT(   EXP(2.21*(H1076-1)) + EXP(2.21*(J1076-1)) + EXP(2.21*(K1076-1)) + EXP(2.21*(L1076-1)) + EXP(2.21*M1076)   )/100*2.45 )</f>
        <v>0.16933510251023262</v>
      </c>
      <c r="O1076" s="159">
        <f>IF( OR( ISBLANK(I1076),ISBLANK(J1076), ISBLANK(K1076), ISBLANK(L1076), ISBLANK(M1076) ), "", 1.5*SQRT( EXP(2.21*(I1076-1)) + EXP(2.21*(J1076-1)) + EXP(2.21*(K1076-1)) + EXP(2.21*(L1076-1)) + EXP(2.21*M1076)   )/100*2.45 )</f>
        <v>0.19908580854301616</v>
      </c>
      <c r="P1076" s="34" t="s">
        <v>835</v>
      </c>
    </row>
    <row r="1077" spans="1:16" s="803" customFormat="1">
      <c r="A1077" s="59" t="s">
        <v>495</v>
      </c>
      <c r="B1077" s="336" t="s">
        <v>499</v>
      </c>
      <c r="C1077" s="34" t="s">
        <v>139</v>
      </c>
      <c r="D1077" s="40" t="s">
        <v>99</v>
      </c>
      <c r="E1077" s="237" t="s">
        <v>150</v>
      </c>
      <c r="F1077" s="40">
        <v>1</v>
      </c>
      <c r="G1077" s="34" t="s">
        <v>412</v>
      </c>
      <c r="H1077" s="29"/>
      <c r="I1077" s="9"/>
      <c r="J1077" s="9"/>
      <c r="K1077" s="9"/>
      <c r="L1077" s="9"/>
      <c r="M1077" s="9"/>
      <c r="N1077" s="185" t="str">
        <f>IF( OR( ISBLANK(H1077),ISBLANK(J1077), ISBLANK(K1077), ISBLANK(L1077), ISBLANK(M1077) ), "", 1.5*SQRT(   EXP(2.21*(H1077-1)) + EXP(2.21*(J1077-1)) + EXP(2.21*(K1077-1)) + EXP(2.21*(L1077-1)) + EXP(2.21*M1077)   )/100*2.45 )</f>
        <v/>
      </c>
      <c r="O1077" s="159" t="str">
        <f>IF( OR( ISBLANK(I1077),ISBLANK(J1077), ISBLANK(K1077), ISBLANK(L1077), ISBLANK(M1077) ), "", 1.5*SQRT( EXP(2.21*(I1077-1)) + EXP(2.21*(J1077-1)) + EXP(2.21*(K1077-1)) + EXP(2.21*(L1077-1)) + EXP(2.21*M1077)   )/100*2.45 )</f>
        <v/>
      </c>
      <c r="P1077" s="34" t="s">
        <v>1929</v>
      </c>
    </row>
    <row r="1078" spans="1:16" s="803" customFormat="1">
      <c r="A1078" s="59" t="s">
        <v>499</v>
      </c>
      <c r="B1078" s="336" t="s">
        <v>327</v>
      </c>
      <c r="C1078" s="34" t="s">
        <v>139</v>
      </c>
      <c r="D1078" s="40" t="s">
        <v>99</v>
      </c>
      <c r="E1078" s="237" t="s">
        <v>150</v>
      </c>
      <c r="F1078" s="40">
        <v>1</v>
      </c>
      <c r="G1078" s="34" t="s">
        <v>412</v>
      </c>
      <c r="H1078" s="29"/>
      <c r="I1078" s="9"/>
      <c r="J1078" s="9"/>
      <c r="K1078" s="9"/>
      <c r="L1078" s="9"/>
      <c r="M1078" s="9"/>
      <c r="N1078" s="185" t="str">
        <f>IF( OR( ISBLANK(H1078),ISBLANK(J1078), ISBLANK(K1078), ISBLANK(L1078), ISBLANK(M1078) ), "", 1.5*SQRT(   EXP(2.21*(H1078-1)) + EXP(2.21*(J1078-1)) + EXP(2.21*(K1078-1)) + EXP(2.21*(L1078-1)) + EXP(2.21*M1078)   )/100*2.45 )</f>
        <v/>
      </c>
      <c r="O1078" s="159" t="str">
        <f>IF( OR( ISBLANK(I1078),ISBLANK(J1078), ISBLANK(K1078), ISBLANK(L1078), ISBLANK(M1078) ), "", 1.5*SQRT( EXP(2.21*(I1078-1)) + EXP(2.21*(J1078-1)) + EXP(2.21*(K1078-1)) + EXP(2.21*(L1078-1)) + EXP(2.21*M1078)   )/100*2.45 )</f>
        <v/>
      </c>
      <c r="P1078" s="34" t="s">
        <v>1937</v>
      </c>
    </row>
    <row r="1079" spans="1:16" s="803" customFormat="1">
      <c r="A1079" s="59" t="s">
        <v>499</v>
      </c>
      <c r="B1079" s="336" t="s">
        <v>228</v>
      </c>
      <c r="C1079" s="34" t="s">
        <v>139</v>
      </c>
      <c r="D1079" s="40" t="s">
        <v>99</v>
      </c>
      <c r="E1079" s="237">
        <v>0</v>
      </c>
      <c r="F1079" s="40">
        <v>2</v>
      </c>
      <c r="G1079" s="34" t="s">
        <v>412</v>
      </c>
      <c r="H1079" s="29">
        <v>1</v>
      </c>
      <c r="I1079" s="9">
        <v>2</v>
      </c>
      <c r="J1079" s="9">
        <v>2</v>
      </c>
      <c r="K1079" s="9">
        <v>1</v>
      </c>
      <c r="L1079" s="9">
        <v>1</v>
      </c>
      <c r="M1079" s="9">
        <v>1</v>
      </c>
      <c r="N1079" s="185">
        <f>IF( OR( ISBLANK(H1079),ISBLANK(J1079), ISBLANK(K1079), ISBLANK(L1079), ISBLANK(M1079) ), "", 1.5*SQRT(   EXP(2.21*(H1079-1)) + EXP(2.21*(J1079-1)) + EXP(2.21*(K1079-1)) + EXP(2.21*(L1079-1)) + EXP(2.21*M1079)   )/100*2.45 )</f>
        <v>0.16933510251023262</v>
      </c>
      <c r="O1079" s="159">
        <f>IF( OR( ISBLANK(I1079),ISBLANK(J1079), ISBLANK(K1079), ISBLANK(L1079), ISBLANK(M1079) ), "", 1.5*SQRT( EXP(2.21*(I1079-1)) + EXP(2.21*(J1079-1)) + EXP(2.21*(K1079-1)) + EXP(2.21*(L1079-1)) + EXP(2.21*M1079)   )/100*2.45 )</f>
        <v>0.19908580854301616</v>
      </c>
      <c r="P1079" s="34" t="s">
        <v>837</v>
      </c>
    </row>
    <row r="1080" spans="1:16" s="803" customFormat="1">
      <c r="A1080" s="59" t="s">
        <v>498</v>
      </c>
      <c r="B1080" s="336" t="s">
        <v>228</v>
      </c>
      <c r="C1080" s="34" t="s">
        <v>139</v>
      </c>
      <c r="D1080" s="40" t="s">
        <v>99</v>
      </c>
      <c r="E1080" s="237">
        <v>1</v>
      </c>
      <c r="F1080" s="40">
        <v>2</v>
      </c>
      <c r="G1080" s="34" t="s">
        <v>412</v>
      </c>
      <c r="H1080" s="29">
        <v>1</v>
      </c>
      <c r="I1080" s="9">
        <v>2</v>
      </c>
      <c r="J1080" s="9">
        <v>2</v>
      </c>
      <c r="K1080" s="9">
        <v>1</v>
      </c>
      <c r="L1080" s="9">
        <v>1</v>
      </c>
      <c r="M1080" s="9">
        <v>1</v>
      </c>
      <c r="N1080" s="185">
        <f>IF( OR( ISBLANK(H1080),ISBLANK(J1080), ISBLANK(K1080), ISBLANK(L1080), ISBLANK(M1080) ), "", 1.5*SQRT(   EXP(2.21*(H1080-1)) + EXP(2.21*(J1080-1)) + EXP(2.21*(K1080-1)) + EXP(2.21*(L1080-1)) + EXP(2.21*M1080)   )/100*2.45 )</f>
        <v>0.16933510251023262</v>
      </c>
      <c r="O1080" s="159">
        <f>IF( OR( ISBLANK(I1080),ISBLANK(J1080), ISBLANK(K1080), ISBLANK(L1080), ISBLANK(M1080) ), "", 1.5*SQRT( EXP(2.21*(I1080-1)) + EXP(2.21*(J1080-1)) + EXP(2.21*(K1080-1)) + EXP(2.21*(L1080-1)) + EXP(2.21*M1080)   )/100*2.45 )</f>
        <v>0.19908580854301616</v>
      </c>
      <c r="P1080" s="34" t="s">
        <v>836</v>
      </c>
    </row>
    <row r="1081" spans="1:16" s="803" customFormat="1">
      <c r="A1081" s="59" t="s">
        <v>494</v>
      </c>
      <c r="B1081" s="336" t="s">
        <v>496</v>
      </c>
      <c r="C1081" s="34" t="s">
        <v>139</v>
      </c>
      <c r="D1081" s="40" t="s">
        <v>99</v>
      </c>
      <c r="E1081" s="237">
        <v>0.03</v>
      </c>
      <c r="F1081" s="40">
        <v>2</v>
      </c>
      <c r="G1081" s="34" t="s">
        <v>412</v>
      </c>
      <c r="H1081" s="29">
        <v>1</v>
      </c>
      <c r="I1081" s="9">
        <v>2</v>
      </c>
      <c r="J1081" s="9">
        <v>2</v>
      </c>
      <c r="K1081" s="9">
        <v>1</v>
      </c>
      <c r="L1081" s="9">
        <v>1</v>
      </c>
      <c r="M1081" s="9">
        <v>1</v>
      </c>
      <c r="N1081" s="185">
        <f>IF( OR( ISBLANK(H1081),ISBLANK(J1081), ISBLANK(K1081), ISBLANK(L1081), ISBLANK(M1081) ), "", 1.5*SQRT(   EXP(2.21*(H1081-1)) + EXP(2.21*(J1081-1)) + EXP(2.21*(K1081-1)) + EXP(2.21*(L1081-1)) + EXP(2.21*M1081)   )/100*2.45 )</f>
        <v>0.16933510251023262</v>
      </c>
      <c r="O1081" s="159">
        <f>IF( OR( ISBLANK(I1081),ISBLANK(J1081), ISBLANK(K1081), ISBLANK(L1081), ISBLANK(M1081) ), "", 1.5*SQRT( EXP(2.21*(I1081-1)) + EXP(2.21*(J1081-1)) + EXP(2.21*(K1081-1)) + EXP(2.21*(L1081-1)) + EXP(2.21*M1081)   )/100*2.45 )</f>
        <v>0.19908580854301616</v>
      </c>
      <c r="P1081" s="34" t="s">
        <v>834</v>
      </c>
    </row>
    <row r="1082" spans="1:16" s="803" customFormat="1">
      <c r="A1082" s="59" t="s">
        <v>494</v>
      </c>
      <c r="B1082" s="336" t="s">
        <v>497</v>
      </c>
      <c r="C1082" s="34" t="s">
        <v>139</v>
      </c>
      <c r="D1082" s="40" t="s">
        <v>99</v>
      </c>
      <c r="E1082" s="237" t="s">
        <v>150</v>
      </c>
      <c r="F1082" s="40">
        <v>1</v>
      </c>
      <c r="G1082" s="34" t="s">
        <v>412</v>
      </c>
      <c r="H1082" s="29"/>
      <c r="I1082" s="9"/>
      <c r="J1082" s="9"/>
      <c r="K1082" s="9"/>
      <c r="L1082" s="9"/>
      <c r="M1082" s="9"/>
      <c r="N1082" s="185" t="str">
        <f>IF( OR( ISBLANK(H1082),ISBLANK(J1082), ISBLANK(K1082), ISBLANK(L1082), ISBLANK(M1082) ), "", 1.5*SQRT(   EXP(2.21*(H1082-1)) + EXP(2.21*(J1082-1)) + EXP(2.21*(K1082-1)) + EXP(2.21*(L1082-1)) + EXP(2.21*M1082)   )/100*2.45 )</f>
        <v/>
      </c>
      <c r="O1082" s="159" t="str">
        <f>IF( OR( ISBLANK(I1082),ISBLANK(J1082), ISBLANK(K1082), ISBLANK(L1082), ISBLANK(M1082) ), "", 1.5*SQRT( EXP(2.21*(I1082-1)) + EXP(2.21*(J1082-1)) + EXP(2.21*(K1082-1)) + EXP(2.21*(L1082-1)) + EXP(2.21*M1082)   )/100*2.45 )</f>
        <v/>
      </c>
      <c r="P1082" s="34" t="s">
        <v>1929</v>
      </c>
    </row>
    <row r="1083" spans="1:16" s="803" customFormat="1">
      <c r="A1083" s="59" t="s">
        <v>497</v>
      </c>
      <c r="B1083" s="336" t="s">
        <v>327</v>
      </c>
      <c r="C1083" s="34" t="s">
        <v>139</v>
      </c>
      <c r="D1083" s="40" t="s">
        <v>99</v>
      </c>
      <c r="E1083" s="237" t="s">
        <v>150</v>
      </c>
      <c r="F1083" s="40">
        <v>1</v>
      </c>
      <c r="G1083" s="34" t="s">
        <v>412</v>
      </c>
      <c r="H1083" s="29"/>
      <c r="I1083" s="9"/>
      <c r="J1083" s="9"/>
      <c r="K1083" s="9"/>
      <c r="L1083" s="9"/>
      <c r="M1083" s="9"/>
      <c r="N1083" s="185" t="str">
        <f>IF( OR( ISBLANK(H1083),ISBLANK(J1083), ISBLANK(K1083), ISBLANK(L1083), ISBLANK(M1083) ), "", 1.5*SQRT(   EXP(2.21*(H1083-1)) + EXP(2.21*(J1083-1)) + EXP(2.21*(K1083-1)) + EXP(2.21*(L1083-1)) + EXP(2.21*M1083)   )/100*2.45 )</f>
        <v/>
      </c>
      <c r="O1083" s="159" t="str">
        <f>IF( OR( ISBLANK(I1083),ISBLANK(J1083), ISBLANK(K1083), ISBLANK(L1083), ISBLANK(M1083) ), "", 1.5*SQRT( EXP(2.21*(I1083-1)) + EXP(2.21*(J1083-1)) + EXP(2.21*(K1083-1)) + EXP(2.21*(L1083-1)) + EXP(2.21*M1083)   )/100*2.45 )</f>
        <v/>
      </c>
      <c r="P1083" s="34"/>
    </row>
    <row r="1084" spans="1:16" s="803" customFormat="1">
      <c r="A1084" s="59" t="s">
        <v>497</v>
      </c>
      <c r="B1084" s="336" t="s">
        <v>231</v>
      </c>
      <c r="C1084" s="34" t="s">
        <v>139</v>
      </c>
      <c r="D1084" s="40" t="s">
        <v>99</v>
      </c>
      <c r="E1084" s="237">
        <v>0</v>
      </c>
      <c r="F1084" s="40">
        <v>2</v>
      </c>
      <c r="G1084" s="34" t="s">
        <v>412</v>
      </c>
      <c r="H1084" s="29">
        <v>1</v>
      </c>
      <c r="I1084" s="9">
        <v>2</v>
      </c>
      <c r="J1084" s="9">
        <v>2</v>
      </c>
      <c r="K1084" s="9">
        <v>1</v>
      </c>
      <c r="L1084" s="9">
        <v>1</v>
      </c>
      <c r="M1084" s="9">
        <v>1</v>
      </c>
      <c r="N1084" s="185">
        <f>IF( OR( ISBLANK(H1084),ISBLANK(J1084), ISBLANK(K1084), ISBLANK(L1084), ISBLANK(M1084) ), "", 1.5*SQRT(   EXP(2.21*(H1084-1)) + EXP(2.21*(J1084-1)) + EXP(2.21*(K1084-1)) + EXP(2.21*(L1084-1)) + EXP(2.21*M1084)   )/100*2.45 )</f>
        <v>0.16933510251023262</v>
      </c>
      <c r="O1084" s="159">
        <f>IF( OR( ISBLANK(I1084),ISBLANK(J1084), ISBLANK(K1084), ISBLANK(L1084), ISBLANK(M1084) ), "", 1.5*SQRT( EXP(2.21*(I1084-1)) + EXP(2.21*(J1084-1)) + EXP(2.21*(K1084-1)) + EXP(2.21*(L1084-1)) + EXP(2.21*M1084)   )/100*2.45 )</f>
        <v>0.19908580854301616</v>
      </c>
      <c r="P1084" s="34" t="s">
        <v>1943</v>
      </c>
    </row>
    <row r="1085" spans="1:16" s="803" customFormat="1">
      <c r="A1085" s="59" t="s">
        <v>497</v>
      </c>
      <c r="B1085" s="336" t="s">
        <v>232</v>
      </c>
      <c r="C1085" s="34" t="s">
        <v>139</v>
      </c>
      <c r="D1085" s="40" t="s">
        <v>99</v>
      </c>
      <c r="E1085" s="237">
        <v>0</v>
      </c>
      <c r="F1085" s="40">
        <v>2</v>
      </c>
      <c r="G1085" s="34" t="s">
        <v>412</v>
      </c>
      <c r="H1085" s="29">
        <v>1</v>
      </c>
      <c r="I1085" s="9">
        <v>2</v>
      </c>
      <c r="J1085" s="9">
        <v>2</v>
      </c>
      <c r="K1085" s="9">
        <v>1</v>
      </c>
      <c r="L1085" s="9">
        <v>1</v>
      </c>
      <c r="M1085" s="9">
        <v>1</v>
      </c>
      <c r="N1085" s="185">
        <f>IF( OR( ISBLANK(H1085),ISBLANK(J1085), ISBLANK(K1085), ISBLANK(L1085), ISBLANK(M1085) ), "", 1.5*SQRT(   EXP(2.21*(H1085-1)) + EXP(2.21*(J1085-1)) + EXP(2.21*(K1085-1)) + EXP(2.21*(L1085-1)) + EXP(2.21*M1085)   )/100*2.45 )</f>
        <v>0.16933510251023262</v>
      </c>
      <c r="O1085" s="159">
        <f>IF( OR( ISBLANK(I1085),ISBLANK(J1085), ISBLANK(K1085), ISBLANK(L1085), ISBLANK(M1085) ), "", 1.5*SQRT( EXP(2.21*(I1085-1)) + EXP(2.21*(J1085-1)) + EXP(2.21*(K1085-1)) + EXP(2.21*(L1085-1)) + EXP(2.21*M1085)   )/100*2.45 )</f>
        <v>0.19908580854301616</v>
      </c>
      <c r="P1085" s="34" t="s">
        <v>1943</v>
      </c>
    </row>
    <row r="1086" spans="1:16" s="803" customFormat="1">
      <c r="A1086" s="59" t="s">
        <v>497</v>
      </c>
      <c r="B1086" s="336" t="s">
        <v>251</v>
      </c>
      <c r="C1086" s="34" t="s">
        <v>139</v>
      </c>
      <c r="D1086" s="40" t="s">
        <v>99</v>
      </c>
      <c r="E1086" s="237">
        <v>0</v>
      </c>
      <c r="F1086" s="40">
        <v>2</v>
      </c>
      <c r="G1086" s="34" t="s">
        <v>412</v>
      </c>
      <c r="H1086" s="29">
        <v>1</v>
      </c>
      <c r="I1086" s="9">
        <v>2</v>
      </c>
      <c r="J1086" s="9">
        <v>2</v>
      </c>
      <c r="K1086" s="9">
        <v>1</v>
      </c>
      <c r="L1086" s="9">
        <v>1</v>
      </c>
      <c r="M1086" s="9">
        <v>1</v>
      </c>
      <c r="N1086" s="185">
        <f>IF( OR( ISBLANK(H1086),ISBLANK(J1086), ISBLANK(K1086), ISBLANK(L1086), ISBLANK(M1086) ), "", 1.5*SQRT(   EXP(2.21*(H1086-1)) + EXP(2.21*(J1086-1)) + EXP(2.21*(K1086-1)) + EXP(2.21*(L1086-1)) + EXP(2.21*M1086)   )/100*2.45 )</f>
        <v>0.16933510251023262</v>
      </c>
      <c r="O1086" s="159">
        <f>IF( OR( ISBLANK(I1086),ISBLANK(J1086), ISBLANK(K1086), ISBLANK(L1086), ISBLANK(M1086) ), "", 1.5*SQRT( EXP(2.21*(I1086-1)) + EXP(2.21*(J1086-1)) + EXP(2.21*(K1086-1)) + EXP(2.21*(L1086-1)) + EXP(2.21*M1086)   )/100*2.45 )</f>
        <v>0.19908580854301616</v>
      </c>
      <c r="P1086" s="34" t="s">
        <v>1943</v>
      </c>
    </row>
    <row r="1087" spans="1:16" s="803" customFormat="1">
      <c r="A1087" s="59" t="s">
        <v>497</v>
      </c>
      <c r="B1087" s="336" t="s">
        <v>258</v>
      </c>
      <c r="C1087" s="34" t="s">
        <v>139</v>
      </c>
      <c r="D1087" s="40" t="s">
        <v>99</v>
      </c>
      <c r="E1087" s="237">
        <v>0</v>
      </c>
      <c r="F1087" s="40">
        <v>2</v>
      </c>
      <c r="G1087" s="34" t="s">
        <v>412</v>
      </c>
      <c r="H1087" s="29">
        <v>1</v>
      </c>
      <c r="I1087" s="9">
        <v>2</v>
      </c>
      <c r="J1087" s="9">
        <v>2</v>
      </c>
      <c r="K1087" s="9">
        <v>1</v>
      </c>
      <c r="L1087" s="9">
        <v>1</v>
      </c>
      <c r="M1087" s="9">
        <v>1</v>
      </c>
      <c r="N1087" s="185">
        <f>IF( OR( ISBLANK(H1087),ISBLANK(J1087), ISBLANK(K1087), ISBLANK(L1087), ISBLANK(M1087) ), "", 1.5*SQRT(   EXP(2.21*(H1087-1)) + EXP(2.21*(J1087-1)) + EXP(2.21*(K1087-1)) + EXP(2.21*(L1087-1)) + EXP(2.21*M1087)   )/100*2.45 )</f>
        <v>0.16933510251023262</v>
      </c>
      <c r="O1087" s="159">
        <f>IF( OR( ISBLANK(I1087),ISBLANK(J1087), ISBLANK(K1087), ISBLANK(L1087), ISBLANK(M1087) ), "", 1.5*SQRT( EXP(2.21*(I1087-1)) + EXP(2.21*(J1087-1)) + EXP(2.21*(K1087-1)) + EXP(2.21*(L1087-1)) + EXP(2.21*M1087)   )/100*2.45 )</f>
        <v>0.19908580854301616</v>
      </c>
      <c r="P1087" s="34" t="s">
        <v>1943</v>
      </c>
    </row>
    <row r="1088" spans="1:16" s="803" customFormat="1">
      <c r="A1088" s="59" t="s">
        <v>496</v>
      </c>
      <c r="B1088" s="336" t="s">
        <v>231</v>
      </c>
      <c r="C1088" s="34" t="s">
        <v>139</v>
      </c>
      <c r="D1088" s="40" t="s">
        <v>99</v>
      </c>
      <c r="E1088" s="237">
        <v>0.05</v>
      </c>
      <c r="F1088" s="40">
        <v>2</v>
      </c>
      <c r="G1088" s="34" t="s">
        <v>157</v>
      </c>
      <c r="H1088" s="29">
        <v>1</v>
      </c>
      <c r="I1088" s="9">
        <v>2</v>
      </c>
      <c r="J1088" s="9">
        <v>2</v>
      </c>
      <c r="K1088" s="9">
        <v>1</v>
      </c>
      <c r="L1088" s="9">
        <v>3</v>
      </c>
      <c r="M1088" s="9">
        <v>3</v>
      </c>
      <c r="N1088" s="185">
        <f>IF( OR( ISBLANK(H1088),ISBLANK(J1088), ISBLANK(K1088), ISBLANK(L1088), ISBLANK(M1088) ), "", 1.5*SQRT(   EXP(2.21*(H1088-1)) + EXP(2.21*(J1088-1)) + EXP(2.21*(K1088-1)) + EXP(2.21*(L1088-1)) + EXP(2.21*M1088)   )/100*2.45 )</f>
        <v>1.0725046436742278</v>
      </c>
      <c r="O1088" s="159">
        <f>IF( OR( ISBLANK(I1088),ISBLANK(J1088), ISBLANK(K1088), ISBLANK(L1088), ISBLANK(M1088) ), "", 1.5*SQRT( EXP(2.21*(I1088-1)) + EXP(2.21*(J1088-1)) + EXP(2.21*(K1088-1)) + EXP(2.21*(L1088-1)) + EXP(2.21*M1088)   )/100*2.45 )</f>
        <v>1.0776024280428556</v>
      </c>
      <c r="P1088" s="34" t="s">
        <v>1916</v>
      </c>
    </row>
    <row r="1089" spans="1:16" s="803" customFormat="1">
      <c r="A1089" s="59" t="s">
        <v>496</v>
      </c>
      <c r="B1089" s="336" t="s">
        <v>232</v>
      </c>
      <c r="C1089" s="34" t="s">
        <v>139</v>
      </c>
      <c r="D1089" s="40" t="s">
        <v>99</v>
      </c>
      <c r="E1089" s="237">
        <v>0.39400000000000002</v>
      </c>
      <c r="F1089" s="40">
        <v>2</v>
      </c>
      <c r="G1089" s="34" t="s">
        <v>412</v>
      </c>
      <c r="H1089" s="29">
        <v>1</v>
      </c>
      <c r="I1089" s="9">
        <v>2</v>
      </c>
      <c r="J1089" s="9">
        <v>2</v>
      </c>
      <c r="K1089" s="9">
        <v>1</v>
      </c>
      <c r="L1089" s="9">
        <v>1</v>
      </c>
      <c r="M1089" s="9">
        <v>1</v>
      </c>
      <c r="N1089" s="185">
        <f>IF( OR( ISBLANK(H1089),ISBLANK(J1089), ISBLANK(K1089), ISBLANK(L1089), ISBLANK(M1089) ), "", 1.5*SQRT(   EXP(2.21*(H1089-1)) + EXP(2.21*(J1089-1)) + EXP(2.21*(K1089-1)) + EXP(2.21*(L1089-1)) + EXP(2.21*M1089)   )/100*2.45 )</f>
        <v>0.16933510251023262</v>
      </c>
      <c r="O1089" s="159">
        <f>IF( OR( ISBLANK(I1089),ISBLANK(J1089), ISBLANK(K1089), ISBLANK(L1089), ISBLANK(M1089) ), "", 1.5*SQRT( EXP(2.21*(I1089-1)) + EXP(2.21*(J1089-1)) + EXP(2.21*(K1089-1)) + EXP(2.21*(L1089-1)) + EXP(2.21*M1089)   )/100*2.45 )</f>
        <v>0.19908580854301616</v>
      </c>
      <c r="P1089" s="34" t="s">
        <v>1940</v>
      </c>
    </row>
    <row r="1090" spans="1:16" s="803" customFormat="1">
      <c r="A1090" s="59" t="s">
        <v>496</v>
      </c>
      <c r="B1090" s="336" t="s">
        <v>251</v>
      </c>
      <c r="C1090" s="34" t="s">
        <v>139</v>
      </c>
      <c r="D1090" s="40" t="s">
        <v>99</v>
      </c>
      <c r="E1090" s="237">
        <v>0.52200000000000002</v>
      </c>
      <c r="F1090" s="40">
        <v>1</v>
      </c>
      <c r="G1090" s="34" t="s">
        <v>412</v>
      </c>
      <c r="H1090" s="29">
        <v>1</v>
      </c>
      <c r="I1090" s="9">
        <v>2</v>
      </c>
      <c r="J1090" s="9">
        <v>2</v>
      </c>
      <c r="K1090" s="9">
        <v>1</v>
      </c>
      <c r="L1090" s="9">
        <v>1</v>
      </c>
      <c r="M1090" s="9">
        <v>1</v>
      </c>
      <c r="N1090" s="185">
        <f>IF( OR( ISBLANK(H1090),ISBLANK(J1090), ISBLANK(K1090), ISBLANK(L1090), ISBLANK(M1090) ), "", 1.5*SQRT(   EXP(2.21*(H1090-1)) + EXP(2.21*(J1090-1)) + EXP(2.21*(K1090-1)) + EXP(2.21*(L1090-1)) + EXP(2.21*M1090)   )/100*2.45 )</f>
        <v>0.16933510251023262</v>
      </c>
      <c r="O1090" s="159">
        <f>IF( OR( ISBLANK(I1090),ISBLANK(J1090), ISBLANK(K1090), ISBLANK(L1090), ISBLANK(M1090) ), "", 1.5*SQRT( EXP(2.21*(I1090-1)) + EXP(2.21*(J1090-1)) + EXP(2.21*(K1090-1)) + EXP(2.21*(L1090-1)) + EXP(2.21*M1090)   )/100*2.45 )</f>
        <v>0.19908580854301616</v>
      </c>
      <c r="P1090" s="34" t="s">
        <v>1941</v>
      </c>
    </row>
    <row r="1091" spans="1:16" s="803" customFormat="1">
      <c r="A1091" s="59" t="s">
        <v>496</v>
      </c>
      <c r="B1091" s="336" t="s">
        <v>258</v>
      </c>
      <c r="C1091" s="34" t="s">
        <v>139</v>
      </c>
      <c r="D1091" s="40" t="s">
        <v>99</v>
      </c>
      <c r="E1091" s="237">
        <v>3.4000000000000002E-2</v>
      </c>
      <c r="F1091" s="40">
        <v>2</v>
      </c>
      <c r="G1091" s="34" t="s">
        <v>412</v>
      </c>
      <c r="H1091" s="29">
        <v>1</v>
      </c>
      <c r="I1091" s="9">
        <v>2</v>
      </c>
      <c r="J1091" s="9">
        <v>2</v>
      </c>
      <c r="K1091" s="9">
        <v>1</v>
      </c>
      <c r="L1091" s="9">
        <v>1</v>
      </c>
      <c r="M1091" s="9">
        <v>1</v>
      </c>
      <c r="N1091" s="185">
        <f>IF( OR( ISBLANK(H1091),ISBLANK(J1091), ISBLANK(K1091), ISBLANK(L1091), ISBLANK(M1091) ), "", 1.5*SQRT(   EXP(2.21*(H1091-1)) + EXP(2.21*(J1091-1)) + EXP(2.21*(K1091-1)) + EXP(2.21*(L1091-1)) + EXP(2.21*M1091)   )/100*2.45 )</f>
        <v>0.16933510251023262</v>
      </c>
      <c r="O1091" s="159">
        <f>IF( OR( ISBLANK(I1091),ISBLANK(J1091), ISBLANK(K1091), ISBLANK(L1091), ISBLANK(M1091) ), "", 1.5*SQRT( EXP(2.21*(I1091-1)) + EXP(2.21*(J1091-1)) + EXP(2.21*(K1091-1)) + EXP(2.21*(L1091-1)) + EXP(2.21*M1091)   )/100*2.45 )</f>
        <v>0.19908580854301616</v>
      </c>
      <c r="P1091" s="34" t="s">
        <v>1942</v>
      </c>
    </row>
    <row r="1092" spans="1:16" s="803" customFormat="1">
      <c r="A1092" s="59" t="s">
        <v>416</v>
      </c>
      <c r="B1092" s="336" t="s">
        <v>457</v>
      </c>
      <c r="C1092" s="34" t="s">
        <v>139</v>
      </c>
      <c r="D1092" s="40" t="s">
        <v>99</v>
      </c>
      <c r="E1092" s="237">
        <f>0.97*0.03</f>
        <v>2.9099999999999997E-2</v>
      </c>
      <c r="F1092" s="40">
        <v>2</v>
      </c>
      <c r="G1092" s="34" t="s">
        <v>412</v>
      </c>
      <c r="H1092" s="29">
        <v>1</v>
      </c>
      <c r="I1092" s="9">
        <v>2</v>
      </c>
      <c r="J1092" s="9">
        <v>2</v>
      </c>
      <c r="K1092" s="9">
        <v>1</v>
      </c>
      <c r="L1092" s="9">
        <v>1</v>
      </c>
      <c r="M1092" s="9">
        <v>1</v>
      </c>
      <c r="N1092" s="185">
        <f>IF( OR( ISBLANK(H1092),ISBLANK(J1092), ISBLANK(K1092), ISBLANK(L1092), ISBLANK(M1092) ), "", 1.5*SQRT(   EXP(2.21*(H1092-1)) + EXP(2.21*(J1092-1)) + EXP(2.21*(K1092-1)) + EXP(2.21*(L1092-1)) + EXP(2.21*M1092)   )/100*2.45 )</f>
        <v>0.16933510251023262</v>
      </c>
      <c r="O1092" s="159">
        <f>IF( OR( ISBLANK(I1092),ISBLANK(J1092), ISBLANK(K1092), ISBLANK(L1092), ISBLANK(M1092) ), "", 1.5*SQRT( EXP(2.21*(I1092-1)) + EXP(2.21*(J1092-1)) + EXP(2.21*(K1092-1)) + EXP(2.21*(L1092-1)) + EXP(2.21*M1092)   )/100*2.45 )</f>
        <v>0.19908580854301616</v>
      </c>
      <c r="P1092" s="34" t="s">
        <v>845</v>
      </c>
    </row>
    <row r="1093" spans="1:16" s="803" customFormat="1">
      <c r="A1093" s="59" t="s">
        <v>416</v>
      </c>
      <c r="B1093" s="336" t="s">
        <v>458</v>
      </c>
      <c r="C1093" s="34" t="s">
        <v>139</v>
      </c>
      <c r="D1093" s="40" t="s">
        <v>99</v>
      </c>
      <c r="E1093" s="237">
        <f>0.97*0.97</f>
        <v>0.94089999999999996</v>
      </c>
      <c r="F1093" s="40">
        <v>2</v>
      </c>
      <c r="G1093" s="34" t="s">
        <v>412</v>
      </c>
      <c r="H1093" s="29">
        <v>1</v>
      </c>
      <c r="I1093" s="9">
        <v>2</v>
      </c>
      <c r="J1093" s="9">
        <v>2</v>
      </c>
      <c r="K1093" s="9">
        <v>1</v>
      </c>
      <c r="L1093" s="9">
        <v>1</v>
      </c>
      <c r="M1093" s="9">
        <v>1</v>
      </c>
      <c r="N1093" s="185">
        <f>IF( OR( ISBLANK(H1093),ISBLANK(J1093), ISBLANK(K1093), ISBLANK(L1093), ISBLANK(M1093) ), "", 1.5*SQRT(   EXP(2.21*(H1093-1)) + EXP(2.21*(J1093-1)) + EXP(2.21*(K1093-1)) + EXP(2.21*(L1093-1)) + EXP(2.21*M1093)   )/100*2.45 )</f>
        <v>0.16933510251023262</v>
      </c>
      <c r="O1093" s="159">
        <f>IF( OR( ISBLANK(I1093),ISBLANK(J1093), ISBLANK(K1093), ISBLANK(L1093), ISBLANK(M1093) ), "", 1.5*SQRT( EXP(2.21*(I1093-1)) + EXP(2.21*(J1093-1)) + EXP(2.21*(K1093-1)) + EXP(2.21*(L1093-1)) + EXP(2.21*M1093)   )/100*2.45 )</f>
        <v>0.19908580854301616</v>
      </c>
      <c r="P1093" s="34" t="s">
        <v>846</v>
      </c>
    </row>
    <row r="1094" spans="1:16" s="803" customFormat="1">
      <c r="A1094" s="59" t="s">
        <v>416</v>
      </c>
      <c r="B1094" s="336" t="s">
        <v>223</v>
      </c>
      <c r="C1094" s="34" t="s">
        <v>139</v>
      </c>
      <c r="D1094" s="40" t="s">
        <v>99</v>
      </c>
      <c r="E1094" s="237">
        <v>0.03</v>
      </c>
      <c r="F1094" s="40">
        <v>1</v>
      </c>
      <c r="G1094" s="34" t="s">
        <v>412</v>
      </c>
      <c r="H1094" s="29">
        <v>1</v>
      </c>
      <c r="I1094" s="9">
        <v>2</v>
      </c>
      <c r="J1094" s="9">
        <v>2</v>
      </c>
      <c r="K1094" s="9">
        <v>1</v>
      </c>
      <c r="L1094" s="9">
        <v>1</v>
      </c>
      <c r="M1094" s="9">
        <v>1</v>
      </c>
      <c r="N1094" s="185">
        <f>IF( OR( ISBLANK(H1094),ISBLANK(J1094), ISBLANK(K1094), ISBLANK(L1094), ISBLANK(M1094) ), "", 1.5*SQRT(   EXP(2.21*(H1094-1)) + EXP(2.21*(J1094-1)) + EXP(2.21*(K1094-1)) + EXP(2.21*(L1094-1)) + EXP(2.21*M1094)   )/100*2.45 )</f>
        <v>0.16933510251023262</v>
      </c>
      <c r="O1094" s="159">
        <f>IF( OR( ISBLANK(I1094),ISBLANK(J1094), ISBLANK(K1094), ISBLANK(L1094), ISBLANK(M1094) ), "", 1.5*SQRT( EXP(2.21*(I1094-1)) + EXP(2.21*(J1094-1)) + EXP(2.21*(K1094-1)) + EXP(2.21*(L1094-1)) + EXP(2.21*M1094)   )/100*2.45 )</f>
        <v>0.19908580854301616</v>
      </c>
      <c r="P1094" s="34" t="s">
        <v>833</v>
      </c>
    </row>
    <row r="1095" spans="1:16" s="803" customFormat="1">
      <c r="A1095" s="59" t="s">
        <v>458</v>
      </c>
      <c r="B1095" s="336" t="s">
        <v>462</v>
      </c>
      <c r="C1095" s="34" t="s">
        <v>139</v>
      </c>
      <c r="D1095" s="40" t="s">
        <v>99</v>
      </c>
      <c r="E1095" s="237">
        <f>0.1*E1089</f>
        <v>3.9400000000000004E-2</v>
      </c>
      <c r="F1095" s="40">
        <v>2</v>
      </c>
      <c r="G1095" s="34" t="s">
        <v>412</v>
      </c>
      <c r="H1095" s="29">
        <v>1</v>
      </c>
      <c r="I1095" s="9">
        <v>2</v>
      </c>
      <c r="J1095" s="9">
        <v>2</v>
      </c>
      <c r="K1095" s="9">
        <v>1</v>
      </c>
      <c r="L1095" s="9">
        <v>1</v>
      </c>
      <c r="M1095" s="9">
        <v>1</v>
      </c>
      <c r="N1095" s="185">
        <f>IF( OR( ISBLANK(H1095),ISBLANK(J1095), ISBLANK(K1095), ISBLANK(L1095), ISBLANK(M1095) ), "", 1.5*SQRT(   EXP(2.21*(H1095-1)) + EXP(2.21*(J1095-1)) + EXP(2.21*(K1095-1)) + EXP(2.21*(L1095-1)) + EXP(2.21*M1095)   )/100*2.45 )</f>
        <v>0.16933510251023262</v>
      </c>
      <c r="O1095" s="159">
        <f>IF( OR( ISBLANK(I1095),ISBLANK(J1095), ISBLANK(K1095), ISBLANK(L1095), ISBLANK(M1095) ), "", 1.5*SQRT( EXP(2.21*(I1095-1)) + EXP(2.21*(J1095-1)) + EXP(2.21*(K1095-1)) + EXP(2.21*(L1095-1)) + EXP(2.21*M1095)   )/100*2.45 )</f>
        <v>0.19908580854301616</v>
      </c>
      <c r="P1095" s="34" t="s">
        <v>835</v>
      </c>
    </row>
    <row r="1096" spans="1:16" s="803" customFormat="1">
      <c r="A1096" s="59" t="s">
        <v>458</v>
      </c>
      <c r="B1096" s="336" t="s">
        <v>463</v>
      </c>
      <c r="C1096" s="34" t="s">
        <v>139</v>
      </c>
      <c r="D1096" s="40" t="s">
        <v>99</v>
      </c>
      <c r="E1096" s="237" t="s">
        <v>150</v>
      </c>
      <c r="F1096" s="40">
        <v>1</v>
      </c>
      <c r="G1096" s="34" t="s">
        <v>412</v>
      </c>
      <c r="H1096" s="29"/>
      <c r="I1096" s="9"/>
      <c r="J1096" s="9"/>
      <c r="K1096" s="9"/>
      <c r="L1096" s="9"/>
      <c r="M1096" s="9"/>
      <c r="N1096" s="185" t="str">
        <f>IF( OR( ISBLANK(H1096),ISBLANK(J1096), ISBLANK(K1096), ISBLANK(L1096), ISBLANK(M1096) ), "", 1.5*SQRT(   EXP(2.21*(H1096-1)) + EXP(2.21*(J1096-1)) + EXP(2.21*(K1096-1)) + EXP(2.21*(L1096-1)) + EXP(2.21*M1096)   )/100*2.45 )</f>
        <v/>
      </c>
      <c r="O1096" s="159" t="str">
        <f>IF( OR( ISBLANK(I1096),ISBLANK(J1096), ISBLANK(K1096), ISBLANK(L1096), ISBLANK(M1096) ), "", 1.5*SQRT( EXP(2.21*(I1096-1)) + EXP(2.21*(J1096-1)) + EXP(2.21*(K1096-1)) + EXP(2.21*(L1096-1)) + EXP(2.21*M1096)   )/100*2.45 )</f>
        <v/>
      </c>
      <c r="P1096" s="34" t="s">
        <v>1925</v>
      </c>
    </row>
    <row r="1097" spans="1:16" s="803" customFormat="1">
      <c r="A1097" s="59" t="s">
        <v>463</v>
      </c>
      <c r="B1097" s="336" t="s">
        <v>228</v>
      </c>
      <c r="C1097" s="34" t="s">
        <v>139</v>
      </c>
      <c r="D1097" s="40" t="s">
        <v>99</v>
      </c>
      <c r="E1097" s="237">
        <v>0</v>
      </c>
      <c r="F1097" s="40">
        <v>2</v>
      </c>
      <c r="G1097" s="34" t="s">
        <v>412</v>
      </c>
      <c r="H1097" s="29">
        <v>1</v>
      </c>
      <c r="I1097" s="9">
        <v>2</v>
      </c>
      <c r="J1097" s="9">
        <v>2</v>
      </c>
      <c r="K1097" s="9">
        <v>1</v>
      </c>
      <c r="L1097" s="9">
        <v>1</v>
      </c>
      <c r="M1097" s="9">
        <v>1</v>
      </c>
      <c r="N1097" s="185">
        <f>IF( OR( ISBLANK(H1097),ISBLANK(J1097), ISBLANK(K1097), ISBLANK(L1097), ISBLANK(M1097) ), "", 1.5*SQRT(   EXP(2.21*(H1097-1)) + EXP(2.21*(J1097-1)) + EXP(2.21*(K1097-1)) + EXP(2.21*(L1097-1)) + EXP(2.21*M1097)   )/100*2.45 )</f>
        <v>0.16933510251023262</v>
      </c>
      <c r="O1097" s="159">
        <f>IF( OR( ISBLANK(I1097),ISBLANK(J1097), ISBLANK(K1097), ISBLANK(L1097), ISBLANK(M1097) ), "", 1.5*SQRT( EXP(2.21*(I1097-1)) + EXP(2.21*(J1097-1)) + EXP(2.21*(K1097-1)) + EXP(2.21*(L1097-1)) + EXP(2.21*M1097)   )/100*2.45 )</f>
        <v>0.19908580854301616</v>
      </c>
      <c r="P1097" s="34" t="s">
        <v>837</v>
      </c>
    </row>
    <row r="1098" spans="1:16" s="803" customFormat="1">
      <c r="A1098" s="59" t="s">
        <v>463</v>
      </c>
      <c r="B1098" s="336" t="s">
        <v>327</v>
      </c>
      <c r="C1098" s="34" t="s">
        <v>139</v>
      </c>
      <c r="D1098" s="40" t="s">
        <v>99</v>
      </c>
      <c r="E1098" s="237" t="s">
        <v>150</v>
      </c>
      <c r="F1098" s="40">
        <v>1</v>
      </c>
      <c r="G1098" s="34" t="s">
        <v>412</v>
      </c>
      <c r="H1098" s="29"/>
      <c r="I1098" s="9"/>
      <c r="J1098" s="9"/>
      <c r="K1098" s="9"/>
      <c r="L1098" s="9"/>
      <c r="M1098" s="9"/>
      <c r="N1098" s="185" t="str">
        <f>IF( OR( ISBLANK(H1098),ISBLANK(J1098), ISBLANK(K1098), ISBLANK(L1098), ISBLANK(M1098) ), "", 1.5*SQRT(   EXP(2.21*(H1098-1)) + EXP(2.21*(J1098-1)) + EXP(2.21*(K1098-1)) + EXP(2.21*(L1098-1)) + EXP(2.21*M1098)   )/100*2.45 )</f>
        <v/>
      </c>
      <c r="O1098" s="159" t="str">
        <f>IF( OR( ISBLANK(I1098),ISBLANK(J1098), ISBLANK(K1098), ISBLANK(L1098), ISBLANK(M1098) ), "", 1.5*SQRT( EXP(2.21*(I1098-1)) + EXP(2.21*(J1098-1)) + EXP(2.21*(K1098-1)) + EXP(2.21*(L1098-1)) + EXP(2.21*M1098)   )/100*2.45 )</f>
        <v/>
      </c>
      <c r="P1098" s="34" t="s">
        <v>1926</v>
      </c>
    </row>
    <row r="1099" spans="1:16" s="803" customFormat="1">
      <c r="A1099" s="59" t="s">
        <v>462</v>
      </c>
      <c r="B1099" s="336" t="s">
        <v>228</v>
      </c>
      <c r="C1099" s="34" t="s">
        <v>139</v>
      </c>
      <c r="D1099" s="40" t="s">
        <v>99</v>
      </c>
      <c r="E1099" s="237">
        <v>1</v>
      </c>
      <c r="F1099" s="40">
        <v>2</v>
      </c>
      <c r="G1099" s="34" t="s">
        <v>412</v>
      </c>
      <c r="H1099" s="29">
        <v>1</v>
      </c>
      <c r="I1099" s="9">
        <v>2</v>
      </c>
      <c r="J1099" s="9">
        <v>2</v>
      </c>
      <c r="K1099" s="9">
        <v>1</v>
      </c>
      <c r="L1099" s="9">
        <v>1</v>
      </c>
      <c r="M1099" s="9">
        <v>1</v>
      </c>
      <c r="N1099" s="185">
        <f>IF( OR( ISBLANK(H1099),ISBLANK(J1099), ISBLANK(K1099), ISBLANK(L1099), ISBLANK(M1099) ), "", 1.5*SQRT(   EXP(2.21*(H1099-1)) + EXP(2.21*(J1099-1)) + EXP(2.21*(K1099-1)) + EXP(2.21*(L1099-1)) + EXP(2.21*M1099)   )/100*2.45 )</f>
        <v>0.16933510251023262</v>
      </c>
      <c r="O1099" s="159">
        <f>IF( OR( ISBLANK(I1099),ISBLANK(J1099), ISBLANK(K1099), ISBLANK(L1099), ISBLANK(M1099) ), "", 1.5*SQRT( EXP(2.21*(I1099-1)) + EXP(2.21*(J1099-1)) + EXP(2.21*(K1099-1)) + EXP(2.21*(L1099-1)) + EXP(2.21*M1099)   )/100*2.45 )</f>
        <v>0.19908580854301616</v>
      </c>
      <c r="P1099" s="34" t="s">
        <v>836</v>
      </c>
    </row>
    <row r="1100" spans="1:16" s="803" customFormat="1">
      <c r="A1100" s="59" t="s">
        <v>457</v>
      </c>
      <c r="B1100" s="336" t="s">
        <v>460</v>
      </c>
      <c r="C1100" s="34" t="s">
        <v>139</v>
      </c>
      <c r="D1100" s="40" t="s">
        <v>99</v>
      </c>
      <c r="E1100" s="237">
        <v>0.03</v>
      </c>
      <c r="F1100" s="40">
        <v>2</v>
      </c>
      <c r="G1100" s="34" t="s">
        <v>412</v>
      </c>
      <c r="H1100" s="29">
        <v>1</v>
      </c>
      <c r="I1100" s="9">
        <v>2</v>
      </c>
      <c r="J1100" s="9">
        <v>2</v>
      </c>
      <c r="K1100" s="9">
        <v>1</v>
      </c>
      <c r="L1100" s="9">
        <v>1</v>
      </c>
      <c r="M1100" s="9">
        <v>1</v>
      </c>
      <c r="N1100" s="185">
        <f>IF( OR( ISBLANK(H1100),ISBLANK(J1100), ISBLANK(K1100), ISBLANK(L1100), ISBLANK(M1100) ), "", 1.5*SQRT(   EXP(2.21*(H1100-1)) + EXP(2.21*(J1100-1)) + EXP(2.21*(K1100-1)) + EXP(2.21*(L1100-1)) + EXP(2.21*M1100)   )/100*2.45 )</f>
        <v>0.16933510251023262</v>
      </c>
      <c r="O1100" s="159">
        <f>IF( OR( ISBLANK(I1100),ISBLANK(J1100), ISBLANK(K1100), ISBLANK(L1100), ISBLANK(M1100) ), "", 1.5*SQRT( EXP(2.21*(I1100-1)) + EXP(2.21*(J1100-1)) + EXP(2.21*(K1100-1)) + EXP(2.21*(L1100-1)) + EXP(2.21*M1100)   )/100*2.45 )</f>
        <v>0.19908580854301616</v>
      </c>
      <c r="P1100" s="34" t="s">
        <v>834</v>
      </c>
    </row>
    <row r="1101" spans="1:16" s="803" customFormat="1">
      <c r="A1101" s="59" t="s">
        <v>457</v>
      </c>
      <c r="B1101" s="336" t="s">
        <v>461</v>
      </c>
      <c r="C1101" s="34" t="s">
        <v>139</v>
      </c>
      <c r="D1101" s="40" t="s">
        <v>99</v>
      </c>
      <c r="E1101" s="237" t="s">
        <v>150</v>
      </c>
      <c r="F1101" s="40">
        <v>1</v>
      </c>
      <c r="G1101" s="34" t="s">
        <v>412</v>
      </c>
      <c r="H1101" s="29"/>
      <c r="I1101" s="9"/>
      <c r="J1101" s="9"/>
      <c r="K1101" s="9"/>
      <c r="L1101" s="9"/>
      <c r="M1101" s="9"/>
      <c r="N1101" s="185" t="str">
        <f>IF( OR( ISBLANK(H1101),ISBLANK(J1101), ISBLANK(K1101), ISBLANK(L1101), ISBLANK(M1101) ), "", 1.5*SQRT(   EXP(2.21*(H1101-1)) + EXP(2.21*(J1101-1)) + EXP(2.21*(K1101-1)) + EXP(2.21*(L1101-1)) + EXP(2.21*M1101)   )/100*2.45 )</f>
        <v/>
      </c>
      <c r="O1101" s="159" t="str">
        <f>IF( OR( ISBLANK(I1101),ISBLANK(J1101), ISBLANK(K1101), ISBLANK(L1101), ISBLANK(M1101) ), "", 1.5*SQRT( EXP(2.21*(I1101-1)) + EXP(2.21*(J1101-1)) + EXP(2.21*(K1101-1)) + EXP(2.21*(L1101-1)) + EXP(2.21*M1101)   )/100*2.45 )</f>
        <v/>
      </c>
      <c r="P1101" s="34" t="s">
        <v>1925</v>
      </c>
    </row>
    <row r="1102" spans="1:16" s="803" customFormat="1">
      <c r="A1102" s="59" t="s">
        <v>461</v>
      </c>
      <c r="B1102" s="336" t="s">
        <v>231</v>
      </c>
      <c r="C1102" s="34" t="s">
        <v>139</v>
      </c>
      <c r="D1102" s="40" t="s">
        <v>99</v>
      </c>
      <c r="E1102" s="237">
        <v>0</v>
      </c>
      <c r="F1102" s="40">
        <v>2</v>
      </c>
      <c r="G1102" s="34" t="s">
        <v>412</v>
      </c>
      <c r="H1102" s="29">
        <v>1</v>
      </c>
      <c r="I1102" s="9">
        <v>2</v>
      </c>
      <c r="J1102" s="9">
        <v>2</v>
      </c>
      <c r="K1102" s="9">
        <v>1</v>
      </c>
      <c r="L1102" s="9">
        <v>1</v>
      </c>
      <c r="M1102" s="9">
        <v>1</v>
      </c>
      <c r="N1102" s="185">
        <f>IF( OR( ISBLANK(H1102),ISBLANK(J1102), ISBLANK(K1102), ISBLANK(L1102), ISBLANK(M1102) ), "", 1.5*SQRT(   EXP(2.21*(H1102-1)) + EXP(2.21*(J1102-1)) + EXP(2.21*(K1102-1)) + EXP(2.21*(L1102-1)) + EXP(2.21*M1102)   )/100*2.45 )</f>
        <v>0.16933510251023262</v>
      </c>
      <c r="O1102" s="159">
        <f>IF( OR( ISBLANK(I1102),ISBLANK(J1102), ISBLANK(K1102), ISBLANK(L1102), ISBLANK(M1102) ), "", 1.5*SQRT( EXP(2.21*(I1102-1)) + EXP(2.21*(J1102-1)) + EXP(2.21*(K1102-1)) + EXP(2.21*(L1102-1)) + EXP(2.21*M1102)   )/100*2.45 )</f>
        <v>0.19908580854301616</v>
      </c>
      <c r="P1102" s="34" t="s">
        <v>1947</v>
      </c>
    </row>
    <row r="1103" spans="1:16" s="803" customFormat="1">
      <c r="A1103" s="59" t="s">
        <v>461</v>
      </c>
      <c r="B1103" s="336" t="s">
        <v>232</v>
      </c>
      <c r="C1103" s="34" t="s">
        <v>139</v>
      </c>
      <c r="D1103" s="40" t="s">
        <v>99</v>
      </c>
      <c r="E1103" s="237">
        <v>0</v>
      </c>
      <c r="F1103" s="40">
        <v>2</v>
      </c>
      <c r="G1103" s="34" t="s">
        <v>412</v>
      </c>
      <c r="H1103" s="29">
        <v>1</v>
      </c>
      <c r="I1103" s="9">
        <v>2</v>
      </c>
      <c r="J1103" s="9">
        <v>2</v>
      </c>
      <c r="K1103" s="9">
        <v>1</v>
      </c>
      <c r="L1103" s="9">
        <v>1</v>
      </c>
      <c r="M1103" s="9">
        <v>1</v>
      </c>
      <c r="N1103" s="185">
        <f>IF( OR( ISBLANK(H1103),ISBLANK(J1103), ISBLANK(K1103), ISBLANK(L1103), ISBLANK(M1103) ), "", 1.5*SQRT(   EXP(2.21*(H1103-1)) + EXP(2.21*(J1103-1)) + EXP(2.21*(K1103-1)) + EXP(2.21*(L1103-1)) + EXP(2.21*M1103)   )/100*2.45 )</f>
        <v>0.16933510251023262</v>
      </c>
      <c r="O1103" s="159">
        <f>IF( OR( ISBLANK(I1103),ISBLANK(J1103), ISBLANK(K1103), ISBLANK(L1103), ISBLANK(M1103) ), "", 1.5*SQRT( EXP(2.21*(I1103-1)) + EXP(2.21*(J1103-1)) + EXP(2.21*(K1103-1)) + EXP(2.21*(L1103-1)) + EXP(2.21*M1103)   )/100*2.45 )</f>
        <v>0.19908580854301616</v>
      </c>
      <c r="P1103" s="34" t="s">
        <v>1947</v>
      </c>
    </row>
    <row r="1104" spans="1:16" s="803" customFormat="1">
      <c r="A1104" s="59" t="s">
        <v>461</v>
      </c>
      <c r="B1104" s="336" t="s">
        <v>251</v>
      </c>
      <c r="C1104" s="34" t="s">
        <v>139</v>
      </c>
      <c r="D1104" s="40" t="s">
        <v>99</v>
      </c>
      <c r="E1104" s="237">
        <v>0</v>
      </c>
      <c r="F1104" s="40">
        <v>2</v>
      </c>
      <c r="G1104" s="34" t="s">
        <v>412</v>
      </c>
      <c r="H1104" s="29">
        <v>1</v>
      </c>
      <c r="I1104" s="9">
        <v>2</v>
      </c>
      <c r="J1104" s="9">
        <v>2</v>
      </c>
      <c r="K1104" s="9">
        <v>1</v>
      </c>
      <c r="L1104" s="9">
        <v>1</v>
      </c>
      <c r="M1104" s="9">
        <v>1</v>
      </c>
      <c r="N1104" s="185">
        <f>IF( OR( ISBLANK(H1104),ISBLANK(J1104), ISBLANK(K1104), ISBLANK(L1104), ISBLANK(M1104) ), "", 1.5*SQRT(   EXP(2.21*(H1104-1)) + EXP(2.21*(J1104-1)) + EXP(2.21*(K1104-1)) + EXP(2.21*(L1104-1)) + EXP(2.21*M1104)   )/100*2.45 )</f>
        <v>0.16933510251023262</v>
      </c>
      <c r="O1104" s="159">
        <f>IF( OR( ISBLANK(I1104),ISBLANK(J1104), ISBLANK(K1104), ISBLANK(L1104), ISBLANK(M1104) ), "", 1.5*SQRT( EXP(2.21*(I1104-1)) + EXP(2.21*(J1104-1)) + EXP(2.21*(K1104-1)) + EXP(2.21*(L1104-1)) + EXP(2.21*M1104)   )/100*2.45 )</f>
        <v>0.19908580854301616</v>
      </c>
      <c r="P1104" s="34" t="s">
        <v>1947</v>
      </c>
    </row>
    <row r="1105" spans="1:16" s="803" customFormat="1">
      <c r="A1105" s="59" t="s">
        <v>461</v>
      </c>
      <c r="B1105" s="336" t="s">
        <v>258</v>
      </c>
      <c r="C1105" s="34" t="s">
        <v>139</v>
      </c>
      <c r="D1105" s="40" t="s">
        <v>99</v>
      </c>
      <c r="E1105" s="237">
        <v>0</v>
      </c>
      <c r="F1105" s="40">
        <v>2</v>
      </c>
      <c r="G1105" s="34" t="s">
        <v>412</v>
      </c>
      <c r="H1105" s="29">
        <v>1</v>
      </c>
      <c r="I1105" s="9">
        <v>2</v>
      </c>
      <c r="J1105" s="9">
        <v>2</v>
      </c>
      <c r="K1105" s="9">
        <v>1</v>
      </c>
      <c r="L1105" s="9">
        <v>1</v>
      </c>
      <c r="M1105" s="9">
        <v>1</v>
      </c>
      <c r="N1105" s="185">
        <f>IF( OR( ISBLANK(H1105),ISBLANK(J1105), ISBLANK(K1105), ISBLANK(L1105), ISBLANK(M1105) ), "", 1.5*SQRT(   EXP(2.21*(H1105-1)) + EXP(2.21*(J1105-1)) + EXP(2.21*(K1105-1)) + EXP(2.21*(L1105-1)) + EXP(2.21*M1105)   )/100*2.45 )</f>
        <v>0.16933510251023262</v>
      </c>
      <c r="O1105" s="159">
        <f>IF( OR( ISBLANK(I1105),ISBLANK(J1105), ISBLANK(K1105), ISBLANK(L1105), ISBLANK(M1105) ), "", 1.5*SQRT( EXP(2.21*(I1105-1)) + EXP(2.21*(J1105-1)) + EXP(2.21*(K1105-1)) + EXP(2.21*(L1105-1)) + EXP(2.21*M1105)   )/100*2.45 )</f>
        <v>0.19908580854301616</v>
      </c>
      <c r="P1105" s="34" t="s">
        <v>1947</v>
      </c>
    </row>
    <row r="1106" spans="1:16" s="803" customFormat="1">
      <c r="A1106" s="59" t="s">
        <v>461</v>
      </c>
      <c r="B1106" s="336" t="s">
        <v>327</v>
      </c>
      <c r="C1106" s="34" t="s">
        <v>139</v>
      </c>
      <c r="D1106" s="40" t="s">
        <v>99</v>
      </c>
      <c r="E1106" s="237" t="s">
        <v>150</v>
      </c>
      <c r="F1106" s="40">
        <v>1</v>
      </c>
      <c r="G1106" s="34" t="s">
        <v>412</v>
      </c>
      <c r="H1106" s="29"/>
      <c r="I1106" s="9"/>
      <c r="J1106" s="9"/>
      <c r="K1106" s="9"/>
      <c r="L1106" s="9"/>
      <c r="M1106" s="9"/>
      <c r="N1106" s="185" t="str">
        <f>IF( OR( ISBLANK(H1106),ISBLANK(J1106), ISBLANK(K1106), ISBLANK(L1106), ISBLANK(M1106) ), "", 1.5*SQRT(   EXP(2.21*(H1106-1)) + EXP(2.21*(J1106-1)) + EXP(2.21*(K1106-1)) + EXP(2.21*(L1106-1)) + EXP(2.21*M1106)   )/100*2.45 )</f>
        <v/>
      </c>
      <c r="O1106" s="159" t="str">
        <f>IF( OR( ISBLANK(I1106),ISBLANK(J1106), ISBLANK(K1106), ISBLANK(L1106), ISBLANK(M1106) ), "", 1.5*SQRT( EXP(2.21*(I1106-1)) + EXP(2.21*(J1106-1)) + EXP(2.21*(K1106-1)) + EXP(2.21*(L1106-1)) + EXP(2.21*M1106)   )/100*2.45 )</f>
        <v/>
      </c>
      <c r="P1106" s="34"/>
    </row>
    <row r="1107" spans="1:16" s="803" customFormat="1">
      <c r="A1107" s="59" t="s">
        <v>460</v>
      </c>
      <c r="B1107" s="336" t="s">
        <v>231</v>
      </c>
      <c r="C1107" s="34" t="s">
        <v>139</v>
      </c>
      <c r="D1107" s="40" t="s">
        <v>99</v>
      </c>
      <c r="E1107" s="237">
        <v>0.05</v>
      </c>
      <c r="F1107" s="40">
        <v>2</v>
      </c>
      <c r="G1107" s="34" t="s">
        <v>157</v>
      </c>
      <c r="H1107" s="29">
        <v>1</v>
      </c>
      <c r="I1107" s="9">
        <v>2</v>
      </c>
      <c r="J1107" s="9">
        <v>2</v>
      </c>
      <c r="K1107" s="9">
        <v>1</v>
      </c>
      <c r="L1107" s="9">
        <v>3</v>
      </c>
      <c r="M1107" s="9">
        <v>3</v>
      </c>
      <c r="N1107" s="185">
        <f>IF( OR( ISBLANK(H1107),ISBLANK(J1107), ISBLANK(K1107), ISBLANK(L1107), ISBLANK(M1107) ), "", 1.5*SQRT(   EXP(2.21*(H1107-1)) + EXP(2.21*(J1107-1)) + EXP(2.21*(K1107-1)) + EXP(2.21*(L1107-1)) + EXP(2.21*M1107)   )/100*2.45 )</f>
        <v>1.0725046436742278</v>
      </c>
      <c r="O1107" s="159">
        <f>IF( OR( ISBLANK(I1107),ISBLANK(J1107), ISBLANK(K1107), ISBLANK(L1107), ISBLANK(M1107) ), "", 1.5*SQRT( EXP(2.21*(I1107-1)) + EXP(2.21*(J1107-1)) + EXP(2.21*(K1107-1)) + EXP(2.21*(L1107-1)) + EXP(2.21*M1107)   )/100*2.45 )</f>
        <v>1.0776024280428556</v>
      </c>
      <c r="P1107" s="34" t="s">
        <v>1916</v>
      </c>
    </row>
    <row r="1108" spans="1:16" s="803" customFormat="1">
      <c r="A1108" s="59" t="s">
        <v>460</v>
      </c>
      <c r="B1108" s="336" t="s">
        <v>232</v>
      </c>
      <c r="C1108" s="34" t="s">
        <v>139</v>
      </c>
      <c r="D1108" s="40" t="s">
        <v>99</v>
      </c>
      <c r="E1108" s="237">
        <v>0.39400000000000002</v>
      </c>
      <c r="F1108" s="40">
        <v>2</v>
      </c>
      <c r="G1108" s="34" t="s">
        <v>412</v>
      </c>
      <c r="H1108" s="29">
        <v>1</v>
      </c>
      <c r="I1108" s="9">
        <v>2</v>
      </c>
      <c r="J1108" s="9">
        <v>2</v>
      </c>
      <c r="K1108" s="9">
        <v>1</v>
      </c>
      <c r="L1108" s="9">
        <v>1</v>
      </c>
      <c r="M1108" s="9">
        <v>1</v>
      </c>
      <c r="N1108" s="185">
        <f>IF( OR( ISBLANK(H1108),ISBLANK(J1108), ISBLANK(K1108), ISBLANK(L1108), ISBLANK(M1108) ), "", 1.5*SQRT(   EXP(2.21*(H1108-1)) + EXP(2.21*(J1108-1)) + EXP(2.21*(K1108-1)) + EXP(2.21*(L1108-1)) + EXP(2.21*M1108)   )/100*2.45 )</f>
        <v>0.16933510251023262</v>
      </c>
      <c r="O1108" s="159">
        <f>IF( OR( ISBLANK(I1108),ISBLANK(J1108), ISBLANK(K1108), ISBLANK(L1108), ISBLANK(M1108) ), "", 1.5*SQRT( EXP(2.21*(I1108-1)) + EXP(2.21*(J1108-1)) + EXP(2.21*(K1108-1)) + EXP(2.21*(L1108-1)) + EXP(2.21*M1108)   )/100*2.45 )</f>
        <v>0.19908580854301616</v>
      </c>
      <c r="P1108" s="34" t="s">
        <v>1940</v>
      </c>
    </row>
    <row r="1109" spans="1:16" s="803" customFormat="1">
      <c r="A1109" s="59" t="s">
        <v>460</v>
      </c>
      <c r="B1109" s="336" t="s">
        <v>251</v>
      </c>
      <c r="C1109" s="34" t="s">
        <v>139</v>
      </c>
      <c r="D1109" s="40" t="s">
        <v>99</v>
      </c>
      <c r="E1109" s="237">
        <v>0.52200000000000002</v>
      </c>
      <c r="F1109" s="40">
        <v>1</v>
      </c>
      <c r="G1109" s="34" t="s">
        <v>412</v>
      </c>
      <c r="H1109" s="29">
        <v>1</v>
      </c>
      <c r="I1109" s="9">
        <v>2</v>
      </c>
      <c r="J1109" s="9">
        <v>2</v>
      </c>
      <c r="K1109" s="9">
        <v>1</v>
      </c>
      <c r="L1109" s="9">
        <v>1</v>
      </c>
      <c r="M1109" s="9">
        <v>1</v>
      </c>
      <c r="N1109" s="185">
        <f>IF( OR( ISBLANK(H1109),ISBLANK(J1109), ISBLANK(K1109), ISBLANK(L1109), ISBLANK(M1109) ), "", 1.5*SQRT(   EXP(2.21*(H1109-1)) + EXP(2.21*(J1109-1)) + EXP(2.21*(K1109-1)) + EXP(2.21*(L1109-1)) + EXP(2.21*M1109)   )/100*2.45 )</f>
        <v>0.16933510251023262</v>
      </c>
      <c r="O1109" s="159">
        <f>IF( OR( ISBLANK(I1109),ISBLANK(J1109), ISBLANK(K1109), ISBLANK(L1109), ISBLANK(M1109) ), "", 1.5*SQRT( EXP(2.21*(I1109-1)) + EXP(2.21*(J1109-1)) + EXP(2.21*(K1109-1)) + EXP(2.21*(L1109-1)) + EXP(2.21*M1109)   )/100*2.45 )</f>
        <v>0.19908580854301616</v>
      </c>
      <c r="P1109" s="34" t="s">
        <v>1941</v>
      </c>
    </row>
    <row r="1110" spans="1:16" s="803" customFormat="1">
      <c r="A1110" s="59" t="s">
        <v>460</v>
      </c>
      <c r="B1110" s="336" t="s">
        <v>258</v>
      </c>
      <c r="C1110" s="34" t="s">
        <v>139</v>
      </c>
      <c r="D1110" s="40" t="s">
        <v>99</v>
      </c>
      <c r="E1110" s="237">
        <v>3.4000000000000002E-2</v>
      </c>
      <c r="F1110" s="40">
        <v>2</v>
      </c>
      <c r="G1110" s="34" t="s">
        <v>412</v>
      </c>
      <c r="H1110" s="29">
        <v>1</v>
      </c>
      <c r="I1110" s="9">
        <v>2</v>
      </c>
      <c r="J1110" s="9">
        <v>2</v>
      </c>
      <c r="K1110" s="9">
        <v>1</v>
      </c>
      <c r="L1110" s="9">
        <v>1</v>
      </c>
      <c r="M1110" s="9">
        <v>1</v>
      </c>
      <c r="N1110" s="185">
        <f>IF( OR( ISBLANK(H1110),ISBLANK(J1110), ISBLANK(K1110), ISBLANK(L1110), ISBLANK(M1110) ), "", 1.5*SQRT(   EXP(2.21*(H1110-1)) + EXP(2.21*(J1110-1)) + EXP(2.21*(K1110-1)) + EXP(2.21*(L1110-1)) + EXP(2.21*M1110)   )/100*2.45 )</f>
        <v>0.16933510251023262</v>
      </c>
      <c r="O1110" s="159">
        <f>IF( OR( ISBLANK(I1110),ISBLANK(J1110), ISBLANK(K1110), ISBLANK(L1110), ISBLANK(M1110) ), "", 1.5*SQRT( EXP(2.21*(I1110-1)) + EXP(2.21*(J1110-1)) + EXP(2.21*(K1110-1)) + EXP(2.21*(L1110-1)) + EXP(2.21*M1110)   )/100*2.45 )</f>
        <v>0.19908580854301616</v>
      </c>
      <c r="P1110" s="34" t="s">
        <v>1942</v>
      </c>
    </row>
    <row r="1111" spans="1:16" s="803" customFormat="1">
      <c r="A1111" s="34" t="s">
        <v>378</v>
      </c>
      <c r="B1111" s="40" t="s">
        <v>393</v>
      </c>
      <c r="C1111" s="34" t="s">
        <v>139</v>
      </c>
      <c r="D1111" s="40" t="s">
        <v>139</v>
      </c>
      <c r="E1111" s="1195" t="s">
        <v>150</v>
      </c>
      <c r="F1111" s="40">
        <v>1</v>
      </c>
      <c r="G1111" s="34"/>
      <c r="H1111" s="29"/>
      <c r="I1111" s="9"/>
      <c r="J1111" s="9"/>
      <c r="K1111" s="9"/>
      <c r="L1111" s="9"/>
      <c r="M1111" s="9"/>
      <c r="N1111" s="185" t="str">
        <f>IF( OR( ISBLANK(H1111),ISBLANK(J1111), ISBLANK(K1111), ISBLANK(L1111), ISBLANK(M1111) ), "", 1.5*SQRT(   EXP(2.21*(H1111-1)) + EXP(2.21*(J1111-1)) + EXP(2.21*(K1111-1)) + EXP(2.21*(L1111-1)) + EXP(2.21*M1111)   )/100*2.45 )</f>
        <v/>
      </c>
      <c r="O1111" s="159" t="str">
        <f>IF( OR( ISBLANK(I1111),ISBLANK(J1111), ISBLANK(K1111), ISBLANK(L1111), ISBLANK(M1111) ), "", 1.5*SQRT( EXP(2.21*(I1111-1)) + EXP(2.21*(J1111-1)) + EXP(2.21*(K1111-1)) + EXP(2.21*(L1111-1)) + EXP(2.21*M1111)   )/100*2.45 )</f>
        <v/>
      </c>
      <c r="P1111" s="973"/>
    </row>
    <row r="1112" spans="1:16" s="803" customFormat="1">
      <c r="A1112" s="34" t="s">
        <v>378</v>
      </c>
      <c r="B1112" s="40" t="s">
        <v>284</v>
      </c>
      <c r="C1112" s="34" t="s">
        <v>182</v>
      </c>
      <c r="D1112" s="40" t="s">
        <v>139</v>
      </c>
      <c r="E1112" s="1195">
        <v>0.72</v>
      </c>
      <c r="F1112" s="40">
        <v>2</v>
      </c>
      <c r="G1112" s="34" t="s">
        <v>2244</v>
      </c>
      <c r="H1112" s="29">
        <v>3</v>
      </c>
      <c r="I1112" s="9">
        <v>3</v>
      </c>
      <c r="J1112" s="9">
        <v>2</v>
      </c>
      <c r="K1112" s="9">
        <v>3</v>
      </c>
      <c r="L1112" s="9">
        <v>2</v>
      </c>
      <c r="M1112" s="9">
        <v>1</v>
      </c>
      <c r="N1112" s="185">
        <f>IF( OR( ISBLANK(H1112),ISBLANK(J1112), ISBLANK(K1112), ISBLANK(L1112), ISBLANK(M1112) ), "", 1.5*SQRT(   EXP(2.21*(H1112-1)) + EXP(2.21*(J1112-1)) + EXP(2.21*(K1112-1)) + EXP(2.21*(L1112-1)) + EXP(2.21*M1112)   )/100*2.45 )</f>
        <v>0.51126068492676302</v>
      </c>
      <c r="O1112" s="159">
        <f>IF( OR( ISBLANK(I1112),ISBLANK(J1112), ISBLANK(K1112), ISBLANK(L1112), ISBLANK(M1112) ), "", 1.5*SQRT( EXP(2.21*(I1112-1)) + EXP(2.21*(J1112-1)) + EXP(2.21*(K1112-1)) + EXP(2.21*(L1112-1)) + EXP(2.21*M1112)   )/100*2.45 )</f>
        <v>0.51126068492676302</v>
      </c>
      <c r="P1112" s="973"/>
    </row>
    <row r="1113" spans="1:16" s="803" customFormat="1">
      <c r="A1113" s="34" t="s">
        <v>378</v>
      </c>
      <c r="B1113" s="40" t="s">
        <v>284</v>
      </c>
      <c r="C1113" s="34" t="s">
        <v>180</v>
      </c>
      <c r="D1113" s="40" t="s">
        <v>139</v>
      </c>
      <c r="E1113" s="1195">
        <v>0.72</v>
      </c>
      <c r="F1113" s="40">
        <v>2</v>
      </c>
      <c r="G1113" s="34" t="s">
        <v>2238</v>
      </c>
      <c r="H1113" s="29">
        <v>1</v>
      </c>
      <c r="I1113" s="9">
        <v>2</v>
      </c>
      <c r="J1113" s="9">
        <v>3</v>
      </c>
      <c r="K1113" s="9">
        <v>3</v>
      </c>
      <c r="L1113" s="9">
        <v>2</v>
      </c>
      <c r="M1113" s="9">
        <v>1</v>
      </c>
      <c r="N1113" s="185">
        <f>IF( OR( ISBLANK(H1113),ISBLANK(J1113), ISBLANK(K1113), ISBLANK(L1113), ISBLANK(M1113) ), "", 1.5*SQRT(   EXP(2.21*(H1113-1)) + EXP(2.21*(J1113-1)) + EXP(2.21*(K1113-1)) + EXP(2.21*(L1113-1)) + EXP(2.21*M1113)   )/100*2.45 )</f>
        <v>0.50042652380814856</v>
      </c>
      <c r="O1113" s="159">
        <f>IF( OR( ISBLANK(I1113),ISBLANK(J1113), ISBLANK(K1113), ISBLANK(L1113), ISBLANK(M1113) ), "", 1.5*SQRT( EXP(2.21*(I1113-1)) + EXP(2.21*(J1113-1)) + EXP(2.21*(K1113-1)) + EXP(2.21*(L1113-1)) + EXP(2.21*M1113)   )/100*2.45 )</f>
        <v>0.51126068492676302</v>
      </c>
      <c r="P1113" s="973"/>
    </row>
    <row r="1114" spans="1:16" s="803" customFormat="1">
      <c r="A1114" s="34" t="s">
        <v>379</v>
      </c>
      <c r="B1114" s="40" t="s">
        <v>394</v>
      </c>
      <c r="C1114" s="34" t="s">
        <v>139</v>
      </c>
      <c r="D1114" s="40" t="s">
        <v>139</v>
      </c>
      <c r="E1114" s="1195" t="s">
        <v>150</v>
      </c>
      <c r="F1114" s="40">
        <v>1</v>
      </c>
      <c r="G1114" s="34"/>
      <c r="H1114" s="29"/>
      <c r="I1114" s="9"/>
      <c r="J1114" s="9"/>
      <c r="K1114" s="9"/>
      <c r="L1114" s="9"/>
      <c r="M1114" s="9"/>
      <c r="N1114" s="185" t="str">
        <f>IF( OR( ISBLANK(H1114),ISBLANK(J1114), ISBLANK(K1114), ISBLANK(L1114), ISBLANK(M1114) ), "", 1.5*SQRT(   EXP(2.21*(H1114-1)) + EXP(2.21*(J1114-1)) + EXP(2.21*(K1114-1)) + EXP(2.21*(L1114-1)) + EXP(2.21*M1114)   )/100*2.45 )</f>
        <v/>
      </c>
      <c r="O1114" s="159" t="str">
        <f>IF( OR( ISBLANK(I1114),ISBLANK(J1114), ISBLANK(K1114), ISBLANK(L1114), ISBLANK(M1114) ), "", 1.5*SQRT( EXP(2.21*(I1114-1)) + EXP(2.21*(J1114-1)) + EXP(2.21*(K1114-1)) + EXP(2.21*(L1114-1)) + EXP(2.21*M1114)   )/100*2.45 )</f>
        <v/>
      </c>
      <c r="P1114" s="973"/>
    </row>
    <row r="1115" spans="1:16" s="803" customFormat="1">
      <c r="A1115" s="34" t="s">
        <v>379</v>
      </c>
      <c r="B1115" s="40" t="s">
        <v>286</v>
      </c>
      <c r="C1115" s="34" t="s">
        <v>182</v>
      </c>
      <c r="D1115" s="40" t="s">
        <v>139</v>
      </c>
      <c r="E1115" s="1195">
        <v>0.72</v>
      </c>
      <c r="F1115" s="40">
        <v>2</v>
      </c>
      <c r="G1115" s="34" t="s">
        <v>2244</v>
      </c>
      <c r="H1115" s="29">
        <v>3</v>
      </c>
      <c r="I1115" s="9">
        <v>3</v>
      </c>
      <c r="J1115" s="9">
        <v>2</v>
      </c>
      <c r="K1115" s="9">
        <v>3</v>
      </c>
      <c r="L1115" s="9">
        <v>2</v>
      </c>
      <c r="M1115" s="9">
        <v>1</v>
      </c>
      <c r="N1115" s="185">
        <f>IF( OR( ISBLANK(H1115),ISBLANK(J1115), ISBLANK(K1115), ISBLANK(L1115), ISBLANK(M1115) ), "", 1.5*SQRT(   EXP(2.21*(H1115-1)) + EXP(2.21*(J1115-1)) + EXP(2.21*(K1115-1)) + EXP(2.21*(L1115-1)) + EXP(2.21*M1115)   )/100*2.45 )</f>
        <v>0.51126068492676302</v>
      </c>
      <c r="O1115" s="159">
        <f>IF( OR( ISBLANK(I1115),ISBLANK(J1115), ISBLANK(K1115), ISBLANK(L1115), ISBLANK(M1115) ), "", 1.5*SQRT( EXP(2.21*(I1115-1)) + EXP(2.21*(J1115-1)) + EXP(2.21*(K1115-1)) + EXP(2.21*(L1115-1)) + EXP(2.21*M1115)   )/100*2.45 )</f>
        <v>0.51126068492676302</v>
      </c>
      <c r="P1115" s="973"/>
    </row>
    <row r="1116" spans="1:16" s="803" customFormat="1">
      <c r="A1116" s="34" t="s">
        <v>379</v>
      </c>
      <c r="B1116" s="40" t="s">
        <v>286</v>
      </c>
      <c r="C1116" s="34" t="s">
        <v>180</v>
      </c>
      <c r="D1116" s="40" t="s">
        <v>139</v>
      </c>
      <c r="E1116" s="1195">
        <v>0.72</v>
      </c>
      <c r="F1116" s="40">
        <v>2</v>
      </c>
      <c r="G1116" s="34"/>
      <c r="H1116" s="29">
        <v>1</v>
      </c>
      <c r="I1116" s="9">
        <v>2</v>
      </c>
      <c r="J1116" s="9">
        <v>3</v>
      </c>
      <c r="K1116" s="9">
        <v>3</v>
      </c>
      <c r="L1116" s="9">
        <v>2</v>
      </c>
      <c r="M1116" s="9">
        <v>1</v>
      </c>
      <c r="N1116" s="185">
        <f>IF( OR( ISBLANK(H1116),ISBLANK(J1116), ISBLANK(K1116), ISBLANK(L1116), ISBLANK(M1116) ), "", 1.5*SQRT(   EXP(2.21*(H1116-1)) + EXP(2.21*(J1116-1)) + EXP(2.21*(K1116-1)) + EXP(2.21*(L1116-1)) + EXP(2.21*M1116)   )/100*2.45 )</f>
        <v>0.50042652380814856</v>
      </c>
      <c r="O1116" s="159">
        <f>IF( OR( ISBLANK(I1116),ISBLANK(J1116), ISBLANK(K1116), ISBLANK(L1116), ISBLANK(M1116) ), "", 1.5*SQRT( EXP(2.21*(I1116-1)) + EXP(2.21*(J1116-1)) + EXP(2.21*(K1116-1)) + EXP(2.21*(L1116-1)) + EXP(2.21*M1116)   )/100*2.45 )</f>
        <v>0.51126068492676302</v>
      </c>
      <c r="P1116" s="973"/>
    </row>
    <row r="1117" spans="1:16" s="803" customFormat="1">
      <c r="A1117" s="34" t="s">
        <v>294</v>
      </c>
      <c r="B1117" s="40" t="s">
        <v>232</v>
      </c>
      <c r="C1117" s="34" t="s">
        <v>139</v>
      </c>
      <c r="D1117" s="40" t="s">
        <v>139</v>
      </c>
      <c r="E1117" s="1195">
        <v>0.05</v>
      </c>
      <c r="F1117" s="40">
        <v>2</v>
      </c>
      <c r="G1117" s="34" t="s">
        <v>386</v>
      </c>
      <c r="H1117" s="29">
        <v>1</v>
      </c>
      <c r="I1117" s="9">
        <v>2</v>
      </c>
      <c r="J1117" s="9">
        <v>1</v>
      </c>
      <c r="K1117" s="9">
        <v>2</v>
      </c>
      <c r="L1117" s="9">
        <v>2</v>
      </c>
      <c r="M1117" s="9">
        <v>4</v>
      </c>
      <c r="N1117" s="185">
        <f>IF( OR( ISBLANK(H1117),ISBLANK(J1117), ISBLANK(K1117), ISBLANK(L1117), ISBLANK(M1117) ), "", 1.5*SQRT(   EXP(2.21*(H1117-1)) + EXP(2.21*(J1117-1)) + EXP(2.21*(K1117-1)) + EXP(2.21*(L1117-1)) + EXP(2.21*M1117)   )/100*2.45 )</f>
        <v>3.0582589715853041</v>
      </c>
      <c r="O1117" s="159">
        <f>IF( OR( ISBLANK(I1117),ISBLANK(J1117), ISBLANK(K1117), ISBLANK(L1117), ISBLANK(M1117) ), "", 1.5*SQRT( EXP(2.21*(I1117-1)) + EXP(2.21*(J1117-1)) + EXP(2.21*(K1117-1)) + EXP(2.21*(L1117-1)) + EXP(2.21*M1117)   )/100*2.45 )</f>
        <v>3.0600504439474649</v>
      </c>
      <c r="P1117" s="973"/>
    </row>
    <row r="1118" spans="1:16" s="803" customFormat="1">
      <c r="A1118" s="34" t="s">
        <v>294</v>
      </c>
      <c r="B1118" s="40" t="s">
        <v>179</v>
      </c>
      <c r="C1118" s="34" t="s">
        <v>139</v>
      </c>
      <c r="D1118" s="40" t="s">
        <v>139</v>
      </c>
      <c r="E1118" s="1195" t="s">
        <v>150</v>
      </c>
      <c r="F1118" s="40">
        <v>1</v>
      </c>
      <c r="G1118" s="34" t="s">
        <v>295</v>
      </c>
      <c r="H1118" s="29"/>
      <c r="I1118" s="9"/>
      <c r="J1118" s="9"/>
      <c r="K1118" s="9"/>
      <c r="L1118" s="9"/>
      <c r="M1118" s="9"/>
      <c r="N1118" s="185" t="str">
        <f>IF( OR( ISBLANK(H1118),ISBLANK(J1118), ISBLANK(K1118), ISBLANK(L1118), ISBLANK(M1118) ), "", 1.5*SQRT(   EXP(2.21*(H1118-1)) + EXP(2.21*(J1118-1)) + EXP(2.21*(K1118-1)) + EXP(2.21*(L1118-1)) + EXP(2.21*M1118)   )/100*2.45 )</f>
        <v/>
      </c>
      <c r="O1118" s="159" t="str">
        <f>IF( OR( ISBLANK(I1118),ISBLANK(J1118), ISBLANK(K1118), ISBLANK(L1118), ISBLANK(M1118) ), "", 1.5*SQRT( EXP(2.21*(I1118-1)) + EXP(2.21*(J1118-1)) + EXP(2.21*(K1118-1)) + EXP(2.21*(L1118-1)) + EXP(2.21*M1118)   )/100*2.45 )</f>
        <v/>
      </c>
      <c r="P1118" s="973"/>
    </row>
    <row r="1119" spans="1:16" s="803" customFormat="1">
      <c r="A1119" s="34" t="s">
        <v>387</v>
      </c>
      <c r="B1119" s="40" t="s">
        <v>371</v>
      </c>
      <c r="C1119" s="34" t="s">
        <v>139</v>
      </c>
      <c r="D1119" s="40" t="s">
        <v>139</v>
      </c>
      <c r="E1119" s="55" t="s">
        <v>150</v>
      </c>
      <c r="F1119" s="40">
        <v>1</v>
      </c>
      <c r="G1119" s="34" t="s">
        <v>374</v>
      </c>
      <c r="H1119" s="29">
        <v>1</v>
      </c>
      <c r="I1119" s="9">
        <v>2</v>
      </c>
      <c r="J1119" s="9">
        <v>3</v>
      </c>
      <c r="K1119" s="9">
        <v>1</v>
      </c>
      <c r="L1119" s="9">
        <v>2</v>
      </c>
      <c r="M1119" s="9">
        <v>1</v>
      </c>
      <c r="N1119" s="185">
        <f>IF( OR( ISBLANK(H1119),ISBLANK(J1119), ISBLANK(K1119), ISBLANK(L1119), ISBLANK(M1119) ), "", 1.5*SQRT(   EXP(2.21*(H1119-1)) + EXP(2.21*(J1119-1)) + EXP(2.21*(K1119-1)) + EXP(2.21*(L1119-1)) + EXP(2.21*M1119)   )/100*2.45 )</f>
        <v>0.37356464144298934</v>
      </c>
      <c r="O1119" s="159">
        <f>IF( OR( ISBLANK(I1119),ISBLANK(J1119), ISBLANK(K1119), ISBLANK(L1119), ISBLANK(M1119) ), "", 1.5*SQRT( EXP(2.21*(I1119-1)) + EXP(2.21*(J1119-1)) + EXP(2.21*(K1119-1)) + EXP(2.21*(L1119-1)) + EXP(2.21*M1119)   )/100*2.45 )</f>
        <v>0.38795788889711297</v>
      </c>
      <c r="P1119" s="973"/>
    </row>
    <row r="1120" spans="1:16" s="803" customFormat="1">
      <c r="A1120" s="34" t="s">
        <v>387</v>
      </c>
      <c r="B1120" s="40" t="s">
        <v>266</v>
      </c>
      <c r="C1120" s="34" t="s">
        <v>139</v>
      </c>
      <c r="D1120" s="40" t="s">
        <v>139</v>
      </c>
      <c r="E1120" s="55">
        <f>0.526*0.34</f>
        <v>0.17884000000000003</v>
      </c>
      <c r="F1120" s="40">
        <v>2</v>
      </c>
      <c r="G1120" s="34" t="s">
        <v>374</v>
      </c>
      <c r="H1120" s="29">
        <v>1</v>
      </c>
      <c r="I1120" s="9">
        <v>2</v>
      </c>
      <c r="J1120" s="9">
        <v>3</v>
      </c>
      <c r="K1120" s="9">
        <v>1</v>
      </c>
      <c r="L1120" s="9">
        <v>2</v>
      </c>
      <c r="M1120" s="9">
        <v>1</v>
      </c>
      <c r="N1120" s="185">
        <f>IF( OR( ISBLANK(H1120),ISBLANK(J1120), ISBLANK(K1120), ISBLANK(L1120), ISBLANK(M1120) ), "", 1.5*SQRT(   EXP(2.21*(H1120-1)) + EXP(2.21*(J1120-1)) + EXP(2.21*(K1120-1)) + EXP(2.21*(L1120-1)) + EXP(2.21*M1120)   )/100*2.45 )</f>
        <v>0.37356464144298934</v>
      </c>
      <c r="O1120" s="159">
        <f>IF( OR( ISBLANK(I1120),ISBLANK(J1120), ISBLANK(K1120), ISBLANK(L1120), ISBLANK(M1120) ), "", 1.5*SQRT( EXP(2.21*(I1120-1)) + EXP(2.21*(J1120-1)) + EXP(2.21*(K1120-1)) + EXP(2.21*(L1120-1)) + EXP(2.21*M1120)   )/100*2.45 )</f>
        <v>0.38795788889711297</v>
      </c>
      <c r="P1120" s="973"/>
    </row>
    <row r="1121" spans="1:16" s="803" customFormat="1">
      <c r="A1121" s="34" t="s">
        <v>387</v>
      </c>
      <c r="B1121" s="40" t="s">
        <v>258</v>
      </c>
      <c r="C1121" s="34" t="s">
        <v>139</v>
      </c>
      <c r="D1121" s="40" t="s">
        <v>139</v>
      </c>
      <c r="E1121" s="55">
        <v>0.255</v>
      </c>
      <c r="F1121" s="40">
        <v>2</v>
      </c>
      <c r="G1121" s="34" t="s">
        <v>374</v>
      </c>
      <c r="H1121" s="29">
        <v>1</v>
      </c>
      <c r="I1121" s="9">
        <v>2</v>
      </c>
      <c r="J1121" s="9">
        <v>3</v>
      </c>
      <c r="K1121" s="9">
        <v>1</v>
      </c>
      <c r="L1121" s="9">
        <v>2</v>
      </c>
      <c r="M1121" s="9">
        <v>1</v>
      </c>
      <c r="N1121" s="185">
        <f>IF( OR( ISBLANK(H1121),ISBLANK(J1121), ISBLANK(K1121), ISBLANK(L1121), ISBLANK(M1121) ), "", 1.5*SQRT(   EXP(2.21*(H1121-1)) + EXP(2.21*(J1121-1)) + EXP(2.21*(K1121-1)) + EXP(2.21*(L1121-1)) + EXP(2.21*M1121)   )/100*2.45 )</f>
        <v>0.37356464144298934</v>
      </c>
      <c r="O1121" s="159">
        <f>IF( OR( ISBLANK(I1121),ISBLANK(J1121), ISBLANK(K1121), ISBLANK(L1121), ISBLANK(M1121) ), "", 1.5*SQRT( EXP(2.21*(I1121-1)) + EXP(2.21*(J1121-1)) + EXP(2.21*(K1121-1)) + EXP(2.21*(L1121-1)) + EXP(2.21*M1121)   )/100*2.45 )</f>
        <v>0.38795788889711297</v>
      </c>
      <c r="P1121" s="973"/>
    </row>
    <row r="1122" spans="1:16" s="803" customFormat="1">
      <c r="A1122" s="34" t="s">
        <v>387</v>
      </c>
      <c r="B1122" s="40" t="s">
        <v>232</v>
      </c>
      <c r="C1122" s="34" t="s">
        <v>139</v>
      </c>
      <c r="D1122" s="40" t="s">
        <v>139</v>
      </c>
      <c r="E1122" s="55">
        <f>0.526*0.66</f>
        <v>0.34716000000000002</v>
      </c>
      <c r="F1122" s="40">
        <v>2</v>
      </c>
      <c r="G1122" s="34" t="s">
        <v>374</v>
      </c>
      <c r="H1122" s="29">
        <v>1</v>
      </c>
      <c r="I1122" s="9">
        <v>2</v>
      </c>
      <c r="J1122" s="9">
        <v>3</v>
      </c>
      <c r="K1122" s="9">
        <v>1</v>
      </c>
      <c r="L1122" s="9">
        <v>2</v>
      </c>
      <c r="M1122" s="9">
        <v>1</v>
      </c>
      <c r="N1122" s="185">
        <f>IF( OR( ISBLANK(H1122),ISBLANK(J1122), ISBLANK(K1122), ISBLANK(L1122), ISBLANK(M1122) ), "", 1.5*SQRT(   EXP(2.21*(H1122-1)) + EXP(2.21*(J1122-1)) + EXP(2.21*(K1122-1)) + EXP(2.21*(L1122-1)) + EXP(2.21*M1122)   )/100*2.45 )</f>
        <v>0.37356464144298934</v>
      </c>
      <c r="O1122" s="159">
        <f>IF( OR( ISBLANK(I1122),ISBLANK(J1122), ISBLANK(K1122), ISBLANK(L1122), ISBLANK(M1122) ), "", 1.5*SQRT( EXP(2.21*(I1122-1)) + EXP(2.21*(J1122-1)) + EXP(2.21*(K1122-1)) + EXP(2.21*(L1122-1)) + EXP(2.21*M1122)   )/100*2.45 )</f>
        <v>0.38795788889711297</v>
      </c>
      <c r="P1122" s="973"/>
    </row>
    <row r="1123" spans="1:16" s="803" customFormat="1">
      <c r="A1123" s="34" t="s">
        <v>388</v>
      </c>
      <c r="B1123" s="40" t="s">
        <v>294</v>
      </c>
      <c r="C1123" s="34" t="s">
        <v>139</v>
      </c>
      <c r="D1123" s="40" t="s">
        <v>139</v>
      </c>
      <c r="E1123" s="55">
        <v>0.01</v>
      </c>
      <c r="F1123" s="40">
        <v>2</v>
      </c>
      <c r="G1123" s="34" t="s">
        <v>295</v>
      </c>
      <c r="H1123" s="29">
        <v>2</v>
      </c>
      <c r="I1123" s="9">
        <v>2</v>
      </c>
      <c r="J1123" s="9">
        <v>2</v>
      </c>
      <c r="K1123" s="9">
        <v>2</v>
      </c>
      <c r="L1123" s="9">
        <v>1</v>
      </c>
      <c r="M1123" s="9">
        <v>1</v>
      </c>
      <c r="N1123" s="185">
        <f>IF( OR( ISBLANK(H1123),ISBLANK(J1123), ISBLANK(K1123), ISBLANK(L1123), ISBLANK(M1123) ), "", 1.5*SQRT(   EXP(2.21*(H1123-1)) + EXP(2.21*(J1123-1)) + EXP(2.21*(K1123-1)) + EXP(2.21*(L1123-1)) + EXP(2.21*M1123)   )/100*2.45 )</f>
        <v>0.2249354160293616</v>
      </c>
      <c r="O1123" s="159">
        <f>IF( OR( ISBLANK(I1123),ISBLANK(J1123), ISBLANK(K1123), ISBLANK(L1123), ISBLANK(M1123) ), "", 1.5*SQRT( EXP(2.21*(I1123-1)) + EXP(2.21*(J1123-1)) + EXP(2.21*(K1123-1)) + EXP(2.21*(L1123-1)) + EXP(2.21*M1123)   )/100*2.45 )</f>
        <v>0.2249354160293616</v>
      </c>
      <c r="P1123" s="973"/>
    </row>
    <row r="1124" spans="1:16" s="803" customFormat="1">
      <c r="A1124" s="34" t="s">
        <v>388</v>
      </c>
      <c r="B1124" s="40" t="s">
        <v>294</v>
      </c>
      <c r="C1124" s="34" t="s">
        <v>139</v>
      </c>
      <c r="D1124" s="40" t="s">
        <v>139</v>
      </c>
      <c r="E1124" s="55">
        <v>0.02</v>
      </c>
      <c r="F1124" s="40">
        <v>2</v>
      </c>
      <c r="G1124" s="34" t="s">
        <v>295</v>
      </c>
      <c r="H1124" s="29">
        <v>2</v>
      </c>
      <c r="I1124" s="9">
        <v>2</v>
      </c>
      <c r="J1124" s="9">
        <v>2</v>
      </c>
      <c r="K1124" s="9">
        <v>2</v>
      </c>
      <c r="L1124" s="9">
        <v>1</v>
      </c>
      <c r="M1124" s="9">
        <v>1</v>
      </c>
      <c r="N1124" s="185">
        <f>IF( OR( ISBLANK(H1124),ISBLANK(J1124), ISBLANK(K1124), ISBLANK(L1124), ISBLANK(M1124) ), "", 1.5*SQRT(   EXP(2.21*(H1124-1)) + EXP(2.21*(J1124-1)) + EXP(2.21*(K1124-1)) + EXP(2.21*(L1124-1)) + EXP(2.21*M1124)   )/100*2.45 )</f>
        <v>0.2249354160293616</v>
      </c>
      <c r="O1124" s="159">
        <f>IF( OR( ISBLANK(I1124),ISBLANK(J1124), ISBLANK(K1124), ISBLANK(L1124), ISBLANK(M1124) ), "", 1.5*SQRT( EXP(2.21*(I1124-1)) + EXP(2.21*(J1124-1)) + EXP(2.21*(K1124-1)) + EXP(2.21*(L1124-1)) + EXP(2.21*M1124)   )/100*2.45 )</f>
        <v>0.2249354160293616</v>
      </c>
      <c r="P1124" s="973"/>
    </row>
    <row r="1125" spans="1:16" s="803" customFormat="1">
      <c r="A1125" s="34" t="s">
        <v>388</v>
      </c>
      <c r="B1125" s="40" t="s">
        <v>231</v>
      </c>
      <c r="C1125" s="34" t="s">
        <v>139</v>
      </c>
      <c r="D1125" s="40" t="s">
        <v>139</v>
      </c>
      <c r="E1125" s="55">
        <v>0.05</v>
      </c>
      <c r="F1125" s="40">
        <v>2</v>
      </c>
      <c r="G1125" s="34" t="s">
        <v>276</v>
      </c>
      <c r="H1125" s="29">
        <v>1</v>
      </c>
      <c r="I1125" s="9">
        <v>2</v>
      </c>
      <c r="J1125" s="9">
        <v>1</v>
      </c>
      <c r="K1125" s="9">
        <v>1</v>
      </c>
      <c r="L1125" s="9">
        <v>2</v>
      </c>
      <c r="M1125" s="9">
        <v>3</v>
      </c>
      <c r="N1125" s="185">
        <f>IF( OR( ISBLANK(H1125),ISBLANK(J1125), ISBLANK(K1125), ISBLANK(L1125), ISBLANK(M1125) ), "", 1.5*SQRT(   EXP(2.21*(H1125-1)) + EXP(2.21*(J1125-1)) + EXP(2.21*(K1125-1)) + EXP(2.21*(L1125-1)) + EXP(2.21*M1125)   )/100*2.45 )</f>
        <v>1.0195048044558224</v>
      </c>
      <c r="O1125" s="159">
        <f>IF( OR( ISBLANK(I1125),ISBLANK(J1125), ISBLANK(K1125), ISBLANK(L1125), ISBLANK(M1125) ), "", 1.5*SQRT( EXP(2.21*(I1125-1)) + EXP(2.21*(J1125-1)) + EXP(2.21*(K1125-1)) + EXP(2.21*(L1125-1)) + EXP(2.21*M1125)   )/100*2.45 )</f>
        <v>1.0248662490928169</v>
      </c>
      <c r="P1125" s="973"/>
    </row>
    <row r="1126" spans="1:16" customFormat="1">
      <c r="A1126" s="34" t="s">
        <v>388</v>
      </c>
      <c r="B1126" s="40" t="s">
        <v>231</v>
      </c>
      <c r="C1126" s="34" t="s">
        <v>139</v>
      </c>
      <c r="D1126" s="40" t="s">
        <v>139</v>
      </c>
      <c r="E1126" s="55">
        <v>0.1</v>
      </c>
      <c r="F1126" s="40">
        <v>2</v>
      </c>
      <c r="G1126" s="1189" t="s">
        <v>277</v>
      </c>
      <c r="H1126" s="29">
        <v>1</v>
      </c>
      <c r="I1126" s="9">
        <v>2</v>
      </c>
      <c r="J1126" s="9">
        <v>2</v>
      </c>
      <c r="K1126" s="9">
        <v>1</v>
      </c>
      <c r="L1126" s="9">
        <v>2</v>
      </c>
      <c r="M1126" s="9">
        <v>3</v>
      </c>
      <c r="N1126" s="185">
        <f>IF( OR( ISBLANK(H1126),ISBLANK(J1126), ISBLANK(K1126), ISBLANK(L1126), ISBLANK(M1126) ), "", 1.5*SQRT(   EXP(2.21*(H1126-1)) + EXP(2.21*(J1126-1)) + EXP(2.21*(K1126-1)) + EXP(2.21*(L1126-1)) + EXP(2.21*M1126)   )/100*2.45 )</f>
        <v>1.0248662490928169</v>
      </c>
      <c r="O1126" s="159">
        <f>IF( OR( ISBLANK(I1126),ISBLANK(J1126), ISBLANK(K1126), ISBLANK(L1126), ISBLANK(M1126) ), "", 1.5*SQRT( EXP(2.21*(I1126-1)) + EXP(2.21*(J1126-1)) + EXP(2.21*(K1126-1)) + EXP(2.21*(L1126-1)) + EXP(2.21*M1126)   )/100*2.45 )</f>
        <v>1.0301997916669636</v>
      </c>
      <c r="P1126" s="973"/>
    </row>
    <row r="1127" spans="1:16" customFormat="1">
      <c r="A1127" s="34" t="s">
        <v>388</v>
      </c>
      <c r="B1127" s="40" t="s">
        <v>371</v>
      </c>
      <c r="C1127" s="34" t="s">
        <v>139</v>
      </c>
      <c r="D1127" s="40" t="s">
        <v>139</v>
      </c>
      <c r="E1127" s="55">
        <v>0.9</v>
      </c>
      <c r="F1127" s="40">
        <v>1</v>
      </c>
      <c r="G1127" s="34" t="s">
        <v>372</v>
      </c>
      <c r="H1127" s="29">
        <v>1</v>
      </c>
      <c r="I1127" s="9">
        <v>3</v>
      </c>
      <c r="J1127" s="9">
        <v>2</v>
      </c>
      <c r="K1127" s="9">
        <v>1</v>
      </c>
      <c r="L1127" s="9">
        <v>1</v>
      </c>
      <c r="M1127" s="9">
        <v>2</v>
      </c>
      <c r="N1127" s="185">
        <f>IF( OR( ISBLANK(H1127),ISBLANK(J1127), ISBLANK(K1127), ISBLANK(L1127), ISBLANK(M1127) ), "", 1.5*SQRT(   EXP(2.21*(H1127-1)) + EXP(2.21*(J1127-1)) + EXP(2.21*(K1127-1)) + EXP(2.21*(L1127-1)) + EXP(2.21*M1127)   )/100*2.45 )</f>
        <v>0.35859414261160716</v>
      </c>
      <c r="O1127" s="159">
        <f>IF( OR( ISBLANK(I1127),ISBLANK(J1127), ISBLANK(K1127), ISBLANK(L1127), ISBLANK(M1127) ), "", 1.5*SQRT( EXP(2.21*(I1127-1)) + EXP(2.21*(J1127-1)) + EXP(2.21*(K1127-1)) + EXP(2.21*(L1127-1)) + EXP(2.21*M1127)   )/100*2.45 )</f>
        <v>0.48935255543384243</v>
      </c>
      <c r="P1127" s="973"/>
    </row>
    <row r="1128" spans="1:16" customFormat="1">
      <c r="A1128" s="34" t="s">
        <v>388</v>
      </c>
      <c r="B1128" s="40" t="s">
        <v>258</v>
      </c>
      <c r="C1128" s="34" t="s">
        <v>139</v>
      </c>
      <c r="D1128" s="40" t="s">
        <v>139</v>
      </c>
      <c r="E1128" s="55">
        <v>0.1</v>
      </c>
      <c r="F1128" s="40">
        <v>1</v>
      </c>
      <c r="G1128" s="34" t="s">
        <v>372</v>
      </c>
      <c r="H1128" s="29">
        <v>1</v>
      </c>
      <c r="I1128" s="9">
        <v>3</v>
      </c>
      <c r="J1128" s="9">
        <v>2</v>
      </c>
      <c r="K1128" s="9">
        <v>1</v>
      </c>
      <c r="L1128" s="9">
        <v>1</v>
      </c>
      <c r="M1128" s="9">
        <v>2</v>
      </c>
      <c r="N1128" s="185">
        <f>IF( OR( ISBLANK(H1128),ISBLANK(J1128), ISBLANK(K1128), ISBLANK(L1128), ISBLANK(M1128) ), "", 1.5*SQRT(   EXP(2.21*(H1128-1)) + EXP(2.21*(J1128-1)) + EXP(2.21*(K1128-1)) + EXP(2.21*(L1128-1)) + EXP(2.21*M1128)   )/100*2.45 )</f>
        <v>0.35859414261160716</v>
      </c>
      <c r="O1128" s="159">
        <f>IF( OR( ISBLANK(I1128),ISBLANK(J1128), ISBLANK(K1128), ISBLANK(L1128), ISBLANK(M1128) ), "", 1.5*SQRT( EXP(2.21*(I1128-1)) + EXP(2.21*(J1128-1)) + EXP(2.21*(K1128-1)) + EXP(2.21*(L1128-1)) + EXP(2.21*M1128)   )/100*2.45 )</f>
        <v>0.48935255543384243</v>
      </c>
      <c r="P1128" s="973"/>
    </row>
    <row r="1129" spans="1:16" customFormat="1">
      <c r="A1129" s="55" t="s">
        <v>240</v>
      </c>
      <c r="B1129" s="260" t="s">
        <v>204</v>
      </c>
      <c r="C1129" s="55" t="s">
        <v>139</v>
      </c>
      <c r="D1129" s="260" t="s">
        <v>139</v>
      </c>
      <c r="E1129" s="237">
        <v>2.7E-4</v>
      </c>
      <c r="F1129" s="168">
        <v>2</v>
      </c>
      <c r="G1129" s="55" t="s">
        <v>163</v>
      </c>
      <c r="H1129" s="29">
        <v>2</v>
      </c>
      <c r="I1129" s="9">
        <v>2</v>
      </c>
      <c r="J1129" s="9">
        <v>2</v>
      </c>
      <c r="K1129" s="9">
        <v>3</v>
      </c>
      <c r="L1129" s="9">
        <v>3</v>
      </c>
      <c r="M1129" s="9">
        <v>3</v>
      </c>
      <c r="N1129" s="185">
        <f>IF( OR( ISBLANK(H1129),ISBLANK(J1129), ISBLANK(K1129), ISBLANK(L1129), ISBLANK(M1129) ), "", 1.5*SQRT(   EXP(2.21*(H1129-1)) + EXP(2.21*(J1129-1)) + EXP(2.21*(K1129-1)) + EXP(2.21*(L1129-1)) + EXP(2.21*M1129)   )/100*2.45 )</f>
        <v>1.1278755061256258</v>
      </c>
      <c r="O1129" s="159">
        <f>IF( OR( ISBLANK(I1129),ISBLANK(J1129), ISBLANK(K1129), ISBLANK(L1129), ISBLANK(M1129) ), "", 1.5*SQRT( EXP(2.21*(I1129-1)) + EXP(2.21*(J1129-1)) + EXP(2.21*(K1129-1)) + EXP(2.21*(L1129-1)) + EXP(2.21*M1129)   )/100*2.45 )</f>
        <v>1.1278755061256258</v>
      </c>
      <c r="P1129" s="34"/>
    </row>
    <row r="1130" spans="1:16" customFormat="1">
      <c r="A1130" s="55" t="s">
        <v>240</v>
      </c>
      <c r="B1130" s="260" t="s">
        <v>356</v>
      </c>
      <c r="C1130" s="55" t="s">
        <v>139</v>
      </c>
      <c r="D1130" s="260" t="s">
        <v>139</v>
      </c>
      <c r="E1130" s="237">
        <v>6.5000000000000002E-2</v>
      </c>
      <c r="F1130" s="168">
        <v>2</v>
      </c>
      <c r="G1130" s="55" t="s">
        <v>406</v>
      </c>
      <c r="H1130" s="29">
        <v>2</v>
      </c>
      <c r="I1130" s="9">
        <v>2</v>
      </c>
      <c r="J1130" s="9">
        <v>2</v>
      </c>
      <c r="K1130" s="9">
        <v>1</v>
      </c>
      <c r="L1130" s="9">
        <v>1</v>
      </c>
      <c r="M1130" s="9">
        <v>2</v>
      </c>
      <c r="N1130" s="185">
        <f>IF( OR( ISBLANK(H1130),ISBLANK(J1130), ISBLANK(K1130), ISBLANK(L1130), ISBLANK(M1130) ), "", 1.5*SQRT(   EXP(2.21*(H1130-1)) + EXP(2.21*(J1130-1)) + EXP(2.21*(K1130-1)) + EXP(2.21*(L1130-1)) + EXP(2.21*M1130)   )/100*2.45 )</f>
        <v>0.37356464144298934</v>
      </c>
      <c r="O1130" s="159">
        <f>IF( OR( ISBLANK(I1130),ISBLANK(J1130), ISBLANK(K1130), ISBLANK(L1130), ISBLANK(M1130) ), "", 1.5*SQRT( EXP(2.21*(I1130-1)) + EXP(2.21*(J1130-1)) + EXP(2.21*(K1130-1)) + EXP(2.21*(L1130-1)) + EXP(2.21*M1130)   )/100*2.45 )</f>
        <v>0.37356464144298934</v>
      </c>
      <c r="P1130" s="34"/>
    </row>
    <row r="1131" spans="1:16" customFormat="1">
      <c r="A1131" s="55" t="s">
        <v>240</v>
      </c>
      <c r="B1131" s="260" t="s">
        <v>223</v>
      </c>
      <c r="C1131" s="55" t="s">
        <v>139</v>
      </c>
      <c r="D1131" s="260" t="s">
        <v>139</v>
      </c>
      <c r="E1131" s="237" t="s">
        <v>150</v>
      </c>
      <c r="F1131" s="168">
        <v>1</v>
      </c>
      <c r="G1131" s="55" t="s">
        <v>340</v>
      </c>
      <c r="H1131" s="29"/>
      <c r="I1131" s="9"/>
      <c r="J1131" s="9"/>
      <c r="K1131" s="9"/>
      <c r="L1131" s="9"/>
      <c r="M1131" s="9"/>
      <c r="N1131" s="185" t="str">
        <f>IF( OR( ISBLANK(H1131),ISBLANK(J1131), ISBLANK(K1131), ISBLANK(L1131), ISBLANK(M1131) ), "", 1.5*SQRT(   EXP(2.21*(H1131-1)) + EXP(2.21*(J1131-1)) + EXP(2.21*(K1131-1)) + EXP(2.21*(L1131-1)) + EXP(2.21*M1131)   )/100*2.45 )</f>
        <v/>
      </c>
      <c r="O1131" s="159" t="str">
        <f>IF( OR( ISBLANK(I1131),ISBLANK(J1131), ISBLANK(K1131), ISBLANK(L1131), ISBLANK(M1131) ), "", 1.5*SQRT( EXP(2.21*(I1131-1)) + EXP(2.21*(J1131-1)) + EXP(2.21*(K1131-1)) + EXP(2.21*(L1131-1)) + EXP(2.21*M1131)   )/100*2.45 )</f>
        <v/>
      </c>
      <c r="P1131" s="34"/>
    </row>
    <row r="1132" spans="1:16" customFormat="1">
      <c r="A1132" s="34" t="s">
        <v>393</v>
      </c>
      <c r="B1132" s="40" t="s">
        <v>287</v>
      </c>
      <c r="C1132" s="34" t="s">
        <v>139</v>
      </c>
      <c r="D1132" s="40" t="s">
        <v>139</v>
      </c>
      <c r="E1132" s="1195" t="s">
        <v>150</v>
      </c>
      <c r="F1132" s="40">
        <v>1</v>
      </c>
      <c r="G1132" s="34"/>
      <c r="H1132" s="29"/>
      <c r="I1132" s="9"/>
      <c r="J1132" s="9"/>
      <c r="K1132" s="9"/>
      <c r="L1132" s="9"/>
      <c r="M1132" s="9"/>
      <c r="N1132" s="185" t="str">
        <f>IF( OR( ISBLANK(H1132),ISBLANK(J1132), ISBLANK(K1132), ISBLANK(L1132), ISBLANK(M1132) ), "", 1.5*SQRT(   EXP(2.21*(H1132-1)) + EXP(2.21*(J1132-1)) + EXP(2.21*(K1132-1)) + EXP(2.21*(L1132-1)) + EXP(2.21*M1132)   )/100*2.45 )</f>
        <v/>
      </c>
      <c r="O1132" s="159" t="str">
        <f>IF( OR( ISBLANK(I1132),ISBLANK(J1132), ISBLANK(K1132), ISBLANK(L1132), ISBLANK(M1132) ), "", 1.5*SQRT( EXP(2.21*(I1132-1)) + EXP(2.21*(J1132-1)) + EXP(2.21*(K1132-1)) + EXP(2.21*(L1132-1)) + EXP(2.21*M1132)   )/100*2.45 )</f>
        <v/>
      </c>
      <c r="P1132" s="973"/>
    </row>
    <row r="1133" spans="1:16" customFormat="1">
      <c r="A1133" s="34" t="s">
        <v>393</v>
      </c>
      <c r="B1133" s="40" t="s">
        <v>284</v>
      </c>
      <c r="C1133" s="34" t="s">
        <v>182</v>
      </c>
      <c r="D1133" s="40" t="s">
        <v>139</v>
      </c>
      <c r="E1133" s="1195">
        <v>0.57142857142857151</v>
      </c>
      <c r="F1133" s="40">
        <v>2</v>
      </c>
      <c r="G1133" s="34" t="s">
        <v>2244</v>
      </c>
      <c r="H1133" s="29">
        <v>3</v>
      </c>
      <c r="I1133" s="9">
        <v>3</v>
      </c>
      <c r="J1133" s="9">
        <v>2</v>
      </c>
      <c r="K1133" s="9">
        <v>3</v>
      </c>
      <c r="L1133" s="9">
        <v>2</v>
      </c>
      <c r="M1133" s="9">
        <v>1</v>
      </c>
      <c r="N1133" s="185">
        <f>IF( OR( ISBLANK(H1133),ISBLANK(J1133), ISBLANK(K1133), ISBLANK(L1133), ISBLANK(M1133) ), "", 1.5*SQRT(   EXP(2.21*(H1133-1)) + EXP(2.21*(J1133-1)) + EXP(2.21*(K1133-1)) + EXP(2.21*(L1133-1)) + EXP(2.21*M1133)   )/100*2.45 )</f>
        <v>0.51126068492676302</v>
      </c>
      <c r="O1133" s="159">
        <f>IF( OR( ISBLANK(I1133),ISBLANK(J1133), ISBLANK(K1133), ISBLANK(L1133), ISBLANK(M1133) ), "", 1.5*SQRT( EXP(2.21*(I1133-1)) + EXP(2.21*(J1133-1)) + EXP(2.21*(K1133-1)) + EXP(2.21*(L1133-1)) + EXP(2.21*M1133)   )/100*2.45 )</f>
        <v>0.51126068492676302</v>
      </c>
      <c r="P1133" s="973"/>
    </row>
    <row r="1134" spans="1:16" customFormat="1">
      <c r="A1134" s="34" t="s">
        <v>393</v>
      </c>
      <c r="B1134" s="40" t="s">
        <v>284</v>
      </c>
      <c r="C1134" s="34" t="s">
        <v>180</v>
      </c>
      <c r="D1134" s="40" t="s">
        <v>139</v>
      </c>
      <c r="E1134" s="1195">
        <v>0.57142857142857151</v>
      </c>
      <c r="F1134" s="40">
        <v>2</v>
      </c>
      <c r="G1134" s="34" t="s">
        <v>2238</v>
      </c>
      <c r="H1134" s="29">
        <v>1</v>
      </c>
      <c r="I1134" s="9">
        <v>2</v>
      </c>
      <c r="J1134" s="9">
        <v>3</v>
      </c>
      <c r="K1134" s="9">
        <v>3</v>
      </c>
      <c r="L1134" s="9">
        <v>2</v>
      </c>
      <c r="M1134" s="9">
        <v>1</v>
      </c>
      <c r="N1134" s="185">
        <f>IF( OR( ISBLANK(H1134),ISBLANK(J1134), ISBLANK(K1134), ISBLANK(L1134), ISBLANK(M1134) ), "", 1.5*SQRT(   EXP(2.21*(H1134-1)) + EXP(2.21*(J1134-1)) + EXP(2.21*(K1134-1)) + EXP(2.21*(L1134-1)) + EXP(2.21*M1134)   )/100*2.45 )</f>
        <v>0.50042652380814856</v>
      </c>
      <c r="O1134" s="159">
        <f>IF( OR( ISBLANK(I1134),ISBLANK(J1134), ISBLANK(K1134), ISBLANK(L1134), ISBLANK(M1134) ), "", 1.5*SQRT( EXP(2.21*(I1134-1)) + EXP(2.21*(J1134-1)) + EXP(2.21*(K1134-1)) + EXP(2.21*(L1134-1)) + EXP(2.21*M1134)   )/100*2.45 )</f>
        <v>0.51126068492676302</v>
      </c>
      <c r="P1134" s="973"/>
    </row>
    <row r="1135" spans="1:16" customFormat="1">
      <c r="A1135" s="34" t="s">
        <v>393</v>
      </c>
      <c r="B1135" s="40" t="s">
        <v>265</v>
      </c>
      <c r="C1135" s="34" t="s">
        <v>182</v>
      </c>
      <c r="D1135" s="40" t="s">
        <v>139</v>
      </c>
      <c r="E1135" s="1195">
        <v>3.8639999999999998E-3</v>
      </c>
      <c r="F1135" s="40">
        <v>2</v>
      </c>
      <c r="G1135" s="34" t="s">
        <v>2257</v>
      </c>
      <c r="H1135" s="29">
        <v>2</v>
      </c>
      <c r="I1135" s="9">
        <v>2</v>
      </c>
      <c r="J1135" s="9">
        <v>1</v>
      </c>
      <c r="K1135" s="9">
        <v>1</v>
      </c>
      <c r="L1135" s="9">
        <v>1</v>
      </c>
      <c r="M1135" s="9">
        <v>3</v>
      </c>
      <c r="N1135" s="185">
        <f>IF( OR( ISBLANK(H1135),ISBLANK(J1135), ISBLANK(K1135), ISBLANK(L1135), ISBLANK(M1135) ), "", 1.5*SQRT(   EXP(2.21*(H1135-1)) + EXP(2.21*(J1135-1)) + EXP(2.21*(K1135-1)) + EXP(2.21*(L1135-1)) + EXP(2.21*M1135)   )/100*2.45 )</f>
        <v>1.0195048044558224</v>
      </c>
      <c r="O1135" s="159">
        <f>IF( OR( ISBLANK(I1135),ISBLANK(J1135), ISBLANK(K1135), ISBLANK(L1135), ISBLANK(M1135) ), "", 1.5*SQRT( EXP(2.21*(I1135-1)) + EXP(2.21*(J1135-1)) + EXP(2.21*(K1135-1)) + EXP(2.21*(L1135-1)) + EXP(2.21*M1135)   )/100*2.45 )</f>
        <v>1.0195048044558224</v>
      </c>
      <c r="P1135" s="973"/>
    </row>
    <row r="1136" spans="1:16" customFormat="1">
      <c r="A1136" s="34" t="s">
        <v>393</v>
      </c>
      <c r="B1136" s="40" t="s">
        <v>265</v>
      </c>
      <c r="C1136" s="34" t="s">
        <v>180</v>
      </c>
      <c r="D1136" s="40" t="s">
        <v>139</v>
      </c>
      <c r="E1136" s="1195">
        <v>3.8639999999999998E-3</v>
      </c>
      <c r="F1136" s="40">
        <v>2</v>
      </c>
      <c r="G1136" s="34" t="s">
        <v>2257</v>
      </c>
      <c r="H1136" s="29">
        <v>2</v>
      </c>
      <c r="I1136" s="9">
        <v>2</v>
      </c>
      <c r="J1136" s="9">
        <v>1</v>
      </c>
      <c r="K1136" s="9">
        <v>1</v>
      </c>
      <c r="L1136" s="9">
        <v>1</v>
      </c>
      <c r="M1136" s="9">
        <v>3</v>
      </c>
      <c r="N1136" s="185">
        <f>IF( OR( ISBLANK(H1136),ISBLANK(J1136), ISBLANK(K1136), ISBLANK(L1136), ISBLANK(M1136) ), "", 1.5*SQRT(   EXP(2.21*(H1136-1)) + EXP(2.21*(J1136-1)) + EXP(2.21*(K1136-1)) + EXP(2.21*(L1136-1)) + EXP(2.21*M1136)   )/100*2.45 )</f>
        <v>1.0195048044558224</v>
      </c>
      <c r="O1136" s="159">
        <f>IF( OR( ISBLANK(I1136),ISBLANK(J1136), ISBLANK(K1136), ISBLANK(L1136), ISBLANK(M1136) ), "", 1.5*SQRT( EXP(2.21*(I1136-1)) + EXP(2.21*(J1136-1)) + EXP(2.21*(K1136-1)) + EXP(2.21*(L1136-1)) + EXP(2.21*M1136)   )/100*2.45 )</f>
        <v>1.0195048044558224</v>
      </c>
      <c r="P1136" s="973"/>
    </row>
    <row r="1137" spans="1:16" customFormat="1">
      <c r="A1137" s="34" t="s">
        <v>394</v>
      </c>
      <c r="B1137" s="40" t="s">
        <v>288</v>
      </c>
      <c r="C1137" s="34" t="s">
        <v>139</v>
      </c>
      <c r="D1137" s="40" t="s">
        <v>139</v>
      </c>
      <c r="E1137" s="1195" t="s">
        <v>150</v>
      </c>
      <c r="F1137" s="40">
        <v>1</v>
      </c>
      <c r="G1137" s="34"/>
      <c r="H1137" s="29"/>
      <c r="I1137" s="9"/>
      <c r="J1137" s="9"/>
      <c r="K1137" s="9"/>
      <c r="L1137" s="9"/>
      <c r="M1137" s="9"/>
      <c r="N1137" s="185" t="str">
        <f>IF( OR( ISBLANK(H1137),ISBLANK(J1137), ISBLANK(K1137), ISBLANK(L1137), ISBLANK(M1137) ), "", 1.5*SQRT(   EXP(2.21*(H1137-1)) + EXP(2.21*(J1137-1)) + EXP(2.21*(K1137-1)) + EXP(2.21*(L1137-1)) + EXP(2.21*M1137)   )/100*2.45 )</f>
        <v/>
      </c>
      <c r="O1137" s="159" t="str">
        <f>IF( OR( ISBLANK(I1137),ISBLANK(J1137), ISBLANK(K1137), ISBLANK(L1137), ISBLANK(M1137) ), "", 1.5*SQRT( EXP(2.21*(I1137-1)) + EXP(2.21*(J1137-1)) + EXP(2.21*(K1137-1)) + EXP(2.21*(L1137-1)) + EXP(2.21*M1137)   )/100*2.45 )</f>
        <v/>
      </c>
      <c r="P1137" s="973"/>
    </row>
    <row r="1138" spans="1:16" customFormat="1">
      <c r="A1138" s="34" t="s">
        <v>394</v>
      </c>
      <c r="B1138" s="40" t="s">
        <v>286</v>
      </c>
      <c r="C1138" s="34" t="s">
        <v>182</v>
      </c>
      <c r="D1138" s="40" t="s">
        <v>139</v>
      </c>
      <c r="E1138" s="1195">
        <v>0.57142857142857151</v>
      </c>
      <c r="F1138" s="40">
        <v>2</v>
      </c>
      <c r="G1138" s="34" t="s">
        <v>2244</v>
      </c>
      <c r="H1138" s="29">
        <v>3</v>
      </c>
      <c r="I1138" s="9">
        <v>3</v>
      </c>
      <c r="J1138" s="9">
        <v>2</v>
      </c>
      <c r="K1138" s="9">
        <v>3</v>
      </c>
      <c r="L1138" s="9">
        <v>2</v>
      </c>
      <c r="M1138" s="9">
        <v>1</v>
      </c>
      <c r="N1138" s="185">
        <f>IF( OR( ISBLANK(H1138),ISBLANK(J1138), ISBLANK(K1138), ISBLANK(L1138), ISBLANK(M1138) ), "", 1.5*SQRT(   EXP(2.21*(H1138-1)) + EXP(2.21*(J1138-1)) + EXP(2.21*(K1138-1)) + EXP(2.21*(L1138-1)) + EXP(2.21*M1138)   )/100*2.45 )</f>
        <v>0.51126068492676302</v>
      </c>
      <c r="O1138" s="159">
        <f>IF( OR( ISBLANK(I1138),ISBLANK(J1138), ISBLANK(K1138), ISBLANK(L1138), ISBLANK(M1138) ), "", 1.5*SQRT( EXP(2.21*(I1138-1)) + EXP(2.21*(J1138-1)) + EXP(2.21*(K1138-1)) + EXP(2.21*(L1138-1)) + EXP(2.21*M1138)   )/100*2.45 )</f>
        <v>0.51126068492676302</v>
      </c>
      <c r="P1138" s="973"/>
    </row>
    <row r="1139" spans="1:16" customFormat="1">
      <c r="A1139" s="34" t="s">
        <v>394</v>
      </c>
      <c r="B1139" s="40" t="s">
        <v>286</v>
      </c>
      <c r="C1139" s="34" t="s">
        <v>180</v>
      </c>
      <c r="D1139" s="40" t="s">
        <v>139</v>
      </c>
      <c r="E1139" s="1195">
        <v>0.57142857142857151</v>
      </c>
      <c r="F1139" s="40">
        <v>2</v>
      </c>
      <c r="G1139" s="34"/>
      <c r="H1139" s="29">
        <v>1</v>
      </c>
      <c r="I1139" s="9">
        <v>2</v>
      </c>
      <c r="J1139" s="9">
        <v>3</v>
      </c>
      <c r="K1139" s="9">
        <v>3</v>
      </c>
      <c r="L1139" s="9">
        <v>2</v>
      </c>
      <c r="M1139" s="9">
        <v>1</v>
      </c>
      <c r="N1139" s="185">
        <f>IF( OR( ISBLANK(H1139),ISBLANK(J1139), ISBLANK(K1139), ISBLANK(L1139), ISBLANK(M1139) ), "", 1.5*SQRT(   EXP(2.21*(H1139-1)) + EXP(2.21*(J1139-1)) + EXP(2.21*(K1139-1)) + EXP(2.21*(L1139-1)) + EXP(2.21*M1139)   )/100*2.45 )</f>
        <v>0.50042652380814856</v>
      </c>
      <c r="O1139" s="159">
        <f>IF( OR( ISBLANK(I1139),ISBLANK(J1139), ISBLANK(K1139), ISBLANK(L1139), ISBLANK(M1139) ), "", 1.5*SQRT( EXP(2.21*(I1139-1)) + EXP(2.21*(J1139-1)) + EXP(2.21*(K1139-1)) + EXP(2.21*(L1139-1)) + EXP(2.21*M1139)   )/100*2.45 )</f>
        <v>0.51126068492676302</v>
      </c>
      <c r="P1139" s="973"/>
    </row>
    <row r="1140" spans="1:16" customFormat="1">
      <c r="A1140" s="34" t="s">
        <v>394</v>
      </c>
      <c r="B1140" s="40" t="s">
        <v>258</v>
      </c>
      <c r="C1140" s="34" t="s">
        <v>182</v>
      </c>
      <c r="D1140" s="40" t="s">
        <v>139</v>
      </c>
      <c r="E1140" s="1195">
        <v>3.8639999999999998E-3</v>
      </c>
      <c r="F1140" s="40">
        <v>2</v>
      </c>
      <c r="G1140" s="34" t="s">
        <v>2257</v>
      </c>
      <c r="H1140" s="29">
        <v>2</v>
      </c>
      <c r="I1140" s="9">
        <v>2</v>
      </c>
      <c r="J1140" s="9">
        <v>1</v>
      </c>
      <c r="K1140" s="9">
        <v>1</v>
      </c>
      <c r="L1140" s="9">
        <v>1</v>
      </c>
      <c r="M1140" s="9">
        <v>3</v>
      </c>
      <c r="N1140" s="185">
        <f>IF( OR( ISBLANK(H1140),ISBLANK(J1140), ISBLANK(K1140), ISBLANK(L1140), ISBLANK(M1140) ), "", 1.5*SQRT(   EXP(2.21*(H1140-1)) + EXP(2.21*(J1140-1)) + EXP(2.21*(K1140-1)) + EXP(2.21*(L1140-1)) + EXP(2.21*M1140)   )/100*2.45 )</f>
        <v>1.0195048044558224</v>
      </c>
      <c r="O1140" s="159">
        <f>IF( OR( ISBLANK(I1140),ISBLANK(J1140), ISBLANK(K1140), ISBLANK(L1140), ISBLANK(M1140) ), "", 1.5*SQRT( EXP(2.21*(I1140-1)) + EXP(2.21*(J1140-1)) + EXP(2.21*(K1140-1)) + EXP(2.21*(L1140-1)) + EXP(2.21*M1140)   )/100*2.45 )</f>
        <v>1.0195048044558224</v>
      </c>
      <c r="P1140" s="973"/>
    </row>
    <row r="1141" spans="1:16" customFormat="1">
      <c r="A1141" s="34" t="s">
        <v>394</v>
      </c>
      <c r="B1141" s="40" t="s">
        <v>258</v>
      </c>
      <c r="C1141" s="34" t="s">
        <v>180</v>
      </c>
      <c r="D1141" s="40" t="s">
        <v>139</v>
      </c>
      <c r="E1141" s="1195">
        <v>3.8639999999999998E-3</v>
      </c>
      <c r="F1141" s="40">
        <v>2</v>
      </c>
      <c r="G1141" s="34" t="s">
        <v>2257</v>
      </c>
      <c r="H1141" s="29">
        <v>2</v>
      </c>
      <c r="I1141" s="9">
        <v>2</v>
      </c>
      <c r="J1141" s="9">
        <v>1</v>
      </c>
      <c r="K1141" s="9">
        <v>1</v>
      </c>
      <c r="L1141" s="9">
        <v>1</v>
      </c>
      <c r="M1141" s="9">
        <v>3</v>
      </c>
      <c r="N1141" s="185">
        <f>IF( OR( ISBLANK(H1141),ISBLANK(J1141), ISBLANK(K1141), ISBLANK(L1141), ISBLANK(M1141) ), "", 1.5*SQRT(   EXP(2.21*(H1141-1)) + EXP(2.21*(J1141-1)) + EXP(2.21*(K1141-1)) + EXP(2.21*(L1141-1)) + EXP(2.21*M1141)   )/100*2.45 )</f>
        <v>1.0195048044558224</v>
      </c>
      <c r="O1141" s="159">
        <f>IF( OR( ISBLANK(I1141),ISBLANK(J1141), ISBLANK(K1141), ISBLANK(L1141), ISBLANK(M1141) ), "", 1.5*SQRT( EXP(2.21*(I1141-1)) + EXP(2.21*(J1141-1)) + EXP(2.21*(K1141-1)) + EXP(2.21*(L1141-1)) + EXP(2.21*M1141)   )/100*2.45 )</f>
        <v>1.0195048044558224</v>
      </c>
      <c r="P1141" s="973"/>
    </row>
    <row r="1142" spans="1:16" customFormat="1">
      <c r="A1142" s="34" t="s">
        <v>161</v>
      </c>
      <c r="B1142" s="40" t="s">
        <v>155</v>
      </c>
      <c r="C1142" s="34" t="s">
        <v>139</v>
      </c>
      <c r="D1142" s="40" t="s">
        <v>139</v>
      </c>
      <c r="E1142" s="237" t="s">
        <v>150</v>
      </c>
      <c r="F1142" s="168">
        <v>1</v>
      </c>
      <c r="G1142" s="34" t="s">
        <v>157</v>
      </c>
      <c r="H1142" s="29">
        <v>1</v>
      </c>
      <c r="I1142" s="9">
        <v>1</v>
      </c>
      <c r="J1142" s="9">
        <v>1</v>
      </c>
      <c r="K1142" s="9">
        <v>3</v>
      </c>
      <c r="L1142" s="9">
        <v>3</v>
      </c>
      <c r="M1142" s="9">
        <v>3</v>
      </c>
      <c r="N1142" s="185">
        <f>IF( OR( ISBLANK(H1142),ISBLANK(J1142), ISBLANK(K1142), ISBLANK(L1142), ISBLANK(M1142) ), "", 1.5*SQRT(   EXP(2.21*(H1142-1)) + EXP(2.21*(J1142-1)) + EXP(2.21*(K1142-1)) + EXP(2.21*(L1142-1)) + EXP(2.21*M1142)   )/100*2.45 )</f>
        <v>1.1181151966036349</v>
      </c>
      <c r="O1142" s="159">
        <f>IF( OR( ISBLANK(I1142),ISBLANK(J1142), ISBLANK(K1142), ISBLANK(L1142), ISBLANK(M1142) ), "", 1.5*SQRT( EXP(2.21*(I1142-1)) + EXP(2.21*(J1142-1)) + EXP(2.21*(K1142-1)) + EXP(2.21*(L1142-1)) + EXP(2.21*M1142)   )/100*2.45 )</f>
        <v>1.1181151966036349</v>
      </c>
      <c r="P1142" s="34" t="s">
        <v>158</v>
      </c>
    </row>
    <row r="1143" spans="1:16" customFormat="1">
      <c r="A1143" s="34" t="s">
        <v>161</v>
      </c>
      <c r="B1143" s="40" t="s">
        <v>143</v>
      </c>
      <c r="C1143" s="34" t="s">
        <v>139</v>
      </c>
      <c r="D1143" s="40" t="s">
        <v>139</v>
      </c>
      <c r="E1143" s="237">
        <v>0.05</v>
      </c>
      <c r="F1143" s="168">
        <v>2</v>
      </c>
      <c r="G1143" s="34" t="s">
        <v>166</v>
      </c>
      <c r="H1143" s="29">
        <v>1</v>
      </c>
      <c r="I1143" s="9">
        <v>1</v>
      </c>
      <c r="J1143" s="9">
        <v>1</v>
      </c>
      <c r="K1143" s="9">
        <v>3</v>
      </c>
      <c r="L1143" s="9">
        <v>3</v>
      </c>
      <c r="M1143" s="9">
        <v>3</v>
      </c>
      <c r="N1143" s="185">
        <f>IF( OR( ISBLANK(H1143),ISBLANK(J1143), ISBLANK(K1143), ISBLANK(L1143), ISBLANK(M1143) ), "", 1.5*SQRT(   EXP(2.21*(H1143-1)) + EXP(2.21*(J1143-1)) + EXP(2.21*(K1143-1)) + EXP(2.21*(L1143-1)) + EXP(2.21*M1143)   )/100*2.45 )</f>
        <v>1.1181151966036349</v>
      </c>
      <c r="O1143" s="159">
        <f>IF( OR( ISBLANK(I1143),ISBLANK(J1143), ISBLANK(K1143), ISBLANK(L1143), ISBLANK(M1143) ), "", 1.5*SQRT( EXP(2.21*(I1143-1)) + EXP(2.21*(J1143-1)) + EXP(2.21*(K1143-1)) + EXP(2.21*(L1143-1)) + EXP(2.21*M1143)   )/100*2.45 )</f>
        <v>1.1181151966036349</v>
      </c>
      <c r="P1143" s="34" t="s">
        <v>158</v>
      </c>
    </row>
    <row r="1144" spans="1:16" customFormat="1">
      <c r="A1144" s="59" t="s">
        <v>424</v>
      </c>
      <c r="B1144" s="336" t="s">
        <v>426</v>
      </c>
      <c r="C1144" s="34" t="s">
        <v>139</v>
      </c>
      <c r="D1144" s="40" t="s">
        <v>99</v>
      </c>
      <c r="E1144" s="237">
        <v>0.01</v>
      </c>
      <c r="F1144" s="40">
        <v>2</v>
      </c>
      <c r="G1144" s="34" t="s">
        <v>412</v>
      </c>
      <c r="H1144" s="29">
        <v>1</v>
      </c>
      <c r="I1144" s="9">
        <v>2</v>
      </c>
      <c r="J1144" s="9">
        <v>2</v>
      </c>
      <c r="K1144" s="9">
        <v>1</v>
      </c>
      <c r="L1144" s="9">
        <v>1</v>
      </c>
      <c r="M1144" s="9">
        <v>1</v>
      </c>
      <c r="N1144" s="185">
        <f>IF( OR( ISBLANK(H1144),ISBLANK(J1144), ISBLANK(K1144), ISBLANK(L1144), ISBLANK(M1144) ), "", 1.5*SQRT(   EXP(2.21*(H1144-1)) + EXP(2.21*(J1144-1)) + EXP(2.21*(K1144-1)) + EXP(2.21*(L1144-1)) + EXP(2.21*M1144)   )/100*2.45 )</f>
        <v>0.16933510251023262</v>
      </c>
      <c r="O1144" s="159">
        <f>IF( OR( ISBLANK(I1144),ISBLANK(J1144), ISBLANK(K1144), ISBLANK(L1144), ISBLANK(M1144) ), "", 1.5*SQRT( EXP(2.21*(I1144-1)) + EXP(2.21*(J1144-1)) + EXP(2.21*(K1144-1)) + EXP(2.21*(L1144-1)) + EXP(2.21*M1144)   )/100*2.45 )</f>
        <v>0.19908580854301616</v>
      </c>
      <c r="P1144" s="34" t="s">
        <v>826</v>
      </c>
    </row>
    <row r="1145" spans="1:16" customFormat="1">
      <c r="A1145" s="59" t="s">
        <v>424</v>
      </c>
      <c r="B1145" s="336" t="s">
        <v>427</v>
      </c>
      <c r="C1145" s="34" t="s">
        <v>139</v>
      </c>
      <c r="D1145" s="40" t="s">
        <v>99</v>
      </c>
      <c r="E1145" s="237" t="s">
        <v>150</v>
      </c>
      <c r="F1145" s="40">
        <v>1</v>
      </c>
      <c r="G1145" s="34" t="s">
        <v>412</v>
      </c>
      <c r="H1145" s="29"/>
      <c r="I1145" s="9"/>
      <c r="J1145" s="9"/>
      <c r="K1145" s="9"/>
      <c r="L1145" s="9"/>
      <c r="M1145" s="9"/>
      <c r="N1145" s="185" t="str">
        <f>IF( OR( ISBLANK(H1145),ISBLANK(J1145), ISBLANK(K1145), ISBLANK(L1145), ISBLANK(M1145) ), "", 1.5*SQRT(   EXP(2.21*(H1145-1)) + EXP(2.21*(J1145-1)) + EXP(2.21*(K1145-1)) + EXP(2.21*(L1145-1)) + EXP(2.21*M1145)   )/100*2.45 )</f>
        <v/>
      </c>
      <c r="O1145" s="159" t="str">
        <f>IF( OR( ISBLANK(I1145),ISBLANK(J1145), ISBLANK(K1145), ISBLANK(L1145), ISBLANK(M1145) ), "", 1.5*SQRT( EXP(2.21*(I1145-1)) + EXP(2.21*(J1145-1)) + EXP(2.21*(K1145-1)) + EXP(2.21*(L1145-1)) + EXP(2.21*M1145)   )/100*2.45 )</f>
        <v/>
      </c>
      <c r="P1145" s="34"/>
    </row>
    <row r="1146" spans="1:16" customFormat="1">
      <c r="A1146" s="59" t="s">
        <v>427</v>
      </c>
      <c r="B1146" s="336" t="s">
        <v>258</v>
      </c>
      <c r="C1146" s="34" t="s">
        <v>139</v>
      </c>
      <c r="D1146" s="40" t="s">
        <v>99</v>
      </c>
      <c r="E1146" s="237">
        <v>0.01</v>
      </c>
      <c r="F1146" s="40">
        <v>2</v>
      </c>
      <c r="G1146" s="34" t="s">
        <v>412</v>
      </c>
      <c r="H1146" s="29">
        <v>1</v>
      </c>
      <c r="I1146" s="9">
        <v>2</v>
      </c>
      <c r="J1146" s="9">
        <v>2</v>
      </c>
      <c r="K1146" s="9">
        <v>1</v>
      </c>
      <c r="L1146" s="9">
        <v>1</v>
      </c>
      <c r="M1146" s="9">
        <v>1</v>
      </c>
      <c r="N1146" s="185">
        <f>IF( OR( ISBLANK(H1146),ISBLANK(J1146), ISBLANK(K1146), ISBLANK(L1146), ISBLANK(M1146) ), "", 1.5*SQRT(   EXP(2.21*(H1146-1)) + EXP(2.21*(J1146-1)) + EXP(2.21*(K1146-1)) + EXP(2.21*(L1146-1)) + EXP(2.21*M1146)   )/100*2.45 )</f>
        <v>0.16933510251023262</v>
      </c>
      <c r="O1146" s="159">
        <f>IF( OR( ISBLANK(I1146),ISBLANK(J1146), ISBLANK(K1146), ISBLANK(L1146), ISBLANK(M1146) ), "", 1.5*SQRT( EXP(2.21*(I1146-1)) + EXP(2.21*(J1146-1)) + EXP(2.21*(K1146-1)) + EXP(2.21*(L1146-1)) + EXP(2.21*M1146)   )/100*2.45 )</f>
        <v>0.19908580854301616</v>
      </c>
      <c r="P1146" s="34" t="s">
        <v>829</v>
      </c>
    </row>
    <row r="1147" spans="1:16" customFormat="1">
      <c r="A1147" s="59" t="s">
        <v>427</v>
      </c>
      <c r="B1147" s="336" t="s">
        <v>327</v>
      </c>
      <c r="C1147" s="34" t="s">
        <v>139</v>
      </c>
      <c r="D1147" s="40" t="s">
        <v>99</v>
      </c>
      <c r="E1147" s="237" t="s">
        <v>150</v>
      </c>
      <c r="F1147" s="40">
        <v>1</v>
      </c>
      <c r="G1147" s="34" t="s">
        <v>412</v>
      </c>
      <c r="H1147" s="29"/>
      <c r="I1147" s="9"/>
      <c r="J1147" s="9"/>
      <c r="K1147" s="9"/>
      <c r="L1147" s="9"/>
      <c r="M1147" s="9"/>
      <c r="N1147" s="185" t="str">
        <f>IF( OR( ISBLANK(H1147),ISBLANK(J1147), ISBLANK(K1147), ISBLANK(L1147), ISBLANK(M1147) ), "", 1.5*SQRT(   EXP(2.21*(H1147-1)) + EXP(2.21*(J1147-1)) + EXP(2.21*(K1147-1)) + EXP(2.21*(L1147-1)) + EXP(2.21*M1147)   )/100*2.45 )</f>
        <v/>
      </c>
      <c r="O1147" s="159" t="str">
        <f>IF( OR( ISBLANK(I1147),ISBLANK(J1147), ISBLANK(K1147), ISBLANK(L1147), ISBLANK(M1147) ), "", 1.5*SQRT( EXP(2.21*(I1147-1)) + EXP(2.21*(J1147-1)) + EXP(2.21*(K1147-1)) + EXP(2.21*(L1147-1)) + EXP(2.21*M1147)   )/100*2.45 )</f>
        <v/>
      </c>
      <c r="P1147" s="34"/>
    </row>
    <row r="1148" spans="1:16" customFormat="1">
      <c r="A1148" s="59" t="s">
        <v>426</v>
      </c>
      <c r="B1148" s="336" t="s">
        <v>258</v>
      </c>
      <c r="C1148" s="34" t="s">
        <v>139</v>
      </c>
      <c r="D1148" s="40" t="s">
        <v>99</v>
      </c>
      <c r="E1148" s="237">
        <v>1</v>
      </c>
      <c r="F1148" s="40">
        <v>2</v>
      </c>
      <c r="G1148" s="34" t="s">
        <v>412</v>
      </c>
      <c r="H1148" s="29">
        <v>1</v>
      </c>
      <c r="I1148" s="9">
        <v>2</v>
      </c>
      <c r="J1148" s="9">
        <v>2</v>
      </c>
      <c r="K1148" s="9">
        <v>1</v>
      </c>
      <c r="L1148" s="9">
        <v>1</v>
      </c>
      <c r="M1148" s="9">
        <v>1</v>
      </c>
      <c r="N1148" s="185">
        <f>IF( OR( ISBLANK(H1148),ISBLANK(J1148), ISBLANK(K1148), ISBLANK(L1148), ISBLANK(M1148) ), "", 1.5*SQRT(   EXP(2.21*(H1148-1)) + EXP(2.21*(J1148-1)) + EXP(2.21*(K1148-1)) + EXP(2.21*(L1148-1)) + EXP(2.21*M1148)   )/100*2.45 )</f>
        <v>0.16933510251023262</v>
      </c>
      <c r="O1148" s="159">
        <f>IF( OR( ISBLANK(I1148),ISBLANK(J1148), ISBLANK(K1148), ISBLANK(L1148), ISBLANK(M1148) ), "", 1.5*SQRT( EXP(2.21*(I1148-1)) + EXP(2.21*(J1148-1)) + EXP(2.21*(K1148-1)) + EXP(2.21*(L1148-1)) + EXP(2.21*M1148)   )/100*2.45 )</f>
        <v>0.19908580854301616</v>
      </c>
      <c r="P1148" s="34" t="s">
        <v>827</v>
      </c>
    </row>
    <row r="1149" spans="1:16" customFormat="1">
      <c r="A1149" s="59" t="s">
        <v>425</v>
      </c>
      <c r="B1149" s="336" t="s">
        <v>428</v>
      </c>
      <c r="C1149" s="34" t="s">
        <v>139</v>
      </c>
      <c r="D1149" s="40" t="s">
        <v>99</v>
      </c>
      <c r="E1149" s="237">
        <v>0.01</v>
      </c>
      <c r="F1149" s="40">
        <v>2</v>
      </c>
      <c r="G1149" s="34" t="s">
        <v>412</v>
      </c>
      <c r="H1149" s="29">
        <v>1</v>
      </c>
      <c r="I1149" s="9">
        <v>2</v>
      </c>
      <c r="J1149" s="9">
        <v>2</v>
      </c>
      <c r="K1149" s="9">
        <v>1</v>
      </c>
      <c r="L1149" s="9">
        <v>1</v>
      </c>
      <c r="M1149" s="9">
        <v>1</v>
      </c>
      <c r="N1149" s="185">
        <f>IF( OR( ISBLANK(H1149),ISBLANK(J1149), ISBLANK(K1149), ISBLANK(L1149), ISBLANK(M1149) ), "", 1.5*SQRT(   EXP(2.21*(H1149-1)) + EXP(2.21*(J1149-1)) + EXP(2.21*(K1149-1)) + EXP(2.21*(L1149-1)) + EXP(2.21*M1149)   )/100*2.45 )</f>
        <v>0.16933510251023262</v>
      </c>
      <c r="O1149" s="159">
        <f>IF( OR( ISBLANK(I1149),ISBLANK(J1149), ISBLANK(K1149), ISBLANK(L1149), ISBLANK(M1149) ), "", 1.5*SQRT( EXP(2.21*(I1149-1)) + EXP(2.21*(J1149-1)) + EXP(2.21*(K1149-1)) + EXP(2.21*(L1149-1)) + EXP(2.21*M1149)   )/100*2.45 )</f>
        <v>0.19908580854301616</v>
      </c>
      <c r="P1149" s="34" t="s">
        <v>828</v>
      </c>
    </row>
    <row r="1150" spans="1:16" customFormat="1">
      <c r="A1150" s="59" t="s">
        <v>425</v>
      </c>
      <c r="B1150" s="336" t="s">
        <v>429</v>
      </c>
      <c r="C1150" s="34" t="s">
        <v>139</v>
      </c>
      <c r="D1150" s="40" t="s">
        <v>99</v>
      </c>
      <c r="E1150" s="237" t="s">
        <v>150</v>
      </c>
      <c r="F1150" s="40">
        <v>1</v>
      </c>
      <c r="G1150" s="34" t="s">
        <v>412</v>
      </c>
      <c r="H1150" s="29"/>
      <c r="I1150" s="9"/>
      <c r="J1150" s="9"/>
      <c r="K1150" s="9"/>
      <c r="L1150" s="9"/>
      <c r="M1150" s="9"/>
      <c r="N1150" s="185" t="str">
        <f>IF( OR( ISBLANK(H1150),ISBLANK(J1150), ISBLANK(K1150), ISBLANK(L1150), ISBLANK(M1150) ), "", 1.5*SQRT(   EXP(2.21*(H1150-1)) + EXP(2.21*(J1150-1)) + EXP(2.21*(K1150-1)) + EXP(2.21*(L1150-1)) + EXP(2.21*M1150)   )/100*2.45 )</f>
        <v/>
      </c>
      <c r="O1150" s="159" t="str">
        <f>IF( OR( ISBLANK(I1150),ISBLANK(J1150), ISBLANK(K1150), ISBLANK(L1150), ISBLANK(M1150) ), "", 1.5*SQRT( EXP(2.21*(I1150-1)) + EXP(2.21*(J1150-1)) + EXP(2.21*(K1150-1)) + EXP(2.21*(L1150-1)) + EXP(2.21*M1150)   )/100*2.45 )</f>
        <v/>
      </c>
      <c r="P1150" s="34"/>
    </row>
    <row r="1151" spans="1:16" customFormat="1">
      <c r="A1151" s="59" t="s">
        <v>429</v>
      </c>
      <c r="B1151" s="336" t="s">
        <v>258</v>
      </c>
      <c r="C1151" s="34" t="s">
        <v>139</v>
      </c>
      <c r="D1151" s="40" t="s">
        <v>99</v>
      </c>
      <c r="E1151" s="237">
        <v>0.05</v>
      </c>
      <c r="F1151" s="40">
        <v>2</v>
      </c>
      <c r="G1151" s="34" t="s">
        <v>412</v>
      </c>
      <c r="H1151" s="29">
        <v>1</v>
      </c>
      <c r="I1151" s="9">
        <v>2</v>
      </c>
      <c r="J1151" s="9">
        <v>2</v>
      </c>
      <c r="K1151" s="9">
        <v>1</v>
      </c>
      <c r="L1151" s="9">
        <v>1</v>
      </c>
      <c r="M1151" s="9">
        <v>1</v>
      </c>
      <c r="N1151" s="185">
        <f>IF( OR( ISBLANK(H1151),ISBLANK(J1151), ISBLANK(K1151), ISBLANK(L1151), ISBLANK(M1151) ), "", 1.5*SQRT(   EXP(2.21*(H1151-1)) + EXP(2.21*(J1151-1)) + EXP(2.21*(K1151-1)) + EXP(2.21*(L1151-1)) + EXP(2.21*M1151)   )/100*2.45 )</f>
        <v>0.16933510251023262</v>
      </c>
      <c r="O1151" s="159">
        <f>IF( OR( ISBLANK(I1151),ISBLANK(J1151), ISBLANK(K1151), ISBLANK(L1151), ISBLANK(M1151) ), "", 1.5*SQRT( EXP(2.21*(I1151-1)) + EXP(2.21*(J1151-1)) + EXP(2.21*(K1151-1)) + EXP(2.21*(L1151-1)) + EXP(2.21*M1151)   )/100*2.45 )</f>
        <v>0.19908580854301616</v>
      </c>
      <c r="P1151" s="34" t="s">
        <v>830</v>
      </c>
    </row>
    <row r="1152" spans="1:16" customFormat="1">
      <c r="A1152" s="59" t="s">
        <v>429</v>
      </c>
      <c r="B1152" s="336" t="s">
        <v>327</v>
      </c>
      <c r="C1152" s="34" t="s">
        <v>139</v>
      </c>
      <c r="D1152" s="40" t="s">
        <v>99</v>
      </c>
      <c r="E1152" s="237" t="s">
        <v>150</v>
      </c>
      <c r="F1152" s="40">
        <v>1</v>
      </c>
      <c r="G1152" s="34" t="s">
        <v>412</v>
      </c>
      <c r="H1152" s="29"/>
      <c r="I1152" s="9"/>
      <c r="J1152" s="9"/>
      <c r="K1152" s="9"/>
      <c r="L1152" s="9"/>
      <c r="M1152" s="9"/>
      <c r="N1152" s="185" t="str">
        <f>IF( OR( ISBLANK(H1152),ISBLANK(J1152), ISBLANK(K1152), ISBLANK(L1152), ISBLANK(M1152) ), "", 1.5*SQRT(   EXP(2.21*(H1152-1)) + EXP(2.21*(J1152-1)) + EXP(2.21*(K1152-1)) + EXP(2.21*(L1152-1)) + EXP(2.21*M1152)   )/100*2.45 )</f>
        <v/>
      </c>
      <c r="O1152" s="159" t="str">
        <f>IF( OR( ISBLANK(I1152),ISBLANK(J1152), ISBLANK(K1152), ISBLANK(L1152), ISBLANK(M1152) ), "", 1.5*SQRT( EXP(2.21*(I1152-1)) + EXP(2.21*(J1152-1)) + EXP(2.21*(K1152-1)) + EXP(2.21*(L1152-1)) + EXP(2.21*M1152)   )/100*2.45 )</f>
        <v/>
      </c>
      <c r="P1152" s="34"/>
    </row>
    <row r="1153" spans="1:16" customFormat="1">
      <c r="A1153" s="59" t="s">
        <v>428</v>
      </c>
      <c r="B1153" s="336" t="s">
        <v>258</v>
      </c>
      <c r="C1153" s="34" t="s">
        <v>139</v>
      </c>
      <c r="D1153" s="40" t="s">
        <v>99</v>
      </c>
      <c r="E1153" s="237">
        <v>1</v>
      </c>
      <c r="F1153" s="40">
        <v>2</v>
      </c>
      <c r="G1153" s="34" t="s">
        <v>412</v>
      </c>
      <c r="H1153" s="29">
        <v>1</v>
      </c>
      <c r="I1153" s="9">
        <v>2</v>
      </c>
      <c r="J1153" s="9">
        <v>2</v>
      </c>
      <c r="K1153" s="9">
        <v>1</v>
      </c>
      <c r="L1153" s="9">
        <v>1</v>
      </c>
      <c r="M1153" s="9">
        <v>1</v>
      </c>
      <c r="N1153" s="185">
        <f>IF( OR( ISBLANK(H1153),ISBLANK(J1153), ISBLANK(K1153), ISBLANK(L1153), ISBLANK(M1153) ), "", 1.5*SQRT(   EXP(2.21*(H1153-1)) + EXP(2.21*(J1153-1)) + EXP(2.21*(K1153-1)) + EXP(2.21*(L1153-1)) + EXP(2.21*M1153)   )/100*2.45 )</f>
        <v>0.16933510251023262</v>
      </c>
      <c r="O1153" s="159">
        <f>IF( OR( ISBLANK(I1153),ISBLANK(J1153), ISBLANK(K1153), ISBLANK(L1153), ISBLANK(M1153) ), "", 1.5*SQRT( EXP(2.21*(I1153-1)) + EXP(2.21*(J1153-1)) + EXP(2.21*(K1153-1)) + EXP(2.21*(L1153-1)) + EXP(2.21*M1153)   )/100*2.45 )</f>
        <v>0.19908580854301616</v>
      </c>
      <c r="P1153" s="34" t="s">
        <v>827</v>
      </c>
    </row>
    <row r="1154" spans="1:16" customFormat="1">
      <c r="A1154" s="34" t="str">
        <f>Clothing!A493</f>
        <v>Shirts and blouses</v>
      </c>
      <c r="B1154" s="40" t="str">
        <f>Clothing!B493</f>
        <v>Clothing washed (in use)</v>
      </c>
      <c r="C1154" s="34" t="str">
        <f>Clothing!C493</f>
        <v>any</v>
      </c>
      <c r="D1154" s="40" t="str">
        <f>Clothing!D493</f>
        <v>any</v>
      </c>
      <c r="E1154" s="34">
        <f>Clothing!E493</f>
        <v>1.3554814450000001E-2</v>
      </c>
      <c r="F1154" s="40">
        <f>Clothing!F493</f>
        <v>2</v>
      </c>
      <c r="G1154" s="34" t="str">
        <f>Clothing!G493</f>
        <v>Computed from wearing, washing, drying TCs</v>
      </c>
      <c r="H1154" s="1188">
        <f>Clothing!H493</f>
        <v>2</v>
      </c>
      <c r="I1154" s="307">
        <f>Clothing!I493</f>
        <v>2</v>
      </c>
      <c r="J1154" s="307">
        <f>Clothing!J493</f>
        <v>2</v>
      </c>
      <c r="K1154" s="307">
        <f>Clothing!K493</f>
        <v>2</v>
      </c>
      <c r="L1154" s="307">
        <f>Clothing!L493</f>
        <v>2</v>
      </c>
      <c r="M1154" s="307">
        <f>Clothing!M493</f>
        <v>2</v>
      </c>
      <c r="N1154" s="185">
        <f>IF( OR( ISBLANK(H1154),ISBLANK(J1154), ISBLANK(K1154), ISBLANK(L1154), ISBLANK(M1154) ), "", 1.5*SQRT(   EXP(2.21*(H1154-1)) + EXP(2.21*(J1154-1)) + EXP(2.21*(K1154-1)) + EXP(2.21*(L1154-1)) + EXP(2.21*M1154)   )/100*2.45 )</f>
        <v>0.40183591897512122</v>
      </c>
      <c r="O1154" s="159">
        <f>IF( OR( ISBLANK(I1154),ISBLANK(J1154), ISBLANK(K1154), ISBLANK(L1154), ISBLANK(M1154) ), "", 1.5*SQRT( EXP(2.21*(I1154-1)) + EXP(2.21*(J1154-1)) + EXP(2.21*(K1154-1)) + EXP(2.21*(L1154-1)) + EXP(2.21*M1154)   )/100*2.45 )</f>
        <v>0.40183591897512122</v>
      </c>
      <c r="P1154" s="973"/>
    </row>
    <row r="1155" spans="1:16" customFormat="1">
      <c r="A1155" s="34" t="str">
        <f>Clothing!A494</f>
        <v>Shirts and blouses</v>
      </c>
      <c r="B1155" s="40" t="str">
        <f>Clothing!B494</f>
        <v>Clothing washed (discarded)</v>
      </c>
      <c r="C1155" s="34" t="str">
        <f>Clothing!C494</f>
        <v>any</v>
      </c>
      <c r="D1155" s="40" t="str">
        <f>Clothing!D494</f>
        <v>any</v>
      </c>
      <c r="E1155" s="34" t="str">
        <f>Clothing!E494</f>
        <v>rest</v>
      </c>
      <c r="F1155" s="40">
        <f>Clothing!F494</f>
        <v>1</v>
      </c>
      <c r="G1155" s="34"/>
      <c r="H1155" s="1188"/>
      <c r="I1155" s="307"/>
      <c r="J1155" s="307"/>
      <c r="K1155" s="307"/>
      <c r="L1155" s="307"/>
      <c r="M1155" s="307"/>
      <c r="N1155" s="185" t="str">
        <f>IF( OR( ISBLANK(H1155),ISBLANK(J1155), ISBLANK(K1155), ISBLANK(L1155), ISBLANK(M1155) ), "", 1.5*SQRT(   EXP(2.21*(H1155-1)) + EXP(2.21*(J1155-1)) + EXP(2.21*(K1155-1)) + EXP(2.21*(L1155-1)) + EXP(2.21*M1155)   )/100*2.45 )</f>
        <v/>
      </c>
      <c r="O1155" s="159" t="str">
        <f>IF( OR( ISBLANK(I1155),ISBLANK(J1155), ISBLANK(K1155), ISBLANK(L1155), ISBLANK(M1155) ), "", 1.5*SQRT( EXP(2.21*(I1155-1)) + EXP(2.21*(J1155-1)) + EXP(2.21*(K1155-1)) + EXP(2.21*(L1155-1)) + EXP(2.21*M1155)   )/100*2.45 )</f>
        <v/>
      </c>
      <c r="P1155" s="973"/>
    </row>
    <row r="1156" spans="1:16" customFormat="1">
      <c r="A1156" s="34" t="s">
        <v>284</v>
      </c>
      <c r="B1156" s="40" t="s">
        <v>146</v>
      </c>
      <c r="C1156" s="34" t="s">
        <v>182</v>
      </c>
      <c r="D1156" s="40" t="s">
        <v>139</v>
      </c>
      <c r="E1156" s="1195">
        <v>0.26110973500000001</v>
      </c>
      <c r="F1156" s="40">
        <v>2</v>
      </c>
      <c r="G1156" s="34" t="s">
        <v>1990</v>
      </c>
      <c r="H1156" s="29"/>
      <c r="I1156" s="9">
        <v>1</v>
      </c>
      <c r="J1156" s="9">
        <v>1</v>
      </c>
      <c r="K1156" s="9">
        <v>3</v>
      </c>
      <c r="L1156" s="9">
        <v>1</v>
      </c>
      <c r="M1156" s="9">
        <v>2</v>
      </c>
      <c r="N1156" s="185" t="str">
        <f>IF( OR( ISBLANK(H1156),ISBLANK(J1156), ISBLANK(K1156), ISBLANK(L1156), ISBLANK(M1156) ), "", 1.5*SQRT(   EXP(2.21*(H1156-1)) + EXP(2.21*(J1156-1)) + EXP(2.21*(K1156-1)) + EXP(2.21*(L1156-1)) + EXP(2.21*M1156)   )/100*2.45 )</f>
        <v/>
      </c>
      <c r="O1156" s="159">
        <f>IF( OR( ISBLANK(I1156),ISBLANK(J1156), ISBLANK(K1156), ISBLANK(L1156), ISBLANK(M1156) ), "", 1.5*SQRT( EXP(2.21*(I1156-1)) + EXP(2.21*(J1156-1)) + EXP(2.21*(K1156-1)) + EXP(2.21*(L1156-1)) + EXP(2.21*M1156)   )/100*2.45 )</f>
        <v>0.47802211380704585</v>
      </c>
      <c r="P1156" s="973"/>
    </row>
    <row r="1157" spans="1:16" customFormat="1">
      <c r="A1157" s="34" t="s">
        <v>284</v>
      </c>
      <c r="B1157" s="40" t="s">
        <v>149</v>
      </c>
      <c r="C1157" s="34" t="s">
        <v>182</v>
      </c>
      <c r="D1157" s="40" t="s">
        <v>139</v>
      </c>
      <c r="E1157" s="1195">
        <v>0.16236634799999999</v>
      </c>
      <c r="F1157" s="40">
        <v>2</v>
      </c>
      <c r="G1157" s="34" t="s">
        <v>1990</v>
      </c>
      <c r="H1157" s="29"/>
      <c r="I1157" s="9">
        <v>1</v>
      </c>
      <c r="J1157" s="9">
        <v>1</v>
      </c>
      <c r="K1157" s="9">
        <v>3</v>
      </c>
      <c r="L1157" s="9">
        <v>1</v>
      </c>
      <c r="M1157" s="9">
        <v>2</v>
      </c>
      <c r="N1157" s="185" t="str">
        <f>IF( OR( ISBLANK(H1157),ISBLANK(J1157), ISBLANK(K1157), ISBLANK(L1157), ISBLANK(M1157) ), "", 1.5*SQRT(   EXP(2.21*(H1157-1)) + EXP(2.21*(J1157-1)) + EXP(2.21*(K1157-1)) + EXP(2.21*(L1157-1)) + EXP(2.21*M1157)   )/100*2.45 )</f>
        <v/>
      </c>
      <c r="O1157" s="159">
        <f>IF( OR( ISBLANK(I1157),ISBLANK(J1157), ISBLANK(K1157), ISBLANK(L1157), ISBLANK(M1157) ), "", 1.5*SQRT( EXP(2.21*(I1157-1)) + EXP(2.21*(J1157-1)) + EXP(2.21*(K1157-1)) + EXP(2.21*(L1157-1)) + EXP(2.21*M1157)   )/100*2.45 )</f>
        <v>0.47802211380704585</v>
      </c>
      <c r="P1157" s="973"/>
    </row>
    <row r="1158" spans="1:16" customFormat="1">
      <c r="A1158" s="34" t="s">
        <v>284</v>
      </c>
      <c r="B1158" s="40" t="s">
        <v>184</v>
      </c>
      <c r="C1158" s="34" t="s">
        <v>182</v>
      </c>
      <c r="D1158" s="40" t="s">
        <v>139</v>
      </c>
      <c r="E1158" s="1195">
        <v>5.6761449999999998E-2</v>
      </c>
      <c r="F1158" s="40">
        <v>2</v>
      </c>
      <c r="G1158" s="34" t="s">
        <v>1990</v>
      </c>
      <c r="H1158" s="29"/>
      <c r="I1158" s="9">
        <v>1</v>
      </c>
      <c r="J1158" s="9">
        <v>1</v>
      </c>
      <c r="K1158" s="9">
        <v>3</v>
      </c>
      <c r="L1158" s="9">
        <v>1</v>
      </c>
      <c r="M1158" s="9">
        <v>2</v>
      </c>
      <c r="N1158" s="185" t="str">
        <f>IF( OR( ISBLANK(H1158),ISBLANK(J1158), ISBLANK(K1158), ISBLANK(L1158), ISBLANK(M1158) ), "", 1.5*SQRT(   EXP(2.21*(H1158-1)) + EXP(2.21*(J1158-1)) + EXP(2.21*(K1158-1)) + EXP(2.21*(L1158-1)) + EXP(2.21*M1158)   )/100*2.45 )</f>
        <v/>
      </c>
      <c r="O1158" s="159">
        <f>IF( OR( ISBLANK(I1158),ISBLANK(J1158), ISBLANK(K1158), ISBLANK(L1158), ISBLANK(M1158) ), "", 1.5*SQRT( EXP(2.21*(I1158-1)) + EXP(2.21*(J1158-1)) + EXP(2.21*(K1158-1)) + EXP(2.21*(L1158-1)) + EXP(2.21*M1158)   )/100*2.45 )</f>
        <v>0.47802211380704585</v>
      </c>
      <c r="P1158" s="973"/>
    </row>
    <row r="1159" spans="1:16" customFormat="1">
      <c r="A1159" s="34" t="s">
        <v>284</v>
      </c>
      <c r="B1159" s="40" t="s">
        <v>248</v>
      </c>
      <c r="C1159" s="34" t="s">
        <v>182</v>
      </c>
      <c r="D1159" s="40" t="s">
        <v>139</v>
      </c>
      <c r="E1159" s="1195">
        <v>0.122732613</v>
      </c>
      <c r="F1159" s="40">
        <v>2</v>
      </c>
      <c r="G1159" s="34" t="s">
        <v>1990</v>
      </c>
      <c r="H1159" s="29"/>
      <c r="I1159" s="9">
        <v>1</v>
      </c>
      <c r="J1159" s="9">
        <v>1</v>
      </c>
      <c r="K1159" s="9">
        <v>3</v>
      </c>
      <c r="L1159" s="9">
        <v>1</v>
      </c>
      <c r="M1159" s="9">
        <v>2</v>
      </c>
      <c r="N1159" s="185" t="str">
        <f>IF( OR( ISBLANK(H1159),ISBLANK(J1159), ISBLANK(K1159), ISBLANK(L1159), ISBLANK(M1159) ), "", 1.5*SQRT(   EXP(2.21*(H1159-1)) + EXP(2.21*(J1159-1)) + EXP(2.21*(K1159-1)) + EXP(2.21*(L1159-1)) + EXP(2.21*M1159)   )/100*2.45 )</f>
        <v/>
      </c>
      <c r="O1159" s="159">
        <f>IF( OR( ISBLANK(I1159),ISBLANK(J1159), ISBLANK(K1159), ISBLANK(L1159), ISBLANK(M1159) ), "", 1.5*SQRT( EXP(2.21*(I1159-1)) + EXP(2.21*(J1159-1)) + EXP(2.21*(K1159-1)) + EXP(2.21*(L1159-1)) + EXP(2.21*M1159)   )/100*2.45 )</f>
        <v>0.47802211380704585</v>
      </c>
      <c r="P1159" s="973" t="s">
        <v>1991</v>
      </c>
    </row>
    <row r="1160" spans="1:16" customFormat="1">
      <c r="A1160" s="34" t="s">
        <v>284</v>
      </c>
      <c r="B1160" s="40" t="s">
        <v>179</v>
      </c>
      <c r="C1160" s="34" t="s">
        <v>180</v>
      </c>
      <c r="D1160" s="40" t="s">
        <v>139</v>
      </c>
      <c r="E1160" s="237">
        <v>1</v>
      </c>
      <c r="F1160" s="168">
        <v>2</v>
      </c>
      <c r="G1160" s="34" t="s">
        <v>285</v>
      </c>
      <c r="H1160" s="1187"/>
      <c r="I1160" s="1179"/>
      <c r="J1160" s="1179"/>
      <c r="K1160" s="1179"/>
      <c r="L1160" s="1179"/>
      <c r="M1160" s="1179"/>
      <c r="N1160" s="185" t="str">
        <f>IF( OR( ISBLANK(H1160),ISBLANK(J1160), ISBLANK(K1160), ISBLANK(L1160), ISBLANK(M1160) ), "", 1.5*SQRT(   EXP(2.21*(H1160-1)) + EXP(2.21*(J1160-1)) + EXP(2.21*(K1160-1)) + EXP(2.21*(L1160-1)) + EXP(2.21*M1160)   )/100*2.45 )</f>
        <v/>
      </c>
      <c r="O1160" s="159" t="str">
        <f>IF( OR( ISBLANK(I1160),ISBLANK(J1160), ISBLANK(K1160), ISBLANK(L1160), ISBLANK(M1160) ), "", 1.5*SQRT( EXP(2.21*(I1160-1)) + EXP(2.21*(J1160-1)) + EXP(2.21*(K1160-1)) + EXP(2.21*(L1160-1)) + EXP(2.21*M1160)   )/100*2.45 )</f>
        <v/>
      </c>
      <c r="P1160" s="1182"/>
    </row>
    <row r="1161" spans="1:16" customFormat="1">
      <c r="A1161" s="34" t="s">
        <v>284</v>
      </c>
      <c r="B1161" s="40" t="s">
        <v>179</v>
      </c>
      <c r="C1161" s="34" t="s">
        <v>182</v>
      </c>
      <c r="D1161" s="40" t="s">
        <v>139</v>
      </c>
      <c r="E1161" s="1195">
        <v>0.41880824100000003</v>
      </c>
      <c r="F1161" s="40">
        <v>2</v>
      </c>
      <c r="G1161" s="34" t="s">
        <v>1990</v>
      </c>
      <c r="H1161" s="29"/>
      <c r="I1161" s="9">
        <v>1</v>
      </c>
      <c r="J1161" s="9">
        <v>1</v>
      </c>
      <c r="K1161" s="9">
        <v>3</v>
      </c>
      <c r="L1161" s="9">
        <v>1</v>
      </c>
      <c r="M1161" s="9">
        <v>2</v>
      </c>
      <c r="N1161" s="185" t="str">
        <f>IF( OR( ISBLANK(H1161),ISBLANK(J1161), ISBLANK(K1161), ISBLANK(L1161), ISBLANK(M1161) ), "", 1.5*SQRT(   EXP(2.21*(H1161-1)) + EXP(2.21*(J1161-1)) + EXP(2.21*(K1161-1)) + EXP(2.21*(L1161-1)) + EXP(2.21*M1161)   )/100*2.45 )</f>
        <v/>
      </c>
      <c r="O1161" s="159">
        <f>IF( OR( ISBLANK(I1161),ISBLANK(J1161), ISBLANK(K1161), ISBLANK(L1161), ISBLANK(M1161) ), "", 1.5*SQRT( EXP(2.21*(I1161-1)) + EXP(2.21*(J1161-1)) + EXP(2.21*(K1161-1)) + EXP(2.21*(L1161-1)) + EXP(2.21*M1161)   )/100*2.45 )</f>
        <v>0.47802211380704585</v>
      </c>
      <c r="P1161" s="973"/>
    </row>
    <row r="1162" spans="1:16" customFormat="1">
      <c r="A1162" s="34" t="s">
        <v>286</v>
      </c>
      <c r="B1162" s="40" t="s">
        <v>155</v>
      </c>
      <c r="C1162" s="34" t="s">
        <v>182</v>
      </c>
      <c r="D1162" s="40" t="s">
        <v>139</v>
      </c>
      <c r="E1162" s="1195">
        <v>0.26110973500000001</v>
      </c>
      <c r="F1162" s="40">
        <v>2</v>
      </c>
      <c r="G1162" s="34" t="s">
        <v>1990</v>
      </c>
      <c r="H1162" s="29"/>
      <c r="I1162" s="9">
        <v>1</v>
      </c>
      <c r="J1162" s="9">
        <v>1</v>
      </c>
      <c r="K1162" s="9">
        <v>3</v>
      </c>
      <c r="L1162" s="9">
        <v>1</v>
      </c>
      <c r="M1162" s="9">
        <v>2</v>
      </c>
      <c r="N1162" s="185" t="str">
        <f>IF( OR( ISBLANK(H1162),ISBLANK(J1162), ISBLANK(K1162), ISBLANK(L1162), ISBLANK(M1162) ), "", 1.5*SQRT(   EXP(2.21*(H1162-1)) + EXP(2.21*(J1162-1)) + EXP(2.21*(K1162-1)) + EXP(2.21*(L1162-1)) + EXP(2.21*M1162)   )/100*2.45 )</f>
        <v/>
      </c>
      <c r="O1162" s="159">
        <f>IF( OR( ISBLANK(I1162),ISBLANK(J1162), ISBLANK(K1162), ISBLANK(L1162), ISBLANK(M1162) ), "", 1.5*SQRT( EXP(2.21*(I1162-1)) + EXP(2.21*(J1162-1)) + EXP(2.21*(K1162-1)) + EXP(2.21*(L1162-1)) + EXP(2.21*M1162)   )/100*2.45 )</f>
        <v>0.47802211380704585</v>
      </c>
      <c r="P1162" s="973"/>
    </row>
    <row r="1163" spans="1:16" customFormat="1">
      <c r="A1163" s="34" t="s">
        <v>286</v>
      </c>
      <c r="B1163" s="40" t="s">
        <v>154</v>
      </c>
      <c r="C1163" s="34" t="s">
        <v>182</v>
      </c>
      <c r="D1163" s="40" t="s">
        <v>139</v>
      </c>
      <c r="E1163" s="1195">
        <v>0.16236634799999999</v>
      </c>
      <c r="F1163" s="40">
        <v>2</v>
      </c>
      <c r="G1163" s="34" t="s">
        <v>1990</v>
      </c>
      <c r="H1163" s="29"/>
      <c r="I1163" s="9">
        <v>1</v>
      </c>
      <c r="J1163" s="9">
        <v>1</v>
      </c>
      <c r="K1163" s="9">
        <v>3</v>
      </c>
      <c r="L1163" s="9">
        <v>1</v>
      </c>
      <c r="M1163" s="9">
        <v>2</v>
      </c>
      <c r="N1163" s="185" t="str">
        <f>IF( OR( ISBLANK(H1163),ISBLANK(J1163), ISBLANK(K1163), ISBLANK(L1163), ISBLANK(M1163) ), "", 1.5*SQRT(   EXP(2.21*(H1163-1)) + EXP(2.21*(J1163-1)) + EXP(2.21*(K1163-1)) + EXP(2.21*(L1163-1)) + EXP(2.21*M1163)   )/100*2.45 )</f>
        <v/>
      </c>
      <c r="O1163" s="159">
        <f>IF( OR( ISBLANK(I1163),ISBLANK(J1163), ISBLANK(K1163), ISBLANK(L1163), ISBLANK(M1163) ), "", 1.5*SQRT( EXP(2.21*(I1163-1)) + EXP(2.21*(J1163-1)) + EXP(2.21*(K1163-1)) + EXP(2.21*(L1163-1)) + EXP(2.21*M1163)   )/100*2.45 )</f>
        <v>0.47802211380704585</v>
      </c>
      <c r="P1163" s="973"/>
    </row>
    <row r="1164" spans="1:16" customFormat="1">
      <c r="A1164" s="34" t="s">
        <v>286</v>
      </c>
      <c r="B1164" s="40" t="s">
        <v>184</v>
      </c>
      <c r="C1164" s="34" t="s">
        <v>182</v>
      </c>
      <c r="D1164" s="40" t="s">
        <v>139</v>
      </c>
      <c r="E1164" s="1195">
        <v>5.6761449999999998E-2</v>
      </c>
      <c r="F1164" s="40">
        <v>2</v>
      </c>
      <c r="G1164" s="34" t="s">
        <v>1990</v>
      </c>
      <c r="H1164" s="29"/>
      <c r="I1164" s="9">
        <v>1</v>
      </c>
      <c r="J1164" s="9">
        <v>1</v>
      </c>
      <c r="K1164" s="9">
        <v>3</v>
      </c>
      <c r="L1164" s="9">
        <v>1</v>
      </c>
      <c r="M1164" s="9">
        <v>2</v>
      </c>
      <c r="N1164" s="185" t="str">
        <f>IF( OR( ISBLANK(H1164),ISBLANK(J1164), ISBLANK(K1164), ISBLANK(L1164), ISBLANK(M1164) ), "", 1.5*SQRT(   EXP(2.21*(H1164-1)) + EXP(2.21*(J1164-1)) + EXP(2.21*(K1164-1)) + EXP(2.21*(L1164-1)) + EXP(2.21*M1164)   )/100*2.45 )</f>
        <v/>
      </c>
      <c r="O1164" s="159">
        <f>IF( OR( ISBLANK(I1164),ISBLANK(J1164), ISBLANK(K1164), ISBLANK(L1164), ISBLANK(M1164) ), "", 1.5*SQRT( EXP(2.21*(I1164-1)) + EXP(2.21*(J1164-1)) + EXP(2.21*(K1164-1)) + EXP(2.21*(L1164-1)) + EXP(2.21*M1164)   )/100*2.45 )</f>
        <v>0.47802211380704585</v>
      </c>
      <c r="P1164" s="973"/>
    </row>
    <row r="1165" spans="1:16" customFormat="1">
      <c r="A1165" s="34" t="s">
        <v>286</v>
      </c>
      <c r="B1165" s="40" t="s">
        <v>248</v>
      </c>
      <c r="C1165" s="34" t="s">
        <v>182</v>
      </c>
      <c r="D1165" s="40" t="s">
        <v>139</v>
      </c>
      <c r="E1165" s="1195">
        <v>0.122732613</v>
      </c>
      <c r="F1165" s="40">
        <v>2</v>
      </c>
      <c r="G1165" s="34" t="s">
        <v>1990</v>
      </c>
      <c r="H1165" s="29"/>
      <c r="I1165" s="9">
        <v>1</v>
      </c>
      <c r="J1165" s="9">
        <v>1</v>
      </c>
      <c r="K1165" s="9">
        <v>3</v>
      </c>
      <c r="L1165" s="9">
        <v>1</v>
      </c>
      <c r="M1165" s="9">
        <v>2</v>
      </c>
      <c r="N1165" s="185" t="str">
        <f>IF( OR( ISBLANK(H1165),ISBLANK(J1165), ISBLANK(K1165), ISBLANK(L1165), ISBLANK(M1165) ), "", 1.5*SQRT(   EXP(2.21*(H1165-1)) + EXP(2.21*(J1165-1)) + EXP(2.21*(K1165-1)) + EXP(2.21*(L1165-1)) + EXP(2.21*M1165)   )/100*2.45 )</f>
        <v/>
      </c>
      <c r="O1165" s="159">
        <f>IF( OR( ISBLANK(I1165),ISBLANK(J1165), ISBLANK(K1165), ISBLANK(L1165), ISBLANK(M1165) ), "", 1.5*SQRT( EXP(2.21*(I1165-1)) + EXP(2.21*(J1165-1)) + EXP(2.21*(K1165-1)) + EXP(2.21*(L1165-1)) + EXP(2.21*M1165)   )/100*2.45 )</f>
        <v>0.47802211380704585</v>
      </c>
      <c r="P1165" s="973" t="s">
        <v>1991</v>
      </c>
    </row>
    <row r="1166" spans="1:16" customFormat="1">
      <c r="A1166" s="34" t="s">
        <v>286</v>
      </c>
      <c r="B1166" s="40" t="s">
        <v>179</v>
      </c>
      <c r="C1166" s="34" t="s">
        <v>180</v>
      </c>
      <c r="D1166" s="40" t="s">
        <v>139</v>
      </c>
      <c r="E1166" s="237">
        <v>1</v>
      </c>
      <c r="F1166" s="168">
        <v>2</v>
      </c>
      <c r="G1166" s="34" t="s">
        <v>285</v>
      </c>
      <c r="H1166" s="29"/>
      <c r="I1166" s="9"/>
      <c r="J1166" s="9"/>
      <c r="K1166" s="9"/>
      <c r="L1166" s="9"/>
      <c r="M1166" s="9"/>
      <c r="N1166" s="185" t="str">
        <f>IF( OR( ISBLANK(H1166),ISBLANK(J1166), ISBLANK(K1166), ISBLANK(L1166), ISBLANK(M1166) ), "", 1.5*SQRT(   EXP(2.21*(H1166-1)) + EXP(2.21*(J1166-1)) + EXP(2.21*(K1166-1)) + EXP(2.21*(L1166-1)) + EXP(2.21*M1166)   )/100*2.45 )</f>
        <v/>
      </c>
      <c r="O1166" s="159" t="str">
        <f>IF( OR( ISBLANK(I1166),ISBLANK(J1166), ISBLANK(K1166), ISBLANK(L1166), ISBLANK(M1166) ), "", 1.5*SQRT( EXP(2.21*(I1166-1)) + EXP(2.21*(J1166-1)) + EXP(2.21*(K1166-1)) + EXP(2.21*(L1166-1)) + EXP(2.21*M1166)   )/100*2.45 )</f>
        <v/>
      </c>
      <c r="P1166" s="34"/>
    </row>
    <row r="1167" spans="1:16" customFormat="1">
      <c r="A1167" s="34" t="s">
        <v>286</v>
      </c>
      <c r="B1167" s="40" t="s">
        <v>179</v>
      </c>
      <c r="C1167" s="34" t="s">
        <v>182</v>
      </c>
      <c r="D1167" s="40" t="s">
        <v>139</v>
      </c>
      <c r="E1167" s="1195">
        <v>0.41880824100000003</v>
      </c>
      <c r="F1167" s="40">
        <v>2</v>
      </c>
      <c r="G1167" s="34" t="s">
        <v>1990</v>
      </c>
      <c r="H1167" s="29"/>
      <c r="I1167" s="9">
        <v>1</v>
      </c>
      <c r="J1167" s="9">
        <v>1</v>
      </c>
      <c r="K1167" s="9">
        <v>3</v>
      </c>
      <c r="L1167" s="9">
        <v>1</v>
      </c>
      <c r="M1167" s="9">
        <v>2</v>
      </c>
      <c r="N1167" s="185" t="str">
        <f>IF( OR( ISBLANK(H1167),ISBLANK(J1167), ISBLANK(K1167), ISBLANK(L1167), ISBLANK(M1167) ), "", 1.5*SQRT(   EXP(2.21*(H1167-1)) + EXP(2.21*(J1167-1)) + EXP(2.21*(K1167-1)) + EXP(2.21*(L1167-1)) + EXP(2.21*M1167)   )/100*2.45 )</f>
        <v/>
      </c>
      <c r="O1167" s="159">
        <f>IF( OR( ISBLANK(I1167),ISBLANK(J1167), ISBLANK(K1167), ISBLANK(L1167), ISBLANK(M1167) ), "", 1.5*SQRT( EXP(2.21*(I1167-1)) + EXP(2.21*(J1167-1)) + EXP(2.21*(K1167-1)) + EXP(2.21*(L1167-1)) + EXP(2.21*M1167)   )/100*2.45 )</f>
        <v>0.47802211380704585</v>
      </c>
      <c r="P1167" s="973"/>
    </row>
    <row r="1168" spans="1:16" customFormat="1">
      <c r="A1168" s="34" t="s">
        <v>264</v>
      </c>
      <c r="B1168" s="40" t="s">
        <v>265</v>
      </c>
      <c r="C1168" s="34" t="s">
        <v>139</v>
      </c>
      <c r="D1168" s="40" t="s">
        <v>139</v>
      </c>
      <c r="E1168" s="237">
        <v>1</v>
      </c>
      <c r="F1168" s="168">
        <v>2</v>
      </c>
      <c r="G1168" s="34"/>
      <c r="H1168" s="29">
        <v>3</v>
      </c>
      <c r="I1168" s="9"/>
      <c r="J1168" s="9">
        <v>3</v>
      </c>
      <c r="K1168" s="9">
        <v>3</v>
      </c>
      <c r="L1168" s="9">
        <v>3</v>
      </c>
      <c r="M1168" s="9">
        <v>3</v>
      </c>
      <c r="N1168" s="185">
        <f>IF( OR( ISBLANK(H1168),ISBLANK(J1168), ISBLANK(K1168), ISBLANK(L1168), ISBLANK(M1168) ), "", 1.5*SQRT(   EXP(2.21*(H1168-1)) + EXP(2.21*(J1168-1)) + EXP(2.21*(K1168-1)) + EXP(2.21*(L1168-1)) + EXP(2.21*M1168)   )/100*2.45 )</f>
        <v>1.2132328390150593</v>
      </c>
      <c r="O1168" s="159" t="str">
        <f>IF( OR( ISBLANK(I1168),ISBLANK(J1168), ISBLANK(K1168), ISBLANK(L1168), ISBLANK(M1168) ), "", 1.5*SQRT( EXP(2.21*(I1168-1)) + EXP(2.21*(J1168-1)) + EXP(2.21*(K1168-1)) + EXP(2.21*(L1168-1)) + EXP(2.21*M1168)   )/100*2.45 )</f>
        <v/>
      </c>
      <c r="P1168" s="34"/>
    </row>
    <row r="1169" spans="1:16" customFormat="1">
      <c r="A1169" s="34" t="s">
        <v>264</v>
      </c>
      <c r="B1169" s="40" t="s">
        <v>265</v>
      </c>
      <c r="C1169" s="34" t="s">
        <v>139</v>
      </c>
      <c r="D1169" s="40" t="s">
        <v>139</v>
      </c>
      <c r="E1169" s="237">
        <v>0</v>
      </c>
      <c r="F1169" s="168">
        <v>2</v>
      </c>
      <c r="G1169" s="34"/>
      <c r="H1169" s="29"/>
      <c r="I1169" s="9"/>
      <c r="J1169" s="9"/>
      <c r="K1169" s="9"/>
      <c r="L1169" s="9"/>
      <c r="M1169" s="9"/>
      <c r="N1169" s="185" t="str">
        <f>IF( OR( ISBLANK(H1169),ISBLANK(J1169), ISBLANK(K1169), ISBLANK(L1169), ISBLANK(M1169) ), "", 1.5*SQRT(   EXP(2.21*(H1169-1)) + EXP(2.21*(J1169-1)) + EXP(2.21*(K1169-1)) + EXP(2.21*(L1169-1)) + EXP(2.21*M1169)   )/100*2.45 )</f>
        <v/>
      </c>
      <c r="O1169" s="159" t="str">
        <f>IF( OR( ISBLANK(I1169),ISBLANK(J1169), ISBLANK(K1169), ISBLANK(L1169), ISBLANK(M1169) ), "", 1.5*SQRT( EXP(2.21*(I1169-1)) + EXP(2.21*(J1169-1)) + EXP(2.21*(K1169-1)) + EXP(2.21*(L1169-1)) + EXP(2.21*M1169)   )/100*2.45 )</f>
        <v/>
      </c>
      <c r="P1169" s="34"/>
    </row>
    <row r="1170" spans="1:16" customFormat="1">
      <c r="A1170" s="34" t="s">
        <v>264</v>
      </c>
      <c r="B1170" s="40" t="s">
        <v>209</v>
      </c>
      <c r="C1170" s="34" t="s">
        <v>139</v>
      </c>
      <c r="D1170" s="40" t="s">
        <v>139</v>
      </c>
      <c r="E1170" s="237" t="s">
        <v>150</v>
      </c>
      <c r="F1170" s="168">
        <v>1</v>
      </c>
      <c r="G1170" s="34"/>
      <c r="H1170" s="29"/>
      <c r="I1170" s="9"/>
      <c r="J1170" s="9"/>
      <c r="K1170" s="9"/>
      <c r="L1170" s="9"/>
      <c r="M1170" s="9"/>
      <c r="N1170" s="185" t="str">
        <f>IF( OR( ISBLANK(H1170),ISBLANK(J1170), ISBLANK(K1170), ISBLANK(L1170), ISBLANK(M1170) ), "", 1.5*SQRT(   EXP(2.21*(H1170-1)) + EXP(2.21*(J1170-1)) + EXP(2.21*(K1170-1)) + EXP(2.21*(L1170-1)) + EXP(2.21*M1170)   )/100*2.45 )</f>
        <v/>
      </c>
      <c r="O1170" s="159" t="str">
        <f>IF( OR( ISBLANK(I1170),ISBLANK(J1170), ISBLANK(K1170), ISBLANK(L1170), ISBLANK(M1170) ), "", 1.5*SQRT( EXP(2.21*(I1170-1)) + EXP(2.21*(J1170-1)) + EXP(2.21*(K1170-1)) + EXP(2.21*(L1170-1)) + EXP(2.21*M1170)   )/100*2.45 )</f>
        <v/>
      </c>
      <c r="P1170" s="34"/>
    </row>
    <row r="1171" spans="1:16" customFormat="1">
      <c r="A1171" s="34" t="s">
        <v>266</v>
      </c>
      <c r="B1171" s="40" t="s">
        <v>258</v>
      </c>
      <c r="C1171" s="34" t="s">
        <v>139</v>
      </c>
      <c r="D1171" s="40" t="s">
        <v>139</v>
      </c>
      <c r="E1171" s="237">
        <v>1</v>
      </c>
      <c r="F1171" s="168">
        <v>2</v>
      </c>
      <c r="G1171" s="34"/>
      <c r="H1171" s="29">
        <v>3</v>
      </c>
      <c r="I1171" s="9"/>
      <c r="J1171" s="9">
        <v>3</v>
      </c>
      <c r="K1171" s="9">
        <v>3</v>
      </c>
      <c r="L1171" s="9">
        <v>3</v>
      </c>
      <c r="M1171" s="9">
        <v>3</v>
      </c>
      <c r="N1171" s="185">
        <f>IF( OR( ISBLANK(H1171),ISBLANK(J1171), ISBLANK(K1171), ISBLANK(L1171), ISBLANK(M1171) ), "", 1.5*SQRT(   EXP(2.21*(H1171-1)) + EXP(2.21*(J1171-1)) + EXP(2.21*(K1171-1)) + EXP(2.21*(L1171-1)) + EXP(2.21*M1171)   )/100*2.45 )</f>
        <v>1.2132328390150593</v>
      </c>
      <c r="O1171" s="159" t="str">
        <f>IF( OR( ISBLANK(I1171),ISBLANK(J1171), ISBLANK(K1171), ISBLANK(L1171), ISBLANK(M1171) ), "", 1.5*SQRT( EXP(2.21*(I1171-1)) + EXP(2.21*(J1171-1)) + EXP(2.21*(K1171-1)) + EXP(2.21*(L1171-1)) + EXP(2.21*M1171)   )/100*2.45 )</f>
        <v/>
      </c>
      <c r="P1171" s="34"/>
    </row>
    <row r="1172" spans="1:16" customFormat="1">
      <c r="A1172" s="34" t="s">
        <v>266</v>
      </c>
      <c r="B1172" s="40" t="s">
        <v>258</v>
      </c>
      <c r="C1172" s="34" t="s">
        <v>139</v>
      </c>
      <c r="D1172" s="40" t="s">
        <v>139</v>
      </c>
      <c r="E1172" s="237">
        <v>0</v>
      </c>
      <c r="F1172" s="168">
        <v>2</v>
      </c>
      <c r="G1172" s="34"/>
      <c r="H1172" s="29"/>
      <c r="I1172" s="9"/>
      <c r="J1172" s="9"/>
      <c r="K1172" s="9"/>
      <c r="L1172" s="9"/>
      <c r="M1172" s="9"/>
      <c r="N1172" s="185" t="str">
        <f>IF( OR( ISBLANK(H1172),ISBLANK(J1172), ISBLANK(K1172), ISBLANK(L1172), ISBLANK(M1172) ), "", 1.5*SQRT(   EXP(2.21*(H1172-1)) + EXP(2.21*(J1172-1)) + EXP(2.21*(K1172-1)) + EXP(2.21*(L1172-1)) + EXP(2.21*M1172)   )/100*2.45 )</f>
        <v/>
      </c>
      <c r="O1172" s="159" t="str">
        <f>IF( OR( ISBLANK(I1172),ISBLANK(J1172), ISBLANK(K1172), ISBLANK(L1172), ISBLANK(M1172) ), "", 1.5*SQRT( EXP(2.21*(I1172-1)) + EXP(2.21*(J1172-1)) + EXP(2.21*(K1172-1)) + EXP(2.21*(L1172-1)) + EXP(2.21*M1172)   )/100*2.45 )</f>
        <v/>
      </c>
      <c r="P1172" s="34"/>
    </row>
    <row r="1173" spans="1:16" customFormat="1">
      <c r="A1173" s="34" t="s">
        <v>266</v>
      </c>
      <c r="B1173" s="40" t="s">
        <v>215</v>
      </c>
      <c r="C1173" s="34" t="s">
        <v>139</v>
      </c>
      <c r="D1173" s="40" t="s">
        <v>139</v>
      </c>
      <c r="E1173" s="237" t="s">
        <v>150</v>
      </c>
      <c r="F1173" s="168">
        <v>1</v>
      </c>
      <c r="G1173" s="34"/>
      <c r="H1173" s="29"/>
      <c r="I1173" s="9"/>
      <c r="J1173" s="9"/>
      <c r="K1173" s="9"/>
      <c r="L1173" s="9"/>
      <c r="M1173" s="9"/>
      <c r="N1173" s="185" t="str">
        <f>IF( OR( ISBLANK(H1173),ISBLANK(J1173), ISBLANK(K1173), ISBLANK(L1173), ISBLANK(M1173) ), "", 1.5*SQRT(   EXP(2.21*(H1173-1)) + EXP(2.21*(J1173-1)) + EXP(2.21*(K1173-1)) + EXP(2.21*(L1173-1)) + EXP(2.21*M1173)   )/100*2.45 )</f>
        <v/>
      </c>
      <c r="O1173" s="159" t="str">
        <f>IF( OR( ISBLANK(I1173),ISBLANK(J1173), ISBLANK(K1173), ISBLANK(L1173), ISBLANK(M1173) ), "", 1.5*SQRT( EXP(2.21*(I1173-1)) + EXP(2.21*(J1173-1)) + EXP(2.21*(K1173-1)) + EXP(2.21*(L1173-1)) + EXP(2.21*M1173)   )/100*2.45 )</f>
        <v/>
      </c>
      <c r="P1173" s="34"/>
    </row>
    <row r="1174" spans="1:16" customFormat="1">
      <c r="A1174" s="34" t="str">
        <f>Clothing!A495</f>
        <v>Sweaters and midlayers</v>
      </c>
      <c r="B1174" s="40" t="str">
        <f>Clothing!B495</f>
        <v>Clothing washed (in use)</v>
      </c>
      <c r="C1174" s="34" t="str">
        <f>Clothing!C495</f>
        <v>any</v>
      </c>
      <c r="D1174" s="40" t="str">
        <f>Clothing!D495</f>
        <v>any</v>
      </c>
      <c r="E1174" s="34">
        <f>Clothing!E495</f>
        <v>1.3554814450000001E-2</v>
      </c>
      <c r="F1174" s="40">
        <f>Clothing!F495</f>
        <v>2</v>
      </c>
      <c r="G1174" s="34" t="str">
        <f>Clothing!G495</f>
        <v>Computed from wearing, washing, drying TCs</v>
      </c>
      <c r="H1174" s="1188">
        <f>Clothing!H495</f>
        <v>2</v>
      </c>
      <c r="I1174" s="307">
        <f>Clothing!I495</f>
        <v>2</v>
      </c>
      <c r="J1174" s="307">
        <f>Clothing!J495</f>
        <v>2</v>
      </c>
      <c r="K1174" s="307">
        <f>Clothing!K495</f>
        <v>2</v>
      </c>
      <c r="L1174" s="307">
        <f>Clothing!L495</f>
        <v>2</v>
      </c>
      <c r="M1174" s="307">
        <f>Clothing!M495</f>
        <v>2</v>
      </c>
      <c r="N1174" s="185">
        <f>IF( OR( ISBLANK(H1174),ISBLANK(J1174), ISBLANK(K1174), ISBLANK(L1174), ISBLANK(M1174) ), "", 1.5*SQRT(   EXP(2.21*(H1174-1)) + EXP(2.21*(J1174-1)) + EXP(2.21*(K1174-1)) + EXP(2.21*(L1174-1)) + EXP(2.21*M1174)   )/100*2.45 )</f>
        <v>0.40183591897512122</v>
      </c>
      <c r="O1174" s="159">
        <f>IF( OR( ISBLANK(I1174),ISBLANK(J1174), ISBLANK(K1174), ISBLANK(L1174), ISBLANK(M1174) ), "", 1.5*SQRT( EXP(2.21*(I1174-1)) + EXP(2.21*(J1174-1)) + EXP(2.21*(K1174-1)) + EXP(2.21*(L1174-1)) + EXP(2.21*M1174)   )/100*2.45 )</f>
        <v>0.40183591897512122</v>
      </c>
      <c r="P1174" s="973"/>
    </row>
    <row r="1175" spans="1:16" customFormat="1">
      <c r="A1175" s="34" t="str">
        <f>Clothing!A496</f>
        <v>Sweaters and midlayers</v>
      </c>
      <c r="B1175" s="40" t="str">
        <f>Clothing!B496</f>
        <v>Clothing washed (discarded)</v>
      </c>
      <c r="C1175" s="34" t="str">
        <f>Clothing!C496</f>
        <v>any</v>
      </c>
      <c r="D1175" s="40" t="str">
        <f>Clothing!D496</f>
        <v>any</v>
      </c>
      <c r="E1175" s="34" t="str">
        <f>Clothing!E496</f>
        <v>rest</v>
      </c>
      <c r="F1175" s="40">
        <f>Clothing!F496</f>
        <v>1</v>
      </c>
      <c r="G1175" s="34"/>
      <c r="H1175" s="1188"/>
      <c r="I1175" s="307"/>
      <c r="J1175" s="307"/>
      <c r="K1175" s="307"/>
      <c r="L1175" s="307"/>
      <c r="M1175" s="307"/>
      <c r="N1175" s="185"/>
      <c r="O1175" s="159"/>
      <c r="P1175" s="973"/>
    </row>
    <row r="1176" spans="1:16" customFormat="1">
      <c r="A1176" s="34" t="str">
        <f>Clothing!A497</f>
        <v>Swimwear</v>
      </c>
      <c r="B1176" s="40" t="str">
        <f>Clothing!B497</f>
        <v>Clothing washed (in use)</v>
      </c>
      <c r="C1176" s="34" t="str">
        <f>Clothing!C497</f>
        <v>any</v>
      </c>
      <c r="D1176" s="40" t="str">
        <f>Clothing!D497</f>
        <v>any</v>
      </c>
      <c r="E1176" s="34">
        <f>Clothing!E497</f>
        <v>1.3554814450000001E-2</v>
      </c>
      <c r="F1176" s="40">
        <f>Clothing!F497</f>
        <v>2</v>
      </c>
      <c r="G1176" s="34" t="str">
        <f>Clothing!G497</f>
        <v>Computed from wearing, washing, drying TCs</v>
      </c>
      <c r="H1176" s="1188">
        <f>Clothing!H497</f>
        <v>2</v>
      </c>
      <c r="I1176" s="307">
        <f>Clothing!I497</f>
        <v>2</v>
      </c>
      <c r="J1176" s="307">
        <f>Clothing!J497</f>
        <v>2</v>
      </c>
      <c r="K1176" s="307">
        <f>Clothing!K497</f>
        <v>2</v>
      </c>
      <c r="L1176" s="307">
        <f>Clothing!L497</f>
        <v>2</v>
      </c>
      <c r="M1176" s="307">
        <f>Clothing!M497</f>
        <v>2</v>
      </c>
      <c r="N1176" s="185">
        <f>IF( OR( ISBLANK(H1176),ISBLANK(J1176), ISBLANK(K1176), ISBLANK(L1176), ISBLANK(M1176) ), "", 1.5*SQRT(   EXP(2.21*(H1176-1)) + EXP(2.21*(J1176-1)) + EXP(2.21*(K1176-1)) + EXP(2.21*(L1176-1)) + EXP(2.21*M1176)   )/100*2.45 )</f>
        <v>0.40183591897512122</v>
      </c>
      <c r="O1176" s="159">
        <f>IF( OR( ISBLANK(I1176),ISBLANK(J1176), ISBLANK(K1176), ISBLANK(L1176), ISBLANK(M1176) ), "", 1.5*SQRT( EXP(2.21*(I1176-1)) + EXP(2.21*(J1176-1)) + EXP(2.21*(K1176-1)) + EXP(2.21*(L1176-1)) + EXP(2.21*M1176)   )/100*2.45 )</f>
        <v>0.40183591897512122</v>
      </c>
      <c r="P1176" s="973"/>
    </row>
    <row r="1177" spans="1:16" customFormat="1">
      <c r="A1177" s="34" t="str">
        <f>Clothing!A498</f>
        <v>Swimwear</v>
      </c>
      <c r="B1177" s="40" t="str">
        <f>Clothing!B498</f>
        <v>Clothing washed (discarded)</v>
      </c>
      <c r="C1177" s="34" t="str">
        <f>Clothing!C498</f>
        <v>any</v>
      </c>
      <c r="D1177" s="40" t="str">
        <f>Clothing!D498</f>
        <v>any</v>
      </c>
      <c r="E1177" s="34" t="str">
        <f>Clothing!E498</f>
        <v>rest</v>
      </c>
      <c r="F1177" s="40">
        <f>Clothing!F498</f>
        <v>1</v>
      </c>
      <c r="G1177" s="34"/>
      <c r="H1177" s="1188"/>
      <c r="I1177" s="307"/>
      <c r="J1177" s="307"/>
      <c r="K1177" s="307"/>
      <c r="L1177" s="307"/>
      <c r="M1177" s="307"/>
      <c r="N1177" s="185" t="str">
        <f>IF( OR( ISBLANK(H1177),ISBLANK(J1177), ISBLANK(K1177), ISBLANK(L1177), ISBLANK(M1177) ), "", 1.5*SQRT(   EXP(2.21*(H1177-1)) + EXP(2.21*(J1177-1)) + EXP(2.21*(K1177-1)) + EXP(2.21*(L1177-1)) + EXP(2.21*M1177)   )/100*2.45 )</f>
        <v/>
      </c>
      <c r="O1177" s="159" t="str">
        <f>IF( OR( ISBLANK(I1177),ISBLANK(J1177), ISBLANK(K1177), ISBLANK(L1177), ISBLANK(M1177) ), "", 1.5*SQRT( EXP(2.21*(I1177-1)) + EXP(2.21*(J1177-1)) + EXP(2.21*(K1177-1)) + EXP(2.21*(L1177-1)) + EXP(2.21*M1177)   )/100*2.45 )</f>
        <v/>
      </c>
      <c r="P1177" s="973"/>
    </row>
    <row r="1178" spans="1:16" customFormat="1">
      <c r="A1178" s="55" t="s">
        <v>241</v>
      </c>
      <c r="B1178" s="260" t="s">
        <v>204</v>
      </c>
      <c r="C1178" s="55" t="s">
        <v>139</v>
      </c>
      <c r="D1178" s="260" t="s">
        <v>139</v>
      </c>
      <c r="E1178" s="237">
        <v>2.7E-4</v>
      </c>
      <c r="F1178" s="168">
        <v>2</v>
      </c>
      <c r="G1178" s="55" t="s">
        <v>163</v>
      </c>
      <c r="H1178" s="29">
        <v>2</v>
      </c>
      <c r="I1178" s="9">
        <v>2</v>
      </c>
      <c r="J1178" s="9">
        <v>2</v>
      </c>
      <c r="K1178" s="9">
        <v>3</v>
      </c>
      <c r="L1178" s="9">
        <v>3</v>
      </c>
      <c r="M1178" s="9">
        <v>3</v>
      </c>
      <c r="N1178" s="185">
        <f>IF( OR( ISBLANK(H1178),ISBLANK(J1178), ISBLANK(K1178), ISBLANK(L1178), ISBLANK(M1178) ), "", 1.5*SQRT(   EXP(2.21*(H1178-1)) + EXP(2.21*(J1178-1)) + EXP(2.21*(K1178-1)) + EXP(2.21*(L1178-1)) + EXP(2.21*M1178)   )/100*2.45 )</f>
        <v>1.1278755061256258</v>
      </c>
      <c r="O1178" s="159">
        <f>IF( OR( ISBLANK(I1178),ISBLANK(J1178), ISBLANK(K1178), ISBLANK(L1178), ISBLANK(M1178) ), "", 1.5*SQRT( EXP(2.21*(I1178-1)) + EXP(2.21*(J1178-1)) + EXP(2.21*(K1178-1)) + EXP(2.21*(L1178-1)) + EXP(2.21*M1178)   )/100*2.45 )</f>
        <v>1.1278755061256258</v>
      </c>
      <c r="P1178" s="34"/>
    </row>
    <row r="1179" spans="1:16" customFormat="1">
      <c r="A1179" s="55" t="s">
        <v>241</v>
      </c>
      <c r="B1179" s="260" t="s">
        <v>356</v>
      </c>
      <c r="C1179" s="55" t="s">
        <v>139</v>
      </c>
      <c r="D1179" s="260" t="s">
        <v>139</v>
      </c>
      <c r="E1179" s="237">
        <v>0.91400000000000003</v>
      </c>
      <c r="F1179" s="168">
        <v>2</v>
      </c>
      <c r="G1179" s="55" t="s">
        <v>406</v>
      </c>
      <c r="H1179" s="29">
        <v>2</v>
      </c>
      <c r="I1179" s="9"/>
      <c r="J1179" s="9">
        <v>2</v>
      </c>
      <c r="K1179" s="9">
        <v>1</v>
      </c>
      <c r="L1179" s="9">
        <v>1</v>
      </c>
      <c r="M1179" s="9">
        <v>2</v>
      </c>
      <c r="N1179" s="185">
        <f>IF( OR( ISBLANK(H1179),ISBLANK(J1179), ISBLANK(K1179), ISBLANK(L1179), ISBLANK(M1179) ), "", 1.5*SQRT(   EXP(2.21*(H1179-1)) + EXP(2.21*(J1179-1)) + EXP(2.21*(K1179-1)) + EXP(2.21*(L1179-1)) + EXP(2.21*M1179)   )/100*2.45 )</f>
        <v>0.37356464144298934</v>
      </c>
      <c r="O1179" s="159" t="str">
        <f>IF( OR( ISBLANK(I1179),ISBLANK(J1179), ISBLANK(K1179), ISBLANK(L1179), ISBLANK(M1179) ), "", 1.5*SQRT( EXP(2.21*(I1179-1)) + EXP(2.21*(J1179-1)) + EXP(2.21*(K1179-1)) + EXP(2.21*(L1179-1)) + EXP(2.21*M1179)   )/100*2.45 )</f>
        <v/>
      </c>
      <c r="P1179" s="34"/>
    </row>
    <row r="1180" spans="1:16" customFormat="1">
      <c r="A1180" s="55" t="s">
        <v>241</v>
      </c>
      <c r="B1180" s="260" t="s">
        <v>223</v>
      </c>
      <c r="C1180" s="55" t="s">
        <v>139</v>
      </c>
      <c r="D1180" s="260" t="s">
        <v>139</v>
      </c>
      <c r="E1180" s="237" t="s">
        <v>150</v>
      </c>
      <c r="F1180" s="168">
        <v>1</v>
      </c>
      <c r="G1180" s="55" t="s">
        <v>340</v>
      </c>
      <c r="H1180" s="29"/>
      <c r="I1180" s="9"/>
      <c r="J1180" s="9"/>
      <c r="K1180" s="9"/>
      <c r="L1180" s="9"/>
      <c r="M1180" s="9"/>
      <c r="N1180" s="185" t="str">
        <f>IF( OR( ISBLANK(H1180),ISBLANK(J1180), ISBLANK(K1180), ISBLANK(L1180), ISBLANK(M1180) ), "", 1.5*SQRT(   EXP(2.21*(H1180-1)) + EXP(2.21*(J1180-1)) + EXP(2.21*(K1180-1)) + EXP(2.21*(L1180-1)) + EXP(2.21*M1180)   )/100*2.45 )</f>
        <v/>
      </c>
      <c r="O1180" s="159" t="str">
        <f>IF( OR( ISBLANK(I1180),ISBLANK(J1180), ISBLANK(K1180), ISBLANK(L1180), ISBLANK(M1180) ), "", 1.5*SQRT( EXP(2.21*(I1180-1)) + EXP(2.21*(J1180-1)) + EXP(2.21*(K1180-1)) + EXP(2.21*(L1180-1)) + EXP(2.21*M1180)   )/100*2.45 )</f>
        <v/>
      </c>
      <c r="P1180" s="34"/>
    </row>
    <row r="1181" spans="1:16" customFormat="1">
      <c r="A1181" s="55" t="s">
        <v>348</v>
      </c>
      <c r="B1181" s="260" t="s">
        <v>242</v>
      </c>
      <c r="C1181" s="55" t="s">
        <v>139</v>
      </c>
      <c r="D1181" s="260" t="s">
        <v>139</v>
      </c>
      <c r="E1181" s="237" t="s">
        <v>150</v>
      </c>
      <c r="F1181" s="168">
        <v>1</v>
      </c>
      <c r="G1181" s="55"/>
      <c r="H1181" s="29"/>
      <c r="I1181" s="9"/>
      <c r="J1181" s="9"/>
      <c r="K1181" s="9"/>
      <c r="L1181" s="9"/>
      <c r="M1181" s="9"/>
      <c r="N1181" s="185"/>
      <c r="O1181" s="159"/>
      <c r="P1181" s="34"/>
    </row>
    <row r="1182" spans="1:16" customFormat="1">
      <c r="A1182" s="55" t="s">
        <v>348</v>
      </c>
      <c r="B1182" s="260" t="s">
        <v>349</v>
      </c>
      <c r="C1182" s="55" t="s">
        <v>139</v>
      </c>
      <c r="D1182" s="260" t="s">
        <v>139</v>
      </c>
      <c r="E1182" s="237">
        <v>8.6E-3</v>
      </c>
      <c r="F1182" s="168">
        <v>2</v>
      </c>
      <c r="G1182" s="55" t="s">
        <v>163</v>
      </c>
      <c r="H1182" s="29">
        <v>2</v>
      </c>
      <c r="I1182" s="9">
        <v>2</v>
      </c>
      <c r="J1182" s="9">
        <v>3</v>
      </c>
      <c r="K1182" s="9">
        <v>1</v>
      </c>
      <c r="L1182" s="9">
        <v>1</v>
      </c>
      <c r="M1182" s="9">
        <v>1</v>
      </c>
      <c r="N1182" s="185">
        <f>IF( OR( ISBLANK(H1182),ISBLANK(J1182), ISBLANK(K1182), ISBLANK(L1182), ISBLANK(M1182) ), "", 1.5*SQRT(   EXP(2.21*(H1182-1)) + EXP(2.21*(J1182-1)) + EXP(2.21*(K1182-1)) + EXP(2.21*(L1182-1)) + EXP(2.21*M1182)   )/100*2.45 )</f>
        <v>0.37356464144298934</v>
      </c>
      <c r="O1182" s="159">
        <f>IF( OR( ISBLANK(I1182),ISBLANK(J1182), ISBLANK(K1182), ISBLANK(L1182), ISBLANK(M1182) ), "", 1.5*SQRT( EXP(2.21*(I1182-1)) + EXP(2.21*(J1182-1)) + EXP(2.21*(K1182-1)) + EXP(2.21*(L1182-1)) + EXP(2.21*M1182)   )/100*2.45 )</f>
        <v>0.37356464144298934</v>
      </c>
      <c r="P1182" s="34" t="s">
        <v>350</v>
      </c>
    </row>
    <row r="1183" spans="1:16" customFormat="1">
      <c r="A1183" s="55" t="s">
        <v>348</v>
      </c>
      <c r="B1183" s="260" t="s">
        <v>349</v>
      </c>
      <c r="C1183" s="55" t="s">
        <v>139</v>
      </c>
      <c r="D1183" s="260" t="s">
        <v>139</v>
      </c>
      <c r="E1183" s="237">
        <v>1.2999999999999999E-2</v>
      </c>
      <c r="F1183" s="168">
        <v>2</v>
      </c>
      <c r="G1183" s="55" t="s">
        <v>163</v>
      </c>
      <c r="H1183" s="29">
        <v>2</v>
      </c>
      <c r="I1183" s="9">
        <v>2</v>
      </c>
      <c r="J1183" s="9">
        <v>3</v>
      </c>
      <c r="K1183" s="9">
        <v>1</v>
      </c>
      <c r="L1183" s="9">
        <v>1</v>
      </c>
      <c r="M1183" s="9">
        <v>1</v>
      </c>
      <c r="N1183" s="185">
        <f>IF( OR( ISBLANK(H1183),ISBLANK(J1183), ISBLANK(K1183), ISBLANK(L1183), ISBLANK(M1183) ), "", 1.5*SQRT(   EXP(2.21*(H1183-1)) + EXP(2.21*(J1183-1)) + EXP(2.21*(K1183-1)) + EXP(2.21*(L1183-1)) + EXP(2.21*M1183)   )/100*2.45 )</f>
        <v>0.37356464144298934</v>
      </c>
      <c r="O1183" s="159">
        <f>IF( OR( ISBLANK(I1183),ISBLANK(J1183), ISBLANK(K1183), ISBLANK(L1183), ISBLANK(M1183) ), "", 1.5*SQRT( EXP(2.21*(I1183-1)) + EXP(2.21*(J1183-1)) + EXP(2.21*(K1183-1)) + EXP(2.21*(L1183-1)) + EXP(2.21*M1183)   )/100*2.45 )</f>
        <v>0.37356464144298934</v>
      </c>
      <c r="P1183" s="34" t="s">
        <v>351</v>
      </c>
    </row>
    <row r="1184" spans="1:16" customFormat="1">
      <c r="A1184" s="55" t="s">
        <v>242</v>
      </c>
      <c r="B1184" s="260" t="s">
        <v>204</v>
      </c>
      <c r="C1184" s="55" t="s">
        <v>139</v>
      </c>
      <c r="D1184" s="260" t="s">
        <v>139</v>
      </c>
      <c r="E1184" s="216">
        <v>2.7E-4</v>
      </c>
      <c r="F1184" s="168">
        <v>2</v>
      </c>
      <c r="G1184" s="55" t="s">
        <v>163</v>
      </c>
      <c r="H1184" s="29">
        <v>2</v>
      </c>
      <c r="I1184" s="9">
        <v>2</v>
      </c>
      <c r="J1184" s="9">
        <v>2</v>
      </c>
      <c r="K1184" s="9">
        <v>3</v>
      </c>
      <c r="L1184" s="9">
        <v>3</v>
      </c>
      <c r="M1184" s="9">
        <v>3</v>
      </c>
      <c r="N1184" s="185">
        <f>IF( OR( ISBLANK(H1184),ISBLANK(J1184), ISBLANK(K1184), ISBLANK(L1184), ISBLANK(M1184) ), "", 1.5*SQRT(   EXP(2.21*(H1184-1)) + EXP(2.21*(J1184-1)) + EXP(2.21*(K1184-1)) + EXP(2.21*(L1184-1)) + EXP(2.21*M1184)   )/100*2.45 )</f>
        <v>1.1278755061256258</v>
      </c>
      <c r="O1184" s="159">
        <f>IF( OR( ISBLANK(I1184),ISBLANK(J1184), ISBLANK(K1184), ISBLANK(L1184), ISBLANK(M1184) ), "", 1.5*SQRT( EXP(2.21*(I1184-1)) + EXP(2.21*(J1184-1)) + EXP(2.21*(K1184-1)) + EXP(2.21*(L1184-1)) + EXP(2.21*M1184)   )/100*2.45 )</f>
        <v>1.1278755061256258</v>
      </c>
      <c r="P1184" s="34"/>
    </row>
    <row r="1185" spans="1:16" customFormat="1">
      <c r="A1185" s="55" t="s">
        <v>242</v>
      </c>
      <c r="B1185" s="260" t="s">
        <v>223</v>
      </c>
      <c r="C1185" s="55" t="s">
        <v>139</v>
      </c>
      <c r="D1185" s="260" t="s">
        <v>139</v>
      </c>
      <c r="E1185" s="237" t="s">
        <v>150</v>
      </c>
      <c r="F1185" s="168">
        <v>1</v>
      </c>
      <c r="G1185" s="55"/>
      <c r="H1185" s="29">
        <v>1</v>
      </c>
      <c r="I1185" s="9">
        <v>2</v>
      </c>
      <c r="J1185" s="9">
        <v>2</v>
      </c>
      <c r="K1185" s="9">
        <v>2</v>
      </c>
      <c r="L1185" s="9">
        <v>1</v>
      </c>
      <c r="M1185" s="9">
        <v>2</v>
      </c>
      <c r="N1185" s="185">
        <f>IF( OR( ISBLANK(H1185),ISBLANK(J1185), ISBLANK(K1185), ISBLANK(L1185), ISBLANK(M1185) ), "", 1.5*SQRT(   EXP(2.21*(H1185-1)) + EXP(2.21*(J1185-1)) + EXP(2.21*(K1185-1)) + EXP(2.21*(L1185-1)) + EXP(2.21*M1185)   )/100*2.45 )</f>
        <v>0.37356464144298934</v>
      </c>
      <c r="O1185" s="159">
        <f>IF( OR( ISBLANK(I1185),ISBLANK(J1185), ISBLANK(K1185), ISBLANK(L1185), ISBLANK(M1185) ), "", 1.5*SQRT( EXP(2.21*(I1185-1)) + EXP(2.21*(J1185-1)) + EXP(2.21*(K1185-1)) + EXP(2.21*(L1185-1)) + EXP(2.21*M1185)   )/100*2.45 )</f>
        <v>0.38795788889711302</v>
      </c>
      <c r="P1185" s="34"/>
    </row>
    <row r="1186" spans="1:16" customFormat="1">
      <c r="A1186" s="68" t="str">
        <f>'Textile waste collection'!A33</f>
        <v>Technical home textiles (discarded)</v>
      </c>
      <c r="B1186" s="304" t="str">
        <f>'Textile waste collection'!B33</f>
        <v>Technical textile waste collection</v>
      </c>
      <c r="C1186" s="69" t="str">
        <f>'Textile waste collection'!C33</f>
        <v>any</v>
      </c>
      <c r="D1186" s="823" t="str">
        <f>'Textile waste collection'!D33</f>
        <v>any</v>
      </c>
      <c r="E1186" s="69">
        <f>'Textile waste collection'!E33</f>
        <v>0.50465116279069766</v>
      </c>
      <c r="F1186" s="823">
        <f>'Textile waste collection'!F33</f>
        <v>2</v>
      </c>
      <c r="G1186" s="69" t="str">
        <f>'Textile waste collection'!G33</f>
        <v>Massabalans textiel, 2022</v>
      </c>
      <c r="H1186" s="1188">
        <f>'Textile waste collection'!H33</f>
        <v>1</v>
      </c>
      <c r="I1186" s="307">
        <f>'Textile waste collection'!I33</f>
        <v>2</v>
      </c>
      <c r="J1186" s="307">
        <f>'Textile waste collection'!J33</f>
        <v>2</v>
      </c>
      <c r="K1186" s="307">
        <f>'Textile waste collection'!K33</f>
        <v>1</v>
      </c>
      <c r="L1186" s="307">
        <f>'Textile waste collection'!L33</f>
        <v>2</v>
      </c>
      <c r="M1186" s="307">
        <f>'Textile waste collection'!M33</f>
        <v>2</v>
      </c>
      <c r="N1186" s="616">
        <f>IF( OR( ISBLANK(H1186),ISBLANK(J1186), ISBLANK(K1186), ISBLANK(L1186), ISBLANK(M1186) ), "", 1.5*SQRT(   EXP(2.21*(H1186-1)) + EXP(2.21*(J1186-1)) + EXP(2.21*(K1186-1)) + EXP(2.21*(L1186-1)) + EXP(2.21*M1186)   )/100*2.45 )</f>
        <v>0.37356464144298934</v>
      </c>
      <c r="O1186" s="1282">
        <f>IF( OR( ISBLANK(I1186),ISBLANK(J1186), ISBLANK(K1186), ISBLANK(L1186), ISBLANK(M1186) ), "", 1.5*SQRT( EXP(2.21*(I1186-1)) + EXP(2.21*(J1186-1)) + EXP(2.21*(K1186-1)) + EXP(2.21*(L1186-1)) + EXP(2.21*M1186)   )/100*2.45 )</f>
        <v>0.38795788889711302</v>
      </c>
      <c r="P1186" s="68"/>
    </row>
    <row r="1187" spans="1:16" customFormat="1">
      <c r="A1187" s="55" t="s">
        <v>349</v>
      </c>
      <c r="B1187" s="260" t="s">
        <v>228</v>
      </c>
      <c r="C1187" s="55" t="s">
        <v>139</v>
      </c>
      <c r="D1187" s="260" t="s">
        <v>139</v>
      </c>
      <c r="E1187" s="237">
        <v>1</v>
      </c>
      <c r="F1187" s="168">
        <v>2</v>
      </c>
      <c r="G1187" s="55"/>
      <c r="H1187" s="29"/>
      <c r="I1187" s="9"/>
      <c r="J1187" s="9"/>
      <c r="K1187" s="9"/>
      <c r="L1187" s="9"/>
      <c r="M1187" s="9"/>
      <c r="N1187" s="185" t="str">
        <f>IF( OR( ISBLANK(H1187),ISBLANK(J1187), ISBLANK(K1187), ISBLANK(L1187), ISBLANK(M1187) ), "", 1.5*SQRT(   EXP(2.21*(H1187-1)) + EXP(2.21*(J1187-1)) + EXP(2.21*(K1187-1)) + EXP(2.21*(L1187-1)) + EXP(2.21*M1187)   )/100*2.45 )</f>
        <v/>
      </c>
      <c r="O1187" s="159" t="str">
        <f>IF( OR( ISBLANK(I1187),ISBLANK(J1187), ISBLANK(K1187), ISBLANK(L1187), ISBLANK(M1187) ), "", 1.5*SQRT( EXP(2.21*(I1187-1)) + EXP(2.21*(J1187-1)) + EXP(2.21*(K1187-1)) + EXP(2.21*(L1187-1)) + EXP(2.21*M1187)   )/100*2.45 )</f>
        <v/>
      </c>
      <c r="P1187" s="34"/>
    </row>
    <row r="1188" spans="1:16" customFormat="1">
      <c r="A1188" s="68" t="str">
        <f>'Textile waste collection'!A48</f>
        <v>Technical textile waste collection</v>
      </c>
      <c r="B1188" s="304" t="str">
        <f>'Textile waste collection'!B48</f>
        <v>Textile reuse</v>
      </c>
      <c r="C1188" s="69" t="str">
        <f>'Textile waste collection'!C48</f>
        <v>any</v>
      </c>
      <c r="D1188" s="823" t="str">
        <f>'Textile waste collection'!D48</f>
        <v>any</v>
      </c>
      <c r="E1188" s="69">
        <f>'Textile waste collection'!E48</f>
        <v>6.7281105990783407E-2</v>
      </c>
      <c r="F1188" s="823">
        <f>'Textile waste collection'!F48</f>
        <v>2</v>
      </c>
      <c r="G1188" s="69" t="str">
        <f>'Textile waste collection'!G48</f>
        <v>Massabalans textiel, 2022</v>
      </c>
      <c r="H1188" s="1188">
        <f>'Textile waste collection'!H48</f>
        <v>1</v>
      </c>
      <c r="I1188" s="307">
        <f>'Textile waste collection'!I48</f>
        <v>2</v>
      </c>
      <c r="J1188" s="307">
        <f>'Textile waste collection'!J48</f>
        <v>2</v>
      </c>
      <c r="K1188" s="307">
        <f>'Textile waste collection'!K48</f>
        <v>1</v>
      </c>
      <c r="L1188" s="307">
        <f>'Textile waste collection'!L48</f>
        <v>2</v>
      </c>
      <c r="M1188" s="307">
        <f>'Textile waste collection'!M48</f>
        <v>2</v>
      </c>
      <c r="N1188" s="616">
        <f>IF( OR( ISBLANK(H1188),ISBLANK(J1188), ISBLANK(K1188), ISBLANK(L1188), ISBLANK(M1188) ), "", 1.5*SQRT(   EXP(2.21*(H1188-1)) + EXP(2.21*(J1188-1)) + EXP(2.21*(K1188-1)) + EXP(2.21*(L1188-1)) + EXP(2.21*M1188)   )/100*2.45 )</f>
        <v>0.37356464144298934</v>
      </c>
      <c r="O1188" s="1282">
        <f>IF( OR( ISBLANK(I1188),ISBLANK(J1188), ISBLANK(K1188), ISBLANK(L1188), ISBLANK(M1188) ), "", 1.5*SQRT( EXP(2.21*(I1188-1)) + EXP(2.21*(J1188-1)) + EXP(2.21*(K1188-1)) + EXP(2.21*(L1188-1)) + EXP(2.21*M1188)   )/100*2.45 )</f>
        <v>0.38795788889711302</v>
      </c>
      <c r="P1188" s="68"/>
    </row>
    <row r="1189" spans="1:16" customFormat="1">
      <c r="A1189" s="68" t="str">
        <f>'Textile waste collection'!A49</f>
        <v>Technical textile waste collection</v>
      </c>
      <c r="B1189" s="304" t="str">
        <f>'Textile waste collection'!B49</f>
        <v>Textile recycling</v>
      </c>
      <c r="C1189" s="69" t="str">
        <f>'Textile waste collection'!C49</f>
        <v>any</v>
      </c>
      <c r="D1189" s="823" t="str">
        <f>'Textile waste collection'!D49</f>
        <v>any</v>
      </c>
      <c r="E1189" s="69">
        <f>'Textile waste collection'!E49</f>
        <v>5.7142857142857141E-2</v>
      </c>
      <c r="F1189" s="823">
        <f>'Textile waste collection'!F49</f>
        <v>3</v>
      </c>
      <c r="G1189" s="69" t="str">
        <f>'Textile waste collection'!G49</f>
        <v>Massabalans textiel, 2022</v>
      </c>
      <c r="H1189" s="1188">
        <f>'Textile waste collection'!H49</f>
        <v>1</v>
      </c>
      <c r="I1189" s="307">
        <f>'Textile waste collection'!I49</f>
        <v>2</v>
      </c>
      <c r="J1189" s="307">
        <f>'Textile waste collection'!J49</f>
        <v>2</v>
      </c>
      <c r="K1189" s="307">
        <f>'Textile waste collection'!K49</f>
        <v>1</v>
      </c>
      <c r="L1189" s="307">
        <f>'Textile waste collection'!L49</f>
        <v>2</v>
      </c>
      <c r="M1189" s="307">
        <f>'Textile waste collection'!M49</f>
        <v>2</v>
      </c>
      <c r="N1189" s="616">
        <f>IF( OR( ISBLANK(H1189),ISBLANK(J1189), ISBLANK(K1189), ISBLANK(L1189), ISBLANK(M1189) ), "", 1.5*SQRT(   EXP(2.21*(H1189-1)) + EXP(2.21*(J1189-1)) + EXP(2.21*(K1189-1)) + EXP(2.21*(L1189-1)) + EXP(2.21*M1189)   )/100*2.45 )</f>
        <v>0.37356464144298934</v>
      </c>
      <c r="O1189" s="1282">
        <f>IF( OR( ISBLANK(I1189),ISBLANK(J1189), ISBLANK(K1189), ISBLANK(L1189), ISBLANK(M1189) ), "", 1.5*SQRT( EXP(2.21*(I1189-1)) + EXP(2.21*(J1189-1)) + EXP(2.21*(K1189-1)) + EXP(2.21*(L1189-1)) + EXP(2.21*M1189)   )/100*2.45 )</f>
        <v>0.38795788889711302</v>
      </c>
      <c r="P1189" s="68"/>
    </row>
    <row r="1190" spans="1:16" customFormat="1">
      <c r="A1190" s="68" t="str">
        <f>'Textile waste collection'!A50</f>
        <v>Technical textile waste collection</v>
      </c>
      <c r="B1190" s="304" t="str">
        <f>'Textile waste collection'!B50</f>
        <v>Residential soil (macro)</v>
      </c>
      <c r="C1190" s="69" t="str">
        <f>'Textile waste collection'!C50</f>
        <v>any</v>
      </c>
      <c r="D1190" s="823" t="str">
        <f>'Textile waste collection'!D50</f>
        <v>any</v>
      </c>
      <c r="E1190" s="69">
        <f>'Textile waste collection'!E50</f>
        <v>1E-4</v>
      </c>
      <c r="F1190" s="823">
        <f>'Textile waste collection'!F50</f>
        <v>3</v>
      </c>
      <c r="G1190" s="69" t="str">
        <f>'Textile waste collection'!G50</f>
        <v>assumption based on similar losses estimated for other waste collection systems</v>
      </c>
      <c r="H1190" s="1188">
        <f>'Textile waste collection'!H50</f>
        <v>1</v>
      </c>
      <c r="I1190" s="307">
        <f>'Textile waste collection'!I50</f>
        <v>2</v>
      </c>
      <c r="J1190" s="307">
        <f>'Textile waste collection'!J50</f>
        <v>2</v>
      </c>
      <c r="K1190" s="307">
        <f>'Textile waste collection'!K50</f>
        <v>2</v>
      </c>
      <c r="L1190" s="307">
        <f>'Textile waste collection'!L50</f>
        <v>2</v>
      </c>
      <c r="M1190" s="307">
        <f>'Textile waste collection'!M50</f>
        <v>2</v>
      </c>
      <c r="N1190" s="616">
        <f>IF( OR( ISBLANK(H1190),ISBLANK(J1190), ISBLANK(K1190), ISBLANK(L1190), ISBLANK(M1190) ), "", 1.5*SQRT(   EXP(2.21*(H1190-1)) + EXP(2.21*(J1190-1)) + EXP(2.21*(K1190-1)) + EXP(2.21*(L1190-1)) + EXP(2.21*M1190)   )/100*2.45 )</f>
        <v>0.38795788889711302</v>
      </c>
      <c r="O1190" s="1282">
        <f>IF( OR( ISBLANK(I1190),ISBLANK(J1190), ISBLANK(K1190), ISBLANK(L1190), ISBLANK(M1190) ), "", 1.5*SQRT( EXP(2.21*(I1190-1)) + EXP(2.21*(J1190-1)) + EXP(2.21*(K1190-1)) + EXP(2.21*(L1190-1)) + EXP(2.21*M1190)   )/100*2.45 )</f>
        <v>0.40183591897512122</v>
      </c>
      <c r="P1190" s="68"/>
    </row>
    <row r="1191" spans="1:16" customFormat="1">
      <c r="A1191" s="68" t="str">
        <f>'Textile waste collection'!A51</f>
        <v>Technical textile waste collection</v>
      </c>
      <c r="B1191" s="304" t="str">
        <f>'Textile waste collection'!B51</f>
        <v>Landfill</v>
      </c>
      <c r="C1191" s="69" t="str">
        <f>'Textile waste collection'!C51</f>
        <v>any</v>
      </c>
      <c r="D1191" s="823" t="str">
        <f>'Textile waste collection'!D51</f>
        <v>any</v>
      </c>
      <c r="E1191" s="69">
        <f>'Textile waste collection'!E51</f>
        <v>3.0000000000000001E-3</v>
      </c>
      <c r="F1191" s="823">
        <f>'Textile waste collection'!F51</f>
        <v>2</v>
      </c>
      <c r="G1191" s="69" t="str">
        <f>'Textile waste collection'!G51</f>
        <v>Massabalans textiel, 2018</v>
      </c>
      <c r="H1191" s="1188">
        <f>'Textile waste collection'!H51</f>
        <v>1</v>
      </c>
      <c r="I1191" s="307">
        <f>'Textile waste collection'!I51</f>
        <v>2</v>
      </c>
      <c r="J1191" s="307">
        <f>'Textile waste collection'!J51</f>
        <v>2</v>
      </c>
      <c r="K1191" s="307">
        <f>'Textile waste collection'!K51</f>
        <v>1</v>
      </c>
      <c r="L1191" s="307">
        <f>'Textile waste collection'!L51</f>
        <v>2</v>
      </c>
      <c r="M1191" s="307">
        <f>'Textile waste collection'!M51</f>
        <v>2</v>
      </c>
      <c r="N1191" s="616">
        <f>IF( OR( ISBLANK(H1191),ISBLANK(J1191), ISBLANK(K1191), ISBLANK(L1191), ISBLANK(M1191) ), "", 1.5*SQRT(   EXP(2.21*(H1191-1)) + EXP(2.21*(J1191-1)) + EXP(2.21*(K1191-1)) + EXP(2.21*(L1191-1)) + EXP(2.21*M1191)   )/100*2.45 )</f>
        <v>0.37356464144298934</v>
      </c>
      <c r="O1191" s="1282">
        <f>IF( OR( ISBLANK(I1191),ISBLANK(J1191), ISBLANK(K1191), ISBLANK(L1191), ISBLANK(M1191) ), "", 1.5*SQRT( EXP(2.21*(I1191-1)) + EXP(2.21*(J1191-1)) + EXP(2.21*(K1191-1)) + EXP(2.21*(L1191-1)) + EXP(2.21*M1191)   )/100*2.45 )</f>
        <v>0.38795788889711302</v>
      </c>
      <c r="P1191" s="68"/>
    </row>
    <row r="1192" spans="1:16" customFormat="1">
      <c r="A1192" s="68" t="str">
        <f>'Textile waste collection'!A53</f>
        <v>Technical textile waste collection</v>
      </c>
      <c r="B1192" s="304" t="str">
        <f>'Textile waste collection'!B53</f>
        <v>Export</v>
      </c>
      <c r="C1192" s="69" t="str">
        <f>'Textile waste collection'!C53</f>
        <v>any</v>
      </c>
      <c r="D1192" s="823" t="str">
        <f>'Textile waste collection'!D53</f>
        <v>any</v>
      </c>
      <c r="E1192" s="69" t="str">
        <f>'Textile waste collection'!E53</f>
        <v>rest</v>
      </c>
      <c r="F1192" s="823">
        <f>'Textile waste collection'!F53</f>
        <v>1</v>
      </c>
      <c r="G1192" s="69" t="str">
        <f>'Textile waste collection'!G53</f>
        <v>Massabalans textiel, 2022</v>
      </c>
      <c r="H1192" s="1188"/>
      <c r="I1192" s="307"/>
      <c r="J1192" s="307"/>
      <c r="K1192" s="307"/>
      <c r="L1192" s="307"/>
      <c r="M1192" s="307"/>
      <c r="N1192" s="616" t="str">
        <f>IF( OR( ISBLANK(H1192),ISBLANK(J1192), ISBLANK(K1192), ISBLANK(L1192), ISBLANK(M1192) ), "", 1.5*SQRT(   EXP(2.21*(H1192-1)) + EXP(2.21*(J1192-1)) + EXP(2.21*(K1192-1)) + EXP(2.21*(L1192-1)) + EXP(2.21*M1192)   )/100*2.45 )</f>
        <v/>
      </c>
      <c r="O1192" s="1282" t="str">
        <f>IF( OR( ISBLANK(I1192),ISBLANK(J1192), ISBLANK(K1192), ISBLANK(L1192), ISBLANK(M1192) ), "", 1.5*SQRT( EXP(2.21*(I1192-1)) + EXP(2.21*(J1192-1)) + EXP(2.21*(K1192-1)) + EXP(2.21*(L1192-1)) + EXP(2.21*M1192)   )/100*2.45 )</f>
        <v/>
      </c>
      <c r="P1192" s="68"/>
    </row>
    <row r="1193" spans="1:16" customFormat="1">
      <c r="A1193" s="68" t="str">
        <f>'Textile waste collection'!A52</f>
        <v>Technical textile waste collection</v>
      </c>
      <c r="B1193" s="304" t="str">
        <f>'Textile waste collection'!B52</f>
        <v>Incineration</v>
      </c>
      <c r="C1193" s="69" t="str">
        <f>'Textile waste collection'!C52</f>
        <v>any</v>
      </c>
      <c r="D1193" s="823" t="str">
        <f>'Textile waste collection'!D52</f>
        <v>any</v>
      </c>
      <c r="E1193" s="69">
        <f>'Textile waste collection'!E52</f>
        <v>6.5437788018433182E-2</v>
      </c>
      <c r="F1193" s="823">
        <f>'Textile waste collection'!F52</f>
        <v>2</v>
      </c>
      <c r="G1193" s="69" t="str">
        <f>'Textile waste collection'!G52</f>
        <v>Massabalans textiel, 2022</v>
      </c>
      <c r="H1193" s="1188">
        <f>'Textile waste collection'!H52</f>
        <v>1</v>
      </c>
      <c r="I1193" s="307">
        <f>'Textile waste collection'!I52</f>
        <v>2</v>
      </c>
      <c r="J1193" s="307">
        <f>'Textile waste collection'!J52</f>
        <v>2</v>
      </c>
      <c r="K1193" s="307">
        <f>'Textile waste collection'!K52</f>
        <v>1</v>
      </c>
      <c r="L1193" s="307">
        <f>'Textile waste collection'!L52</f>
        <v>2</v>
      </c>
      <c r="M1193" s="307">
        <f>'Textile waste collection'!M52</f>
        <v>2</v>
      </c>
      <c r="N1193" s="616">
        <f>IF( OR( ISBLANK(H1193),ISBLANK(J1193), ISBLANK(K1193), ISBLANK(L1193), ISBLANK(M1193) ), "", 1.5*SQRT(   EXP(2.21*(H1193-1)) + EXP(2.21*(J1193-1)) + EXP(2.21*(K1193-1)) + EXP(2.21*(L1193-1)) + EXP(2.21*M1193)   )/100*2.45 )</f>
        <v>0.37356464144298934</v>
      </c>
      <c r="O1193" s="1282">
        <f>IF( OR( ISBLANK(I1193),ISBLANK(J1193), ISBLANK(K1193), ISBLANK(L1193), ISBLANK(M1193) ), "", 1.5*SQRT( EXP(2.21*(I1193-1)) + EXP(2.21*(J1193-1)) + EXP(2.21*(K1193-1)) + EXP(2.21*(L1193-1)) + EXP(2.21*M1193)   )/100*2.45 )</f>
        <v>0.38795788889711302</v>
      </c>
      <c r="P1193" s="68"/>
    </row>
    <row r="1194" spans="1:16" customFormat="1">
      <c r="A1194" s="34" t="s">
        <v>121</v>
      </c>
      <c r="B1194" s="40" t="s">
        <v>152</v>
      </c>
      <c r="C1194" s="34" t="s">
        <v>139</v>
      </c>
      <c r="D1194" s="40" t="s">
        <v>85</v>
      </c>
      <c r="E1194" s="237">
        <v>0</v>
      </c>
      <c r="F1194" s="168">
        <v>1</v>
      </c>
      <c r="G1194" s="34"/>
      <c r="H1194" s="29"/>
      <c r="I1194" s="9"/>
      <c r="J1194" s="9"/>
      <c r="K1194" s="9"/>
      <c r="L1194" s="9"/>
      <c r="M1194" s="9"/>
      <c r="N1194" s="185" t="str">
        <f>IF( OR( ISBLANK(H1194),ISBLANK(J1194), ISBLANK(K1194), ISBLANK(L1194), ISBLANK(M1194) ), "", 1.5*SQRT(   EXP(2.21*(H1194-1)) + EXP(2.21*(J1194-1)) + EXP(2.21*(K1194-1)) + EXP(2.21*(L1194-1)) + EXP(2.21*M1194)   )/100*2.45 )</f>
        <v/>
      </c>
      <c r="O1194" s="159" t="str">
        <f>IF( OR( ISBLANK(I1194),ISBLANK(J1194), ISBLANK(K1194), ISBLANK(L1194), ISBLANK(M1194) ), "", 1.5*SQRT( EXP(2.21*(I1194-1)) + EXP(2.21*(J1194-1)) + EXP(2.21*(K1194-1)) + EXP(2.21*(L1194-1)) + EXP(2.21*M1194)   )/100*2.45 )</f>
        <v/>
      </c>
      <c r="P1194" s="34"/>
    </row>
    <row r="1195" spans="1:16" customFormat="1">
      <c r="A1195" s="34" t="s">
        <v>121</v>
      </c>
      <c r="B1195" s="40" t="s">
        <v>152</v>
      </c>
      <c r="C1195" s="34" t="s">
        <v>139</v>
      </c>
      <c r="D1195" s="40" t="s">
        <v>86</v>
      </c>
      <c r="E1195" s="237">
        <v>0</v>
      </c>
      <c r="F1195" s="168">
        <v>1</v>
      </c>
      <c r="G1195" s="34"/>
      <c r="H1195" s="29"/>
      <c r="I1195" s="9"/>
      <c r="J1195" s="9"/>
      <c r="K1195" s="9"/>
      <c r="L1195" s="9"/>
      <c r="M1195" s="9"/>
      <c r="N1195" s="185" t="str">
        <f>IF( OR( ISBLANK(H1195),ISBLANK(J1195), ISBLANK(K1195), ISBLANK(L1195), ISBLANK(M1195) ), "", 1.5*SQRT(   EXP(2.21*(H1195-1)) + EXP(2.21*(J1195-1)) + EXP(2.21*(K1195-1)) + EXP(2.21*(L1195-1)) + EXP(2.21*M1195)   )/100*2.45 )</f>
        <v/>
      </c>
      <c r="O1195" s="159" t="str">
        <f>IF( OR( ISBLANK(I1195),ISBLANK(J1195), ISBLANK(K1195), ISBLANK(L1195), ISBLANK(M1195) ), "", 1.5*SQRT( EXP(2.21*(I1195-1)) + EXP(2.21*(J1195-1)) + EXP(2.21*(K1195-1)) + EXP(2.21*(L1195-1)) + EXP(2.21*M1195)   )/100*2.45 )</f>
        <v/>
      </c>
      <c r="P1195" s="34"/>
    </row>
    <row r="1196" spans="1:16" customFormat="1">
      <c r="A1196" s="34" t="s">
        <v>121</v>
      </c>
      <c r="B1196" s="40" t="s">
        <v>152</v>
      </c>
      <c r="C1196" s="34" t="s">
        <v>139</v>
      </c>
      <c r="D1196" s="40" t="s">
        <v>87</v>
      </c>
      <c r="E1196" s="237">
        <v>0.14328135279788046</v>
      </c>
      <c r="F1196" s="168">
        <v>1</v>
      </c>
      <c r="G1196" s="34"/>
      <c r="H1196" s="29">
        <v>3</v>
      </c>
      <c r="I1196" s="9">
        <v>3</v>
      </c>
      <c r="J1196" s="9">
        <v>2</v>
      </c>
      <c r="K1196" s="9">
        <v>2</v>
      </c>
      <c r="L1196" s="9">
        <v>1</v>
      </c>
      <c r="M1196" s="9">
        <v>2</v>
      </c>
      <c r="N1196" s="185">
        <f>IF( OR( ISBLANK(H1196),ISBLANK(J1196), ISBLANK(K1196), ISBLANK(L1196), ISBLANK(M1196) ), "", 1.5*SQRT(   EXP(2.21*(H1196-1)) + EXP(2.21*(J1196-1)) + EXP(2.21*(K1196-1)) + EXP(2.21*(L1196-1)) + EXP(2.21*M1196)   )/100*2.45 )</f>
        <v>0.50042652380814845</v>
      </c>
      <c r="O1196" s="159">
        <f>IF( OR( ISBLANK(I1196),ISBLANK(J1196), ISBLANK(K1196), ISBLANK(L1196), ISBLANK(M1196) ), "", 1.5*SQRT( EXP(2.21*(I1196-1)) + EXP(2.21*(J1196-1)) + EXP(2.21*(K1196-1)) + EXP(2.21*(L1196-1)) + EXP(2.21*M1196)   )/100*2.45 )</f>
        <v>0.50042652380814845</v>
      </c>
      <c r="P1196" s="34"/>
    </row>
    <row r="1197" spans="1:16" customFormat="1">
      <c r="A1197" s="34" t="s">
        <v>121</v>
      </c>
      <c r="B1197" s="40" t="s">
        <v>152</v>
      </c>
      <c r="C1197" s="34" t="s">
        <v>139</v>
      </c>
      <c r="D1197" s="40" t="s">
        <v>88</v>
      </c>
      <c r="E1197" s="237">
        <v>0</v>
      </c>
      <c r="F1197" s="168">
        <v>1</v>
      </c>
      <c r="G1197" s="34"/>
      <c r="H1197" s="29"/>
      <c r="I1197" s="9"/>
      <c r="J1197" s="9"/>
      <c r="K1197" s="9"/>
      <c r="L1197" s="9"/>
      <c r="M1197" s="9"/>
      <c r="N1197" s="185" t="str">
        <f>IF( OR( ISBLANK(H1197),ISBLANK(J1197), ISBLANK(K1197), ISBLANK(L1197), ISBLANK(M1197) ), "", 1.5*SQRT(   EXP(2.21*(H1197-1)) + EXP(2.21*(J1197-1)) + EXP(2.21*(K1197-1)) + EXP(2.21*(L1197-1)) + EXP(2.21*M1197)   )/100*2.45 )</f>
        <v/>
      </c>
      <c r="O1197" s="159" t="str">
        <f>IF( OR( ISBLANK(I1197),ISBLANK(J1197), ISBLANK(K1197), ISBLANK(L1197), ISBLANK(M1197) ), "", 1.5*SQRT( EXP(2.21*(I1197-1)) + EXP(2.21*(J1197-1)) + EXP(2.21*(K1197-1)) + EXP(2.21*(L1197-1)) + EXP(2.21*M1197)   )/100*2.45 )</f>
        <v/>
      </c>
      <c r="P1197" s="34"/>
    </row>
    <row r="1198" spans="1:16" customFormat="1">
      <c r="A1198" s="34" t="s">
        <v>121</v>
      </c>
      <c r="B1198" s="40" t="s">
        <v>152</v>
      </c>
      <c r="C1198" s="34" t="s">
        <v>139</v>
      </c>
      <c r="D1198" s="40" t="s">
        <v>89</v>
      </c>
      <c r="E1198" s="237">
        <v>0</v>
      </c>
      <c r="F1198" s="168">
        <v>1</v>
      </c>
      <c r="G1198" s="34"/>
      <c r="H1198" s="29"/>
      <c r="I1198" s="9"/>
      <c r="J1198" s="9"/>
      <c r="K1198" s="9"/>
      <c r="L1198" s="9"/>
      <c r="M1198" s="9"/>
      <c r="N1198" s="185" t="str">
        <f>IF( OR( ISBLANK(H1198),ISBLANK(J1198), ISBLANK(K1198), ISBLANK(L1198), ISBLANK(M1198) ), "", 1.5*SQRT(   EXP(2.21*(H1198-1)) + EXP(2.21*(J1198-1)) + EXP(2.21*(K1198-1)) + EXP(2.21*(L1198-1)) + EXP(2.21*M1198)   )/100*2.45 )</f>
        <v/>
      </c>
      <c r="O1198" s="159" t="str">
        <f>IF( OR( ISBLANK(I1198),ISBLANK(J1198), ISBLANK(K1198), ISBLANK(L1198), ISBLANK(M1198) ), "", 1.5*SQRT( EXP(2.21*(I1198-1)) + EXP(2.21*(J1198-1)) + EXP(2.21*(K1198-1)) + EXP(2.21*(L1198-1)) + EXP(2.21*M1198)   )/100*2.45 )</f>
        <v/>
      </c>
      <c r="P1198" s="34"/>
    </row>
    <row r="1199" spans="1:16" customFormat="1">
      <c r="A1199" s="34" t="s">
        <v>121</v>
      </c>
      <c r="B1199" s="40" t="s">
        <v>152</v>
      </c>
      <c r="C1199" s="34" t="s">
        <v>139</v>
      </c>
      <c r="D1199" s="40" t="s">
        <v>90</v>
      </c>
      <c r="E1199" s="237">
        <v>0</v>
      </c>
      <c r="F1199" s="168">
        <v>1</v>
      </c>
      <c r="G1199" s="34"/>
      <c r="H1199" s="29"/>
      <c r="I1199" s="9"/>
      <c r="J1199" s="9"/>
      <c r="K1199" s="9"/>
      <c r="L1199" s="9"/>
      <c r="M1199" s="9"/>
      <c r="N1199" s="185" t="str">
        <f>IF( OR( ISBLANK(H1199),ISBLANK(J1199), ISBLANK(K1199), ISBLANK(L1199), ISBLANK(M1199) ), "", 1.5*SQRT(   EXP(2.21*(H1199-1)) + EXP(2.21*(J1199-1)) + EXP(2.21*(K1199-1)) + EXP(2.21*(L1199-1)) + EXP(2.21*M1199)   )/100*2.45 )</f>
        <v/>
      </c>
      <c r="O1199" s="159" t="str">
        <f>IF( OR( ISBLANK(I1199),ISBLANK(J1199), ISBLANK(K1199), ISBLANK(L1199), ISBLANK(M1199) ), "", 1.5*SQRT( EXP(2.21*(I1199-1)) + EXP(2.21*(J1199-1)) + EXP(2.21*(K1199-1)) + EXP(2.21*(L1199-1)) + EXP(2.21*M1199)   )/100*2.45 )</f>
        <v/>
      </c>
      <c r="P1199" s="34"/>
    </row>
    <row r="1200" spans="1:16" customFormat="1">
      <c r="A1200" s="34" t="s">
        <v>121</v>
      </c>
      <c r="B1200" s="40" t="s">
        <v>152</v>
      </c>
      <c r="C1200" s="34" t="s">
        <v>139</v>
      </c>
      <c r="D1200" s="40" t="s">
        <v>91</v>
      </c>
      <c r="E1200" s="237">
        <v>0.15050289033535363</v>
      </c>
      <c r="F1200" s="168">
        <v>1</v>
      </c>
      <c r="G1200" s="34"/>
      <c r="H1200" s="29">
        <v>3</v>
      </c>
      <c r="I1200" s="9">
        <v>3</v>
      </c>
      <c r="J1200" s="9">
        <v>2</v>
      </c>
      <c r="K1200" s="9">
        <v>2</v>
      </c>
      <c r="L1200" s="9">
        <v>1</v>
      </c>
      <c r="M1200" s="9">
        <v>2</v>
      </c>
      <c r="N1200" s="185">
        <f>IF( OR( ISBLANK(H1200),ISBLANK(J1200), ISBLANK(K1200), ISBLANK(L1200), ISBLANK(M1200) ), "", 1.5*SQRT(   EXP(2.21*(H1200-1)) + EXP(2.21*(J1200-1)) + EXP(2.21*(K1200-1)) + EXP(2.21*(L1200-1)) + EXP(2.21*M1200)   )/100*2.45 )</f>
        <v>0.50042652380814845</v>
      </c>
      <c r="O1200" s="159">
        <f>IF( OR( ISBLANK(I1200),ISBLANK(J1200), ISBLANK(K1200), ISBLANK(L1200), ISBLANK(M1200) ), "", 1.5*SQRT( EXP(2.21*(I1200-1)) + EXP(2.21*(J1200-1)) + EXP(2.21*(K1200-1)) + EXP(2.21*(L1200-1)) + EXP(2.21*M1200)   )/100*2.45 )</f>
        <v>0.50042652380814845</v>
      </c>
      <c r="P1200" s="34"/>
    </row>
    <row r="1201" spans="1:16" customFormat="1">
      <c r="A1201" s="34" t="s">
        <v>121</v>
      </c>
      <c r="B1201" s="40" t="s">
        <v>152</v>
      </c>
      <c r="C1201" s="34" t="s">
        <v>139</v>
      </c>
      <c r="D1201" s="40" t="s">
        <v>95</v>
      </c>
      <c r="E1201" s="237">
        <v>0.11589508747504616</v>
      </c>
      <c r="F1201" s="168">
        <v>1</v>
      </c>
      <c r="G1201" s="34"/>
      <c r="H1201" s="29">
        <v>3</v>
      </c>
      <c r="I1201" s="9">
        <v>4</v>
      </c>
      <c r="J1201" s="9">
        <v>2</v>
      </c>
      <c r="K1201" s="9">
        <v>2</v>
      </c>
      <c r="L1201" s="9">
        <v>1</v>
      </c>
      <c r="M1201" s="9">
        <v>2</v>
      </c>
      <c r="N1201" s="185">
        <f>IF( OR( ISBLANK(H1201),ISBLANK(J1201), ISBLANK(K1201), ISBLANK(L1201), ISBLANK(M1201) ), "", 1.5*SQRT(   EXP(2.21*(H1201-1)) + EXP(2.21*(J1201-1)) + EXP(2.21*(K1201-1)) + EXP(2.21*(L1201-1)) + EXP(2.21*M1201)   )/100*2.45 )</f>
        <v>0.50042652380814845</v>
      </c>
      <c r="O1201" s="159">
        <f>IF( OR( ISBLANK(I1201),ISBLANK(J1201), ISBLANK(K1201), ISBLANK(L1201), ISBLANK(M1201) ), "", 1.5*SQRT( EXP(2.21*(I1201-1)) + EXP(2.21*(J1201-1)) + EXP(2.21*(K1201-1)) + EXP(2.21*(L1201-1)) + EXP(2.21*M1201)   )/100*2.45 )</f>
        <v>1.0776024280428556</v>
      </c>
      <c r="P1201" s="34"/>
    </row>
    <row r="1202" spans="1:16" customFormat="1">
      <c r="A1202" s="34" t="s">
        <v>121</v>
      </c>
      <c r="B1202" s="40" t="s">
        <v>152</v>
      </c>
      <c r="C1202" s="34" t="s">
        <v>139</v>
      </c>
      <c r="D1202" s="40" t="s">
        <v>99</v>
      </c>
      <c r="E1202" s="237">
        <v>0</v>
      </c>
      <c r="F1202" s="168">
        <v>1</v>
      </c>
      <c r="G1202" s="34"/>
      <c r="H1202" s="29"/>
      <c r="I1202" s="9"/>
      <c r="J1202" s="9"/>
      <c r="K1202" s="9"/>
      <c r="L1202" s="9"/>
      <c r="M1202" s="9"/>
      <c r="N1202" s="185" t="str">
        <f>IF( OR( ISBLANK(H1202),ISBLANK(J1202), ISBLANK(K1202), ISBLANK(L1202), ISBLANK(M1202) ), "", 1.5*SQRT(   EXP(2.21*(H1202-1)) + EXP(2.21*(J1202-1)) + EXP(2.21*(K1202-1)) + EXP(2.21*(L1202-1)) + EXP(2.21*M1202)   )/100*2.45 )</f>
        <v/>
      </c>
      <c r="O1202" s="159" t="str">
        <f>IF( OR( ISBLANK(I1202),ISBLANK(J1202), ISBLANK(K1202), ISBLANK(L1202), ISBLANK(M1202) ), "", 1.5*SQRT( EXP(2.21*(I1202-1)) + EXP(2.21*(J1202-1)) + EXP(2.21*(K1202-1)) + EXP(2.21*(L1202-1)) + EXP(2.21*M1202)   )/100*2.45 )</f>
        <v/>
      </c>
      <c r="P1202" s="34"/>
    </row>
    <row r="1203" spans="1:16" customFormat="1">
      <c r="A1203" s="34" t="s">
        <v>121</v>
      </c>
      <c r="B1203" s="40" t="s">
        <v>170</v>
      </c>
      <c r="C1203" s="34" t="s">
        <v>139</v>
      </c>
      <c r="D1203" s="40" t="s">
        <v>85</v>
      </c>
      <c r="E1203" s="237">
        <v>0</v>
      </c>
      <c r="F1203" s="168">
        <v>1</v>
      </c>
      <c r="G1203" s="34"/>
      <c r="H1203" s="29"/>
      <c r="I1203" s="9"/>
      <c r="J1203" s="9"/>
      <c r="K1203" s="9"/>
      <c r="L1203" s="9"/>
      <c r="M1203" s="9"/>
      <c r="N1203" s="185" t="str">
        <f>IF( OR( ISBLANK(H1203),ISBLANK(J1203), ISBLANK(K1203), ISBLANK(L1203), ISBLANK(M1203) ), "", 1.5*SQRT(   EXP(2.21*(H1203-1)) + EXP(2.21*(J1203-1)) + EXP(2.21*(K1203-1)) + EXP(2.21*(L1203-1)) + EXP(2.21*M1203)   )/100*2.45 )</f>
        <v/>
      </c>
      <c r="O1203" s="159" t="str">
        <f>IF( OR( ISBLANK(I1203),ISBLANK(J1203), ISBLANK(K1203), ISBLANK(L1203), ISBLANK(M1203) ), "", 1.5*SQRT( EXP(2.21*(I1203-1)) + EXP(2.21*(J1203-1)) + EXP(2.21*(K1203-1)) + EXP(2.21*(L1203-1)) + EXP(2.21*M1203)   )/100*2.45 )</f>
        <v/>
      </c>
      <c r="P1203" s="34"/>
    </row>
    <row r="1204" spans="1:16" customFormat="1">
      <c r="A1204" s="34" t="s">
        <v>121</v>
      </c>
      <c r="B1204" s="40" t="s">
        <v>170</v>
      </c>
      <c r="C1204" s="34" t="s">
        <v>139</v>
      </c>
      <c r="D1204" s="40" t="s">
        <v>86</v>
      </c>
      <c r="E1204" s="237">
        <v>0</v>
      </c>
      <c r="F1204" s="168">
        <v>1</v>
      </c>
      <c r="G1204" s="34"/>
      <c r="H1204" s="29"/>
      <c r="I1204" s="9"/>
      <c r="J1204" s="9"/>
      <c r="K1204" s="9"/>
      <c r="L1204" s="9"/>
      <c r="M1204" s="9"/>
      <c r="N1204" s="185" t="str">
        <f>IF( OR( ISBLANK(H1204),ISBLANK(J1204), ISBLANK(K1204), ISBLANK(L1204), ISBLANK(M1204) ), "", 1.5*SQRT(   EXP(2.21*(H1204-1)) + EXP(2.21*(J1204-1)) + EXP(2.21*(K1204-1)) + EXP(2.21*(L1204-1)) + EXP(2.21*M1204)   )/100*2.45 )</f>
        <v/>
      </c>
      <c r="O1204" s="159" t="str">
        <f>IF( OR( ISBLANK(I1204),ISBLANK(J1204), ISBLANK(K1204), ISBLANK(L1204), ISBLANK(M1204) ), "", 1.5*SQRT( EXP(2.21*(I1204-1)) + EXP(2.21*(J1204-1)) + EXP(2.21*(K1204-1)) + EXP(2.21*(L1204-1)) + EXP(2.21*M1204)   )/100*2.45 )</f>
        <v/>
      </c>
      <c r="P1204" s="34"/>
    </row>
    <row r="1205" spans="1:16" customFormat="1">
      <c r="A1205" s="34" t="s">
        <v>121</v>
      </c>
      <c r="B1205" s="40" t="s">
        <v>170</v>
      </c>
      <c r="C1205" s="34" t="s">
        <v>139</v>
      </c>
      <c r="D1205" s="40" t="s">
        <v>87</v>
      </c>
      <c r="E1205" s="237">
        <v>5.3557140062945638E-2</v>
      </c>
      <c r="F1205" s="168">
        <v>1</v>
      </c>
      <c r="G1205" s="34"/>
      <c r="H1205" s="29">
        <v>3</v>
      </c>
      <c r="I1205" s="9">
        <v>3</v>
      </c>
      <c r="J1205" s="9">
        <v>2</v>
      </c>
      <c r="K1205" s="9">
        <v>2</v>
      </c>
      <c r="L1205" s="9">
        <v>1</v>
      </c>
      <c r="M1205" s="9">
        <v>2</v>
      </c>
      <c r="N1205" s="185">
        <f>IF( OR( ISBLANK(H1205),ISBLANK(J1205), ISBLANK(K1205), ISBLANK(L1205), ISBLANK(M1205) ), "", 1.5*SQRT(   EXP(2.21*(H1205-1)) + EXP(2.21*(J1205-1)) + EXP(2.21*(K1205-1)) + EXP(2.21*(L1205-1)) + EXP(2.21*M1205)   )/100*2.45 )</f>
        <v>0.50042652380814845</v>
      </c>
      <c r="O1205" s="159">
        <f>IF( OR( ISBLANK(I1205),ISBLANK(J1205), ISBLANK(K1205), ISBLANK(L1205), ISBLANK(M1205) ), "", 1.5*SQRT( EXP(2.21*(I1205-1)) + EXP(2.21*(J1205-1)) + EXP(2.21*(K1205-1)) + EXP(2.21*(L1205-1)) + EXP(2.21*M1205)   )/100*2.45 )</f>
        <v>0.50042652380814845</v>
      </c>
      <c r="P1205" s="34"/>
    </row>
    <row r="1206" spans="1:16" customFormat="1">
      <c r="A1206" s="34" t="s">
        <v>121</v>
      </c>
      <c r="B1206" s="40" t="s">
        <v>170</v>
      </c>
      <c r="C1206" s="34" t="s">
        <v>139</v>
      </c>
      <c r="D1206" s="40" t="s">
        <v>88</v>
      </c>
      <c r="E1206" s="237">
        <v>0</v>
      </c>
      <c r="F1206" s="168">
        <v>1</v>
      </c>
      <c r="G1206" s="34"/>
      <c r="H1206" s="29"/>
      <c r="I1206" s="9"/>
      <c r="J1206" s="9"/>
      <c r="K1206" s="9"/>
      <c r="L1206" s="9"/>
      <c r="M1206" s="9"/>
      <c r="N1206" s="185" t="str">
        <f>IF( OR( ISBLANK(H1206),ISBLANK(J1206), ISBLANK(K1206), ISBLANK(L1206), ISBLANK(M1206) ), "", 1.5*SQRT(   EXP(2.21*(H1206-1)) + EXP(2.21*(J1206-1)) + EXP(2.21*(K1206-1)) + EXP(2.21*(L1206-1)) + EXP(2.21*M1206)   )/100*2.45 )</f>
        <v/>
      </c>
      <c r="O1206" s="159" t="str">
        <f>IF( OR( ISBLANK(I1206),ISBLANK(J1206), ISBLANK(K1206), ISBLANK(L1206), ISBLANK(M1206) ), "", 1.5*SQRT( EXP(2.21*(I1206-1)) + EXP(2.21*(J1206-1)) + EXP(2.21*(K1206-1)) + EXP(2.21*(L1206-1)) + EXP(2.21*M1206)   )/100*2.45 )</f>
        <v/>
      </c>
      <c r="P1206" s="34"/>
    </row>
    <row r="1207" spans="1:16" customFormat="1">
      <c r="A1207" s="34" t="s">
        <v>121</v>
      </c>
      <c r="B1207" s="40" t="s">
        <v>170</v>
      </c>
      <c r="C1207" s="34" t="s">
        <v>139</v>
      </c>
      <c r="D1207" s="40" t="s">
        <v>89</v>
      </c>
      <c r="E1207" s="237">
        <v>0</v>
      </c>
      <c r="F1207" s="168">
        <v>1</v>
      </c>
      <c r="G1207" s="34"/>
      <c r="H1207" s="29"/>
      <c r="I1207" s="9"/>
      <c r="J1207" s="9"/>
      <c r="K1207" s="9"/>
      <c r="L1207" s="9"/>
      <c r="M1207" s="9"/>
      <c r="N1207" s="185" t="str">
        <f>IF( OR( ISBLANK(H1207),ISBLANK(J1207), ISBLANK(K1207), ISBLANK(L1207), ISBLANK(M1207) ), "", 1.5*SQRT(   EXP(2.21*(H1207-1)) + EXP(2.21*(J1207-1)) + EXP(2.21*(K1207-1)) + EXP(2.21*(L1207-1)) + EXP(2.21*M1207)   )/100*2.45 )</f>
        <v/>
      </c>
      <c r="O1207" s="159" t="str">
        <f>IF( OR( ISBLANK(I1207),ISBLANK(J1207), ISBLANK(K1207), ISBLANK(L1207), ISBLANK(M1207) ), "", 1.5*SQRT( EXP(2.21*(I1207-1)) + EXP(2.21*(J1207-1)) + EXP(2.21*(K1207-1)) + EXP(2.21*(L1207-1)) + EXP(2.21*M1207)   )/100*2.45 )</f>
        <v/>
      </c>
      <c r="P1207" s="34"/>
    </row>
    <row r="1208" spans="1:16" customFormat="1">
      <c r="A1208" s="34" t="s">
        <v>121</v>
      </c>
      <c r="B1208" s="40" t="s">
        <v>170</v>
      </c>
      <c r="C1208" s="34" t="s">
        <v>139</v>
      </c>
      <c r="D1208" s="40" t="s">
        <v>90</v>
      </c>
      <c r="E1208" s="237">
        <v>0</v>
      </c>
      <c r="F1208" s="168">
        <v>1</v>
      </c>
      <c r="G1208" s="34"/>
      <c r="H1208" s="29"/>
      <c r="I1208" s="9"/>
      <c r="J1208" s="9"/>
      <c r="K1208" s="9"/>
      <c r="L1208" s="9"/>
      <c r="M1208" s="9"/>
      <c r="N1208" s="185" t="str">
        <f>IF( OR( ISBLANK(H1208),ISBLANK(J1208), ISBLANK(K1208), ISBLANK(L1208), ISBLANK(M1208) ), "", 1.5*SQRT(   EXP(2.21*(H1208-1)) + EXP(2.21*(J1208-1)) + EXP(2.21*(K1208-1)) + EXP(2.21*(L1208-1)) + EXP(2.21*M1208)   )/100*2.45 )</f>
        <v/>
      </c>
      <c r="O1208" s="159" t="str">
        <f>IF( OR( ISBLANK(I1208),ISBLANK(J1208), ISBLANK(K1208), ISBLANK(L1208), ISBLANK(M1208) ), "", 1.5*SQRT( EXP(2.21*(I1208-1)) + EXP(2.21*(J1208-1)) + EXP(2.21*(K1208-1)) + EXP(2.21*(L1208-1)) + EXP(2.21*M1208)   )/100*2.45 )</f>
        <v/>
      </c>
      <c r="P1208" s="34"/>
    </row>
    <row r="1209" spans="1:16" customFormat="1">
      <c r="A1209" s="34" t="s">
        <v>121</v>
      </c>
      <c r="B1209" s="40" t="s">
        <v>170</v>
      </c>
      <c r="C1209" s="34" t="s">
        <v>139</v>
      </c>
      <c r="D1209" s="40" t="s">
        <v>91</v>
      </c>
      <c r="E1209" s="237">
        <v>5.6256478740392787E-2</v>
      </c>
      <c r="F1209" s="168">
        <v>1</v>
      </c>
      <c r="G1209" s="34"/>
      <c r="H1209" s="29">
        <v>3</v>
      </c>
      <c r="I1209" s="9">
        <v>3</v>
      </c>
      <c r="J1209" s="9">
        <v>2</v>
      </c>
      <c r="K1209" s="9">
        <v>2</v>
      </c>
      <c r="L1209" s="9">
        <v>1</v>
      </c>
      <c r="M1209" s="9">
        <v>2</v>
      </c>
      <c r="N1209" s="185">
        <f>IF( OR( ISBLANK(H1209),ISBLANK(J1209), ISBLANK(K1209), ISBLANK(L1209), ISBLANK(M1209) ), "", 1.5*SQRT(   EXP(2.21*(H1209-1)) + EXP(2.21*(J1209-1)) + EXP(2.21*(K1209-1)) + EXP(2.21*(L1209-1)) + EXP(2.21*M1209)   )/100*2.45 )</f>
        <v>0.50042652380814845</v>
      </c>
      <c r="O1209" s="159">
        <f>IF( OR( ISBLANK(I1209),ISBLANK(J1209), ISBLANK(K1209), ISBLANK(L1209), ISBLANK(M1209) ), "", 1.5*SQRT( EXP(2.21*(I1209-1)) + EXP(2.21*(J1209-1)) + EXP(2.21*(K1209-1)) + EXP(2.21*(L1209-1)) + EXP(2.21*M1209)   )/100*2.45 )</f>
        <v>0.50042652380814845</v>
      </c>
      <c r="P1209" s="34"/>
    </row>
    <row r="1210" spans="1:16" customFormat="1">
      <c r="A1210" s="34" t="s">
        <v>121</v>
      </c>
      <c r="B1210" s="40" t="s">
        <v>170</v>
      </c>
      <c r="C1210" s="34" t="s">
        <v>139</v>
      </c>
      <c r="D1210" s="40" t="s">
        <v>95</v>
      </c>
      <c r="E1210" s="237">
        <v>4.3320427336167665E-2</v>
      </c>
      <c r="F1210" s="168">
        <v>1</v>
      </c>
      <c r="G1210" s="34"/>
      <c r="H1210" s="29">
        <v>3</v>
      </c>
      <c r="I1210" s="9">
        <v>3</v>
      </c>
      <c r="J1210" s="9">
        <v>2</v>
      </c>
      <c r="K1210" s="9">
        <v>2</v>
      </c>
      <c r="L1210" s="9">
        <v>1</v>
      </c>
      <c r="M1210" s="9">
        <v>2</v>
      </c>
      <c r="N1210" s="185">
        <f>IF( OR( ISBLANK(H1210),ISBLANK(J1210), ISBLANK(K1210), ISBLANK(L1210), ISBLANK(M1210) ), "", 1.5*SQRT(   EXP(2.21*(H1210-1)) + EXP(2.21*(J1210-1)) + EXP(2.21*(K1210-1)) + EXP(2.21*(L1210-1)) + EXP(2.21*M1210)   )/100*2.45 )</f>
        <v>0.50042652380814845</v>
      </c>
      <c r="O1210" s="159">
        <f>IF( OR( ISBLANK(I1210),ISBLANK(J1210), ISBLANK(K1210), ISBLANK(L1210), ISBLANK(M1210) ), "", 1.5*SQRT( EXP(2.21*(I1210-1)) + EXP(2.21*(J1210-1)) + EXP(2.21*(K1210-1)) + EXP(2.21*(L1210-1)) + EXP(2.21*M1210)   )/100*2.45 )</f>
        <v>0.50042652380814845</v>
      </c>
      <c r="P1210" s="34"/>
    </row>
    <row r="1211" spans="1:16" customFormat="1">
      <c r="A1211" s="34" t="s">
        <v>121</v>
      </c>
      <c r="B1211" s="40" t="s">
        <v>170</v>
      </c>
      <c r="C1211" s="34" t="s">
        <v>139</v>
      </c>
      <c r="D1211" s="40" t="s">
        <v>99</v>
      </c>
      <c r="E1211" s="237">
        <v>0</v>
      </c>
      <c r="F1211" s="168">
        <v>1</v>
      </c>
      <c r="G1211" s="34"/>
      <c r="H1211" s="29"/>
      <c r="I1211" s="9"/>
      <c r="J1211" s="9"/>
      <c r="K1211" s="9"/>
      <c r="L1211" s="9"/>
      <c r="M1211" s="9"/>
      <c r="N1211" s="185" t="str">
        <f>IF( OR( ISBLANK(H1211),ISBLANK(J1211), ISBLANK(K1211), ISBLANK(L1211), ISBLANK(M1211) ), "", 1.5*SQRT(   EXP(2.21*(H1211-1)) + EXP(2.21*(J1211-1)) + EXP(2.21*(K1211-1)) + EXP(2.21*(L1211-1)) + EXP(2.21*M1211)   )/100*2.45 )</f>
        <v/>
      </c>
      <c r="O1211" s="159" t="str">
        <f>IF( OR( ISBLANK(I1211),ISBLANK(J1211), ISBLANK(K1211), ISBLANK(L1211), ISBLANK(M1211) ), "", 1.5*SQRT( EXP(2.21*(I1211-1)) + EXP(2.21*(J1211-1)) + EXP(2.21*(K1211-1)) + EXP(2.21*(L1211-1)) + EXP(2.21*M1211)   )/100*2.45 )</f>
        <v/>
      </c>
      <c r="P1211" s="34"/>
    </row>
    <row r="1212" spans="1:16" customFormat="1">
      <c r="A1212" s="34" t="s">
        <v>121</v>
      </c>
      <c r="B1212" s="40" t="s">
        <v>185</v>
      </c>
      <c r="C1212" s="34" t="s">
        <v>139</v>
      </c>
      <c r="D1212" s="40" t="s">
        <v>85</v>
      </c>
      <c r="E1212" s="237">
        <v>0</v>
      </c>
      <c r="F1212" s="168">
        <v>1</v>
      </c>
      <c r="G1212" s="34"/>
      <c r="H1212" s="29"/>
      <c r="I1212" s="9"/>
      <c r="J1212" s="9"/>
      <c r="K1212" s="9"/>
      <c r="L1212" s="9"/>
      <c r="M1212" s="9"/>
      <c r="N1212" s="185" t="str">
        <f>IF( OR( ISBLANK(H1212),ISBLANK(J1212), ISBLANK(K1212), ISBLANK(L1212), ISBLANK(M1212) ), "", 1.5*SQRT(   EXP(2.21*(H1212-1)) + EXP(2.21*(J1212-1)) + EXP(2.21*(K1212-1)) + EXP(2.21*(L1212-1)) + EXP(2.21*M1212)   )/100*2.45 )</f>
        <v/>
      </c>
      <c r="O1212" s="159" t="str">
        <f>IF( OR( ISBLANK(I1212),ISBLANK(J1212), ISBLANK(K1212), ISBLANK(L1212), ISBLANK(M1212) ), "", 1.5*SQRT( EXP(2.21*(I1212-1)) + EXP(2.21*(J1212-1)) + EXP(2.21*(K1212-1)) + EXP(2.21*(L1212-1)) + EXP(2.21*M1212)   )/100*2.45 )</f>
        <v/>
      </c>
      <c r="P1212" s="34"/>
    </row>
    <row r="1213" spans="1:16" customFormat="1">
      <c r="A1213" s="34" t="s">
        <v>121</v>
      </c>
      <c r="B1213" s="40" t="s">
        <v>185</v>
      </c>
      <c r="C1213" s="34" t="s">
        <v>139</v>
      </c>
      <c r="D1213" s="40" t="s">
        <v>86</v>
      </c>
      <c r="E1213" s="237">
        <v>1</v>
      </c>
      <c r="F1213" s="168">
        <v>1</v>
      </c>
      <c r="G1213" s="34"/>
      <c r="H1213" s="29">
        <v>2</v>
      </c>
      <c r="I1213" s="9">
        <v>2</v>
      </c>
      <c r="J1213" s="9">
        <v>2</v>
      </c>
      <c r="K1213" s="9">
        <v>2</v>
      </c>
      <c r="L1213" s="9">
        <v>1</v>
      </c>
      <c r="M1213" s="9">
        <v>2</v>
      </c>
      <c r="N1213" s="185">
        <f>IF( OR( ISBLANK(H1213),ISBLANK(J1213), ISBLANK(K1213), ISBLANK(L1213), ISBLANK(M1213) ), "", 1.5*SQRT(   EXP(2.21*(H1213-1)) + EXP(2.21*(J1213-1)) + EXP(2.21*(K1213-1)) + EXP(2.21*(L1213-1)) + EXP(2.21*M1213)   )/100*2.45 )</f>
        <v>0.38795788889711302</v>
      </c>
      <c r="O1213" s="159">
        <f>IF( OR( ISBLANK(I1213),ISBLANK(J1213), ISBLANK(K1213), ISBLANK(L1213), ISBLANK(M1213) ), "", 1.5*SQRT( EXP(2.21*(I1213-1)) + EXP(2.21*(J1213-1)) + EXP(2.21*(K1213-1)) + EXP(2.21*(L1213-1)) + EXP(2.21*M1213)   )/100*2.45 )</f>
        <v>0.38795788889711302</v>
      </c>
      <c r="P1213" s="34"/>
    </row>
    <row r="1214" spans="1:16" customFormat="1">
      <c r="A1214" s="34" t="s">
        <v>121</v>
      </c>
      <c r="B1214" s="40" t="s">
        <v>185</v>
      </c>
      <c r="C1214" s="34" t="s">
        <v>139</v>
      </c>
      <c r="D1214" s="40" t="s">
        <v>87</v>
      </c>
      <c r="E1214" s="237">
        <v>0.11189388147015418</v>
      </c>
      <c r="F1214" s="168">
        <v>1</v>
      </c>
      <c r="G1214" s="34"/>
      <c r="H1214" s="29">
        <v>2</v>
      </c>
      <c r="I1214" s="9">
        <v>2</v>
      </c>
      <c r="J1214" s="9">
        <v>2</v>
      </c>
      <c r="K1214" s="9">
        <v>2</v>
      </c>
      <c r="L1214" s="9">
        <v>1</v>
      </c>
      <c r="M1214" s="9">
        <v>2</v>
      </c>
      <c r="N1214" s="185">
        <f>IF( OR( ISBLANK(H1214),ISBLANK(J1214), ISBLANK(K1214), ISBLANK(L1214), ISBLANK(M1214) ), "", 1.5*SQRT(   EXP(2.21*(H1214-1)) + EXP(2.21*(J1214-1)) + EXP(2.21*(K1214-1)) + EXP(2.21*(L1214-1)) + EXP(2.21*M1214)   )/100*2.45 )</f>
        <v>0.38795788889711302</v>
      </c>
      <c r="O1214" s="159">
        <f>IF( OR( ISBLANK(I1214),ISBLANK(J1214), ISBLANK(K1214), ISBLANK(L1214), ISBLANK(M1214) ), "", 1.5*SQRT( EXP(2.21*(I1214-1)) + EXP(2.21*(J1214-1)) + EXP(2.21*(K1214-1)) + EXP(2.21*(L1214-1)) + EXP(2.21*M1214)   )/100*2.45 )</f>
        <v>0.38795788889711302</v>
      </c>
      <c r="P1214" s="34"/>
    </row>
    <row r="1215" spans="1:16" customFormat="1">
      <c r="A1215" s="34" t="s">
        <v>121</v>
      </c>
      <c r="B1215" s="40" t="s">
        <v>185</v>
      </c>
      <c r="C1215" s="34" t="s">
        <v>139</v>
      </c>
      <c r="D1215" s="40" t="s">
        <v>88</v>
      </c>
      <c r="E1215" s="237">
        <v>0</v>
      </c>
      <c r="F1215" s="168">
        <v>1</v>
      </c>
      <c r="G1215" s="34"/>
      <c r="H1215" s="29"/>
      <c r="I1215" s="9"/>
      <c r="J1215" s="9"/>
      <c r="K1215" s="9"/>
      <c r="L1215" s="9"/>
      <c r="M1215" s="9"/>
      <c r="N1215" s="185" t="str">
        <f>IF( OR( ISBLANK(H1215),ISBLANK(J1215), ISBLANK(K1215), ISBLANK(L1215), ISBLANK(M1215) ), "", 1.5*SQRT(   EXP(2.21*(H1215-1)) + EXP(2.21*(J1215-1)) + EXP(2.21*(K1215-1)) + EXP(2.21*(L1215-1)) + EXP(2.21*M1215)   )/100*2.45 )</f>
        <v/>
      </c>
      <c r="O1215" s="159" t="str">
        <f>IF( OR( ISBLANK(I1215),ISBLANK(J1215), ISBLANK(K1215), ISBLANK(L1215), ISBLANK(M1215) ), "", 1.5*SQRT( EXP(2.21*(I1215-1)) + EXP(2.21*(J1215-1)) + EXP(2.21*(K1215-1)) + EXP(2.21*(L1215-1)) + EXP(2.21*M1215)   )/100*2.45 )</f>
        <v/>
      </c>
      <c r="P1215" s="34"/>
    </row>
    <row r="1216" spans="1:16" customFormat="1">
      <c r="A1216" s="34" t="s">
        <v>121</v>
      </c>
      <c r="B1216" s="40" t="s">
        <v>185</v>
      </c>
      <c r="C1216" s="34" t="s">
        <v>139</v>
      </c>
      <c r="D1216" s="40" t="s">
        <v>89</v>
      </c>
      <c r="E1216" s="237">
        <v>0</v>
      </c>
      <c r="F1216" s="168">
        <v>1</v>
      </c>
      <c r="G1216" s="34"/>
      <c r="H1216" s="29"/>
      <c r="I1216" s="9"/>
      <c r="J1216" s="9"/>
      <c r="K1216" s="9"/>
      <c r="L1216" s="9"/>
      <c r="M1216" s="9"/>
      <c r="N1216" s="185" t="str">
        <f>IF( OR( ISBLANK(H1216),ISBLANK(J1216), ISBLANK(K1216), ISBLANK(L1216), ISBLANK(M1216) ), "", 1.5*SQRT(   EXP(2.21*(H1216-1)) + EXP(2.21*(J1216-1)) + EXP(2.21*(K1216-1)) + EXP(2.21*(L1216-1)) + EXP(2.21*M1216)   )/100*2.45 )</f>
        <v/>
      </c>
      <c r="O1216" s="159" t="str">
        <f>IF( OR( ISBLANK(I1216),ISBLANK(J1216), ISBLANK(K1216), ISBLANK(L1216), ISBLANK(M1216) ), "", 1.5*SQRT( EXP(2.21*(I1216-1)) + EXP(2.21*(J1216-1)) + EXP(2.21*(K1216-1)) + EXP(2.21*(L1216-1)) + EXP(2.21*M1216)   )/100*2.45 )</f>
        <v/>
      </c>
      <c r="P1216" s="34"/>
    </row>
    <row r="1217" spans="1:16" customFormat="1">
      <c r="A1217" s="34" t="s">
        <v>121</v>
      </c>
      <c r="B1217" s="40" t="s">
        <v>185</v>
      </c>
      <c r="C1217" s="34" t="s">
        <v>139</v>
      </c>
      <c r="D1217" s="40" t="s">
        <v>90</v>
      </c>
      <c r="E1217" s="237">
        <v>0</v>
      </c>
      <c r="F1217" s="168">
        <v>1</v>
      </c>
      <c r="G1217" s="34"/>
      <c r="H1217" s="29"/>
      <c r="I1217" s="9"/>
      <c r="J1217" s="9"/>
      <c r="K1217" s="9"/>
      <c r="L1217" s="9"/>
      <c r="M1217" s="9"/>
      <c r="N1217" s="185" t="str">
        <f>IF( OR( ISBLANK(H1217),ISBLANK(J1217), ISBLANK(K1217), ISBLANK(L1217), ISBLANK(M1217) ), "", 1.5*SQRT(   EXP(2.21*(H1217-1)) + EXP(2.21*(J1217-1)) + EXP(2.21*(K1217-1)) + EXP(2.21*(L1217-1)) + EXP(2.21*M1217)   )/100*2.45 )</f>
        <v/>
      </c>
      <c r="O1217" s="159" t="str">
        <f>IF( OR( ISBLANK(I1217),ISBLANK(J1217), ISBLANK(K1217), ISBLANK(L1217), ISBLANK(M1217) ), "", 1.5*SQRT( EXP(2.21*(I1217-1)) + EXP(2.21*(J1217-1)) + EXP(2.21*(K1217-1)) + EXP(2.21*(L1217-1)) + EXP(2.21*M1217)   )/100*2.45 )</f>
        <v/>
      </c>
      <c r="P1217" s="34"/>
    </row>
    <row r="1218" spans="1:16" customFormat="1">
      <c r="A1218" s="34" t="s">
        <v>121</v>
      </c>
      <c r="B1218" s="40" t="s">
        <v>185</v>
      </c>
      <c r="C1218" s="34" t="s">
        <v>139</v>
      </c>
      <c r="D1218" s="40" t="s">
        <v>91</v>
      </c>
      <c r="E1218" s="237">
        <v>6.387687825104362E-3</v>
      </c>
      <c r="F1218" s="168">
        <v>1</v>
      </c>
      <c r="G1218" s="34"/>
      <c r="H1218" s="29">
        <v>2</v>
      </c>
      <c r="I1218" s="9">
        <v>2</v>
      </c>
      <c r="J1218" s="9">
        <v>2</v>
      </c>
      <c r="K1218" s="9">
        <v>2</v>
      </c>
      <c r="L1218" s="9">
        <v>1</v>
      </c>
      <c r="M1218" s="9">
        <v>2</v>
      </c>
      <c r="N1218" s="185">
        <f>IF( OR( ISBLANK(H1218),ISBLANK(J1218), ISBLANK(K1218), ISBLANK(L1218), ISBLANK(M1218) ), "", 1.5*SQRT(   EXP(2.21*(H1218-1)) + EXP(2.21*(J1218-1)) + EXP(2.21*(K1218-1)) + EXP(2.21*(L1218-1)) + EXP(2.21*M1218)   )/100*2.45 )</f>
        <v>0.38795788889711302</v>
      </c>
      <c r="O1218" s="159">
        <f>IF( OR( ISBLANK(I1218),ISBLANK(J1218), ISBLANK(K1218), ISBLANK(L1218), ISBLANK(M1218) ), "", 1.5*SQRT( EXP(2.21*(I1218-1)) + EXP(2.21*(J1218-1)) + EXP(2.21*(K1218-1)) + EXP(2.21*(L1218-1)) + EXP(2.21*M1218)   )/100*2.45 )</f>
        <v>0.38795788889711302</v>
      </c>
      <c r="P1218" s="34"/>
    </row>
    <row r="1219" spans="1:16" customFormat="1">
      <c r="A1219" s="34" t="s">
        <v>121</v>
      </c>
      <c r="B1219" s="40" t="s">
        <v>185</v>
      </c>
      <c r="C1219" s="34" t="s">
        <v>139</v>
      </c>
      <c r="D1219" s="40" t="s">
        <v>95</v>
      </c>
      <c r="E1219" s="237">
        <v>9.8377066062213417E-4</v>
      </c>
      <c r="F1219" s="168">
        <v>1</v>
      </c>
      <c r="G1219" s="34"/>
      <c r="H1219" s="29">
        <v>2</v>
      </c>
      <c r="I1219" s="9">
        <v>2</v>
      </c>
      <c r="J1219" s="9">
        <v>2</v>
      </c>
      <c r="K1219" s="9">
        <v>2</v>
      </c>
      <c r="L1219" s="9">
        <v>1</v>
      </c>
      <c r="M1219" s="9">
        <v>2</v>
      </c>
      <c r="N1219" s="185">
        <f>IF( OR( ISBLANK(H1219),ISBLANK(J1219), ISBLANK(K1219), ISBLANK(L1219), ISBLANK(M1219) ), "", 1.5*SQRT(   EXP(2.21*(H1219-1)) + EXP(2.21*(J1219-1)) + EXP(2.21*(K1219-1)) + EXP(2.21*(L1219-1)) + EXP(2.21*M1219)   )/100*2.45 )</f>
        <v>0.38795788889711302</v>
      </c>
      <c r="O1219" s="159">
        <f>IF( OR( ISBLANK(I1219),ISBLANK(J1219), ISBLANK(K1219), ISBLANK(L1219), ISBLANK(M1219) ), "", 1.5*SQRT( EXP(2.21*(I1219-1)) + EXP(2.21*(J1219-1)) + EXP(2.21*(K1219-1)) + EXP(2.21*(L1219-1)) + EXP(2.21*M1219)   )/100*2.45 )</f>
        <v>0.38795788889711302</v>
      </c>
      <c r="P1219" s="34"/>
    </row>
    <row r="1220" spans="1:16" customFormat="1">
      <c r="A1220" s="34" t="s">
        <v>121</v>
      </c>
      <c r="B1220" s="40" t="s">
        <v>185</v>
      </c>
      <c r="C1220" s="34" t="s">
        <v>139</v>
      </c>
      <c r="D1220" s="40" t="s">
        <v>99</v>
      </c>
      <c r="E1220" s="237">
        <v>0</v>
      </c>
      <c r="F1220" s="168">
        <v>1</v>
      </c>
      <c r="G1220" s="34"/>
      <c r="H1220" s="29"/>
      <c r="I1220" s="9"/>
      <c r="J1220" s="9"/>
      <c r="K1220" s="9"/>
      <c r="L1220" s="9"/>
      <c r="M1220" s="9"/>
      <c r="N1220" s="185" t="str">
        <f>IF( OR( ISBLANK(H1220),ISBLANK(J1220), ISBLANK(K1220), ISBLANK(L1220), ISBLANK(M1220) ), "", 1.5*SQRT(   EXP(2.21*(H1220-1)) + EXP(2.21*(J1220-1)) + EXP(2.21*(K1220-1)) + EXP(2.21*(L1220-1)) + EXP(2.21*M1220)   )/100*2.45 )</f>
        <v/>
      </c>
      <c r="O1220" s="159" t="str">
        <f>IF( OR( ISBLANK(I1220),ISBLANK(J1220), ISBLANK(K1220), ISBLANK(L1220), ISBLANK(M1220) ), "", 1.5*SQRT( EXP(2.21*(I1220-1)) + EXP(2.21*(J1220-1)) + EXP(2.21*(K1220-1)) + EXP(2.21*(L1220-1)) + EXP(2.21*M1220)   )/100*2.45 )</f>
        <v/>
      </c>
      <c r="P1220" s="34"/>
    </row>
    <row r="1221" spans="1:16" customFormat="1">
      <c r="A1221" s="34" t="s">
        <v>121</v>
      </c>
      <c r="B1221" s="40" t="s">
        <v>339</v>
      </c>
      <c r="C1221" s="34" t="s">
        <v>139</v>
      </c>
      <c r="D1221" s="40" t="s">
        <v>85</v>
      </c>
      <c r="E1221" s="237">
        <v>0</v>
      </c>
      <c r="F1221" s="168">
        <v>1</v>
      </c>
      <c r="G1221" s="34"/>
      <c r="H1221" s="29"/>
      <c r="I1221" s="9"/>
      <c r="J1221" s="9"/>
      <c r="K1221" s="9"/>
      <c r="L1221" s="9"/>
      <c r="M1221" s="9"/>
      <c r="N1221" s="185" t="str">
        <f>IF( OR( ISBLANK(H1221),ISBLANK(J1221), ISBLANK(K1221), ISBLANK(L1221), ISBLANK(M1221) ), "", 1.5*SQRT(   EXP(2.21*(H1221-1)) + EXP(2.21*(J1221-1)) + EXP(2.21*(K1221-1)) + EXP(2.21*(L1221-1)) + EXP(2.21*M1221)   )/100*2.45 )</f>
        <v/>
      </c>
      <c r="O1221" s="159" t="str">
        <f>IF( OR( ISBLANK(I1221),ISBLANK(J1221), ISBLANK(K1221), ISBLANK(L1221), ISBLANK(M1221) ), "", 1.5*SQRT( EXP(2.21*(I1221-1)) + EXP(2.21*(J1221-1)) + EXP(2.21*(K1221-1)) + EXP(2.21*(L1221-1)) + EXP(2.21*M1221)   )/100*2.45 )</f>
        <v/>
      </c>
      <c r="P1221" s="34"/>
    </row>
    <row r="1222" spans="1:16" customFormat="1">
      <c r="A1222" s="34" t="s">
        <v>121</v>
      </c>
      <c r="B1222" s="40" t="s">
        <v>339</v>
      </c>
      <c r="C1222" s="34" t="s">
        <v>139</v>
      </c>
      <c r="D1222" s="40" t="s">
        <v>86</v>
      </c>
      <c r="E1222" s="237">
        <v>0</v>
      </c>
      <c r="F1222" s="168">
        <v>1</v>
      </c>
      <c r="G1222" s="34"/>
      <c r="H1222" s="29"/>
      <c r="I1222" s="9"/>
      <c r="J1222" s="9"/>
      <c r="K1222" s="9"/>
      <c r="L1222" s="9"/>
      <c r="M1222" s="9"/>
      <c r="N1222" s="185" t="str">
        <f>IF( OR( ISBLANK(H1222),ISBLANK(J1222), ISBLANK(K1222), ISBLANK(L1222), ISBLANK(M1222) ), "", 1.5*SQRT(   EXP(2.21*(H1222-1)) + EXP(2.21*(J1222-1)) + EXP(2.21*(K1222-1)) + EXP(2.21*(L1222-1)) + EXP(2.21*M1222)   )/100*2.45 )</f>
        <v/>
      </c>
      <c r="O1222" s="159" t="str">
        <f>IF( OR( ISBLANK(I1222),ISBLANK(J1222), ISBLANK(K1222), ISBLANK(L1222), ISBLANK(M1222) ), "", 1.5*SQRT( EXP(2.21*(I1222-1)) + EXP(2.21*(J1222-1)) + EXP(2.21*(K1222-1)) + EXP(2.21*(L1222-1)) + EXP(2.21*M1222)   )/100*2.45 )</f>
        <v/>
      </c>
      <c r="P1222" s="34"/>
    </row>
    <row r="1223" spans="1:16" customFormat="1">
      <c r="A1223" s="34" t="s">
        <v>121</v>
      </c>
      <c r="B1223" s="40" t="s">
        <v>339</v>
      </c>
      <c r="C1223" s="34" t="s">
        <v>139</v>
      </c>
      <c r="D1223" s="40" t="s">
        <v>87</v>
      </c>
      <c r="E1223" s="237">
        <v>0.15197638649335868</v>
      </c>
      <c r="F1223" s="168">
        <v>1</v>
      </c>
      <c r="G1223" s="34"/>
      <c r="H1223" s="29">
        <v>2</v>
      </c>
      <c r="I1223" s="9">
        <v>2</v>
      </c>
      <c r="J1223" s="9">
        <v>2</v>
      </c>
      <c r="K1223" s="9">
        <v>2</v>
      </c>
      <c r="L1223" s="9">
        <v>1</v>
      </c>
      <c r="M1223" s="9">
        <v>2</v>
      </c>
      <c r="N1223" s="185">
        <f>IF( OR( ISBLANK(H1223),ISBLANK(J1223), ISBLANK(K1223), ISBLANK(L1223), ISBLANK(M1223) ), "", 1.5*SQRT(   EXP(2.21*(H1223-1)) + EXP(2.21*(J1223-1)) + EXP(2.21*(K1223-1)) + EXP(2.21*(L1223-1)) + EXP(2.21*M1223)   )/100*2.45 )</f>
        <v>0.38795788889711302</v>
      </c>
      <c r="O1223" s="159">
        <f>IF( OR( ISBLANK(I1223),ISBLANK(J1223), ISBLANK(K1223), ISBLANK(L1223), ISBLANK(M1223) ), "", 1.5*SQRT( EXP(2.21*(I1223-1)) + EXP(2.21*(J1223-1)) + EXP(2.21*(K1223-1)) + EXP(2.21*(L1223-1)) + EXP(2.21*M1223)   )/100*2.45 )</f>
        <v>0.38795788889711302</v>
      </c>
      <c r="P1223" s="34"/>
    </row>
    <row r="1224" spans="1:16" customFormat="1">
      <c r="A1224" s="34" t="s">
        <v>121</v>
      </c>
      <c r="B1224" s="40" t="s">
        <v>339</v>
      </c>
      <c r="C1224" s="34" t="s">
        <v>139</v>
      </c>
      <c r="D1224" s="40" t="s">
        <v>88</v>
      </c>
      <c r="E1224" s="237">
        <v>0</v>
      </c>
      <c r="F1224" s="168">
        <v>1</v>
      </c>
      <c r="G1224" s="34"/>
      <c r="H1224" s="29"/>
      <c r="I1224" s="9"/>
      <c r="J1224" s="9"/>
      <c r="K1224" s="9"/>
      <c r="L1224" s="9"/>
      <c r="M1224" s="9"/>
      <c r="N1224" s="185" t="str">
        <f>IF( OR( ISBLANK(H1224),ISBLANK(J1224), ISBLANK(K1224), ISBLANK(L1224), ISBLANK(M1224) ), "", 1.5*SQRT(   EXP(2.21*(H1224-1)) + EXP(2.21*(J1224-1)) + EXP(2.21*(K1224-1)) + EXP(2.21*(L1224-1)) + EXP(2.21*M1224)   )/100*2.45 )</f>
        <v/>
      </c>
      <c r="O1224" s="159" t="str">
        <f>IF( OR( ISBLANK(I1224),ISBLANK(J1224), ISBLANK(K1224), ISBLANK(L1224), ISBLANK(M1224) ), "", 1.5*SQRT( EXP(2.21*(I1224-1)) + EXP(2.21*(J1224-1)) + EXP(2.21*(K1224-1)) + EXP(2.21*(L1224-1)) + EXP(2.21*M1224)   )/100*2.45 )</f>
        <v/>
      </c>
      <c r="P1224" s="34"/>
    </row>
    <row r="1225" spans="1:16" customFormat="1">
      <c r="A1225" s="34" t="s">
        <v>121</v>
      </c>
      <c r="B1225" s="40" t="s">
        <v>339</v>
      </c>
      <c r="C1225" s="34" t="s">
        <v>139</v>
      </c>
      <c r="D1225" s="40" t="s">
        <v>89</v>
      </c>
      <c r="E1225" s="237">
        <v>0</v>
      </c>
      <c r="F1225" s="168">
        <v>1</v>
      </c>
      <c r="G1225" s="34"/>
      <c r="H1225" s="29"/>
      <c r="I1225" s="9"/>
      <c r="J1225" s="9"/>
      <c r="K1225" s="9"/>
      <c r="L1225" s="9"/>
      <c r="M1225" s="9"/>
      <c r="N1225" s="185" t="str">
        <f>IF( OR( ISBLANK(H1225),ISBLANK(J1225), ISBLANK(K1225), ISBLANK(L1225), ISBLANK(M1225) ), "", 1.5*SQRT(   EXP(2.21*(H1225-1)) + EXP(2.21*(J1225-1)) + EXP(2.21*(K1225-1)) + EXP(2.21*(L1225-1)) + EXP(2.21*M1225)   )/100*2.45 )</f>
        <v/>
      </c>
      <c r="O1225" s="159" t="str">
        <f>IF( OR( ISBLANK(I1225),ISBLANK(J1225), ISBLANK(K1225), ISBLANK(L1225), ISBLANK(M1225) ), "", 1.5*SQRT( EXP(2.21*(I1225-1)) + EXP(2.21*(J1225-1)) + EXP(2.21*(K1225-1)) + EXP(2.21*(L1225-1)) + EXP(2.21*M1225)   )/100*2.45 )</f>
        <v/>
      </c>
      <c r="P1225" s="34"/>
    </row>
    <row r="1226" spans="1:16" customFormat="1">
      <c r="A1226" s="34" t="s">
        <v>121</v>
      </c>
      <c r="B1226" s="40" t="s">
        <v>339</v>
      </c>
      <c r="C1226" s="34" t="s">
        <v>139</v>
      </c>
      <c r="D1226" s="40" t="s">
        <v>90</v>
      </c>
      <c r="E1226" s="237">
        <v>0</v>
      </c>
      <c r="F1226" s="168">
        <v>1</v>
      </c>
      <c r="G1226" s="34"/>
      <c r="H1226" s="29"/>
      <c r="I1226" s="9"/>
      <c r="J1226" s="9"/>
      <c r="K1226" s="9"/>
      <c r="L1226" s="9"/>
      <c r="M1226" s="9"/>
      <c r="N1226" s="185" t="str">
        <f>IF( OR( ISBLANK(H1226),ISBLANK(J1226), ISBLANK(K1226), ISBLANK(L1226), ISBLANK(M1226) ), "", 1.5*SQRT(   EXP(2.21*(H1226-1)) + EXP(2.21*(J1226-1)) + EXP(2.21*(K1226-1)) + EXP(2.21*(L1226-1)) + EXP(2.21*M1226)   )/100*2.45 )</f>
        <v/>
      </c>
      <c r="O1226" s="159" t="str">
        <f>IF( OR( ISBLANK(I1226),ISBLANK(J1226), ISBLANK(K1226), ISBLANK(L1226), ISBLANK(M1226) ), "", 1.5*SQRT( EXP(2.21*(I1226-1)) + EXP(2.21*(J1226-1)) + EXP(2.21*(K1226-1)) + EXP(2.21*(L1226-1)) + EXP(2.21*M1226)   )/100*2.45 )</f>
        <v/>
      </c>
      <c r="P1226" s="34"/>
    </row>
    <row r="1227" spans="1:16" customFormat="1">
      <c r="A1227" s="34" t="s">
        <v>121</v>
      </c>
      <c r="B1227" s="40" t="s">
        <v>339</v>
      </c>
      <c r="C1227" s="34" t="s">
        <v>139</v>
      </c>
      <c r="D1227" s="40" t="s">
        <v>91</v>
      </c>
      <c r="E1227" s="237">
        <v>0.15963616327826599</v>
      </c>
      <c r="F1227" s="168">
        <v>1</v>
      </c>
      <c r="G1227" s="34"/>
      <c r="H1227" s="29">
        <v>2</v>
      </c>
      <c r="I1227" s="9">
        <v>2</v>
      </c>
      <c r="J1227" s="9">
        <v>2</v>
      </c>
      <c r="K1227" s="9">
        <v>2</v>
      </c>
      <c r="L1227" s="9">
        <v>1</v>
      </c>
      <c r="M1227" s="9">
        <v>2</v>
      </c>
      <c r="N1227" s="185">
        <f>IF( OR( ISBLANK(H1227),ISBLANK(J1227), ISBLANK(K1227), ISBLANK(L1227), ISBLANK(M1227) ), "", 1.5*SQRT(   EXP(2.21*(H1227-1)) + EXP(2.21*(J1227-1)) + EXP(2.21*(K1227-1)) + EXP(2.21*(L1227-1)) + EXP(2.21*M1227)   )/100*2.45 )</f>
        <v>0.38795788889711302</v>
      </c>
      <c r="O1227" s="159">
        <f>IF( OR( ISBLANK(I1227),ISBLANK(J1227), ISBLANK(K1227), ISBLANK(L1227), ISBLANK(M1227) ), "", 1.5*SQRT( EXP(2.21*(I1227-1)) + EXP(2.21*(J1227-1)) + EXP(2.21*(K1227-1)) + EXP(2.21*(L1227-1)) + EXP(2.21*M1227)   )/100*2.45 )</f>
        <v>0.38795788889711302</v>
      </c>
      <c r="P1227" s="34"/>
    </row>
    <row r="1228" spans="1:16" customFormat="1">
      <c r="A1228" s="34" t="s">
        <v>121</v>
      </c>
      <c r="B1228" s="40" t="s">
        <v>339</v>
      </c>
      <c r="C1228" s="34" t="s">
        <v>139</v>
      </c>
      <c r="D1228" s="40" t="s">
        <v>95</v>
      </c>
      <c r="E1228" s="237">
        <v>0.12292818474177457</v>
      </c>
      <c r="F1228" s="168">
        <v>1</v>
      </c>
      <c r="G1228" s="34"/>
      <c r="H1228" s="29">
        <v>2</v>
      </c>
      <c r="I1228" s="9">
        <v>2</v>
      </c>
      <c r="J1228" s="9">
        <v>2</v>
      </c>
      <c r="K1228" s="9">
        <v>2</v>
      </c>
      <c r="L1228" s="9">
        <v>1</v>
      </c>
      <c r="M1228" s="9">
        <v>2</v>
      </c>
      <c r="N1228" s="185">
        <f>IF( OR( ISBLANK(H1228),ISBLANK(J1228), ISBLANK(K1228), ISBLANK(L1228), ISBLANK(M1228) ), "", 1.5*SQRT(   EXP(2.21*(H1228-1)) + EXP(2.21*(J1228-1)) + EXP(2.21*(K1228-1)) + EXP(2.21*(L1228-1)) + EXP(2.21*M1228)   )/100*2.45 )</f>
        <v>0.38795788889711302</v>
      </c>
      <c r="O1228" s="159">
        <f>IF( OR( ISBLANK(I1228),ISBLANK(J1228), ISBLANK(K1228), ISBLANK(L1228), ISBLANK(M1228) ), "", 1.5*SQRT( EXP(2.21*(I1228-1)) + EXP(2.21*(J1228-1)) + EXP(2.21*(K1228-1)) + EXP(2.21*(L1228-1)) + EXP(2.21*M1228)   )/100*2.45 )</f>
        <v>0.38795788889711302</v>
      </c>
      <c r="P1228" s="34"/>
    </row>
    <row r="1229" spans="1:16" customFormat="1">
      <c r="A1229" s="34" t="s">
        <v>121</v>
      </c>
      <c r="B1229" s="40" t="s">
        <v>339</v>
      </c>
      <c r="C1229" s="34" t="s">
        <v>139</v>
      </c>
      <c r="D1229" s="40" t="s">
        <v>99</v>
      </c>
      <c r="E1229" s="237">
        <v>0.72436500470366871</v>
      </c>
      <c r="F1229" s="168">
        <v>1</v>
      </c>
      <c r="G1229" s="34"/>
      <c r="H1229" s="29">
        <v>2</v>
      </c>
      <c r="I1229" s="9">
        <v>2</v>
      </c>
      <c r="J1229" s="9">
        <v>2</v>
      </c>
      <c r="K1229" s="9">
        <v>2</v>
      </c>
      <c r="L1229" s="9">
        <v>1</v>
      </c>
      <c r="M1229" s="9">
        <v>2</v>
      </c>
      <c r="N1229" s="185">
        <f>IF( OR( ISBLANK(H1229),ISBLANK(J1229), ISBLANK(K1229), ISBLANK(L1229), ISBLANK(M1229) ), "", 1.5*SQRT(   EXP(2.21*(H1229-1)) + EXP(2.21*(J1229-1)) + EXP(2.21*(K1229-1)) + EXP(2.21*(L1229-1)) + EXP(2.21*M1229)   )/100*2.45 )</f>
        <v>0.38795788889711302</v>
      </c>
      <c r="O1229" s="159">
        <f>IF( OR( ISBLANK(I1229),ISBLANK(J1229), ISBLANK(K1229), ISBLANK(L1229), ISBLANK(M1229) ), "", 1.5*SQRT( EXP(2.21*(I1229-1)) + EXP(2.21*(J1229-1)) + EXP(2.21*(K1229-1)) + EXP(2.21*(L1229-1)) + EXP(2.21*M1229)   )/100*2.45 )</f>
        <v>0.38795788889711302</v>
      </c>
      <c r="P1229" s="34"/>
    </row>
    <row r="1230" spans="1:16" customFormat="1">
      <c r="A1230" s="34" t="s">
        <v>121</v>
      </c>
      <c r="B1230" s="40" t="s">
        <v>341</v>
      </c>
      <c r="C1230" s="34" t="s">
        <v>139</v>
      </c>
      <c r="D1230" s="40" t="s">
        <v>85</v>
      </c>
      <c r="E1230" s="237">
        <v>0</v>
      </c>
      <c r="F1230" s="168">
        <v>1</v>
      </c>
      <c r="G1230" s="34"/>
      <c r="H1230" s="29"/>
      <c r="I1230" s="9"/>
      <c r="J1230" s="9"/>
      <c r="K1230" s="9"/>
      <c r="L1230" s="9"/>
      <c r="M1230" s="9"/>
      <c r="N1230" s="185" t="str">
        <f>IF( OR( ISBLANK(H1230),ISBLANK(J1230), ISBLANK(K1230), ISBLANK(L1230), ISBLANK(M1230) ), "", 1.5*SQRT(   EXP(2.21*(H1230-1)) + EXP(2.21*(J1230-1)) + EXP(2.21*(K1230-1)) + EXP(2.21*(L1230-1)) + EXP(2.21*M1230)   )/100*2.45 )</f>
        <v/>
      </c>
      <c r="O1230" s="159" t="str">
        <f>IF( OR( ISBLANK(I1230),ISBLANK(J1230), ISBLANK(K1230), ISBLANK(L1230), ISBLANK(M1230) ), "", 1.5*SQRT( EXP(2.21*(I1230-1)) + EXP(2.21*(J1230-1)) + EXP(2.21*(K1230-1)) + EXP(2.21*(L1230-1)) + EXP(2.21*M1230)   )/100*2.45 )</f>
        <v/>
      </c>
      <c r="P1230" s="34"/>
    </row>
    <row r="1231" spans="1:16" customFormat="1">
      <c r="A1231" s="34" t="s">
        <v>121</v>
      </c>
      <c r="B1231" s="40" t="s">
        <v>341</v>
      </c>
      <c r="C1231" s="34" t="s">
        <v>139</v>
      </c>
      <c r="D1231" s="40" t="s">
        <v>86</v>
      </c>
      <c r="E1231" s="237">
        <v>0</v>
      </c>
      <c r="F1231" s="168">
        <v>1</v>
      </c>
      <c r="G1231" s="34"/>
      <c r="H1231" s="29"/>
      <c r="I1231" s="9"/>
      <c r="J1231" s="9"/>
      <c r="K1231" s="9"/>
      <c r="L1231" s="9"/>
      <c r="M1231" s="9"/>
      <c r="N1231" s="185" t="str">
        <f>IF( OR( ISBLANK(H1231),ISBLANK(J1231), ISBLANK(K1231), ISBLANK(L1231), ISBLANK(M1231) ), "", 1.5*SQRT(   EXP(2.21*(H1231-1)) + EXP(2.21*(J1231-1)) + EXP(2.21*(K1231-1)) + EXP(2.21*(L1231-1)) + EXP(2.21*M1231)   )/100*2.45 )</f>
        <v/>
      </c>
      <c r="O1231" s="159" t="str">
        <f>IF( OR( ISBLANK(I1231),ISBLANK(J1231), ISBLANK(K1231), ISBLANK(L1231), ISBLANK(M1231) ), "", 1.5*SQRT( EXP(2.21*(I1231-1)) + EXP(2.21*(J1231-1)) + EXP(2.21*(K1231-1)) + EXP(2.21*(L1231-1)) + EXP(2.21*M1231)   )/100*2.45 )</f>
        <v/>
      </c>
      <c r="P1231" s="34"/>
    </row>
    <row r="1232" spans="1:16" customFormat="1">
      <c r="A1232" s="34" t="s">
        <v>121</v>
      </c>
      <c r="B1232" s="40" t="s">
        <v>341</v>
      </c>
      <c r="C1232" s="34" t="s">
        <v>139</v>
      </c>
      <c r="D1232" s="40" t="s">
        <v>87</v>
      </c>
      <c r="E1232" s="237">
        <v>0.16934867262931416</v>
      </c>
      <c r="F1232" s="168">
        <v>1</v>
      </c>
      <c r="G1232" s="34"/>
      <c r="H1232" s="29">
        <v>2</v>
      </c>
      <c r="I1232" s="9">
        <v>2</v>
      </c>
      <c r="J1232" s="9">
        <v>2</v>
      </c>
      <c r="K1232" s="9">
        <v>2</v>
      </c>
      <c r="L1232" s="9">
        <v>1</v>
      </c>
      <c r="M1232" s="9">
        <v>2</v>
      </c>
      <c r="N1232" s="185">
        <f>IF( OR( ISBLANK(H1232),ISBLANK(J1232), ISBLANK(K1232), ISBLANK(L1232), ISBLANK(M1232) ), "", 1.5*SQRT(   EXP(2.21*(H1232-1)) + EXP(2.21*(J1232-1)) + EXP(2.21*(K1232-1)) + EXP(2.21*(L1232-1)) + EXP(2.21*M1232)   )/100*2.45 )</f>
        <v>0.38795788889711302</v>
      </c>
      <c r="O1232" s="159">
        <f>IF( OR( ISBLANK(I1232),ISBLANK(J1232), ISBLANK(K1232), ISBLANK(L1232), ISBLANK(M1232) ), "", 1.5*SQRT( EXP(2.21*(I1232-1)) + EXP(2.21*(J1232-1)) + EXP(2.21*(K1232-1)) + EXP(2.21*(L1232-1)) + EXP(2.21*M1232)   )/100*2.45 )</f>
        <v>0.38795788889711302</v>
      </c>
      <c r="P1232" s="34"/>
    </row>
    <row r="1233" spans="1:16" customFormat="1">
      <c r="A1233" s="34" t="s">
        <v>121</v>
      </c>
      <c r="B1233" s="40" t="s">
        <v>341</v>
      </c>
      <c r="C1233" s="34" t="s">
        <v>139</v>
      </c>
      <c r="D1233" s="40" t="s">
        <v>88</v>
      </c>
      <c r="E1233" s="237">
        <v>0</v>
      </c>
      <c r="F1233" s="168">
        <v>1</v>
      </c>
      <c r="G1233" s="34"/>
      <c r="H1233" s="29"/>
      <c r="I1233" s="9"/>
      <c r="J1233" s="9"/>
      <c r="K1233" s="9"/>
      <c r="L1233" s="9"/>
      <c r="M1233" s="9"/>
      <c r="N1233" s="185" t="str">
        <f>IF( OR( ISBLANK(H1233),ISBLANK(J1233), ISBLANK(K1233), ISBLANK(L1233), ISBLANK(M1233) ), "", 1.5*SQRT(   EXP(2.21*(H1233-1)) + EXP(2.21*(J1233-1)) + EXP(2.21*(K1233-1)) + EXP(2.21*(L1233-1)) + EXP(2.21*M1233)   )/100*2.45 )</f>
        <v/>
      </c>
      <c r="O1233" s="159" t="str">
        <f>IF( OR( ISBLANK(I1233),ISBLANK(J1233), ISBLANK(K1233), ISBLANK(L1233), ISBLANK(M1233) ), "", 1.5*SQRT( EXP(2.21*(I1233-1)) + EXP(2.21*(J1233-1)) + EXP(2.21*(K1233-1)) + EXP(2.21*(L1233-1)) + EXP(2.21*M1233)   )/100*2.45 )</f>
        <v/>
      </c>
      <c r="P1233" s="34"/>
    </row>
    <row r="1234" spans="1:16" customFormat="1">
      <c r="A1234" s="34" t="s">
        <v>121</v>
      </c>
      <c r="B1234" s="40" t="s">
        <v>341</v>
      </c>
      <c r="C1234" s="34" t="s">
        <v>139</v>
      </c>
      <c r="D1234" s="40" t="s">
        <v>89</v>
      </c>
      <c r="E1234" s="237">
        <v>0</v>
      </c>
      <c r="F1234" s="168">
        <v>1</v>
      </c>
      <c r="G1234" s="34"/>
      <c r="H1234" s="29"/>
      <c r="I1234" s="9"/>
      <c r="J1234" s="9"/>
      <c r="K1234" s="9"/>
      <c r="L1234" s="9"/>
      <c r="M1234" s="9"/>
      <c r="N1234" s="185" t="str">
        <f>IF( OR( ISBLANK(H1234),ISBLANK(J1234), ISBLANK(K1234), ISBLANK(L1234), ISBLANK(M1234) ), "", 1.5*SQRT(   EXP(2.21*(H1234-1)) + EXP(2.21*(J1234-1)) + EXP(2.21*(K1234-1)) + EXP(2.21*(L1234-1)) + EXP(2.21*M1234)   )/100*2.45 )</f>
        <v/>
      </c>
      <c r="O1234" s="159" t="str">
        <f>IF( OR( ISBLANK(I1234),ISBLANK(J1234), ISBLANK(K1234), ISBLANK(L1234), ISBLANK(M1234) ), "", 1.5*SQRT( EXP(2.21*(I1234-1)) + EXP(2.21*(J1234-1)) + EXP(2.21*(K1234-1)) + EXP(2.21*(L1234-1)) + EXP(2.21*M1234)   )/100*2.45 )</f>
        <v/>
      </c>
      <c r="P1234" s="34"/>
    </row>
    <row r="1235" spans="1:16" customFormat="1">
      <c r="A1235" s="34" t="s">
        <v>121</v>
      </c>
      <c r="B1235" s="40" t="s">
        <v>341</v>
      </c>
      <c r="C1235" s="34" t="s">
        <v>139</v>
      </c>
      <c r="D1235" s="40" t="s">
        <v>90</v>
      </c>
      <c r="E1235" s="237">
        <v>0</v>
      </c>
      <c r="F1235" s="168">
        <v>1</v>
      </c>
      <c r="G1235" s="34"/>
      <c r="H1235" s="29"/>
      <c r="I1235" s="9"/>
      <c r="J1235" s="9"/>
      <c r="K1235" s="9"/>
      <c r="L1235" s="9"/>
      <c r="M1235" s="9"/>
      <c r="N1235" s="185" t="str">
        <f>IF( OR( ISBLANK(H1235),ISBLANK(J1235), ISBLANK(K1235), ISBLANK(L1235), ISBLANK(M1235) ), "", 1.5*SQRT(   EXP(2.21*(H1235-1)) + EXP(2.21*(J1235-1)) + EXP(2.21*(K1235-1)) + EXP(2.21*(L1235-1)) + EXP(2.21*M1235)   )/100*2.45 )</f>
        <v/>
      </c>
      <c r="O1235" s="159" t="str">
        <f>IF( OR( ISBLANK(I1235),ISBLANK(J1235), ISBLANK(K1235), ISBLANK(L1235), ISBLANK(M1235) ), "", 1.5*SQRT( EXP(2.21*(I1235-1)) + EXP(2.21*(J1235-1)) + EXP(2.21*(K1235-1)) + EXP(2.21*(L1235-1)) + EXP(2.21*M1235)   )/100*2.45 )</f>
        <v/>
      </c>
      <c r="P1235" s="34"/>
    </row>
    <row r="1236" spans="1:16" customFormat="1">
      <c r="A1236" s="34" t="s">
        <v>121</v>
      </c>
      <c r="B1236" s="40" t="s">
        <v>341</v>
      </c>
      <c r="C1236" s="34" t="s">
        <v>139</v>
      </c>
      <c r="D1236" s="40" t="s">
        <v>91</v>
      </c>
      <c r="E1236" s="237">
        <v>0.17788403171430972</v>
      </c>
      <c r="F1236" s="168">
        <v>1</v>
      </c>
      <c r="G1236" s="34"/>
      <c r="H1236" s="29">
        <v>2</v>
      </c>
      <c r="I1236" s="9">
        <v>2</v>
      </c>
      <c r="J1236" s="9">
        <v>2</v>
      </c>
      <c r="K1236" s="9">
        <v>2</v>
      </c>
      <c r="L1236" s="9">
        <v>1</v>
      </c>
      <c r="M1236" s="9">
        <v>2</v>
      </c>
      <c r="N1236" s="185">
        <f>IF( OR( ISBLANK(H1236),ISBLANK(J1236), ISBLANK(K1236), ISBLANK(L1236), ISBLANK(M1236) ), "", 1.5*SQRT(   EXP(2.21*(H1236-1)) + EXP(2.21*(J1236-1)) + EXP(2.21*(K1236-1)) + EXP(2.21*(L1236-1)) + EXP(2.21*M1236)   )/100*2.45 )</f>
        <v>0.38795788889711302</v>
      </c>
      <c r="O1236" s="159">
        <f>IF( OR( ISBLANK(I1236),ISBLANK(J1236), ISBLANK(K1236), ISBLANK(L1236), ISBLANK(M1236) ), "", 1.5*SQRT( EXP(2.21*(I1236-1)) + EXP(2.21*(J1236-1)) + EXP(2.21*(K1236-1)) + EXP(2.21*(L1236-1)) + EXP(2.21*M1236)   )/100*2.45 )</f>
        <v>0.38795788889711302</v>
      </c>
      <c r="P1236" s="34"/>
    </row>
    <row r="1237" spans="1:16" customFormat="1">
      <c r="A1237" s="34" t="s">
        <v>121</v>
      </c>
      <c r="B1237" s="40" t="s">
        <v>341</v>
      </c>
      <c r="C1237" s="34" t="s">
        <v>139</v>
      </c>
      <c r="D1237" s="40" t="s">
        <v>95</v>
      </c>
      <c r="E1237" s="237">
        <v>0.13697999666323399</v>
      </c>
      <c r="F1237" s="168">
        <v>1</v>
      </c>
      <c r="G1237" s="34"/>
      <c r="H1237" s="29">
        <v>2</v>
      </c>
      <c r="I1237" s="9">
        <v>2</v>
      </c>
      <c r="J1237" s="9">
        <v>2</v>
      </c>
      <c r="K1237" s="9">
        <v>2</v>
      </c>
      <c r="L1237" s="9">
        <v>1</v>
      </c>
      <c r="M1237" s="9">
        <v>2</v>
      </c>
      <c r="N1237" s="185">
        <f>IF( OR( ISBLANK(H1237),ISBLANK(J1237), ISBLANK(K1237), ISBLANK(L1237), ISBLANK(M1237) ), "", 1.5*SQRT(   EXP(2.21*(H1237-1)) + EXP(2.21*(J1237-1)) + EXP(2.21*(K1237-1)) + EXP(2.21*(L1237-1)) + EXP(2.21*M1237)   )/100*2.45 )</f>
        <v>0.38795788889711302</v>
      </c>
      <c r="O1237" s="159">
        <f>IF( OR( ISBLANK(I1237),ISBLANK(J1237), ISBLANK(K1237), ISBLANK(L1237), ISBLANK(M1237) ), "", 1.5*SQRT( EXP(2.21*(I1237-1)) + EXP(2.21*(J1237-1)) + EXP(2.21*(K1237-1)) + EXP(2.21*(L1237-1)) + EXP(2.21*M1237)   )/100*2.45 )</f>
        <v>0.38795788889711302</v>
      </c>
      <c r="P1237" s="34"/>
    </row>
    <row r="1238" spans="1:16" customFormat="1">
      <c r="A1238" s="34" t="s">
        <v>121</v>
      </c>
      <c r="B1238" s="40" t="s">
        <v>341</v>
      </c>
      <c r="C1238" s="34" t="s">
        <v>139</v>
      </c>
      <c r="D1238" s="40" t="s">
        <v>99</v>
      </c>
      <c r="E1238" s="237">
        <v>0</v>
      </c>
      <c r="F1238" s="168">
        <v>1</v>
      </c>
      <c r="G1238" s="34"/>
      <c r="H1238" s="29"/>
      <c r="I1238" s="9"/>
      <c r="J1238" s="9"/>
      <c r="K1238" s="9"/>
      <c r="L1238" s="9"/>
      <c r="M1238" s="9"/>
      <c r="N1238" s="185" t="str">
        <f>IF( OR( ISBLANK(H1238),ISBLANK(J1238), ISBLANK(K1238), ISBLANK(L1238), ISBLANK(M1238) ), "", 1.5*SQRT(   EXP(2.21*(H1238-1)) + EXP(2.21*(J1238-1)) + EXP(2.21*(K1238-1)) + EXP(2.21*(L1238-1)) + EXP(2.21*M1238)   )/100*2.45 )</f>
        <v/>
      </c>
      <c r="O1238" s="159" t="str">
        <f>IF( OR( ISBLANK(I1238),ISBLANK(J1238), ISBLANK(K1238), ISBLANK(L1238), ISBLANK(M1238) ), "", 1.5*SQRT( EXP(2.21*(I1238-1)) + EXP(2.21*(J1238-1)) + EXP(2.21*(K1238-1)) + EXP(2.21*(L1238-1)) + EXP(2.21*M1238)   )/100*2.45 )</f>
        <v/>
      </c>
      <c r="P1238" s="34"/>
    </row>
    <row r="1239" spans="1:16" customFormat="1">
      <c r="A1239" s="34" t="s">
        <v>121</v>
      </c>
      <c r="B1239" s="40" t="s">
        <v>238</v>
      </c>
      <c r="C1239" s="34" t="s">
        <v>139</v>
      </c>
      <c r="D1239" s="40" t="s">
        <v>85</v>
      </c>
      <c r="E1239" s="237">
        <v>0</v>
      </c>
      <c r="F1239" s="168">
        <v>1</v>
      </c>
      <c r="G1239" s="34"/>
      <c r="H1239" s="29"/>
      <c r="I1239" s="9"/>
      <c r="J1239" s="9"/>
      <c r="K1239" s="9"/>
      <c r="L1239" s="9"/>
      <c r="M1239" s="9"/>
      <c r="N1239" s="185" t="str">
        <f>IF( OR( ISBLANK(H1239),ISBLANK(J1239), ISBLANK(K1239), ISBLANK(L1239), ISBLANK(M1239) ), "", 1.5*SQRT(   EXP(2.21*(H1239-1)) + EXP(2.21*(J1239-1)) + EXP(2.21*(K1239-1)) + EXP(2.21*(L1239-1)) + EXP(2.21*M1239)   )/100*2.45 )</f>
        <v/>
      </c>
      <c r="O1239" s="159" t="str">
        <f>IF( OR( ISBLANK(I1239),ISBLANK(J1239), ISBLANK(K1239), ISBLANK(L1239), ISBLANK(M1239) ), "", 1.5*SQRT( EXP(2.21*(I1239-1)) + EXP(2.21*(J1239-1)) + EXP(2.21*(K1239-1)) + EXP(2.21*(L1239-1)) + EXP(2.21*M1239)   )/100*2.45 )</f>
        <v/>
      </c>
      <c r="P1239" s="34"/>
    </row>
    <row r="1240" spans="1:16" customFormat="1">
      <c r="A1240" s="34" t="s">
        <v>121</v>
      </c>
      <c r="B1240" s="40" t="s">
        <v>238</v>
      </c>
      <c r="C1240" s="34" t="s">
        <v>139</v>
      </c>
      <c r="D1240" s="40" t="s">
        <v>86</v>
      </c>
      <c r="E1240" s="237">
        <v>0</v>
      </c>
      <c r="F1240" s="168">
        <v>1</v>
      </c>
      <c r="G1240" s="34"/>
      <c r="H1240" s="29"/>
      <c r="I1240" s="9"/>
      <c r="J1240" s="9"/>
      <c r="K1240" s="9"/>
      <c r="L1240" s="9"/>
      <c r="M1240" s="9"/>
      <c r="N1240" s="185" t="str">
        <f>IF( OR( ISBLANK(H1240),ISBLANK(J1240), ISBLANK(K1240), ISBLANK(L1240), ISBLANK(M1240) ), "", 1.5*SQRT(   EXP(2.21*(H1240-1)) + EXP(2.21*(J1240-1)) + EXP(2.21*(K1240-1)) + EXP(2.21*(L1240-1)) + EXP(2.21*M1240)   )/100*2.45 )</f>
        <v/>
      </c>
      <c r="O1240" s="159" t="str">
        <f>IF( OR( ISBLANK(I1240),ISBLANK(J1240), ISBLANK(K1240), ISBLANK(L1240), ISBLANK(M1240) ), "", 1.5*SQRT( EXP(2.21*(I1240-1)) + EXP(2.21*(J1240-1)) + EXP(2.21*(K1240-1)) + EXP(2.21*(L1240-1)) + EXP(2.21*M1240)   )/100*2.45 )</f>
        <v/>
      </c>
      <c r="P1240" s="34"/>
    </row>
    <row r="1241" spans="1:16" customFormat="1">
      <c r="A1241" s="34" t="s">
        <v>121</v>
      </c>
      <c r="B1241" s="40" t="s">
        <v>238</v>
      </c>
      <c r="C1241" s="34" t="s">
        <v>139</v>
      </c>
      <c r="D1241" s="40" t="s">
        <v>87</v>
      </c>
      <c r="E1241" s="237">
        <v>0.13862266398762429</v>
      </c>
      <c r="F1241" s="168">
        <v>1</v>
      </c>
      <c r="G1241" s="34"/>
      <c r="H1241" s="29">
        <v>2</v>
      </c>
      <c r="I1241" s="9">
        <v>2</v>
      </c>
      <c r="J1241" s="9">
        <v>2</v>
      </c>
      <c r="K1241" s="9">
        <v>2</v>
      </c>
      <c r="L1241" s="9">
        <v>1</v>
      </c>
      <c r="M1241" s="9">
        <v>2</v>
      </c>
      <c r="N1241" s="185">
        <f>IF( OR( ISBLANK(H1241),ISBLANK(J1241), ISBLANK(K1241), ISBLANK(L1241), ISBLANK(M1241) ), "", 1.5*SQRT(   EXP(2.21*(H1241-1)) + EXP(2.21*(J1241-1)) + EXP(2.21*(K1241-1)) + EXP(2.21*(L1241-1)) + EXP(2.21*M1241)   )/100*2.45 )</f>
        <v>0.38795788889711302</v>
      </c>
      <c r="O1241" s="159">
        <f>IF( OR( ISBLANK(I1241),ISBLANK(J1241), ISBLANK(K1241), ISBLANK(L1241), ISBLANK(M1241) ), "", 1.5*SQRT( EXP(2.21*(I1241-1)) + EXP(2.21*(J1241-1)) + EXP(2.21*(K1241-1)) + EXP(2.21*(L1241-1)) + EXP(2.21*M1241)   )/100*2.45 )</f>
        <v>0.38795788889711302</v>
      </c>
      <c r="P1241" s="34"/>
    </row>
    <row r="1242" spans="1:16" customFormat="1">
      <c r="A1242" s="34" t="s">
        <v>121</v>
      </c>
      <c r="B1242" s="40" t="s">
        <v>238</v>
      </c>
      <c r="C1242" s="34" t="s">
        <v>139</v>
      </c>
      <c r="D1242" s="40" t="s">
        <v>88</v>
      </c>
      <c r="E1242" s="237">
        <v>0</v>
      </c>
      <c r="F1242" s="168">
        <v>1</v>
      </c>
      <c r="G1242" s="34"/>
      <c r="H1242" s="29"/>
      <c r="I1242" s="9"/>
      <c r="J1242" s="9"/>
      <c r="K1242" s="9"/>
      <c r="L1242" s="9"/>
      <c r="M1242" s="9"/>
      <c r="N1242" s="185" t="str">
        <f>IF( OR( ISBLANK(H1242),ISBLANK(J1242), ISBLANK(K1242), ISBLANK(L1242), ISBLANK(M1242) ), "", 1.5*SQRT(   EXP(2.21*(H1242-1)) + EXP(2.21*(J1242-1)) + EXP(2.21*(K1242-1)) + EXP(2.21*(L1242-1)) + EXP(2.21*M1242)   )/100*2.45 )</f>
        <v/>
      </c>
      <c r="O1242" s="159" t="str">
        <f>IF( OR( ISBLANK(I1242),ISBLANK(J1242), ISBLANK(K1242), ISBLANK(L1242), ISBLANK(M1242) ), "", 1.5*SQRT( EXP(2.21*(I1242-1)) + EXP(2.21*(J1242-1)) + EXP(2.21*(K1242-1)) + EXP(2.21*(L1242-1)) + EXP(2.21*M1242)   )/100*2.45 )</f>
        <v/>
      </c>
      <c r="P1242" s="34"/>
    </row>
    <row r="1243" spans="1:16" customFormat="1">
      <c r="A1243" s="34" t="s">
        <v>121</v>
      </c>
      <c r="B1243" s="40" t="s">
        <v>238</v>
      </c>
      <c r="C1243" s="34" t="s">
        <v>139</v>
      </c>
      <c r="D1243" s="40" t="s">
        <v>89</v>
      </c>
      <c r="E1243" s="237">
        <v>0</v>
      </c>
      <c r="F1243" s="168">
        <v>1</v>
      </c>
      <c r="G1243" s="34"/>
      <c r="H1243" s="29"/>
      <c r="I1243" s="9"/>
      <c r="J1243" s="9"/>
      <c r="K1243" s="9"/>
      <c r="L1243" s="9"/>
      <c r="M1243" s="9"/>
      <c r="N1243" s="185" t="str">
        <f>IF( OR( ISBLANK(H1243),ISBLANK(J1243), ISBLANK(K1243), ISBLANK(L1243), ISBLANK(M1243) ), "", 1.5*SQRT(   EXP(2.21*(H1243-1)) + EXP(2.21*(J1243-1)) + EXP(2.21*(K1243-1)) + EXP(2.21*(L1243-1)) + EXP(2.21*M1243)   )/100*2.45 )</f>
        <v/>
      </c>
      <c r="O1243" s="159" t="str">
        <f>IF( OR( ISBLANK(I1243),ISBLANK(J1243), ISBLANK(K1243), ISBLANK(L1243), ISBLANK(M1243) ), "", 1.5*SQRT( EXP(2.21*(I1243-1)) + EXP(2.21*(J1243-1)) + EXP(2.21*(K1243-1)) + EXP(2.21*(L1243-1)) + EXP(2.21*M1243)   )/100*2.45 )</f>
        <v/>
      </c>
      <c r="P1243" s="34"/>
    </row>
    <row r="1244" spans="1:16" customFormat="1">
      <c r="A1244" s="34" t="s">
        <v>121</v>
      </c>
      <c r="B1244" s="40" t="s">
        <v>238</v>
      </c>
      <c r="C1244" s="34" t="s">
        <v>139</v>
      </c>
      <c r="D1244" s="40" t="s">
        <v>90</v>
      </c>
      <c r="E1244" s="237">
        <v>0</v>
      </c>
      <c r="F1244" s="168">
        <v>1</v>
      </c>
      <c r="G1244" s="34"/>
      <c r="H1244" s="29"/>
      <c r="I1244" s="9"/>
      <c r="J1244" s="9"/>
      <c r="K1244" s="9"/>
      <c r="L1244" s="9"/>
      <c r="M1244" s="9"/>
      <c r="N1244" s="185" t="str">
        <f>IF( OR( ISBLANK(H1244),ISBLANK(J1244), ISBLANK(K1244), ISBLANK(L1244), ISBLANK(M1244) ), "", 1.5*SQRT(   EXP(2.21*(H1244-1)) + EXP(2.21*(J1244-1)) + EXP(2.21*(K1244-1)) + EXP(2.21*(L1244-1)) + EXP(2.21*M1244)   )/100*2.45 )</f>
        <v/>
      </c>
      <c r="O1244" s="159" t="str">
        <f>IF( OR( ISBLANK(I1244),ISBLANK(J1244), ISBLANK(K1244), ISBLANK(L1244), ISBLANK(M1244) ), "", 1.5*SQRT( EXP(2.21*(I1244-1)) + EXP(2.21*(J1244-1)) + EXP(2.21*(K1244-1)) + EXP(2.21*(L1244-1)) + EXP(2.21*M1244)   )/100*2.45 )</f>
        <v/>
      </c>
      <c r="P1244" s="34"/>
    </row>
    <row r="1245" spans="1:16" customFormat="1">
      <c r="A1245" s="34" t="s">
        <v>121</v>
      </c>
      <c r="B1245" s="40" t="s">
        <v>238</v>
      </c>
      <c r="C1245" s="34" t="s">
        <v>139</v>
      </c>
      <c r="D1245" s="40" t="s">
        <v>91</v>
      </c>
      <c r="E1245" s="237">
        <v>0.14560939849272989</v>
      </c>
      <c r="F1245" s="168">
        <v>1</v>
      </c>
      <c r="G1245" s="34"/>
      <c r="H1245" s="29">
        <v>2</v>
      </c>
      <c r="I1245" s="9">
        <v>2</v>
      </c>
      <c r="J1245" s="9">
        <v>2</v>
      </c>
      <c r="K1245" s="9">
        <v>2</v>
      </c>
      <c r="L1245" s="9">
        <v>1</v>
      </c>
      <c r="M1245" s="9">
        <v>2</v>
      </c>
      <c r="N1245" s="185">
        <f>IF( OR( ISBLANK(H1245),ISBLANK(J1245), ISBLANK(K1245), ISBLANK(L1245), ISBLANK(M1245) ), "", 1.5*SQRT(   EXP(2.21*(H1245-1)) + EXP(2.21*(J1245-1)) + EXP(2.21*(K1245-1)) + EXP(2.21*(L1245-1)) + EXP(2.21*M1245)   )/100*2.45 )</f>
        <v>0.38795788889711302</v>
      </c>
      <c r="O1245" s="159">
        <f>IF( OR( ISBLANK(I1245),ISBLANK(J1245), ISBLANK(K1245), ISBLANK(L1245), ISBLANK(M1245) ), "", 1.5*SQRT( EXP(2.21*(I1245-1)) + EXP(2.21*(J1245-1)) + EXP(2.21*(K1245-1)) + EXP(2.21*(L1245-1)) + EXP(2.21*M1245)   )/100*2.45 )</f>
        <v>0.38795788889711302</v>
      </c>
      <c r="P1245" s="34"/>
    </row>
    <row r="1246" spans="1:16" customFormat="1">
      <c r="A1246" s="34" t="s">
        <v>121</v>
      </c>
      <c r="B1246" s="40" t="s">
        <v>238</v>
      </c>
      <c r="C1246" s="34" t="s">
        <v>139</v>
      </c>
      <c r="D1246" s="40" t="s">
        <v>95</v>
      </c>
      <c r="E1246" s="237">
        <v>0.11212684313172752</v>
      </c>
      <c r="F1246" s="168">
        <v>1</v>
      </c>
      <c r="G1246" s="34"/>
      <c r="H1246" s="29">
        <v>2</v>
      </c>
      <c r="I1246" s="9">
        <v>2</v>
      </c>
      <c r="J1246" s="9">
        <v>2</v>
      </c>
      <c r="K1246" s="9">
        <v>2</v>
      </c>
      <c r="L1246" s="9">
        <v>1</v>
      </c>
      <c r="M1246" s="9">
        <v>2</v>
      </c>
      <c r="N1246" s="185">
        <f>IF( OR( ISBLANK(H1246),ISBLANK(J1246), ISBLANK(K1246), ISBLANK(L1246), ISBLANK(M1246) ), "", 1.5*SQRT(   EXP(2.21*(H1246-1)) + EXP(2.21*(J1246-1)) + EXP(2.21*(K1246-1)) + EXP(2.21*(L1246-1)) + EXP(2.21*M1246)   )/100*2.45 )</f>
        <v>0.38795788889711302</v>
      </c>
      <c r="O1246" s="159">
        <f>IF( OR( ISBLANK(I1246),ISBLANK(J1246), ISBLANK(K1246), ISBLANK(L1246), ISBLANK(M1246) ), "", 1.5*SQRT( EXP(2.21*(I1246-1)) + EXP(2.21*(J1246-1)) + EXP(2.21*(K1246-1)) + EXP(2.21*(L1246-1)) + EXP(2.21*M1246)   )/100*2.45 )</f>
        <v>0.38795788889711302</v>
      </c>
      <c r="P1246" s="34"/>
    </row>
    <row r="1247" spans="1:16" customFormat="1">
      <c r="A1247" s="34" t="s">
        <v>121</v>
      </c>
      <c r="B1247" s="40" t="s">
        <v>238</v>
      </c>
      <c r="C1247" s="34" t="s">
        <v>139</v>
      </c>
      <c r="D1247" s="40" t="s">
        <v>99</v>
      </c>
      <c r="E1247" s="237">
        <v>0</v>
      </c>
      <c r="F1247" s="168">
        <v>1</v>
      </c>
      <c r="G1247" s="34"/>
      <c r="H1247" s="29"/>
      <c r="I1247" s="9"/>
      <c r="J1247" s="9"/>
      <c r="K1247" s="9"/>
      <c r="L1247" s="9"/>
      <c r="M1247" s="9"/>
      <c r="N1247" s="185" t="str">
        <f>IF( OR( ISBLANK(H1247),ISBLANK(J1247), ISBLANK(K1247), ISBLANK(L1247), ISBLANK(M1247) ), "", 1.5*SQRT(   EXP(2.21*(H1247-1)) + EXP(2.21*(J1247-1)) + EXP(2.21*(K1247-1)) + EXP(2.21*(L1247-1)) + EXP(2.21*M1247)   )/100*2.45 )</f>
        <v/>
      </c>
      <c r="O1247" s="159" t="str">
        <f>IF( OR( ISBLANK(I1247),ISBLANK(J1247), ISBLANK(K1247), ISBLANK(L1247), ISBLANK(M1247) ), "", 1.5*SQRT( EXP(2.21*(I1247-1)) + EXP(2.21*(J1247-1)) + EXP(2.21*(K1247-1)) + EXP(2.21*(L1247-1)) + EXP(2.21*M1247)   )/100*2.45 )</f>
        <v/>
      </c>
      <c r="P1247" s="34"/>
    </row>
    <row r="1248" spans="1:16" customFormat="1">
      <c r="A1248" s="34" t="s">
        <v>121</v>
      </c>
      <c r="B1248" s="40" t="s">
        <v>348</v>
      </c>
      <c r="C1248" s="34" t="s">
        <v>139</v>
      </c>
      <c r="D1248" s="40" t="s">
        <v>85</v>
      </c>
      <c r="E1248" s="237">
        <v>0</v>
      </c>
      <c r="F1248" s="168">
        <v>1</v>
      </c>
      <c r="G1248" s="34"/>
      <c r="H1248" s="29"/>
      <c r="I1248" s="9"/>
      <c r="J1248" s="9"/>
      <c r="K1248" s="9"/>
      <c r="L1248" s="9"/>
      <c r="M1248" s="9"/>
      <c r="N1248" s="185" t="str">
        <f>IF( OR( ISBLANK(H1248),ISBLANK(J1248), ISBLANK(K1248), ISBLANK(L1248), ISBLANK(M1248) ), "", 1.5*SQRT(   EXP(2.21*(H1248-1)) + EXP(2.21*(J1248-1)) + EXP(2.21*(K1248-1)) + EXP(2.21*(L1248-1)) + EXP(2.21*M1248)   )/100*2.45 )</f>
        <v/>
      </c>
      <c r="O1248" s="159" t="str">
        <f>IF( OR( ISBLANK(I1248),ISBLANK(J1248), ISBLANK(K1248), ISBLANK(L1248), ISBLANK(M1248) ), "", 1.5*SQRT( EXP(2.21*(I1248-1)) + EXP(2.21*(J1248-1)) + EXP(2.21*(K1248-1)) + EXP(2.21*(L1248-1)) + EXP(2.21*M1248)   )/100*2.45 )</f>
        <v/>
      </c>
      <c r="P1248" s="34"/>
    </row>
    <row r="1249" spans="1:16" customFormat="1">
      <c r="A1249" s="34" t="s">
        <v>121</v>
      </c>
      <c r="B1249" s="40" t="s">
        <v>348</v>
      </c>
      <c r="C1249" s="34" t="s">
        <v>139</v>
      </c>
      <c r="D1249" s="40" t="s">
        <v>86</v>
      </c>
      <c r="E1249" s="237">
        <v>0</v>
      </c>
      <c r="F1249" s="168">
        <v>1</v>
      </c>
      <c r="G1249" s="34"/>
      <c r="H1249" s="29"/>
      <c r="I1249" s="9"/>
      <c r="J1249" s="9"/>
      <c r="K1249" s="9"/>
      <c r="L1249" s="9"/>
      <c r="M1249" s="9"/>
      <c r="N1249" s="185" t="str">
        <f>IF( OR( ISBLANK(H1249),ISBLANK(J1249), ISBLANK(K1249), ISBLANK(L1249), ISBLANK(M1249) ), "", 1.5*SQRT(   EXP(2.21*(H1249-1)) + EXP(2.21*(J1249-1)) + EXP(2.21*(K1249-1)) + EXP(2.21*(L1249-1)) + EXP(2.21*M1249)   )/100*2.45 )</f>
        <v/>
      </c>
      <c r="O1249" s="159" t="str">
        <f>IF( OR( ISBLANK(I1249),ISBLANK(J1249), ISBLANK(K1249), ISBLANK(L1249), ISBLANK(M1249) ), "", 1.5*SQRT( EXP(2.21*(I1249-1)) + EXP(2.21*(J1249-1)) + EXP(2.21*(K1249-1)) + EXP(2.21*(L1249-1)) + EXP(2.21*M1249)   )/100*2.45 )</f>
        <v/>
      </c>
      <c r="P1249" s="34"/>
    </row>
    <row r="1250" spans="1:16" customFormat="1">
      <c r="A1250" s="34" t="s">
        <v>121</v>
      </c>
      <c r="B1250" s="40" t="s">
        <v>348</v>
      </c>
      <c r="C1250" s="34" t="s">
        <v>139</v>
      </c>
      <c r="D1250" s="40" t="s">
        <v>87</v>
      </c>
      <c r="E1250" s="237">
        <v>0.23131990255872262</v>
      </c>
      <c r="F1250" s="168">
        <v>1</v>
      </c>
      <c r="G1250" s="34"/>
      <c r="H1250" s="29">
        <v>3</v>
      </c>
      <c r="I1250" s="9">
        <v>3</v>
      </c>
      <c r="J1250" s="9">
        <v>2</v>
      </c>
      <c r="K1250" s="9">
        <v>2</v>
      </c>
      <c r="L1250" s="9">
        <v>1</v>
      </c>
      <c r="M1250" s="9">
        <v>2</v>
      </c>
      <c r="N1250" s="185">
        <f>IF( OR( ISBLANK(H1250),ISBLANK(J1250), ISBLANK(K1250), ISBLANK(L1250), ISBLANK(M1250) ), "", 1.5*SQRT(   EXP(2.21*(H1250-1)) + EXP(2.21*(J1250-1)) + EXP(2.21*(K1250-1)) + EXP(2.21*(L1250-1)) + EXP(2.21*M1250)   )/100*2.45 )</f>
        <v>0.50042652380814845</v>
      </c>
      <c r="O1250" s="159">
        <f>IF( OR( ISBLANK(I1250),ISBLANK(J1250), ISBLANK(K1250), ISBLANK(L1250), ISBLANK(M1250) ), "", 1.5*SQRT( EXP(2.21*(I1250-1)) + EXP(2.21*(J1250-1)) + EXP(2.21*(K1250-1)) + EXP(2.21*(L1250-1)) + EXP(2.21*M1250)   )/100*2.45 )</f>
        <v>0.50042652380814845</v>
      </c>
      <c r="P1250" s="34"/>
    </row>
    <row r="1251" spans="1:16" customFormat="1">
      <c r="A1251" s="34" t="s">
        <v>121</v>
      </c>
      <c r="B1251" s="40" t="s">
        <v>348</v>
      </c>
      <c r="C1251" s="34" t="s">
        <v>139</v>
      </c>
      <c r="D1251" s="40" t="s">
        <v>88</v>
      </c>
      <c r="E1251" s="237">
        <v>0</v>
      </c>
      <c r="F1251" s="168">
        <v>1</v>
      </c>
      <c r="G1251" s="34"/>
      <c r="H1251" s="29"/>
      <c r="I1251" s="9"/>
      <c r="J1251" s="9"/>
      <c r="K1251" s="9"/>
      <c r="L1251" s="9"/>
      <c r="M1251" s="9"/>
      <c r="N1251" s="185" t="str">
        <f>IF( OR( ISBLANK(H1251),ISBLANK(J1251), ISBLANK(K1251), ISBLANK(L1251), ISBLANK(M1251) ), "", 1.5*SQRT(   EXP(2.21*(H1251-1)) + EXP(2.21*(J1251-1)) + EXP(2.21*(K1251-1)) + EXP(2.21*(L1251-1)) + EXP(2.21*M1251)   )/100*2.45 )</f>
        <v/>
      </c>
      <c r="O1251" s="159" t="str">
        <f>IF( OR( ISBLANK(I1251),ISBLANK(J1251), ISBLANK(K1251), ISBLANK(L1251), ISBLANK(M1251) ), "", 1.5*SQRT( EXP(2.21*(I1251-1)) + EXP(2.21*(J1251-1)) + EXP(2.21*(K1251-1)) + EXP(2.21*(L1251-1)) + EXP(2.21*M1251)   )/100*2.45 )</f>
        <v/>
      </c>
      <c r="P1251" s="34"/>
    </row>
    <row r="1252" spans="1:16" customFormat="1">
      <c r="A1252" s="34" t="s">
        <v>121</v>
      </c>
      <c r="B1252" s="40" t="s">
        <v>348</v>
      </c>
      <c r="C1252" s="34" t="s">
        <v>139</v>
      </c>
      <c r="D1252" s="40" t="s">
        <v>89</v>
      </c>
      <c r="E1252" s="237">
        <v>0</v>
      </c>
      <c r="F1252" s="168">
        <v>1</v>
      </c>
      <c r="G1252" s="34"/>
      <c r="H1252" s="29"/>
      <c r="I1252" s="9"/>
      <c r="J1252" s="9"/>
      <c r="K1252" s="9"/>
      <c r="L1252" s="9"/>
      <c r="M1252" s="9"/>
      <c r="N1252" s="185" t="str">
        <f>IF( OR( ISBLANK(H1252),ISBLANK(J1252), ISBLANK(K1252), ISBLANK(L1252), ISBLANK(M1252) ), "", 1.5*SQRT(   EXP(2.21*(H1252-1)) + EXP(2.21*(J1252-1)) + EXP(2.21*(K1252-1)) + EXP(2.21*(L1252-1)) + EXP(2.21*M1252)   )/100*2.45 )</f>
        <v/>
      </c>
      <c r="O1252" s="159" t="str">
        <f>IF( OR( ISBLANK(I1252),ISBLANK(J1252), ISBLANK(K1252), ISBLANK(L1252), ISBLANK(M1252) ), "", 1.5*SQRT( EXP(2.21*(I1252-1)) + EXP(2.21*(J1252-1)) + EXP(2.21*(K1252-1)) + EXP(2.21*(L1252-1)) + EXP(2.21*M1252)   )/100*2.45 )</f>
        <v/>
      </c>
      <c r="P1252" s="34"/>
    </row>
    <row r="1253" spans="1:16" customFormat="1">
      <c r="A1253" s="34" t="s">
        <v>121</v>
      </c>
      <c r="B1253" s="40" t="s">
        <v>348</v>
      </c>
      <c r="C1253" s="34" t="s">
        <v>139</v>
      </c>
      <c r="D1253" s="40" t="s">
        <v>90</v>
      </c>
      <c r="E1253" s="237">
        <v>0</v>
      </c>
      <c r="F1253" s="168">
        <v>1</v>
      </c>
      <c r="G1253" s="34"/>
      <c r="H1253" s="29"/>
      <c r="I1253" s="9"/>
      <c r="J1253" s="9"/>
      <c r="K1253" s="9"/>
      <c r="L1253" s="9"/>
      <c r="M1253" s="9"/>
      <c r="N1253" s="185" t="str">
        <f>IF( OR( ISBLANK(H1253),ISBLANK(J1253), ISBLANK(K1253), ISBLANK(L1253), ISBLANK(M1253) ), "", 1.5*SQRT(   EXP(2.21*(H1253-1)) + EXP(2.21*(J1253-1)) + EXP(2.21*(K1253-1)) + EXP(2.21*(L1253-1)) + EXP(2.21*M1253)   )/100*2.45 )</f>
        <v/>
      </c>
      <c r="O1253" s="159" t="str">
        <f>IF( OR( ISBLANK(I1253),ISBLANK(J1253), ISBLANK(K1253), ISBLANK(L1253), ISBLANK(M1253) ), "", 1.5*SQRT( EXP(2.21*(I1253-1)) + EXP(2.21*(J1253-1)) + EXP(2.21*(K1253-1)) + EXP(2.21*(L1253-1)) + EXP(2.21*M1253)   )/100*2.45 )</f>
        <v/>
      </c>
      <c r="P1253" s="34"/>
    </row>
    <row r="1254" spans="1:16" customFormat="1">
      <c r="A1254" s="34" t="s">
        <v>121</v>
      </c>
      <c r="B1254" s="40" t="s">
        <v>348</v>
      </c>
      <c r="C1254" s="34" t="s">
        <v>139</v>
      </c>
      <c r="D1254" s="40" t="s">
        <v>91</v>
      </c>
      <c r="E1254" s="237">
        <v>0.30372334961384378</v>
      </c>
      <c r="F1254" s="168">
        <v>1</v>
      </c>
      <c r="G1254" s="34"/>
      <c r="H1254" s="29">
        <v>3</v>
      </c>
      <c r="I1254" s="9">
        <v>3</v>
      </c>
      <c r="J1254" s="9">
        <v>2</v>
      </c>
      <c r="K1254" s="9">
        <v>2</v>
      </c>
      <c r="L1254" s="9">
        <v>1</v>
      </c>
      <c r="M1254" s="9">
        <v>2</v>
      </c>
      <c r="N1254" s="185">
        <f>IF( OR( ISBLANK(H1254),ISBLANK(J1254), ISBLANK(K1254), ISBLANK(L1254), ISBLANK(M1254) ), "", 1.5*SQRT(   EXP(2.21*(H1254-1)) + EXP(2.21*(J1254-1)) + EXP(2.21*(K1254-1)) + EXP(2.21*(L1254-1)) + EXP(2.21*M1254)   )/100*2.45 )</f>
        <v>0.50042652380814845</v>
      </c>
      <c r="O1254" s="159">
        <f>IF( OR( ISBLANK(I1254),ISBLANK(J1254), ISBLANK(K1254), ISBLANK(L1254), ISBLANK(M1254) ), "", 1.5*SQRT( EXP(2.21*(I1254-1)) + EXP(2.21*(J1254-1)) + EXP(2.21*(K1254-1)) + EXP(2.21*(L1254-1)) + EXP(2.21*M1254)   )/100*2.45 )</f>
        <v>0.50042652380814845</v>
      </c>
      <c r="P1254" s="34"/>
    </row>
    <row r="1255" spans="1:16" customFormat="1">
      <c r="A1255" s="34" t="s">
        <v>121</v>
      </c>
      <c r="B1255" s="40" t="s">
        <v>348</v>
      </c>
      <c r="C1255" s="34" t="s">
        <v>139</v>
      </c>
      <c r="D1255" s="40" t="s">
        <v>95</v>
      </c>
      <c r="E1255" s="237">
        <v>0.46776568999142792</v>
      </c>
      <c r="F1255" s="168">
        <v>1</v>
      </c>
      <c r="G1255" s="34"/>
      <c r="H1255" s="29">
        <v>3</v>
      </c>
      <c r="I1255" s="9">
        <v>3</v>
      </c>
      <c r="J1255" s="9">
        <v>2</v>
      </c>
      <c r="K1255" s="9">
        <v>2</v>
      </c>
      <c r="L1255" s="9">
        <v>1</v>
      </c>
      <c r="M1255" s="9">
        <v>2</v>
      </c>
      <c r="N1255" s="185">
        <f>IF( OR( ISBLANK(H1255),ISBLANK(J1255), ISBLANK(K1255), ISBLANK(L1255), ISBLANK(M1255) ), "", 1.5*SQRT(   EXP(2.21*(H1255-1)) + EXP(2.21*(J1255-1)) + EXP(2.21*(K1255-1)) + EXP(2.21*(L1255-1)) + EXP(2.21*M1255)   )/100*2.45 )</f>
        <v>0.50042652380814845</v>
      </c>
      <c r="O1255" s="159">
        <f>IF( OR( ISBLANK(I1255),ISBLANK(J1255), ISBLANK(K1255), ISBLANK(L1255), ISBLANK(M1255) ), "", 1.5*SQRT( EXP(2.21*(I1255-1)) + EXP(2.21*(J1255-1)) + EXP(2.21*(K1255-1)) + EXP(2.21*(L1255-1)) + EXP(2.21*M1255)   )/100*2.45 )</f>
        <v>0.50042652380814845</v>
      </c>
      <c r="P1255" s="34"/>
    </row>
    <row r="1256" spans="1:16" customFormat="1">
      <c r="A1256" s="34" t="s">
        <v>121</v>
      </c>
      <c r="B1256" s="40" t="s">
        <v>348</v>
      </c>
      <c r="C1256" s="34" t="s">
        <v>139</v>
      </c>
      <c r="D1256" s="40" t="s">
        <v>99</v>
      </c>
      <c r="E1256" s="237">
        <v>0.27563499529633112</v>
      </c>
      <c r="F1256" s="168">
        <v>1</v>
      </c>
      <c r="G1256" s="34"/>
      <c r="H1256" s="29">
        <v>3</v>
      </c>
      <c r="I1256" s="9">
        <v>3</v>
      </c>
      <c r="J1256" s="9">
        <v>2</v>
      </c>
      <c r="K1256" s="9">
        <v>2</v>
      </c>
      <c r="L1256" s="9">
        <v>1</v>
      </c>
      <c r="M1256" s="9">
        <v>2</v>
      </c>
      <c r="N1256" s="185">
        <f>IF( OR( ISBLANK(H1256),ISBLANK(J1256), ISBLANK(K1256), ISBLANK(L1256), ISBLANK(M1256) ), "", 1.5*SQRT(   EXP(2.21*(H1256-1)) + EXP(2.21*(J1256-1)) + EXP(2.21*(K1256-1)) + EXP(2.21*(L1256-1)) + EXP(2.21*M1256)   )/100*2.45 )</f>
        <v>0.50042652380814845</v>
      </c>
      <c r="O1256" s="159">
        <f>IF( OR( ISBLANK(I1256),ISBLANK(J1256), ISBLANK(K1256), ISBLANK(L1256), ISBLANK(M1256) ), "", 1.5*SQRT( EXP(2.21*(I1256-1)) + EXP(2.21*(J1256-1)) + EXP(2.21*(K1256-1)) + EXP(2.21*(L1256-1)) + EXP(2.21*M1256)   )/100*2.45 )</f>
        <v>0.50042652380814845</v>
      </c>
      <c r="P1256" s="34"/>
    </row>
    <row r="1257" spans="1:16" customFormat="1">
      <c r="A1257" s="34" t="s">
        <v>121</v>
      </c>
      <c r="B1257" s="40" t="s">
        <v>401</v>
      </c>
      <c r="C1257" s="34" t="s">
        <v>139</v>
      </c>
      <c r="D1257" s="40" t="s">
        <v>85</v>
      </c>
      <c r="E1257" s="237">
        <v>0</v>
      </c>
      <c r="F1257" s="168">
        <v>1</v>
      </c>
      <c r="G1257" s="34"/>
      <c r="H1257" s="29"/>
      <c r="I1257" s="9"/>
      <c r="J1257" s="9"/>
      <c r="K1257" s="9"/>
      <c r="L1257" s="9"/>
      <c r="M1257" s="9"/>
      <c r="N1257" s="185" t="str">
        <f>IF( OR( ISBLANK(H1257),ISBLANK(J1257), ISBLANK(K1257), ISBLANK(L1257), ISBLANK(M1257) ), "", 1.5*SQRT(   EXP(2.21*(H1257-1)) + EXP(2.21*(J1257-1)) + EXP(2.21*(K1257-1)) + EXP(2.21*(L1257-1)) + EXP(2.21*M1257)   )/100*2.45 )</f>
        <v/>
      </c>
      <c r="O1257" s="159" t="str">
        <f>IF( OR( ISBLANK(I1257),ISBLANK(J1257), ISBLANK(K1257), ISBLANK(L1257), ISBLANK(M1257) ), "", 1.5*SQRT( EXP(2.21*(I1257-1)) + EXP(2.21*(J1257-1)) + EXP(2.21*(K1257-1)) + EXP(2.21*(L1257-1)) + EXP(2.21*M1257)   )/100*2.45 )</f>
        <v/>
      </c>
      <c r="P1257" s="34"/>
    </row>
    <row r="1258" spans="1:16" customFormat="1">
      <c r="A1258" s="34" t="s">
        <v>121</v>
      </c>
      <c r="B1258" s="40" t="s">
        <v>401</v>
      </c>
      <c r="C1258" s="34" t="s">
        <v>139</v>
      </c>
      <c r="D1258" s="40" t="s">
        <v>86</v>
      </c>
      <c r="E1258" s="237">
        <v>0</v>
      </c>
      <c r="F1258" s="168">
        <v>1</v>
      </c>
      <c r="G1258" s="34"/>
      <c r="H1258" s="29"/>
      <c r="I1258" s="9"/>
      <c r="J1258" s="9"/>
      <c r="K1258" s="9"/>
      <c r="L1258" s="9"/>
      <c r="M1258" s="9"/>
      <c r="N1258" s="185" t="str">
        <f>IF( OR( ISBLANK(H1258),ISBLANK(J1258), ISBLANK(K1258), ISBLANK(L1258), ISBLANK(M1258) ), "", 1.5*SQRT(   EXP(2.21*(H1258-1)) + EXP(2.21*(J1258-1)) + EXP(2.21*(K1258-1)) + EXP(2.21*(L1258-1)) + EXP(2.21*M1258)   )/100*2.45 )</f>
        <v/>
      </c>
      <c r="O1258" s="159" t="str">
        <f>IF( OR( ISBLANK(I1258),ISBLANK(J1258), ISBLANK(K1258), ISBLANK(L1258), ISBLANK(M1258) ), "", 1.5*SQRT( EXP(2.21*(I1258-1)) + EXP(2.21*(J1258-1)) + EXP(2.21*(K1258-1)) + EXP(2.21*(L1258-1)) + EXP(2.21*M1258)   )/100*2.45 )</f>
        <v/>
      </c>
      <c r="P1258" s="34"/>
    </row>
    <row r="1259" spans="1:16" customFormat="1">
      <c r="A1259" s="34" t="s">
        <v>121</v>
      </c>
      <c r="B1259" s="40" t="s">
        <v>401</v>
      </c>
      <c r="C1259" s="34" t="s">
        <v>139</v>
      </c>
      <c r="D1259" s="40" t="s">
        <v>87</v>
      </c>
      <c r="E1259" s="237">
        <v>0</v>
      </c>
      <c r="F1259" s="168">
        <v>1</v>
      </c>
      <c r="G1259" s="34"/>
      <c r="H1259" s="29"/>
      <c r="I1259" s="9"/>
      <c r="J1259" s="9"/>
      <c r="K1259" s="9"/>
      <c r="L1259" s="9"/>
      <c r="M1259" s="9"/>
      <c r="N1259" s="185" t="str">
        <f>IF( OR( ISBLANK(H1259),ISBLANK(J1259), ISBLANK(K1259), ISBLANK(L1259), ISBLANK(M1259) ), "", 1.5*SQRT(   EXP(2.21*(H1259-1)) + EXP(2.21*(J1259-1)) + EXP(2.21*(K1259-1)) + EXP(2.21*(L1259-1)) + EXP(2.21*M1259)   )/100*2.45 )</f>
        <v/>
      </c>
      <c r="O1259" s="159" t="str">
        <f>IF( OR( ISBLANK(I1259),ISBLANK(J1259), ISBLANK(K1259), ISBLANK(L1259), ISBLANK(M1259) ), "", 1.5*SQRT( EXP(2.21*(I1259-1)) + EXP(2.21*(J1259-1)) + EXP(2.21*(K1259-1)) + EXP(2.21*(L1259-1)) + EXP(2.21*M1259)   )/100*2.45 )</f>
        <v/>
      </c>
      <c r="P1259" s="34"/>
    </row>
    <row r="1260" spans="1:16" customFormat="1">
      <c r="A1260" s="34" t="s">
        <v>121</v>
      </c>
      <c r="B1260" s="40" t="s">
        <v>401</v>
      </c>
      <c r="C1260" s="34" t="s">
        <v>139</v>
      </c>
      <c r="D1260" s="40" t="s">
        <v>88</v>
      </c>
      <c r="E1260" s="237">
        <v>0</v>
      </c>
      <c r="F1260" s="168">
        <v>1</v>
      </c>
      <c r="G1260" s="34"/>
      <c r="H1260" s="29"/>
      <c r="I1260" s="9"/>
      <c r="J1260" s="9"/>
      <c r="K1260" s="9"/>
      <c r="L1260" s="9"/>
      <c r="M1260" s="9"/>
      <c r="N1260" s="185" t="str">
        <f>IF( OR( ISBLANK(H1260),ISBLANK(J1260), ISBLANK(K1260), ISBLANK(L1260), ISBLANK(M1260) ), "", 1.5*SQRT(   EXP(2.21*(H1260-1)) + EXP(2.21*(J1260-1)) + EXP(2.21*(K1260-1)) + EXP(2.21*(L1260-1)) + EXP(2.21*M1260)   )/100*2.45 )</f>
        <v/>
      </c>
      <c r="O1260" s="159" t="str">
        <f>IF( OR( ISBLANK(I1260),ISBLANK(J1260), ISBLANK(K1260), ISBLANK(L1260), ISBLANK(M1260) ), "", 1.5*SQRT( EXP(2.21*(I1260-1)) + EXP(2.21*(J1260-1)) + EXP(2.21*(K1260-1)) + EXP(2.21*(L1260-1)) + EXP(2.21*M1260)   )/100*2.45 )</f>
        <v/>
      </c>
      <c r="P1260" s="34"/>
    </row>
    <row r="1261" spans="1:16" customFormat="1">
      <c r="A1261" s="34" t="s">
        <v>121</v>
      </c>
      <c r="B1261" s="40" t="s">
        <v>401</v>
      </c>
      <c r="C1261" s="34" t="s">
        <v>139</v>
      </c>
      <c r="D1261" s="40" t="s">
        <v>89</v>
      </c>
      <c r="E1261" s="237">
        <v>0</v>
      </c>
      <c r="F1261" s="168">
        <v>1</v>
      </c>
      <c r="G1261" s="34"/>
      <c r="H1261" s="29"/>
      <c r="I1261" s="9"/>
      <c r="J1261" s="9"/>
      <c r="K1261" s="9"/>
      <c r="L1261" s="9"/>
      <c r="M1261" s="9"/>
      <c r="N1261" s="185" t="str">
        <f>IF( OR( ISBLANK(H1261),ISBLANK(J1261), ISBLANK(K1261), ISBLANK(L1261), ISBLANK(M1261) ), "", 1.5*SQRT(   EXP(2.21*(H1261-1)) + EXP(2.21*(J1261-1)) + EXP(2.21*(K1261-1)) + EXP(2.21*(L1261-1)) + EXP(2.21*M1261)   )/100*2.45 )</f>
        <v/>
      </c>
      <c r="O1261" s="159" t="str">
        <f>IF( OR( ISBLANK(I1261),ISBLANK(J1261), ISBLANK(K1261), ISBLANK(L1261), ISBLANK(M1261) ), "", 1.5*SQRT( EXP(2.21*(I1261-1)) + EXP(2.21*(J1261-1)) + EXP(2.21*(K1261-1)) + EXP(2.21*(L1261-1)) + EXP(2.21*M1261)   )/100*2.45 )</f>
        <v/>
      </c>
      <c r="P1261" s="34"/>
    </row>
    <row r="1262" spans="1:16" customFormat="1">
      <c r="A1262" s="34" t="s">
        <v>121</v>
      </c>
      <c r="B1262" s="40" t="s">
        <v>401</v>
      </c>
      <c r="C1262" s="34" t="s">
        <v>139</v>
      </c>
      <c r="D1262" s="40" t="s">
        <v>90</v>
      </c>
      <c r="E1262" s="237">
        <v>1</v>
      </c>
      <c r="F1262" s="168">
        <v>1</v>
      </c>
      <c r="G1262" s="34"/>
      <c r="H1262" s="29">
        <v>2</v>
      </c>
      <c r="I1262" s="9">
        <v>2</v>
      </c>
      <c r="J1262" s="9">
        <v>2</v>
      </c>
      <c r="K1262" s="9">
        <v>2</v>
      </c>
      <c r="L1262" s="9">
        <v>1</v>
      </c>
      <c r="M1262" s="9">
        <v>2</v>
      </c>
      <c r="N1262" s="185">
        <f>IF( OR( ISBLANK(H1262),ISBLANK(J1262), ISBLANK(K1262), ISBLANK(L1262), ISBLANK(M1262) ), "", 1.5*SQRT(   EXP(2.21*(H1262-1)) + EXP(2.21*(J1262-1)) + EXP(2.21*(K1262-1)) + EXP(2.21*(L1262-1)) + EXP(2.21*M1262)   )/100*2.45 )</f>
        <v>0.38795788889711302</v>
      </c>
      <c r="O1262" s="159">
        <f>IF( OR( ISBLANK(I1262),ISBLANK(J1262), ISBLANK(K1262), ISBLANK(L1262), ISBLANK(M1262) ), "", 1.5*SQRT( EXP(2.21*(I1262-1)) + EXP(2.21*(J1262-1)) + EXP(2.21*(K1262-1)) + EXP(2.21*(L1262-1)) + EXP(2.21*M1262)   )/100*2.45 )</f>
        <v>0.38795788889711302</v>
      </c>
      <c r="P1262" s="34"/>
    </row>
    <row r="1263" spans="1:16" customFormat="1">
      <c r="A1263" s="34" t="s">
        <v>121</v>
      </c>
      <c r="B1263" s="40" t="s">
        <v>401</v>
      </c>
      <c r="C1263" s="34" t="s">
        <v>139</v>
      </c>
      <c r="D1263" s="40" t="s">
        <v>91</v>
      </c>
      <c r="E1263" s="237">
        <v>0</v>
      </c>
      <c r="F1263" s="168">
        <v>1</v>
      </c>
      <c r="G1263" s="34"/>
      <c r="H1263" s="29"/>
      <c r="I1263" s="9"/>
      <c r="J1263" s="9"/>
      <c r="K1263" s="9"/>
      <c r="L1263" s="9"/>
      <c r="M1263" s="9"/>
      <c r="N1263" s="185" t="str">
        <f>IF( OR( ISBLANK(H1263),ISBLANK(J1263), ISBLANK(K1263), ISBLANK(L1263), ISBLANK(M1263) ), "", 1.5*SQRT(   EXP(2.21*(H1263-1)) + EXP(2.21*(J1263-1)) + EXP(2.21*(K1263-1)) + EXP(2.21*(L1263-1)) + EXP(2.21*M1263)   )/100*2.45 )</f>
        <v/>
      </c>
      <c r="O1263" s="159" t="str">
        <f>IF( OR( ISBLANK(I1263),ISBLANK(J1263), ISBLANK(K1263), ISBLANK(L1263), ISBLANK(M1263) ), "", 1.5*SQRT( EXP(2.21*(I1263-1)) + EXP(2.21*(J1263-1)) + EXP(2.21*(K1263-1)) + EXP(2.21*(L1263-1)) + EXP(2.21*M1263)   )/100*2.45 )</f>
        <v/>
      </c>
      <c r="P1263" s="34"/>
    </row>
    <row r="1264" spans="1:16" customFormat="1">
      <c r="A1264" s="34" t="s">
        <v>121</v>
      </c>
      <c r="B1264" s="40" t="s">
        <v>401</v>
      </c>
      <c r="C1264" s="34" t="s">
        <v>139</v>
      </c>
      <c r="D1264" s="40" t="s">
        <v>95</v>
      </c>
      <c r="E1264" s="237">
        <v>0</v>
      </c>
      <c r="F1264" s="168">
        <v>1</v>
      </c>
      <c r="G1264" s="34"/>
      <c r="H1264" s="29"/>
      <c r="I1264" s="9"/>
      <c r="J1264" s="9"/>
      <c r="K1264" s="9"/>
      <c r="L1264" s="9"/>
      <c r="M1264" s="9"/>
      <c r="N1264" s="185" t="str">
        <f>IF( OR( ISBLANK(H1264),ISBLANK(J1264), ISBLANK(K1264), ISBLANK(L1264), ISBLANK(M1264) ), "", 1.5*SQRT(   EXP(2.21*(H1264-1)) + EXP(2.21*(J1264-1)) + EXP(2.21*(K1264-1)) + EXP(2.21*(L1264-1)) + EXP(2.21*M1264)   )/100*2.45 )</f>
        <v/>
      </c>
      <c r="O1264" s="159" t="str">
        <f>IF( OR( ISBLANK(I1264),ISBLANK(J1264), ISBLANK(K1264), ISBLANK(L1264), ISBLANK(M1264) ), "", 1.5*SQRT( EXP(2.21*(I1264-1)) + EXP(2.21*(J1264-1)) + EXP(2.21*(K1264-1)) + EXP(2.21*(L1264-1)) + EXP(2.21*M1264)   )/100*2.45 )</f>
        <v/>
      </c>
      <c r="P1264" s="34"/>
    </row>
    <row r="1265" spans="1:16" customFormat="1">
      <c r="A1265" s="34" t="s">
        <v>121</v>
      </c>
      <c r="B1265" s="40" t="s">
        <v>401</v>
      </c>
      <c r="C1265" s="34" t="s">
        <v>139</v>
      </c>
      <c r="D1265" s="40" t="s">
        <v>99</v>
      </c>
      <c r="E1265" s="237">
        <v>0</v>
      </c>
      <c r="F1265" s="168">
        <v>1</v>
      </c>
      <c r="G1265" s="34"/>
      <c r="H1265" s="29"/>
      <c r="I1265" s="9"/>
      <c r="J1265" s="9"/>
      <c r="K1265" s="9"/>
      <c r="L1265" s="9"/>
      <c r="M1265" s="9"/>
      <c r="N1265" s="185" t="str">
        <f>IF( OR( ISBLANK(H1265),ISBLANK(J1265), ISBLANK(K1265), ISBLANK(L1265), ISBLANK(M1265) ), "", 1.5*SQRT(   EXP(2.21*(H1265-1)) + EXP(2.21*(J1265-1)) + EXP(2.21*(K1265-1)) + EXP(2.21*(L1265-1)) + EXP(2.21*M1265)   )/100*2.45 )</f>
        <v/>
      </c>
      <c r="O1265" s="159" t="str">
        <f>IF( OR( ISBLANK(I1265),ISBLANK(J1265), ISBLANK(K1265), ISBLANK(L1265), ISBLANK(M1265) ), "", 1.5*SQRT( EXP(2.21*(I1265-1)) + EXP(2.21*(J1265-1)) + EXP(2.21*(K1265-1)) + EXP(2.21*(L1265-1)) + EXP(2.21*M1265)   )/100*2.45 )</f>
        <v/>
      </c>
      <c r="P1265" s="34"/>
    </row>
    <row r="1266" spans="1:16" customFormat="1">
      <c r="A1266" s="34" t="s">
        <v>287</v>
      </c>
      <c r="B1266" s="40" t="s">
        <v>265</v>
      </c>
      <c r="C1266" s="34" t="s">
        <v>139</v>
      </c>
      <c r="D1266" s="40" t="s">
        <v>139</v>
      </c>
      <c r="E1266" s="1195" t="s">
        <v>150</v>
      </c>
      <c r="F1266" s="40">
        <v>1</v>
      </c>
      <c r="G1266" s="34"/>
      <c r="H1266" s="29"/>
      <c r="I1266" s="9"/>
      <c r="J1266" s="9"/>
      <c r="K1266" s="9"/>
      <c r="L1266" s="9"/>
      <c r="M1266" s="9"/>
      <c r="N1266" s="185" t="str">
        <f>IF( OR( ISBLANK(H1266),ISBLANK(J1266), ISBLANK(K1266), ISBLANK(L1266), ISBLANK(M1266) ), "", 1.5*SQRT(   EXP(2.21*(H1266-1)) + EXP(2.21*(J1266-1)) + EXP(2.21*(K1266-1)) + EXP(2.21*(L1266-1)) + EXP(2.21*M1266)   )/100*2.45 )</f>
        <v/>
      </c>
      <c r="O1266" s="159" t="str">
        <f>IF( OR( ISBLANK(I1266),ISBLANK(J1266), ISBLANK(K1266), ISBLANK(L1266), ISBLANK(M1266) ), "", 1.5*SQRT( EXP(2.21*(I1266-1)) + EXP(2.21*(J1266-1)) + EXP(2.21*(K1266-1)) + EXP(2.21*(L1266-1)) + EXP(2.21*M1266)   )/100*2.45 )</f>
        <v/>
      </c>
      <c r="P1266" s="973"/>
    </row>
    <row r="1267" spans="1:16" customFormat="1">
      <c r="A1267" s="34" t="s">
        <v>287</v>
      </c>
      <c r="B1267" s="40" t="s">
        <v>284</v>
      </c>
      <c r="C1267" s="34" t="s">
        <v>182</v>
      </c>
      <c r="D1267" s="40" t="s">
        <v>139</v>
      </c>
      <c r="E1267" s="1195">
        <v>0.49999999999999956</v>
      </c>
      <c r="F1267" s="40">
        <v>2</v>
      </c>
      <c r="G1267" s="34" t="s">
        <v>2244</v>
      </c>
      <c r="H1267" s="29">
        <v>3</v>
      </c>
      <c r="I1267" s="9">
        <v>3</v>
      </c>
      <c r="J1267" s="9">
        <v>2</v>
      </c>
      <c r="K1267" s="9">
        <v>3</v>
      </c>
      <c r="L1267" s="9">
        <v>2</v>
      </c>
      <c r="M1267" s="9">
        <v>1</v>
      </c>
      <c r="N1267" s="185">
        <f>IF( OR( ISBLANK(H1267),ISBLANK(J1267), ISBLANK(K1267), ISBLANK(L1267), ISBLANK(M1267) ), "", 1.5*SQRT(   EXP(2.21*(H1267-1)) + EXP(2.21*(J1267-1)) + EXP(2.21*(K1267-1)) + EXP(2.21*(L1267-1)) + EXP(2.21*M1267)   )/100*2.45 )</f>
        <v>0.51126068492676302</v>
      </c>
      <c r="O1267" s="159">
        <f>IF( OR( ISBLANK(I1267),ISBLANK(J1267), ISBLANK(K1267), ISBLANK(L1267), ISBLANK(M1267) ), "", 1.5*SQRT( EXP(2.21*(I1267-1)) + EXP(2.21*(J1267-1)) + EXP(2.21*(K1267-1)) + EXP(2.21*(L1267-1)) + EXP(2.21*M1267)   )/100*2.45 )</f>
        <v>0.51126068492676302</v>
      </c>
      <c r="P1267" s="973"/>
    </row>
    <row r="1268" spans="1:16" customFormat="1">
      <c r="A1268" s="34" t="s">
        <v>287</v>
      </c>
      <c r="B1268" s="40" t="s">
        <v>284</v>
      </c>
      <c r="C1268" s="34" t="s">
        <v>180</v>
      </c>
      <c r="D1268" s="40" t="s">
        <v>139</v>
      </c>
      <c r="E1268" s="1195">
        <v>0.98333333333333328</v>
      </c>
      <c r="F1268" s="40">
        <v>2</v>
      </c>
      <c r="G1268" s="34" t="s">
        <v>2238</v>
      </c>
      <c r="H1268" s="29">
        <v>1</v>
      </c>
      <c r="I1268" s="9">
        <v>2</v>
      </c>
      <c r="J1268" s="9">
        <v>3</v>
      </c>
      <c r="K1268" s="9">
        <v>3</v>
      </c>
      <c r="L1268" s="9">
        <v>2</v>
      </c>
      <c r="M1268" s="9">
        <v>1</v>
      </c>
      <c r="N1268" s="185">
        <f>IF( OR( ISBLANK(H1268),ISBLANK(J1268), ISBLANK(K1268), ISBLANK(L1268), ISBLANK(M1268) ), "", 1.5*SQRT(   EXP(2.21*(H1268-1)) + EXP(2.21*(J1268-1)) + EXP(2.21*(K1268-1)) + EXP(2.21*(L1268-1)) + EXP(2.21*M1268)   )/100*2.45 )</f>
        <v>0.50042652380814856</v>
      </c>
      <c r="O1268" s="159">
        <f>IF( OR( ISBLANK(I1268),ISBLANK(J1268), ISBLANK(K1268), ISBLANK(L1268), ISBLANK(M1268) ), "", 1.5*SQRT( EXP(2.21*(I1268-1)) + EXP(2.21*(J1268-1)) + EXP(2.21*(K1268-1)) + EXP(2.21*(L1268-1)) + EXP(2.21*M1268)   )/100*2.45 )</f>
        <v>0.51126068492676302</v>
      </c>
      <c r="P1268" s="973"/>
    </row>
    <row r="1269" spans="1:16" customFormat="1">
      <c r="A1269" s="34" t="s">
        <v>288</v>
      </c>
      <c r="B1269" s="40" t="s">
        <v>258</v>
      </c>
      <c r="C1269" s="34" t="s">
        <v>139</v>
      </c>
      <c r="D1269" s="40" t="s">
        <v>139</v>
      </c>
      <c r="E1269" s="1195" t="s">
        <v>150</v>
      </c>
      <c r="F1269" s="40">
        <v>1</v>
      </c>
      <c r="G1269" s="34"/>
      <c r="H1269" s="29"/>
      <c r="I1269" s="9"/>
      <c r="J1269" s="9"/>
      <c r="K1269" s="9"/>
      <c r="L1269" s="9"/>
      <c r="M1269" s="9"/>
      <c r="N1269" s="185" t="str">
        <f>IF( OR( ISBLANK(H1269),ISBLANK(J1269), ISBLANK(K1269), ISBLANK(L1269), ISBLANK(M1269) ), "", 1.5*SQRT(   EXP(2.21*(H1269-1)) + EXP(2.21*(J1269-1)) + EXP(2.21*(K1269-1)) + EXP(2.21*(L1269-1)) + EXP(2.21*M1269)   )/100*2.45 )</f>
        <v/>
      </c>
      <c r="O1269" s="159" t="str">
        <f>IF( OR( ISBLANK(I1269),ISBLANK(J1269), ISBLANK(K1269), ISBLANK(L1269), ISBLANK(M1269) ), "", 1.5*SQRT( EXP(2.21*(I1269-1)) + EXP(2.21*(J1269-1)) + EXP(2.21*(K1269-1)) + EXP(2.21*(L1269-1)) + EXP(2.21*M1269)   )/100*2.45 )</f>
        <v/>
      </c>
      <c r="P1269" s="973"/>
    </row>
    <row r="1270" spans="1:16" customFormat="1">
      <c r="A1270" s="34" t="s">
        <v>288</v>
      </c>
      <c r="B1270" s="40" t="s">
        <v>286</v>
      </c>
      <c r="C1270" s="34" t="s">
        <v>182</v>
      </c>
      <c r="D1270" s="40" t="s">
        <v>139</v>
      </c>
      <c r="E1270" s="1195">
        <v>0.49999999999999956</v>
      </c>
      <c r="F1270" s="40">
        <v>2</v>
      </c>
      <c r="G1270" s="34" t="s">
        <v>2244</v>
      </c>
      <c r="H1270" s="29">
        <v>3</v>
      </c>
      <c r="I1270" s="9">
        <v>3</v>
      </c>
      <c r="J1270" s="9">
        <v>2</v>
      </c>
      <c r="K1270" s="9">
        <v>3</v>
      </c>
      <c r="L1270" s="9">
        <v>2</v>
      </c>
      <c r="M1270" s="9">
        <v>1</v>
      </c>
      <c r="N1270" s="185">
        <f>IF( OR( ISBLANK(H1270),ISBLANK(J1270), ISBLANK(K1270), ISBLANK(L1270), ISBLANK(M1270) ), "", 1.5*SQRT(   EXP(2.21*(H1270-1)) + EXP(2.21*(J1270-1)) + EXP(2.21*(K1270-1)) + EXP(2.21*(L1270-1)) + EXP(2.21*M1270)   )/100*2.45 )</f>
        <v>0.51126068492676302</v>
      </c>
      <c r="O1270" s="159">
        <f>IF( OR( ISBLANK(I1270),ISBLANK(J1270), ISBLANK(K1270), ISBLANK(L1270), ISBLANK(M1270) ), "", 1.5*SQRT( EXP(2.21*(I1270-1)) + EXP(2.21*(J1270-1)) + EXP(2.21*(K1270-1)) + EXP(2.21*(L1270-1)) + EXP(2.21*M1270)   )/100*2.45 )</f>
        <v>0.51126068492676302</v>
      </c>
      <c r="P1270" s="973"/>
    </row>
    <row r="1271" spans="1:16" customFormat="1">
      <c r="A1271" s="34" t="s">
        <v>288</v>
      </c>
      <c r="B1271" s="40" t="s">
        <v>286</v>
      </c>
      <c r="C1271" s="34" t="s">
        <v>180</v>
      </c>
      <c r="D1271" s="40" t="s">
        <v>139</v>
      </c>
      <c r="E1271" s="1195">
        <v>0.98333333333333328</v>
      </c>
      <c r="F1271" s="40">
        <v>2</v>
      </c>
      <c r="G1271" s="34" t="s">
        <v>2238</v>
      </c>
      <c r="H1271" s="29">
        <v>1</v>
      </c>
      <c r="I1271" s="9">
        <v>2</v>
      </c>
      <c r="J1271" s="9">
        <v>3</v>
      </c>
      <c r="K1271" s="9">
        <v>3</v>
      </c>
      <c r="L1271" s="9">
        <v>2</v>
      </c>
      <c r="M1271" s="9">
        <v>1</v>
      </c>
      <c r="N1271" s="185">
        <f>IF( OR( ISBLANK(H1271),ISBLANK(J1271), ISBLANK(K1271), ISBLANK(L1271), ISBLANK(M1271) ), "", 1.5*SQRT(   EXP(2.21*(H1271-1)) + EXP(2.21*(J1271-1)) + EXP(2.21*(K1271-1)) + EXP(2.21*(L1271-1)) + EXP(2.21*M1271)   )/100*2.45 )</f>
        <v>0.50042652380814856</v>
      </c>
      <c r="O1271" s="159">
        <f>IF( OR( ISBLANK(I1271),ISBLANK(J1271), ISBLANK(K1271), ISBLANK(L1271), ISBLANK(M1271) ), "", 1.5*SQRT( EXP(2.21*(I1271-1)) + EXP(2.21*(J1271-1)) + EXP(2.21*(K1271-1)) + EXP(2.21*(L1271-1)) + EXP(2.21*M1271)   )/100*2.45 )</f>
        <v>0.51126068492676302</v>
      </c>
      <c r="P1271" s="973"/>
    </row>
    <row r="1272" spans="1:16" customFormat="1">
      <c r="A1272" s="55" t="s">
        <v>401</v>
      </c>
      <c r="B1272" s="260" t="s">
        <v>343</v>
      </c>
      <c r="C1272" s="55" t="s">
        <v>139</v>
      </c>
      <c r="D1272" s="260" t="s">
        <v>139</v>
      </c>
      <c r="E1272" s="237" t="s">
        <v>150</v>
      </c>
      <c r="F1272" s="168">
        <v>1</v>
      </c>
      <c r="G1272" s="55"/>
      <c r="H1272" s="29"/>
      <c r="I1272" s="9"/>
      <c r="J1272" s="9"/>
      <c r="K1272" s="9"/>
      <c r="L1272" s="9"/>
      <c r="M1272" s="9"/>
      <c r="N1272" s="185" t="str">
        <f>IF( OR( ISBLANK(H1272),ISBLANK(J1272), ISBLANK(K1272), ISBLANK(L1272), ISBLANK(M1272) ), "", 1.5*SQRT(   EXP(2.21*(H1272-1)) + EXP(2.21*(J1272-1)) + EXP(2.21*(K1272-1)) + EXP(2.21*(L1272-1)) + EXP(2.21*M1272)   )/100*2.45 )</f>
        <v/>
      </c>
      <c r="O1272" s="159" t="str">
        <f>IF( OR( ISBLANK(I1272),ISBLANK(J1272), ISBLANK(K1272), ISBLANK(L1272), ISBLANK(M1272) ), "", 1.5*SQRT( EXP(2.21*(I1272-1)) + EXP(2.21*(J1272-1)) + EXP(2.21*(K1272-1)) + EXP(2.21*(L1272-1)) + EXP(2.21*M1272)   )/100*2.45 )</f>
        <v/>
      </c>
      <c r="P1272" s="34"/>
    </row>
    <row r="1273" spans="1:16" customFormat="1">
      <c r="A1273" s="55" t="s">
        <v>401</v>
      </c>
      <c r="B1273" s="260" t="s">
        <v>353</v>
      </c>
      <c r="C1273" s="55" t="s">
        <v>139</v>
      </c>
      <c r="D1273" s="260" t="s">
        <v>139</v>
      </c>
      <c r="E1273" s="237">
        <v>1.0400000000000001E-2</v>
      </c>
      <c r="F1273" s="168">
        <v>2</v>
      </c>
      <c r="G1273" s="237" t="s">
        <v>163</v>
      </c>
      <c r="H1273" s="29">
        <v>2</v>
      </c>
      <c r="I1273" s="9">
        <v>2</v>
      </c>
      <c r="J1273" s="9">
        <v>1</v>
      </c>
      <c r="K1273" s="9">
        <v>1</v>
      </c>
      <c r="L1273" s="9">
        <v>1</v>
      </c>
      <c r="M1273" s="9">
        <v>3</v>
      </c>
      <c r="N1273" s="185">
        <f>IF( OR( ISBLANK(H1273),ISBLANK(J1273), ISBLANK(K1273), ISBLANK(L1273), ISBLANK(M1273) ), "", 1.5*SQRT(   EXP(2.21*(H1273-1)) + EXP(2.21*(J1273-1)) + EXP(2.21*(K1273-1)) + EXP(2.21*(L1273-1)) + EXP(2.21*M1273)   )/100*2.45 )</f>
        <v>1.0195048044558224</v>
      </c>
      <c r="O1273" s="159">
        <f>IF( OR( ISBLANK(I1273),ISBLANK(J1273), ISBLANK(K1273), ISBLANK(L1273), ISBLANK(M1273) ), "", 1.5*SQRT( EXP(2.21*(I1273-1)) + EXP(2.21*(J1273-1)) + EXP(2.21*(K1273-1)) + EXP(2.21*(L1273-1)) + EXP(2.21*M1273)   )/100*2.45 )</f>
        <v>1.0195048044558224</v>
      </c>
      <c r="P1273" s="34" t="s">
        <v>402</v>
      </c>
    </row>
    <row r="1274" spans="1:16" customFormat="1">
      <c r="A1274" s="55" t="s">
        <v>401</v>
      </c>
      <c r="B1274" s="260" t="s">
        <v>353</v>
      </c>
      <c r="C1274" s="55" t="s">
        <v>139</v>
      </c>
      <c r="D1274" s="260" t="s">
        <v>139</v>
      </c>
      <c r="E1274" s="237">
        <v>1.8599999999999998E-2</v>
      </c>
      <c r="F1274" s="168">
        <v>2</v>
      </c>
      <c r="G1274" s="237" t="s">
        <v>163</v>
      </c>
      <c r="H1274" s="29">
        <v>2</v>
      </c>
      <c r="I1274" s="9">
        <v>2</v>
      </c>
      <c r="J1274" s="9">
        <v>1</v>
      </c>
      <c r="K1274" s="9">
        <v>1</v>
      </c>
      <c r="L1274" s="9">
        <v>1</v>
      </c>
      <c r="M1274" s="9">
        <v>3</v>
      </c>
      <c r="N1274" s="185">
        <f>IF( OR( ISBLANK(H1274),ISBLANK(J1274), ISBLANK(K1274), ISBLANK(L1274), ISBLANK(M1274) ), "", 1.5*SQRT(   EXP(2.21*(H1274-1)) + EXP(2.21*(J1274-1)) + EXP(2.21*(K1274-1)) + EXP(2.21*(L1274-1)) + EXP(2.21*M1274)   )/100*2.45 )</f>
        <v>1.0195048044558224</v>
      </c>
      <c r="O1274" s="159">
        <f>IF( OR( ISBLANK(I1274),ISBLANK(J1274), ISBLANK(K1274), ISBLANK(L1274), ISBLANK(M1274) ), "", 1.5*SQRT( EXP(2.21*(I1274-1)) + EXP(2.21*(J1274-1)) + EXP(2.21*(K1274-1)) + EXP(2.21*(L1274-1)) + EXP(2.21*M1274)   )/100*2.45 )</f>
        <v>1.0195048044558224</v>
      </c>
      <c r="P1274" s="34" t="s">
        <v>403</v>
      </c>
    </row>
    <row r="1275" spans="1:16" customFormat="1">
      <c r="A1275" s="55" t="s">
        <v>343</v>
      </c>
      <c r="B1275" s="260" t="s">
        <v>204</v>
      </c>
      <c r="C1275" s="55" t="s">
        <v>139</v>
      </c>
      <c r="D1275" s="260" t="s">
        <v>139</v>
      </c>
      <c r="E1275" s="237">
        <v>2.7E-4</v>
      </c>
      <c r="F1275" s="168">
        <v>2</v>
      </c>
      <c r="G1275" s="55" t="s">
        <v>163</v>
      </c>
      <c r="H1275" s="29">
        <v>2</v>
      </c>
      <c r="I1275" s="9">
        <v>2</v>
      </c>
      <c r="J1275" s="9">
        <v>2</v>
      </c>
      <c r="K1275" s="9">
        <v>3</v>
      </c>
      <c r="L1275" s="9">
        <v>3</v>
      </c>
      <c r="M1275" s="9">
        <v>3</v>
      </c>
      <c r="N1275" s="185">
        <f>IF( OR( ISBLANK(H1275),ISBLANK(J1275), ISBLANK(K1275), ISBLANK(L1275), ISBLANK(M1275) ), "", 1.5*SQRT(   EXP(2.21*(H1275-1)) + EXP(2.21*(J1275-1)) + EXP(2.21*(K1275-1)) + EXP(2.21*(L1275-1)) + EXP(2.21*M1275)   )/100*2.45 )</f>
        <v>1.1278755061256258</v>
      </c>
      <c r="O1275" s="159">
        <f>IF( OR( ISBLANK(I1275),ISBLANK(J1275), ISBLANK(K1275), ISBLANK(L1275), ISBLANK(M1275) ), "", 1.5*SQRT( EXP(2.21*(I1275-1)) + EXP(2.21*(J1275-1)) + EXP(2.21*(K1275-1)) + EXP(2.21*(L1275-1)) + EXP(2.21*M1275)   )/100*2.45 )</f>
        <v>1.1278755061256258</v>
      </c>
      <c r="P1275" s="34"/>
    </row>
    <row r="1276" spans="1:16" customFormat="1">
      <c r="A1276" s="55" t="s">
        <v>343</v>
      </c>
      <c r="B1276" s="260" t="s">
        <v>223</v>
      </c>
      <c r="C1276" s="55" t="s">
        <v>139</v>
      </c>
      <c r="D1276" s="260" t="s">
        <v>139</v>
      </c>
      <c r="E1276" s="237" t="s">
        <v>150</v>
      </c>
      <c r="F1276" s="168">
        <v>1</v>
      </c>
      <c r="G1276" s="55" t="s">
        <v>163</v>
      </c>
      <c r="H1276" s="29"/>
      <c r="I1276" s="9"/>
      <c r="J1276" s="9"/>
      <c r="K1276" s="9"/>
      <c r="L1276" s="9"/>
      <c r="M1276" s="9"/>
      <c r="N1276" s="185" t="str">
        <f>IF( OR( ISBLANK(H1276),ISBLANK(J1276), ISBLANK(K1276), ISBLANK(L1276), ISBLANK(M1276) ), "", 1.5*SQRT(   EXP(2.21*(H1276-1)) + EXP(2.21*(J1276-1)) + EXP(2.21*(K1276-1)) + EXP(2.21*(L1276-1)) + EXP(2.21*M1276)   )/100*2.45 )</f>
        <v/>
      </c>
      <c r="O1276" s="159" t="str">
        <f>IF( OR( ISBLANK(I1276),ISBLANK(J1276), ISBLANK(K1276), ISBLANK(L1276), ISBLANK(M1276) ), "", 1.5*SQRT( EXP(2.21*(I1276-1)) + EXP(2.21*(J1276-1)) + EXP(2.21*(K1276-1)) + EXP(2.21*(L1276-1)) + EXP(2.21*M1276)   )/100*2.45 )</f>
        <v/>
      </c>
      <c r="P1276" s="34"/>
    </row>
    <row r="1277" spans="1:16" customFormat="1">
      <c r="A1277" s="68" t="str">
        <f>'Textile waste collection'!A34</f>
        <v>Textile coating (discarded)</v>
      </c>
      <c r="B1277" s="304" t="str">
        <f>'Textile waste collection'!B34</f>
        <v>Technical textile waste collection</v>
      </c>
      <c r="C1277" s="69" t="str">
        <f>'Textile waste collection'!C34</f>
        <v>any</v>
      </c>
      <c r="D1277" s="823" t="str">
        <f>'Textile waste collection'!D34</f>
        <v>any</v>
      </c>
      <c r="E1277" s="69">
        <f>'Textile waste collection'!E34</f>
        <v>0.33810000000000001</v>
      </c>
      <c r="F1277" s="823">
        <f>'Textile waste collection'!F34</f>
        <v>2</v>
      </c>
      <c r="G1277" s="69" t="str">
        <f>'Textile waste collection'!G34</f>
        <v>Kawecki and Nowack (2019)</v>
      </c>
      <c r="H1277" s="1188">
        <f>'Textile waste collection'!H34</f>
        <v>2</v>
      </c>
      <c r="I1277" s="307">
        <f>'Textile waste collection'!I34</f>
        <v>2</v>
      </c>
      <c r="J1277" s="307">
        <f>'Textile waste collection'!J34</f>
        <v>2</v>
      </c>
      <c r="K1277" s="307">
        <f>'Textile waste collection'!K34</f>
        <v>3</v>
      </c>
      <c r="L1277" s="307">
        <f>'Textile waste collection'!L34</f>
        <v>1</v>
      </c>
      <c r="M1277" s="307">
        <f>'Textile waste collection'!M34</f>
        <v>2</v>
      </c>
      <c r="N1277" s="616">
        <f>IF( OR( ISBLANK(H1277),ISBLANK(J1277), ISBLANK(K1277), ISBLANK(L1277), ISBLANK(M1277) ), "", 1.5*SQRT(   EXP(2.21*(H1277-1)) + EXP(2.21*(J1277-1)) + EXP(2.21*(K1277-1)) + EXP(2.21*(L1277-1)) + EXP(2.21*M1277)   )/100*2.45 )</f>
        <v>0.50042652380814845</v>
      </c>
      <c r="O1277" s="1282">
        <f>IF( OR( ISBLANK(I1277),ISBLANK(J1277), ISBLANK(K1277), ISBLANK(L1277), ISBLANK(M1277) ), "", 1.5*SQRT( EXP(2.21*(I1277-1)) + EXP(2.21*(J1277-1)) + EXP(2.21*(K1277-1)) + EXP(2.21*(L1277-1)) + EXP(2.21*M1277)   )/100*2.45 )</f>
        <v>0.50042652380814845</v>
      </c>
      <c r="P1277" s="68"/>
    </row>
    <row r="1278" spans="1:16" customFormat="1">
      <c r="A1278" s="55" t="s">
        <v>353</v>
      </c>
      <c r="B1278" s="260" t="s">
        <v>354</v>
      </c>
      <c r="C1278" s="55" t="s">
        <v>139</v>
      </c>
      <c r="D1278" s="260" t="s">
        <v>139</v>
      </c>
      <c r="E1278" s="237">
        <v>0.24038461538461536</v>
      </c>
      <c r="F1278" s="168">
        <v>2</v>
      </c>
      <c r="G1278" s="55" t="s">
        <v>163</v>
      </c>
      <c r="H1278" s="29">
        <v>2</v>
      </c>
      <c r="I1278" s="9">
        <v>2</v>
      </c>
      <c r="J1278" s="9">
        <v>1</v>
      </c>
      <c r="K1278" s="9">
        <v>1</v>
      </c>
      <c r="L1278" s="9">
        <v>1</v>
      </c>
      <c r="M1278" s="9">
        <v>3</v>
      </c>
      <c r="N1278" s="185">
        <f>IF( OR( ISBLANK(H1278),ISBLANK(J1278), ISBLANK(K1278), ISBLANK(L1278), ISBLANK(M1278) ), "", 1.5*SQRT(   EXP(2.21*(H1278-1)) + EXP(2.21*(J1278-1)) + EXP(2.21*(K1278-1)) + EXP(2.21*(L1278-1)) + EXP(2.21*M1278)   )/100*2.45 )</f>
        <v>1.0195048044558224</v>
      </c>
      <c r="O1278" s="159">
        <f>IF( OR( ISBLANK(I1278),ISBLANK(J1278), ISBLANK(K1278), ISBLANK(L1278), ISBLANK(M1278) ), "", 1.5*SQRT( EXP(2.21*(I1278-1)) + EXP(2.21*(J1278-1)) + EXP(2.21*(K1278-1)) + EXP(2.21*(L1278-1)) + EXP(2.21*M1278)   )/100*2.45 )</f>
        <v>1.0195048044558224</v>
      </c>
      <c r="P1278" s="34" t="s">
        <v>350</v>
      </c>
    </row>
    <row r="1279" spans="1:16" customFormat="1">
      <c r="A1279" s="55" t="s">
        <v>353</v>
      </c>
      <c r="B1279" s="260" t="s">
        <v>354</v>
      </c>
      <c r="C1279" s="55" t="s">
        <v>139</v>
      </c>
      <c r="D1279" s="260" t="s">
        <v>139</v>
      </c>
      <c r="E1279" s="237">
        <v>0.13440860215053765</v>
      </c>
      <c r="F1279" s="168">
        <v>2</v>
      </c>
      <c r="G1279" s="55" t="s">
        <v>163</v>
      </c>
      <c r="H1279" s="29">
        <v>2</v>
      </c>
      <c r="I1279" s="9">
        <v>2</v>
      </c>
      <c r="J1279" s="9">
        <v>1</v>
      </c>
      <c r="K1279" s="9">
        <v>1</v>
      </c>
      <c r="L1279" s="9">
        <v>1</v>
      </c>
      <c r="M1279" s="9">
        <v>3</v>
      </c>
      <c r="N1279" s="185">
        <f>IF( OR( ISBLANK(H1279),ISBLANK(J1279), ISBLANK(K1279), ISBLANK(L1279), ISBLANK(M1279) ), "", 1.5*SQRT(   EXP(2.21*(H1279-1)) + EXP(2.21*(J1279-1)) + EXP(2.21*(K1279-1)) + EXP(2.21*(L1279-1)) + EXP(2.21*M1279)   )/100*2.45 )</f>
        <v>1.0195048044558224</v>
      </c>
      <c r="O1279" s="159">
        <f>IF( OR( ISBLANK(I1279),ISBLANK(J1279), ISBLANK(K1279), ISBLANK(L1279), ISBLANK(M1279) ), "", 1.5*SQRT( EXP(2.21*(I1279-1)) + EXP(2.21*(J1279-1)) + EXP(2.21*(K1279-1)) + EXP(2.21*(L1279-1)) + EXP(2.21*M1279)   )/100*2.45 )</f>
        <v>1.0195048044558224</v>
      </c>
      <c r="P1279" s="34" t="s">
        <v>351</v>
      </c>
    </row>
    <row r="1280" spans="1:16" customFormat="1">
      <c r="A1280" s="55" t="s">
        <v>353</v>
      </c>
      <c r="B1280" s="260" t="s">
        <v>231</v>
      </c>
      <c r="C1280" s="55" t="s">
        <v>139</v>
      </c>
      <c r="D1280" s="260" t="s">
        <v>139</v>
      </c>
      <c r="E1280" s="237">
        <v>3.8461538461538457E-2</v>
      </c>
      <c r="F1280" s="168">
        <v>2</v>
      </c>
      <c r="G1280" s="55" t="s">
        <v>163</v>
      </c>
      <c r="H1280" s="29">
        <v>2</v>
      </c>
      <c r="I1280" s="9">
        <v>2</v>
      </c>
      <c r="J1280" s="9">
        <v>2</v>
      </c>
      <c r="K1280" s="9">
        <v>2</v>
      </c>
      <c r="L1280" s="9">
        <v>2</v>
      </c>
      <c r="M1280" s="9">
        <v>2</v>
      </c>
      <c r="N1280" s="185">
        <f>IF( OR( ISBLANK(H1280),ISBLANK(J1280), ISBLANK(K1280), ISBLANK(L1280), ISBLANK(M1280) ), "", 1.5*SQRT(   EXP(2.21*(H1280-1)) + EXP(2.21*(J1280-1)) + EXP(2.21*(K1280-1)) + EXP(2.21*(L1280-1)) + EXP(2.21*M1280)   )/100*2.45 )</f>
        <v>0.40183591897512122</v>
      </c>
      <c r="O1280" s="159">
        <f>IF( OR( ISBLANK(I1280),ISBLANK(J1280), ISBLANK(K1280), ISBLANK(L1280), ISBLANK(M1280) ), "", 1.5*SQRT( EXP(2.21*(I1280-1)) + EXP(2.21*(J1280-1)) + EXP(2.21*(K1280-1)) + EXP(2.21*(L1280-1)) + EXP(2.21*M1280)   )/100*2.45 )</f>
        <v>0.40183591897512122</v>
      </c>
      <c r="P1280" s="34" t="s">
        <v>350</v>
      </c>
    </row>
    <row r="1281" spans="1:16" customFormat="1">
      <c r="A1281" s="55" t="s">
        <v>353</v>
      </c>
      <c r="B1281" s="260" t="s">
        <v>231</v>
      </c>
      <c r="C1281" s="55" t="s">
        <v>139</v>
      </c>
      <c r="D1281" s="260" t="s">
        <v>139</v>
      </c>
      <c r="E1281" s="237">
        <v>0.4623655913978495</v>
      </c>
      <c r="F1281" s="168">
        <v>2</v>
      </c>
      <c r="G1281" s="55" t="s">
        <v>163</v>
      </c>
      <c r="H1281" s="29">
        <v>2</v>
      </c>
      <c r="I1281" s="9">
        <v>2</v>
      </c>
      <c r="J1281" s="9">
        <v>2</v>
      </c>
      <c r="K1281" s="9">
        <v>2</v>
      </c>
      <c r="L1281" s="9">
        <v>2</v>
      </c>
      <c r="M1281" s="9">
        <v>2</v>
      </c>
      <c r="N1281" s="185">
        <f>IF( OR( ISBLANK(H1281),ISBLANK(J1281), ISBLANK(K1281), ISBLANK(L1281), ISBLANK(M1281) ), "", 1.5*SQRT(   EXP(2.21*(H1281-1)) + EXP(2.21*(J1281-1)) + EXP(2.21*(K1281-1)) + EXP(2.21*(L1281-1)) + EXP(2.21*M1281)   )/100*2.45 )</f>
        <v>0.40183591897512122</v>
      </c>
      <c r="O1281" s="159">
        <f>IF( OR( ISBLANK(I1281),ISBLANK(J1281), ISBLANK(K1281), ISBLANK(L1281), ISBLANK(M1281) ), "", 1.5*SQRT( EXP(2.21*(I1281-1)) + EXP(2.21*(J1281-1)) + EXP(2.21*(K1281-1)) + EXP(2.21*(L1281-1)) + EXP(2.21*M1281)   )/100*2.45 )</f>
        <v>0.40183591897512122</v>
      </c>
      <c r="P1281" s="34" t="s">
        <v>351</v>
      </c>
    </row>
    <row r="1282" spans="1:16" customFormat="1">
      <c r="A1282" s="55" t="s">
        <v>353</v>
      </c>
      <c r="B1282" s="260" t="s">
        <v>251</v>
      </c>
      <c r="C1282" s="55" t="s">
        <v>139</v>
      </c>
      <c r="D1282" s="260" t="s">
        <v>139</v>
      </c>
      <c r="E1282" s="237">
        <v>0.24038461538461536</v>
      </c>
      <c r="F1282" s="168">
        <v>2</v>
      </c>
      <c r="G1282" s="55" t="s">
        <v>163</v>
      </c>
      <c r="H1282" s="29">
        <v>2</v>
      </c>
      <c r="I1282" s="9">
        <v>2</v>
      </c>
      <c r="J1282" s="9">
        <v>1</v>
      </c>
      <c r="K1282" s="9">
        <v>1</v>
      </c>
      <c r="L1282" s="9">
        <v>1</v>
      </c>
      <c r="M1282" s="9">
        <v>3</v>
      </c>
      <c r="N1282" s="185">
        <f>IF( OR( ISBLANK(H1282),ISBLANK(J1282), ISBLANK(K1282), ISBLANK(L1282), ISBLANK(M1282) ), "", 1.5*SQRT(   EXP(2.21*(H1282-1)) + EXP(2.21*(J1282-1)) + EXP(2.21*(K1282-1)) + EXP(2.21*(L1282-1)) + EXP(2.21*M1282)   )/100*2.45 )</f>
        <v>1.0195048044558224</v>
      </c>
      <c r="O1282" s="159">
        <f>IF( OR( ISBLANK(I1282),ISBLANK(J1282), ISBLANK(K1282), ISBLANK(L1282), ISBLANK(M1282) ), "", 1.5*SQRT( EXP(2.21*(I1282-1)) + EXP(2.21*(J1282-1)) + EXP(2.21*(K1282-1)) + EXP(2.21*(L1282-1)) + EXP(2.21*M1282)   )/100*2.45 )</f>
        <v>1.0195048044558224</v>
      </c>
      <c r="P1282" s="34" t="s">
        <v>350</v>
      </c>
    </row>
    <row r="1283" spans="1:16" customFormat="1">
      <c r="A1283" s="55" t="s">
        <v>353</v>
      </c>
      <c r="B1283" s="260" t="s">
        <v>251</v>
      </c>
      <c r="C1283" s="55" t="s">
        <v>139</v>
      </c>
      <c r="D1283" s="260" t="s">
        <v>139</v>
      </c>
      <c r="E1283" s="237">
        <v>0.13440860215053765</v>
      </c>
      <c r="F1283" s="168">
        <v>2</v>
      </c>
      <c r="G1283" s="55" t="s">
        <v>163</v>
      </c>
      <c r="H1283" s="29">
        <v>2</v>
      </c>
      <c r="I1283" s="9">
        <v>2</v>
      </c>
      <c r="J1283" s="9">
        <v>1</v>
      </c>
      <c r="K1283" s="9">
        <v>1</v>
      </c>
      <c r="L1283" s="9">
        <v>1</v>
      </c>
      <c r="M1283" s="9">
        <v>3</v>
      </c>
      <c r="N1283" s="185">
        <f>IF( OR( ISBLANK(H1283),ISBLANK(J1283), ISBLANK(K1283), ISBLANK(L1283), ISBLANK(M1283) ), "", 1.5*SQRT(   EXP(2.21*(H1283-1)) + EXP(2.21*(J1283-1)) + EXP(2.21*(K1283-1)) + EXP(2.21*(L1283-1)) + EXP(2.21*M1283)   )/100*2.45 )</f>
        <v>1.0195048044558224</v>
      </c>
      <c r="O1283" s="159">
        <f>IF( OR( ISBLANK(I1283),ISBLANK(J1283), ISBLANK(K1283), ISBLANK(L1283), ISBLANK(M1283) ), "", 1.5*SQRT( EXP(2.21*(I1283-1)) + EXP(2.21*(J1283-1)) + EXP(2.21*(K1283-1)) + EXP(2.21*(L1283-1)) + EXP(2.21*M1283)   )/100*2.45 )</f>
        <v>1.0195048044558224</v>
      </c>
      <c r="P1283" s="34" t="s">
        <v>351</v>
      </c>
    </row>
    <row r="1284" spans="1:16" customFormat="1">
      <c r="A1284" s="55" t="s">
        <v>353</v>
      </c>
      <c r="B1284" s="260" t="s">
        <v>266</v>
      </c>
      <c r="C1284" s="34" t="s">
        <v>139</v>
      </c>
      <c r="D1284" s="260" t="s">
        <v>139</v>
      </c>
      <c r="E1284" s="237">
        <v>0.24038461538461536</v>
      </c>
      <c r="F1284" s="168">
        <v>2</v>
      </c>
      <c r="G1284" s="55" t="s">
        <v>163</v>
      </c>
      <c r="H1284" s="29">
        <v>2</v>
      </c>
      <c r="I1284" s="9">
        <v>2</v>
      </c>
      <c r="J1284" s="9">
        <v>1</v>
      </c>
      <c r="K1284" s="9">
        <v>1</v>
      </c>
      <c r="L1284" s="9">
        <v>1</v>
      </c>
      <c r="M1284" s="9">
        <v>3</v>
      </c>
      <c r="N1284" s="185">
        <f>IF( OR( ISBLANK(H1284),ISBLANK(J1284), ISBLANK(K1284), ISBLANK(L1284), ISBLANK(M1284) ), "", 1.5*SQRT(   EXP(2.21*(H1284-1)) + EXP(2.21*(J1284-1)) + EXP(2.21*(K1284-1)) + EXP(2.21*(L1284-1)) + EXP(2.21*M1284)   )/100*2.45 )</f>
        <v>1.0195048044558224</v>
      </c>
      <c r="O1284" s="159">
        <f>IF( OR( ISBLANK(I1284),ISBLANK(J1284), ISBLANK(K1284), ISBLANK(L1284), ISBLANK(M1284) ), "", 1.5*SQRT( EXP(2.21*(I1284-1)) + EXP(2.21*(J1284-1)) + EXP(2.21*(K1284-1)) + EXP(2.21*(L1284-1)) + EXP(2.21*M1284)   )/100*2.45 )</f>
        <v>1.0195048044558224</v>
      </c>
      <c r="P1284" s="34" t="s">
        <v>350</v>
      </c>
    </row>
    <row r="1285" spans="1:16" customFormat="1">
      <c r="A1285" s="55" t="s">
        <v>353</v>
      </c>
      <c r="B1285" s="260" t="s">
        <v>266</v>
      </c>
      <c r="C1285" s="34" t="s">
        <v>139</v>
      </c>
      <c r="D1285" s="260" t="s">
        <v>139</v>
      </c>
      <c r="E1285" s="237">
        <v>0.13440860215053765</v>
      </c>
      <c r="F1285" s="168">
        <v>2</v>
      </c>
      <c r="G1285" s="55" t="s">
        <v>163</v>
      </c>
      <c r="H1285" s="29">
        <v>2</v>
      </c>
      <c r="I1285" s="9">
        <v>2</v>
      </c>
      <c r="J1285" s="9">
        <v>1</v>
      </c>
      <c r="K1285" s="9">
        <v>1</v>
      </c>
      <c r="L1285" s="9">
        <v>1</v>
      </c>
      <c r="M1285" s="9">
        <v>3</v>
      </c>
      <c r="N1285" s="185">
        <f>IF( OR( ISBLANK(H1285),ISBLANK(J1285), ISBLANK(K1285), ISBLANK(L1285), ISBLANK(M1285) ), "", 1.5*SQRT(   EXP(2.21*(H1285-1)) + EXP(2.21*(J1285-1)) + EXP(2.21*(K1285-1)) + EXP(2.21*(L1285-1)) + EXP(2.21*M1285)   )/100*2.45 )</f>
        <v>1.0195048044558224</v>
      </c>
      <c r="O1285" s="159">
        <f>IF( OR( ISBLANK(I1285),ISBLANK(J1285), ISBLANK(K1285), ISBLANK(L1285), ISBLANK(M1285) ), "", 1.5*SQRT( EXP(2.21*(I1285-1)) + EXP(2.21*(J1285-1)) + EXP(2.21*(K1285-1)) + EXP(2.21*(L1285-1)) + EXP(2.21*M1285)   )/100*2.45 )</f>
        <v>1.0195048044558224</v>
      </c>
      <c r="P1285" s="34" t="s">
        <v>351</v>
      </c>
    </row>
    <row r="1286" spans="1:16" customFormat="1">
      <c r="A1286" s="55" t="s">
        <v>353</v>
      </c>
      <c r="B1286" s="260" t="s">
        <v>232</v>
      </c>
      <c r="C1286" s="55" t="s">
        <v>139</v>
      </c>
      <c r="D1286" s="260" t="s">
        <v>139</v>
      </c>
      <c r="E1286" s="237" t="s">
        <v>150</v>
      </c>
      <c r="F1286" s="168">
        <v>1</v>
      </c>
      <c r="G1286" s="55" t="s">
        <v>163</v>
      </c>
      <c r="H1286" s="29">
        <v>2</v>
      </c>
      <c r="I1286" s="9">
        <v>2</v>
      </c>
      <c r="J1286" s="9">
        <v>1</v>
      </c>
      <c r="K1286" s="9">
        <v>1</v>
      </c>
      <c r="L1286" s="9">
        <v>1</v>
      </c>
      <c r="M1286" s="9">
        <v>3</v>
      </c>
      <c r="N1286" s="185">
        <f>IF( OR( ISBLANK(H1286),ISBLANK(J1286), ISBLANK(K1286), ISBLANK(L1286), ISBLANK(M1286) ), "", 1.5*SQRT(   EXP(2.21*(H1286-1)) + EXP(2.21*(J1286-1)) + EXP(2.21*(K1286-1)) + EXP(2.21*(L1286-1)) + EXP(2.21*M1286)   )/100*2.45 )</f>
        <v>1.0195048044558224</v>
      </c>
      <c r="O1286" s="159">
        <f>IF( OR( ISBLANK(I1286),ISBLANK(J1286), ISBLANK(K1286), ISBLANK(L1286), ISBLANK(M1286) ), "", 1.5*SQRT( EXP(2.21*(I1286-1)) + EXP(2.21*(J1286-1)) + EXP(2.21*(K1286-1)) + EXP(2.21*(L1286-1)) + EXP(2.21*M1286)   )/100*2.45 )</f>
        <v>1.0195048044558224</v>
      </c>
      <c r="P1286" s="34"/>
    </row>
    <row r="1287" spans="1:16" customFormat="1">
      <c r="A1287" s="55" t="s">
        <v>399</v>
      </c>
      <c r="B1287" s="512" t="s">
        <v>248</v>
      </c>
      <c r="C1287" s="55" t="s">
        <v>139</v>
      </c>
      <c r="D1287" s="260" t="s">
        <v>139</v>
      </c>
      <c r="E1287" s="237" t="s">
        <v>150</v>
      </c>
      <c r="F1287" s="168">
        <v>2</v>
      </c>
      <c r="G1287" s="55"/>
      <c r="H1287" s="29"/>
      <c r="I1287" s="9"/>
      <c r="J1287" s="9"/>
      <c r="K1287" s="9"/>
      <c r="L1287" s="9"/>
      <c r="M1287" s="9"/>
      <c r="N1287" s="185" t="str">
        <f>IF( OR( ISBLANK(H1287),ISBLANK(J1287), ISBLANK(K1287), ISBLANK(L1287), ISBLANK(M1287) ), "", 1.5*SQRT(   EXP(2.21*(H1287-1)) + EXP(2.21*(J1287-1)) + EXP(2.21*(K1287-1)) + EXP(2.21*(L1287-1)) + EXP(2.21*M1287)   )/100*2.45 )</f>
        <v/>
      </c>
      <c r="O1287" s="159" t="str">
        <f>IF( OR( ISBLANK(I1287),ISBLANK(J1287), ISBLANK(K1287), ISBLANK(L1287), ISBLANK(M1287) ), "", 1.5*SQRT( EXP(2.21*(I1287-1)) + EXP(2.21*(J1287-1)) + EXP(2.21*(K1287-1)) + EXP(2.21*(L1287-1)) + EXP(2.21*M1287)   )/100*2.45 )</f>
        <v/>
      </c>
      <c r="P1287" s="34"/>
    </row>
    <row r="1288" spans="1:16" customFormat="1">
      <c r="A1288" s="69" t="s">
        <v>399</v>
      </c>
      <c r="B1288" s="40" t="s">
        <v>232</v>
      </c>
      <c r="C1288" s="34" t="s">
        <v>139</v>
      </c>
      <c r="D1288" s="40" t="s">
        <v>139</v>
      </c>
      <c r="E1288" s="69">
        <f>0.004*0.0001/100</f>
        <v>4.0000000000000002E-9</v>
      </c>
      <c r="F1288" s="823">
        <v>2</v>
      </c>
      <c r="G1288" s="37" t="s">
        <v>1974</v>
      </c>
      <c r="H1288" s="29">
        <v>2</v>
      </c>
      <c r="I1288" s="9">
        <v>1</v>
      </c>
      <c r="J1288" s="9">
        <v>2</v>
      </c>
      <c r="K1288" s="9">
        <v>3</v>
      </c>
      <c r="L1288" s="9">
        <v>3</v>
      </c>
      <c r="M1288" s="9">
        <v>2</v>
      </c>
      <c r="N1288" s="185">
        <f>IF( OR( ISBLANK(H1288),ISBLANK(J1288), ISBLANK(K1288), ISBLANK(L1288), ISBLANK(M1288) ), "", 1.5*SQRT(   EXP(2.21*(H1288-1)) + EXP(2.21*(J1288-1)) + EXP(2.21*(K1288-1)) + EXP(2.21*(L1288-1)) + EXP(2.21*M1288)   )/100*2.45 )</f>
        <v>0.60108474454521421</v>
      </c>
      <c r="O1288" s="1282"/>
      <c r="P1288" s="69"/>
    </row>
    <row r="1289" spans="1:16" customFormat="1">
      <c r="A1289" s="69" t="s">
        <v>399</v>
      </c>
      <c r="B1289" s="40" t="s">
        <v>232</v>
      </c>
      <c r="C1289" s="34" t="s">
        <v>139</v>
      </c>
      <c r="D1289" s="40" t="s">
        <v>139</v>
      </c>
      <c r="E1289" s="69">
        <f>0.004*0.04/100</f>
        <v>1.6000000000000001E-6</v>
      </c>
      <c r="F1289" s="823">
        <v>2</v>
      </c>
      <c r="G1289" s="37" t="s">
        <v>1974</v>
      </c>
      <c r="H1289" s="29">
        <v>2</v>
      </c>
      <c r="I1289" s="9">
        <v>1</v>
      </c>
      <c r="J1289" s="9">
        <v>2</v>
      </c>
      <c r="K1289" s="9">
        <v>3</v>
      </c>
      <c r="L1289" s="9">
        <v>3</v>
      </c>
      <c r="M1289" s="9">
        <v>2</v>
      </c>
      <c r="N1289" s="185">
        <f>IF( OR( ISBLANK(H1289),ISBLANK(J1289), ISBLANK(K1289), ISBLANK(L1289), ISBLANK(M1289) ), "", 1.5*SQRT(   EXP(2.21*(H1289-1)) + EXP(2.21*(J1289-1)) + EXP(2.21*(K1289-1)) + EXP(2.21*(L1289-1)) + EXP(2.21*M1289)   )/100*2.45 )</f>
        <v>0.60108474454521421</v>
      </c>
      <c r="O1289" s="1282"/>
      <c r="P1289" s="69"/>
    </row>
    <row r="1290" spans="1:16" customFormat="1">
      <c r="A1290" s="69" t="s">
        <v>399</v>
      </c>
      <c r="B1290" s="40" t="s">
        <v>251</v>
      </c>
      <c r="C1290" s="34" t="s">
        <v>139</v>
      </c>
      <c r="D1290" s="40" t="s">
        <v>139</v>
      </c>
      <c r="E1290" s="69">
        <f>(1-0.008)*0.0001/100</f>
        <v>9.9199999999999999E-7</v>
      </c>
      <c r="F1290" s="823">
        <v>2</v>
      </c>
      <c r="G1290" s="37" t="s">
        <v>1974</v>
      </c>
      <c r="H1290" s="29">
        <v>2</v>
      </c>
      <c r="I1290" s="9">
        <v>1</v>
      </c>
      <c r="J1290" s="9">
        <v>2</v>
      </c>
      <c r="K1290" s="9">
        <v>3</v>
      </c>
      <c r="L1290" s="9">
        <v>3</v>
      </c>
      <c r="M1290" s="9">
        <v>2</v>
      </c>
      <c r="N1290" s="185">
        <f>IF( OR( ISBLANK(H1290),ISBLANK(J1290), ISBLANK(K1290), ISBLANK(L1290), ISBLANK(M1290) ), "", 1.5*SQRT(   EXP(2.21*(H1290-1)) + EXP(2.21*(J1290-1)) + EXP(2.21*(K1290-1)) + EXP(2.21*(L1290-1)) + EXP(2.21*M1290)   )/100*2.45 )</f>
        <v>0.60108474454521421</v>
      </c>
      <c r="O1290" s="1282"/>
      <c r="P1290" s="69"/>
    </row>
    <row r="1291" spans="1:16" customFormat="1">
      <c r="A1291" s="69" t="s">
        <v>399</v>
      </c>
      <c r="B1291" s="40" t="s">
        <v>251</v>
      </c>
      <c r="C1291" s="34" t="s">
        <v>139</v>
      </c>
      <c r="D1291" s="40" t="s">
        <v>139</v>
      </c>
      <c r="E1291" s="69">
        <f>(1-0.008)*0.04/100</f>
        <v>3.968E-4</v>
      </c>
      <c r="F1291" s="823">
        <v>2</v>
      </c>
      <c r="G1291" s="37" t="s">
        <v>1974</v>
      </c>
      <c r="H1291" s="29">
        <v>2</v>
      </c>
      <c r="I1291" s="9">
        <v>1</v>
      </c>
      <c r="J1291" s="9">
        <v>2</v>
      </c>
      <c r="K1291" s="9">
        <v>3</v>
      </c>
      <c r="L1291" s="9">
        <v>3</v>
      </c>
      <c r="M1291" s="9">
        <v>2</v>
      </c>
      <c r="N1291" s="185">
        <f>IF( OR( ISBLANK(H1291),ISBLANK(J1291), ISBLANK(K1291), ISBLANK(L1291), ISBLANK(M1291) ), "", 1.5*SQRT(   EXP(2.21*(H1291-1)) + EXP(2.21*(J1291-1)) + EXP(2.21*(K1291-1)) + EXP(2.21*(L1291-1)) + EXP(2.21*M1291)   )/100*2.45 )</f>
        <v>0.60108474454521421</v>
      </c>
      <c r="O1291" s="1282"/>
      <c r="P1291" s="69"/>
    </row>
    <row r="1292" spans="1:16" customFormat="1">
      <c r="A1292" s="69" t="s">
        <v>399</v>
      </c>
      <c r="B1292" s="40" t="s">
        <v>231</v>
      </c>
      <c r="C1292" s="34" t="s">
        <v>139</v>
      </c>
      <c r="D1292" s="40" t="s">
        <v>139</v>
      </c>
      <c r="E1292" s="69">
        <f>0.004*0.0001/100</f>
        <v>4.0000000000000002E-9</v>
      </c>
      <c r="F1292" s="823">
        <v>2</v>
      </c>
      <c r="G1292" s="37" t="s">
        <v>1974</v>
      </c>
      <c r="H1292" s="29">
        <v>2</v>
      </c>
      <c r="I1292" s="9">
        <v>1</v>
      </c>
      <c r="J1292" s="9">
        <v>2</v>
      </c>
      <c r="K1292" s="9">
        <v>3</v>
      </c>
      <c r="L1292" s="9">
        <v>3</v>
      </c>
      <c r="M1292" s="9">
        <v>2</v>
      </c>
      <c r="N1292" s="185">
        <f>IF( OR( ISBLANK(H1292),ISBLANK(J1292), ISBLANK(K1292), ISBLANK(L1292), ISBLANK(M1292) ), "", 1.5*SQRT(   EXP(2.21*(H1292-1)) + EXP(2.21*(J1292-1)) + EXP(2.21*(K1292-1)) + EXP(2.21*(L1292-1)) + EXP(2.21*M1292)   )/100*2.45 )</f>
        <v>0.60108474454521421</v>
      </c>
      <c r="O1292" s="1282"/>
      <c r="P1292" s="69"/>
    </row>
    <row r="1293" spans="1:16" customFormat="1">
      <c r="A1293" s="69" t="s">
        <v>399</v>
      </c>
      <c r="B1293" s="40" t="s">
        <v>231</v>
      </c>
      <c r="C1293" s="34" t="s">
        <v>139</v>
      </c>
      <c r="D1293" s="40" t="s">
        <v>139</v>
      </c>
      <c r="E1293" s="69">
        <f>0.004*0.04/100</f>
        <v>1.6000000000000001E-6</v>
      </c>
      <c r="F1293" s="823">
        <v>2</v>
      </c>
      <c r="G1293" s="37" t="s">
        <v>1974</v>
      </c>
      <c r="H1293" s="29">
        <v>2</v>
      </c>
      <c r="I1293" s="9">
        <v>1</v>
      </c>
      <c r="J1293" s="9">
        <v>2</v>
      </c>
      <c r="K1293" s="9">
        <v>3</v>
      </c>
      <c r="L1293" s="9">
        <v>3</v>
      </c>
      <c r="M1293" s="9">
        <v>2</v>
      </c>
      <c r="N1293" s="185">
        <f>IF( OR( ISBLANK(H1293),ISBLANK(J1293), ISBLANK(K1293), ISBLANK(L1293), ISBLANK(M1293) ), "", 1.5*SQRT(   EXP(2.21*(H1293-1)) + EXP(2.21*(J1293-1)) + EXP(2.21*(K1293-1)) + EXP(2.21*(L1293-1)) + EXP(2.21*M1293)   )/100*2.45 )</f>
        <v>0.60108474454521421</v>
      </c>
      <c r="O1293" s="1282"/>
      <c r="P1293" s="69"/>
    </row>
    <row r="1294" spans="1:16" customFormat="1">
      <c r="A1294" s="34" t="s">
        <v>256</v>
      </c>
      <c r="B1294" s="40" t="s">
        <v>267</v>
      </c>
      <c r="C1294" s="34" t="s">
        <v>180</v>
      </c>
      <c r="D1294" s="823" t="s">
        <v>85</v>
      </c>
      <c r="E1294" s="69">
        <v>0.89414414414414412</v>
      </c>
      <c r="F1294" s="40">
        <v>1</v>
      </c>
      <c r="G1294" s="59" t="s">
        <v>110</v>
      </c>
      <c r="H1294" s="29">
        <v>1</v>
      </c>
      <c r="I1294" s="9"/>
      <c r="J1294" s="9">
        <v>1</v>
      </c>
      <c r="K1294" s="9">
        <v>1</v>
      </c>
      <c r="L1294" s="9">
        <v>2</v>
      </c>
      <c r="M1294" s="9">
        <v>2</v>
      </c>
      <c r="N1294" s="185">
        <f>IF( OR( ISBLANK(H1294),ISBLANK(J1294), ISBLANK(K1294), ISBLANK(L1294), ISBLANK(M1294) ), "", 1.5*SQRT(   EXP(2.21*(H1294-1)) + EXP(2.21*(J1294-1)) + EXP(2.21*(K1294-1)) + EXP(2.21*(L1294-1)) + EXP(2.21*M1294)   )/100*2.45 )</f>
        <v>0.35859414261160716</v>
      </c>
      <c r="O1294" s="159" t="str">
        <f>IF( OR( ISBLANK(I1294),ISBLANK(J1294), ISBLANK(K1294), ISBLANK(L1294), ISBLANK(M1294) ), "", 1.5*SQRT( EXP(2.21*(I1294-1)) + EXP(2.21*(J1294-1)) + EXP(2.21*(K1294-1)) + EXP(2.21*(L1294-1)) + EXP(2.21*M1294)   )/100*2.45 )</f>
        <v/>
      </c>
      <c r="P1294" s="34"/>
    </row>
    <row r="1295" spans="1:16" customFormat="1">
      <c r="A1295" s="34" t="s">
        <v>256</v>
      </c>
      <c r="B1295" s="40" t="s">
        <v>267</v>
      </c>
      <c r="C1295" s="34" t="s">
        <v>180</v>
      </c>
      <c r="D1295" s="823" t="s">
        <v>86</v>
      </c>
      <c r="E1295" s="69">
        <v>0.84514925373134331</v>
      </c>
      <c r="F1295" s="40">
        <v>1</v>
      </c>
      <c r="G1295" s="59" t="s">
        <v>110</v>
      </c>
      <c r="H1295" s="29">
        <v>1</v>
      </c>
      <c r="I1295" s="9"/>
      <c r="J1295" s="9">
        <v>1</v>
      </c>
      <c r="K1295" s="9">
        <v>1</v>
      </c>
      <c r="L1295" s="9">
        <v>2</v>
      </c>
      <c r="M1295" s="9">
        <v>2</v>
      </c>
      <c r="N1295" s="185">
        <f>IF( OR( ISBLANK(H1295),ISBLANK(J1295), ISBLANK(K1295), ISBLANK(L1295), ISBLANK(M1295) ), "", 1.5*SQRT(   EXP(2.21*(H1295-1)) + EXP(2.21*(J1295-1)) + EXP(2.21*(K1295-1)) + EXP(2.21*(L1295-1)) + EXP(2.21*M1295)   )/100*2.45 )</f>
        <v>0.35859414261160716</v>
      </c>
      <c r="O1295" s="159" t="str">
        <f>IF( OR( ISBLANK(I1295),ISBLANK(J1295), ISBLANK(K1295), ISBLANK(L1295), ISBLANK(M1295) ), "", 1.5*SQRT( EXP(2.21*(I1295-1)) + EXP(2.21*(J1295-1)) + EXP(2.21*(K1295-1)) + EXP(2.21*(L1295-1)) + EXP(2.21*M1295)   )/100*2.45 )</f>
        <v/>
      </c>
      <c r="P1295" s="34"/>
    </row>
    <row r="1296" spans="1:16" customFormat="1">
      <c r="A1296" s="34" t="s">
        <v>256</v>
      </c>
      <c r="B1296" s="40" t="s">
        <v>267</v>
      </c>
      <c r="C1296" s="34" t="s">
        <v>180</v>
      </c>
      <c r="D1296" s="823" t="s">
        <v>87</v>
      </c>
      <c r="E1296" s="69">
        <v>0.2164781906300485</v>
      </c>
      <c r="F1296" s="40">
        <v>1</v>
      </c>
      <c r="G1296" s="59" t="s">
        <v>110</v>
      </c>
      <c r="H1296" s="29">
        <v>1</v>
      </c>
      <c r="I1296" s="9"/>
      <c r="J1296" s="9">
        <v>1</v>
      </c>
      <c r="K1296" s="9">
        <v>1</v>
      </c>
      <c r="L1296" s="9">
        <v>2</v>
      </c>
      <c r="M1296" s="9">
        <v>2</v>
      </c>
      <c r="N1296" s="185">
        <f>IF( OR( ISBLANK(H1296),ISBLANK(J1296), ISBLANK(K1296), ISBLANK(L1296), ISBLANK(M1296) ), "", 1.5*SQRT(   EXP(2.21*(H1296-1)) + EXP(2.21*(J1296-1)) + EXP(2.21*(K1296-1)) + EXP(2.21*(L1296-1)) + EXP(2.21*M1296)   )/100*2.45 )</f>
        <v>0.35859414261160716</v>
      </c>
      <c r="O1296" s="159" t="str">
        <f>IF( OR( ISBLANK(I1296),ISBLANK(J1296), ISBLANK(K1296), ISBLANK(L1296), ISBLANK(M1296) ), "", 1.5*SQRT( EXP(2.21*(I1296-1)) + EXP(2.21*(J1296-1)) + EXP(2.21*(K1296-1)) + EXP(2.21*(L1296-1)) + EXP(2.21*M1296)   )/100*2.45 )</f>
        <v/>
      </c>
      <c r="P1296" s="34"/>
    </row>
    <row r="1297" spans="1:16" customFormat="1">
      <c r="A1297" s="34" t="s">
        <v>256</v>
      </c>
      <c r="B1297" s="40" t="s">
        <v>267</v>
      </c>
      <c r="C1297" s="34" t="s">
        <v>180</v>
      </c>
      <c r="D1297" s="823" t="s">
        <v>88</v>
      </c>
      <c r="E1297" s="69">
        <v>0.14782608695652169</v>
      </c>
      <c r="F1297" s="40">
        <v>1</v>
      </c>
      <c r="G1297" s="59" t="s">
        <v>110</v>
      </c>
      <c r="H1297" s="29">
        <v>1</v>
      </c>
      <c r="I1297" s="9"/>
      <c r="J1297" s="9">
        <v>1</v>
      </c>
      <c r="K1297" s="9">
        <v>1</v>
      </c>
      <c r="L1297" s="9">
        <v>2</v>
      </c>
      <c r="M1297" s="9">
        <v>2</v>
      </c>
      <c r="N1297" s="185">
        <f>IF( OR( ISBLANK(H1297),ISBLANK(J1297), ISBLANK(K1297), ISBLANK(L1297), ISBLANK(M1297) ), "", 1.5*SQRT(   EXP(2.21*(H1297-1)) + EXP(2.21*(J1297-1)) + EXP(2.21*(K1297-1)) + EXP(2.21*(L1297-1)) + EXP(2.21*M1297)   )/100*2.45 )</f>
        <v>0.35859414261160716</v>
      </c>
      <c r="O1297" s="159" t="str">
        <f>IF( OR( ISBLANK(I1297),ISBLANK(J1297), ISBLANK(K1297), ISBLANK(L1297), ISBLANK(M1297) ), "", 1.5*SQRT( EXP(2.21*(I1297-1)) + EXP(2.21*(J1297-1)) + EXP(2.21*(K1297-1)) + EXP(2.21*(L1297-1)) + EXP(2.21*M1297)   )/100*2.45 )</f>
        <v/>
      </c>
      <c r="P1297" s="34"/>
    </row>
    <row r="1298" spans="1:16" customFormat="1">
      <c r="A1298" s="34" t="s">
        <v>256</v>
      </c>
      <c r="B1298" s="40" t="s">
        <v>267</v>
      </c>
      <c r="C1298" s="34" t="s">
        <v>180</v>
      </c>
      <c r="D1298" s="823" t="s">
        <v>89</v>
      </c>
      <c r="E1298" s="69">
        <v>0.66574585635359118</v>
      </c>
      <c r="F1298" s="40">
        <v>1</v>
      </c>
      <c r="G1298" s="59" t="s">
        <v>110</v>
      </c>
      <c r="H1298" s="29">
        <v>1</v>
      </c>
      <c r="I1298" s="9"/>
      <c r="J1298" s="9">
        <v>1</v>
      </c>
      <c r="K1298" s="9">
        <v>1</v>
      </c>
      <c r="L1298" s="9">
        <v>2</v>
      </c>
      <c r="M1298" s="9">
        <v>2</v>
      </c>
      <c r="N1298" s="185">
        <f>IF( OR( ISBLANK(H1298),ISBLANK(J1298), ISBLANK(K1298), ISBLANK(L1298), ISBLANK(M1298) ), "", 1.5*SQRT(   EXP(2.21*(H1298-1)) + EXP(2.21*(J1298-1)) + EXP(2.21*(K1298-1)) + EXP(2.21*(L1298-1)) + EXP(2.21*M1298)   )/100*2.45 )</f>
        <v>0.35859414261160716</v>
      </c>
      <c r="O1298" s="159" t="str">
        <f>IF( OR( ISBLANK(I1298),ISBLANK(J1298), ISBLANK(K1298), ISBLANK(L1298), ISBLANK(M1298) ), "", 1.5*SQRT( EXP(2.21*(I1298-1)) + EXP(2.21*(J1298-1)) + EXP(2.21*(K1298-1)) + EXP(2.21*(L1298-1)) + EXP(2.21*M1298)   )/100*2.45 )</f>
        <v/>
      </c>
      <c r="P1298" s="34"/>
    </row>
    <row r="1299" spans="1:16" customFormat="1">
      <c r="A1299" s="34" t="s">
        <v>256</v>
      </c>
      <c r="B1299" s="40" t="s">
        <v>267</v>
      </c>
      <c r="C1299" s="34" t="s">
        <v>180</v>
      </c>
      <c r="D1299" s="823" t="s">
        <v>90</v>
      </c>
      <c r="E1299" s="69">
        <v>0.85006045949214026</v>
      </c>
      <c r="F1299" s="40">
        <v>1</v>
      </c>
      <c r="G1299" s="59" t="s">
        <v>110</v>
      </c>
      <c r="H1299" s="29">
        <v>1</v>
      </c>
      <c r="I1299" s="9"/>
      <c r="J1299" s="9">
        <v>1</v>
      </c>
      <c r="K1299" s="9">
        <v>1</v>
      </c>
      <c r="L1299" s="9">
        <v>2</v>
      </c>
      <c r="M1299" s="9">
        <v>2</v>
      </c>
      <c r="N1299" s="185">
        <f>IF( OR( ISBLANK(H1299),ISBLANK(J1299), ISBLANK(K1299), ISBLANK(L1299), ISBLANK(M1299) ), "", 1.5*SQRT(   EXP(2.21*(H1299-1)) + EXP(2.21*(J1299-1)) + EXP(2.21*(K1299-1)) + EXP(2.21*(L1299-1)) + EXP(2.21*M1299)   )/100*2.45 )</f>
        <v>0.35859414261160716</v>
      </c>
      <c r="O1299" s="159" t="str">
        <f>IF( OR( ISBLANK(I1299),ISBLANK(J1299), ISBLANK(K1299), ISBLANK(L1299), ISBLANK(M1299) ), "", 1.5*SQRT( EXP(2.21*(I1299-1)) + EXP(2.21*(J1299-1)) + EXP(2.21*(K1299-1)) + EXP(2.21*(L1299-1)) + EXP(2.21*M1299)   )/100*2.45 )</f>
        <v/>
      </c>
      <c r="P1299" s="34"/>
    </row>
    <row r="1300" spans="1:16" customFormat="1">
      <c r="A1300" s="34" t="s">
        <v>256</v>
      </c>
      <c r="B1300" s="40" t="s">
        <v>267</v>
      </c>
      <c r="C1300" s="34" t="s">
        <v>180</v>
      </c>
      <c r="D1300" s="823" t="s">
        <v>91</v>
      </c>
      <c r="E1300" s="69">
        <v>1</v>
      </c>
      <c r="F1300" s="40">
        <v>1</v>
      </c>
      <c r="G1300" s="59" t="s">
        <v>110</v>
      </c>
      <c r="H1300" s="29">
        <v>1</v>
      </c>
      <c r="I1300" s="9"/>
      <c r="J1300" s="9">
        <v>1</v>
      </c>
      <c r="K1300" s="9">
        <v>1</v>
      </c>
      <c r="L1300" s="9">
        <v>2</v>
      </c>
      <c r="M1300" s="9">
        <v>2</v>
      </c>
      <c r="N1300" s="185">
        <f>IF( OR( ISBLANK(H1300),ISBLANK(J1300), ISBLANK(K1300), ISBLANK(L1300), ISBLANK(M1300) ), "", 1.5*SQRT(   EXP(2.21*(H1300-1)) + EXP(2.21*(J1300-1)) + EXP(2.21*(K1300-1)) + EXP(2.21*(L1300-1)) + EXP(2.21*M1300)   )/100*2.45 )</f>
        <v>0.35859414261160716</v>
      </c>
      <c r="O1300" s="159" t="str">
        <f>IF( OR( ISBLANK(I1300),ISBLANK(J1300), ISBLANK(K1300), ISBLANK(L1300), ISBLANK(M1300) ), "", 1.5*SQRT( EXP(2.21*(I1300-1)) + EXP(2.21*(J1300-1)) + EXP(2.21*(K1300-1)) + EXP(2.21*(L1300-1)) + EXP(2.21*M1300)   )/100*2.45 )</f>
        <v/>
      </c>
      <c r="P1300" s="34"/>
    </row>
    <row r="1301" spans="1:16" customFormat="1">
      <c r="A1301" s="34" t="s">
        <v>256</v>
      </c>
      <c r="B1301" s="40" t="s">
        <v>267</v>
      </c>
      <c r="C1301" s="34" t="s">
        <v>180</v>
      </c>
      <c r="D1301" s="823" t="s">
        <v>94</v>
      </c>
      <c r="E1301" s="69">
        <v>1</v>
      </c>
      <c r="F1301" s="40">
        <v>1</v>
      </c>
      <c r="G1301" s="59" t="s">
        <v>110</v>
      </c>
      <c r="H1301" s="29">
        <v>1</v>
      </c>
      <c r="I1301" s="9"/>
      <c r="J1301" s="9">
        <v>1</v>
      </c>
      <c r="K1301" s="9">
        <v>1</v>
      </c>
      <c r="L1301" s="9">
        <v>2</v>
      </c>
      <c r="M1301" s="9">
        <v>2</v>
      </c>
      <c r="N1301" s="185">
        <f>IF( OR( ISBLANK(H1301),ISBLANK(J1301), ISBLANK(K1301), ISBLANK(L1301), ISBLANK(M1301) ), "", 1.5*SQRT(   EXP(2.21*(H1301-1)) + EXP(2.21*(J1301-1)) + EXP(2.21*(K1301-1)) + EXP(2.21*(L1301-1)) + EXP(2.21*M1301)   )/100*2.45 )</f>
        <v>0.35859414261160716</v>
      </c>
      <c r="O1301" s="159" t="str">
        <f>IF( OR( ISBLANK(I1301),ISBLANK(J1301), ISBLANK(K1301), ISBLANK(L1301), ISBLANK(M1301) ), "", 1.5*SQRT( EXP(2.21*(I1301-1)) + EXP(2.21*(J1301-1)) + EXP(2.21*(K1301-1)) + EXP(2.21*(L1301-1)) + EXP(2.21*M1301)   )/100*2.45 )</f>
        <v/>
      </c>
      <c r="P1301" s="34"/>
    </row>
    <row r="1302" spans="1:16" customFormat="1">
      <c r="A1302" s="34" t="s">
        <v>256</v>
      </c>
      <c r="B1302" s="40" t="s">
        <v>267</v>
      </c>
      <c r="C1302" s="34" t="s">
        <v>180</v>
      </c>
      <c r="D1302" s="823" t="s">
        <v>96</v>
      </c>
      <c r="E1302" s="69">
        <v>0.43243243243243251</v>
      </c>
      <c r="F1302" s="40">
        <v>1</v>
      </c>
      <c r="G1302" s="59" t="s">
        <v>110</v>
      </c>
      <c r="H1302" s="29">
        <v>1</v>
      </c>
      <c r="I1302" s="9"/>
      <c r="J1302" s="9">
        <v>1</v>
      </c>
      <c r="K1302" s="9">
        <v>1</v>
      </c>
      <c r="L1302" s="9">
        <v>2</v>
      </c>
      <c r="M1302" s="9">
        <v>2</v>
      </c>
      <c r="N1302" s="185">
        <f>IF( OR( ISBLANK(H1302),ISBLANK(J1302), ISBLANK(K1302), ISBLANK(L1302), ISBLANK(M1302) ), "", 1.5*SQRT(   EXP(2.21*(H1302-1)) + EXP(2.21*(J1302-1)) + EXP(2.21*(K1302-1)) + EXP(2.21*(L1302-1)) + EXP(2.21*M1302)   )/100*2.45 )</f>
        <v>0.35859414261160716</v>
      </c>
      <c r="O1302" s="159" t="str">
        <f>IF( OR( ISBLANK(I1302),ISBLANK(J1302), ISBLANK(K1302), ISBLANK(L1302), ISBLANK(M1302) ), "", 1.5*SQRT( EXP(2.21*(I1302-1)) + EXP(2.21*(J1302-1)) + EXP(2.21*(K1302-1)) + EXP(2.21*(L1302-1)) + EXP(2.21*M1302)   )/100*2.45 )</f>
        <v/>
      </c>
      <c r="P1302" s="34"/>
    </row>
    <row r="1303" spans="1:16" customFormat="1">
      <c r="A1303" s="34" t="s">
        <v>256</v>
      </c>
      <c r="B1303" s="40" t="s">
        <v>267</v>
      </c>
      <c r="C1303" s="34" t="s">
        <v>180</v>
      </c>
      <c r="D1303" s="823" t="s">
        <v>97</v>
      </c>
      <c r="E1303" s="69">
        <v>0.66998341625207292</v>
      </c>
      <c r="F1303" s="40">
        <v>1</v>
      </c>
      <c r="G1303" s="59" t="s">
        <v>110</v>
      </c>
      <c r="H1303" s="29">
        <v>1</v>
      </c>
      <c r="I1303" s="9"/>
      <c r="J1303" s="9">
        <v>1</v>
      </c>
      <c r="K1303" s="9">
        <v>1</v>
      </c>
      <c r="L1303" s="9">
        <v>2</v>
      </c>
      <c r="M1303" s="9">
        <v>2</v>
      </c>
      <c r="N1303" s="185">
        <f>IF( OR( ISBLANK(H1303),ISBLANK(J1303), ISBLANK(K1303), ISBLANK(L1303), ISBLANK(M1303) ), "", 1.5*SQRT(   EXP(2.21*(H1303-1)) + EXP(2.21*(J1303-1)) + EXP(2.21*(K1303-1)) + EXP(2.21*(L1303-1)) + EXP(2.21*M1303)   )/100*2.45 )</f>
        <v>0.35859414261160716</v>
      </c>
      <c r="O1303" s="159" t="str">
        <f>IF( OR( ISBLANK(I1303),ISBLANK(J1303), ISBLANK(K1303), ISBLANK(L1303), ISBLANK(M1303) ), "", 1.5*SQRT( EXP(2.21*(I1303-1)) + EXP(2.21*(J1303-1)) + EXP(2.21*(K1303-1)) + EXP(2.21*(L1303-1)) + EXP(2.21*M1303)   )/100*2.45 )</f>
        <v/>
      </c>
      <c r="P1303" s="34"/>
    </row>
    <row r="1304" spans="1:16" customFormat="1">
      <c r="A1304" s="34" t="s">
        <v>256</v>
      </c>
      <c r="B1304" s="40" t="s">
        <v>267</v>
      </c>
      <c r="C1304" s="34" t="s">
        <v>180</v>
      </c>
      <c r="D1304" s="823" t="s">
        <v>95</v>
      </c>
      <c r="E1304" s="69">
        <v>1</v>
      </c>
      <c r="F1304" s="40">
        <v>1</v>
      </c>
      <c r="G1304" s="59" t="s">
        <v>110</v>
      </c>
      <c r="H1304" s="29">
        <v>1</v>
      </c>
      <c r="I1304" s="9"/>
      <c r="J1304" s="9">
        <v>1</v>
      </c>
      <c r="K1304" s="9">
        <v>1</v>
      </c>
      <c r="L1304" s="9">
        <v>2</v>
      </c>
      <c r="M1304" s="9">
        <v>2</v>
      </c>
      <c r="N1304" s="185">
        <f>IF( OR( ISBLANK(H1304),ISBLANK(J1304), ISBLANK(K1304), ISBLANK(L1304), ISBLANK(M1304) ), "", 1.5*SQRT(   EXP(2.21*(H1304-1)) + EXP(2.21*(J1304-1)) + EXP(2.21*(K1304-1)) + EXP(2.21*(L1304-1)) + EXP(2.21*M1304)   )/100*2.45 )</f>
        <v>0.35859414261160716</v>
      </c>
      <c r="O1304" s="159" t="str">
        <f>IF( OR( ISBLANK(I1304),ISBLANK(J1304), ISBLANK(K1304), ISBLANK(L1304), ISBLANK(M1304) ), "", 1.5*SQRT( EXP(2.21*(I1304-1)) + EXP(2.21*(J1304-1)) + EXP(2.21*(K1304-1)) + EXP(2.21*(L1304-1)) + EXP(2.21*M1304)   )/100*2.45 )</f>
        <v/>
      </c>
      <c r="P1304" s="34"/>
    </row>
    <row r="1305" spans="1:16" customFormat="1">
      <c r="A1305" s="34" t="s">
        <v>256</v>
      </c>
      <c r="B1305" s="40" t="s">
        <v>267</v>
      </c>
      <c r="C1305" s="34" t="s">
        <v>180</v>
      </c>
      <c r="D1305" s="823" t="s">
        <v>93</v>
      </c>
      <c r="E1305" s="69">
        <v>0.67391304347826086</v>
      </c>
      <c r="F1305" s="40">
        <v>1</v>
      </c>
      <c r="G1305" s="59" t="s">
        <v>110</v>
      </c>
      <c r="H1305" s="29">
        <v>1</v>
      </c>
      <c r="I1305" s="9"/>
      <c r="J1305" s="9">
        <v>1</v>
      </c>
      <c r="K1305" s="9">
        <v>1</v>
      </c>
      <c r="L1305" s="9">
        <v>2</v>
      </c>
      <c r="M1305" s="9">
        <v>2</v>
      </c>
      <c r="N1305" s="185">
        <f>IF( OR( ISBLANK(H1305),ISBLANK(J1305), ISBLANK(K1305), ISBLANK(L1305), ISBLANK(M1305) ), "", 1.5*SQRT(   EXP(2.21*(H1305-1)) + EXP(2.21*(J1305-1)) + EXP(2.21*(K1305-1)) + EXP(2.21*(L1305-1)) + EXP(2.21*M1305)   )/100*2.45 )</f>
        <v>0.35859414261160716</v>
      </c>
      <c r="O1305" s="159" t="str">
        <f>IF( OR( ISBLANK(I1305),ISBLANK(J1305), ISBLANK(K1305), ISBLANK(L1305), ISBLANK(M1305) ), "", 1.5*SQRT( EXP(2.21*(I1305-1)) + EXP(2.21*(J1305-1)) + EXP(2.21*(K1305-1)) + EXP(2.21*(L1305-1)) + EXP(2.21*M1305)   )/100*2.45 )</f>
        <v/>
      </c>
      <c r="P1305" s="34"/>
    </row>
    <row r="1306" spans="1:16" customFormat="1">
      <c r="A1306" s="34" t="s">
        <v>256</v>
      </c>
      <c r="B1306" s="40" t="s">
        <v>267</v>
      </c>
      <c r="C1306" s="34" t="s">
        <v>180</v>
      </c>
      <c r="D1306" s="823" t="s">
        <v>98</v>
      </c>
      <c r="E1306" s="69">
        <v>1</v>
      </c>
      <c r="F1306" s="40">
        <v>1</v>
      </c>
      <c r="G1306" s="59" t="s">
        <v>110</v>
      </c>
      <c r="H1306" s="29">
        <v>1</v>
      </c>
      <c r="I1306" s="9"/>
      <c r="J1306" s="9">
        <v>1</v>
      </c>
      <c r="K1306" s="9">
        <v>1</v>
      </c>
      <c r="L1306" s="9">
        <v>2</v>
      </c>
      <c r="M1306" s="9">
        <v>2</v>
      </c>
      <c r="N1306" s="185">
        <f>IF( OR( ISBLANK(H1306),ISBLANK(J1306), ISBLANK(K1306), ISBLANK(L1306), ISBLANK(M1306) ), "", 1.5*SQRT(   EXP(2.21*(H1306-1)) + EXP(2.21*(J1306-1)) + EXP(2.21*(K1306-1)) + EXP(2.21*(L1306-1)) + EXP(2.21*M1306)   )/100*2.45 )</f>
        <v>0.35859414261160716</v>
      </c>
      <c r="O1306" s="159" t="str">
        <f>IF( OR( ISBLANK(I1306),ISBLANK(J1306), ISBLANK(K1306), ISBLANK(L1306), ISBLANK(M1306) ), "", 1.5*SQRT( EXP(2.21*(I1306-1)) + EXP(2.21*(J1306-1)) + EXP(2.21*(K1306-1)) + EXP(2.21*(L1306-1)) + EXP(2.21*M1306)   )/100*2.45 )</f>
        <v/>
      </c>
      <c r="P1306" s="34"/>
    </row>
    <row r="1307" spans="1:16" customFormat="1">
      <c r="A1307" s="34" t="s">
        <v>256</v>
      </c>
      <c r="B1307" s="40" t="s">
        <v>267</v>
      </c>
      <c r="C1307" s="59" t="s">
        <v>182</v>
      </c>
      <c r="D1307" s="823" t="s">
        <v>85</v>
      </c>
      <c r="E1307" s="69">
        <v>0.15660919540229881</v>
      </c>
      <c r="F1307" s="40">
        <v>1</v>
      </c>
      <c r="G1307" s="59" t="s">
        <v>126</v>
      </c>
      <c r="H1307" s="29"/>
      <c r="I1307" s="9">
        <v>1</v>
      </c>
      <c r="J1307" s="9">
        <v>1</v>
      </c>
      <c r="K1307" s="9">
        <v>1</v>
      </c>
      <c r="L1307" s="9">
        <v>2</v>
      </c>
      <c r="M1307" s="9">
        <v>2</v>
      </c>
      <c r="N1307" s="185" t="str">
        <f>IF( OR( ISBLANK(H1307),ISBLANK(J1307), ISBLANK(K1307), ISBLANK(L1307), ISBLANK(M1307) ), "", 1.5*SQRT(   EXP(2.21*(H1307-1)) + EXP(2.21*(J1307-1)) + EXP(2.21*(K1307-1)) + EXP(2.21*(L1307-1)) + EXP(2.21*M1307)   )/100*2.45 )</f>
        <v/>
      </c>
      <c r="O1307" s="159">
        <f>IF( OR( ISBLANK(I1307),ISBLANK(J1307), ISBLANK(K1307), ISBLANK(L1307), ISBLANK(M1307) ), "", 1.5*SQRT( EXP(2.21*(I1307-1)) + EXP(2.21*(J1307-1)) + EXP(2.21*(K1307-1)) + EXP(2.21*(L1307-1)) + EXP(2.21*M1307)   )/100*2.45 )</f>
        <v>0.35859414261160716</v>
      </c>
      <c r="P1307" s="34"/>
    </row>
    <row r="1308" spans="1:16" customFormat="1">
      <c r="A1308" s="34" t="s">
        <v>256</v>
      </c>
      <c r="B1308" s="40" t="s">
        <v>267</v>
      </c>
      <c r="C1308" s="34" t="s">
        <v>182</v>
      </c>
      <c r="D1308" s="823" t="s">
        <v>86</v>
      </c>
      <c r="E1308" s="69">
        <v>0.1689198415949747</v>
      </c>
      <c r="F1308" s="40">
        <v>1</v>
      </c>
      <c r="G1308" s="59" t="s">
        <v>126</v>
      </c>
      <c r="H1308" s="29"/>
      <c r="I1308" s="9">
        <v>1</v>
      </c>
      <c r="J1308" s="9">
        <v>1</v>
      </c>
      <c r="K1308" s="9">
        <v>1</v>
      </c>
      <c r="L1308" s="9">
        <v>2</v>
      </c>
      <c r="M1308" s="9">
        <v>2</v>
      </c>
      <c r="N1308" s="185" t="str">
        <f>IF( OR( ISBLANK(H1308),ISBLANK(J1308), ISBLANK(K1308), ISBLANK(L1308), ISBLANK(M1308) ), "", 1.5*SQRT(   EXP(2.21*(H1308-1)) + EXP(2.21*(J1308-1)) + EXP(2.21*(K1308-1)) + EXP(2.21*(L1308-1)) + EXP(2.21*M1308)   )/100*2.45 )</f>
        <v/>
      </c>
      <c r="O1308" s="159">
        <f>IF( OR( ISBLANK(I1308),ISBLANK(J1308), ISBLANK(K1308), ISBLANK(L1308), ISBLANK(M1308) ), "", 1.5*SQRT( EXP(2.21*(I1308-1)) + EXP(2.21*(J1308-1)) + EXP(2.21*(K1308-1)) + EXP(2.21*(L1308-1)) + EXP(2.21*M1308)   )/100*2.45 )</f>
        <v>0.35859414261160716</v>
      </c>
      <c r="P1308" s="34"/>
    </row>
    <row r="1309" spans="1:16" customFormat="1">
      <c r="A1309" s="34" t="s">
        <v>256</v>
      </c>
      <c r="B1309" s="40" t="s">
        <v>267</v>
      </c>
      <c r="C1309" s="34" t="s">
        <v>182</v>
      </c>
      <c r="D1309" s="823" t="s">
        <v>87</v>
      </c>
      <c r="E1309" s="69">
        <v>9.9585062240663894E-2</v>
      </c>
      <c r="F1309" s="40">
        <v>1</v>
      </c>
      <c r="G1309" s="59" t="s">
        <v>126</v>
      </c>
      <c r="H1309" s="29"/>
      <c r="I1309" s="9">
        <v>1</v>
      </c>
      <c r="J1309" s="9">
        <v>1</v>
      </c>
      <c r="K1309" s="9">
        <v>1</v>
      </c>
      <c r="L1309" s="9">
        <v>2</v>
      </c>
      <c r="M1309" s="9">
        <v>2</v>
      </c>
      <c r="N1309" s="185" t="str">
        <f>IF( OR( ISBLANK(H1309),ISBLANK(J1309), ISBLANK(K1309), ISBLANK(L1309), ISBLANK(M1309) ), "", 1.5*SQRT(   EXP(2.21*(H1309-1)) + EXP(2.21*(J1309-1)) + EXP(2.21*(K1309-1)) + EXP(2.21*(L1309-1)) + EXP(2.21*M1309)   )/100*2.45 )</f>
        <v/>
      </c>
      <c r="O1309" s="159">
        <f>IF( OR( ISBLANK(I1309),ISBLANK(J1309), ISBLANK(K1309), ISBLANK(L1309), ISBLANK(M1309) ), "", 1.5*SQRT( EXP(2.21*(I1309-1)) + EXP(2.21*(J1309-1)) + EXP(2.21*(K1309-1)) + EXP(2.21*(L1309-1)) + EXP(2.21*M1309)   )/100*2.45 )</f>
        <v>0.35859414261160716</v>
      </c>
      <c r="P1309" s="34"/>
    </row>
    <row r="1310" spans="1:16" customFormat="1">
      <c r="A1310" s="34" t="s">
        <v>256</v>
      </c>
      <c r="B1310" s="40" t="s">
        <v>267</v>
      </c>
      <c r="C1310" s="34" t="s">
        <v>182</v>
      </c>
      <c r="D1310" s="823" t="s">
        <v>88</v>
      </c>
      <c r="E1310" s="69">
        <v>0.16331787738279241</v>
      </c>
      <c r="F1310" s="40">
        <v>1</v>
      </c>
      <c r="G1310" s="59" t="s">
        <v>126</v>
      </c>
      <c r="H1310" s="29"/>
      <c r="I1310" s="9">
        <v>1</v>
      </c>
      <c r="J1310" s="9">
        <v>1</v>
      </c>
      <c r="K1310" s="9">
        <v>1</v>
      </c>
      <c r="L1310" s="9">
        <v>2</v>
      </c>
      <c r="M1310" s="9">
        <v>2</v>
      </c>
      <c r="N1310" s="185" t="str">
        <f>IF( OR( ISBLANK(H1310),ISBLANK(J1310), ISBLANK(K1310), ISBLANK(L1310), ISBLANK(M1310) ), "", 1.5*SQRT(   EXP(2.21*(H1310-1)) + EXP(2.21*(J1310-1)) + EXP(2.21*(K1310-1)) + EXP(2.21*(L1310-1)) + EXP(2.21*M1310)   )/100*2.45 )</f>
        <v/>
      </c>
      <c r="O1310" s="159">
        <f>IF( OR( ISBLANK(I1310),ISBLANK(J1310), ISBLANK(K1310), ISBLANK(L1310), ISBLANK(M1310) ), "", 1.5*SQRT( EXP(2.21*(I1310-1)) + EXP(2.21*(J1310-1)) + EXP(2.21*(K1310-1)) + EXP(2.21*(L1310-1)) + EXP(2.21*M1310)   )/100*2.45 )</f>
        <v>0.35859414261160716</v>
      </c>
      <c r="P1310" s="34"/>
    </row>
    <row r="1311" spans="1:16" customFormat="1">
      <c r="A1311" s="34" t="s">
        <v>256</v>
      </c>
      <c r="B1311" s="40" t="s">
        <v>267</v>
      </c>
      <c r="C1311" s="34" t="s">
        <v>182</v>
      </c>
      <c r="D1311" s="823" t="s">
        <v>89</v>
      </c>
      <c r="E1311" s="69">
        <v>4.9733570159857902E-2</v>
      </c>
      <c r="F1311" s="40">
        <v>1</v>
      </c>
      <c r="G1311" s="59" t="s">
        <v>126</v>
      </c>
      <c r="H1311" s="29"/>
      <c r="I1311" s="9">
        <v>1</v>
      </c>
      <c r="J1311" s="9">
        <v>1</v>
      </c>
      <c r="K1311" s="9">
        <v>1</v>
      </c>
      <c r="L1311" s="9">
        <v>2</v>
      </c>
      <c r="M1311" s="9">
        <v>2</v>
      </c>
      <c r="N1311" s="185" t="str">
        <f>IF( OR( ISBLANK(H1311),ISBLANK(J1311), ISBLANK(K1311), ISBLANK(L1311), ISBLANK(M1311) ), "", 1.5*SQRT(   EXP(2.21*(H1311-1)) + EXP(2.21*(J1311-1)) + EXP(2.21*(K1311-1)) + EXP(2.21*(L1311-1)) + EXP(2.21*M1311)   )/100*2.45 )</f>
        <v/>
      </c>
      <c r="O1311" s="159">
        <f>IF( OR( ISBLANK(I1311),ISBLANK(J1311), ISBLANK(K1311), ISBLANK(L1311), ISBLANK(M1311) ), "", 1.5*SQRT( EXP(2.21*(I1311-1)) + EXP(2.21*(J1311-1)) + EXP(2.21*(K1311-1)) + EXP(2.21*(L1311-1)) + EXP(2.21*M1311)   )/100*2.45 )</f>
        <v>0.35859414261160716</v>
      </c>
      <c r="P1311" s="34"/>
    </row>
    <row r="1312" spans="1:16" customFormat="1">
      <c r="A1312" s="34" t="s">
        <v>256</v>
      </c>
      <c r="B1312" s="40" t="s">
        <v>267</v>
      </c>
      <c r="C1312" s="34" t="s">
        <v>182</v>
      </c>
      <c r="D1312" s="823" t="s">
        <v>90</v>
      </c>
      <c r="E1312" s="69">
        <v>0.225984796129924</v>
      </c>
      <c r="F1312" s="40">
        <v>1</v>
      </c>
      <c r="G1312" s="59" t="s">
        <v>126</v>
      </c>
      <c r="H1312" s="29"/>
      <c r="I1312" s="9">
        <v>1</v>
      </c>
      <c r="J1312" s="9">
        <v>1</v>
      </c>
      <c r="K1312" s="9">
        <v>1</v>
      </c>
      <c r="L1312" s="9">
        <v>2</v>
      </c>
      <c r="M1312" s="9">
        <v>2</v>
      </c>
      <c r="N1312" s="185" t="str">
        <f>IF( OR( ISBLANK(H1312),ISBLANK(J1312), ISBLANK(K1312), ISBLANK(L1312), ISBLANK(M1312) ), "", 1.5*SQRT(   EXP(2.21*(H1312-1)) + EXP(2.21*(J1312-1)) + EXP(2.21*(K1312-1)) + EXP(2.21*(L1312-1)) + EXP(2.21*M1312)   )/100*2.45 )</f>
        <v/>
      </c>
      <c r="O1312" s="159">
        <f>IF( OR( ISBLANK(I1312),ISBLANK(J1312), ISBLANK(K1312), ISBLANK(L1312), ISBLANK(M1312) ), "", 1.5*SQRT( EXP(2.21*(I1312-1)) + EXP(2.21*(J1312-1)) + EXP(2.21*(K1312-1)) + EXP(2.21*(L1312-1)) + EXP(2.21*M1312)   )/100*2.45 )</f>
        <v>0.35859414261160716</v>
      </c>
      <c r="P1312" s="34"/>
    </row>
    <row r="1313" spans="1:16" customFormat="1">
      <c r="A1313" s="34" t="s">
        <v>256</v>
      </c>
      <c r="B1313" s="40" t="s">
        <v>267</v>
      </c>
      <c r="C1313" s="34" t="s">
        <v>182</v>
      </c>
      <c r="D1313" s="823" t="s">
        <v>91</v>
      </c>
      <c r="E1313" s="69">
        <v>9.5582536812193225E-2</v>
      </c>
      <c r="F1313" s="40">
        <v>1</v>
      </c>
      <c r="G1313" s="59" t="s">
        <v>126</v>
      </c>
      <c r="H1313" s="29"/>
      <c r="I1313" s="9">
        <v>1</v>
      </c>
      <c r="J1313" s="9">
        <v>1</v>
      </c>
      <c r="K1313" s="9">
        <v>1</v>
      </c>
      <c r="L1313" s="9">
        <v>2</v>
      </c>
      <c r="M1313" s="9">
        <v>2</v>
      </c>
      <c r="N1313" s="185" t="str">
        <f>IF( OR( ISBLANK(H1313),ISBLANK(J1313), ISBLANK(K1313), ISBLANK(L1313), ISBLANK(M1313) ), "", 1.5*SQRT(   EXP(2.21*(H1313-1)) + EXP(2.21*(J1313-1)) + EXP(2.21*(K1313-1)) + EXP(2.21*(L1313-1)) + EXP(2.21*M1313)   )/100*2.45 )</f>
        <v/>
      </c>
      <c r="O1313" s="159">
        <f>IF( OR( ISBLANK(I1313),ISBLANK(J1313), ISBLANK(K1313), ISBLANK(L1313), ISBLANK(M1313) ), "", 1.5*SQRT( EXP(2.21*(I1313-1)) + EXP(2.21*(J1313-1)) + EXP(2.21*(K1313-1)) + EXP(2.21*(L1313-1)) + EXP(2.21*M1313)   )/100*2.45 )</f>
        <v>0.35859414261160716</v>
      </c>
      <c r="P1313" s="34"/>
    </row>
    <row r="1314" spans="1:16" customFormat="1">
      <c r="A1314" s="34" t="s">
        <v>256</v>
      </c>
      <c r="B1314" s="40" t="s">
        <v>267</v>
      </c>
      <c r="C1314" s="34" t="s">
        <v>182</v>
      </c>
      <c r="D1314" s="823" t="s">
        <v>94</v>
      </c>
      <c r="E1314" s="69">
        <v>0.24492099322799099</v>
      </c>
      <c r="F1314" s="40">
        <v>1</v>
      </c>
      <c r="G1314" s="59" t="s">
        <v>126</v>
      </c>
      <c r="H1314" s="29"/>
      <c r="I1314" s="9">
        <v>1</v>
      </c>
      <c r="J1314" s="9">
        <v>1</v>
      </c>
      <c r="K1314" s="9">
        <v>1</v>
      </c>
      <c r="L1314" s="9">
        <v>2</v>
      </c>
      <c r="M1314" s="9">
        <v>2</v>
      </c>
      <c r="N1314" s="185" t="str">
        <f>IF( OR( ISBLANK(H1314),ISBLANK(J1314), ISBLANK(K1314), ISBLANK(L1314), ISBLANK(M1314) ), "", 1.5*SQRT(   EXP(2.21*(H1314-1)) + EXP(2.21*(J1314-1)) + EXP(2.21*(K1314-1)) + EXP(2.21*(L1314-1)) + EXP(2.21*M1314)   )/100*2.45 )</f>
        <v/>
      </c>
      <c r="O1314" s="159">
        <f>IF( OR( ISBLANK(I1314),ISBLANK(J1314), ISBLANK(K1314), ISBLANK(L1314), ISBLANK(M1314) ), "", 1.5*SQRT( EXP(2.21*(I1314-1)) + EXP(2.21*(J1314-1)) + EXP(2.21*(K1314-1)) + EXP(2.21*(L1314-1)) + EXP(2.21*M1314)   )/100*2.45 )</f>
        <v>0.35859414261160716</v>
      </c>
      <c r="P1314" s="34"/>
    </row>
    <row r="1315" spans="1:16" customFormat="1">
      <c r="A1315" s="34" t="s">
        <v>256</v>
      </c>
      <c r="B1315" s="40" t="s">
        <v>267</v>
      </c>
      <c r="C1315" s="34" t="s">
        <v>182</v>
      </c>
      <c r="D1315" s="823" t="s">
        <v>96</v>
      </c>
      <c r="E1315" s="69">
        <v>0.19953775038520799</v>
      </c>
      <c r="F1315" s="40">
        <v>1</v>
      </c>
      <c r="G1315" s="59" t="s">
        <v>126</v>
      </c>
      <c r="H1315" s="29"/>
      <c r="I1315" s="9">
        <v>1</v>
      </c>
      <c r="J1315" s="9">
        <v>1</v>
      </c>
      <c r="K1315" s="9">
        <v>1</v>
      </c>
      <c r="L1315" s="9">
        <v>2</v>
      </c>
      <c r="M1315" s="9">
        <v>2</v>
      </c>
      <c r="N1315" s="185" t="str">
        <f>IF( OR( ISBLANK(H1315),ISBLANK(J1315), ISBLANK(K1315), ISBLANK(L1315), ISBLANK(M1315) ), "", 1.5*SQRT(   EXP(2.21*(H1315-1)) + EXP(2.21*(J1315-1)) + EXP(2.21*(K1315-1)) + EXP(2.21*(L1315-1)) + EXP(2.21*M1315)   )/100*2.45 )</f>
        <v/>
      </c>
      <c r="O1315" s="159">
        <f>IF( OR( ISBLANK(I1315),ISBLANK(J1315), ISBLANK(K1315), ISBLANK(L1315), ISBLANK(M1315) ), "", 1.5*SQRT( EXP(2.21*(I1315-1)) + EXP(2.21*(J1315-1)) + EXP(2.21*(K1315-1)) + EXP(2.21*(L1315-1)) + EXP(2.21*M1315)   )/100*2.45 )</f>
        <v>0.35859414261160716</v>
      </c>
      <c r="P1315" s="34"/>
    </row>
    <row r="1316" spans="1:16" customFormat="1">
      <c r="A1316" s="34" t="s">
        <v>256</v>
      </c>
      <c r="B1316" s="40" t="s">
        <v>267</v>
      </c>
      <c r="C1316" s="34" t="s">
        <v>182</v>
      </c>
      <c r="D1316" s="823" t="s">
        <v>97</v>
      </c>
      <c r="E1316" s="69">
        <v>0.3138111888111888</v>
      </c>
      <c r="F1316" s="40">
        <v>1</v>
      </c>
      <c r="G1316" s="59" t="s">
        <v>126</v>
      </c>
      <c r="H1316" s="29"/>
      <c r="I1316" s="9">
        <v>1</v>
      </c>
      <c r="J1316" s="9">
        <v>1</v>
      </c>
      <c r="K1316" s="9">
        <v>1</v>
      </c>
      <c r="L1316" s="9">
        <v>2</v>
      </c>
      <c r="M1316" s="9">
        <v>2</v>
      </c>
      <c r="N1316" s="185" t="str">
        <f>IF( OR( ISBLANK(H1316),ISBLANK(J1316), ISBLANK(K1316), ISBLANK(L1316), ISBLANK(M1316) ), "", 1.5*SQRT(   EXP(2.21*(H1316-1)) + EXP(2.21*(J1316-1)) + EXP(2.21*(K1316-1)) + EXP(2.21*(L1316-1)) + EXP(2.21*M1316)   )/100*2.45 )</f>
        <v/>
      </c>
      <c r="O1316" s="159">
        <f>IF( OR( ISBLANK(I1316),ISBLANK(J1316), ISBLANK(K1316), ISBLANK(L1316), ISBLANK(M1316) ), "", 1.5*SQRT( EXP(2.21*(I1316-1)) + EXP(2.21*(J1316-1)) + EXP(2.21*(K1316-1)) + EXP(2.21*(L1316-1)) + EXP(2.21*M1316)   )/100*2.45 )</f>
        <v>0.35859414261160716</v>
      </c>
      <c r="P1316" s="34"/>
    </row>
    <row r="1317" spans="1:16" customFormat="1">
      <c r="A1317" s="34" t="s">
        <v>256</v>
      </c>
      <c r="B1317" s="40" t="s">
        <v>267</v>
      </c>
      <c r="C1317" s="34" t="s">
        <v>182</v>
      </c>
      <c r="D1317" s="823" t="s">
        <v>95</v>
      </c>
      <c r="E1317" s="69">
        <v>0.2368318376902068</v>
      </c>
      <c r="F1317" s="40">
        <v>1</v>
      </c>
      <c r="G1317" s="59" t="s">
        <v>126</v>
      </c>
      <c r="H1317" s="29"/>
      <c r="I1317" s="9">
        <v>1</v>
      </c>
      <c r="J1317" s="9">
        <v>1</v>
      </c>
      <c r="K1317" s="9">
        <v>1</v>
      </c>
      <c r="L1317" s="9">
        <v>2</v>
      </c>
      <c r="M1317" s="9">
        <v>2</v>
      </c>
      <c r="N1317" s="185" t="str">
        <f>IF( OR( ISBLANK(H1317),ISBLANK(J1317), ISBLANK(K1317), ISBLANK(L1317), ISBLANK(M1317) ), "", 1.5*SQRT(   EXP(2.21*(H1317-1)) + EXP(2.21*(J1317-1)) + EXP(2.21*(K1317-1)) + EXP(2.21*(L1317-1)) + EXP(2.21*M1317)   )/100*2.45 )</f>
        <v/>
      </c>
      <c r="O1317" s="159">
        <f>IF( OR( ISBLANK(I1317),ISBLANK(J1317), ISBLANK(K1317), ISBLANK(L1317), ISBLANK(M1317) ), "", 1.5*SQRT( EXP(2.21*(I1317-1)) + EXP(2.21*(J1317-1)) + EXP(2.21*(K1317-1)) + EXP(2.21*(L1317-1)) + EXP(2.21*M1317)   )/100*2.45 )</f>
        <v>0.35859414261160716</v>
      </c>
      <c r="P1317" s="34"/>
    </row>
    <row r="1318" spans="1:16" customFormat="1">
      <c r="A1318" s="34" t="s">
        <v>256</v>
      </c>
      <c r="B1318" s="40" t="s">
        <v>267</v>
      </c>
      <c r="C1318" s="34" t="s">
        <v>182</v>
      </c>
      <c r="D1318" s="823" t="s">
        <v>93</v>
      </c>
      <c r="E1318" s="69">
        <v>0.16604287172507659</v>
      </c>
      <c r="F1318" s="40">
        <v>1</v>
      </c>
      <c r="G1318" s="59" t="s">
        <v>126</v>
      </c>
      <c r="H1318" s="29"/>
      <c r="I1318" s="9">
        <v>1</v>
      </c>
      <c r="J1318" s="9">
        <v>1</v>
      </c>
      <c r="K1318" s="9">
        <v>1</v>
      </c>
      <c r="L1318" s="9">
        <v>2</v>
      </c>
      <c r="M1318" s="9">
        <v>2</v>
      </c>
      <c r="N1318" s="185" t="str">
        <f>IF( OR( ISBLANK(H1318),ISBLANK(J1318), ISBLANK(K1318), ISBLANK(L1318), ISBLANK(M1318) ), "", 1.5*SQRT(   EXP(2.21*(H1318-1)) + EXP(2.21*(J1318-1)) + EXP(2.21*(K1318-1)) + EXP(2.21*(L1318-1)) + EXP(2.21*M1318)   )/100*2.45 )</f>
        <v/>
      </c>
      <c r="O1318" s="159">
        <f>IF( OR( ISBLANK(I1318),ISBLANK(J1318), ISBLANK(K1318), ISBLANK(L1318), ISBLANK(M1318) ), "", 1.5*SQRT( EXP(2.21*(I1318-1)) + EXP(2.21*(J1318-1)) + EXP(2.21*(K1318-1)) + EXP(2.21*(L1318-1)) + EXP(2.21*M1318)   )/100*2.45 )</f>
        <v>0.35859414261160716</v>
      </c>
      <c r="P1318" s="34"/>
    </row>
    <row r="1319" spans="1:16" customFormat="1">
      <c r="A1319" s="34" t="s">
        <v>256</v>
      </c>
      <c r="B1319" s="40" t="s">
        <v>267</v>
      </c>
      <c r="C1319" s="34" t="s">
        <v>182</v>
      </c>
      <c r="D1319" s="823" t="s">
        <v>98</v>
      </c>
      <c r="E1319" s="69">
        <v>0.34568127636163581</v>
      </c>
      <c r="F1319" s="40">
        <v>1</v>
      </c>
      <c r="G1319" s="59" t="s">
        <v>126</v>
      </c>
      <c r="H1319" s="29"/>
      <c r="I1319" s="9">
        <v>1</v>
      </c>
      <c r="J1319" s="9">
        <v>1</v>
      </c>
      <c r="K1319" s="9">
        <v>1</v>
      </c>
      <c r="L1319" s="9">
        <v>2</v>
      </c>
      <c r="M1319" s="9">
        <v>2</v>
      </c>
      <c r="N1319" s="185" t="str">
        <f>IF( OR( ISBLANK(H1319),ISBLANK(J1319), ISBLANK(K1319), ISBLANK(L1319), ISBLANK(M1319) ), "", 1.5*SQRT(   EXP(2.21*(H1319-1)) + EXP(2.21*(J1319-1)) + EXP(2.21*(K1319-1)) + EXP(2.21*(L1319-1)) + EXP(2.21*M1319)   )/100*2.45 )</f>
        <v/>
      </c>
      <c r="O1319" s="159">
        <f>IF( OR( ISBLANK(I1319),ISBLANK(J1319), ISBLANK(K1319), ISBLANK(L1319), ISBLANK(M1319) ), "", 1.5*SQRT( EXP(2.21*(I1319-1)) + EXP(2.21*(J1319-1)) + EXP(2.21*(K1319-1)) + EXP(2.21*(L1319-1)) + EXP(2.21*M1319)   )/100*2.45 )</f>
        <v>0.35859414261160716</v>
      </c>
      <c r="P1319" s="34"/>
    </row>
    <row r="1320" spans="1:16" customFormat="1">
      <c r="A1320" s="34" t="s">
        <v>256</v>
      </c>
      <c r="B1320" s="40" t="s">
        <v>259</v>
      </c>
      <c r="C1320" s="34" t="s">
        <v>139</v>
      </c>
      <c r="D1320" s="40" t="s">
        <v>139</v>
      </c>
      <c r="E1320" s="237" t="s">
        <v>150</v>
      </c>
      <c r="F1320" s="40">
        <v>1</v>
      </c>
      <c r="G1320" s="34"/>
      <c r="H1320" s="29"/>
      <c r="I1320" s="9"/>
      <c r="J1320" s="9"/>
      <c r="K1320" s="9"/>
      <c r="L1320" s="9"/>
      <c r="M1320" s="9"/>
      <c r="N1320" s="185" t="str">
        <f>IF( OR( ISBLANK(H1320),ISBLANK(J1320), ISBLANK(K1320), ISBLANK(L1320), ISBLANK(M1320) ), "", 1.5*SQRT(   EXP(2.21*(H1320-1)) + EXP(2.21*(J1320-1)) + EXP(2.21*(K1320-1)) + EXP(2.21*(L1320-1)) + EXP(2.21*M1320)   )/100*2.45 )</f>
        <v/>
      </c>
      <c r="O1320" s="159" t="str">
        <f>IF( OR( ISBLANK(I1320),ISBLANK(J1320), ISBLANK(K1320), ISBLANK(L1320), ISBLANK(M1320) ), "", 1.5*SQRT( EXP(2.21*(I1320-1)) + EXP(2.21*(J1320-1)) + EXP(2.21*(K1320-1)) + EXP(2.21*(L1320-1)) + EXP(2.21*M1320)   )/100*2.45 )</f>
        <v/>
      </c>
      <c r="P1320" s="34"/>
    </row>
    <row r="1321" spans="1:16" customFormat="1">
      <c r="A1321" s="34" t="s">
        <v>256</v>
      </c>
      <c r="B1321" s="40" t="s">
        <v>262</v>
      </c>
      <c r="C1321" s="34" t="s">
        <v>139</v>
      </c>
      <c r="D1321" s="40" t="s">
        <v>139</v>
      </c>
      <c r="E1321" s="1200">
        <v>9.9999999999999995E-7</v>
      </c>
      <c r="F1321" s="40">
        <v>2</v>
      </c>
      <c r="G1321" s="37" t="s">
        <v>1974</v>
      </c>
      <c r="H1321" s="29">
        <v>2</v>
      </c>
      <c r="I1321" s="9">
        <v>2</v>
      </c>
      <c r="J1321" s="9">
        <v>3</v>
      </c>
      <c r="K1321" s="9">
        <v>3</v>
      </c>
      <c r="L1321" s="9">
        <v>3</v>
      </c>
      <c r="M1321" s="9">
        <v>2</v>
      </c>
      <c r="N1321" s="185">
        <f>IF( OR( ISBLANK(H1321),ISBLANK(J1321), ISBLANK(K1321), ISBLANK(L1321), ISBLANK(M1321) ), "", 1.5*SQRT(   EXP(2.21*(H1321-1)) + EXP(2.21*(J1321-1)) + EXP(2.21*(K1321-1)) + EXP(2.21*(L1321-1)) + EXP(2.21*M1321)   )/100*2.45 )</f>
        <v>0.67913051197703389</v>
      </c>
      <c r="O1321" s="159">
        <f>IF( OR( ISBLANK(I1321),ISBLANK(J1321), ISBLANK(K1321), ISBLANK(L1321), ISBLANK(M1321) ), "", 1.5*SQRT( EXP(2.21*(I1321-1)) + EXP(2.21*(J1321-1)) + EXP(2.21*(K1321-1)) + EXP(2.21*(L1321-1)) + EXP(2.21*M1321)   )/100*2.45 )</f>
        <v>0.67913051197703389</v>
      </c>
      <c r="P1321" s="1181" t="s">
        <v>1972</v>
      </c>
    </row>
    <row r="1322" spans="1:16" customFormat="1">
      <c r="A1322" s="34" t="s">
        <v>256</v>
      </c>
      <c r="B1322" s="40" t="s">
        <v>262</v>
      </c>
      <c r="C1322" s="34" t="s">
        <v>139</v>
      </c>
      <c r="D1322" s="40" t="s">
        <v>139</v>
      </c>
      <c r="E1322" s="1195">
        <f>0.05*(1-0.088)/100</f>
        <v>4.5600000000000003E-4</v>
      </c>
      <c r="F1322" s="40">
        <v>2</v>
      </c>
      <c r="G1322" s="37" t="s">
        <v>1974</v>
      </c>
      <c r="H1322" s="29">
        <v>2</v>
      </c>
      <c r="I1322" s="9">
        <v>2</v>
      </c>
      <c r="J1322" s="9">
        <v>3</v>
      </c>
      <c r="K1322" s="9">
        <v>3</v>
      </c>
      <c r="L1322" s="9">
        <v>3</v>
      </c>
      <c r="M1322" s="9">
        <v>2</v>
      </c>
      <c r="N1322" s="185">
        <f>IF( OR( ISBLANK(H1322),ISBLANK(J1322), ISBLANK(K1322), ISBLANK(L1322), ISBLANK(M1322) ), "", 1.5*SQRT(   EXP(2.21*(H1322-1)) + EXP(2.21*(J1322-1)) + EXP(2.21*(K1322-1)) + EXP(2.21*(L1322-1)) + EXP(2.21*M1322)   )/100*2.45 )</f>
        <v>0.67913051197703389</v>
      </c>
      <c r="O1322" s="159">
        <f>IF( OR( ISBLANK(I1322),ISBLANK(J1322), ISBLANK(K1322), ISBLANK(L1322), ISBLANK(M1322) ), "", 1.5*SQRT( EXP(2.21*(I1322-1)) + EXP(2.21*(J1322-1)) + EXP(2.21*(K1322-1)) + EXP(2.21*(L1322-1)) + EXP(2.21*M1322)   )/100*2.45 )</f>
        <v>0.67913051197703389</v>
      </c>
      <c r="P1322" s="1181" t="s">
        <v>1972</v>
      </c>
    </row>
    <row r="1323" spans="1:16">
      <c r="A1323" s="69" t="s">
        <v>256</v>
      </c>
      <c r="B1323" s="823" t="s">
        <v>410</v>
      </c>
      <c r="C1323" s="69" t="s">
        <v>139</v>
      </c>
      <c r="D1323" s="823" t="s">
        <v>139</v>
      </c>
      <c r="E1323" s="1200">
        <v>9.9999999999999995E-7</v>
      </c>
      <c r="F1323" s="823">
        <v>2</v>
      </c>
      <c r="G1323" s="37" t="s">
        <v>1978</v>
      </c>
      <c r="H1323" s="1188">
        <v>2</v>
      </c>
      <c r="I1323" s="307">
        <v>2</v>
      </c>
      <c r="J1323" s="307">
        <v>3</v>
      </c>
      <c r="K1323" s="307">
        <v>3</v>
      </c>
      <c r="L1323" s="307">
        <v>3</v>
      </c>
      <c r="M1323" s="307">
        <v>3</v>
      </c>
      <c r="N1323" s="185">
        <f>IF( OR( ISBLANK(H1323),ISBLANK(J1323), ISBLANK(K1323), ISBLANK(L1323), ISBLANK(M1323) ), "", 1.5*SQRT(   EXP(2.21*(H1323-1)) + EXP(2.21*(J1323-1)) + EXP(2.21*(K1323-1)) + EXP(2.21*(L1323-1)) + EXP(2.21*M1323)   )/100*2.45 )</f>
        <v>1.1713319510247036</v>
      </c>
      <c r="O1323" s="159">
        <f>IF( OR( ISBLANK(I1323),ISBLANK(J1323), ISBLANK(K1323), ISBLANK(L1323), ISBLANK(M1323) ), "", 1.5*SQRT( EXP(2.21*(I1323-1)) + EXP(2.21*(J1323-1)) + EXP(2.21*(K1323-1)) + EXP(2.21*(L1323-1)) + EXP(2.21*M1323)   )/100*2.45 )</f>
        <v>1.1713319510247036</v>
      </c>
      <c r="P1323" s="69"/>
    </row>
    <row r="1324" spans="1:16">
      <c r="A1324" s="69" t="s">
        <v>256</v>
      </c>
      <c r="B1324" s="823" t="s">
        <v>410</v>
      </c>
      <c r="C1324" s="69" t="s">
        <v>139</v>
      </c>
      <c r="D1324" s="823" t="s">
        <v>139</v>
      </c>
      <c r="E1324" s="1195">
        <f>0.05*0.088/100</f>
        <v>4.4000000000000006E-5</v>
      </c>
      <c r="F1324" s="823">
        <v>2</v>
      </c>
      <c r="G1324" s="37" t="s">
        <v>1978</v>
      </c>
      <c r="H1324" s="1188">
        <v>2</v>
      </c>
      <c r="I1324" s="307">
        <v>2</v>
      </c>
      <c r="J1324" s="307">
        <v>3</v>
      </c>
      <c r="K1324" s="307">
        <v>3</v>
      </c>
      <c r="L1324" s="307">
        <v>3</v>
      </c>
      <c r="M1324" s="307">
        <v>2</v>
      </c>
      <c r="N1324" s="185">
        <f>IF( OR( ISBLANK(H1324),ISBLANK(J1324), ISBLANK(K1324), ISBLANK(L1324), ISBLANK(M1324) ), "", 1.5*SQRT(   EXP(2.21*(H1324-1)) + EXP(2.21*(J1324-1)) + EXP(2.21*(K1324-1)) + EXP(2.21*(L1324-1)) + EXP(2.21*M1324)   )/100*2.45 )</f>
        <v>0.67913051197703389</v>
      </c>
      <c r="O1324" s="159">
        <f>IF( OR( ISBLANK(I1324),ISBLANK(J1324), ISBLANK(K1324), ISBLANK(L1324), ISBLANK(M1324) ), "", 1.5*SQRT( EXP(2.21*(I1324-1)) + EXP(2.21*(J1324-1)) + EXP(2.21*(K1324-1)) + EXP(2.21*(L1324-1)) + EXP(2.21*M1324)   )/100*2.45 )</f>
        <v>0.67913051197703389</v>
      </c>
      <c r="P1324" s="69"/>
    </row>
    <row r="1325" spans="1:16">
      <c r="A1325" s="68" t="str">
        <f>Clothing!A337</f>
        <v>Transport of primary plastics</v>
      </c>
      <c r="B1325" s="304" t="str">
        <f>Clothing!B337</f>
        <v>Manufacturing of clothing</v>
      </c>
      <c r="C1325" s="69" t="str">
        <f>Clothing!C337</f>
        <v>EU</v>
      </c>
      <c r="D1325" s="823" t="str">
        <f>Clothing!D337</f>
        <v>OTHER</v>
      </c>
      <c r="E1325" s="69">
        <f>Clothing!E337</f>
        <v>3.8693271202292338E-3</v>
      </c>
      <c r="F1325" s="823">
        <f>Clothing!F337</f>
        <v>2</v>
      </c>
      <c r="G1325" s="69" t="str">
        <f>Clothing!G337</f>
        <v>https://ec.europa.eu/eurostat/databrowser/view/DS-056120__custom_15192557/default/table?lang=en - Low estimate</v>
      </c>
      <c r="H1325" s="1188"/>
      <c r="I1325" s="307">
        <f>Clothing!I337</f>
        <v>1</v>
      </c>
      <c r="J1325" s="307">
        <f>Clothing!J337</f>
        <v>1</v>
      </c>
      <c r="K1325" s="307">
        <f>Clothing!K337</f>
        <v>2</v>
      </c>
      <c r="L1325" s="307">
        <f>Clothing!L337</f>
        <v>2</v>
      </c>
      <c r="M1325" s="307">
        <f>Clothing!M337</f>
        <v>2</v>
      </c>
      <c r="N1325" s="616" t="str">
        <f>IF( OR( ISBLANK(H1325),ISBLANK(J1325), ISBLANK(K1325), ISBLANK(L1325), ISBLANK(M1325) ), "", 1.5*SQRT(   EXP(2.21*(H1325-1)) + EXP(2.21*(J1325-1)) + EXP(2.21*(K1325-1)) + EXP(2.21*(L1325-1)) + EXP(2.21*M1325)   )/100*2.45 )</f>
        <v/>
      </c>
      <c r="O1325" s="1282">
        <f>IF( OR( ISBLANK(I1325),ISBLANK(J1325), ISBLANK(K1325), ISBLANK(L1325), ISBLANK(M1325) ), "", 1.5*SQRT( EXP(2.21*(I1325-1)) + EXP(2.21*(J1325-1)) + EXP(2.21*(K1325-1)) + EXP(2.21*(L1325-1)) + EXP(2.21*M1325)   )/100*2.45 )</f>
        <v>0.37356464144298934</v>
      </c>
      <c r="P1325" s="68"/>
    </row>
    <row r="1326" spans="1:16">
      <c r="A1326" s="68" t="str">
        <f>Clothing!A338</f>
        <v>Transport of primary plastics</v>
      </c>
      <c r="B1326" s="304" t="str">
        <f>Clothing!B338</f>
        <v>Manufacturing of clothing</v>
      </c>
      <c r="C1326" s="69" t="str">
        <f>Clothing!C338</f>
        <v>EU</v>
      </c>
      <c r="D1326" s="823" t="str">
        <f>Clothing!D338</f>
        <v>PA</v>
      </c>
      <c r="E1326" s="69">
        <f>Clothing!E338</f>
        <v>3.3558127325299704E-2</v>
      </c>
      <c r="F1326" s="823">
        <f>Clothing!F338</f>
        <v>2</v>
      </c>
      <c r="G1326" s="69" t="str">
        <f>Clothing!G338</f>
        <v>https://ec.europa.eu/eurostat/databrowser/view/DS-056120__custom_15192557/default/table?lang=en - Low estimate</v>
      </c>
      <c r="H1326" s="1188"/>
      <c r="I1326" s="307">
        <f>Clothing!I338</f>
        <v>1</v>
      </c>
      <c r="J1326" s="307">
        <f>Clothing!J338</f>
        <v>1</v>
      </c>
      <c r="K1326" s="307">
        <f>Clothing!K338</f>
        <v>2</v>
      </c>
      <c r="L1326" s="307">
        <f>Clothing!L338</f>
        <v>2</v>
      </c>
      <c r="M1326" s="307">
        <f>Clothing!M338</f>
        <v>2</v>
      </c>
      <c r="N1326" s="616" t="str">
        <f>IF( OR( ISBLANK(H1326),ISBLANK(J1326), ISBLANK(K1326), ISBLANK(L1326), ISBLANK(M1326) ), "", 1.5*SQRT(   EXP(2.21*(H1326-1)) + EXP(2.21*(J1326-1)) + EXP(2.21*(K1326-1)) + EXP(2.21*(L1326-1)) + EXP(2.21*M1326)   )/100*2.45 )</f>
        <v/>
      </c>
      <c r="O1326" s="1282">
        <f>IF( OR( ISBLANK(I1326),ISBLANK(J1326), ISBLANK(K1326), ISBLANK(L1326), ISBLANK(M1326) ), "", 1.5*SQRT( EXP(2.21*(I1326-1)) + EXP(2.21*(J1326-1)) + EXP(2.21*(K1326-1)) + EXP(2.21*(L1326-1)) + EXP(2.21*M1326)   )/100*2.45 )</f>
        <v>0.37356464144298934</v>
      </c>
      <c r="P1326" s="68"/>
    </row>
    <row r="1327" spans="1:16">
      <c r="A1327" s="68" t="str">
        <f>Clothing!A339</f>
        <v>Transport of primary plastics</v>
      </c>
      <c r="B1327" s="304" t="str">
        <f>Clothing!B339</f>
        <v>Manufacturing of clothing</v>
      </c>
      <c r="C1327" s="69" t="str">
        <f>Clothing!C339</f>
        <v>EU</v>
      </c>
      <c r="D1327" s="823" t="str">
        <f>Clothing!D339</f>
        <v>PET</v>
      </c>
      <c r="E1327" s="69">
        <f>Clothing!E339</f>
        <v>6.6909027236088423E-2</v>
      </c>
      <c r="F1327" s="823">
        <f>Clothing!F339</f>
        <v>2</v>
      </c>
      <c r="G1327" s="69" t="str">
        <f>Clothing!G339</f>
        <v>https://ec.europa.eu/eurostat/databrowser/view/DS-056120__custom_15192557/default/table?lang=en - Low estimate</v>
      </c>
      <c r="H1327" s="1188"/>
      <c r="I1327" s="307">
        <f>Clothing!I339</f>
        <v>1</v>
      </c>
      <c r="J1327" s="307">
        <f>Clothing!J339</f>
        <v>1</v>
      </c>
      <c r="K1327" s="307">
        <f>Clothing!K339</f>
        <v>2</v>
      </c>
      <c r="L1327" s="307">
        <f>Clothing!L339</f>
        <v>2</v>
      </c>
      <c r="M1327" s="307">
        <f>Clothing!M339</f>
        <v>2</v>
      </c>
      <c r="N1327" s="616" t="str">
        <f>IF( OR( ISBLANK(H1327),ISBLANK(J1327), ISBLANK(K1327), ISBLANK(L1327), ISBLANK(M1327) ), "", 1.5*SQRT(   EXP(2.21*(H1327-1)) + EXP(2.21*(J1327-1)) + EXP(2.21*(K1327-1)) + EXP(2.21*(L1327-1)) + EXP(2.21*M1327)   )/100*2.45 )</f>
        <v/>
      </c>
      <c r="O1327" s="1282">
        <f>IF( OR( ISBLANK(I1327),ISBLANK(J1327), ISBLANK(K1327), ISBLANK(L1327), ISBLANK(M1327) ), "", 1.5*SQRT( EXP(2.21*(I1327-1)) + EXP(2.21*(J1327-1)) + EXP(2.21*(K1327-1)) + EXP(2.21*(L1327-1)) + EXP(2.21*M1327)   )/100*2.45 )</f>
        <v>0.37356464144298934</v>
      </c>
      <c r="P1327" s="68"/>
    </row>
    <row r="1328" spans="1:16">
      <c r="A1328" s="68" t="str">
        <f>Clothing!A340</f>
        <v>Transport of primary plastics</v>
      </c>
      <c r="B1328" s="304" t="str">
        <f>Clothing!B340</f>
        <v>Manufacturing of clothing</v>
      </c>
      <c r="C1328" s="69" t="str">
        <f>Clothing!C340</f>
        <v>EU</v>
      </c>
      <c r="D1328" s="823" t="str">
        <f>Clothing!D340</f>
        <v>PUR</v>
      </c>
      <c r="E1328" s="69">
        <f>Clothing!E340</f>
        <v>2.2222566857895358E-2</v>
      </c>
      <c r="F1328" s="823">
        <f>Clothing!F340</f>
        <v>2</v>
      </c>
      <c r="G1328" s="69" t="str">
        <f>Clothing!G340</f>
        <v>https://ec.europa.eu/eurostat/databrowser/view/DS-056120__custom_15192557/default/table?lang=en - Low estimate</v>
      </c>
      <c r="H1328" s="1188"/>
      <c r="I1328" s="307">
        <f>Clothing!I340</f>
        <v>1</v>
      </c>
      <c r="J1328" s="307">
        <f>Clothing!J340</f>
        <v>1</v>
      </c>
      <c r="K1328" s="307">
        <f>Clothing!K340</f>
        <v>2</v>
      </c>
      <c r="L1328" s="307">
        <f>Clothing!L340</f>
        <v>2</v>
      </c>
      <c r="M1328" s="307">
        <f>Clothing!M340</f>
        <v>2</v>
      </c>
      <c r="N1328" s="616" t="str">
        <f>IF( OR( ISBLANK(H1328),ISBLANK(J1328), ISBLANK(K1328), ISBLANK(L1328), ISBLANK(M1328) ), "", 1.5*SQRT(   EXP(2.21*(H1328-1)) + EXP(2.21*(J1328-1)) + EXP(2.21*(K1328-1)) + EXP(2.21*(L1328-1)) + EXP(2.21*M1328)   )/100*2.45 )</f>
        <v/>
      </c>
      <c r="O1328" s="1282">
        <f>IF( OR( ISBLANK(I1328),ISBLANK(J1328), ISBLANK(K1328), ISBLANK(L1328), ISBLANK(M1328) ), "", 1.5*SQRT( EXP(2.21*(I1328-1)) + EXP(2.21*(J1328-1)) + EXP(2.21*(K1328-1)) + EXP(2.21*(L1328-1)) + EXP(2.21*M1328)   )/100*2.45 )</f>
        <v>0.37356464144298934</v>
      </c>
      <c r="P1328" s="68"/>
    </row>
    <row r="1329" spans="1:16">
      <c r="A1329" s="68" t="str">
        <f>Clothing!A341</f>
        <v>Transport of primary plastics</v>
      </c>
      <c r="B1329" s="304" t="str">
        <f>Clothing!B341</f>
        <v>Manufacturing of clothing</v>
      </c>
      <c r="C1329" s="69" t="str">
        <f>Clothing!C341</f>
        <v>EU</v>
      </c>
      <c r="D1329" s="823" t="str">
        <f>Clothing!D341</f>
        <v>PVC</v>
      </c>
      <c r="E1329" s="69">
        <f>Clothing!E341</f>
        <v>6.0053267152829484E-3</v>
      </c>
      <c r="F1329" s="823">
        <f>Clothing!F341</f>
        <v>2</v>
      </c>
      <c r="G1329" s="69" t="str">
        <f>Clothing!G341</f>
        <v>https://ec.europa.eu/eurostat/databrowser/view/DS-056120__custom_15192557/default/table?lang=en - Low estimate</v>
      </c>
      <c r="H1329" s="1188"/>
      <c r="I1329" s="307">
        <f>Clothing!I341</f>
        <v>1</v>
      </c>
      <c r="J1329" s="307">
        <f>Clothing!J341</f>
        <v>1</v>
      </c>
      <c r="K1329" s="307">
        <f>Clothing!K341</f>
        <v>2</v>
      </c>
      <c r="L1329" s="307">
        <f>Clothing!L341</f>
        <v>2</v>
      </c>
      <c r="M1329" s="307">
        <f>Clothing!M341</f>
        <v>2</v>
      </c>
      <c r="N1329" s="616" t="str">
        <f>IF( OR( ISBLANK(H1329),ISBLANK(J1329), ISBLANK(K1329), ISBLANK(L1329), ISBLANK(M1329) ), "", 1.5*SQRT(   EXP(2.21*(H1329-1)) + EXP(2.21*(J1329-1)) + EXP(2.21*(K1329-1)) + EXP(2.21*(L1329-1)) + EXP(2.21*M1329)   )/100*2.45 )</f>
        <v/>
      </c>
      <c r="O1329" s="1282">
        <f>IF( OR( ISBLANK(I1329),ISBLANK(J1329), ISBLANK(K1329), ISBLANK(L1329), ISBLANK(M1329) ), "", 1.5*SQRT( EXP(2.21*(I1329-1)) + EXP(2.21*(J1329-1)) + EXP(2.21*(K1329-1)) + EXP(2.21*(L1329-1)) + EXP(2.21*M1329)   )/100*2.45 )</f>
        <v>0.37356464144298934</v>
      </c>
      <c r="P1329" s="68"/>
    </row>
    <row r="1330" spans="1:16">
      <c r="A1330" s="68" t="str">
        <f>Clothing!A342</f>
        <v>Transport of primary plastics</v>
      </c>
      <c r="B1330" s="304" t="str">
        <f>Clothing!B342</f>
        <v>Manufacturing of clothing</v>
      </c>
      <c r="C1330" s="69" t="str">
        <f>Clothing!C342</f>
        <v>EU</v>
      </c>
      <c r="D1330" s="823" t="str">
        <f>Clothing!D342</f>
        <v>OTHER</v>
      </c>
      <c r="E1330" s="69">
        <f>Clothing!E342</f>
        <v>4.5701636386757368E-3</v>
      </c>
      <c r="F1330" s="823">
        <f>Clothing!F342</f>
        <v>2</v>
      </c>
      <c r="G1330" s="69" t="str">
        <f>Clothing!G342</f>
        <v>https://ec.europa.eu/eurostat/databrowser/view/DS-056120__custom_15192557/default/table?lang=en - High estimate</v>
      </c>
      <c r="H1330" s="1188"/>
      <c r="I1330" s="307">
        <f>Clothing!I342</f>
        <v>1</v>
      </c>
      <c r="J1330" s="307">
        <f>Clothing!J342</f>
        <v>1</v>
      </c>
      <c r="K1330" s="307">
        <f>Clothing!K342</f>
        <v>2</v>
      </c>
      <c r="L1330" s="307">
        <f>Clothing!L342</f>
        <v>2</v>
      </c>
      <c r="M1330" s="307">
        <f>Clothing!M342</f>
        <v>2</v>
      </c>
      <c r="N1330" s="616" t="str">
        <f>IF( OR( ISBLANK(H1330),ISBLANK(J1330), ISBLANK(K1330), ISBLANK(L1330), ISBLANK(M1330) ), "", 1.5*SQRT(   EXP(2.21*(H1330-1)) + EXP(2.21*(J1330-1)) + EXP(2.21*(K1330-1)) + EXP(2.21*(L1330-1)) + EXP(2.21*M1330)   )/100*2.45 )</f>
        <v/>
      </c>
      <c r="O1330" s="1282">
        <f>IF( OR( ISBLANK(I1330),ISBLANK(J1330), ISBLANK(K1330), ISBLANK(L1330), ISBLANK(M1330) ), "", 1.5*SQRT( EXP(2.21*(I1330-1)) + EXP(2.21*(J1330-1)) + EXP(2.21*(K1330-1)) + EXP(2.21*(L1330-1)) + EXP(2.21*M1330)   )/100*2.45 )</f>
        <v>0.37356464144298934</v>
      </c>
      <c r="P1330" s="68"/>
    </row>
    <row r="1331" spans="1:16">
      <c r="A1331" s="68" t="str">
        <f>Clothing!A343</f>
        <v>Transport of primary plastics</v>
      </c>
      <c r="B1331" s="304" t="str">
        <f>Clothing!B343</f>
        <v>Manufacturing of clothing</v>
      </c>
      <c r="C1331" s="69" t="str">
        <f>Clothing!C343</f>
        <v>EU</v>
      </c>
      <c r="D1331" s="823" t="str">
        <f>Clothing!D343</f>
        <v>PA</v>
      </c>
      <c r="E1331" s="69">
        <f>Clothing!E343</f>
        <v>3.9636383412072262E-2</v>
      </c>
      <c r="F1331" s="823">
        <f>Clothing!F343</f>
        <v>2</v>
      </c>
      <c r="G1331" s="69" t="str">
        <f>Clothing!G343</f>
        <v>https://ec.europa.eu/eurostat/databrowser/view/DS-056120__custom_15192557/default/table?lang=en - High estimate</v>
      </c>
      <c r="H1331" s="1188"/>
      <c r="I1331" s="307">
        <f>Clothing!I343</f>
        <v>1</v>
      </c>
      <c r="J1331" s="307">
        <f>Clothing!J343</f>
        <v>1</v>
      </c>
      <c r="K1331" s="307">
        <f>Clothing!K343</f>
        <v>2</v>
      </c>
      <c r="L1331" s="307">
        <f>Clothing!L343</f>
        <v>2</v>
      </c>
      <c r="M1331" s="307">
        <f>Clothing!M343</f>
        <v>2</v>
      </c>
      <c r="N1331" s="616" t="str">
        <f>IF( OR( ISBLANK(H1331),ISBLANK(J1331), ISBLANK(K1331), ISBLANK(L1331), ISBLANK(M1331) ), "", 1.5*SQRT(   EXP(2.21*(H1331-1)) + EXP(2.21*(J1331-1)) + EXP(2.21*(K1331-1)) + EXP(2.21*(L1331-1)) + EXP(2.21*M1331)   )/100*2.45 )</f>
        <v/>
      </c>
      <c r="O1331" s="1282">
        <f>IF( OR( ISBLANK(I1331),ISBLANK(J1331), ISBLANK(K1331), ISBLANK(L1331), ISBLANK(M1331) ), "", 1.5*SQRT( EXP(2.21*(I1331-1)) + EXP(2.21*(J1331-1)) + EXP(2.21*(K1331-1)) + EXP(2.21*(L1331-1)) + EXP(2.21*M1331)   )/100*2.45 )</f>
        <v>0.37356464144298934</v>
      </c>
      <c r="P1331" s="68"/>
    </row>
    <row r="1332" spans="1:16">
      <c r="A1332" s="68" t="str">
        <f>Clothing!A344</f>
        <v>Transport of primary plastics</v>
      </c>
      <c r="B1332" s="304" t="str">
        <f>Clothing!B344</f>
        <v>Manufacturing of clothing</v>
      </c>
      <c r="C1332" s="69" t="str">
        <f>Clothing!C344</f>
        <v>EU</v>
      </c>
      <c r="D1332" s="823" t="str">
        <f>Clothing!D344</f>
        <v>PET</v>
      </c>
      <c r="E1332" s="69">
        <f>Clothing!E344</f>
        <v>7.9028005095475098E-2</v>
      </c>
      <c r="F1332" s="823">
        <f>Clothing!F344</f>
        <v>2</v>
      </c>
      <c r="G1332" s="69" t="str">
        <f>Clothing!G344</f>
        <v>https://ec.europa.eu/eurostat/databrowser/view/DS-056120__custom_15192557/default/table?lang=en - High estimate</v>
      </c>
      <c r="H1332" s="1188"/>
      <c r="I1332" s="307">
        <f>Clothing!I344</f>
        <v>1</v>
      </c>
      <c r="J1332" s="307">
        <f>Clothing!J344</f>
        <v>1</v>
      </c>
      <c r="K1332" s="307">
        <f>Clothing!K344</f>
        <v>2</v>
      </c>
      <c r="L1332" s="307">
        <f>Clothing!L344</f>
        <v>2</v>
      </c>
      <c r="M1332" s="307">
        <f>Clothing!M344</f>
        <v>2</v>
      </c>
      <c r="N1332" s="616" t="str">
        <f>IF( OR( ISBLANK(H1332),ISBLANK(J1332), ISBLANK(K1332), ISBLANK(L1332), ISBLANK(M1332) ), "", 1.5*SQRT(   EXP(2.21*(H1332-1)) + EXP(2.21*(J1332-1)) + EXP(2.21*(K1332-1)) + EXP(2.21*(L1332-1)) + EXP(2.21*M1332)   )/100*2.45 )</f>
        <v/>
      </c>
      <c r="O1332" s="1282">
        <f>IF( OR( ISBLANK(I1332),ISBLANK(J1332), ISBLANK(K1332), ISBLANK(L1332), ISBLANK(M1332) ), "", 1.5*SQRT( EXP(2.21*(I1332-1)) + EXP(2.21*(J1332-1)) + EXP(2.21*(K1332-1)) + EXP(2.21*(L1332-1)) + EXP(2.21*M1332)   )/100*2.45 )</f>
        <v>0.37356464144298934</v>
      </c>
      <c r="P1332" s="68"/>
    </row>
    <row r="1333" spans="1:16">
      <c r="A1333" s="68" t="str">
        <f>Clothing!A345</f>
        <v>Transport of primary plastics</v>
      </c>
      <c r="B1333" s="304" t="str">
        <f>Clothing!B345</f>
        <v>Manufacturing of clothing</v>
      </c>
      <c r="C1333" s="69" t="str">
        <f>Clothing!C345</f>
        <v>EU</v>
      </c>
      <c r="D1333" s="823" t="str">
        <f>Clothing!D345</f>
        <v>PUR</v>
      </c>
      <c r="E1333" s="69">
        <f>Clothing!E345</f>
        <v>2.6247655950571849E-2</v>
      </c>
      <c r="F1333" s="823">
        <f>Clothing!F345</f>
        <v>2</v>
      </c>
      <c r="G1333" s="69" t="str">
        <f>Clothing!G345</f>
        <v>https://ec.europa.eu/eurostat/databrowser/view/DS-056120__custom_15192557/default/table?lang=en - High estimate</v>
      </c>
      <c r="H1333" s="1188"/>
      <c r="I1333" s="307">
        <f>Clothing!I345</f>
        <v>1</v>
      </c>
      <c r="J1333" s="307">
        <f>Clothing!J345</f>
        <v>1</v>
      </c>
      <c r="K1333" s="307">
        <f>Clothing!K345</f>
        <v>2</v>
      </c>
      <c r="L1333" s="307">
        <f>Clothing!L345</f>
        <v>2</v>
      </c>
      <c r="M1333" s="307">
        <f>Clothing!M345</f>
        <v>2</v>
      </c>
      <c r="N1333" s="616" t="str">
        <f>IF( OR( ISBLANK(H1333),ISBLANK(J1333), ISBLANK(K1333), ISBLANK(L1333), ISBLANK(M1333) ), "", 1.5*SQRT(   EXP(2.21*(H1333-1)) + EXP(2.21*(J1333-1)) + EXP(2.21*(K1333-1)) + EXP(2.21*(L1333-1)) + EXP(2.21*M1333)   )/100*2.45 )</f>
        <v/>
      </c>
      <c r="O1333" s="1282">
        <f>IF( OR( ISBLANK(I1333),ISBLANK(J1333), ISBLANK(K1333), ISBLANK(L1333), ISBLANK(M1333) ), "", 1.5*SQRT( EXP(2.21*(I1333-1)) + EXP(2.21*(J1333-1)) + EXP(2.21*(K1333-1)) + EXP(2.21*(L1333-1)) + EXP(2.21*M1333)   )/100*2.45 )</f>
        <v>0.37356464144298934</v>
      </c>
      <c r="P1333" s="68"/>
    </row>
    <row r="1334" spans="1:16">
      <c r="A1334" s="68" t="str">
        <f>Clothing!A346</f>
        <v>Transport of primary plastics</v>
      </c>
      <c r="B1334" s="304" t="str">
        <f>Clothing!B346</f>
        <v>Manufacturing of clothing</v>
      </c>
      <c r="C1334" s="69" t="str">
        <f>Clothing!C346</f>
        <v>EU</v>
      </c>
      <c r="D1334" s="823" t="str">
        <f>Clothing!D346</f>
        <v>PVC</v>
      </c>
      <c r="E1334" s="69">
        <f>Clothing!E346</f>
        <v>7.0930487239156351E-3</v>
      </c>
      <c r="F1334" s="823">
        <f>Clothing!F346</f>
        <v>2</v>
      </c>
      <c r="G1334" s="69" t="str">
        <f>Clothing!G346</f>
        <v>https://ec.europa.eu/eurostat/databrowser/view/DS-056120__custom_15192557/default/table?lang=en - High estimate</v>
      </c>
      <c r="H1334" s="1188"/>
      <c r="I1334" s="307">
        <f>Clothing!I346</f>
        <v>1</v>
      </c>
      <c r="J1334" s="307">
        <f>Clothing!J346</f>
        <v>1</v>
      </c>
      <c r="K1334" s="307">
        <f>Clothing!K346</f>
        <v>2</v>
      </c>
      <c r="L1334" s="307">
        <f>Clothing!L346</f>
        <v>2</v>
      </c>
      <c r="M1334" s="307">
        <f>Clothing!M346</f>
        <v>2</v>
      </c>
      <c r="N1334" s="616" t="str">
        <f>IF( OR( ISBLANK(H1334),ISBLANK(J1334), ISBLANK(K1334), ISBLANK(L1334), ISBLANK(M1334) ), "", 1.5*SQRT(   EXP(2.21*(H1334-1)) + EXP(2.21*(J1334-1)) + EXP(2.21*(K1334-1)) + EXP(2.21*(L1334-1)) + EXP(2.21*M1334)   )/100*2.45 )</f>
        <v/>
      </c>
      <c r="O1334" s="1282">
        <f>IF( OR( ISBLANK(I1334),ISBLANK(J1334), ISBLANK(K1334), ISBLANK(L1334), ISBLANK(M1334) ), "", 1.5*SQRT( EXP(2.21*(I1334-1)) + EXP(2.21*(J1334-1)) + EXP(2.21*(K1334-1)) + EXP(2.21*(L1334-1)) + EXP(2.21*M1334)   )/100*2.45 )</f>
        <v>0.37356464144298934</v>
      </c>
      <c r="P1334" s="68"/>
    </row>
    <row r="1335" spans="1:16">
      <c r="A1335" s="34" t="str">
        <f>Clothing!A499</f>
        <v>T-shirts</v>
      </c>
      <c r="B1335" s="40" t="str">
        <f>Clothing!B499</f>
        <v>Clothing washed (in use)</v>
      </c>
      <c r="C1335" s="34" t="str">
        <f>Clothing!C499</f>
        <v>any</v>
      </c>
      <c r="D1335" s="40" t="str">
        <f>Clothing!D499</f>
        <v>any</v>
      </c>
      <c r="E1335" s="34">
        <f>Clothing!E499</f>
        <v>1.3554814450000001E-2</v>
      </c>
      <c r="F1335" s="40">
        <f>Clothing!F499</f>
        <v>2</v>
      </c>
      <c r="G1335" s="34" t="str">
        <f>Clothing!G499</f>
        <v>Computed from wearing, washing, drying TCs</v>
      </c>
      <c r="H1335" s="1188">
        <f>Clothing!H499</f>
        <v>2</v>
      </c>
      <c r="I1335" s="307">
        <f>Clothing!I499</f>
        <v>2</v>
      </c>
      <c r="J1335" s="307">
        <f>Clothing!J499</f>
        <v>2</v>
      </c>
      <c r="K1335" s="307">
        <f>Clothing!K499</f>
        <v>2</v>
      </c>
      <c r="L1335" s="307">
        <f>Clothing!L499</f>
        <v>2</v>
      </c>
      <c r="M1335" s="307">
        <f>Clothing!M499</f>
        <v>2</v>
      </c>
      <c r="N1335" s="185">
        <f>IF( OR( ISBLANK(H1335),ISBLANK(J1335), ISBLANK(K1335), ISBLANK(L1335), ISBLANK(M1335) ), "", 1.5*SQRT(   EXP(2.21*(H1335-1)) + EXP(2.21*(J1335-1)) + EXP(2.21*(K1335-1)) + EXP(2.21*(L1335-1)) + EXP(2.21*M1335)   )/100*2.45 )</f>
        <v>0.40183591897512122</v>
      </c>
      <c r="O1335" s="159">
        <f>IF( OR( ISBLANK(I1335),ISBLANK(J1335), ISBLANK(K1335), ISBLANK(L1335), ISBLANK(M1335) ), "", 1.5*SQRT( EXP(2.21*(I1335-1)) + EXP(2.21*(J1335-1)) + EXP(2.21*(K1335-1)) + EXP(2.21*(L1335-1)) + EXP(2.21*M1335)   )/100*2.45 )</f>
        <v>0.40183591897512122</v>
      </c>
      <c r="P1335" s="973"/>
    </row>
    <row r="1336" spans="1:16">
      <c r="A1336" s="34" t="str">
        <f>Clothing!A500</f>
        <v>T-shirts</v>
      </c>
      <c r="B1336" s="40" t="str">
        <f>Clothing!B500</f>
        <v>Clothing washed (discarded)</v>
      </c>
      <c r="C1336" s="34" t="str">
        <f>Clothing!C500</f>
        <v>any</v>
      </c>
      <c r="D1336" s="40" t="str">
        <f>Clothing!D500</f>
        <v>any</v>
      </c>
      <c r="E1336" s="34" t="str">
        <f>Clothing!E500</f>
        <v>rest</v>
      </c>
      <c r="F1336" s="40">
        <f>Clothing!F500</f>
        <v>1</v>
      </c>
      <c r="G1336" s="34"/>
      <c r="H1336" s="1188"/>
      <c r="I1336" s="307"/>
      <c r="J1336" s="307"/>
      <c r="K1336" s="307"/>
      <c r="L1336" s="307"/>
      <c r="M1336" s="307"/>
      <c r="N1336" s="185"/>
      <c r="O1336" s="159"/>
      <c r="P1336" s="973"/>
    </row>
    <row r="1337" spans="1:16">
      <c r="A1337" s="34" t="s">
        <v>389</v>
      </c>
      <c r="B1337" s="40" t="s">
        <v>269</v>
      </c>
      <c r="C1337" s="34" t="s">
        <v>139</v>
      </c>
      <c r="D1337" s="40" t="s">
        <v>139</v>
      </c>
      <c r="E1337" s="1195">
        <v>0.51183800000000002</v>
      </c>
      <c r="F1337" s="40">
        <v>2</v>
      </c>
      <c r="G1337" s="34" t="s">
        <v>390</v>
      </c>
      <c r="H1337" s="29">
        <v>1</v>
      </c>
      <c r="I1337" s="9">
        <v>1</v>
      </c>
      <c r="J1337" s="9">
        <v>1</v>
      </c>
      <c r="K1337" s="9">
        <v>1</v>
      </c>
      <c r="L1337" s="9">
        <v>1</v>
      </c>
      <c r="M1337" s="9">
        <v>1</v>
      </c>
      <c r="N1337" s="185">
        <f>IF( OR( ISBLANK(H1337),ISBLANK(J1337), ISBLANK(K1337), ISBLANK(L1337), ISBLANK(M1337) ), "", 1.5*SQRT(   EXP(2.21*(H1337-1)) + EXP(2.21*(J1337-1)) + EXP(2.21*(K1337-1)) + EXP(2.21*(L1337-1)) + EXP(2.21*M1337)   )/100*2.45 )</f>
        <v>0.13309242924026707</v>
      </c>
      <c r="O1337" s="159">
        <f>IF( OR( ISBLANK(I1337),ISBLANK(J1337), ISBLANK(K1337), ISBLANK(L1337), ISBLANK(M1337) ), "", 1.5*SQRT( EXP(2.21*(I1337-1)) + EXP(2.21*(J1337-1)) + EXP(2.21*(K1337-1)) + EXP(2.21*(L1337-1)) + EXP(2.21*M1337)   )/100*2.45 )</f>
        <v>0.13309242924026707</v>
      </c>
      <c r="P1337" s="973"/>
    </row>
    <row r="1338" spans="1:16">
      <c r="A1338" s="34" t="s">
        <v>389</v>
      </c>
      <c r="B1338" s="40" t="s">
        <v>388</v>
      </c>
      <c r="C1338" s="34" t="s">
        <v>139</v>
      </c>
      <c r="D1338" s="40" t="s">
        <v>139</v>
      </c>
      <c r="E1338" s="1195">
        <v>0.23042099999999999</v>
      </c>
      <c r="F1338" s="40">
        <v>1</v>
      </c>
      <c r="G1338" s="34" t="s">
        <v>390</v>
      </c>
      <c r="H1338" s="29">
        <v>1</v>
      </c>
      <c r="I1338" s="9">
        <v>1</v>
      </c>
      <c r="J1338" s="9">
        <v>1</v>
      </c>
      <c r="K1338" s="9">
        <v>1</v>
      </c>
      <c r="L1338" s="9">
        <v>1</v>
      </c>
      <c r="M1338" s="9">
        <v>1</v>
      </c>
      <c r="N1338" s="185">
        <f>IF( OR( ISBLANK(H1338),ISBLANK(J1338), ISBLANK(K1338), ISBLANK(L1338), ISBLANK(M1338) ), "", 1.5*SQRT(   EXP(2.21*(H1338-1)) + EXP(2.21*(J1338-1)) + EXP(2.21*(K1338-1)) + EXP(2.21*(L1338-1)) + EXP(2.21*M1338)   )/100*2.45 )</f>
        <v>0.13309242924026707</v>
      </c>
      <c r="O1338" s="159">
        <f>IF( OR( ISBLANK(I1338),ISBLANK(J1338), ISBLANK(K1338), ISBLANK(L1338), ISBLANK(M1338) ), "", 1.5*SQRT( EXP(2.21*(I1338-1)) + EXP(2.21*(J1338-1)) + EXP(2.21*(K1338-1)) + EXP(2.21*(L1338-1)) + EXP(2.21*M1338)   )/100*2.45 )</f>
        <v>0.13309242924026707</v>
      </c>
      <c r="P1338" s="973"/>
    </row>
    <row r="1339" spans="1:16">
      <c r="A1339" s="34" t="s">
        <v>389</v>
      </c>
      <c r="B1339" s="40" t="s">
        <v>391</v>
      </c>
      <c r="C1339" s="34" t="s">
        <v>139</v>
      </c>
      <c r="D1339" s="40" t="s">
        <v>139</v>
      </c>
      <c r="E1339" s="1195">
        <v>0.257741</v>
      </c>
      <c r="F1339" s="40">
        <v>2</v>
      </c>
      <c r="G1339" s="34" t="s">
        <v>390</v>
      </c>
      <c r="H1339" s="29">
        <v>1</v>
      </c>
      <c r="I1339" s="9">
        <v>1</v>
      </c>
      <c r="J1339" s="9">
        <v>1</v>
      </c>
      <c r="K1339" s="9">
        <v>1</v>
      </c>
      <c r="L1339" s="9">
        <v>1</v>
      </c>
      <c r="M1339" s="9">
        <v>1</v>
      </c>
      <c r="N1339" s="185">
        <f>IF( OR( ISBLANK(H1339),ISBLANK(J1339), ISBLANK(K1339), ISBLANK(L1339), ISBLANK(M1339) ), "", 1.5*SQRT(   EXP(2.21*(H1339-1)) + EXP(2.21*(J1339-1)) + EXP(2.21*(K1339-1)) + EXP(2.21*(L1339-1)) + EXP(2.21*M1339)   )/100*2.45 )</f>
        <v>0.13309242924026707</v>
      </c>
      <c r="O1339" s="159">
        <f>IF( OR( ISBLANK(I1339),ISBLANK(J1339), ISBLANK(K1339), ISBLANK(L1339), ISBLANK(M1339) ), "", 1.5*SQRT( EXP(2.21*(I1339-1)) + EXP(2.21*(J1339-1)) + EXP(2.21*(K1339-1)) + EXP(2.21*(L1339-1)) + EXP(2.21*M1339)   )/100*2.45 )</f>
        <v>0.13309242924026707</v>
      </c>
      <c r="P1339" s="973"/>
    </row>
    <row r="1340" spans="1:16">
      <c r="A1340" s="34" t="str">
        <f>Clothing!A501</f>
        <v>Underwear</v>
      </c>
      <c r="B1340" s="40" t="str">
        <f>Clothing!B501</f>
        <v>Clothing washed (in use)</v>
      </c>
      <c r="C1340" s="34" t="str">
        <f>Clothing!C501</f>
        <v>any</v>
      </c>
      <c r="D1340" s="40" t="str">
        <f>Clothing!D501</f>
        <v>any</v>
      </c>
      <c r="E1340" s="34">
        <f>Clothing!E501</f>
        <v>1.3554814450000001E-2</v>
      </c>
      <c r="F1340" s="40">
        <f>Clothing!F501</f>
        <v>2</v>
      </c>
      <c r="G1340" s="34" t="str">
        <f>Clothing!G501</f>
        <v>Computed from wearing, washing, drying TCs</v>
      </c>
      <c r="H1340" s="1188">
        <f>Clothing!H501</f>
        <v>2</v>
      </c>
      <c r="I1340" s="307">
        <f>Clothing!I501</f>
        <v>2</v>
      </c>
      <c r="J1340" s="307">
        <f>Clothing!J501</f>
        <v>2</v>
      </c>
      <c r="K1340" s="307">
        <f>Clothing!K501</f>
        <v>2</v>
      </c>
      <c r="L1340" s="307">
        <f>Clothing!L501</f>
        <v>2</v>
      </c>
      <c r="M1340" s="307">
        <f>Clothing!M501</f>
        <v>2</v>
      </c>
      <c r="N1340" s="185">
        <f>IF( OR( ISBLANK(H1340),ISBLANK(J1340), ISBLANK(K1340), ISBLANK(L1340), ISBLANK(M1340) ), "", 1.5*SQRT(   EXP(2.21*(H1340-1)) + EXP(2.21*(J1340-1)) + EXP(2.21*(K1340-1)) + EXP(2.21*(L1340-1)) + EXP(2.21*M1340)   )/100*2.45 )</f>
        <v>0.40183591897512122</v>
      </c>
      <c r="O1340" s="159">
        <f>IF( OR( ISBLANK(I1340),ISBLANK(J1340), ISBLANK(K1340), ISBLANK(L1340), ISBLANK(M1340) ), "", 1.5*SQRT( EXP(2.21*(I1340-1)) + EXP(2.21*(J1340-1)) + EXP(2.21*(K1340-1)) + EXP(2.21*(L1340-1)) + EXP(2.21*M1340)   )/100*2.45 )</f>
        <v>0.40183591897512122</v>
      </c>
      <c r="P1340" s="973"/>
    </row>
    <row r="1341" spans="1:16">
      <c r="A1341" s="34" t="str">
        <f>Clothing!A502</f>
        <v>Underwear</v>
      </c>
      <c r="B1341" s="40" t="str">
        <f>Clothing!B502</f>
        <v>Clothing washed (discarded)</v>
      </c>
      <c r="C1341" s="34" t="str">
        <f>Clothing!C502</f>
        <v>any</v>
      </c>
      <c r="D1341" s="40" t="str">
        <f>Clothing!D502</f>
        <v>any</v>
      </c>
      <c r="E1341" s="34" t="str">
        <f>Clothing!E502</f>
        <v>rest</v>
      </c>
      <c r="F1341" s="40">
        <f>Clothing!F502</f>
        <v>1</v>
      </c>
      <c r="G1341" s="34"/>
      <c r="H1341" s="1188"/>
      <c r="I1341" s="307"/>
      <c r="J1341" s="307"/>
      <c r="K1341" s="307"/>
      <c r="L1341" s="307"/>
      <c r="M1341" s="307"/>
      <c r="N1341" s="185" t="str">
        <f>IF( OR( ISBLANK(H1341),ISBLANK(J1341), ISBLANK(K1341), ISBLANK(L1341), ISBLANK(M1341) ), "", 1.5*SQRT(   EXP(2.21*(H1341-1)) + EXP(2.21*(J1341-1)) + EXP(2.21*(K1341-1)) + EXP(2.21*(L1341-1)) + EXP(2.21*M1341)   )/100*2.45 )</f>
        <v/>
      </c>
      <c r="O1341" s="159" t="str">
        <f>IF( OR( ISBLANK(I1341),ISBLANK(J1341), ISBLANK(K1341), ISBLANK(L1341), ISBLANK(M1341) ), "", 1.5*SQRT( EXP(2.21*(I1341-1)) + EXP(2.21*(J1341-1)) + EXP(2.21*(K1341-1)) + EXP(2.21*(L1341-1)) + EXP(2.21*M1341)   )/100*2.45 )</f>
        <v/>
      </c>
      <c r="P1341" s="973"/>
    </row>
    <row r="1342" spans="1:16">
      <c r="A1342" s="34" t="s">
        <v>391</v>
      </c>
      <c r="B1342" s="40" t="s">
        <v>294</v>
      </c>
      <c r="C1342" s="34" t="s">
        <v>139</v>
      </c>
      <c r="D1342" s="40" t="s">
        <v>139</v>
      </c>
      <c r="E1342" s="55">
        <v>0.1</v>
      </c>
      <c r="F1342" s="168">
        <v>2</v>
      </c>
      <c r="G1342" s="34" t="s">
        <v>295</v>
      </c>
      <c r="H1342" s="29">
        <v>2</v>
      </c>
      <c r="I1342" s="9">
        <v>2</v>
      </c>
      <c r="J1342" s="9">
        <v>2</v>
      </c>
      <c r="K1342" s="9">
        <v>2</v>
      </c>
      <c r="L1342" s="9">
        <v>1</v>
      </c>
      <c r="M1342" s="9">
        <v>1</v>
      </c>
      <c r="N1342" s="185">
        <f>IF( OR( ISBLANK(H1342),ISBLANK(J1342), ISBLANK(K1342), ISBLANK(L1342), ISBLANK(M1342) ), "", 1.5*SQRT(   EXP(2.21*(H1342-1)) + EXP(2.21*(J1342-1)) + EXP(2.21*(K1342-1)) + EXP(2.21*(L1342-1)) + EXP(2.21*M1342)   )/100*2.45 )</f>
        <v>0.2249354160293616</v>
      </c>
      <c r="O1342" s="159">
        <f>IF( OR( ISBLANK(I1342),ISBLANK(J1342), ISBLANK(K1342), ISBLANK(L1342), ISBLANK(M1342) ), "", 1.5*SQRT( EXP(2.21*(I1342-1)) + EXP(2.21*(J1342-1)) + EXP(2.21*(K1342-1)) + EXP(2.21*(L1342-1)) + EXP(2.21*M1342)   )/100*2.45 )</f>
        <v>0.2249354160293616</v>
      </c>
      <c r="P1342" s="973"/>
    </row>
    <row r="1343" spans="1:16">
      <c r="A1343" s="34" t="s">
        <v>391</v>
      </c>
      <c r="B1343" s="40" t="s">
        <v>294</v>
      </c>
      <c r="C1343" s="34" t="s">
        <v>139</v>
      </c>
      <c r="D1343" s="40" t="s">
        <v>139</v>
      </c>
      <c r="E1343" s="55">
        <v>0.02</v>
      </c>
      <c r="F1343" s="168">
        <v>2</v>
      </c>
      <c r="G1343" s="34" t="s">
        <v>295</v>
      </c>
      <c r="H1343" s="29">
        <v>2</v>
      </c>
      <c r="I1343" s="9">
        <v>2</v>
      </c>
      <c r="J1343" s="9">
        <v>2</v>
      </c>
      <c r="K1343" s="9">
        <v>2</v>
      </c>
      <c r="L1343" s="9">
        <v>1</v>
      </c>
      <c r="M1343" s="9">
        <v>1</v>
      </c>
      <c r="N1343" s="185">
        <f>IF( OR( ISBLANK(H1343),ISBLANK(J1343), ISBLANK(K1343), ISBLANK(L1343), ISBLANK(M1343) ), "", 1.5*SQRT(   EXP(2.21*(H1343-1)) + EXP(2.21*(J1343-1)) + EXP(2.21*(K1343-1)) + EXP(2.21*(L1343-1)) + EXP(2.21*M1343)   )/100*2.45 )</f>
        <v>0.2249354160293616</v>
      </c>
      <c r="O1343" s="159">
        <f>IF( OR( ISBLANK(I1343),ISBLANK(J1343), ISBLANK(K1343), ISBLANK(L1343), ISBLANK(M1343) ), "", 1.5*SQRT( EXP(2.21*(I1343-1)) + EXP(2.21*(J1343-1)) + EXP(2.21*(K1343-1)) + EXP(2.21*(L1343-1)) + EXP(2.21*M1343)   )/100*2.45 )</f>
        <v>0.2249354160293616</v>
      </c>
      <c r="P1343" s="973"/>
    </row>
    <row r="1344" spans="1:16">
      <c r="A1344" s="34" t="s">
        <v>391</v>
      </c>
      <c r="B1344" s="40" t="s">
        <v>387</v>
      </c>
      <c r="C1344" s="34" t="s">
        <v>139</v>
      </c>
      <c r="D1344" s="40" t="s">
        <v>139</v>
      </c>
      <c r="E1344" s="55" t="s">
        <v>150</v>
      </c>
      <c r="F1344" s="168">
        <v>1</v>
      </c>
      <c r="G1344" s="34"/>
      <c r="H1344" s="29"/>
      <c r="I1344" s="9"/>
      <c r="J1344" s="9"/>
      <c r="K1344" s="9"/>
      <c r="L1344" s="9"/>
      <c r="M1344" s="9"/>
      <c r="N1344" s="185" t="str">
        <f>IF( OR( ISBLANK(H1344),ISBLANK(J1344), ISBLANK(K1344), ISBLANK(L1344), ISBLANK(M1344) ), "", 1.5*SQRT(   EXP(2.21*(H1344-1)) + EXP(2.21*(J1344-1)) + EXP(2.21*(K1344-1)) + EXP(2.21*(L1344-1)) + EXP(2.21*M1344)   )/100*2.45 )</f>
        <v/>
      </c>
      <c r="O1344" s="159" t="str">
        <f>IF( OR( ISBLANK(I1344),ISBLANK(J1344), ISBLANK(K1344), ISBLANK(L1344), ISBLANK(M1344) ), "", 1.5*SQRT( EXP(2.21*(I1344-1)) + EXP(2.21*(J1344-1)) + EXP(2.21*(K1344-1)) + EXP(2.21*(L1344-1)) + EXP(2.21*M1344)   )/100*2.45 )</f>
        <v/>
      </c>
      <c r="P1344" s="973"/>
    </row>
    <row r="1345" spans="1:16">
      <c r="A1345" s="34" t="s">
        <v>391</v>
      </c>
      <c r="B1345" s="40" t="s">
        <v>231</v>
      </c>
      <c r="C1345" s="34" t="s">
        <v>139</v>
      </c>
      <c r="D1345" s="40" t="s">
        <v>139</v>
      </c>
      <c r="E1345" s="55">
        <v>0.05</v>
      </c>
      <c r="F1345" s="168">
        <v>2</v>
      </c>
      <c r="G1345" s="34" t="s">
        <v>276</v>
      </c>
      <c r="H1345" s="29">
        <v>1</v>
      </c>
      <c r="I1345" s="9">
        <v>2</v>
      </c>
      <c r="J1345" s="9">
        <v>1</v>
      </c>
      <c r="K1345" s="9">
        <v>1</v>
      </c>
      <c r="L1345" s="9">
        <v>2</v>
      </c>
      <c r="M1345" s="9">
        <v>3</v>
      </c>
      <c r="N1345" s="185">
        <f>IF( OR( ISBLANK(H1345),ISBLANK(J1345), ISBLANK(K1345), ISBLANK(L1345), ISBLANK(M1345) ), "", 1.5*SQRT(   EXP(2.21*(H1345-1)) + EXP(2.21*(J1345-1)) + EXP(2.21*(K1345-1)) + EXP(2.21*(L1345-1)) + EXP(2.21*M1345)   )/100*2.45 )</f>
        <v>1.0195048044558224</v>
      </c>
      <c r="O1345" s="159">
        <f>IF( OR( ISBLANK(I1345),ISBLANK(J1345), ISBLANK(K1345), ISBLANK(L1345), ISBLANK(M1345) ), "", 1.5*SQRT( EXP(2.21*(I1345-1)) + EXP(2.21*(J1345-1)) + EXP(2.21*(K1345-1)) + EXP(2.21*(L1345-1)) + EXP(2.21*M1345)   )/100*2.45 )</f>
        <v>1.0248662490928169</v>
      </c>
      <c r="P1345" s="973"/>
    </row>
    <row r="1346" spans="1:16">
      <c r="A1346" s="34" t="s">
        <v>391</v>
      </c>
      <c r="B1346" s="40" t="s">
        <v>231</v>
      </c>
      <c r="C1346" s="34" t="s">
        <v>139</v>
      </c>
      <c r="D1346" s="40" t="s">
        <v>139</v>
      </c>
      <c r="E1346" s="55">
        <v>0.1</v>
      </c>
      <c r="F1346" s="168">
        <v>2</v>
      </c>
      <c r="G1346" s="1189" t="s">
        <v>277</v>
      </c>
      <c r="H1346" s="29">
        <v>1</v>
      </c>
      <c r="I1346" s="9">
        <v>2</v>
      </c>
      <c r="J1346" s="9">
        <v>2</v>
      </c>
      <c r="K1346" s="9">
        <v>1</v>
      </c>
      <c r="L1346" s="9">
        <v>2</v>
      </c>
      <c r="M1346" s="9">
        <v>3</v>
      </c>
      <c r="N1346" s="185">
        <f>IF( OR( ISBLANK(H1346),ISBLANK(J1346), ISBLANK(K1346), ISBLANK(L1346), ISBLANK(M1346) ), "", 1.5*SQRT(   EXP(2.21*(H1346-1)) + EXP(2.21*(J1346-1)) + EXP(2.21*(K1346-1)) + EXP(2.21*(L1346-1)) + EXP(2.21*M1346)   )/100*2.45 )</f>
        <v>1.0248662490928169</v>
      </c>
      <c r="O1346" s="159">
        <f>IF( OR( ISBLANK(I1346),ISBLANK(J1346), ISBLANK(K1346), ISBLANK(L1346), ISBLANK(M1346) ), "", 1.5*SQRT( EXP(2.21*(I1346-1)) + EXP(2.21*(J1346-1)) + EXP(2.21*(K1346-1)) + EXP(2.21*(L1346-1)) + EXP(2.21*M1346)   )/100*2.45 )</f>
        <v>1.0301997916669636</v>
      </c>
      <c r="P1346" s="973"/>
    </row>
    <row r="1347" spans="1:16">
      <c r="A1347" s="34" t="s">
        <v>391</v>
      </c>
      <c r="B1347" s="40" t="s">
        <v>371</v>
      </c>
      <c r="C1347" s="34" t="s">
        <v>139</v>
      </c>
      <c r="D1347" s="40" t="s">
        <v>139</v>
      </c>
      <c r="E1347" s="55">
        <v>0.4</v>
      </c>
      <c r="F1347" s="168">
        <v>1</v>
      </c>
      <c r="G1347" s="34" t="s">
        <v>372</v>
      </c>
      <c r="H1347" s="29">
        <v>1</v>
      </c>
      <c r="I1347" s="9">
        <v>3</v>
      </c>
      <c r="J1347" s="9">
        <v>2</v>
      </c>
      <c r="K1347" s="9">
        <v>1</v>
      </c>
      <c r="L1347" s="9">
        <v>1</v>
      </c>
      <c r="M1347" s="9">
        <v>2</v>
      </c>
      <c r="N1347" s="185">
        <f>IF( OR( ISBLANK(H1347),ISBLANK(J1347), ISBLANK(K1347), ISBLANK(L1347), ISBLANK(M1347) ), "", 1.5*SQRT(   EXP(2.21*(H1347-1)) + EXP(2.21*(J1347-1)) + EXP(2.21*(K1347-1)) + EXP(2.21*(L1347-1)) + EXP(2.21*M1347)   )/100*2.45 )</f>
        <v>0.35859414261160716</v>
      </c>
      <c r="O1347" s="159">
        <f>IF( OR( ISBLANK(I1347),ISBLANK(J1347), ISBLANK(K1347), ISBLANK(L1347), ISBLANK(M1347) ), "", 1.5*SQRT( EXP(2.21*(I1347-1)) + EXP(2.21*(J1347-1)) + EXP(2.21*(K1347-1)) + EXP(2.21*(L1347-1)) + EXP(2.21*M1347)   )/100*2.45 )</f>
        <v>0.48935255543384243</v>
      </c>
      <c r="P1347" s="973"/>
    </row>
    <row r="1348" spans="1:16">
      <c r="A1348" s="59" t="s">
        <v>421</v>
      </c>
      <c r="B1348" s="336" t="s">
        <v>486</v>
      </c>
      <c r="C1348" s="34" t="s">
        <v>139</v>
      </c>
      <c r="D1348" s="40" t="s">
        <v>99</v>
      </c>
      <c r="E1348" s="237">
        <v>0</v>
      </c>
      <c r="F1348" s="40">
        <v>2</v>
      </c>
      <c r="G1348" s="34" t="s">
        <v>412</v>
      </c>
      <c r="H1348" s="29">
        <v>1</v>
      </c>
      <c r="I1348" s="9">
        <v>2</v>
      </c>
      <c r="J1348" s="9">
        <v>2</v>
      </c>
      <c r="K1348" s="9">
        <v>1</v>
      </c>
      <c r="L1348" s="9">
        <v>1</v>
      </c>
      <c r="M1348" s="9">
        <v>1</v>
      </c>
      <c r="N1348" s="185">
        <f>IF( OR( ISBLANK(H1348),ISBLANK(J1348), ISBLANK(K1348), ISBLANK(L1348), ISBLANK(M1348) ), "", 1.5*SQRT(   EXP(2.21*(H1348-1)) + EXP(2.21*(J1348-1)) + EXP(2.21*(K1348-1)) + EXP(2.21*(L1348-1)) + EXP(2.21*M1348)   )/100*2.45 )</f>
        <v>0.16933510251023262</v>
      </c>
      <c r="O1348" s="159">
        <f>IF( OR( ISBLANK(I1348),ISBLANK(J1348), ISBLANK(K1348), ISBLANK(L1348), ISBLANK(M1348) ), "", 1.5*SQRT( EXP(2.21*(I1348-1)) + EXP(2.21*(J1348-1)) + EXP(2.21*(K1348-1)) + EXP(2.21*(L1348-1)) + EXP(2.21*M1348)   )/100*2.45 )</f>
        <v>0.19908580854301616</v>
      </c>
      <c r="P1348" s="34" t="s">
        <v>856</v>
      </c>
    </row>
    <row r="1349" spans="1:16">
      <c r="A1349" s="59" t="s">
        <v>421</v>
      </c>
      <c r="B1349" s="336" t="s">
        <v>487</v>
      </c>
      <c r="C1349" s="34" t="s">
        <v>139</v>
      </c>
      <c r="D1349" s="40" t="s">
        <v>99</v>
      </c>
      <c r="E1349" s="237">
        <v>0.85</v>
      </c>
      <c r="F1349" s="40">
        <v>2</v>
      </c>
      <c r="G1349" s="34" t="s">
        <v>412</v>
      </c>
      <c r="H1349" s="29">
        <v>1</v>
      </c>
      <c r="I1349" s="9">
        <v>2</v>
      </c>
      <c r="J1349" s="9">
        <v>2</v>
      </c>
      <c r="K1349" s="9">
        <v>1</v>
      </c>
      <c r="L1349" s="9">
        <v>1</v>
      </c>
      <c r="M1349" s="9">
        <v>1</v>
      </c>
      <c r="N1349" s="185">
        <f>IF( OR( ISBLANK(H1349),ISBLANK(J1349), ISBLANK(K1349), ISBLANK(L1349), ISBLANK(M1349) ), "", 1.5*SQRT(   EXP(2.21*(H1349-1)) + EXP(2.21*(J1349-1)) + EXP(2.21*(K1349-1)) + EXP(2.21*(L1349-1)) + EXP(2.21*M1349)   )/100*2.45 )</f>
        <v>0.16933510251023262</v>
      </c>
      <c r="O1349" s="159">
        <f>IF( OR( ISBLANK(I1349),ISBLANK(J1349), ISBLANK(K1349), ISBLANK(L1349), ISBLANK(M1349) ), "", 1.5*SQRT( EXP(2.21*(I1349-1)) + EXP(2.21*(J1349-1)) + EXP(2.21*(K1349-1)) + EXP(2.21*(L1349-1)) + EXP(2.21*M1349)   )/100*2.45 )</f>
        <v>0.19908580854301616</v>
      </c>
      <c r="P1349" s="34" t="s">
        <v>857</v>
      </c>
    </row>
    <row r="1350" spans="1:16">
      <c r="A1350" s="59" t="s">
        <v>421</v>
      </c>
      <c r="B1350" s="336" t="s">
        <v>223</v>
      </c>
      <c r="C1350" s="34" t="s">
        <v>139</v>
      </c>
      <c r="D1350" s="40" t="s">
        <v>99</v>
      </c>
      <c r="E1350" s="237">
        <v>0.15</v>
      </c>
      <c r="F1350" s="40">
        <v>1</v>
      </c>
      <c r="G1350" s="34" t="s">
        <v>412</v>
      </c>
      <c r="H1350" s="29">
        <v>1</v>
      </c>
      <c r="I1350" s="9">
        <v>2</v>
      </c>
      <c r="J1350" s="9">
        <v>2</v>
      </c>
      <c r="K1350" s="9">
        <v>1</v>
      </c>
      <c r="L1350" s="9">
        <v>1</v>
      </c>
      <c r="M1350" s="9">
        <v>1</v>
      </c>
      <c r="N1350" s="185">
        <f>IF( OR( ISBLANK(H1350),ISBLANK(J1350), ISBLANK(K1350), ISBLANK(L1350), ISBLANK(M1350) ), "", 1.5*SQRT(   EXP(2.21*(H1350-1)) + EXP(2.21*(J1350-1)) + EXP(2.21*(K1350-1)) + EXP(2.21*(L1350-1)) + EXP(2.21*M1350)   )/100*2.45 )</f>
        <v>0.16933510251023262</v>
      </c>
      <c r="O1350" s="159">
        <f>IF( OR( ISBLANK(I1350),ISBLANK(J1350), ISBLANK(K1350), ISBLANK(L1350), ISBLANK(M1350) ), "", 1.5*SQRT( EXP(2.21*(I1350-1)) + EXP(2.21*(J1350-1)) + EXP(2.21*(K1350-1)) + EXP(2.21*(L1350-1)) + EXP(2.21*M1350)   )/100*2.45 )</f>
        <v>0.19908580854301616</v>
      </c>
      <c r="P1350" s="34" t="s">
        <v>851</v>
      </c>
    </row>
    <row r="1351" spans="1:16">
      <c r="A1351" s="59" t="s">
        <v>487</v>
      </c>
      <c r="B1351" s="336" t="s">
        <v>491</v>
      </c>
      <c r="C1351" s="34" t="s">
        <v>139</v>
      </c>
      <c r="D1351" s="40" t="s">
        <v>99</v>
      </c>
      <c r="E1351" s="237" t="s">
        <v>150</v>
      </c>
      <c r="F1351" s="40">
        <v>1</v>
      </c>
      <c r="G1351" s="34" t="s">
        <v>412</v>
      </c>
      <c r="H1351" s="29">
        <v>1</v>
      </c>
      <c r="I1351" s="9">
        <v>2</v>
      </c>
      <c r="J1351" s="9">
        <v>2</v>
      </c>
      <c r="K1351" s="9">
        <v>1</v>
      </c>
      <c r="L1351" s="9">
        <v>1</v>
      </c>
      <c r="M1351" s="9">
        <v>1</v>
      </c>
      <c r="N1351" s="185">
        <f>IF( OR( ISBLANK(H1351),ISBLANK(J1351), ISBLANK(K1351), ISBLANK(L1351), ISBLANK(M1351) ), "", 1.5*SQRT(   EXP(2.21*(H1351-1)) + EXP(2.21*(J1351-1)) + EXP(2.21*(K1351-1)) + EXP(2.21*(L1351-1)) + EXP(2.21*M1351)   )/100*2.45 )</f>
        <v>0.16933510251023262</v>
      </c>
      <c r="O1351" s="159">
        <f>IF( OR( ISBLANK(I1351),ISBLANK(J1351), ISBLANK(K1351), ISBLANK(L1351), ISBLANK(M1351) ), "", 1.5*SQRT( EXP(2.21*(I1351-1)) + EXP(2.21*(J1351-1)) + EXP(2.21*(K1351-1)) + EXP(2.21*(L1351-1)) + EXP(2.21*M1351)   )/100*2.45 )</f>
        <v>0.19908580854301616</v>
      </c>
      <c r="P1351" s="34" t="s">
        <v>1934</v>
      </c>
    </row>
    <row r="1352" spans="1:16">
      <c r="A1352" s="59" t="s">
        <v>487</v>
      </c>
      <c r="B1352" s="336" t="s">
        <v>492</v>
      </c>
      <c r="C1352" s="34" t="s">
        <v>139</v>
      </c>
      <c r="D1352" s="40" t="s">
        <v>99</v>
      </c>
      <c r="E1352" s="237">
        <f>0.016*0.091</f>
        <v>1.456E-3</v>
      </c>
      <c r="F1352" s="40">
        <v>2</v>
      </c>
      <c r="G1352" s="34" t="s">
        <v>412</v>
      </c>
      <c r="H1352" s="29">
        <v>1</v>
      </c>
      <c r="I1352" s="9">
        <v>2</v>
      </c>
      <c r="J1352" s="9">
        <v>2</v>
      </c>
      <c r="K1352" s="9">
        <v>1</v>
      </c>
      <c r="L1352" s="9">
        <v>1</v>
      </c>
      <c r="M1352" s="9">
        <v>1</v>
      </c>
      <c r="N1352" s="185">
        <f>IF( OR( ISBLANK(H1352),ISBLANK(J1352), ISBLANK(K1352), ISBLANK(L1352), ISBLANK(M1352) ), "", 1.5*SQRT(   EXP(2.21*(H1352-1)) + EXP(2.21*(J1352-1)) + EXP(2.21*(K1352-1)) + EXP(2.21*(L1352-1)) + EXP(2.21*M1352)   )/100*2.45 )</f>
        <v>0.16933510251023262</v>
      </c>
      <c r="O1352" s="159">
        <f>IF( OR( ISBLANK(I1352),ISBLANK(J1352), ISBLANK(K1352), ISBLANK(L1352), ISBLANK(M1352) ), "", 1.5*SQRT( EXP(2.21*(I1352-1)) + EXP(2.21*(J1352-1)) + EXP(2.21*(K1352-1)) + EXP(2.21*(L1352-1)) + EXP(2.21*M1352)   )/100*2.45 )</f>
        <v>0.19908580854301616</v>
      </c>
      <c r="P1352" s="34" t="s">
        <v>858</v>
      </c>
    </row>
    <row r="1353" spans="1:16">
      <c r="A1353" s="59" t="s">
        <v>491</v>
      </c>
      <c r="B1353" s="336" t="s">
        <v>493</v>
      </c>
      <c r="C1353" s="34" t="s">
        <v>139</v>
      </c>
      <c r="D1353" s="40" t="s">
        <v>99</v>
      </c>
      <c r="E1353" s="237">
        <f>0.1*E1345</f>
        <v>5.000000000000001E-3</v>
      </c>
      <c r="F1353" s="40">
        <v>2</v>
      </c>
      <c r="G1353" s="34" t="s">
        <v>412</v>
      </c>
      <c r="H1353" s="29">
        <v>1</v>
      </c>
      <c r="I1353" s="9">
        <v>2</v>
      </c>
      <c r="J1353" s="9">
        <v>2</v>
      </c>
      <c r="K1353" s="9">
        <v>1</v>
      </c>
      <c r="L1353" s="9">
        <v>1</v>
      </c>
      <c r="M1353" s="9">
        <v>1</v>
      </c>
      <c r="N1353" s="185">
        <f>IF( OR( ISBLANK(H1353),ISBLANK(J1353), ISBLANK(K1353), ISBLANK(L1353), ISBLANK(M1353) ), "", 1.5*SQRT(   EXP(2.21*(H1353-1)) + EXP(2.21*(J1353-1)) + EXP(2.21*(K1353-1)) + EXP(2.21*(L1353-1)) + EXP(2.21*M1353)   )/100*2.45 )</f>
        <v>0.16933510251023262</v>
      </c>
      <c r="O1353" s="159">
        <f>IF( OR( ISBLANK(I1353),ISBLANK(J1353), ISBLANK(K1353), ISBLANK(L1353), ISBLANK(M1353) ), "", 1.5*SQRT( EXP(2.21*(I1353-1)) + EXP(2.21*(J1353-1)) + EXP(2.21*(K1353-1)) + EXP(2.21*(L1353-1)) + EXP(2.21*M1353)   )/100*2.45 )</f>
        <v>0.19908580854301616</v>
      </c>
      <c r="P1353" s="34" t="s">
        <v>835</v>
      </c>
    </row>
    <row r="1354" spans="1:16">
      <c r="A1354" s="59" t="s">
        <v>491</v>
      </c>
      <c r="B1354" s="336" t="s">
        <v>488</v>
      </c>
      <c r="C1354" s="34" t="s">
        <v>139</v>
      </c>
      <c r="D1354" s="40" t="s">
        <v>99</v>
      </c>
      <c r="E1354" s="237" t="s">
        <v>150</v>
      </c>
      <c r="F1354" s="40">
        <v>1</v>
      </c>
      <c r="G1354" s="34" t="s">
        <v>412</v>
      </c>
      <c r="H1354" s="29"/>
      <c r="I1354" s="9"/>
      <c r="J1354" s="9"/>
      <c r="K1354" s="9"/>
      <c r="L1354" s="9"/>
      <c r="M1354" s="9"/>
      <c r="N1354" s="185" t="str">
        <f>IF( OR( ISBLANK(H1354),ISBLANK(J1354), ISBLANK(K1354), ISBLANK(L1354), ISBLANK(M1354) ), "", 1.5*SQRT(   EXP(2.21*(H1354-1)) + EXP(2.21*(J1354-1)) + EXP(2.21*(K1354-1)) + EXP(2.21*(L1354-1)) + EXP(2.21*M1354)   )/100*2.45 )</f>
        <v/>
      </c>
      <c r="O1354" s="159" t="str">
        <f>IF( OR( ISBLANK(I1354),ISBLANK(J1354), ISBLANK(K1354), ISBLANK(L1354), ISBLANK(M1354) ), "", 1.5*SQRT( EXP(2.21*(I1354-1)) + EXP(2.21*(J1354-1)) + EXP(2.21*(K1354-1)) + EXP(2.21*(L1354-1)) + EXP(2.21*M1354)   )/100*2.45 )</f>
        <v/>
      </c>
      <c r="P1354" s="34" t="s">
        <v>1935</v>
      </c>
    </row>
    <row r="1355" spans="1:16">
      <c r="A1355" s="59" t="s">
        <v>488</v>
      </c>
      <c r="B1355" s="336" t="s">
        <v>228</v>
      </c>
      <c r="C1355" s="34" t="s">
        <v>139</v>
      </c>
      <c r="D1355" s="40" t="s">
        <v>99</v>
      </c>
      <c r="E1355" s="237">
        <v>0</v>
      </c>
      <c r="F1355" s="40">
        <v>2</v>
      </c>
      <c r="G1355" s="34" t="s">
        <v>412</v>
      </c>
      <c r="H1355" s="29">
        <v>1</v>
      </c>
      <c r="I1355" s="9">
        <v>2</v>
      </c>
      <c r="J1355" s="9">
        <v>2</v>
      </c>
      <c r="K1355" s="9">
        <v>1</v>
      </c>
      <c r="L1355" s="9">
        <v>1</v>
      </c>
      <c r="M1355" s="9">
        <v>1</v>
      </c>
      <c r="N1355" s="185">
        <f>IF( OR( ISBLANK(H1355),ISBLANK(J1355), ISBLANK(K1355), ISBLANK(L1355), ISBLANK(M1355) ), "", 1.5*SQRT(   EXP(2.21*(H1355-1)) + EXP(2.21*(J1355-1)) + EXP(2.21*(K1355-1)) + EXP(2.21*(L1355-1)) + EXP(2.21*M1355)   )/100*2.45 )</f>
        <v>0.16933510251023262</v>
      </c>
      <c r="O1355" s="159">
        <f>IF( OR( ISBLANK(I1355),ISBLANK(J1355), ISBLANK(K1355), ISBLANK(L1355), ISBLANK(M1355) ), "", 1.5*SQRT( EXP(2.21*(I1355-1)) + EXP(2.21*(J1355-1)) + EXP(2.21*(K1355-1)) + EXP(2.21*(L1355-1)) + EXP(2.21*M1355)   )/100*2.45 )</f>
        <v>0.19908580854301616</v>
      </c>
      <c r="P1355" s="34" t="s">
        <v>837</v>
      </c>
    </row>
    <row r="1356" spans="1:16">
      <c r="A1356" s="59" t="s">
        <v>488</v>
      </c>
      <c r="B1356" s="336" t="s">
        <v>327</v>
      </c>
      <c r="C1356" s="34" t="s">
        <v>139</v>
      </c>
      <c r="D1356" s="40" t="s">
        <v>99</v>
      </c>
      <c r="E1356" s="237" t="s">
        <v>150</v>
      </c>
      <c r="F1356" s="40">
        <v>1</v>
      </c>
      <c r="G1356" s="34" t="s">
        <v>412</v>
      </c>
      <c r="H1356" s="29"/>
      <c r="I1356" s="9"/>
      <c r="J1356" s="9"/>
      <c r="K1356" s="9"/>
      <c r="L1356" s="9"/>
      <c r="M1356" s="9"/>
      <c r="N1356" s="185" t="str">
        <f>IF( OR( ISBLANK(H1356),ISBLANK(J1356), ISBLANK(K1356), ISBLANK(L1356), ISBLANK(M1356) ), "", 1.5*SQRT(   EXP(2.21*(H1356-1)) + EXP(2.21*(J1356-1)) + EXP(2.21*(K1356-1)) + EXP(2.21*(L1356-1)) + EXP(2.21*M1356)   )/100*2.45 )</f>
        <v/>
      </c>
      <c r="O1356" s="159" t="str">
        <f>IF( OR( ISBLANK(I1356),ISBLANK(J1356), ISBLANK(K1356), ISBLANK(L1356), ISBLANK(M1356) ), "", 1.5*SQRT( EXP(2.21*(I1356-1)) + EXP(2.21*(J1356-1)) + EXP(2.21*(K1356-1)) + EXP(2.21*(L1356-1)) + EXP(2.21*M1356)   )/100*2.45 )</f>
        <v/>
      </c>
      <c r="P1356" s="34" t="s">
        <v>1936</v>
      </c>
    </row>
    <row r="1357" spans="1:16">
      <c r="A1357" s="59" t="s">
        <v>493</v>
      </c>
      <c r="B1357" s="336" t="s">
        <v>228</v>
      </c>
      <c r="C1357" s="34" t="s">
        <v>139</v>
      </c>
      <c r="D1357" s="40" t="s">
        <v>99</v>
      </c>
      <c r="E1357" s="237">
        <v>1</v>
      </c>
      <c r="F1357" s="40">
        <v>2</v>
      </c>
      <c r="G1357" s="34" t="s">
        <v>412</v>
      </c>
      <c r="H1357" s="29">
        <v>1</v>
      </c>
      <c r="I1357" s="9">
        <v>2</v>
      </c>
      <c r="J1357" s="9">
        <v>2</v>
      </c>
      <c r="K1357" s="9">
        <v>1</v>
      </c>
      <c r="L1357" s="9">
        <v>1</v>
      </c>
      <c r="M1357" s="9">
        <v>1</v>
      </c>
      <c r="N1357" s="185">
        <f>IF( OR( ISBLANK(H1357),ISBLANK(J1357), ISBLANK(K1357), ISBLANK(L1357), ISBLANK(M1357) ), "", 1.5*SQRT(   EXP(2.21*(H1357-1)) + EXP(2.21*(J1357-1)) + EXP(2.21*(K1357-1)) + EXP(2.21*(L1357-1)) + EXP(2.21*M1357)   )/100*2.45 )</f>
        <v>0.16933510251023262</v>
      </c>
      <c r="O1357" s="159">
        <f>IF( OR( ISBLANK(I1357),ISBLANK(J1357), ISBLANK(K1357), ISBLANK(L1357), ISBLANK(M1357) ), "", 1.5*SQRT( EXP(2.21*(I1357-1)) + EXP(2.21*(J1357-1)) + EXP(2.21*(K1357-1)) + EXP(2.21*(L1357-1)) + EXP(2.21*M1357)   )/100*2.45 )</f>
        <v>0.19908580854301616</v>
      </c>
      <c r="P1357" s="34" t="s">
        <v>836</v>
      </c>
    </row>
    <row r="1358" spans="1:16">
      <c r="A1358" s="59" t="s">
        <v>492</v>
      </c>
      <c r="B1358" s="336" t="s">
        <v>232</v>
      </c>
      <c r="C1358" s="34" t="s">
        <v>139</v>
      </c>
      <c r="D1358" s="40" t="s">
        <v>99</v>
      </c>
      <c r="E1358" s="237">
        <v>1</v>
      </c>
      <c r="F1358" s="40">
        <v>1</v>
      </c>
      <c r="G1358" s="34" t="s">
        <v>412</v>
      </c>
      <c r="H1358" s="29">
        <v>1</v>
      </c>
      <c r="I1358" s="9">
        <v>2</v>
      </c>
      <c r="J1358" s="9">
        <v>2</v>
      </c>
      <c r="K1358" s="9">
        <v>1</v>
      </c>
      <c r="L1358" s="9">
        <v>1</v>
      </c>
      <c r="M1358" s="9">
        <v>1</v>
      </c>
      <c r="N1358" s="185">
        <f>IF( OR( ISBLANK(H1358),ISBLANK(J1358), ISBLANK(K1358), ISBLANK(L1358), ISBLANK(M1358) ), "", 1.5*SQRT(   EXP(2.21*(H1358-1)) + EXP(2.21*(J1358-1)) + EXP(2.21*(K1358-1)) + EXP(2.21*(L1358-1)) + EXP(2.21*M1358)   )/100*2.45 )</f>
        <v>0.16933510251023262</v>
      </c>
      <c r="O1358" s="159">
        <f>IF( OR( ISBLANK(I1358),ISBLANK(J1358), ISBLANK(K1358), ISBLANK(L1358), ISBLANK(M1358) ), "", 1.5*SQRT( EXP(2.21*(I1358-1)) + EXP(2.21*(J1358-1)) + EXP(2.21*(K1358-1)) + EXP(2.21*(L1358-1)) + EXP(2.21*M1358)   )/100*2.45 )</f>
        <v>0.19908580854301616</v>
      </c>
      <c r="P1358" s="34" t="s">
        <v>836</v>
      </c>
    </row>
    <row r="1359" spans="1:16">
      <c r="A1359" s="59" t="s">
        <v>486</v>
      </c>
      <c r="B1359" s="336" t="s">
        <v>489</v>
      </c>
      <c r="C1359" s="34" t="s">
        <v>139</v>
      </c>
      <c r="D1359" s="40" t="s">
        <v>99</v>
      </c>
      <c r="E1359" s="237">
        <v>0.03</v>
      </c>
      <c r="F1359" s="40">
        <v>2</v>
      </c>
      <c r="G1359" s="34" t="s">
        <v>412</v>
      </c>
      <c r="H1359" s="29">
        <v>1</v>
      </c>
      <c r="I1359" s="9">
        <v>2</v>
      </c>
      <c r="J1359" s="9">
        <v>2</v>
      </c>
      <c r="K1359" s="9">
        <v>1</v>
      </c>
      <c r="L1359" s="9">
        <v>1</v>
      </c>
      <c r="M1359" s="9">
        <v>1</v>
      </c>
      <c r="N1359" s="185">
        <f>IF( OR( ISBLANK(H1359),ISBLANK(J1359), ISBLANK(K1359), ISBLANK(L1359), ISBLANK(M1359) ), "", 1.5*SQRT(   EXP(2.21*(H1359-1)) + EXP(2.21*(J1359-1)) + EXP(2.21*(K1359-1)) + EXP(2.21*(L1359-1)) + EXP(2.21*M1359)   )/100*2.45 )</f>
        <v>0.16933510251023262</v>
      </c>
      <c r="O1359" s="159">
        <f>IF( OR( ISBLANK(I1359),ISBLANK(J1359), ISBLANK(K1359), ISBLANK(L1359), ISBLANK(M1359) ), "", 1.5*SQRT( EXP(2.21*(I1359-1)) + EXP(2.21*(J1359-1)) + EXP(2.21*(K1359-1)) + EXP(2.21*(L1359-1)) + EXP(2.21*M1359)   )/100*2.45 )</f>
        <v>0.19908580854301616</v>
      </c>
      <c r="P1359" s="34" t="s">
        <v>834</v>
      </c>
    </row>
    <row r="1360" spans="1:16">
      <c r="A1360" s="59" t="s">
        <v>486</v>
      </c>
      <c r="B1360" s="336" t="s">
        <v>490</v>
      </c>
      <c r="C1360" s="34" t="s">
        <v>139</v>
      </c>
      <c r="D1360" s="40" t="s">
        <v>99</v>
      </c>
      <c r="E1360" s="237" t="s">
        <v>150</v>
      </c>
      <c r="F1360" s="40">
        <v>1</v>
      </c>
      <c r="G1360" s="34" t="s">
        <v>412</v>
      </c>
      <c r="H1360" s="29"/>
      <c r="I1360" s="9"/>
      <c r="J1360" s="9"/>
      <c r="K1360" s="9"/>
      <c r="L1360" s="9"/>
      <c r="M1360" s="9"/>
      <c r="N1360" s="185" t="str">
        <f>IF( OR( ISBLANK(H1360),ISBLANK(J1360), ISBLANK(K1360), ISBLANK(L1360), ISBLANK(M1360) ), "", 1.5*SQRT(   EXP(2.21*(H1360-1)) + EXP(2.21*(J1360-1)) + EXP(2.21*(K1360-1)) + EXP(2.21*(L1360-1)) + EXP(2.21*M1360)   )/100*2.45 )</f>
        <v/>
      </c>
      <c r="O1360" s="159" t="str">
        <f>IF( OR( ISBLANK(I1360),ISBLANK(J1360), ISBLANK(K1360), ISBLANK(L1360), ISBLANK(M1360) ), "", 1.5*SQRT( EXP(2.21*(I1360-1)) + EXP(2.21*(J1360-1)) + EXP(2.21*(K1360-1)) + EXP(2.21*(L1360-1)) + EXP(2.21*M1360)   )/100*2.45 )</f>
        <v/>
      </c>
      <c r="P1360" s="34" t="s">
        <v>1933</v>
      </c>
    </row>
    <row r="1361" spans="1:16">
      <c r="A1361" s="59" t="s">
        <v>490</v>
      </c>
      <c r="B1361" s="336" t="s">
        <v>231</v>
      </c>
      <c r="C1361" s="34" t="s">
        <v>139</v>
      </c>
      <c r="D1361" s="40" t="s">
        <v>99</v>
      </c>
      <c r="E1361" s="237">
        <v>0</v>
      </c>
      <c r="F1361" s="40">
        <v>2</v>
      </c>
      <c r="G1361" s="34" t="s">
        <v>412</v>
      </c>
      <c r="H1361" s="29">
        <v>1</v>
      </c>
      <c r="I1361" s="9">
        <v>2</v>
      </c>
      <c r="J1361" s="9">
        <v>2</v>
      </c>
      <c r="K1361" s="9">
        <v>1</v>
      </c>
      <c r="L1361" s="9">
        <v>1</v>
      </c>
      <c r="M1361" s="9">
        <v>1</v>
      </c>
      <c r="N1361" s="185">
        <f>IF( OR( ISBLANK(H1361),ISBLANK(J1361), ISBLANK(K1361), ISBLANK(L1361), ISBLANK(M1361) ), "", 1.5*SQRT(   EXP(2.21*(H1361-1)) + EXP(2.21*(J1361-1)) + EXP(2.21*(K1361-1)) + EXP(2.21*(L1361-1)) + EXP(2.21*M1361)   )/100*2.45 )</f>
        <v>0.16933510251023262</v>
      </c>
      <c r="O1361" s="159">
        <f>IF( OR( ISBLANK(I1361),ISBLANK(J1361), ISBLANK(K1361), ISBLANK(L1361), ISBLANK(M1361) ), "", 1.5*SQRT( EXP(2.21*(I1361-1)) + EXP(2.21*(J1361-1)) + EXP(2.21*(K1361-1)) + EXP(2.21*(L1361-1)) + EXP(2.21*M1361)   )/100*2.45 )</f>
        <v>0.19908580854301616</v>
      </c>
      <c r="P1361" s="34" t="s">
        <v>1944</v>
      </c>
    </row>
    <row r="1362" spans="1:16">
      <c r="A1362" s="59" t="s">
        <v>490</v>
      </c>
      <c r="B1362" s="336" t="s">
        <v>232</v>
      </c>
      <c r="C1362" s="34" t="s">
        <v>139</v>
      </c>
      <c r="D1362" s="40" t="s">
        <v>99</v>
      </c>
      <c r="E1362" s="237">
        <v>0</v>
      </c>
      <c r="F1362" s="40">
        <v>2</v>
      </c>
      <c r="G1362" s="34" t="s">
        <v>412</v>
      </c>
      <c r="H1362" s="29">
        <v>1</v>
      </c>
      <c r="I1362" s="9">
        <v>2</v>
      </c>
      <c r="J1362" s="9">
        <v>2</v>
      </c>
      <c r="K1362" s="9">
        <v>1</v>
      </c>
      <c r="L1362" s="9">
        <v>1</v>
      </c>
      <c r="M1362" s="9">
        <v>1</v>
      </c>
      <c r="N1362" s="185">
        <f>IF( OR( ISBLANK(H1362),ISBLANK(J1362), ISBLANK(K1362), ISBLANK(L1362), ISBLANK(M1362) ), "", 1.5*SQRT(   EXP(2.21*(H1362-1)) + EXP(2.21*(J1362-1)) + EXP(2.21*(K1362-1)) + EXP(2.21*(L1362-1)) + EXP(2.21*M1362)   )/100*2.45 )</f>
        <v>0.16933510251023262</v>
      </c>
      <c r="O1362" s="159">
        <f>IF( OR( ISBLANK(I1362),ISBLANK(J1362), ISBLANK(K1362), ISBLANK(L1362), ISBLANK(M1362) ), "", 1.5*SQRT( EXP(2.21*(I1362-1)) + EXP(2.21*(J1362-1)) + EXP(2.21*(K1362-1)) + EXP(2.21*(L1362-1)) + EXP(2.21*M1362)   )/100*2.45 )</f>
        <v>0.19908580854301616</v>
      </c>
      <c r="P1362" s="34" t="s">
        <v>1944</v>
      </c>
    </row>
    <row r="1363" spans="1:16">
      <c r="A1363" s="59" t="s">
        <v>490</v>
      </c>
      <c r="B1363" s="336" t="s">
        <v>251</v>
      </c>
      <c r="C1363" s="34" t="s">
        <v>139</v>
      </c>
      <c r="D1363" s="40" t="s">
        <v>99</v>
      </c>
      <c r="E1363" s="237">
        <v>0</v>
      </c>
      <c r="F1363" s="40">
        <v>2</v>
      </c>
      <c r="G1363" s="34" t="s">
        <v>412</v>
      </c>
      <c r="H1363" s="29">
        <v>1</v>
      </c>
      <c r="I1363" s="9">
        <v>2</v>
      </c>
      <c r="J1363" s="9">
        <v>2</v>
      </c>
      <c r="K1363" s="9">
        <v>1</v>
      </c>
      <c r="L1363" s="9">
        <v>1</v>
      </c>
      <c r="M1363" s="9">
        <v>1</v>
      </c>
      <c r="N1363" s="185">
        <f>IF( OR( ISBLANK(H1363),ISBLANK(J1363), ISBLANK(K1363), ISBLANK(L1363), ISBLANK(M1363) ), "", 1.5*SQRT(   EXP(2.21*(H1363-1)) + EXP(2.21*(J1363-1)) + EXP(2.21*(K1363-1)) + EXP(2.21*(L1363-1)) + EXP(2.21*M1363)   )/100*2.45 )</f>
        <v>0.16933510251023262</v>
      </c>
      <c r="O1363" s="159">
        <f>IF( OR( ISBLANK(I1363),ISBLANK(J1363), ISBLANK(K1363), ISBLANK(L1363), ISBLANK(M1363) ), "", 1.5*SQRT( EXP(2.21*(I1363-1)) + EXP(2.21*(J1363-1)) + EXP(2.21*(K1363-1)) + EXP(2.21*(L1363-1)) + EXP(2.21*M1363)   )/100*2.45 )</f>
        <v>0.19908580854301616</v>
      </c>
      <c r="P1363" s="34" t="s">
        <v>1944</v>
      </c>
    </row>
    <row r="1364" spans="1:16">
      <c r="A1364" s="59" t="s">
        <v>490</v>
      </c>
      <c r="B1364" s="336" t="s">
        <v>258</v>
      </c>
      <c r="C1364" s="34" t="s">
        <v>139</v>
      </c>
      <c r="D1364" s="40" t="s">
        <v>99</v>
      </c>
      <c r="E1364" s="237">
        <v>0</v>
      </c>
      <c r="F1364" s="40">
        <v>2</v>
      </c>
      <c r="G1364" s="34" t="s">
        <v>412</v>
      </c>
      <c r="H1364" s="29">
        <v>1</v>
      </c>
      <c r="I1364" s="9">
        <v>2</v>
      </c>
      <c r="J1364" s="9">
        <v>2</v>
      </c>
      <c r="K1364" s="9">
        <v>1</v>
      </c>
      <c r="L1364" s="9">
        <v>1</v>
      </c>
      <c r="M1364" s="9">
        <v>1</v>
      </c>
      <c r="N1364" s="185">
        <f>IF( OR( ISBLANK(H1364),ISBLANK(J1364), ISBLANK(K1364), ISBLANK(L1364), ISBLANK(M1364) ), "", 1.5*SQRT(   EXP(2.21*(H1364-1)) + EXP(2.21*(J1364-1)) + EXP(2.21*(K1364-1)) + EXP(2.21*(L1364-1)) + EXP(2.21*M1364)   )/100*2.45 )</f>
        <v>0.16933510251023262</v>
      </c>
      <c r="O1364" s="159">
        <f>IF( OR( ISBLANK(I1364),ISBLANK(J1364), ISBLANK(K1364), ISBLANK(L1364), ISBLANK(M1364) ), "", 1.5*SQRT( EXP(2.21*(I1364-1)) + EXP(2.21*(J1364-1)) + EXP(2.21*(K1364-1)) + EXP(2.21*(L1364-1)) + EXP(2.21*M1364)   )/100*2.45 )</f>
        <v>0.19908580854301616</v>
      </c>
      <c r="P1364" s="34" t="s">
        <v>1944</v>
      </c>
    </row>
    <row r="1365" spans="1:16">
      <c r="A1365" s="59" t="s">
        <v>490</v>
      </c>
      <c r="B1365" s="336" t="s">
        <v>327</v>
      </c>
      <c r="C1365" s="34" t="s">
        <v>139</v>
      </c>
      <c r="D1365" s="40" t="s">
        <v>99</v>
      </c>
      <c r="E1365" s="237" t="s">
        <v>150</v>
      </c>
      <c r="F1365" s="40">
        <v>1</v>
      </c>
      <c r="G1365" s="34" t="s">
        <v>412</v>
      </c>
      <c r="H1365" s="29"/>
      <c r="I1365" s="9"/>
      <c r="J1365" s="9"/>
      <c r="K1365" s="9"/>
      <c r="L1365" s="9"/>
      <c r="M1365" s="9"/>
      <c r="N1365" s="185" t="str">
        <f>IF( OR( ISBLANK(H1365),ISBLANK(J1365), ISBLANK(K1365), ISBLANK(L1365), ISBLANK(M1365) ), "", 1.5*SQRT(   EXP(2.21*(H1365-1)) + EXP(2.21*(J1365-1)) + EXP(2.21*(K1365-1)) + EXP(2.21*(L1365-1)) + EXP(2.21*M1365)   )/100*2.45 )</f>
        <v/>
      </c>
      <c r="O1365" s="159" t="str">
        <f>IF( OR( ISBLANK(I1365),ISBLANK(J1365), ISBLANK(K1365), ISBLANK(L1365), ISBLANK(M1365) ), "", 1.5*SQRT( EXP(2.21*(I1365-1)) + EXP(2.21*(J1365-1)) + EXP(2.21*(K1365-1)) + EXP(2.21*(L1365-1)) + EXP(2.21*M1365)   )/100*2.45 )</f>
        <v/>
      </c>
      <c r="P1365" s="34"/>
    </row>
    <row r="1366" spans="1:16">
      <c r="A1366" s="59" t="s">
        <v>489</v>
      </c>
      <c r="B1366" s="336" t="s">
        <v>231</v>
      </c>
      <c r="C1366" s="34" t="s">
        <v>139</v>
      </c>
      <c r="D1366" s="40" t="s">
        <v>99</v>
      </c>
      <c r="E1366" s="237">
        <v>0.05</v>
      </c>
      <c r="F1366" s="40">
        <v>2</v>
      </c>
      <c r="G1366" s="34" t="s">
        <v>157</v>
      </c>
      <c r="H1366" s="29">
        <v>1</v>
      </c>
      <c r="I1366" s="9">
        <v>2</v>
      </c>
      <c r="J1366" s="9">
        <v>2</v>
      </c>
      <c r="K1366" s="9">
        <v>1</v>
      </c>
      <c r="L1366" s="9">
        <v>3</v>
      </c>
      <c r="M1366" s="9">
        <v>3</v>
      </c>
      <c r="N1366" s="185">
        <f>IF( OR( ISBLANK(H1366),ISBLANK(J1366), ISBLANK(K1366), ISBLANK(L1366), ISBLANK(M1366) ), "", 1.5*SQRT(   EXP(2.21*(H1366-1)) + EXP(2.21*(J1366-1)) + EXP(2.21*(K1366-1)) + EXP(2.21*(L1366-1)) + EXP(2.21*M1366)   )/100*2.45 )</f>
        <v>1.0725046436742278</v>
      </c>
      <c r="O1366" s="159">
        <f>IF( OR( ISBLANK(I1366),ISBLANK(J1366), ISBLANK(K1366), ISBLANK(L1366), ISBLANK(M1366) ), "", 1.5*SQRT( EXP(2.21*(I1366-1)) + EXP(2.21*(J1366-1)) + EXP(2.21*(K1366-1)) + EXP(2.21*(L1366-1)) + EXP(2.21*M1366)   )/100*2.45 )</f>
        <v>1.0776024280428556</v>
      </c>
      <c r="P1366" s="34" t="s">
        <v>1916</v>
      </c>
    </row>
    <row r="1367" spans="1:16">
      <c r="A1367" s="59" t="s">
        <v>489</v>
      </c>
      <c r="B1367" s="336" t="s">
        <v>232</v>
      </c>
      <c r="C1367" s="34" t="s">
        <v>139</v>
      </c>
      <c r="D1367" s="40" t="s">
        <v>99</v>
      </c>
      <c r="E1367" s="237">
        <v>0.39400000000000002</v>
      </c>
      <c r="F1367" s="40">
        <v>2</v>
      </c>
      <c r="G1367" s="34" t="s">
        <v>412</v>
      </c>
      <c r="H1367" s="29">
        <v>1</v>
      </c>
      <c r="I1367" s="9">
        <v>2</v>
      </c>
      <c r="J1367" s="9">
        <v>2</v>
      </c>
      <c r="K1367" s="9">
        <v>1</v>
      </c>
      <c r="L1367" s="9">
        <v>1</v>
      </c>
      <c r="M1367" s="9">
        <v>1</v>
      </c>
      <c r="N1367" s="185">
        <f>IF( OR( ISBLANK(H1367),ISBLANK(J1367), ISBLANK(K1367), ISBLANK(L1367), ISBLANK(M1367) ), "", 1.5*SQRT(   EXP(2.21*(H1367-1)) + EXP(2.21*(J1367-1)) + EXP(2.21*(K1367-1)) + EXP(2.21*(L1367-1)) + EXP(2.21*M1367)   )/100*2.45 )</f>
        <v>0.16933510251023262</v>
      </c>
      <c r="O1367" s="159">
        <f>IF( OR( ISBLANK(I1367),ISBLANK(J1367), ISBLANK(K1367), ISBLANK(L1367), ISBLANK(M1367) ), "", 1.5*SQRT( EXP(2.21*(I1367-1)) + EXP(2.21*(J1367-1)) + EXP(2.21*(K1367-1)) + EXP(2.21*(L1367-1)) + EXP(2.21*M1367)   )/100*2.45 )</f>
        <v>0.19908580854301616</v>
      </c>
      <c r="P1367" s="34" t="s">
        <v>1940</v>
      </c>
    </row>
    <row r="1368" spans="1:16">
      <c r="A1368" s="59" t="s">
        <v>489</v>
      </c>
      <c r="B1368" s="336" t="s">
        <v>251</v>
      </c>
      <c r="C1368" s="34" t="s">
        <v>139</v>
      </c>
      <c r="D1368" s="40" t="s">
        <v>99</v>
      </c>
      <c r="E1368" s="237">
        <v>0.52200000000000002</v>
      </c>
      <c r="F1368" s="40">
        <v>1</v>
      </c>
      <c r="G1368" s="34" t="s">
        <v>412</v>
      </c>
      <c r="H1368" s="29">
        <v>1</v>
      </c>
      <c r="I1368" s="9">
        <v>2</v>
      </c>
      <c r="J1368" s="9">
        <v>2</v>
      </c>
      <c r="K1368" s="9">
        <v>1</v>
      </c>
      <c r="L1368" s="9">
        <v>1</v>
      </c>
      <c r="M1368" s="9">
        <v>1</v>
      </c>
      <c r="N1368" s="185">
        <f>IF( OR( ISBLANK(H1368),ISBLANK(J1368), ISBLANK(K1368), ISBLANK(L1368), ISBLANK(M1368) ), "", 1.5*SQRT(   EXP(2.21*(H1368-1)) + EXP(2.21*(J1368-1)) + EXP(2.21*(K1368-1)) + EXP(2.21*(L1368-1)) + EXP(2.21*M1368)   )/100*2.45 )</f>
        <v>0.16933510251023262</v>
      </c>
      <c r="O1368" s="159">
        <f>IF( OR( ISBLANK(I1368),ISBLANK(J1368), ISBLANK(K1368), ISBLANK(L1368), ISBLANK(M1368) ), "", 1.5*SQRT( EXP(2.21*(I1368-1)) + EXP(2.21*(J1368-1)) + EXP(2.21*(K1368-1)) + EXP(2.21*(L1368-1)) + EXP(2.21*M1368)   )/100*2.45 )</f>
        <v>0.19908580854301616</v>
      </c>
      <c r="P1368" s="34" t="s">
        <v>1941</v>
      </c>
    </row>
    <row r="1369" spans="1:16">
      <c r="A1369" s="59" t="s">
        <v>489</v>
      </c>
      <c r="B1369" s="336" t="s">
        <v>258</v>
      </c>
      <c r="C1369" s="34" t="s">
        <v>139</v>
      </c>
      <c r="D1369" s="40" t="s">
        <v>99</v>
      </c>
      <c r="E1369" s="237">
        <v>3.4000000000000002E-2</v>
      </c>
      <c r="F1369" s="40">
        <v>2</v>
      </c>
      <c r="G1369" s="34" t="s">
        <v>412</v>
      </c>
      <c r="H1369" s="29">
        <v>1</v>
      </c>
      <c r="I1369" s="9">
        <v>2</v>
      </c>
      <c r="J1369" s="9">
        <v>2</v>
      </c>
      <c r="K1369" s="9">
        <v>1</v>
      </c>
      <c r="L1369" s="9">
        <v>1</v>
      </c>
      <c r="M1369" s="9">
        <v>1</v>
      </c>
      <c r="N1369" s="185"/>
      <c r="O1369" s="159"/>
      <c r="P1369" s="34" t="s">
        <v>1942</v>
      </c>
    </row>
    <row r="1370" spans="1:16">
      <c r="A1370" s="59" t="s">
        <v>415</v>
      </c>
      <c r="B1370" s="336" t="s">
        <v>449</v>
      </c>
      <c r="C1370" s="34" t="s">
        <v>139</v>
      </c>
      <c r="D1370" s="40" t="s">
        <v>99</v>
      </c>
      <c r="E1370" s="237">
        <f>0.97*0.07</f>
        <v>6.7900000000000002E-2</v>
      </c>
      <c r="F1370" s="40">
        <v>2</v>
      </c>
      <c r="G1370" s="34" t="s">
        <v>412</v>
      </c>
      <c r="H1370" s="29">
        <v>1</v>
      </c>
      <c r="I1370" s="9">
        <v>2</v>
      </c>
      <c r="J1370" s="9">
        <v>2</v>
      </c>
      <c r="K1370" s="9">
        <v>1</v>
      </c>
      <c r="L1370" s="9">
        <v>1</v>
      </c>
      <c r="M1370" s="9">
        <v>1</v>
      </c>
      <c r="N1370" s="185">
        <f>IF( OR( ISBLANK(H1370),ISBLANK(J1370), ISBLANK(K1370), ISBLANK(L1370), ISBLANK(M1370) ), "", 1.5*SQRT(   EXP(2.21*(H1370-1)) + EXP(2.21*(J1370-1)) + EXP(2.21*(K1370-1)) + EXP(2.21*(L1370-1)) + EXP(2.21*M1370)   )/100*2.45 )</f>
        <v>0.16933510251023262</v>
      </c>
      <c r="O1370" s="159">
        <f>IF( OR( ISBLANK(I1370),ISBLANK(J1370), ISBLANK(K1370), ISBLANK(L1370), ISBLANK(M1370) ), "", 1.5*SQRT( EXP(2.21*(I1370-1)) + EXP(2.21*(J1370-1)) + EXP(2.21*(K1370-1)) + EXP(2.21*(L1370-1)) + EXP(2.21*M1370)   )/100*2.45 )</f>
        <v>0.19908580854301616</v>
      </c>
      <c r="P1370" s="34" t="s">
        <v>843</v>
      </c>
    </row>
    <row r="1371" spans="1:16">
      <c r="A1371" s="59" t="s">
        <v>415</v>
      </c>
      <c r="B1371" s="336" t="s">
        <v>450</v>
      </c>
      <c r="C1371" s="34" t="s">
        <v>139</v>
      </c>
      <c r="D1371" s="40" t="s">
        <v>99</v>
      </c>
      <c r="E1371" s="237">
        <f>0.97*0.93</f>
        <v>0.90210000000000001</v>
      </c>
      <c r="F1371" s="40">
        <v>2</v>
      </c>
      <c r="G1371" s="34" t="s">
        <v>412</v>
      </c>
      <c r="H1371" s="29">
        <v>1</v>
      </c>
      <c r="I1371" s="9">
        <v>2</v>
      </c>
      <c r="J1371" s="9">
        <v>2</v>
      </c>
      <c r="K1371" s="9">
        <v>1</v>
      </c>
      <c r="L1371" s="9">
        <v>1</v>
      </c>
      <c r="M1371" s="9">
        <v>1</v>
      </c>
      <c r="N1371" s="185">
        <f>IF( OR( ISBLANK(H1371),ISBLANK(J1371), ISBLANK(K1371), ISBLANK(L1371), ISBLANK(M1371) ), "", 1.5*SQRT(   EXP(2.21*(H1371-1)) + EXP(2.21*(J1371-1)) + EXP(2.21*(K1371-1)) + EXP(2.21*(L1371-1)) + EXP(2.21*M1371)   )/100*2.45 )</f>
        <v>0.16933510251023262</v>
      </c>
      <c r="O1371" s="159">
        <f>IF( OR( ISBLANK(I1371),ISBLANK(J1371), ISBLANK(K1371), ISBLANK(L1371), ISBLANK(M1371) ), "", 1.5*SQRT( EXP(2.21*(I1371-1)) + EXP(2.21*(J1371-1)) + EXP(2.21*(K1371-1)) + EXP(2.21*(L1371-1)) + EXP(2.21*M1371)   )/100*2.45 )</f>
        <v>0.19908580854301616</v>
      </c>
      <c r="P1371" s="34" t="s">
        <v>844</v>
      </c>
    </row>
    <row r="1372" spans="1:16">
      <c r="A1372" s="59" t="s">
        <v>415</v>
      </c>
      <c r="B1372" s="336" t="s">
        <v>223</v>
      </c>
      <c r="C1372" s="34" t="s">
        <v>139</v>
      </c>
      <c r="D1372" s="40" t="s">
        <v>99</v>
      </c>
      <c r="E1372" s="237">
        <v>0.03</v>
      </c>
      <c r="F1372" s="40">
        <v>1</v>
      </c>
      <c r="G1372" s="34" t="s">
        <v>412</v>
      </c>
      <c r="H1372" s="29">
        <v>1</v>
      </c>
      <c r="I1372" s="9">
        <v>2</v>
      </c>
      <c r="J1372" s="9">
        <v>2</v>
      </c>
      <c r="K1372" s="9">
        <v>1</v>
      </c>
      <c r="L1372" s="9">
        <v>1</v>
      </c>
      <c r="M1372" s="9">
        <v>1</v>
      </c>
      <c r="N1372" s="185">
        <f>IF( OR( ISBLANK(H1372),ISBLANK(J1372), ISBLANK(K1372), ISBLANK(L1372), ISBLANK(M1372) ), "", 1.5*SQRT(   EXP(2.21*(H1372-1)) + EXP(2.21*(J1372-1)) + EXP(2.21*(K1372-1)) + EXP(2.21*(L1372-1)) + EXP(2.21*M1372)   )/100*2.45 )</f>
        <v>0.16933510251023262</v>
      </c>
      <c r="O1372" s="159">
        <f>IF( OR( ISBLANK(I1372),ISBLANK(J1372), ISBLANK(K1372), ISBLANK(L1372), ISBLANK(M1372) ), "", 1.5*SQRT( EXP(2.21*(I1372-1)) + EXP(2.21*(J1372-1)) + EXP(2.21*(K1372-1)) + EXP(2.21*(L1372-1)) + EXP(2.21*M1372)   )/100*2.45 )</f>
        <v>0.19908580854301616</v>
      </c>
      <c r="P1372" s="34" t="s">
        <v>833</v>
      </c>
    </row>
    <row r="1373" spans="1:16">
      <c r="A1373" s="59" t="s">
        <v>450</v>
      </c>
      <c r="B1373" s="336" t="s">
        <v>454</v>
      </c>
      <c r="C1373" s="34" t="s">
        <v>139</v>
      </c>
      <c r="D1373" s="40" t="s">
        <v>99</v>
      </c>
      <c r="E1373" s="237">
        <f>0.1*E1367</f>
        <v>3.9400000000000004E-2</v>
      </c>
      <c r="F1373" s="40">
        <v>2</v>
      </c>
      <c r="G1373" s="34" t="s">
        <v>412</v>
      </c>
      <c r="H1373" s="29">
        <v>1</v>
      </c>
      <c r="I1373" s="9">
        <v>2</v>
      </c>
      <c r="J1373" s="9">
        <v>2</v>
      </c>
      <c r="K1373" s="9">
        <v>1</v>
      </c>
      <c r="L1373" s="9">
        <v>1</v>
      </c>
      <c r="M1373" s="9">
        <v>1</v>
      </c>
      <c r="N1373" s="185">
        <f>IF( OR( ISBLANK(H1373),ISBLANK(J1373), ISBLANK(K1373), ISBLANK(L1373), ISBLANK(M1373) ), "", 1.5*SQRT(   EXP(2.21*(H1373-1)) + EXP(2.21*(J1373-1)) + EXP(2.21*(K1373-1)) + EXP(2.21*(L1373-1)) + EXP(2.21*M1373)   )/100*2.45 )</f>
        <v>0.16933510251023262</v>
      </c>
      <c r="O1373" s="159">
        <f>IF( OR( ISBLANK(I1373),ISBLANK(J1373), ISBLANK(K1373), ISBLANK(L1373), ISBLANK(M1373) ), "", 1.5*SQRT( EXP(2.21*(I1373-1)) + EXP(2.21*(J1373-1)) + EXP(2.21*(K1373-1)) + EXP(2.21*(L1373-1)) + EXP(2.21*M1373)   )/100*2.45 )</f>
        <v>0.19908580854301616</v>
      </c>
      <c r="P1373" s="34" t="s">
        <v>835</v>
      </c>
    </row>
    <row r="1374" spans="1:16">
      <c r="A1374" s="59" t="s">
        <v>450</v>
      </c>
      <c r="B1374" s="336" t="s">
        <v>455</v>
      </c>
      <c r="C1374" s="34" t="s">
        <v>139</v>
      </c>
      <c r="D1374" s="40" t="s">
        <v>99</v>
      </c>
      <c r="E1374" s="237" t="s">
        <v>150</v>
      </c>
      <c r="F1374" s="40">
        <v>1</v>
      </c>
      <c r="G1374" s="34" t="s">
        <v>412</v>
      </c>
      <c r="H1374" s="29"/>
      <c r="I1374" s="9"/>
      <c r="J1374" s="9"/>
      <c r="K1374" s="9"/>
      <c r="L1374" s="9"/>
      <c r="M1374" s="9"/>
      <c r="N1374" s="185" t="str">
        <f>IF( OR( ISBLANK(H1374),ISBLANK(J1374), ISBLANK(K1374), ISBLANK(L1374), ISBLANK(M1374) ), "", 1.5*SQRT(   EXP(2.21*(H1374-1)) + EXP(2.21*(J1374-1)) + EXP(2.21*(K1374-1)) + EXP(2.21*(L1374-1)) + EXP(2.21*M1374)   )/100*2.45 )</f>
        <v/>
      </c>
      <c r="O1374" s="159" t="str">
        <f>IF( OR( ISBLANK(I1374),ISBLANK(J1374), ISBLANK(K1374), ISBLANK(L1374), ISBLANK(M1374) ), "", 1.5*SQRT( EXP(2.21*(I1374-1)) + EXP(2.21*(J1374-1)) + EXP(2.21*(K1374-1)) + EXP(2.21*(L1374-1)) + EXP(2.21*M1374)   )/100*2.45 )</f>
        <v/>
      </c>
      <c r="P1374" s="34" t="s">
        <v>1923</v>
      </c>
    </row>
    <row r="1375" spans="1:16">
      <c r="A1375" s="59" t="s">
        <v>455</v>
      </c>
      <c r="B1375" s="336" t="s">
        <v>228</v>
      </c>
      <c r="C1375" s="34" t="s">
        <v>139</v>
      </c>
      <c r="D1375" s="40" t="s">
        <v>99</v>
      </c>
      <c r="E1375" s="237">
        <v>0</v>
      </c>
      <c r="F1375" s="40">
        <v>2</v>
      </c>
      <c r="G1375" s="34" t="s">
        <v>412</v>
      </c>
      <c r="H1375" s="29">
        <v>1</v>
      </c>
      <c r="I1375" s="9">
        <v>2</v>
      </c>
      <c r="J1375" s="9">
        <v>2</v>
      </c>
      <c r="K1375" s="9">
        <v>1</v>
      </c>
      <c r="L1375" s="9">
        <v>1</v>
      </c>
      <c r="M1375" s="9">
        <v>1</v>
      </c>
      <c r="N1375" s="185">
        <f>IF( OR( ISBLANK(H1375),ISBLANK(J1375), ISBLANK(K1375), ISBLANK(L1375), ISBLANK(M1375) ), "", 1.5*SQRT(   EXP(2.21*(H1375-1)) + EXP(2.21*(J1375-1)) + EXP(2.21*(K1375-1)) + EXP(2.21*(L1375-1)) + EXP(2.21*M1375)   )/100*2.45 )</f>
        <v>0.16933510251023262</v>
      </c>
      <c r="O1375" s="159">
        <f>IF( OR( ISBLANK(I1375),ISBLANK(J1375), ISBLANK(K1375), ISBLANK(L1375), ISBLANK(M1375) ), "", 1.5*SQRT( EXP(2.21*(I1375-1)) + EXP(2.21*(J1375-1)) + EXP(2.21*(K1375-1)) + EXP(2.21*(L1375-1)) + EXP(2.21*M1375)   )/100*2.45 )</f>
        <v>0.19908580854301616</v>
      </c>
      <c r="P1375" s="34" t="s">
        <v>837</v>
      </c>
    </row>
    <row r="1376" spans="1:16">
      <c r="A1376" s="59" t="s">
        <v>455</v>
      </c>
      <c r="B1376" s="336" t="s">
        <v>327</v>
      </c>
      <c r="C1376" s="34" t="s">
        <v>139</v>
      </c>
      <c r="D1376" s="40" t="s">
        <v>99</v>
      </c>
      <c r="E1376" s="237" t="s">
        <v>150</v>
      </c>
      <c r="F1376" s="40">
        <v>1</v>
      </c>
      <c r="G1376" s="34" t="s">
        <v>412</v>
      </c>
      <c r="H1376" s="29"/>
      <c r="I1376" s="9"/>
      <c r="J1376" s="9"/>
      <c r="K1376" s="9"/>
      <c r="L1376" s="9"/>
      <c r="M1376" s="9"/>
      <c r="N1376" s="185" t="str">
        <f>IF( OR( ISBLANK(H1376),ISBLANK(J1376), ISBLANK(K1376), ISBLANK(L1376), ISBLANK(M1376) ), "", 1.5*SQRT(   EXP(2.21*(H1376-1)) + EXP(2.21*(J1376-1)) + EXP(2.21*(K1376-1)) + EXP(2.21*(L1376-1)) + EXP(2.21*M1376)   )/100*2.45 )</f>
        <v/>
      </c>
      <c r="O1376" s="159" t="str">
        <f>IF( OR( ISBLANK(I1376),ISBLANK(J1376), ISBLANK(K1376), ISBLANK(L1376), ISBLANK(M1376) ), "", 1.5*SQRT( EXP(2.21*(I1376-1)) + EXP(2.21*(J1376-1)) + EXP(2.21*(K1376-1)) + EXP(2.21*(L1376-1)) + EXP(2.21*M1376)   )/100*2.45 )</f>
        <v/>
      </c>
      <c r="P1376" s="34" t="s">
        <v>1924</v>
      </c>
    </row>
    <row r="1377" spans="1:16">
      <c r="A1377" s="59" t="s">
        <v>454</v>
      </c>
      <c r="B1377" s="336" t="s">
        <v>228</v>
      </c>
      <c r="C1377" s="34" t="s">
        <v>139</v>
      </c>
      <c r="D1377" s="40" t="s">
        <v>99</v>
      </c>
      <c r="E1377" s="237">
        <v>1</v>
      </c>
      <c r="F1377" s="40">
        <v>2</v>
      </c>
      <c r="G1377" s="34" t="s">
        <v>412</v>
      </c>
      <c r="H1377" s="29">
        <v>1</v>
      </c>
      <c r="I1377" s="9">
        <v>2</v>
      </c>
      <c r="J1377" s="9">
        <v>2</v>
      </c>
      <c r="K1377" s="9">
        <v>1</v>
      </c>
      <c r="L1377" s="9">
        <v>1</v>
      </c>
      <c r="M1377" s="9">
        <v>1</v>
      </c>
      <c r="N1377" s="185">
        <f>IF( OR( ISBLANK(H1377),ISBLANK(J1377), ISBLANK(K1377), ISBLANK(L1377), ISBLANK(M1377) ), "", 1.5*SQRT(   EXP(2.21*(H1377-1)) + EXP(2.21*(J1377-1)) + EXP(2.21*(K1377-1)) + EXP(2.21*(L1377-1)) + EXP(2.21*M1377)   )/100*2.45 )</f>
        <v>0.16933510251023262</v>
      </c>
      <c r="O1377" s="159">
        <f>IF( OR( ISBLANK(I1377),ISBLANK(J1377), ISBLANK(K1377), ISBLANK(L1377), ISBLANK(M1377) ), "", 1.5*SQRT( EXP(2.21*(I1377-1)) + EXP(2.21*(J1377-1)) + EXP(2.21*(K1377-1)) + EXP(2.21*(L1377-1)) + EXP(2.21*M1377)   )/100*2.45 )</f>
        <v>0.19908580854301616</v>
      </c>
      <c r="P1377" s="34" t="s">
        <v>836</v>
      </c>
    </row>
    <row r="1378" spans="1:16">
      <c r="A1378" s="59" t="s">
        <v>449</v>
      </c>
      <c r="B1378" s="336" t="s">
        <v>452</v>
      </c>
      <c r="C1378" s="34" t="s">
        <v>139</v>
      </c>
      <c r="D1378" s="40" t="s">
        <v>99</v>
      </c>
      <c r="E1378" s="237">
        <v>0.03</v>
      </c>
      <c r="F1378" s="40">
        <v>2</v>
      </c>
      <c r="G1378" s="34" t="s">
        <v>412</v>
      </c>
      <c r="H1378" s="29">
        <v>1</v>
      </c>
      <c r="I1378" s="9">
        <v>2</v>
      </c>
      <c r="J1378" s="9">
        <v>2</v>
      </c>
      <c r="K1378" s="9">
        <v>1</v>
      </c>
      <c r="L1378" s="9">
        <v>1</v>
      </c>
      <c r="M1378" s="9">
        <v>1</v>
      </c>
      <c r="N1378" s="185">
        <f>IF( OR( ISBLANK(H1378),ISBLANK(J1378), ISBLANK(K1378), ISBLANK(L1378), ISBLANK(M1378) ), "", 1.5*SQRT(   EXP(2.21*(H1378-1)) + EXP(2.21*(J1378-1)) + EXP(2.21*(K1378-1)) + EXP(2.21*(L1378-1)) + EXP(2.21*M1378)   )/100*2.45 )</f>
        <v>0.16933510251023262</v>
      </c>
      <c r="O1378" s="159">
        <f>IF( OR( ISBLANK(I1378),ISBLANK(J1378), ISBLANK(K1378), ISBLANK(L1378), ISBLANK(M1378) ), "", 1.5*SQRT( EXP(2.21*(I1378-1)) + EXP(2.21*(J1378-1)) + EXP(2.21*(K1378-1)) + EXP(2.21*(L1378-1)) + EXP(2.21*M1378)   )/100*2.45 )</f>
        <v>0.19908580854301616</v>
      </c>
      <c r="P1378" s="34" t="s">
        <v>834</v>
      </c>
    </row>
    <row r="1379" spans="1:16">
      <c r="A1379" s="59" t="s">
        <v>449</v>
      </c>
      <c r="B1379" s="336" t="s">
        <v>453</v>
      </c>
      <c r="C1379" s="34" t="s">
        <v>139</v>
      </c>
      <c r="D1379" s="40" t="s">
        <v>99</v>
      </c>
      <c r="E1379" s="237" t="s">
        <v>150</v>
      </c>
      <c r="F1379" s="40">
        <v>1</v>
      </c>
      <c r="G1379" s="34" t="s">
        <v>412</v>
      </c>
      <c r="H1379" s="29"/>
      <c r="I1379" s="9"/>
      <c r="J1379" s="9"/>
      <c r="K1379" s="9"/>
      <c r="L1379" s="9"/>
      <c r="M1379" s="9"/>
      <c r="N1379" s="185" t="str">
        <f>IF( OR( ISBLANK(H1379),ISBLANK(J1379), ISBLANK(K1379), ISBLANK(L1379), ISBLANK(M1379) ), "", 1.5*SQRT(   EXP(2.21*(H1379-1)) + EXP(2.21*(J1379-1)) + EXP(2.21*(K1379-1)) + EXP(2.21*(L1379-1)) + EXP(2.21*M1379)   )/100*2.45 )</f>
        <v/>
      </c>
      <c r="O1379" s="159" t="str">
        <f>IF( OR( ISBLANK(I1379),ISBLANK(J1379), ISBLANK(K1379), ISBLANK(L1379), ISBLANK(M1379) ), "", 1.5*SQRT( EXP(2.21*(I1379-1)) + EXP(2.21*(J1379-1)) + EXP(2.21*(K1379-1)) + EXP(2.21*(L1379-1)) + EXP(2.21*M1379)   )/100*2.45 )</f>
        <v/>
      </c>
      <c r="P1379" s="34" t="s">
        <v>1923</v>
      </c>
    </row>
    <row r="1380" spans="1:16">
      <c r="A1380" s="59" t="s">
        <v>453</v>
      </c>
      <c r="B1380" s="336" t="s">
        <v>231</v>
      </c>
      <c r="C1380" s="34" t="s">
        <v>139</v>
      </c>
      <c r="D1380" s="40" t="s">
        <v>99</v>
      </c>
      <c r="E1380" s="237">
        <v>0</v>
      </c>
      <c r="F1380" s="40">
        <v>2</v>
      </c>
      <c r="G1380" s="34" t="s">
        <v>412</v>
      </c>
      <c r="H1380" s="29">
        <v>1</v>
      </c>
      <c r="I1380" s="9">
        <v>2</v>
      </c>
      <c r="J1380" s="9">
        <v>2</v>
      </c>
      <c r="K1380" s="9">
        <v>1</v>
      </c>
      <c r="L1380" s="9">
        <v>1</v>
      </c>
      <c r="M1380" s="9">
        <v>1</v>
      </c>
      <c r="N1380" s="185">
        <f>IF( OR( ISBLANK(H1380),ISBLANK(J1380), ISBLANK(K1380), ISBLANK(L1380), ISBLANK(M1380) ), "", 1.5*SQRT(   EXP(2.21*(H1380-1)) + EXP(2.21*(J1380-1)) + EXP(2.21*(K1380-1)) + EXP(2.21*(L1380-1)) + EXP(2.21*M1380)   )/100*2.45 )</f>
        <v>0.16933510251023262</v>
      </c>
      <c r="O1380" s="159">
        <f>IF( OR( ISBLANK(I1380),ISBLANK(J1380), ISBLANK(K1380), ISBLANK(L1380), ISBLANK(M1380) ), "", 1.5*SQRT( EXP(2.21*(I1380-1)) + EXP(2.21*(J1380-1)) + EXP(2.21*(K1380-1)) + EXP(2.21*(L1380-1)) + EXP(2.21*M1380)   )/100*2.45 )</f>
        <v>0.19908580854301616</v>
      </c>
      <c r="P1380" s="34" t="s">
        <v>1948</v>
      </c>
    </row>
    <row r="1381" spans="1:16">
      <c r="A1381" s="59" t="s">
        <v>453</v>
      </c>
      <c r="B1381" s="336" t="s">
        <v>232</v>
      </c>
      <c r="C1381" s="34" t="s">
        <v>139</v>
      </c>
      <c r="D1381" s="40" t="s">
        <v>99</v>
      </c>
      <c r="E1381" s="237">
        <v>0</v>
      </c>
      <c r="F1381" s="40">
        <v>2</v>
      </c>
      <c r="G1381" s="34" t="s">
        <v>412</v>
      </c>
      <c r="H1381" s="29">
        <v>1</v>
      </c>
      <c r="I1381" s="9">
        <v>2</v>
      </c>
      <c r="J1381" s="9">
        <v>2</v>
      </c>
      <c r="K1381" s="9">
        <v>1</v>
      </c>
      <c r="L1381" s="9">
        <v>1</v>
      </c>
      <c r="M1381" s="9">
        <v>1</v>
      </c>
      <c r="N1381" s="185">
        <f>IF( OR( ISBLANK(H1381),ISBLANK(J1381), ISBLANK(K1381), ISBLANK(L1381), ISBLANK(M1381) ), "", 1.5*SQRT(   EXP(2.21*(H1381-1)) + EXP(2.21*(J1381-1)) + EXP(2.21*(K1381-1)) + EXP(2.21*(L1381-1)) + EXP(2.21*M1381)   )/100*2.45 )</f>
        <v>0.16933510251023262</v>
      </c>
      <c r="O1381" s="159">
        <f>IF( OR( ISBLANK(I1381),ISBLANK(J1381), ISBLANK(K1381), ISBLANK(L1381), ISBLANK(M1381) ), "", 1.5*SQRT( EXP(2.21*(I1381-1)) + EXP(2.21*(J1381-1)) + EXP(2.21*(K1381-1)) + EXP(2.21*(L1381-1)) + EXP(2.21*M1381)   )/100*2.45 )</f>
        <v>0.19908580854301616</v>
      </c>
      <c r="P1381" s="34" t="s">
        <v>1948</v>
      </c>
    </row>
    <row r="1382" spans="1:16">
      <c r="A1382" s="59" t="s">
        <v>453</v>
      </c>
      <c r="B1382" s="336" t="s">
        <v>251</v>
      </c>
      <c r="C1382" s="34" t="s">
        <v>139</v>
      </c>
      <c r="D1382" s="40" t="s">
        <v>99</v>
      </c>
      <c r="E1382" s="237">
        <v>0</v>
      </c>
      <c r="F1382" s="40">
        <v>2</v>
      </c>
      <c r="G1382" s="34" t="s">
        <v>412</v>
      </c>
      <c r="H1382" s="29">
        <v>1</v>
      </c>
      <c r="I1382" s="9">
        <v>2</v>
      </c>
      <c r="J1382" s="9">
        <v>2</v>
      </c>
      <c r="K1382" s="9">
        <v>1</v>
      </c>
      <c r="L1382" s="9">
        <v>1</v>
      </c>
      <c r="M1382" s="9">
        <v>1</v>
      </c>
      <c r="N1382" s="185">
        <f>IF( OR( ISBLANK(H1382),ISBLANK(J1382), ISBLANK(K1382), ISBLANK(L1382), ISBLANK(M1382) ), "", 1.5*SQRT(   EXP(2.21*(H1382-1)) + EXP(2.21*(J1382-1)) + EXP(2.21*(K1382-1)) + EXP(2.21*(L1382-1)) + EXP(2.21*M1382)   )/100*2.45 )</f>
        <v>0.16933510251023262</v>
      </c>
      <c r="O1382" s="159">
        <f>IF( OR( ISBLANK(I1382),ISBLANK(J1382), ISBLANK(K1382), ISBLANK(L1382), ISBLANK(M1382) ), "", 1.5*SQRT( EXP(2.21*(I1382-1)) + EXP(2.21*(J1382-1)) + EXP(2.21*(K1382-1)) + EXP(2.21*(L1382-1)) + EXP(2.21*M1382)   )/100*2.45 )</f>
        <v>0.19908580854301616</v>
      </c>
      <c r="P1382" s="34" t="s">
        <v>1948</v>
      </c>
    </row>
    <row r="1383" spans="1:16">
      <c r="A1383" s="59" t="s">
        <v>453</v>
      </c>
      <c r="B1383" s="336" t="s">
        <v>258</v>
      </c>
      <c r="C1383" s="34" t="s">
        <v>139</v>
      </c>
      <c r="D1383" s="40" t="s">
        <v>99</v>
      </c>
      <c r="E1383" s="237">
        <v>0</v>
      </c>
      <c r="F1383" s="40">
        <v>2</v>
      </c>
      <c r="G1383" s="34" t="s">
        <v>412</v>
      </c>
      <c r="H1383" s="29">
        <v>1</v>
      </c>
      <c r="I1383" s="9">
        <v>2</v>
      </c>
      <c r="J1383" s="9">
        <v>2</v>
      </c>
      <c r="K1383" s="9">
        <v>1</v>
      </c>
      <c r="L1383" s="9">
        <v>1</v>
      </c>
      <c r="M1383" s="9">
        <v>1</v>
      </c>
      <c r="N1383" s="185">
        <f>IF( OR( ISBLANK(H1383),ISBLANK(J1383), ISBLANK(K1383), ISBLANK(L1383), ISBLANK(M1383) ), "", 1.5*SQRT(   EXP(2.21*(H1383-1)) + EXP(2.21*(J1383-1)) + EXP(2.21*(K1383-1)) + EXP(2.21*(L1383-1)) + EXP(2.21*M1383)   )/100*2.45 )</f>
        <v>0.16933510251023262</v>
      </c>
      <c r="O1383" s="159">
        <f>IF( OR( ISBLANK(I1383),ISBLANK(J1383), ISBLANK(K1383), ISBLANK(L1383), ISBLANK(M1383) ), "", 1.5*SQRT( EXP(2.21*(I1383-1)) + EXP(2.21*(J1383-1)) + EXP(2.21*(K1383-1)) + EXP(2.21*(L1383-1)) + EXP(2.21*M1383)   )/100*2.45 )</f>
        <v>0.19908580854301616</v>
      </c>
      <c r="P1383" s="34" t="s">
        <v>1948</v>
      </c>
    </row>
    <row r="1384" spans="1:16">
      <c r="A1384" s="59" t="s">
        <v>453</v>
      </c>
      <c r="B1384" s="336" t="s">
        <v>327</v>
      </c>
      <c r="C1384" s="34" t="s">
        <v>139</v>
      </c>
      <c r="D1384" s="40" t="s">
        <v>99</v>
      </c>
      <c r="E1384" s="237" t="s">
        <v>150</v>
      </c>
      <c r="F1384" s="40">
        <v>1</v>
      </c>
      <c r="G1384" s="34" t="s">
        <v>412</v>
      </c>
      <c r="H1384" s="29"/>
      <c r="I1384" s="9"/>
      <c r="J1384" s="9"/>
      <c r="K1384" s="9"/>
      <c r="L1384" s="9"/>
      <c r="M1384" s="9"/>
      <c r="N1384" s="185" t="str">
        <f>IF( OR( ISBLANK(H1384),ISBLANK(J1384), ISBLANK(K1384), ISBLANK(L1384), ISBLANK(M1384) ), "", 1.5*SQRT(   EXP(2.21*(H1384-1)) + EXP(2.21*(J1384-1)) + EXP(2.21*(K1384-1)) + EXP(2.21*(L1384-1)) + EXP(2.21*M1384)   )/100*2.45 )</f>
        <v/>
      </c>
      <c r="O1384" s="159" t="str">
        <f>IF( OR( ISBLANK(I1384),ISBLANK(J1384), ISBLANK(K1384), ISBLANK(L1384), ISBLANK(M1384) ), "", 1.5*SQRT( EXP(2.21*(I1384-1)) + EXP(2.21*(J1384-1)) + EXP(2.21*(K1384-1)) + EXP(2.21*(L1384-1)) + EXP(2.21*M1384)   )/100*2.45 )</f>
        <v/>
      </c>
      <c r="P1384" s="34"/>
    </row>
    <row r="1385" spans="1:16">
      <c r="A1385" s="59" t="s">
        <v>452</v>
      </c>
      <c r="B1385" s="336" t="s">
        <v>231</v>
      </c>
      <c r="C1385" s="34" t="s">
        <v>139</v>
      </c>
      <c r="D1385" s="40" t="s">
        <v>99</v>
      </c>
      <c r="E1385" s="237">
        <v>0.05</v>
      </c>
      <c r="F1385" s="40">
        <v>2</v>
      </c>
      <c r="G1385" s="34" t="s">
        <v>157</v>
      </c>
      <c r="H1385" s="29">
        <v>1</v>
      </c>
      <c r="I1385" s="9">
        <v>2</v>
      </c>
      <c r="J1385" s="9">
        <v>2</v>
      </c>
      <c r="K1385" s="9">
        <v>1</v>
      </c>
      <c r="L1385" s="9">
        <v>3</v>
      </c>
      <c r="M1385" s="9">
        <v>3</v>
      </c>
      <c r="N1385" s="185">
        <f>IF( OR( ISBLANK(H1385),ISBLANK(J1385), ISBLANK(K1385), ISBLANK(L1385), ISBLANK(M1385) ), "", 1.5*SQRT(   EXP(2.21*(H1385-1)) + EXP(2.21*(J1385-1)) + EXP(2.21*(K1385-1)) + EXP(2.21*(L1385-1)) + EXP(2.21*M1385)   )/100*2.45 )</f>
        <v>1.0725046436742278</v>
      </c>
      <c r="O1385" s="159">
        <f>IF( OR( ISBLANK(I1385),ISBLANK(J1385), ISBLANK(K1385), ISBLANK(L1385), ISBLANK(M1385) ), "", 1.5*SQRT( EXP(2.21*(I1385-1)) + EXP(2.21*(J1385-1)) + EXP(2.21*(K1385-1)) + EXP(2.21*(L1385-1)) + EXP(2.21*M1385)   )/100*2.45 )</f>
        <v>1.0776024280428556</v>
      </c>
      <c r="P1385" s="34" t="s">
        <v>1916</v>
      </c>
    </row>
    <row r="1386" spans="1:16">
      <c r="A1386" s="59" t="s">
        <v>452</v>
      </c>
      <c r="B1386" s="336" t="s">
        <v>232</v>
      </c>
      <c r="C1386" s="34" t="s">
        <v>139</v>
      </c>
      <c r="D1386" s="40" t="s">
        <v>99</v>
      </c>
      <c r="E1386" s="237">
        <v>0.39400000000000002</v>
      </c>
      <c r="F1386" s="40">
        <v>2</v>
      </c>
      <c r="G1386" s="34" t="s">
        <v>412</v>
      </c>
      <c r="H1386" s="29">
        <v>1</v>
      </c>
      <c r="I1386" s="9">
        <v>2</v>
      </c>
      <c r="J1386" s="9">
        <v>2</v>
      </c>
      <c r="K1386" s="9">
        <v>1</v>
      </c>
      <c r="L1386" s="9">
        <v>1</v>
      </c>
      <c r="M1386" s="9">
        <v>1</v>
      </c>
      <c r="N1386" s="185">
        <f>IF( OR( ISBLANK(H1386),ISBLANK(J1386), ISBLANK(K1386), ISBLANK(L1386), ISBLANK(M1386) ), "", 1.5*SQRT(   EXP(2.21*(H1386-1)) + EXP(2.21*(J1386-1)) + EXP(2.21*(K1386-1)) + EXP(2.21*(L1386-1)) + EXP(2.21*M1386)   )/100*2.45 )</f>
        <v>0.16933510251023262</v>
      </c>
      <c r="O1386" s="159">
        <f>IF( OR( ISBLANK(I1386),ISBLANK(J1386), ISBLANK(K1386), ISBLANK(L1386), ISBLANK(M1386) ), "", 1.5*SQRT( EXP(2.21*(I1386-1)) + EXP(2.21*(J1386-1)) + EXP(2.21*(K1386-1)) + EXP(2.21*(L1386-1)) + EXP(2.21*M1386)   )/100*2.45 )</f>
        <v>0.19908580854301616</v>
      </c>
      <c r="P1386" s="34" t="s">
        <v>1940</v>
      </c>
    </row>
    <row r="1387" spans="1:16">
      <c r="A1387" s="59" t="s">
        <v>452</v>
      </c>
      <c r="B1387" s="336" t="s">
        <v>251</v>
      </c>
      <c r="C1387" s="34" t="s">
        <v>139</v>
      </c>
      <c r="D1387" s="40" t="s">
        <v>99</v>
      </c>
      <c r="E1387" s="237">
        <v>0.52200000000000002</v>
      </c>
      <c r="F1387" s="40">
        <v>1</v>
      </c>
      <c r="G1387" s="34" t="s">
        <v>412</v>
      </c>
      <c r="H1387" s="29">
        <v>1</v>
      </c>
      <c r="I1387" s="9">
        <v>2</v>
      </c>
      <c r="J1387" s="9">
        <v>2</v>
      </c>
      <c r="K1387" s="9">
        <v>1</v>
      </c>
      <c r="L1387" s="9">
        <v>1</v>
      </c>
      <c r="M1387" s="9">
        <v>1</v>
      </c>
      <c r="N1387" s="185">
        <f>IF( OR( ISBLANK(H1387),ISBLANK(J1387), ISBLANK(K1387), ISBLANK(L1387), ISBLANK(M1387) ), "", 1.5*SQRT(   EXP(2.21*(H1387-1)) + EXP(2.21*(J1387-1)) + EXP(2.21*(K1387-1)) + EXP(2.21*(L1387-1)) + EXP(2.21*M1387)   )/100*2.45 )</f>
        <v>0.16933510251023262</v>
      </c>
      <c r="O1387" s="159">
        <f>IF( OR( ISBLANK(I1387),ISBLANK(J1387), ISBLANK(K1387), ISBLANK(L1387), ISBLANK(M1387) ), "", 1.5*SQRT( EXP(2.21*(I1387-1)) + EXP(2.21*(J1387-1)) + EXP(2.21*(K1387-1)) + EXP(2.21*(L1387-1)) + EXP(2.21*M1387)   )/100*2.45 )</f>
        <v>0.19908580854301616</v>
      </c>
      <c r="P1387" s="34" t="s">
        <v>1941</v>
      </c>
    </row>
    <row r="1388" spans="1:16">
      <c r="A1388" s="59" t="s">
        <v>452</v>
      </c>
      <c r="B1388" s="336" t="s">
        <v>258</v>
      </c>
      <c r="C1388" s="34" t="s">
        <v>139</v>
      </c>
      <c r="D1388" s="40" t="s">
        <v>99</v>
      </c>
      <c r="E1388" s="237">
        <v>3.4000000000000002E-2</v>
      </c>
      <c r="F1388" s="40">
        <v>2</v>
      </c>
      <c r="G1388" s="34" t="s">
        <v>412</v>
      </c>
      <c r="H1388" s="29">
        <v>1</v>
      </c>
      <c r="I1388" s="9">
        <v>2</v>
      </c>
      <c r="J1388" s="9">
        <v>2</v>
      </c>
      <c r="K1388" s="9">
        <v>1</v>
      </c>
      <c r="L1388" s="9">
        <v>1</v>
      </c>
      <c r="M1388" s="9">
        <v>1</v>
      </c>
      <c r="N1388" s="185"/>
      <c r="O1388" s="159"/>
      <c r="P1388" s="34" t="s">
        <v>1942</v>
      </c>
    </row>
    <row r="1389" spans="1:16">
      <c r="A1389" s="34" t="s">
        <v>356</v>
      </c>
      <c r="B1389" s="40" t="s">
        <v>357</v>
      </c>
      <c r="C1389" s="34" t="s">
        <v>139</v>
      </c>
      <c r="D1389" s="40" t="s">
        <v>139</v>
      </c>
      <c r="E1389" s="237">
        <v>0.03</v>
      </c>
      <c r="F1389" s="168">
        <v>2</v>
      </c>
      <c r="G1389" s="34" t="s">
        <v>358</v>
      </c>
      <c r="H1389" s="29">
        <v>2</v>
      </c>
      <c r="I1389" s="9">
        <v>2</v>
      </c>
      <c r="J1389" s="9">
        <v>2</v>
      </c>
      <c r="K1389" s="9">
        <v>1</v>
      </c>
      <c r="L1389" s="9">
        <v>1</v>
      </c>
      <c r="M1389" s="9">
        <v>2</v>
      </c>
      <c r="N1389" s="185">
        <f>IF( OR( ISBLANK(H1389),ISBLANK(J1389), ISBLANK(K1389), ISBLANK(L1389), ISBLANK(M1389) ), "", 1.5*SQRT(   EXP(2.21*(H1389-1)) + EXP(2.21*(J1389-1)) + EXP(2.21*(K1389-1)) + EXP(2.21*(L1389-1)) + EXP(2.21*M1389)   )/100*2.45 )</f>
        <v>0.37356464144298934</v>
      </c>
      <c r="O1389" s="159">
        <f>IF( OR( ISBLANK(I1389),ISBLANK(J1389), ISBLANK(K1389), ISBLANK(L1389), ISBLANK(M1389) ), "", 1.5*SQRT( EXP(2.21*(I1389-1)) + EXP(2.21*(J1389-1)) + EXP(2.21*(K1389-1)) + EXP(2.21*(L1389-1)) + EXP(2.21*M1389)   )/100*2.45 )</f>
        <v>0.37356464144298934</v>
      </c>
      <c r="P1389" s="34" t="s">
        <v>359</v>
      </c>
    </row>
    <row r="1390" spans="1:16">
      <c r="A1390" s="34" t="s">
        <v>356</v>
      </c>
      <c r="B1390" s="40" t="s">
        <v>209</v>
      </c>
      <c r="C1390" s="34" t="s">
        <v>139</v>
      </c>
      <c r="D1390" s="40" t="s">
        <v>139</v>
      </c>
      <c r="E1390" s="237" t="s">
        <v>150</v>
      </c>
      <c r="F1390" s="168">
        <v>1</v>
      </c>
      <c r="G1390" s="34"/>
      <c r="H1390" s="29"/>
      <c r="I1390" s="9"/>
      <c r="J1390" s="9"/>
      <c r="K1390" s="9"/>
      <c r="L1390" s="9"/>
      <c r="M1390" s="9"/>
      <c r="N1390" s="185" t="str">
        <f>IF( OR( ISBLANK(H1390),ISBLANK(J1390), ISBLANK(K1390), ISBLANK(L1390), ISBLANK(M1390) ), "", 1.5*SQRT(   EXP(2.21*(H1390-1)) + EXP(2.21*(J1390-1)) + EXP(2.21*(K1390-1)) + EXP(2.21*(L1390-1)) + EXP(2.21*M1390)   )/100*2.45 )</f>
        <v/>
      </c>
      <c r="O1390" s="159" t="str">
        <f>IF( OR( ISBLANK(I1390),ISBLANK(J1390), ISBLANK(K1390), ISBLANK(L1390), ISBLANK(M1390) ), "", 1.5*SQRT( EXP(2.21*(I1390-1)) + EXP(2.21*(J1390-1)) + EXP(2.21*(K1390-1)) + EXP(2.21*(L1390-1)) + EXP(2.21*M1390)   )/100*2.45 )</f>
        <v/>
      </c>
      <c r="P1390" s="34"/>
    </row>
    <row r="1391" spans="1:16">
      <c r="A1391" s="361" t="s">
        <v>356</v>
      </c>
      <c r="B1391" s="40" t="s">
        <v>357</v>
      </c>
      <c r="C1391" s="34" t="s">
        <v>139</v>
      </c>
      <c r="D1391" s="40" t="s">
        <v>139</v>
      </c>
      <c r="E1391" s="55">
        <v>0.03</v>
      </c>
      <c r="F1391" s="168">
        <v>2</v>
      </c>
      <c r="G1391" s="34" t="s">
        <v>358</v>
      </c>
      <c r="H1391" s="29">
        <v>2</v>
      </c>
      <c r="I1391" s="9">
        <v>2</v>
      </c>
      <c r="J1391" s="9">
        <v>2</v>
      </c>
      <c r="K1391" s="9">
        <v>1</v>
      </c>
      <c r="L1391" s="9">
        <v>1</v>
      </c>
      <c r="M1391" s="9">
        <v>2</v>
      </c>
      <c r="N1391" s="185">
        <f>IF( OR( ISBLANK(H1391),ISBLANK(J1391), ISBLANK(K1391), ISBLANK(L1391), ISBLANK(M1391) ), "", 1.5*SQRT(   EXP(2.21*(H1391-1)) + EXP(2.21*(J1391-1)) + EXP(2.21*(K1391-1)) + EXP(2.21*(L1391-1)) + EXP(2.21*M1391)   )/100*2.45 )</f>
        <v>0.37356464144298934</v>
      </c>
      <c r="O1391" s="159">
        <f>IF( OR( ISBLANK(I1391),ISBLANK(J1391), ISBLANK(K1391), ISBLANK(L1391), ISBLANK(M1391) ), "", 1.5*SQRT( EXP(2.21*(I1391-1)) + EXP(2.21*(J1391-1)) + EXP(2.21*(K1391-1)) + EXP(2.21*(L1391-1)) + EXP(2.21*M1391)   )/100*2.45 )</f>
        <v>0.37356464144298934</v>
      </c>
      <c r="P1391" s="973"/>
    </row>
    <row r="1392" spans="1:16">
      <c r="A1392" s="361" t="s">
        <v>356</v>
      </c>
      <c r="B1392" s="1192" t="s">
        <v>265</v>
      </c>
      <c r="C1392" s="59" t="s">
        <v>180</v>
      </c>
      <c r="D1392" s="336" t="s">
        <v>139</v>
      </c>
      <c r="E1392" s="1278">
        <v>2E-3</v>
      </c>
      <c r="F1392" s="336">
        <v>2</v>
      </c>
      <c r="G1392" s="34" t="s">
        <v>2256</v>
      </c>
      <c r="H1392" s="806">
        <v>1</v>
      </c>
      <c r="I1392" s="617">
        <v>2</v>
      </c>
      <c r="J1392" s="617">
        <v>2</v>
      </c>
      <c r="K1392" s="617">
        <v>3</v>
      </c>
      <c r="L1392" s="617">
        <v>2</v>
      </c>
      <c r="M1392" s="617">
        <v>1</v>
      </c>
      <c r="N1392" s="185">
        <f>IF( OR( ISBLANK(H1392),ISBLANK(J1392), ISBLANK(K1392), ISBLANK(L1392), ISBLANK(M1392) ), "", 1.5*SQRT(   EXP(2.21*(H1392-1)) + EXP(2.21*(J1392-1)) + EXP(2.21*(K1392-1)) + EXP(2.21*(L1392-1)) + EXP(2.21*M1392)   )/100*2.45 )</f>
        <v>0.38795788889711297</v>
      </c>
      <c r="O1392" s="159">
        <f>IF( OR( ISBLANK(I1392),ISBLANK(J1392), ISBLANK(K1392), ISBLANK(L1392), ISBLANK(M1392) ), "", 1.5*SQRT( EXP(2.21*(I1392-1)) + EXP(2.21*(J1392-1)) + EXP(2.21*(K1392-1)) + EXP(2.21*(L1392-1)) + EXP(2.21*M1392)   )/100*2.45 )</f>
        <v>0.40183591897512122</v>
      </c>
      <c r="P1392" s="973"/>
    </row>
    <row r="1393" spans="1:16">
      <c r="A1393" s="361" t="s">
        <v>356</v>
      </c>
      <c r="B1393" s="1192" t="s">
        <v>265</v>
      </c>
      <c r="C1393" s="59" t="s">
        <v>182</v>
      </c>
      <c r="D1393" s="336" t="s">
        <v>139</v>
      </c>
      <c r="E1393" s="1278">
        <v>2E-3</v>
      </c>
      <c r="F1393" s="336">
        <v>2</v>
      </c>
      <c r="G1393" s="34" t="s">
        <v>2256</v>
      </c>
      <c r="H1393" s="806">
        <v>1</v>
      </c>
      <c r="I1393" s="617">
        <v>2</v>
      </c>
      <c r="J1393" s="617">
        <v>2</v>
      </c>
      <c r="K1393" s="617">
        <v>3</v>
      </c>
      <c r="L1393" s="617">
        <v>2</v>
      </c>
      <c r="M1393" s="617">
        <v>1</v>
      </c>
      <c r="N1393" s="185">
        <f>IF( OR( ISBLANK(H1393),ISBLANK(J1393), ISBLANK(K1393), ISBLANK(L1393), ISBLANK(M1393) ), "", 1.5*SQRT(   EXP(2.21*(H1393-1)) + EXP(2.21*(J1393-1)) + EXP(2.21*(K1393-1)) + EXP(2.21*(L1393-1)) + EXP(2.21*M1393)   )/100*2.45 )</f>
        <v>0.38795788889711297</v>
      </c>
      <c r="O1393" s="159">
        <f>IF( OR( ISBLANK(I1393),ISBLANK(J1393), ISBLANK(K1393), ISBLANK(L1393), ISBLANK(M1393) ), "", 1.5*SQRT( EXP(2.21*(I1393-1)) + EXP(2.21*(J1393-1)) + EXP(2.21*(K1393-1)) + EXP(2.21*(L1393-1)) + EXP(2.21*M1393)   )/100*2.45 )</f>
        <v>0.40183591897512122</v>
      </c>
      <c r="P1393" s="973"/>
    </row>
    <row r="1394" spans="1:16">
      <c r="A1394" s="361" t="s">
        <v>356</v>
      </c>
      <c r="B1394" s="40" t="s">
        <v>209</v>
      </c>
      <c r="C1394" s="59" t="s">
        <v>139</v>
      </c>
      <c r="D1394" s="336" t="s">
        <v>139</v>
      </c>
      <c r="E1394" s="1278" t="s">
        <v>150</v>
      </c>
      <c r="F1394" s="336">
        <v>1</v>
      </c>
      <c r="G1394" s="59"/>
      <c r="H1394" s="806"/>
      <c r="I1394" s="617"/>
      <c r="J1394" s="617"/>
      <c r="K1394" s="617"/>
      <c r="L1394" s="617"/>
      <c r="M1394" s="617"/>
      <c r="N1394" s="185"/>
      <c r="O1394" s="159"/>
      <c r="P1394" s="973"/>
    </row>
    <row r="1395" spans="1:16">
      <c r="A1395" s="34" t="s">
        <v>232</v>
      </c>
      <c r="B1395" s="40" t="s">
        <v>360</v>
      </c>
      <c r="C1395" s="34" t="s">
        <v>139</v>
      </c>
      <c r="D1395" s="40" t="s">
        <v>139</v>
      </c>
      <c r="E1395" s="55">
        <v>0.03</v>
      </c>
      <c r="F1395" s="168">
        <v>2</v>
      </c>
      <c r="G1395" s="34" t="s">
        <v>358</v>
      </c>
      <c r="H1395" s="29">
        <v>2</v>
      </c>
      <c r="I1395" s="9">
        <v>2</v>
      </c>
      <c r="J1395" s="9">
        <v>2</v>
      </c>
      <c r="K1395" s="9">
        <v>1</v>
      </c>
      <c r="L1395" s="9">
        <v>1</v>
      </c>
      <c r="M1395" s="9">
        <v>2</v>
      </c>
      <c r="N1395" s="185">
        <f>IF( OR( ISBLANK(H1395),ISBLANK(J1395), ISBLANK(K1395), ISBLANK(L1395), ISBLANK(M1395) ), "", 1.5*SQRT(   EXP(2.21*(H1395-1)) + EXP(2.21*(J1395-1)) + EXP(2.21*(K1395-1)) + EXP(2.21*(L1395-1)) + EXP(2.21*M1395)   )/100*2.45 )</f>
        <v>0.37356464144298934</v>
      </c>
      <c r="O1395" s="159">
        <f>IF( OR( ISBLANK(I1395),ISBLANK(J1395), ISBLANK(K1395), ISBLANK(L1395), ISBLANK(M1395) ), "", 1.5*SQRT( EXP(2.21*(I1395-1)) + EXP(2.21*(J1395-1)) + EXP(2.21*(K1395-1)) + EXP(2.21*(L1395-1)) + EXP(2.21*M1395)   )/100*2.45 )</f>
        <v>0.37356464144298934</v>
      </c>
      <c r="P1395" s="973"/>
    </row>
    <row r="1396" spans="1:16">
      <c r="A1396" s="34" t="s">
        <v>232</v>
      </c>
      <c r="B1396" s="40" t="s">
        <v>188</v>
      </c>
      <c r="C1396" s="34" t="s">
        <v>139</v>
      </c>
      <c r="D1396" s="40" t="s">
        <v>139</v>
      </c>
      <c r="E1396" s="55">
        <v>0.01</v>
      </c>
      <c r="F1396" s="168">
        <v>2</v>
      </c>
      <c r="G1396" s="34" t="s">
        <v>398</v>
      </c>
      <c r="H1396" s="29">
        <v>3</v>
      </c>
      <c r="I1396" s="9">
        <v>3</v>
      </c>
      <c r="J1396" s="9">
        <v>4</v>
      </c>
      <c r="K1396" s="9">
        <v>3</v>
      </c>
      <c r="L1396" s="9">
        <v>3</v>
      </c>
      <c r="M1396" s="9">
        <v>1</v>
      </c>
      <c r="N1396" s="185">
        <f>IF( OR( ISBLANK(H1396),ISBLANK(J1396), ISBLANK(K1396), ISBLANK(L1396), ISBLANK(M1396) ), "", 1.5*SQRT(   EXP(2.21*(H1396-1)) + EXP(2.21*(J1396-1)) + EXP(2.21*(K1396-1)) + EXP(2.21*(L1396-1)) + EXP(2.21*M1396)   )/100*2.45 )</f>
        <v>1.1713319510247036</v>
      </c>
      <c r="O1396" s="159">
        <f>IF( OR( ISBLANK(I1396),ISBLANK(J1396), ISBLANK(K1396), ISBLANK(L1396), ISBLANK(M1396) ), "", 1.5*SQRT( EXP(2.21*(I1396-1)) + EXP(2.21*(J1396-1)) + EXP(2.21*(K1396-1)) + EXP(2.21*(L1396-1)) + EXP(2.21*M1396)   )/100*2.45 )</f>
        <v>1.1713319510247036</v>
      </c>
      <c r="P1396" s="973"/>
    </row>
    <row r="1397" spans="1:16">
      <c r="A1397" s="34" t="s">
        <v>232</v>
      </c>
      <c r="B1397" s="40" t="s">
        <v>188</v>
      </c>
      <c r="C1397" s="34" t="s">
        <v>139</v>
      </c>
      <c r="D1397" s="40" t="s">
        <v>139</v>
      </c>
      <c r="E1397" s="55">
        <v>0.05</v>
      </c>
      <c r="F1397" s="168">
        <v>2</v>
      </c>
      <c r="G1397" s="34" t="s">
        <v>398</v>
      </c>
      <c r="H1397" s="29">
        <v>3</v>
      </c>
      <c r="I1397" s="9">
        <v>3</v>
      </c>
      <c r="J1397" s="9">
        <v>4</v>
      </c>
      <c r="K1397" s="9">
        <v>3</v>
      </c>
      <c r="L1397" s="9">
        <v>3</v>
      </c>
      <c r="M1397" s="9">
        <v>1</v>
      </c>
      <c r="N1397" s="185">
        <f>IF( OR( ISBLANK(H1397),ISBLANK(J1397), ISBLANK(K1397), ISBLANK(L1397), ISBLANK(M1397) ), "", 1.5*SQRT(   EXP(2.21*(H1397-1)) + EXP(2.21*(J1397-1)) + EXP(2.21*(K1397-1)) + EXP(2.21*(L1397-1)) + EXP(2.21*M1397)   )/100*2.45 )</f>
        <v>1.1713319510247036</v>
      </c>
      <c r="O1397" s="159">
        <f>IF( OR( ISBLANK(I1397),ISBLANK(J1397), ISBLANK(K1397), ISBLANK(L1397), ISBLANK(M1397) ), "", 1.5*SQRT( EXP(2.21*(I1397-1)) + EXP(2.21*(J1397-1)) + EXP(2.21*(K1397-1)) + EXP(2.21*(L1397-1)) + EXP(2.21*M1397)   )/100*2.45 )</f>
        <v>1.1713319510247036</v>
      </c>
      <c r="P1397" s="973"/>
    </row>
    <row r="1398" spans="1:16">
      <c r="A1398" s="361" t="s">
        <v>232</v>
      </c>
      <c r="B1398" s="1192" t="s">
        <v>258</v>
      </c>
      <c r="C1398" s="59" t="s">
        <v>180</v>
      </c>
      <c r="D1398" s="336" t="s">
        <v>139</v>
      </c>
      <c r="E1398" s="1278">
        <v>2E-3</v>
      </c>
      <c r="F1398" s="336">
        <v>2</v>
      </c>
      <c r="G1398" s="34" t="s">
        <v>2256</v>
      </c>
      <c r="H1398" s="806">
        <v>1</v>
      </c>
      <c r="I1398" s="617">
        <v>2</v>
      </c>
      <c r="J1398" s="617">
        <v>2</v>
      </c>
      <c r="K1398" s="617">
        <v>3</v>
      </c>
      <c r="L1398" s="617">
        <v>2</v>
      </c>
      <c r="M1398" s="617">
        <v>1</v>
      </c>
      <c r="N1398" s="185">
        <f>IF( OR( ISBLANK(H1398),ISBLANK(J1398), ISBLANK(K1398), ISBLANK(L1398), ISBLANK(M1398) ), "", 1.5*SQRT(   EXP(2.21*(H1398-1)) + EXP(2.21*(J1398-1)) + EXP(2.21*(K1398-1)) + EXP(2.21*(L1398-1)) + EXP(2.21*M1398)   )/100*2.45 )</f>
        <v>0.38795788889711297</v>
      </c>
      <c r="O1398" s="159">
        <f>IF( OR( ISBLANK(I1398),ISBLANK(J1398), ISBLANK(K1398), ISBLANK(L1398), ISBLANK(M1398) ), "", 1.5*SQRT( EXP(2.21*(I1398-1)) + EXP(2.21*(J1398-1)) + EXP(2.21*(K1398-1)) + EXP(2.21*(L1398-1)) + EXP(2.21*M1398)   )/100*2.45 )</f>
        <v>0.40183591897512122</v>
      </c>
      <c r="P1398" s="973"/>
    </row>
    <row r="1399" spans="1:16">
      <c r="A1399" s="361" t="s">
        <v>232</v>
      </c>
      <c r="B1399" s="1192" t="s">
        <v>258</v>
      </c>
      <c r="C1399" s="59" t="s">
        <v>182</v>
      </c>
      <c r="D1399" s="336" t="s">
        <v>139</v>
      </c>
      <c r="E1399" s="1278">
        <v>2E-3</v>
      </c>
      <c r="F1399" s="336">
        <v>2</v>
      </c>
      <c r="G1399" s="34" t="s">
        <v>2256</v>
      </c>
      <c r="H1399" s="806">
        <v>1</v>
      </c>
      <c r="I1399" s="617">
        <v>2</v>
      </c>
      <c r="J1399" s="617">
        <v>2</v>
      </c>
      <c r="K1399" s="617">
        <v>3</v>
      </c>
      <c r="L1399" s="617">
        <v>2</v>
      </c>
      <c r="M1399" s="617">
        <v>1</v>
      </c>
      <c r="N1399" s="185">
        <f>IF( OR( ISBLANK(H1399),ISBLANK(J1399), ISBLANK(K1399), ISBLANK(L1399), ISBLANK(M1399) ), "", 1.5*SQRT(   EXP(2.21*(H1399-1)) + EXP(2.21*(J1399-1)) + EXP(2.21*(K1399-1)) + EXP(2.21*(L1399-1)) + EXP(2.21*M1399)   )/100*2.45 )</f>
        <v>0.38795788889711297</v>
      </c>
      <c r="O1399" s="159">
        <f>IF( OR( ISBLANK(I1399),ISBLANK(J1399), ISBLANK(K1399), ISBLANK(L1399), ISBLANK(M1399) ), "", 1.5*SQRT( EXP(2.21*(I1399-1)) + EXP(2.21*(J1399-1)) + EXP(2.21*(K1399-1)) + EXP(2.21*(L1399-1)) + EXP(2.21*M1399)   )/100*2.45 )</f>
        <v>0.40183591897512122</v>
      </c>
      <c r="P1399" s="973"/>
    </row>
    <row r="1400" spans="1:16">
      <c r="A1400" s="361" t="s">
        <v>232</v>
      </c>
      <c r="B1400" s="40" t="s">
        <v>215</v>
      </c>
      <c r="C1400" s="59" t="s">
        <v>139</v>
      </c>
      <c r="D1400" s="336" t="s">
        <v>139</v>
      </c>
      <c r="E1400" s="1278" t="s">
        <v>150</v>
      </c>
      <c r="F1400" s="336">
        <v>1</v>
      </c>
      <c r="G1400" s="59"/>
      <c r="H1400" s="806"/>
      <c r="I1400" s="617"/>
      <c r="J1400" s="617"/>
      <c r="K1400" s="617"/>
      <c r="L1400" s="617"/>
      <c r="M1400" s="617"/>
      <c r="N1400" s="185"/>
      <c r="O1400" s="159"/>
      <c r="P1400" s="973"/>
    </row>
    <row r="1401" spans="1:16">
      <c r="A1401" s="34" t="s">
        <v>209</v>
      </c>
      <c r="B1401" s="40" t="s">
        <v>210</v>
      </c>
      <c r="C1401" s="34" t="s">
        <v>139</v>
      </c>
      <c r="D1401" s="40" t="s">
        <v>139</v>
      </c>
      <c r="E1401" s="237">
        <v>0.08</v>
      </c>
      <c r="F1401" s="168">
        <v>2</v>
      </c>
      <c r="G1401" s="34" t="s">
        <v>211</v>
      </c>
      <c r="H1401" s="29">
        <v>1</v>
      </c>
      <c r="I1401" s="9">
        <v>2</v>
      </c>
      <c r="J1401" s="9">
        <v>3</v>
      </c>
      <c r="K1401" s="9">
        <v>2</v>
      </c>
      <c r="L1401" s="9">
        <v>3</v>
      </c>
      <c r="M1401" s="9">
        <v>1</v>
      </c>
      <c r="N1401" s="185">
        <f>IF( OR( ISBLANK(H1401),ISBLANK(J1401), ISBLANK(K1401), ISBLANK(L1401), ISBLANK(M1401) ), "", 1.5*SQRT(   EXP(2.21*(H1401-1)) + EXP(2.21*(J1401-1)) + EXP(2.21*(K1401-1)) + EXP(2.21*(L1401-1)) + EXP(2.21*M1401)   )/100*2.45 )</f>
        <v>0.50042652380814845</v>
      </c>
      <c r="O1401" s="159">
        <f>IF( OR( ISBLANK(I1401),ISBLANK(J1401), ISBLANK(K1401), ISBLANK(L1401), ISBLANK(M1401) ), "", 1.5*SQRT( EXP(2.21*(I1401-1)) + EXP(2.21*(J1401-1)) + EXP(2.21*(K1401-1)) + EXP(2.21*(L1401-1)) + EXP(2.21*M1401)   )/100*2.45 )</f>
        <v>0.51126068492676302</v>
      </c>
      <c r="P1401" s="34" t="s">
        <v>212</v>
      </c>
    </row>
    <row r="1402" spans="1:16">
      <c r="A1402" s="34" t="s">
        <v>209</v>
      </c>
      <c r="B1402" s="40" t="s">
        <v>210</v>
      </c>
      <c r="C1402" s="34" t="s">
        <v>139</v>
      </c>
      <c r="D1402" s="40" t="s">
        <v>139</v>
      </c>
      <c r="E1402" s="237">
        <v>3.2000000000000001E-2</v>
      </c>
      <c r="F1402" s="168">
        <v>2</v>
      </c>
      <c r="G1402" s="34" t="s">
        <v>213</v>
      </c>
      <c r="H1402" s="29">
        <v>2</v>
      </c>
      <c r="I1402" s="9">
        <v>2</v>
      </c>
      <c r="J1402" s="9">
        <v>3</v>
      </c>
      <c r="K1402" s="9">
        <v>3</v>
      </c>
      <c r="L1402" s="9">
        <v>3</v>
      </c>
      <c r="M1402" s="9">
        <v>3</v>
      </c>
      <c r="N1402" s="185">
        <f>IF( OR( ISBLANK(H1402),ISBLANK(J1402), ISBLANK(K1402), ISBLANK(L1402), ISBLANK(M1402) ), "", 1.5*SQRT(   EXP(2.21*(H1402-1)) + EXP(2.21*(J1402-1)) + EXP(2.21*(K1402-1)) + EXP(2.21*(L1402-1)) + EXP(2.21*M1402)   )/100*2.45 )</f>
        <v>1.1713319510247036</v>
      </c>
      <c r="O1402" s="159">
        <f>IF( OR( ISBLANK(I1402),ISBLANK(J1402), ISBLANK(K1402), ISBLANK(L1402), ISBLANK(M1402) ), "", 1.5*SQRT( EXP(2.21*(I1402-1)) + EXP(2.21*(J1402-1)) + EXP(2.21*(K1402-1)) + EXP(2.21*(L1402-1)) + EXP(2.21*M1402)   )/100*2.45 )</f>
        <v>1.1713319510247036</v>
      </c>
      <c r="P1402" s="34" t="s">
        <v>212</v>
      </c>
    </row>
    <row r="1403" spans="1:16">
      <c r="A1403" s="34" t="s">
        <v>209</v>
      </c>
      <c r="B1403" s="40" t="s">
        <v>210</v>
      </c>
      <c r="C1403" s="34" t="s">
        <v>139</v>
      </c>
      <c r="D1403" s="40" t="s">
        <v>139</v>
      </c>
      <c r="E1403" s="237">
        <v>2.9826370000000001E-2</v>
      </c>
      <c r="F1403" s="168">
        <v>2</v>
      </c>
      <c r="G1403" s="34" t="s">
        <v>214</v>
      </c>
      <c r="H1403" s="29">
        <v>2</v>
      </c>
      <c r="I1403" s="9">
        <v>2</v>
      </c>
      <c r="J1403" s="9">
        <v>4</v>
      </c>
      <c r="K1403" s="9">
        <v>3</v>
      </c>
      <c r="L1403" s="9">
        <v>3</v>
      </c>
      <c r="M1403" s="9">
        <v>1</v>
      </c>
      <c r="N1403" s="185">
        <f>IF( OR( ISBLANK(H1403),ISBLANK(J1403), ISBLANK(K1403), ISBLANK(L1403), ISBLANK(M1403) ), "", 1.5*SQRT(   EXP(2.21*(H1403-1)) + EXP(2.21*(J1403-1)) + EXP(2.21*(K1403-1)) + EXP(2.21*(L1403-1)) + EXP(2.21*M1403)   )/100*2.45 )</f>
        <v>1.1278755061256256</v>
      </c>
      <c r="O1403" s="159">
        <f>IF( OR( ISBLANK(I1403),ISBLANK(J1403), ISBLANK(K1403), ISBLANK(L1403), ISBLANK(M1403) ), "", 1.5*SQRT( EXP(2.21*(I1403-1)) + EXP(2.21*(J1403-1)) + EXP(2.21*(K1403-1)) + EXP(2.21*(L1403-1)) + EXP(2.21*M1403)   )/100*2.45 )</f>
        <v>1.1278755061256256</v>
      </c>
      <c r="P1403" s="34"/>
    </row>
    <row r="1404" spans="1:16">
      <c r="A1404" s="34" t="s">
        <v>209</v>
      </c>
      <c r="B1404" s="40" t="s">
        <v>378</v>
      </c>
      <c r="C1404" s="34" t="s">
        <v>139</v>
      </c>
      <c r="D1404" s="40" t="s">
        <v>139</v>
      </c>
      <c r="E1404" s="237" t="s">
        <v>150</v>
      </c>
      <c r="F1404" s="168">
        <v>1</v>
      </c>
      <c r="G1404" s="34"/>
      <c r="H1404" s="29"/>
      <c r="I1404" s="9"/>
      <c r="J1404" s="9"/>
      <c r="K1404" s="9"/>
      <c r="L1404" s="9"/>
      <c r="M1404" s="9"/>
      <c r="N1404" s="185" t="str">
        <f>IF( OR( ISBLANK(H1404),ISBLANK(J1404), ISBLANK(K1404), ISBLANK(L1404), ISBLANK(M1404) ), "", 1.5*SQRT(   EXP(2.21*(H1404-1)) + EXP(2.21*(J1404-1)) + EXP(2.21*(K1404-1)) + EXP(2.21*(L1404-1)) + EXP(2.21*M1404)   )/100*2.45 )</f>
        <v/>
      </c>
      <c r="O1404" s="159" t="str">
        <f>IF( OR( ISBLANK(I1404),ISBLANK(J1404), ISBLANK(K1404), ISBLANK(L1404), ISBLANK(M1404) ), "", 1.5*SQRT( EXP(2.21*(I1404-1)) + EXP(2.21*(J1404-1)) + EXP(2.21*(K1404-1)) + EXP(2.21*(L1404-1)) + EXP(2.21*M1404)   )/100*2.45 )</f>
        <v/>
      </c>
      <c r="P1404" s="34"/>
    </row>
    <row r="1405" spans="1:16">
      <c r="A1405" s="34" t="s">
        <v>209</v>
      </c>
      <c r="B1405" s="40" t="s">
        <v>179</v>
      </c>
      <c r="C1405" s="34" t="s">
        <v>139</v>
      </c>
      <c r="D1405" s="40" t="s">
        <v>139</v>
      </c>
      <c r="E1405" s="237">
        <v>0.8</v>
      </c>
      <c r="F1405" s="168">
        <v>2</v>
      </c>
      <c r="G1405" s="34" t="s">
        <v>157</v>
      </c>
      <c r="H1405" s="29">
        <v>3</v>
      </c>
      <c r="I1405" s="9"/>
      <c r="J1405" s="9">
        <v>3</v>
      </c>
      <c r="K1405" s="9">
        <v>3</v>
      </c>
      <c r="L1405" s="9">
        <v>3</v>
      </c>
      <c r="M1405" s="9">
        <v>3</v>
      </c>
      <c r="N1405" s="185">
        <f>IF( OR( ISBLANK(H1405),ISBLANK(J1405), ISBLANK(K1405), ISBLANK(L1405), ISBLANK(M1405) ), "", 1.5*SQRT(   EXP(2.21*(H1405-1)) + EXP(2.21*(J1405-1)) + EXP(2.21*(K1405-1)) + EXP(2.21*(L1405-1)) + EXP(2.21*M1405)   )/100*2.45 )</f>
        <v>1.2132328390150593</v>
      </c>
      <c r="O1405" s="159" t="str">
        <f>IF( OR( ISBLANK(I1405),ISBLANK(J1405), ISBLANK(K1405), ISBLANK(L1405), ISBLANK(M1405) ), "", 1.5*SQRT( EXP(2.21*(I1405-1)) + EXP(2.21*(J1405-1)) + EXP(2.21*(K1405-1)) + EXP(2.21*(L1405-1)) + EXP(2.21*M1405)   )/100*2.45 )</f>
        <v/>
      </c>
      <c r="P1405" s="34" t="s">
        <v>292</v>
      </c>
    </row>
    <row r="1406" spans="1:16">
      <c r="A1406" s="34" t="s">
        <v>209</v>
      </c>
      <c r="B1406" s="40" t="s">
        <v>210</v>
      </c>
      <c r="C1406" s="59" t="s">
        <v>180</v>
      </c>
      <c r="D1406" s="336" t="s">
        <v>139</v>
      </c>
      <c r="E1406" s="1279">
        <v>0.08</v>
      </c>
      <c r="F1406" s="336">
        <v>2</v>
      </c>
      <c r="G1406" s="59" t="s">
        <v>211</v>
      </c>
      <c r="H1406" s="806">
        <v>1</v>
      </c>
      <c r="I1406" s="617">
        <v>2</v>
      </c>
      <c r="J1406" s="617">
        <v>3</v>
      </c>
      <c r="K1406" s="617">
        <v>2</v>
      </c>
      <c r="L1406" s="617">
        <v>3</v>
      </c>
      <c r="M1406" s="617">
        <v>1</v>
      </c>
      <c r="N1406" s="185">
        <f>IF( OR( ISBLANK(H1406),ISBLANK(J1406), ISBLANK(K1406), ISBLANK(L1406), ISBLANK(M1406) ), "", 1.5*SQRT(   EXP(2.21*(H1406-1)) + EXP(2.21*(J1406-1)) + EXP(2.21*(K1406-1)) + EXP(2.21*(L1406-1)) + EXP(2.21*M1406)   )/100*2.45 )</f>
        <v>0.50042652380814845</v>
      </c>
      <c r="O1406" s="159">
        <f>IF( OR( ISBLANK(I1406),ISBLANK(J1406), ISBLANK(K1406), ISBLANK(L1406), ISBLANK(M1406) ), "", 1.5*SQRT( EXP(2.21*(I1406-1)) + EXP(2.21*(J1406-1)) + EXP(2.21*(K1406-1)) + EXP(2.21*(L1406-1)) + EXP(2.21*M1406)   )/100*2.45 )</f>
        <v>0.51126068492676302</v>
      </c>
      <c r="P1406" s="973"/>
    </row>
    <row r="1407" spans="1:16">
      <c r="A1407" s="34" t="s">
        <v>209</v>
      </c>
      <c r="B1407" s="40" t="s">
        <v>210</v>
      </c>
      <c r="C1407" s="59" t="s">
        <v>182</v>
      </c>
      <c r="D1407" s="336" t="s">
        <v>139</v>
      </c>
      <c r="E1407" s="1279">
        <v>3.2000000000000001E-2</v>
      </c>
      <c r="F1407" s="336">
        <v>2</v>
      </c>
      <c r="G1407" s="59" t="s">
        <v>213</v>
      </c>
      <c r="H1407" s="806">
        <v>2</v>
      </c>
      <c r="I1407" s="617">
        <v>2</v>
      </c>
      <c r="J1407" s="617">
        <v>3</v>
      </c>
      <c r="K1407" s="617">
        <v>3</v>
      </c>
      <c r="L1407" s="617">
        <v>3</v>
      </c>
      <c r="M1407" s="617">
        <v>3</v>
      </c>
      <c r="N1407" s="185">
        <f>IF( OR( ISBLANK(H1407),ISBLANK(J1407), ISBLANK(K1407), ISBLANK(L1407), ISBLANK(M1407) ), "", 1.5*SQRT(   EXP(2.21*(H1407-1)) + EXP(2.21*(J1407-1)) + EXP(2.21*(K1407-1)) + EXP(2.21*(L1407-1)) + EXP(2.21*M1407)   )/100*2.45 )</f>
        <v>1.1713319510247036</v>
      </c>
      <c r="O1407" s="159">
        <f>IF( OR( ISBLANK(I1407),ISBLANK(J1407), ISBLANK(K1407), ISBLANK(L1407), ISBLANK(M1407) ), "", 1.5*SQRT( EXP(2.21*(I1407-1)) + EXP(2.21*(J1407-1)) + EXP(2.21*(K1407-1)) + EXP(2.21*(L1407-1)) + EXP(2.21*M1407)   )/100*2.45 )</f>
        <v>1.1713319510247036</v>
      </c>
      <c r="P1407" s="973"/>
    </row>
    <row r="1408" spans="1:16">
      <c r="A1408" s="34" t="s">
        <v>209</v>
      </c>
      <c r="B1408" s="40" t="s">
        <v>210</v>
      </c>
      <c r="C1408" s="59" t="s">
        <v>182</v>
      </c>
      <c r="D1408" s="336" t="s">
        <v>139</v>
      </c>
      <c r="E1408" s="1279">
        <v>2.9826370000000001E-2</v>
      </c>
      <c r="F1408" s="336">
        <v>2</v>
      </c>
      <c r="G1408" s="59" t="s">
        <v>214</v>
      </c>
      <c r="H1408" s="806">
        <v>2</v>
      </c>
      <c r="I1408" s="617">
        <v>2</v>
      </c>
      <c r="J1408" s="617">
        <v>4</v>
      </c>
      <c r="K1408" s="617">
        <v>3</v>
      </c>
      <c r="L1408" s="617">
        <v>3</v>
      </c>
      <c r="M1408" s="617">
        <v>1</v>
      </c>
      <c r="N1408" s="185">
        <f>IF( OR( ISBLANK(H1408),ISBLANK(J1408), ISBLANK(K1408), ISBLANK(L1408), ISBLANK(M1408) ), "", 1.5*SQRT(   EXP(2.21*(H1408-1)) + EXP(2.21*(J1408-1)) + EXP(2.21*(K1408-1)) + EXP(2.21*(L1408-1)) + EXP(2.21*M1408)   )/100*2.45 )</f>
        <v>1.1278755061256256</v>
      </c>
      <c r="O1408" s="159">
        <f>IF( OR( ISBLANK(I1408),ISBLANK(J1408), ISBLANK(K1408), ISBLANK(L1408), ISBLANK(M1408) ), "", 1.5*SQRT( EXP(2.21*(I1408-1)) + EXP(2.21*(J1408-1)) + EXP(2.21*(K1408-1)) + EXP(2.21*(L1408-1)) + EXP(2.21*M1408)   )/100*2.45 )</f>
        <v>1.1278755061256256</v>
      </c>
      <c r="P1408" s="973"/>
    </row>
    <row r="1409" spans="1:16">
      <c r="A1409" s="34" t="s">
        <v>209</v>
      </c>
      <c r="B1409" s="40" t="s">
        <v>210</v>
      </c>
      <c r="C1409" s="59" t="s">
        <v>180</v>
      </c>
      <c r="D1409" s="336" t="s">
        <v>139</v>
      </c>
      <c r="E1409" s="1279">
        <v>8.9999999999999993E-3</v>
      </c>
      <c r="F1409" s="336">
        <v>2</v>
      </c>
      <c r="G1409" s="34" t="s">
        <v>2256</v>
      </c>
      <c r="H1409" s="806">
        <v>1</v>
      </c>
      <c r="I1409" s="617">
        <v>2</v>
      </c>
      <c r="J1409" s="617">
        <v>2</v>
      </c>
      <c r="K1409" s="617">
        <v>3</v>
      </c>
      <c r="L1409" s="617">
        <v>2</v>
      </c>
      <c r="M1409" s="617">
        <v>1</v>
      </c>
      <c r="N1409" s="185">
        <f>IF( OR( ISBLANK(H1409),ISBLANK(J1409), ISBLANK(K1409), ISBLANK(L1409), ISBLANK(M1409) ), "", 1.5*SQRT(   EXP(2.21*(H1409-1)) + EXP(2.21*(J1409-1)) + EXP(2.21*(K1409-1)) + EXP(2.21*(L1409-1)) + EXP(2.21*M1409)   )/100*2.45 )</f>
        <v>0.38795788889711297</v>
      </c>
      <c r="O1409" s="159">
        <f>IF( OR( ISBLANK(I1409),ISBLANK(J1409), ISBLANK(K1409), ISBLANK(L1409), ISBLANK(M1409) ), "", 1.5*SQRT( EXP(2.21*(I1409-1)) + EXP(2.21*(J1409-1)) + EXP(2.21*(K1409-1)) + EXP(2.21*(L1409-1)) + EXP(2.21*M1409)   )/100*2.45 )</f>
        <v>0.40183591897512122</v>
      </c>
      <c r="P1409" s="973"/>
    </row>
    <row r="1410" spans="1:16">
      <c r="A1410" s="34" t="s">
        <v>209</v>
      </c>
      <c r="B1410" s="40" t="s">
        <v>378</v>
      </c>
      <c r="C1410" s="59" t="s">
        <v>139</v>
      </c>
      <c r="D1410" s="336" t="s">
        <v>139</v>
      </c>
      <c r="E1410" s="1278" t="s">
        <v>150</v>
      </c>
      <c r="F1410" s="336">
        <v>1</v>
      </c>
      <c r="G1410" s="59"/>
      <c r="H1410" s="806"/>
      <c r="I1410" s="617"/>
      <c r="J1410" s="617"/>
      <c r="K1410" s="617"/>
      <c r="L1410" s="617"/>
      <c r="M1410" s="617"/>
      <c r="N1410" s="185"/>
      <c r="O1410" s="159"/>
      <c r="P1410" s="973"/>
    </row>
    <row r="1411" spans="1:16">
      <c r="A1411" s="34" t="s">
        <v>215</v>
      </c>
      <c r="B1411" s="40" t="s">
        <v>216</v>
      </c>
      <c r="C1411" s="34" t="s">
        <v>139</v>
      </c>
      <c r="D1411" s="40" t="s">
        <v>139</v>
      </c>
      <c r="E1411" s="237">
        <v>0.08</v>
      </c>
      <c r="F1411" s="168">
        <v>2</v>
      </c>
      <c r="G1411" s="34" t="s">
        <v>211</v>
      </c>
      <c r="H1411" s="29">
        <v>1</v>
      </c>
      <c r="I1411" s="9">
        <v>2</v>
      </c>
      <c r="J1411" s="9">
        <v>3</v>
      </c>
      <c r="K1411" s="9">
        <v>2</v>
      </c>
      <c r="L1411" s="9">
        <v>3</v>
      </c>
      <c r="M1411" s="9">
        <v>1</v>
      </c>
      <c r="N1411" s="185">
        <f>IF( OR( ISBLANK(H1411),ISBLANK(J1411), ISBLANK(K1411), ISBLANK(L1411), ISBLANK(M1411) ), "", 1.5*SQRT(   EXP(2.21*(H1411-1)) + EXP(2.21*(J1411-1)) + EXP(2.21*(K1411-1)) + EXP(2.21*(L1411-1)) + EXP(2.21*M1411)   )/100*2.45 )</f>
        <v>0.50042652380814845</v>
      </c>
      <c r="O1411" s="159">
        <f>IF( OR( ISBLANK(I1411),ISBLANK(J1411), ISBLANK(K1411), ISBLANK(L1411), ISBLANK(M1411) ), "", 1.5*SQRT( EXP(2.21*(I1411-1)) + EXP(2.21*(J1411-1)) + EXP(2.21*(K1411-1)) + EXP(2.21*(L1411-1)) + EXP(2.21*M1411)   )/100*2.45 )</f>
        <v>0.51126068492676302</v>
      </c>
      <c r="P1411" s="34"/>
    </row>
    <row r="1412" spans="1:16">
      <c r="A1412" s="34" t="s">
        <v>215</v>
      </c>
      <c r="B1412" s="40" t="s">
        <v>216</v>
      </c>
      <c r="C1412" s="34" t="s">
        <v>139</v>
      </c>
      <c r="D1412" s="40" t="s">
        <v>139</v>
      </c>
      <c r="E1412" s="237">
        <v>3.2000000000000001E-2</v>
      </c>
      <c r="F1412" s="168">
        <v>2</v>
      </c>
      <c r="G1412" s="34" t="s">
        <v>213</v>
      </c>
      <c r="H1412" s="29">
        <v>2</v>
      </c>
      <c r="I1412" s="9">
        <v>2</v>
      </c>
      <c r="J1412" s="9">
        <v>3</v>
      </c>
      <c r="K1412" s="9">
        <v>3</v>
      </c>
      <c r="L1412" s="9">
        <v>3</v>
      </c>
      <c r="M1412" s="9">
        <v>3</v>
      </c>
      <c r="N1412" s="185">
        <f>IF( OR( ISBLANK(H1412),ISBLANK(J1412), ISBLANK(K1412), ISBLANK(L1412), ISBLANK(M1412) ), "", 1.5*SQRT(   EXP(2.21*(H1412-1)) + EXP(2.21*(J1412-1)) + EXP(2.21*(K1412-1)) + EXP(2.21*(L1412-1)) + EXP(2.21*M1412)   )/100*2.45 )</f>
        <v>1.1713319510247036</v>
      </c>
      <c r="O1412" s="159">
        <f>IF( OR( ISBLANK(I1412),ISBLANK(J1412), ISBLANK(K1412), ISBLANK(L1412), ISBLANK(M1412) ), "", 1.5*SQRT( EXP(2.21*(I1412-1)) + EXP(2.21*(J1412-1)) + EXP(2.21*(K1412-1)) + EXP(2.21*(L1412-1)) + EXP(2.21*M1412)   )/100*2.45 )</f>
        <v>1.1713319510247036</v>
      </c>
      <c r="P1412" s="34" t="s">
        <v>212</v>
      </c>
    </row>
    <row r="1413" spans="1:16">
      <c r="A1413" s="34" t="s">
        <v>215</v>
      </c>
      <c r="B1413" s="40" t="s">
        <v>216</v>
      </c>
      <c r="C1413" s="34" t="s">
        <v>139</v>
      </c>
      <c r="D1413" s="40" t="s">
        <v>139</v>
      </c>
      <c r="E1413" s="237">
        <v>2.9826370000000001E-2</v>
      </c>
      <c r="F1413" s="168">
        <v>2</v>
      </c>
      <c r="G1413" s="34" t="s">
        <v>214</v>
      </c>
      <c r="H1413" s="29">
        <v>2</v>
      </c>
      <c r="I1413" s="9">
        <v>2</v>
      </c>
      <c r="J1413" s="9">
        <v>4</v>
      </c>
      <c r="K1413" s="9">
        <v>3</v>
      </c>
      <c r="L1413" s="9">
        <v>3</v>
      </c>
      <c r="M1413" s="9">
        <v>1</v>
      </c>
      <c r="N1413" s="185">
        <f>IF( OR( ISBLANK(H1413),ISBLANK(J1413), ISBLANK(K1413), ISBLANK(L1413), ISBLANK(M1413) ), "", 1.5*SQRT(   EXP(2.21*(H1413-1)) + EXP(2.21*(J1413-1)) + EXP(2.21*(K1413-1)) + EXP(2.21*(L1413-1)) + EXP(2.21*M1413)   )/100*2.45 )</f>
        <v>1.1278755061256256</v>
      </c>
      <c r="O1413" s="159">
        <f>IF( OR( ISBLANK(I1413),ISBLANK(J1413), ISBLANK(K1413), ISBLANK(L1413), ISBLANK(M1413) ), "", 1.5*SQRT( EXP(2.21*(I1413-1)) + EXP(2.21*(J1413-1)) + EXP(2.21*(K1413-1)) + EXP(2.21*(L1413-1)) + EXP(2.21*M1413)   )/100*2.45 )</f>
        <v>1.1278755061256256</v>
      </c>
      <c r="P1413" s="34" t="s">
        <v>217</v>
      </c>
    </row>
    <row r="1414" spans="1:16">
      <c r="A1414" s="34" t="s">
        <v>215</v>
      </c>
      <c r="B1414" s="40" t="s">
        <v>379</v>
      </c>
      <c r="C1414" s="34" t="s">
        <v>139</v>
      </c>
      <c r="D1414" s="40" t="s">
        <v>139</v>
      </c>
      <c r="E1414" s="237" t="s">
        <v>150</v>
      </c>
      <c r="F1414" s="168">
        <v>1</v>
      </c>
      <c r="G1414" s="34"/>
      <c r="H1414" s="29"/>
      <c r="I1414" s="9"/>
      <c r="J1414" s="9"/>
      <c r="K1414" s="9"/>
      <c r="L1414" s="9"/>
      <c r="M1414" s="9"/>
      <c r="N1414" s="185" t="str">
        <f>IF( OR( ISBLANK(H1414),ISBLANK(J1414), ISBLANK(K1414), ISBLANK(L1414), ISBLANK(M1414) ), "", 1.5*SQRT(   EXP(2.21*(H1414-1)) + EXP(2.21*(J1414-1)) + EXP(2.21*(K1414-1)) + EXP(2.21*(L1414-1)) + EXP(2.21*M1414)   )/100*2.45 )</f>
        <v/>
      </c>
      <c r="O1414" s="159" t="str">
        <f>IF( OR( ISBLANK(I1414),ISBLANK(J1414), ISBLANK(K1414), ISBLANK(L1414), ISBLANK(M1414) ), "", 1.5*SQRT( EXP(2.21*(I1414-1)) + EXP(2.21*(J1414-1)) + EXP(2.21*(K1414-1)) + EXP(2.21*(L1414-1)) + EXP(2.21*M1414)   )/100*2.45 )</f>
        <v/>
      </c>
      <c r="P1414" s="34" t="s">
        <v>380</v>
      </c>
    </row>
    <row r="1415" spans="1:16">
      <c r="A1415" s="34" t="s">
        <v>215</v>
      </c>
      <c r="B1415" s="40" t="s">
        <v>179</v>
      </c>
      <c r="C1415" s="34" t="s">
        <v>139</v>
      </c>
      <c r="D1415" s="40" t="s">
        <v>139</v>
      </c>
      <c r="E1415" s="237">
        <v>0</v>
      </c>
      <c r="F1415" s="168">
        <v>2</v>
      </c>
      <c r="G1415" s="34"/>
      <c r="H1415" s="29"/>
      <c r="I1415" s="9"/>
      <c r="J1415" s="9"/>
      <c r="K1415" s="9"/>
      <c r="L1415" s="9"/>
      <c r="M1415" s="9"/>
      <c r="N1415" s="185" t="str">
        <f>IF( OR( ISBLANK(H1415),ISBLANK(J1415), ISBLANK(K1415), ISBLANK(L1415), ISBLANK(M1415) ), "", 1.5*SQRT(   EXP(2.21*(H1415-1)) + EXP(2.21*(J1415-1)) + EXP(2.21*(K1415-1)) + EXP(2.21*(L1415-1)) + EXP(2.21*M1415)   )/100*2.45 )</f>
        <v/>
      </c>
      <c r="O1415" s="159" t="str">
        <f>IF( OR( ISBLANK(I1415),ISBLANK(J1415), ISBLANK(K1415), ISBLANK(L1415), ISBLANK(M1415) ), "", 1.5*SQRT( EXP(2.21*(I1415-1)) + EXP(2.21*(J1415-1)) + EXP(2.21*(K1415-1)) + EXP(2.21*(L1415-1)) + EXP(2.21*M1415)   )/100*2.45 )</f>
        <v/>
      </c>
      <c r="P1415" s="34" t="s">
        <v>293</v>
      </c>
    </row>
    <row r="1416" spans="1:16">
      <c r="A1416" s="34" t="s">
        <v>215</v>
      </c>
      <c r="B1416" s="40" t="s">
        <v>216</v>
      </c>
      <c r="C1416" s="59" t="s">
        <v>180</v>
      </c>
      <c r="D1416" s="336" t="s">
        <v>139</v>
      </c>
      <c r="E1416" s="1279">
        <v>0.08</v>
      </c>
      <c r="F1416" s="336">
        <v>2</v>
      </c>
      <c r="G1416" s="59" t="s">
        <v>211</v>
      </c>
      <c r="H1416" s="806">
        <v>1</v>
      </c>
      <c r="I1416" s="617">
        <v>2</v>
      </c>
      <c r="J1416" s="617">
        <v>3</v>
      </c>
      <c r="K1416" s="617">
        <v>2</v>
      </c>
      <c r="L1416" s="617">
        <v>3</v>
      </c>
      <c r="M1416" s="617">
        <v>1</v>
      </c>
      <c r="N1416" s="185">
        <f>IF( OR( ISBLANK(H1416),ISBLANK(J1416), ISBLANK(K1416), ISBLANK(L1416), ISBLANK(M1416) ), "", 1.5*SQRT(   EXP(2.21*(H1416-1)) + EXP(2.21*(J1416-1)) + EXP(2.21*(K1416-1)) + EXP(2.21*(L1416-1)) + EXP(2.21*M1416)   )/100*2.45 )</f>
        <v>0.50042652380814845</v>
      </c>
      <c r="O1416" s="159">
        <f>IF( OR( ISBLANK(I1416),ISBLANK(J1416), ISBLANK(K1416), ISBLANK(L1416), ISBLANK(M1416) ), "", 1.5*SQRT( EXP(2.21*(I1416-1)) + EXP(2.21*(J1416-1)) + EXP(2.21*(K1416-1)) + EXP(2.21*(L1416-1)) + EXP(2.21*M1416)   )/100*2.45 )</f>
        <v>0.51126068492676302</v>
      </c>
      <c r="P1416" s="973"/>
    </row>
    <row r="1417" spans="1:16">
      <c r="A1417" s="34" t="s">
        <v>215</v>
      </c>
      <c r="B1417" s="40" t="s">
        <v>216</v>
      </c>
      <c r="C1417" s="59" t="s">
        <v>180</v>
      </c>
      <c r="D1417" s="336" t="s">
        <v>139</v>
      </c>
      <c r="E1417" s="1279">
        <v>8.9999999999999993E-3</v>
      </c>
      <c r="F1417" s="336">
        <v>2</v>
      </c>
      <c r="G1417" s="34" t="s">
        <v>2256</v>
      </c>
      <c r="H1417" s="806">
        <v>1</v>
      </c>
      <c r="I1417" s="617">
        <v>2</v>
      </c>
      <c r="J1417" s="617">
        <v>2</v>
      </c>
      <c r="K1417" s="617">
        <v>3</v>
      </c>
      <c r="L1417" s="617">
        <v>2</v>
      </c>
      <c r="M1417" s="617">
        <v>1</v>
      </c>
      <c r="N1417" s="185">
        <f>IF( OR( ISBLANK(H1417),ISBLANK(J1417), ISBLANK(K1417), ISBLANK(L1417), ISBLANK(M1417) ), "", 1.5*SQRT(   EXP(2.21*(H1417-1)) + EXP(2.21*(J1417-1)) + EXP(2.21*(K1417-1)) + EXP(2.21*(L1417-1)) + EXP(2.21*M1417)   )/100*2.45 )</f>
        <v>0.38795788889711297</v>
      </c>
      <c r="O1417" s="159">
        <f>IF( OR( ISBLANK(I1417),ISBLANK(J1417), ISBLANK(K1417), ISBLANK(L1417), ISBLANK(M1417) ), "", 1.5*SQRT( EXP(2.21*(I1417-1)) + EXP(2.21*(J1417-1)) + EXP(2.21*(K1417-1)) + EXP(2.21*(L1417-1)) + EXP(2.21*M1417)   )/100*2.45 )</f>
        <v>0.40183591897512122</v>
      </c>
      <c r="P1417" s="973"/>
    </row>
    <row r="1418" spans="1:16">
      <c r="A1418" s="34" t="s">
        <v>215</v>
      </c>
      <c r="B1418" s="40" t="s">
        <v>216</v>
      </c>
      <c r="C1418" s="59" t="s">
        <v>182</v>
      </c>
      <c r="D1418" s="336" t="s">
        <v>139</v>
      </c>
      <c r="E1418" s="1279">
        <v>3.2000000000000001E-2</v>
      </c>
      <c r="F1418" s="336">
        <v>2</v>
      </c>
      <c r="G1418" s="59" t="s">
        <v>213</v>
      </c>
      <c r="H1418" s="806">
        <v>2</v>
      </c>
      <c r="I1418" s="617">
        <v>2</v>
      </c>
      <c r="J1418" s="617">
        <v>3</v>
      </c>
      <c r="K1418" s="617">
        <v>3</v>
      </c>
      <c r="L1418" s="617">
        <v>3</v>
      </c>
      <c r="M1418" s="617">
        <v>3</v>
      </c>
      <c r="N1418" s="185">
        <f>IF( OR( ISBLANK(H1418),ISBLANK(J1418), ISBLANK(K1418), ISBLANK(L1418), ISBLANK(M1418) ), "", 1.5*SQRT(   EXP(2.21*(H1418-1)) + EXP(2.21*(J1418-1)) + EXP(2.21*(K1418-1)) + EXP(2.21*(L1418-1)) + EXP(2.21*M1418)   )/100*2.45 )</f>
        <v>1.1713319510247036</v>
      </c>
      <c r="O1418" s="159">
        <f>IF( OR( ISBLANK(I1418),ISBLANK(J1418), ISBLANK(K1418), ISBLANK(L1418), ISBLANK(M1418) ), "", 1.5*SQRT( EXP(2.21*(I1418-1)) + EXP(2.21*(J1418-1)) + EXP(2.21*(K1418-1)) + EXP(2.21*(L1418-1)) + EXP(2.21*M1418)   )/100*2.45 )</f>
        <v>1.1713319510247036</v>
      </c>
      <c r="P1418" s="973"/>
    </row>
    <row r="1419" spans="1:16">
      <c r="A1419" s="34" t="s">
        <v>215</v>
      </c>
      <c r="B1419" s="40" t="s">
        <v>216</v>
      </c>
      <c r="C1419" s="59" t="s">
        <v>182</v>
      </c>
      <c r="D1419" s="336" t="s">
        <v>139</v>
      </c>
      <c r="E1419" s="1279">
        <v>2.9826370000000001E-2</v>
      </c>
      <c r="F1419" s="336">
        <v>2</v>
      </c>
      <c r="G1419" s="59" t="s">
        <v>214</v>
      </c>
      <c r="H1419" s="806">
        <v>2</v>
      </c>
      <c r="I1419" s="617">
        <v>2</v>
      </c>
      <c r="J1419" s="617">
        <v>4</v>
      </c>
      <c r="K1419" s="617">
        <v>3</v>
      </c>
      <c r="L1419" s="617">
        <v>3</v>
      </c>
      <c r="M1419" s="617">
        <v>1</v>
      </c>
      <c r="N1419" s="185">
        <f>IF( OR( ISBLANK(H1419),ISBLANK(J1419), ISBLANK(K1419), ISBLANK(L1419), ISBLANK(M1419) ), "", 1.5*SQRT(   EXP(2.21*(H1419-1)) + EXP(2.21*(J1419-1)) + EXP(2.21*(K1419-1)) + EXP(2.21*(L1419-1)) + EXP(2.21*M1419)   )/100*2.45 )</f>
        <v>1.1278755061256256</v>
      </c>
      <c r="O1419" s="159">
        <f>IF( OR( ISBLANK(I1419),ISBLANK(J1419), ISBLANK(K1419), ISBLANK(L1419), ISBLANK(M1419) ), "", 1.5*SQRT( EXP(2.21*(I1419-1)) + EXP(2.21*(J1419-1)) + EXP(2.21*(K1419-1)) + EXP(2.21*(L1419-1)) + EXP(2.21*M1419)   )/100*2.45 )</f>
        <v>1.1278755061256256</v>
      </c>
      <c r="P1419" s="973"/>
    </row>
    <row r="1420" spans="1:16">
      <c r="A1420" s="34" t="s">
        <v>215</v>
      </c>
      <c r="B1420" s="40" t="s">
        <v>379</v>
      </c>
      <c r="C1420" s="59" t="s">
        <v>139</v>
      </c>
      <c r="D1420" s="336" t="s">
        <v>139</v>
      </c>
      <c r="E1420" s="1278" t="s">
        <v>150</v>
      </c>
      <c r="F1420" s="336">
        <v>1</v>
      </c>
      <c r="G1420" s="59"/>
      <c r="H1420" s="806"/>
      <c r="I1420" s="617"/>
      <c r="J1420" s="617"/>
      <c r="K1420" s="617"/>
      <c r="L1420" s="617"/>
      <c r="M1420" s="617"/>
      <c r="N1420" s="185" t="str">
        <f>IF( OR( ISBLANK(H1420),ISBLANK(J1420), ISBLANK(K1420), ISBLANK(L1420), ISBLANK(M1420) ), "", 1.5*SQRT(   EXP(2.21*(H1420-1)) + EXP(2.21*(J1420-1)) + EXP(2.21*(K1420-1)) + EXP(2.21*(L1420-1)) + EXP(2.21*M1420)   )/100*2.45 )</f>
        <v/>
      </c>
      <c r="O1420" s="159" t="str">
        <f>IF( OR( ISBLANK(I1420),ISBLANK(J1420), ISBLANK(K1420), ISBLANK(L1420), ISBLANK(M1420) ), "", 1.5*SQRT( EXP(2.21*(I1420-1)) + EXP(2.21*(J1420-1)) + EXP(2.21*(K1420-1)) + EXP(2.21*(L1420-1)) + EXP(2.21*M1420)   )/100*2.45 )</f>
        <v/>
      </c>
      <c r="P1420" s="973"/>
    </row>
    <row r="1421" spans="1:16">
      <c r="A1421" s="55" t="s">
        <v>330</v>
      </c>
      <c r="B1421" s="260" t="s">
        <v>204</v>
      </c>
      <c r="C1421" s="55" t="s">
        <v>139</v>
      </c>
      <c r="D1421" s="260" t="s">
        <v>139</v>
      </c>
      <c r="E1421" s="237">
        <v>2.7E-4</v>
      </c>
      <c r="F1421" s="168">
        <v>2</v>
      </c>
      <c r="G1421" s="55" t="s">
        <v>163</v>
      </c>
      <c r="H1421" s="29">
        <v>2</v>
      </c>
      <c r="I1421" s="9">
        <v>2</v>
      </c>
      <c r="J1421" s="9">
        <v>2</v>
      </c>
      <c r="K1421" s="9">
        <v>3</v>
      </c>
      <c r="L1421" s="9">
        <v>3</v>
      </c>
      <c r="M1421" s="9">
        <v>3</v>
      </c>
      <c r="N1421" s="185">
        <f>IF( OR( ISBLANK(H1421),ISBLANK(J1421), ISBLANK(K1421), ISBLANK(L1421), ISBLANK(M1421) ), "", 1.5*SQRT(   EXP(2.21*(H1421-1)) + EXP(2.21*(J1421-1)) + EXP(2.21*(K1421-1)) + EXP(2.21*(L1421-1)) + EXP(2.21*M1421)   )/100*2.45 )</f>
        <v>1.1278755061256258</v>
      </c>
      <c r="O1421" s="159">
        <f>IF( OR( ISBLANK(I1421),ISBLANK(J1421), ISBLANK(K1421), ISBLANK(L1421), ISBLANK(M1421) ), "", 1.5*SQRT( EXP(2.21*(I1421-1)) + EXP(2.21*(J1421-1)) + EXP(2.21*(K1421-1)) + EXP(2.21*(L1421-1)) + EXP(2.21*M1421)   )/100*2.45 )</f>
        <v>1.1278755061256258</v>
      </c>
      <c r="P1421" s="34"/>
    </row>
    <row r="1422" spans="1:16">
      <c r="A1422" s="55" t="s">
        <v>330</v>
      </c>
      <c r="B1422" s="260" t="s">
        <v>356</v>
      </c>
      <c r="C1422" s="55" t="s">
        <v>139</v>
      </c>
      <c r="D1422" s="260" t="s">
        <v>139</v>
      </c>
      <c r="E1422" s="237">
        <v>6.5000000000000002E-2</v>
      </c>
      <c r="F1422" s="168">
        <v>1</v>
      </c>
      <c r="G1422" s="55" t="s">
        <v>406</v>
      </c>
      <c r="H1422" s="29">
        <v>2</v>
      </c>
      <c r="I1422" s="9">
        <v>2</v>
      </c>
      <c r="J1422" s="9">
        <v>2</v>
      </c>
      <c r="K1422" s="9">
        <v>2</v>
      </c>
      <c r="L1422" s="9">
        <v>2</v>
      </c>
      <c r="M1422" s="9">
        <v>2</v>
      </c>
      <c r="N1422" s="185">
        <f>IF( OR( ISBLANK(H1422),ISBLANK(J1422), ISBLANK(K1422), ISBLANK(L1422), ISBLANK(M1422) ), "", 1.5*SQRT(   EXP(2.21*(H1422-1)) + EXP(2.21*(J1422-1)) + EXP(2.21*(K1422-1)) + EXP(2.21*(L1422-1)) + EXP(2.21*M1422)   )/100*2.45 )</f>
        <v>0.40183591897512122</v>
      </c>
      <c r="O1422" s="159">
        <f>IF( OR( ISBLANK(I1422),ISBLANK(J1422), ISBLANK(K1422), ISBLANK(L1422), ISBLANK(M1422) ), "", 1.5*SQRT( EXP(2.21*(I1422-1)) + EXP(2.21*(J1422-1)) + EXP(2.21*(K1422-1)) + EXP(2.21*(L1422-1)) + EXP(2.21*M1422)   )/100*2.45 )</f>
        <v>0.40183591897512122</v>
      </c>
      <c r="P1422" s="34"/>
    </row>
    <row r="1423" spans="1:16">
      <c r="A1423" s="55" t="s">
        <v>330</v>
      </c>
      <c r="B1423" s="260" t="s">
        <v>356</v>
      </c>
      <c r="C1423" s="55" t="s">
        <v>139</v>
      </c>
      <c r="D1423" s="260" t="s">
        <v>139</v>
      </c>
      <c r="E1423" s="237">
        <v>0.46</v>
      </c>
      <c r="F1423" s="168">
        <v>1</v>
      </c>
      <c r="G1423" s="55" t="s">
        <v>407</v>
      </c>
      <c r="H1423" s="29">
        <v>2</v>
      </c>
      <c r="I1423" s="9">
        <v>2</v>
      </c>
      <c r="J1423" s="9">
        <v>2</v>
      </c>
      <c r="K1423" s="9">
        <v>2</v>
      </c>
      <c r="L1423" s="9">
        <v>2</v>
      </c>
      <c r="M1423" s="9">
        <v>2</v>
      </c>
      <c r="N1423" s="185">
        <f>IF( OR( ISBLANK(H1423),ISBLANK(J1423), ISBLANK(K1423), ISBLANK(L1423), ISBLANK(M1423) ), "", 1.5*SQRT(   EXP(2.21*(H1423-1)) + EXP(2.21*(J1423-1)) + EXP(2.21*(K1423-1)) + EXP(2.21*(L1423-1)) + EXP(2.21*M1423)   )/100*2.45 )</f>
        <v>0.40183591897512122</v>
      </c>
      <c r="O1423" s="159">
        <f>IF( OR( ISBLANK(I1423),ISBLANK(J1423), ISBLANK(K1423), ISBLANK(L1423), ISBLANK(M1423) ), "", 1.5*SQRT( EXP(2.21*(I1423-1)) + EXP(2.21*(J1423-1)) + EXP(2.21*(K1423-1)) + EXP(2.21*(L1423-1)) + EXP(2.21*M1423)   )/100*2.45 )</f>
        <v>0.40183591897512122</v>
      </c>
      <c r="P1423" s="34"/>
    </row>
    <row r="1424" spans="1:16">
      <c r="A1424" s="55" t="s">
        <v>330</v>
      </c>
      <c r="B1424" s="260" t="s">
        <v>223</v>
      </c>
      <c r="C1424" s="55" t="s">
        <v>139</v>
      </c>
      <c r="D1424" s="260" t="s">
        <v>139</v>
      </c>
      <c r="E1424" s="237" t="s">
        <v>150</v>
      </c>
      <c r="F1424" s="168">
        <v>1</v>
      </c>
      <c r="G1424" s="55" t="s">
        <v>340</v>
      </c>
      <c r="H1424" s="29"/>
      <c r="I1424" s="9"/>
      <c r="J1424" s="9"/>
      <c r="K1424" s="9"/>
      <c r="L1424" s="9"/>
      <c r="M1424" s="9"/>
      <c r="N1424" s="185" t="str">
        <f>IF( OR( ISBLANK(H1424),ISBLANK(J1424), ISBLANK(K1424), ISBLANK(L1424), ISBLANK(M1424) ), "", 1.5*SQRT(   EXP(2.21*(H1424-1)) + EXP(2.21*(J1424-1)) + EXP(2.21*(K1424-1)) + EXP(2.21*(L1424-1)) + EXP(2.21*M1424)   )/100*2.45 )</f>
        <v/>
      </c>
      <c r="O1424" s="159" t="str">
        <f>IF( OR( ISBLANK(I1424),ISBLANK(J1424), ISBLANK(K1424), ISBLANK(L1424), ISBLANK(M1424) ), "", 1.5*SQRT( EXP(2.21*(I1424-1)) + EXP(2.21*(J1424-1)) + EXP(2.21*(K1424-1)) + EXP(2.21*(L1424-1)) + EXP(2.21*M1424)   )/100*2.45 )</f>
        <v/>
      </c>
      <c r="P1424" s="34"/>
    </row>
    <row r="1425" spans="1:16">
      <c r="A1425" s="59" t="s">
        <v>420</v>
      </c>
      <c r="B1425" s="336" t="s">
        <v>480</v>
      </c>
      <c r="C1425" s="34" t="s">
        <v>139</v>
      </c>
      <c r="D1425" s="40" t="s">
        <v>99</v>
      </c>
      <c r="E1425" s="237">
        <f>0.85*0.6</f>
        <v>0.51</v>
      </c>
      <c r="F1425" s="40">
        <v>2</v>
      </c>
      <c r="G1425" s="34" t="s">
        <v>412</v>
      </c>
      <c r="H1425" s="29">
        <v>1</v>
      </c>
      <c r="I1425" s="9">
        <v>2</v>
      </c>
      <c r="J1425" s="9">
        <v>2</v>
      </c>
      <c r="K1425" s="9">
        <v>1</v>
      </c>
      <c r="L1425" s="9">
        <v>1</v>
      </c>
      <c r="M1425" s="9">
        <v>1</v>
      </c>
      <c r="N1425" s="185">
        <f>IF( OR( ISBLANK(H1425),ISBLANK(J1425), ISBLANK(K1425), ISBLANK(L1425), ISBLANK(M1425) ), "", 1.5*SQRT(   EXP(2.21*(H1425-1)) + EXP(2.21*(J1425-1)) + EXP(2.21*(K1425-1)) + EXP(2.21*(L1425-1)) + EXP(2.21*M1425)   )/100*2.45 )</f>
        <v>0.16933510251023262</v>
      </c>
      <c r="O1425" s="159">
        <f>IF( OR( ISBLANK(I1425),ISBLANK(J1425), ISBLANK(K1425), ISBLANK(L1425), ISBLANK(M1425) ), "", 1.5*SQRT( EXP(2.21*(I1425-1)) + EXP(2.21*(J1425-1)) + EXP(2.21*(K1425-1)) + EXP(2.21*(L1425-1)) + EXP(2.21*M1425)   )/100*2.45 )</f>
        <v>0.19908580854301616</v>
      </c>
      <c r="P1425" s="34" t="s">
        <v>853</v>
      </c>
    </row>
    <row r="1426" spans="1:16">
      <c r="A1426" s="59" t="s">
        <v>420</v>
      </c>
      <c r="B1426" s="336" t="s">
        <v>481</v>
      </c>
      <c r="C1426" s="34" t="s">
        <v>139</v>
      </c>
      <c r="D1426" s="40" t="s">
        <v>99</v>
      </c>
      <c r="E1426" s="237">
        <f>0.85*0.4</f>
        <v>0.34</v>
      </c>
      <c r="F1426" s="40">
        <v>2</v>
      </c>
      <c r="G1426" s="34" t="s">
        <v>412</v>
      </c>
      <c r="H1426" s="29">
        <v>1</v>
      </c>
      <c r="I1426" s="9">
        <v>2</v>
      </c>
      <c r="J1426" s="9">
        <v>2</v>
      </c>
      <c r="K1426" s="9">
        <v>1</v>
      </c>
      <c r="L1426" s="9">
        <v>1</v>
      </c>
      <c r="M1426" s="9">
        <v>1</v>
      </c>
      <c r="N1426" s="185">
        <f>IF( OR( ISBLANK(H1426),ISBLANK(J1426), ISBLANK(K1426), ISBLANK(L1426), ISBLANK(M1426) ), "", 1.5*SQRT(   EXP(2.21*(H1426-1)) + EXP(2.21*(J1426-1)) + EXP(2.21*(K1426-1)) + EXP(2.21*(L1426-1)) + EXP(2.21*M1426)   )/100*2.45 )</f>
        <v>0.16933510251023262</v>
      </c>
      <c r="O1426" s="159">
        <f>IF( OR( ISBLANK(I1426),ISBLANK(J1426), ISBLANK(K1426), ISBLANK(L1426), ISBLANK(M1426) ), "", 1.5*SQRT( EXP(2.21*(I1426-1)) + EXP(2.21*(J1426-1)) + EXP(2.21*(K1426-1)) + EXP(2.21*(L1426-1)) + EXP(2.21*M1426)   )/100*2.45 )</f>
        <v>0.19908580854301616</v>
      </c>
      <c r="P1426" s="34" t="s">
        <v>854</v>
      </c>
    </row>
    <row r="1427" spans="1:16">
      <c r="A1427" s="59" t="s">
        <v>420</v>
      </c>
      <c r="B1427" s="336" t="s">
        <v>223</v>
      </c>
      <c r="C1427" s="34" t="s">
        <v>139</v>
      </c>
      <c r="D1427" s="40" t="s">
        <v>99</v>
      </c>
      <c r="E1427" s="237">
        <v>0.15</v>
      </c>
      <c r="F1427" s="40">
        <v>1</v>
      </c>
      <c r="G1427" s="34" t="s">
        <v>412</v>
      </c>
      <c r="H1427" s="29">
        <v>1</v>
      </c>
      <c r="I1427" s="9">
        <v>2</v>
      </c>
      <c r="J1427" s="9">
        <v>2</v>
      </c>
      <c r="K1427" s="9">
        <v>1</v>
      </c>
      <c r="L1427" s="9">
        <v>1</v>
      </c>
      <c r="M1427" s="9">
        <v>1</v>
      </c>
      <c r="N1427" s="185">
        <f>IF( OR( ISBLANK(H1427),ISBLANK(J1427), ISBLANK(K1427), ISBLANK(L1427), ISBLANK(M1427) ), "", 1.5*SQRT(   EXP(2.21*(H1427-1)) + EXP(2.21*(J1427-1)) + EXP(2.21*(K1427-1)) + EXP(2.21*(L1427-1)) + EXP(2.21*M1427)   )/100*2.45 )</f>
        <v>0.16933510251023262</v>
      </c>
      <c r="O1427" s="159">
        <f>IF( OR( ISBLANK(I1427),ISBLANK(J1427), ISBLANK(K1427), ISBLANK(L1427), ISBLANK(M1427) ), "", 1.5*SQRT( EXP(2.21*(I1427-1)) + EXP(2.21*(J1427-1)) + EXP(2.21*(K1427-1)) + EXP(2.21*(L1427-1)) + EXP(2.21*M1427)   )/100*2.45 )</f>
        <v>0.19908580854301616</v>
      </c>
      <c r="P1427" s="34" t="s">
        <v>851</v>
      </c>
    </row>
    <row r="1428" spans="1:16">
      <c r="A1428" s="59" t="s">
        <v>481</v>
      </c>
      <c r="B1428" s="336" t="s">
        <v>484</v>
      </c>
      <c r="C1428" s="34" t="s">
        <v>139</v>
      </c>
      <c r="D1428" s="40" t="s">
        <v>99</v>
      </c>
      <c r="E1428" s="237">
        <f>0.1*E1422</f>
        <v>6.5000000000000006E-3</v>
      </c>
      <c r="F1428" s="40">
        <v>2</v>
      </c>
      <c r="G1428" s="34" t="s">
        <v>412</v>
      </c>
      <c r="H1428" s="29">
        <v>1</v>
      </c>
      <c r="I1428" s="9">
        <v>2</v>
      </c>
      <c r="J1428" s="9">
        <v>2</v>
      </c>
      <c r="K1428" s="9">
        <v>1</v>
      </c>
      <c r="L1428" s="9">
        <v>1</v>
      </c>
      <c r="M1428" s="9">
        <v>1</v>
      </c>
      <c r="N1428" s="185">
        <f>IF( OR( ISBLANK(H1428),ISBLANK(J1428), ISBLANK(K1428), ISBLANK(L1428), ISBLANK(M1428) ), "", 1.5*SQRT(   EXP(2.21*(H1428-1)) + EXP(2.21*(J1428-1)) + EXP(2.21*(K1428-1)) + EXP(2.21*(L1428-1)) + EXP(2.21*M1428)   )/100*2.45 )</f>
        <v>0.16933510251023262</v>
      </c>
      <c r="O1428" s="159">
        <f>IF( OR( ISBLANK(I1428),ISBLANK(J1428), ISBLANK(K1428), ISBLANK(L1428), ISBLANK(M1428) ), "", 1.5*SQRT( EXP(2.21*(I1428-1)) + EXP(2.21*(J1428-1)) + EXP(2.21*(K1428-1)) + EXP(2.21*(L1428-1)) + EXP(2.21*M1428)   )/100*2.45 )</f>
        <v>0.19908580854301616</v>
      </c>
      <c r="P1428" s="34" t="s">
        <v>835</v>
      </c>
    </row>
    <row r="1429" spans="1:16">
      <c r="A1429" s="59" t="s">
        <v>481</v>
      </c>
      <c r="B1429" s="336" t="s">
        <v>485</v>
      </c>
      <c r="C1429" s="34" t="s">
        <v>139</v>
      </c>
      <c r="D1429" s="40" t="s">
        <v>99</v>
      </c>
      <c r="E1429" s="237" t="s">
        <v>150</v>
      </c>
      <c r="F1429" s="40">
        <v>1</v>
      </c>
      <c r="G1429" s="34" t="s">
        <v>412</v>
      </c>
      <c r="H1429" s="29"/>
      <c r="I1429" s="9"/>
      <c r="J1429" s="9"/>
      <c r="K1429" s="9"/>
      <c r="L1429" s="9"/>
      <c r="M1429" s="9"/>
      <c r="N1429" s="185" t="str">
        <f>IF( OR( ISBLANK(H1429),ISBLANK(J1429), ISBLANK(K1429), ISBLANK(L1429), ISBLANK(M1429) ), "", 1.5*SQRT(   EXP(2.21*(H1429-1)) + EXP(2.21*(J1429-1)) + EXP(2.21*(K1429-1)) + EXP(2.21*(L1429-1)) + EXP(2.21*M1429)   )/100*2.45 )</f>
        <v/>
      </c>
      <c r="O1429" s="159" t="str">
        <f>IF( OR( ISBLANK(I1429),ISBLANK(J1429), ISBLANK(K1429), ISBLANK(L1429), ISBLANK(M1429) ), "", 1.5*SQRT( EXP(2.21*(I1429-1)) + EXP(2.21*(J1429-1)) + EXP(2.21*(K1429-1)) + EXP(2.21*(L1429-1)) + EXP(2.21*M1429)   )/100*2.45 )</f>
        <v/>
      </c>
      <c r="P1429" s="34" t="s">
        <v>1931</v>
      </c>
    </row>
    <row r="1430" spans="1:16">
      <c r="A1430" s="59" t="s">
        <v>485</v>
      </c>
      <c r="B1430" s="336" t="s">
        <v>228</v>
      </c>
      <c r="C1430" s="34" t="s">
        <v>139</v>
      </c>
      <c r="D1430" s="40" t="s">
        <v>99</v>
      </c>
      <c r="E1430" s="237">
        <v>0</v>
      </c>
      <c r="F1430" s="40">
        <v>2</v>
      </c>
      <c r="G1430" s="34" t="s">
        <v>412</v>
      </c>
      <c r="H1430" s="29">
        <v>1</v>
      </c>
      <c r="I1430" s="9">
        <v>2</v>
      </c>
      <c r="J1430" s="9">
        <v>2</v>
      </c>
      <c r="K1430" s="9">
        <v>1</v>
      </c>
      <c r="L1430" s="9">
        <v>1</v>
      </c>
      <c r="M1430" s="9">
        <v>1</v>
      </c>
      <c r="N1430" s="185">
        <f>IF( OR( ISBLANK(H1430),ISBLANK(J1430), ISBLANK(K1430), ISBLANK(L1430), ISBLANK(M1430) ), "", 1.5*SQRT(   EXP(2.21*(H1430-1)) + EXP(2.21*(J1430-1)) + EXP(2.21*(K1430-1)) + EXP(2.21*(L1430-1)) + EXP(2.21*M1430)   )/100*2.45 )</f>
        <v>0.16933510251023262</v>
      </c>
      <c r="O1430" s="159">
        <f>IF( OR( ISBLANK(I1430),ISBLANK(J1430), ISBLANK(K1430), ISBLANK(L1430), ISBLANK(M1430) ), "", 1.5*SQRT( EXP(2.21*(I1430-1)) + EXP(2.21*(J1430-1)) + EXP(2.21*(K1430-1)) + EXP(2.21*(L1430-1)) + EXP(2.21*M1430)   )/100*2.45 )</f>
        <v>0.19908580854301616</v>
      </c>
      <c r="P1430" s="34" t="s">
        <v>837</v>
      </c>
    </row>
    <row r="1431" spans="1:16">
      <c r="A1431" s="59" t="s">
        <v>485</v>
      </c>
      <c r="B1431" s="336" t="s">
        <v>327</v>
      </c>
      <c r="C1431" s="34" t="s">
        <v>139</v>
      </c>
      <c r="D1431" s="40" t="s">
        <v>99</v>
      </c>
      <c r="E1431" s="237" t="s">
        <v>150</v>
      </c>
      <c r="F1431" s="40">
        <v>1</v>
      </c>
      <c r="G1431" s="34" t="s">
        <v>412</v>
      </c>
      <c r="H1431" s="29">
        <v>1</v>
      </c>
      <c r="I1431" s="9">
        <v>2</v>
      </c>
      <c r="J1431" s="9">
        <v>2</v>
      </c>
      <c r="K1431" s="9">
        <v>1</v>
      </c>
      <c r="L1431" s="9">
        <v>1</v>
      </c>
      <c r="M1431" s="9">
        <v>1</v>
      </c>
      <c r="N1431" s="185">
        <f>IF( OR( ISBLANK(H1431),ISBLANK(J1431), ISBLANK(K1431), ISBLANK(L1431), ISBLANK(M1431) ), "", 1.5*SQRT(   EXP(2.21*(H1431-1)) + EXP(2.21*(J1431-1)) + EXP(2.21*(K1431-1)) + EXP(2.21*(L1431-1)) + EXP(2.21*M1431)   )/100*2.45 )</f>
        <v>0.16933510251023262</v>
      </c>
      <c r="O1431" s="159">
        <f>IF( OR( ISBLANK(I1431),ISBLANK(J1431), ISBLANK(K1431), ISBLANK(L1431), ISBLANK(M1431) ), "", 1.5*SQRT( EXP(2.21*(I1431-1)) + EXP(2.21*(J1431-1)) + EXP(2.21*(K1431-1)) + EXP(2.21*(L1431-1)) + EXP(2.21*M1431)   )/100*2.45 )</f>
        <v>0.19908580854301616</v>
      </c>
      <c r="P1431" s="34" t="s">
        <v>1932</v>
      </c>
    </row>
    <row r="1432" spans="1:16">
      <c r="A1432" s="59" t="s">
        <v>484</v>
      </c>
      <c r="B1432" s="336" t="s">
        <v>228</v>
      </c>
      <c r="C1432" s="34" t="s">
        <v>139</v>
      </c>
      <c r="D1432" s="40" t="s">
        <v>99</v>
      </c>
      <c r="E1432" s="237">
        <v>1</v>
      </c>
      <c r="F1432" s="40">
        <v>2</v>
      </c>
      <c r="G1432" s="34" t="s">
        <v>412</v>
      </c>
      <c r="H1432" s="29">
        <v>1</v>
      </c>
      <c r="I1432" s="9">
        <v>2</v>
      </c>
      <c r="J1432" s="9">
        <v>2</v>
      </c>
      <c r="K1432" s="9">
        <v>1</v>
      </c>
      <c r="L1432" s="9">
        <v>1</v>
      </c>
      <c r="M1432" s="9">
        <v>1</v>
      </c>
      <c r="N1432" s="185">
        <f>IF( OR( ISBLANK(H1432),ISBLANK(J1432), ISBLANK(K1432), ISBLANK(L1432), ISBLANK(M1432) ), "", 1.5*SQRT(   EXP(2.21*(H1432-1)) + EXP(2.21*(J1432-1)) + EXP(2.21*(K1432-1)) + EXP(2.21*(L1432-1)) + EXP(2.21*M1432)   )/100*2.45 )</f>
        <v>0.16933510251023262</v>
      </c>
      <c r="O1432" s="159">
        <f>IF( OR( ISBLANK(I1432),ISBLANK(J1432), ISBLANK(K1432), ISBLANK(L1432), ISBLANK(M1432) ), "", 1.5*SQRT( EXP(2.21*(I1432-1)) + EXP(2.21*(J1432-1)) + EXP(2.21*(K1432-1)) + EXP(2.21*(L1432-1)) + EXP(2.21*M1432)   )/100*2.45 )</f>
        <v>0.19908580854301616</v>
      </c>
      <c r="P1432" s="34" t="s">
        <v>836</v>
      </c>
    </row>
    <row r="1433" spans="1:16">
      <c r="A1433" s="59" t="s">
        <v>480</v>
      </c>
      <c r="B1433" s="336" t="s">
        <v>482</v>
      </c>
      <c r="C1433" s="34" t="s">
        <v>139</v>
      </c>
      <c r="D1433" s="40" t="s">
        <v>99</v>
      </c>
      <c r="E1433" s="237">
        <v>0.15</v>
      </c>
      <c r="F1433" s="40">
        <v>2</v>
      </c>
      <c r="G1433" s="34" t="s">
        <v>412</v>
      </c>
      <c r="H1433" s="29">
        <v>1</v>
      </c>
      <c r="I1433" s="9">
        <v>2</v>
      </c>
      <c r="J1433" s="9">
        <v>2</v>
      </c>
      <c r="K1433" s="9">
        <v>1</v>
      </c>
      <c r="L1433" s="9">
        <v>1</v>
      </c>
      <c r="M1433" s="9">
        <v>1</v>
      </c>
      <c r="N1433" s="185">
        <f>IF( OR( ISBLANK(H1433),ISBLANK(J1433), ISBLANK(K1433), ISBLANK(L1433), ISBLANK(M1433) ), "", 1.5*SQRT(   EXP(2.21*(H1433-1)) + EXP(2.21*(J1433-1)) + EXP(2.21*(K1433-1)) + EXP(2.21*(L1433-1)) + EXP(2.21*M1433)   )/100*2.45 )</f>
        <v>0.16933510251023262</v>
      </c>
      <c r="O1433" s="159">
        <f>IF( OR( ISBLANK(I1433),ISBLANK(J1433), ISBLANK(K1433), ISBLANK(L1433), ISBLANK(M1433) ), "", 1.5*SQRT( EXP(2.21*(I1433-1)) + EXP(2.21*(J1433-1)) + EXP(2.21*(K1433-1)) + EXP(2.21*(L1433-1)) + EXP(2.21*M1433)   )/100*2.45 )</f>
        <v>0.19908580854301616</v>
      </c>
      <c r="P1433" s="34" t="s">
        <v>855</v>
      </c>
    </row>
    <row r="1434" spans="1:16">
      <c r="A1434" s="59" t="s">
        <v>480</v>
      </c>
      <c r="B1434" s="336" t="s">
        <v>483</v>
      </c>
      <c r="C1434" s="34" t="s">
        <v>139</v>
      </c>
      <c r="D1434" s="40" t="s">
        <v>99</v>
      </c>
      <c r="E1434" s="237" t="s">
        <v>150</v>
      </c>
      <c r="F1434" s="40">
        <v>1</v>
      </c>
      <c r="G1434" s="34" t="s">
        <v>412</v>
      </c>
      <c r="H1434" s="29"/>
      <c r="I1434" s="9"/>
      <c r="J1434" s="9"/>
      <c r="K1434" s="9"/>
      <c r="L1434" s="9"/>
      <c r="M1434" s="9"/>
      <c r="N1434" s="185" t="str">
        <f>IF( OR( ISBLANK(H1434),ISBLANK(J1434), ISBLANK(K1434), ISBLANK(L1434), ISBLANK(M1434) ), "", 1.5*SQRT(   EXP(2.21*(H1434-1)) + EXP(2.21*(J1434-1)) + EXP(2.21*(K1434-1)) + EXP(2.21*(L1434-1)) + EXP(2.21*M1434)   )/100*2.45 )</f>
        <v/>
      </c>
      <c r="O1434" s="159" t="str">
        <f>IF( OR( ISBLANK(I1434),ISBLANK(J1434), ISBLANK(K1434), ISBLANK(L1434), ISBLANK(M1434) ), "", 1.5*SQRT( EXP(2.21*(I1434-1)) + EXP(2.21*(J1434-1)) + EXP(2.21*(K1434-1)) + EXP(2.21*(L1434-1)) + EXP(2.21*M1434)   )/100*2.45 )</f>
        <v/>
      </c>
      <c r="P1434" s="34" t="s">
        <v>1931</v>
      </c>
    </row>
    <row r="1435" spans="1:16">
      <c r="A1435" s="59" t="s">
        <v>483</v>
      </c>
      <c r="B1435" s="336" t="s">
        <v>231</v>
      </c>
      <c r="C1435" s="34" t="s">
        <v>139</v>
      </c>
      <c r="D1435" s="40" t="s">
        <v>99</v>
      </c>
      <c r="E1435" s="237">
        <v>0</v>
      </c>
      <c r="F1435" s="40">
        <v>2</v>
      </c>
      <c r="G1435" s="34" t="s">
        <v>412</v>
      </c>
      <c r="H1435" s="29">
        <v>1</v>
      </c>
      <c r="I1435" s="9">
        <v>2</v>
      </c>
      <c r="J1435" s="9">
        <v>2</v>
      </c>
      <c r="K1435" s="9">
        <v>1</v>
      </c>
      <c r="L1435" s="9">
        <v>1</v>
      </c>
      <c r="M1435" s="9">
        <v>1</v>
      </c>
      <c r="N1435" s="185">
        <f>IF( OR( ISBLANK(H1435),ISBLANK(J1435), ISBLANK(K1435), ISBLANK(L1435), ISBLANK(M1435) ), "", 1.5*SQRT(   EXP(2.21*(H1435-1)) + EXP(2.21*(J1435-1)) + EXP(2.21*(K1435-1)) + EXP(2.21*(L1435-1)) + EXP(2.21*M1435)   )/100*2.45 )</f>
        <v>0.16933510251023262</v>
      </c>
      <c r="O1435" s="159">
        <f>IF( OR( ISBLANK(I1435),ISBLANK(J1435), ISBLANK(K1435), ISBLANK(L1435), ISBLANK(M1435) ), "", 1.5*SQRT( EXP(2.21*(I1435-1)) + EXP(2.21*(J1435-1)) + EXP(2.21*(K1435-1)) + EXP(2.21*(L1435-1)) + EXP(2.21*M1435)   )/100*2.45 )</f>
        <v>0.19908580854301616</v>
      </c>
      <c r="P1435" s="34" t="s">
        <v>1945</v>
      </c>
    </row>
    <row r="1436" spans="1:16">
      <c r="A1436" s="59" t="s">
        <v>483</v>
      </c>
      <c r="B1436" s="336" t="s">
        <v>232</v>
      </c>
      <c r="C1436" s="34" t="s">
        <v>139</v>
      </c>
      <c r="D1436" s="40" t="s">
        <v>99</v>
      </c>
      <c r="E1436" s="237">
        <v>0</v>
      </c>
      <c r="F1436" s="40">
        <v>2</v>
      </c>
      <c r="G1436" s="34" t="s">
        <v>412</v>
      </c>
      <c r="H1436" s="29">
        <v>1</v>
      </c>
      <c r="I1436" s="9">
        <v>2</v>
      </c>
      <c r="J1436" s="9">
        <v>2</v>
      </c>
      <c r="K1436" s="9">
        <v>1</v>
      </c>
      <c r="L1436" s="9">
        <v>1</v>
      </c>
      <c r="M1436" s="9">
        <v>1</v>
      </c>
      <c r="N1436" s="185">
        <f>IF( OR( ISBLANK(H1436),ISBLANK(J1436), ISBLANK(K1436), ISBLANK(L1436), ISBLANK(M1436) ), "", 1.5*SQRT(   EXP(2.21*(H1436-1)) + EXP(2.21*(J1436-1)) + EXP(2.21*(K1436-1)) + EXP(2.21*(L1436-1)) + EXP(2.21*M1436)   )/100*2.45 )</f>
        <v>0.16933510251023262</v>
      </c>
      <c r="O1436" s="159">
        <f>IF( OR( ISBLANK(I1436),ISBLANK(J1436), ISBLANK(K1436), ISBLANK(L1436), ISBLANK(M1436) ), "", 1.5*SQRT( EXP(2.21*(I1436-1)) + EXP(2.21*(J1436-1)) + EXP(2.21*(K1436-1)) + EXP(2.21*(L1436-1)) + EXP(2.21*M1436)   )/100*2.45 )</f>
        <v>0.19908580854301616</v>
      </c>
      <c r="P1436" s="34" t="s">
        <v>1945</v>
      </c>
    </row>
    <row r="1437" spans="1:16">
      <c r="A1437" s="59" t="s">
        <v>483</v>
      </c>
      <c r="B1437" s="336" t="s">
        <v>251</v>
      </c>
      <c r="C1437" s="34" t="s">
        <v>139</v>
      </c>
      <c r="D1437" s="40" t="s">
        <v>99</v>
      </c>
      <c r="E1437" s="237">
        <v>0</v>
      </c>
      <c r="F1437" s="40">
        <v>2</v>
      </c>
      <c r="G1437" s="34" t="s">
        <v>412</v>
      </c>
      <c r="H1437" s="29">
        <v>1</v>
      </c>
      <c r="I1437" s="9">
        <v>2</v>
      </c>
      <c r="J1437" s="9">
        <v>2</v>
      </c>
      <c r="K1437" s="9">
        <v>1</v>
      </c>
      <c r="L1437" s="9">
        <v>1</v>
      </c>
      <c r="M1437" s="9">
        <v>1</v>
      </c>
      <c r="N1437" s="185">
        <f>IF( OR( ISBLANK(H1437),ISBLANK(J1437), ISBLANK(K1437), ISBLANK(L1437), ISBLANK(M1437) ), "", 1.5*SQRT(   EXP(2.21*(H1437-1)) + EXP(2.21*(J1437-1)) + EXP(2.21*(K1437-1)) + EXP(2.21*(L1437-1)) + EXP(2.21*M1437)   )/100*2.45 )</f>
        <v>0.16933510251023262</v>
      </c>
      <c r="O1437" s="159">
        <f>IF( OR( ISBLANK(I1437),ISBLANK(J1437), ISBLANK(K1437), ISBLANK(L1437), ISBLANK(M1437) ), "", 1.5*SQRT( EXP(2.21*(I1437-1)) + EXP(2.21*(J1437-1)) + EXP(2.21*(K1437-1)) + EXP(2.21*(L1437-1)) + EXP(2.21*M1437)   )/100*2.45 )</f>
        <v>0.19908580854301616</v>
      </c>
      <c r="P1437" s="34" t="s">
        <v>1945</v>
      </c>
    </row>
    <row r="1438" spans="1:16">
      <c r="A1438" s="59" t="s">
        <v>483</v>
      </c>
      <c r="B1438" s="336" t="s">
        <v>258</v>
      </c>
      <c r="C1438" s="34" t="s">
        <v>139</v>
      </c>
      <c r="D1438" s="40" t="s">
        <v>99</v>
      </c>
      <c r="E1438" s="237">
        <v>0</v>
      </c>
      <c r="F1438" s="40">
        <v>2</v>
      </c>
      <c r="G1438" s="34" t="s">
        <v>412</v>
      </c>
      <c r="H1438" s="29">
        <v>1</v>
      </c>
      <c r="I1438" s="9">
        <v>2</v>
      </c>
      <c r="J1438" s="9">
        <v>2</v>
      </c>
      <c r="K1438" s="9">
        <v>1</v>
      </c>
      <c r="L1438" s="9">
        <v>1</v>
      </c>
      <c r="M1438" s="9">
        <v>1</v>
      </c>
      <c r="N1438" s="185">
        <f>IF( OR( ISBLANK(H1438),ISBLANK(J1438), ISBLANK(K1438), ISBLANK(L1438), ISBLANK(M1438) ), "", 1.5*SQRT(   EXP(2.21*(H1438-1)) + EXP(2.21*(J1438-1)) + EXP(2.21*(K1438-1)) + EXP(2.21*(L1438-1)) + EXP(2.21*M1438)   )/100*2.45 )</f>
        <v>0.16933510251023262</v>
      </c>
      <c r="O1438" s="159">
        <f>IF( OR( ISBLANK(I1438),ISBLANK(J1438), ISBLANK(K1438), ISBLANK(L1438), ISBLANK(M1438) ), "", 1.5*SQRT( EXP(2.21*(I1438-1)) + EXP(2.21*(J1438-1)) + EXP(2.21*(K1438-1)) + EXP(2.21*(L1438-1)) + EXP(2.21*M1438)   )/100*2.45 )</f>
        <v>0.19908580854301616</v>
      </c>
      <c r="P1438" s="34" t="s">
        <v>1945</v>
      </c>
    </row>
    <row r="1439" spans="1:16">
      <c r="A1439" s="59" t="s">
        <v>483</v>
      </c>
      <c r="B1439" s="336" t="s">
        <v>327</v>
      </c>
      <c r="C1439" s="34" t="s">
        <v>139</v>
      </c>
      <c r="D1439" s="40" t="s">
        <v>99</v>
      </c>
      <c r="E1439" s="237" t="s">
        <v>150</v>
      </c>
      <c r="F1439" s="40">
        <v>1</v>
      </c>
      <c r="G1439" s="34" t="s">
        <v>412</v>
      </c>
      <c r="H1439" s="29"/>
      <c r="I1439" s="9"/>
      <c r="J1439" s="9"/>
      <c r="K1439" s="9"/>
      <c r="L1439" s="9"/>
      <c r="M1439" s="9"/>
      <c r="N1439" s="185" t="str">
        <f>IF( OR( ISBLANK(H1439),ISBLANK(J1439), ISBLANK(K1439), ISBLANK(L1439), ISBLANK(M1439) ), "", 1.5*SQRT(   EXP(2.21*(H1439-1)) + EXP(2.21*(J1439-1)) + EXP(2.21*(K1439-1)) + EXP(2.21*(L1439-1)) + EXP(2.21*M1439)   )/100*2.45 )</f>
        <v/>
      </c>
      <c r="O1439" s="159" t="str">
        <f>IF( OR( ISBLANK(I1439),ISBLANK(J1439), ISBLANK(K1439), ISBLANK(L1439), ISBLANK(M1439) ), "", 1.5*SQRT( EXP(2.21*(I1439-1)) + EXP(2.21*(J1439-1)) + EXP(2.21*(K1439-1)) + EXP(2.21*(L1439-1)) + EXP(2.21*M1439)   )/100*2.45 )</f>
        <v/>
      </c>
      <c r="P1439" s="34"/>
    </row>
    <row r="1440" spans="1:16">
      <c r="A1440" s="59" t="s">
        <v>482</v>
      </c>
      <c r="B1440" s="336" t="s">
        <v>231</v>
      </c>
      <c r="C1440" s="34" t="s">
        <v>139</v>
      </c>
      <c r="D1440" s="40" t="s">
        <v>99</v>
      </c>
      <c r="E1440" s="237">
        <v>0.05</v>
      </c>
      <c r="F1440" s="40">
        <v>2</v>
      </c>
      <c r="G1440" s="34" t="s">
        <v>157</v>
      </c>
      <c r="H1440" s="29">
        <v>1</v>
      </c>
      <c r="I1440" s="9">
        <v>2</v>
      </c>
      <c r="J1440" s="9">
        <v>2</v>
      </c>
      <c r="K1440" s="9">
        <v>1</v>
      </c>
      <c r="L1440" s="9">
        <v>3</v>
      </c>
      <c r="M1440" s="9">
        <v>3</v>
      </c>
      <c r="N1440" s="185">
        <f>IF( OR( ISBLANK(H1440),ISBLANK(J1440), ISBLANK(K1440), ISBLANK(L1440), ISBLANK(M1440) ), "", 1.5*SQRT(   EXP(2.21*(H1440-1)) + EXP(2.21*(J1440-1)) + EXP(2.21*(K1440-1)) + EXP(2.21*(L1440-1)) + EXP(2.21*M1440)   )/100*2.45 )</f>
        <v>1.0725046436742278</v>
      </c>
      <c r="O1440" s="159">
        <f>IF( OR( ISBLANK(I1440),ISBLANK(J1440), ISBLANK(K1440), ISBLANK(L1440), ISBLANK(M1440) ), "", 1.5*SQRT( EXP(2.21*(I1440-1)) + EXP(2.21*(J1440-1)) + EXP(2.21*(K1440-1)) + EXP(2.21*(L1440-1)) + EXP(2.21*M1440)   )/100*2.45 )</f>
        <v>1.0776024280428556</v>
      </c>
      <c r="P1440" s="34" t="s">
        <v>1916</v>
      </c>
    </row>
    <row r="1441" spans="1:16">
      <c r="A1441" s="59" t="s">
        <v>482</v>
      </c>
      <c r="B1441" s="336" t="s">
        <v>232</v>
      </c>
      <c r="C1441" s="34" t="s">
        <v>139</v>
      </c>
      <c r="D1441" s="40" t="s">
        <v>99</v>
      </c>
      <c r="E1441" s="237">
        <v>0.39400000000000002</v>
      </c>
      <c r="F1441" s="40">
        <v>2</v>
      </c>
      <c r="G1441" s="34" t="s">
        <v>412</v>
      </c>
      <c r="H1441" s="29">
        <v>1</v>
      </c>
      <c r="I1441" s="9">
        <v>2</v>
      </c>
      <c r="J1441" s="9">
        <v>2</v>
      </c>
      <c r="K1441" s="9">
        <v>1</v>
      </c>
      <c r="L1441" s="9">
        <v>1</v>
      </c>
      <c r="M1441" s="9">
        <v>1</v>
      </c>
      <c r="N1441" s="185">
        <f>IF( OR( ISBLANK(H1441),ISBLANK(J1441), ISBLANK(K1441), ISBLANK(L1441), ISBLANK(M1441) ), "", 1.5*SQRT(   EXP(2.21*(H1441-1)) + EXP(2.21*(J1441-1)) + EXP(2.21*(K1441-1)) + EXP(2.21*(L1441-1)) + EXP(2.21*M1441)   )/100*2.45 )</f>
        <v>0.16933510251023262</v>
      </c>
      <c r="O1441" s="159">
        <f>IF( OR( ISBLANK(I1441),ISBLANK(J1441), ISBLANK(K1441), ISBLANK(L1441), ISBLANK(M1441) ), "", 1.5*SQRT( EXP(2.21*(I1441-1)) + EXP(2.21*(J1441-1)) + EXP(2.21*(K1441-1)) + EXP(2.21*(L1441-1)) + EXP(2.21*M1441)   )/100*2.45 )</f>
        <v>0.19908580854301616</v>
      </c>
      <c r="P1441" s="34" t="s">
        <v>1940</v>
      </c>
    </row>
    <row r="1442" spans="1:16">
      <c r="A1442" s="59" t="s">
        <v>482</v>
      </c>
      <c r="B1442" s="336" t="s">
        <v>251</v>
      </c>
      <c r="C1442" s="34" t="s">
        <v>139</v>
      </c>
      <c r="D1442" s="40" t="s">
        <v>99</v>
      </c>
      <c r="E1442" s="237">
        <v>0.52200000000000002</v>
      </c>
      <c r="F1442" s="40">
        <v>1</v>
      </c>
      <c r="G1442" s="34" t="s">
        <v>412</v>
      </c>
      <c r="H1442" s="29">
        <v>1</v>
      </c>
      <c r="I1442" s="9">
        <v>2</v>
      </c>
      <c r="J1442" s="9">
        <v>2</v>
      </c>
      <c r="K1442" s="9">
        <v>1</v>
      </c>
      <c r="L1442" s="9">
        <v>1</v>
      </c>
      <c r="M1442" s="9">
        <v>1</v>
      </c>
      <c r="N1442" s="185">
        <f>IF( OR( ISBLANK(H1442),ISBLANK(J1442), ISBLANK(K1442), ISBLANK(L1442), ISBLANK(M1442) ), "", 1.5*SQRT(   EXP(2.21*(H1442-1)) + EXP(2.21*(J1442-1)) + EXP(2.21*(K1442-1)) + EXP(2.21*(L1442-1)) + EXP(2.21*M1442)   )/100*2.45 )</f>
        <v>0.16933510251023262</v>
      </c>
      <c r="O1442" s="159">
        <f>IF( OR( ISBLANK(I1442),ISBLANK(J1442), ISBLANK(K1442), ISBLANK(L1442), ISBLANK(M1442) ), "", 1.5*SQRT( EXP(2.21*(I1442-1)) + EXP(2.21*(J1442-1)) + EXP(2.21*(K1442-1)) + EXP(2.21*(L1442-1)) + EXP(2.21*M1442)   )/100*2.45 )</f>
        <v>0.19908580854301616</v>
      </c>
      <c r="P1442" s="34" t="s">
        <v>1941</v>
      </c>
    </row>
    <row r="1443" spans="1:16">
      <c r="A1443" s="59" t="s">
        <v>482</v>
      </c>
      <c r="B1443" s="336" t="s">
        <v>258</v>
      </c>
      <c r="C1443" s="34" t="s">
        <v>139</v>
      </c>
      <c r="D1443" s="40" t="s">
        <v>99</v>
      </c>
      <c r="E1443" s="237">
        <v>3.4000000000000002E-2</v>
      </c>
      <c r="F1443" s="40">
        <v>2</v>
      </c>
      <c r="G1443" s="34" t="s">
        <v>412</v>
      </c>
      <c r="H1443" s="29">
        <v>1</v>
      </c>
      <c r="I1443" s="9">
        <v>2</v>
      </c>
      <c r="J1443" s="9">
        <v>2</v>
      </c>
      <c r="K1443" s="9">
        <v>1</v>
      </c>
      <c r="L1443" s="9">
        <v>1</v>
      </c>
      <c r="M1443" s="9">
        <v>1</v>
      </c>
      <c r="N1443" s="185">
        <f>IF( OR( ISBLANK(H1443),ISBLANK(J1443), ISBLANK(K1443), ISBLANK(L1443), ISBLANK(M1443) ), "", 1.5*SQRT(   EXP(2.21*(H1443-1)) + EXP(2.21*(J1443-1)) + EXP(2.21*(K1443-1)) + EXP(2.21*(L1443-1)) + EXP(2.21*M1443)   )/100*2.45 )</f>
        <v>0.16933510251023262</v>
      </c>
      <c r="O1443" s="159">
        <f>IF( OR( ISBLANK(I1443),ISBLANK(J1443), ISBLANK(K1443), ISBLANK(L1443), ISBLANK(M1443) ), "", 1.5*SQRT( EXP(2.21*(I1443-1)) + EXP(2.21*(J1443-1)) + EXP(2.21*(K1443-1)) + EXP(2.21*(L1443-1)) + EXP(2.21*M1443)   )/100*2.45 )</f>
        <v>0.19908580854301616</v>
      </c>
      <c r="P1443" s="34" t="s">
        <v>1942</v>
      </c>
    </row>
    <row r="1444" spans="1:16">
      <c r="A1444" s="59" t="s">
        <v>414</v>
      </c>
      <c r="B1444" s="336" t="s">
        <v>442</v>
      </c>
      <c r="C1444" s="34" t="s">
        <v>139</v>
      </c>
      <c r="D1444" s="40" t="s">
        <v>99</v>
      </c>
      <c r="E1444" s="237">
        <f>0.97*0.25</f>
        <v>0.24249999999999999</v>
      </c>
      <c r="F1444" s="40">
        <v>2</v>
      </c>
      <c r="G1444" s="34" t="s">
        <v>412</v>
      </c>
      <c r="H1444" s="29">
        <v>1</v>
      </c>
      <c r="I1444" s="9">
        <v>2</v>
      </c>
      <c r="J1444" s="9">
        <v>2</v>
      </c>
      <c r="K1444" s="9">
        <v>1</v>
      </c>
      <c r="L1444" s="9">
        <v>1</v>
      </c>
      <c r="M1444" s="9">
        <v>1</v>
      </c>
      <c r="N1444" s="185">
        <f>IF( OR( ISBLANK(H1444),ISBLANK(J1444), ISBLANK(K1444), ISBLANK(L1444), ISBLANK(M1444) ), "", 1.5*SQRT(   EXP(2.21*(H1444-1)) + EXP(2.21*(J1444-1)) + EXP(2.21*(K1444-1)) + EXP(2.21*(L1444-1)) + EXP(2.21*M1444)   )/100*2.45 )</f>
        <v>0.16933510251023262</v>
      </c>
      <c r="O1444" s="159">
        <f>IF( OR( ISBLANK(I1444),ISBLANK(J1444), ISBLANK(K1444), ISBLANK(L1444), ISBLANK(M1444) ), "", 1.5*SQRT( EXP(2.21*(I1444-1)) + EXP(2.21*(J1444-1)) + EXP(2.21*(K1444-1)) + EXP(2.21*(L1444-1)) + EXP(2.21*M1444)   )/100*2.45 )</f>
        <v>0.19908580854301616</v>
      </c>
      <c r="P1444" s="34" t="s">
        <v>841</v>
      </c>
    </row>
    <row r="1445" spans="1:16">
      <c r="A1445" s="59" t="s">
        <v>414</v>
      </c>
      <c r="B1445" s="336" t="s">
        <v>443</v>
      </c>
      <c r="C1445" s="34" t="s">
        <v>139</v>
      </c>
      <c r="D1445" s="40" t="s">
        <v>99</v>
      </c>
      <c r="E1445" s="237">
        <f>0.97*0.75</f>
        <v>0.72750000000000004</v>
      </c>
      <c r="F1445" s="40">
        <v>2</v>
      </c>
      <c r="G1445" s="34" t="s">
        <v>412</v>
      </c>
      <c r="H1445" s="29">
        <v>1</v>
      </c>
      <c r="I1445" s="9">
        <v>2</v>
      </c>
      <c r="J1445" s="9">
        <v>2</v>
      </c>
      <c r="K1445" s="9">
        <v>1</v>
      </c>
      <c r="L1445" s="9">
        <v>1</v>
      </c>
      <c r="M1445" s="9">
        <v>1</v>
      </c>
      <c r="N1445" s="185">
        <f>IF( OR( ISBLANK(H1445),ISBLANK(J1445), ISBLANK(K1445), ISBLANK(L1445), ISBLANK(M1445) ), "", 1.5*SQRT(   EXP(2.21*(H1445-1)) + EXP(2.21*(J1445-1)) + EXP(2.21*(K1445-1)) + EXP(2.21*(L1445-1)) + EXP(2.21*M1445)   )/100*2.45 )</f>
        <v>0.16933510251023262</v>
      </c>
      <c r="O1445" s="159">
        <f>IF( OR( ISBLANK(I1445),ISBLANK(J1445), ISBLANK(K1445), ISBLANK(L1445), ISBLANK(M1445) ), "", 1.5*SQRT( EXP(2.21*(I1445-1)) + EXP(2.21*(J1445-1)) + EXP(2.21*(K1445-1)) + EXP(2.21*(L1445-1)) + EXP(2.21*M1445)   )/100*2.45 )</f>
        <v>0.19908580854301616</v>
      </c>
      <c r="P1445" s="34" t="s">
        <v>842</v>
      </c>
    </row>
    <row r="1446" spans="1:16">
      <c r="A1446" s="59" t="s">
        <v>414</v>
      </c>
      <c r="B1446" s="336" t="s">
        <v>223</v>
      </c>
      <c r="C1446" s="34" t="s">
        <v>139</v>
      </c>
      <c r="D1446" s="40" t="s">
        <v>99</v>
      </c>
      <c r="E1446" s="237">
        <v>0.03</v>
      </c>
      <c r="F1446" s="40">
        <v>1</v>
      </c>
      <c r="G1446" s="34" t="s">
        <v>412</v>
      </c>
      <c r="H1446" s="29">
        <v>1</v>
      </c>
      <c r="I1446" s="9">
        <v>2</v>
      </c>
      <c r="J1446" s="9">
        <v>2</v>
      </c>
      <c r="K1446" s="9">
        <v>1</v>
      </c>
      <c r="L1446" s="9">
        <v>1</v>
      </c>
      <c r="M1446" s="9">
        <v>1</v>
      </c>
      <c r="N1446" s="185">
        <f>IF( OR( ISBLANK(H1446),ISBLANK(J1446), ISBLANK(K1446), ISBLANK(L1446), ISBLANK(M1446) ), "", 1.5*SQRT(   EXP(2.21*(H1446-1)) + EXP(2.21*(J1446-1)) + EXP(2.21*(K1446-1)) + EXP(2.21*(L1446-1)) + EXP(2.21*M1446)   )/100*2.45 )</f>
        <v>0.16933510251023262</v>
      </c>
      <c r="O1446" s="159">
        <f>IF( OR( ISBLANK(I1446),ISBLANK(J1446), ISBLANK(K1446), ISBLANK(L1446), ISBLANK(M1446) ), "", 1.5*SQRT( EXP(2.21*(I1446-1)) + EXP(2.21*(J1446-1)) + EXP(2.21*(K1446-1)) + EXP(2.21*(L1446-1)) + EXP(2.21*M1446)   )/100*2.45 )</f>
        <v>0.19908580854301616</v>
      </c>
      <c r="P1446" s="34" t="s">
        <v>833</v>
      </c>
    </row>
    <row r="1447" spans="1:16">
      <c r="A1447" s="59" t="s">
        <v>443</v>
      </c>
      <c r="B1447" s="336" t="s">
        <v>447</v>
      </c>
      <c r="C1447" s="34" t="s">
        <v>139</v>
      </c>
      <c r="D1447" s="40" t="s">
        <v>99</v>
      </c>
      <c r="E1447" s="237">
        <f>0.1*E1441</f>
        <v>3.9400000000000004E-2</v>
      </c>
      <c r="F1447" s="40">
        <v>2</v>
      </c>
      <c r="G1447" s="34" t="s">
        <v>412</v>
      </c>
      <c r="H1447" s="29">
        <v>1</v>
      </c>
      <c r="I1447" s="9">
        <v>2</v>
      </c>
      <c r="J1447" s="9">
        <v>2</v>
      </c>
      <c r="K1447" s="9">
        <v>1</v>
      </c>
      <c r="L1447" s="9">
        <v>1</v>
      </c>
      <c r="M1447" s="9">
        <v>1</v>
      </c>
      <c r="N1447" s="185">
        <f>IF( OR( ISBLANK(H1447),ISBLANK(J1447), ISBLANK(K1447), ISBLANK(L1447), ISBLANK(M1447) ), "", 1.5*SQRT(   EXP(2.21*(H1447-1)) + EXP(2.21*(J1447-1)) + EXP(2.21*(K1447-1)) + EXP(2.21*(L1447-1)) + EXP(2.21*M1447)   )/100*2.45 )</f>
        <v>0.16933510251023262</v>
      </c>
      <c r="O1447" s="159">
        <f>IF( OR( ISBLANK(I1447),ISBLANK(J1447), ISBLANK(K1447), ISBLANK(L1447), ISBLANK(M1447) ), "", 1.5*SQRT( EXP(2.21*(I1447-1)) + EXP(2.21*(J1447-1)) + EXP(2.21*(K1447-1)) + EXP(2.21*(L1447-1)) + EXP(2.21*M1447)   )/100*2.45 )</f>
        <v>0.19908580854301616</v>
      </c>
      <c r="P1447" s="34" t="s">
        <v>835</v>
      </c>
    </row>
    <row r="1448" spans="1:16">
      <c r="A1448" s="59" t="s">
        <v>443</v>
      </c>
      <c r="B1448" s="336" t="s">
        <v>448</v>
      </c>
      <c r="C1448" s="34" t="s">
        <v>139</v>
      </c>
      <c r="D1448" s="40" t="s">
        <v>99</v>
      </c>
      <c r="E1448" s="237" t="s">
        <v>150</v>
      </c>
      <c r="F1448" s="40">
        <v>1</v>
      </c>
      <c r="G1448" s="34" t="s">
        <v>412</v>
      </c>
      <c r="H1448" s="29"/>
      <c r="I1448" s="9"/>
      <c r="J1448" s="9"/>
      <c r="K1448" s="9"/>
      <c r="L1448" s="9"/>
      <c r="M1448" s="9"/>
      <c r="N1448" s="185" t="str">
        <f>IF( OR( ISBLANK(H1448),ISBLANK(J1448), ISBLANK(K1448), ISBLANK(L1448), ISBLANK(M1448) ), "", 1.5*SQRT(   EXP(2.21*(H1448-1)) + EXP(2.21*(J1448-1)) + EXP(2.21*(K1448-1)) + EXP(2.21*(L1448-1)) + EXP(2.21*M1448)   )/100*2.45 )</f>
        <v/>
      </c>
      <c r="O1448" s="159" t="str">
        <f>IF( OR( ISBLANK(I1448),ISBLANK(J1448), ISBLANK(K1448), ISBLANK(L1448), ISBLANK(M1448) ), "", 1.5*SQRT( EXP(2.21*(I1448-1)) + EXP(2.21*(J1448-1)) + EXP(2.21*(K1448-1)) + EXP(2.21*(L1448-1)) + EXP(2.21*M1448)   )/100*2.45 )</f>
        <v/>
      </c>
      <c r="P1448" s="34" t="s">
        <v>1921</v>
      </c>
    </row>
    <row r="1449" spans="1:16">
      <c r="A1449" s="59" t="s">
        <v>448</v>
      </c>
      <c r="B1449" s="336" t="s">
        <v>228</v>
      </c>
      <c r="C1449" s="34" t="s">
        <v>139</v>
      </c>
      <c r="D1449" s="40" t="s">
        <v>99</v>
      </c>
      <c r="E1449" s="237">
        <v>3.2000000000000001E-2</v>
      </c>
      <c r="F1449" s="40">
        <v>2</v>
      </c>
      <c r="G1449" s="34" t="s">
        <v>412</v>
      </c>
      <c r="H1449" s="29">
        <v>1</v>
      </c>
      <c r="I1449" s="9">
        <v>2</v>
      </c>
      <c r="J1449" s="9">
        <v>2</v>
      </c>
      <c r="K1449" s="9">
        <v>1</v>
      </c>
      <c r="L1449" s="9">
        <v>1</v>
      </c>
      <c r="M1449" s="9">
        <v>1</v>
      </c>
      <c r="N1449" s="185">
        <f>IF( OR( ISBLANK(H1449),ISBLANK(J1449), ISBLANK(K1449), ISBLANK(L1449), ISBLANK(M1449) ), "", 1.5*SQRT(   EXP(2.21*(H1449-1)) + EXP(2.21*(J1449-1)) + EXP(2.21*(K1449-1)) + EXP(2.21*(L1449-1)) + EXP(2.21*M1449)   )/100*2.45 )</f>
        <v>0.16933510251023262</v>
      </c>
      <c r="O1449" s="159">
        <f>IF( OR( ISBLANK(I1449),ISBLANK(J1449), ISBLANK(K1449), ISBLANK(L1449), ISBLANK(M1449) ), "", 1.5*SQRT( EXP(2.21*(I1449-1)) + EXP(2.21*(J1449-1)) + EXP(2.21*(K1449-1)) + EXP(2.21*(L1449-1)) + EXP(2.21*M1449)   )/100*2.45 )</f>
        <v>0.19908580854301616</v>
      </c>
      <c r="P1449" s="34" t="s">
        <v>840</v>
      </c>
    </row>
    <row r="1450" spans="1:16">
      <c r="A1450" s="59" t="s">
        <v>448</v>
      </c>
      <c r="B1450" s="336" t="s">
        <v>327</v>
      </c>
      <c r="C1450" s="34" t="s">
        <v>139</v>
      </c>
      <c r="D1450" s="40" t="s">
        <v>99</v>
      </c>
      <c r="E1450" s="237" t="s">
        <v>150</v>
      </c>
      <c r="F1450" s="40">
        <v>1</v>
      </c>
      <c r="G1450" s="34" t="s">
        <v>412</v>
      </c>
      <c r="H1450" s="29"/>
      <c r="I1450" s="9"/>
      <c r="J1450" s="9"/>
      <c r="K1450" s="9"/>
      <c r="L1450" s="9"/>
      <c r="M1450" s="9"/>
      <c r="N1450" s="185" t="str">
        <f>IF( OR( ISBLANK(H1450),ISBLANK(J1450), ISBLANK(K1450), ISBLANK(L1450), ISBLANK(M1450) ), "", 1.5*SQRT(   EXP(2.21*(H1450-1)) + EXP(2.21*(J1450-1)) + EXP(2.21*(K1450-1)) + EXP(2.21*(L1450-1)) + EXP(2.21*M1450)   )/100*2.45 )</f>
        <v/>
      </c>
      <c r="O1450" s="159" t="str">
        <f>IF( OR( ISBLANK(I1450),ISBLANK(J1450), ISBLANK(K1450), ISBLANK(L1450), ISBLANK(M1450) ), "", 1.5*SQRT( EXP(2.21*(I1450-1)) + EXP(2.21*(J1450-1)) + EXP(2.21*(K1450-1)) + EXP(2.21*(L1450-1)) + EXP(2.21*M1450)   )/100*2.45 )</f>
        <v/>
      </c>
      <c r="P1450" s="34" t="s">
        <v>1922</v>
      </c>
    </row>
    <row r="1451" spans="1:16">
      <c r="A1451" s="59" t="s">
        <v>447</v>
      </c>
      <c r="B1451" s="336" t="s">
        <v>228</v>
      </c>
      <c r="C1451" s="34" t="s">
        <v>139</v>
      </c>
      <c r="D1451" s="40" t="s">
        <v>99</v>
      </c>
      <c r="E1451" s="237">
        <v>1</v>
      </c>
      <c r="F1451" s="40">
        <v>2</v>
      </c>
      <c r="G1451" s="34" t="s">
        <v>412</v>
      </c>
      <c r="H1451" s="29">
        <v>1</v>
      </c>
      <c r="I1451" s="9">
        <v>2</v>
      </c>
      <c r="J1451" s="9">
        <v>2</v>
      </c>
      <c r="K1451" s="9">
        <v>1</v>
      </c>
      <c r="L1451" s="9">
        <v>1</v>
      </c>
      <c r="M1451" s="9">
        <v>1</v>
      </c>
      <c r="N1451" s="185">
        <f>IF( OR( ISBLANK(H1451),ISBLANK(J1451), ISBLANK(K1451), ISBLANK(L1451), ISBLANK(M1451) ), "", 1.5*SQRT(   EXP(2.21*(H1451-1)) + EXP(2.21*(J1451-1)) + EXP(2.21*(K1451-1)) + EXP(2.21*(L1451-1)) + EXP(2.21*M1451)   )/100*2.45 )</f>
        <v>0.16933510251023262</v>
      </c>
      <c r="O1451" s="159">
        <f>IF( OR( ISBLANK(I1451),ISBLANK(J1451), ISBLANK(K1451), ISBLANK(L1451), ISBLANK(M1451) ), "", 1.5*SQRT( EXP(2.21*(I1451-1)) + EXP(2.21*(J1451-1)) + EXP(2.21*(K1451-1)) + EXP(2.21*(L1451-1)) + EXP(2.21*M1451)   )/100*2.45 )</f>
        <v>0.19908580854301616</v>
      </c>
      <c r="P1451" s="34" t="s">
        <v>836</v>
      </c>
    </row>
    <row r="1452" spans="1:16">
      <c r="A1452" s="59" t="s">
        <v>442</v>
      </c>
      <c r="B1452" s="336" t="s">
        <v>445</v>
      </c>
      <c r="C1452" s="34" t="s">
        <v>139</v>
      </c>
      <c r="D1452" s="40" t="s">
        <v>99</v>
      </c>
      <c r="E1452" s="237">
        <v>0.03</v>
      </c>
      <c r="F1452" s="40">
        <v>2</v>
      </c>
      <c r="G1452" s="34" t="s">
        <v>412</v>
      </c>
      <c r="H1452" s="29">
        <v>1</v>
      </c>
      <c r="I1452" s="9">
        <v>2</v>
      </c>
      <c r="J1452" s="9">
        <v>2</v>
      </c>
      <c r="K1452" s="9">
        <v>1</v>
      </c>
      <c r="L1452" s="9">
        <v>1</v>
      </c>
      <c r="M1452" s="9">
        <v>1</v>
      </c>
      <c r="N1452" s="185">
        <f>IF( OR( ISBLANK(H1452),ISBLANK(J1452), ISBLANK(K1452), ISBLANK(L1452), ISBLANK(M1452) ), "", 1.5*SQRT(   EXP(2.21*(H1452-1)) + EXP(2.21*(J1452-1)) + EXP(2.21*(K1452-1)) + EXP(2.21*(L1452-1)) + EXP(2.21*M1452)   )/100*2.45 )</f>
        <v>0.16933510251023262</v>
      </c>
      <c r="O1452" s="159">
        <f>IF( OR( ISBLANK(I1452),ISBLANK(J1452), ISBLANK(K1452), ISBLANK(L1452), ISBLANK(M1452) ), "", 1.5*SQRT( EXP(2.21*(I1452-1)) + EXP(2.21*(J1452-1)) + EXP(2.21*(K1452-1)) + EXP(2.21*(L1452-1)) + EXP(2.21*M1452)   )/100*2.45 )</f>
        <v>0.19908580854301616</v>
      </c>
      <c r="P1452" s="34" t="s">
        <v>834</v>
      </c>
    </row>
    <row r="1453" spans="1:16">
      <c r="A1453" s="59" t="s">
        <v>442</v>
      </c>
      <c r="B1453" s="336" t="s">
        <v>446</v>
      </c>
      <c r="C1453" s="34" t="s">
        <v>139</v>
      </c>
      <c r="D1453" s="40" t="s">
        <v>99</v>
      </c>
      <c r="E1453" s="237" t="s">
        <v>150</v>
      </c>
      <c r="F1453" s="40">
        <v>1</v>
      </c>
      <c r="G1453" s="34" t="s">
        <v>412</v>
      </c>
      <c r="H1453" s="29"/>
      <c r="I1453" s="9"/>
      <c r="J1453" s="9"/>
      <c r="K1453" s="9"/>
      <c r="L1453" s="9"/>
      <c r="M1453" s="9"/>
      <c r="N1453" s="185" t="str">
        <f>IF( OR( ISBLANK(H1453),ISBLANK(J1453), ISBLANK(K1453), ISBLANK(L1453), ISBLANK(M1453) ), "", 1.5*SQRT(   EXP(2.21*(H1453-1)) + EXP(2.21*(J1453-1)) + EXP(2.21*(K1453-1)) + EXP(2.21*(L1453-1)) + EXP(2.21*M1453)   )/100*2.45 )</f>
        <v/>
      </c>
      <c r="O1453" s="159" t="str">
        <f>IF( OR( ISBLANK(I1453),ISBLANK(J1453), ISBLANK(K1453), ISBLANK(L1453), ISBLANK(M1453) ), "", 1.5*SQRT( EXP(2.21*(I1453-1)) + EXP(2.21*(J1453-1)) + EXP(2.21*(K1453-1)) + EXP(2.21*(L1453-1)) + EXP(2.21*M1453)   )/100*2.45 )</f>
        <v/>
      </c>
      <c r="P1453" s="34" t="s">
        <v>1921</v>
      </c>
    </row>
    <row r="1454" spans="1:16">
      <c r="A1454" s="59" t="s">
        <v>446</v>
      </c>
      <c r="B1454" s="336" t="s">
        <v>231</v>
      </c>
      <c r="C1454" s="34" t="s">
        <v>139</v>
      </c>
      <c r="D1454" s="40" t="s">
        <v>99</v>
      </c>
      <c r="E1454" s="237">
        <v>1.6000000000000001E-3</v>
      </c>
      <c r="F1454" s="40">
        <v>2</v>
      </c>
      <c r="G1454" s="34" t="s">
        <v>1976</v>
      </c>
      <c r="H1454" s="29">
        <v>1</v>
      </c>
      <c r="I1454" s="9">
        <v>2</v>
      </c>
      <c r="J1454" s="9">
        <v>2</v>
      </c>
      <c r="K1454" s="9">
        <v>1</v>
      </c>
      <c r="L1454" s="9">
        <v>3</v>
      </c>
      <c r="M1454" s="9">
        <v>3</v>
      </c>
      <c r="N1454" s="185">
        <f>IF( OR( ISBLANK(H1454),ISBLANK(J1454), ISBLANK(K1454), ISBLANK(L1454), ISBLANK(M1454) ), "", 1.5*SQRT(   EXP(2.21*(H1454-1)) + EXP(2.21*(J1454-1)) + EXP(2.21*(K1454-1)) + EXP(2.21*(L1454-1)) + EXP(2.21*M1454)   )/100*2.45 )</f>
        <v>1.0725046436742278</v>
      </c>
      <c r="O1454" s="159">
        <f>IF( OR( ISBLANK(I1454),ISBLANK(J1454), ISBLANK(K1454), ISBLANK(L1454), ISBLANK(M1454) ), "", 1.5*SQRT( EXP(2.21*(I1454-1)) + EXP(2.21*(J1454-1)) + EXP(2.21*(K1454-1)) + EXP(2.21*(L1454-1)) + EXP(2.21*M1454)   )/100*2.45 )</f>
        <v>1.0776024280428556</v>
      </c>
      <c r="P1454" s="34" t="s">
        <v>1949</v>
      </c>
    </row>
    <row r="1455" spans="1:16">
      <c r="A1455" s="59" t="s">
        <v>446</v>
      </c>
      <c r="B1455" s="336" t="s">
        <v>232</v>
      </c>
      <c r="C1455" s="34" t="s">
        <v>139</v>
      </c>
      <c r="D1455" s="40" t="s">
        <v>99</v>
      </c>
      <c r="E1455" s="237">
        <v>1.26E-2</v>
      </c>
      <c r="F1455" s="40">
        <v>2</v>
      </c>
      <c r="G1455" s="34" t="s">
        <v>412</v>
      </c>
      <c r="H1455" s="29">
        <v>1</v>
      </c>
      <c r="I1455" s="9">
        <v>2</v>
      </c>
      <c r="J1455" s="9">
        <v>2</v>
      </c>
      <c r="K1455" s="9">
        <v>1</v>
      </c>
      <c r="L1455" s="9">
        <v>1</v>
      </c>
      <c r="M1455" s="9">
        <v>1</v>
      </c>
      <c r="N1455" s="185">
        <f>IF( OR( ISBLANK(H1455),ISBLANK(J1455), ISBLANK(K1455), ISBLANK(L1455), ISBLANK(M1455) ), "", 1.5*SQRT(   EXP(2.21*(H1455-1)) + EXP(2.21*(J1455-1)) + EXP(2.21*(K1455-1)) + EXP(2.21*(L1455-1)) + EXP(2.21*M1455)   )/100*2.45 )</f>
        <v>0.16933510251023262</v>
      </c>
      <c r="O1455" s="159">
        <f>IF( OR( ISBLANK(I1455),ISBLANK(J1455), ISBLANK(K1455), ISBLANK(L1455), ISBLANK(M1455) ), "", 1.5*SQRT( EXP(2.21*(I1455-1)) + EXP(2.21*(J1455-1)) + EXP(2.21*(K1455-1)) + EXP(2.21*(L1455-1)) + EXP(2.21*M1455)   )/100*2.45 )</f>
        <v>0.19908580854301616</v>
      </c>
      <c r="P1455" s="34" t="s">
        <v>1950</v>
      </c>
    </row>
    <row r="1456" spans="1:16">
      <c r="A1456" s="59" t="s">
        <v>446</v>
      </c>
      <c r="B1456" s="336" t="s">
        <v>251</v>
      </c>
      <c r="C1456" s="34" t="s">
        <v>139</v>
      </c>
      <c r="D1456" s="40" t="s">
        <v>99</v>
      </c>
      <c r="E1456" s="237">
        <v>1.67E-2</v>
      </c>
      <c r="F1456" s="40">
        <v>2</v>
      </c>
      <c r="G1456" s="34" t="s">
        <v>412</v>
      </c>
      <c r="H1456" s="29">
        <v>1</v>
      </c>
      <c r="I1456" s="9">
        <v>2</v>
      </c>
      <c r="J1456" s="9">
        <v>2</v>
      </c>
      <c r="K1456" s="9">
        <v>1</v>
      </c>
      <c r="L1456" s="9">
        <v>1</v>
      </c>
      <c r="M1456" s="9">
        <v>1</v>
      </c>
      <c r="N1456" s="185">
        <f>IF( OR( ISBLANK(H1456),ISBLANK(J1456), ISBLANK(K1456), ISBLANK(L1456), ISBLANK(M1456) ), "", 1.5*SQRT(   EXP(2.21*(H1456-1)) + EXP(2.21*(J1456-1)) + EXP(2.21*(K1456-1)) + EXP(2.21*(L1456-1)) + EXP(2.21*M1456)   )/100*2.45 )</f>
        <v>0.16933510251023262</v>
      </c>
      <c r="O1456" s="159">
        <f>IF( OR( ISBLANK(I1456),ISBLANK(J1456), ISBLANK(K1456), ISBLANK(L1456), ISBLANK(M1456) ), "", 1.5*SQRT( EXP(2.21*(I1456-1)) + EXP(2.21*(J1456-1)) + EXP(2.21*(K1456-1)) + EXP(2.21*(L1456-1)) + EXP(2.21*M1456)   )/100*2.45 )</f>
        <v>0.19908580854301616</v>
      </c>
      <c r="P1456" s="34" t="s">
        <v>1961</v>
      </c>
    </row>
    <row r="1457" spans="1:16">
      <c r="A1457" s="59" t="s">
        <v>446</v>
      </c>
      <c r="B1457" s="336" t="s">
        <v>258</v>
      </c>
      <c r="C1457" s="34" t="s">
        <v>139</v>
      </c>
      <c r="D1457" s="40" t="s">
        <v>99</v>
      </c>
      <c r="E1457" s="237">
        <v>1.1000000000000001E-3</v>
      </c>
      <c r="F1457" s="40">
        <v>2</v>
      </c>
      <c r="G1457" s="34" t="s">
        <v>412</v>
      </c>
      <c r="H1457" s="29">
        <v>1</v>
      </c>
      <c r="I1457" s="9">
        <v>2</v>
      </c>
      <c r="J1457" s="9">
        <v>2</v>
      </c>
      <c r="K1457" s="9">
        <v>1</v>
      </c>
      <c r="L1457" s="9">
        <v>1</v>
      </c>
      <c r="M1457" s="9">
        <v>1</v>
      </c>
      <c r="N1457" s="185">
        <f>IF( OR( ISBLANK(H1457),ISBLANK(J1457), ISBLANK(K1457), ISBLANK(L1457), ISBLANK(M1457) ), "", 1.5*SQRT(   EXP(2.21*(H1457-1)) + EXP(2.21*(J1457-1)) + EXP(2.21*(K1457-1)) + EXP(2.21*(L1457-1)) + EXP(2.21*M1457)   )/100*2.45 )</f>
        <v>0.16933510251023262</v>
      </c>
      <c r="O1457" s="159">
        <f>IF( OR( ISBLANK(I1457),ISBLANK(J1457), ISBLANK(K1457), ISBLANK(L1457), ISBLANK(M1457) ), "", 1.5*SQRT( EXP(2.21*(I1457-1)) + EXP(2.21*(J1457-1)) + EXP(2.21*(K1457-1)) + EXP(2.21*(L1457-1)) + EXP(2.21*M1457)   )/100*2.45 )</f>
        <v>0.19908580854301616</v>
      </c>
      <c r="P1457" s="34" t="s">
        <v>1951</v>
      </c>
    </row>
    <row r="1458" spans="1:16">
      <c r="A1458" s="59" t="s">
        <v>446</v>
      </c>
      <c r="B1458" s="336" t="s">
        <v>327</v>
      </c>
      <c r="C1458" s="34" t="s">
        <v>139</v>
      </c>
      <c r="D1458" s="40" t="s">
        <v>99</v>
      </c>
      <c r="E1458" s="237" t="s">
        <v>150</v>
      </c>
      <c r="F1458" s="40">
        <v>1</v>
      </c>
      <c r="G1458" s="34" t="s">
        <v>412</v>
      </c>
      <c r="H1458" s="29"/>
      <c r="I1458" s="9"/>
      <c r="J1458" s="9"/>
      <c r="K1458" s="9"/>
      <c r="L1458" s="9"/>
      <c r="M1458" s="9"/>
      <c r="N1458" s="185" t="str">
        <f>IF( OR( ISBLANK(H1458),ISBLANK(J1458), ISBLANK(K1458), ISBLANK(L1458), ISBLANK(M1458) ), "", 1.5*SQRT(   EXP(2.21*(H1458-1)) + EXP(2.21*(J1458-1)) + EXP(2.21*(K1458-1)) + EXP(2.21*(L1458-1)) + EXP(2.21*M1458)   )/100*2.45 )</f>
        <v/>
      </c>
      <c r="O1458" s="159" t="str">
        <f>IF( OR( ISBLANK(I1458),ISBLANK(J1458), ISBLANK(K1458), ISBLANK(L1458), ISBLANK(M1458) ), "", 1.5*SQRT( EXP(2.21*(I1458-1)) + EXP(2.21*(J1458-1)) + EXP(2.21*(K1458-1)) + EXP(2.21*(L1458-1)) + EXP(2.21*M1458)   )/100*2.45 )</f>
        <v/>
      </c>
      <c r="P1458" s="34"/>
    </row>
    <row r="1459" spans="1:16">
      <c r="A1459" s="59" t="s">
        <v>445</v>
      </c>
      <c r="B1459" s="336" t="s">
        <v>231</v>
      </c>
      <c r="C1459" s="34" t="s">
        <v>139</v>
      </c>
      <c r="D1459" s="40" t="s">
        <v>99</v>
      </c>
      <c r="E1459" s="237">
        <v>0.05</v>
      </c>
      <c r="F1459" s="40">
        <v>2</v>
      </c>
      <c r="G1459" s="34" t="s">
        <v>157</v>
      </c>
      <c r="H1459" s="29">
        <v>1</v>
      </c>
      <c r="I1459" s="9">
        <v>2</v>
      </c>
      <c r="J1459" s="9">
        <v>2</v>
      </c>
      <c r="K1459" s="9">
        <v>1</v>
      </c>
      <c r="L1459" s="9">
        <v>3</v>
      </c>
      <c r="M1459" s="9">
        <v>3</v>
      </c>
      <c r="N1459" s="185">
        <f>IF( OR( ISBLANK(H1459),ISBLANK(J1459), ISBLANK(K1459), ISBLANK(L1459), ISBLANK(M1459) ), "", 1.5*SQRT(   EXP(2.21*(H1459-1)) + EXP(2.21*(J1459-1)) + EXP(2.21*(K1459-1)) + EXP(2.21*(L1459-1)) + EXP(2.21*M1459)   )/100*2.45 )</f>
        <v>1.0725046436742278</v>
      </c>
      <c r="O1459" s="159">
        <f>IF( OR( ISBLANK(I1459),ISBLANK(J1459), ISBLANK(K1459), ISBLANK(L1459), ISBLANK(M1459) ), "", 1.5*SQRT( EXP(2.21*(I1459-1)) + EXP(2.21*(J1459-1)) + EXP(2.21*(K1459-1)) + EXP(2.21*(L1459-1)) + EXP(2.21*M1459)   )/100*2.45 )</f>
        <v>1.0776024280428556</v>
      </c>
      <c r="P1459" s="34" t="s">
        <v>1916</v>
      </c>
    </row>
    <row r="1460" spans="1:16">
      <c r="A1460" s="59" t="s">
        <v>445</v>
      </c>
      <c r="B1460" s="336" t="s">
        <v>232</v>
      </c>
      <c r="C1460" s="34" t="s">
        <v>139</v>
      </c>
      <c r="D1460" s="40" t="s">
        <v>99</v>
      </c>
      <c r="E1460" s="237">
        <v>0.39400000000000002</v>
      </c>
      <c r="F1460" s="40">
        <v>2</v>
      </c>
      <c r="G1460" s="34" t="s">
        <v>412</v>
      </c>
      <c r="H1460" s="29">
        <v>1</v>
      </c>
      <c r="I1460" s="9">
        <v>2</v>
      </c>
      <c r="J1460" s="9">
        <v>2</v>
      </c>
      <c r="K1460" s="9">
        <v>1</v>
      </c>
      <c r="L1460" s="9">
        <v>1</v>
      </c>
      <c r="M1460" s="9">
        <v>1</v>
      </c>
      <c r="N1460" s="185">
        <f>IF( OR( ISBLANK(H1460),ISBLANK(J1460), ISBLANK(K1460), ISBLANK(L1460), ISBLANK(M1460) ), "", 1.5*SQRT(   EXP(2.21*(H1460-1)) + EXP(2.21*(J1460-1)) + EXP(2.21*(K1460-1)) + EXP(2.21*(L1460-1)) + EXP(2.21*M1460)   )/100*2.45 )</f>
        <v>0.16933510251023262</v>
      </c>
      <c r="O1460" s="159">
        <f>IF( OR( ISBLANK(I1460),ISBLANK(J1460), ISBLANK(K1460), ISBLANK(L1460), ISBLANK(M1460) ), "", 1.5*SQRT( EXP(2.21*(I1460-1)) + EXP(2.21*(J1460-1)) + EXP(2.21*(K1460-1)) + EXP(2.21*(L1460-1)) + EXP(2.21*M1460)   )/100*2.45 )</f>
        <v>0.19908580854301616</v>
      </c>
      <c r="P1460" s="34" t="s">
        <v>1940</v>
      </c>
    </row>
    <row r="1461" spans="1:16">
      <c r="A1461" s="59" t="s">
        <v>445</v>
      </c>
      <c r="B1461" s="336" t="s">
        <v>251</v>
      </c>
      <c r="C1461" s="34" t="s">
        <v>139</v>
      </c>
      <c r="D1461" s="40" t="s">
        <v>99</v>
      </c>
      <c r="E1461" s="237">
        <v>0.52200000000000002</v>
      </c>
      <c r="F1461" s="40">
        <v>1</v>
      </c>
      <c r="G1461" s="34" t="s">
        <v>412</v>
      </c>
      <c r="H1461" s="29">
        <v>1</v>
      </c>
      <c r="I1461" s="9">
        <v>2</v>
      </c>
      <c r="J1461" s="9">
        <v>2</v>
      </c>
      <c r="K1461" s="9">
        <v>1</v>
      </c>
      <c r="L1461" s="9">
        <v>1</v>
      </c>
      <c r="M1461" s="9">
        <v>1</v>
      </c>
      <c r="N1461" s="185">
        <f>IF( OR( ISBLANK(H1461),ISBLANK(J1461), ISBLANK(K1461), ISBLANK(L1461), ISBLANK(M1461) ), "", 1.5*SQRT(   EXP(2.21*(H1461-1)) + EXP(2.21*(J1461-1)) + EXP(2.21*(K1461-1)) + EXP(2.21*(L1461-1)) + EXP(2.21*M1461)   )/100*2.45 )</f>
        <v>0.16933510251023262</v>
      </c>
      <c r="O1461" s="159">
        <f>IF( OR( ISBLANK(I1461),ISBLANK(J1461), ISBLANK(K1461), ISBLANK(L1461), ISBLANK(M1461) ), "", 1.5*SQRT( EXP(2.21*(I1461-1)) + EXP(2.21*(J1461-1)) + EXP(2.21*(K1461-1)) + EXP(2.21*(L1461-1)) + EXP(2.21*M1461)   )/100*2.45 )</f>
        <v>0.19908580854301616</v>
      </c>
      <c r="P1461" s="34" t="s">
        <v>1941</v>
      </c>
    </row>
    <row r="1462" spans="1:16" ht="15" thickBot="1">
      <c r="A1462" s="1274" t="s">
        <v>445</v>
      </c>
      <c r="B1462" s="1275" t="s">
        <v>258</v>
      </c>
      <c r="C1462" s="35" t="s">
        <v>139</v>
      </c>
      <c r="D1462" s="41" t="s">
        <v>99</v>
      </c>
      <c r="E1462" s="238">
        <v>3.4000000000000002E-2</v>
      </c>
      <c r="F1462" s="41">
        <v>2</v>
      </c>
      <c r="G1462" s="35" t="s">
        <v>412</v>
      </c>
      <c r="H1462" s="30">
        <v>1</v>
      </c>
      <c r="I1462" s="12">
        <v>2</v>
      </c>
      <c r="J1462" s="12">
        <v>2</v>
      </c>
      <c r="K1462" s="12">
        <v>1</v>
      </c>
      <c r="L1462" s="12">
        <v>1</v>
      </c>
      <c r="M1462" s="12">
        <v>1</v>
      </c>
      <c r="N1462" s="863">
        <f>IF( OR( ISBLANK(H1462),ISBLANK(J1462), ISBLANK(K1462), ISBLANK(L1462), ISBLANK(M1462) ), "", 1.5*SQRT(   EXP(2.21*(H1462-1)) + EXP(2.21*(J1462-1)) + EXP(2.21*(K1462-1)) + EXP(2.21*(L1462-1)) + EXP(2.21*M1462)   )/100*2.45 )</f>
        <v>0.16933510251023262</v>
      </c>
      <c r="O1462" s="160">
        <f>IF( OR( ISBLANK(I1462),ISBLANK(J1462), ISBLANK(K1462), ISBLANK(L1462), ISBLANK(M1462) ), "", 1.5*SQRT( EXP(2.21*(I1462-1)) + EXP(2.21*(J1462-1)) + EXP(2.21*(K1462-1)) + EXP(2.21*(L1462-1)) + EXP(2.21*M1462)   )/100*2.45 )</f>
        <v>0.19908580854301616</v>
      </c>
      <c r="P1462" s="35" t="s">
        <v>1942</v>
      </c>
    </row>
    <row r="1463" spans="1:16">
      <c r="H1463" s="1178"/>
      <c r="I1463" s="1178"/>
      <c r="J1463" s="1178"/>
      <c r="K1463" s="1178"/>
      <c r="L1463" s="1178"/>
      <c r="M1463" s="1178"/>
      <c r="N1463" s="1212" t="str">
        <f>IF( OR( ISBLANK(H1463),ISBLANK(J1463), ISBLANK(K1463), ISBLANK(L1463), ISBLANK(M1463) ), "", 1.5*SQRT(   EXP(2.21*(H1463-1)) + EXP(2.21*(J1463-1)) + EXP(2.21*(K1463-1)) + EXP(2.21*(L1463-1)) + EXP(2.21*M1463)   )/100*2.45 )</f>
        <v/>
      </c>
      <c r="O1463" s="1212" t="str">
        <f>IF( OR( ISBLANK(I1463),ISBLANK(J1463), ISBLANK(K1463), ISBLANK(L1463), ISBLANK(M1463) ), "", 1.5*SQRT( EXP(2.21*(I1463-1)) + EXP(2.21*(J1463-1)) + EXP(2.21*(K1463-1)) + EXP(2.21*(L1463-1)) + EXP(2.21*M1463)   )/100*2.45 )</f>
        <v/>
      </c>
    </row>
    <row r="1464" spans="1:16">
      <c r="H1464" s="1178"/>
      <c r="I1464" s="1178"/>
      <c r="J1464" s="1178"/>
      <c r="K1464" s="1178"/>
      <c r="L1464" s="1178"/>
      <c r="M1464" s="1178"/>
      <c r="N1464" s="1212" t="str">
        <f>IF( OR( ISBLANK(H1464),ISBLANK(J1464), ISBLANK(K1464), ISBLANK(L1464), ISBLANK(M1464) ), "", 1.5*SQRT(   EXP(2.21*(H1464-1)) + EXP(2.21*(J1464-1)) + EXP(2.21*(K1464-1)) + EXP(2.21*(L1464-1)) + EXP(2.21*M1464)   )/100*2.45 )</f>
        <v/>
      </c>
      <c r="O1464" s="1212" t="str">
        <f>IF( OR( ISBLANK(I1464),ISBLANK(J1464), ISBLANK(K1464), ISBLANK(L1464), ISBLANK(M1464) ), "", 1.5*SQRT( EXP(2.21*(I1464-1)) + EXP(2.21*(J1464-1)) + EXP(2.21*(K1464-1)) + EXP(2.21*(L1464-1)) + EXP(2.21*M1464)   )/100*2.45 )</f>
        <v/>
      </c>
    </row>
    <row r="1465" spans="1:16">
      <c r="H1465" s="1178"/>
      <c r="I1465" s="1178"/>
      <c r="J1465" s="1178"/>
      <c r="K1465" s="1178"/>
      <c r="L1465" s="1178"/>
      <c r="M1465" s="1178"/>
      <c r="N1465" s="1212" t="str">
        <f>IF( OR( ISBLANK(H1465),ISBLANK(J1465), ISBLANK(K1465), ISBLANK(L1465), ISBLANK(M1465) ), "", 1.5*SQRT(   EXP(2.21*(H1465-1)) + EXP(2.21*(J1465-1)) + EXP(2.21*(K1465-1)) + EXP(2.21*(L1465-1)) + EXP(2.21*M1465)   )/100*2.45 )</f>
        <v/>
      </c>
      <c r="O1465" s="1212" t="str">
        <f>IF( OR( ISBLANK(I1465),ISBLANK(J1465), ISBLANK(K1465), ISBLANK(L1465), ISBLANK(M1465) ), "", 1.5*SQRT( EXP(2.21*(I1465-1)) + EXP(2.21*(J1465-1)) + EXP(2.21*(K1465-1)) + EXP(2.21*(L1465-1)) + EXP(2.21*M1465)   )/100*2.45 )</f>
        <v/>
      </c>
    </row>
    <row r="1466" spans="1:16">
      <c r="H1466" s="1178"/>
      <c r="I1466" s="1178"/>
      <c r="J1466" s="1178"/>
      <c r="K1466" s="1178"/>
      <c r="L1466" s="1178"/>
      <c r="M1466" s="1178"/>
      <c r="N1466" s="1212" t="str">
        <f>IF( OR( ISBLANK(H1466),ISBLANK(J1466), ISBLANK(K1466), ISBLANK(L1466), ISBLANK(M1466) ), "", 1.5*SQRT(   EXP(2.21*(H1466-1)) + EXP(2.21*(J1466-1)) + EXP(2.21*(K1466-1)) + EXP(2.21*(L1466-1)) + EXP(2.21*M1466)   )/100*2.45 )</f>
        <v/>
      </c>
      <c r="O1466" s="1212" t="str">
        <f>IF( OR( ISBLANK(I1466),ISBLANK(J1466), ISBLANK(K1466), ISBLANK(L1466), ISBLANK(M1466) ), "", 1.5*SQRT( EXP(2.21*(I1466-1)) + EXP(2.21*(J1466-1)) + EXP(2.21*(K1466-1)) + EXP(2.21*(L1466-1)) + EXP(2.21*M1466)   )/100*2.45 )</f>
        <v/>
      </c>
    </row>
    <row r="1467" spans="1:16">
      <c r="H1467" s="1178"/>
      <c r="I1467" s="1178"/>
      <c r="J1467" s="1178"/>
      <c r="K1467" s="1178"/>
      <c r="L1467" s="1178"/>
      <c r="M1467" s="1178"/>
      <c r="N1467" s="1212" t="str">
        <f>IF( OR( ISBLANK(H1467),ISBLANK(J1467), ISBLANK(K1467), ISBLANK(L1467), ISBLANK(M1467) ), "", 1.5*SQRT(   EXP(2.21*(H1467-1)) + EXP(2.21*(J1467-1)) + EXP(2.21*(K1467-1)) + EXP(2.21*(L1467-1)) + EXP(2.21*M1467)   )/100*2.45 )</f>
        <v/>
      </c>
      <c r="O1467" s="1212" t="str">
        <f>IF( OR( ISBLANK(I1467),ISBLANK(J1467), ISBLANK(K1467), ISBLANK(L1467), ISBLANK(M1467) ), "", 1.5*SQRT( EXP(2.21*(I1467-1)) + EXP(2.21*(J1467-1)) + EXP(2.21*(K1467-1)) + EXP(2.21*(L1467-1)) + EXP(2.21*M1467)   )/100*2.45 )</f>
        <v/>
      </c>
    </row>
    <row r="1468" spans="1:16">
      <c r="H1468" s="1178"/>
      <c r="I1468" s="1178"/>
      <c r="J1468" s="1178"/>
      <c r="K1468" s="1178"/>
      <c r="L1468" s="1178"/>
      <c r="M1468" s="1178"/>
      <c r="N1468" s="1212" t="str">
        <f>IF( OR( ISBLANK(H1468),ISBLANK(J1468), ISBLANK(K1468), ISBLANK(L1468), ISBLANK(M1468) ), "", 1.5*SQRT(   EXP(2.21*(H1468-1)) + EXP(2.21*(J1468-1)) + EXP(2.21*(K1468-1)) + EXP(2.21*(L1468-1)) + EXP(2.21*M1468)   )/100*2.45 )</f>
        <v/>
      </c>
      <c r="O1468" s="1212" t="str">
        <f>IF( OR( ISBLANK(I1468),ISBLANK(J1468), ISBLANK(K1468), ISBLANK(L1468), ISBLANK(M1468) ), "", 1.5*SQRT( EXP(2.21*(I1468-1)) + EXP(2.21*(J1468-1)) + EXP(2.21*(K1468-1)) + EXP(2.21*(L1468-1)) + EXP(2.21*M1468)   )/100*2.45 )</f>
        <v/>
      </c>
    </row>
    <row r="1469" spans="1:16">
      <c r="H1469" s="1178"/>
      <c r="I1469" s="1178"/>
      <c r="J1469" s="1178"/>
      <c r="K1469" s="1178"/>
      <c r="L1469" s="1178"/>
      <c r="M1469" s="1178"/>
      <c r="N1469" s="1212" t="str">
        <f>IF( OR( ISBLANK(H1469),ISBLANK(J1469), ISBLANK(K1469), ISBLANK(L1469), ISBLANK(M1469) ), "", 1.5*SQRT(   EXP(2.21*(H1469-1)) + EXP(2.21*(J1469-1)) + EXP(2.21*(K1469-1)) + EXP(2.21*(L1469-1)) + EXP(2.21*M1469)   )/100*2.45 )</f>
        <v/>
      </c>
      <c r="O1469" s="1212" t="str">
        <f>IF( OR( ISBLANK(I1469),ISBLANK(J1469), ISBLANK(K1469), ISBLANK(L1469), ISBLANK(M1469) ), "", 1.5*SQRT( EXP(2.21*(I1469-1)) + EXP(2.21*(J1469-1)) + EXP(2.21*(K1469-1)) + EXP(2.21*(L1469-1)) + EXP(2.21*M1469)   )/100*2.45 )</f>
        <v/>
      </c>
    </row>
    <row r="1470" spans="1:16">
      <c r="H1470" s="1178"/>
      <c r="I1470" s="1178"/>
      <c r="J1470" s="1178"/>
      <c r="K1470" s="1178"/>
      <c r="L1470" s="1178"/>
      <c r="M1470" s="1178"/>
      <c r="N1470" s="1212" t="str">
        <f>IF( OR( ISBLANK(H1470),ISBLANK(J1470), ISBLANK(K1470), ISBLANK(L1470), ISBLANK(M1470) ), "", 1.5*SQRT(   EXP(2.21*(H1470-1)) + EXP(2.21*(J1470-1)) + EXP(2.21*(K1470-1)) + EXP(2.21*(L1470-1)) + EXP(2.21*M1470)   )/100*2.45 )</f>
        <v/>
      </c>
      <c r="O1470" s="1212" t="str">
        <f>IF( OR( ISBLANK(I1470),ISBLANK(J1470), ISBLANK(K1470), ISBLANK(L1470), ISBLANK(M1470) ), "", 1.5*SQRT( EXP(2.21*(I1470-1)) + EXP(2.21*(J1470-1)) + EXP(2.21*(K1470-1)) + EXP(2.21*(L1470-1)) + EXP(2.21*M1470)   )/100*2.45 )</f>
        <v/>
      </c>
    </row>
    <row r="1471" spans="1:16">
      <c r="H1471" s="1178"/>
      <c r="I1471" s="1178"/>
      <c r="J1471" s="1178"/>
      <c r="K1471" s="1178"/>
      <c r="L1471" s="1178"/>
      <c r="M1471" s="1178"/>
      <c r="N1471" s="1212" t="str">
        <f>IF( OR( ISBLANK(H1471),ISBLANK(J1471), ISBLANK(K1471), ISBLANK(L1471), ISBLANK(M1471) ), "", 1.5*SQRT(   EXP(2.21*(H1471-1)) + EXP(2.21*(J1471-1)) + EXP(2.21*(K1471-1)) + EXP(2.21*(L1471-1)) + EXP(2.21*M1471)   )/100*2.45 )</f>
        <v/>
      </c>
      <c r="O1471" s="1212" t="str">
        <f>IF( OR( ISBLANK(I1471),ISBLANK(J1471), ISBLANK(K1471), ISBLANK(L1471), ISBLANK(M1471) ), "", 1.5*SQRT( EXP(2.21*(I1471-1)) + EXP(2.21*(J1471-1)) + EXP(2.21*(K1471-1)) + EXP(2.21*(L1471-1)) + EXP(2.21*M1471)   )/100*2.45 )</f>
        <v/>
      </c>
    </row>
    <row r="1472" spans="1:16">
      <c r="H1472" s="1178"/>
      <c r="I1472" s="1178"/>
      <c r="J1472" s="1178"/>
      <c r="K1472" s="1178"/>
      <c r="L1472" s="1178"/>
      <c r="M1472" s="1178"/>
      <c r="N1472" s="1212" t="str">
        <f>IF( OR( ISBLANK(H1472),ISBLANK(J1472), ISBLANK(K1472), ISBLANK(L1472), ISBLANK(M1472) ), "", 1.5*SQRT(   EXP(2.21*(H1472-1)) + EXP(2.21*(J1472-1)) + EXP(2.21*(K1472-1)) + EXP(2.21*(L1472-1)) + EXP(2.21*M1472)   )/100*2.45 )</f>
        <v/>
      </c>
      <c r="O1472" s="1212" t="str">
        <f>IF( OR( ISBLANK(I1472),ISBLANK(J1472), ISBLANK(K1472), ISBLANK(L1472), ISBLANK(M1472) ), "", 1.5*SQRT( EXP(2.21*(I1472-1)) + EXP(2.21*(J1472-1)) + EXP(2.21*(K1472-1)) + EXP(2.21*(L1472-1)) + EXP(2.21*M1472)   )/100*2.45 )</f>
        <v/>
      </c>
    </row>
    <row r="1473" spans="8:15">
      <c r="H1473" s="1178"/>
      <c r="I1473" s="1178"/>
      <c r="J1473" s="1178"/>
      <c r="K1473" s="1178"/>
      <c r="L1473" s="1178"/>
      <c r="M1473" s="1178"/>
      <c r="N1473" s="1212" t="str">
        <f>IF( OR( ISBLANK(H1473),ISBLANK(J1473), ISBLANK(K1473), ISBLANK(L1473), ISBLANK(M1473) ), "", 1.5*SQRT(   EXP(2.21*(H1473-1)) + EXP(2.21*(J1473-1)) + EXP(2.21*(K1473-1)) + EXP(2.21*(L1473-1)) + EXP(2.21*M1473)   )/100*2.45 )</f>
        <v/>
      </c>
      <c r="O1473" s="1212" t="str">
        <f>IF( OR( ISBLANK(I1473),ISBLANK(J1473), ISBLANK(K1473), ISBLANK(L1473), ISBLANK(M1473) ), "", 1.5*SQRT( EXP(2.21*(I1473-1)) + EXP(2.21*(J1473-1)) + EXP(2.21*(K1473-1)) + EXP(2.21*(L1473-1)) + EXP(2.21*M1473)   )/100*2.45 )</f>
        <v/>
      </c>
    </row>
    <row r="1474" spans="8:15">
      <c r="H1474" s="1178"/>
      <c r="I1474" s="1178"/>
      <c r="J1474" s="1178"/>
      <c r="K1474" s="1178"/>
      <c r="L1474" s="1178"/>
      <c r="M1474" s="1178"/>
      <c r="N1474" s="1212" t="str">
        <f>IF( OR( ISBLANK(H1474),ISBLANK(J1474), ISBLANK(K1474), ISBLANK(L1474), ISBLANK(M1474) ), "", 1.5*SQRT(   EXP(2.21*(H1474-1)) + EXP(2.21*(J1474-1)) + EXP(2.21*(K1474-1)) + EXP(2.21*(L1474-1)) + EXP(2.21*M1474)   )/100*2.45 )</f>
        <v/>
      </c>
      <c r="O1474" s="1212" t="str">
        <f>IF( OR( ISBLANK(I1474),ISBLANK(J1474), ISBLANK(K1474), ISBLANK(L1474), ISBLANK(M1474) ), "", 1.5*SQRT( EXP(2.21*(I1474-1)) + EXP(2.21*(J1474-1)) + EXP(2.21*(K1474-1)) + EXP(2.21*(L1474-1)) + EXP(2.21*M1474)   )/100*2.45 )</f>
        <v/>
      </c>
    </row>
    <row r="1475" spans="8:15">
      <c r="H1475" s="1178"/>
      <c r="I1475" s="1178"/>
      <c r="J1475" s="1178"/>
      <c r="K1475" s="1178"/>
      <c r="L1475" s="1178"/>
      <c r="M1475" s="1178"/>
      <c r="N1475" s="1212" t="str">
        <f>IF( OR( ISBLANK(H1475),ISBLANK(J1475), ISBLANK(K1475), ISBLANK(L1475), ISBLANK(M1475) ), "", 1.5*SQRT(   EXP(2.21*(H1475-1)) + EXP(2.21*(J1475-1)) + EXP(2.21*(K1475-1)) + EXP(2.21*(L1475-1)) + EXP(2.21*M1475)   )/100*2.45 )</f>
        <v/>
      </c>
      <c r="O1475" s="1212" t="str">
        <f>IF( OR( ISBLANK(I1475),ISBLANK(J1475), ISBLANK(K1475), ISBLANK(L1475), ISBLANK(M1475) ), "", 1.5*SQRT( EXP(2.21*(I1475-1)) + EXP(2.21*(J1475-1)) + EXP(2.21*(K1475-1)) + EXP(2.21*(L1475-1)) + EXP(2.21*M1475)   )/100*2.45 )</f>
        <v/>
      </c>
    </row>
    <row r="1476" spans="8:15">
      <c r="H1476" s="1178"/>
      <c r="I1476" s="1178"/>
      <c r="J1476" s="1178"/>
      <c r="K1476" s="1178"/>
      <c r="L1476" s="1178"/>
      <c r="M1476" s="1178"/>
      <c r="N1476" s="1212" t="str">
        <f>IF( OR( ISBLANK(H1476),ISBLANK(J1476), ISBLANK(K1476), ISBLANK(L1476), ISBLANK(M1476) ), "", 1.5*SQRT(   EXP(2.21*(H1476-1)) + EXP(2.21*(J1476-1)) + EXP(2.21*(K1476-1)) + EXP(2.21*(L1476-1)) + EXP(2.21*M1476)   )/100*2.45 )</f>
        <v/>
      </c>
      <c r="O1476" s="1212" t="str">
        <f>IF( OR( ISBLANK(I1476),ISBLANK(J1476), ISBLANK(K1476), ISBLANK(L1476), ISBLANK(M1476) ), "", 1.5*SQRT( EXP(2.21*(I1476-1)) + EXP(2.21*(J1476-1)) + EXP(2.21*(K1476-1)) + EXP(2.21*(L1476-1)) + EXP(2.21*M1476)   )/100*2.45 )</f>
        <v/>
      </c>
    </row>
    <row r="1477" spans="8:15">
      <c r="H1477" s="1178"/>
      <c r="I1477" s="1178"/>
      <c r="J1477" s="1178"/>
      <c r="K1477" s="1178"/>
      <c r="L1477" s="1178"/>
      <c r="M1477" s="1178"/>
      <c r="N1477" s="1212" t="str">
        <f>IF( OR( ISBLANK(H1477),ISBLANK(J1477), ISBLANK(K1477), ISBLANK(L1477), ISBLANK(M1477) ), "", 1.5*SQRT(   EXP(2.21*(H1477-1)) + EXP(2.21*(J1477-1)) + EXP(2.21*(K1477-1)) + EXP(2.21*(L1477-1)) + EXP(2.21*M1477)   )/100*2.45 )</f>
        <v/>
      </c>
      <c r="O1477" s="1212" t="str">
        <f>IF( OR( ISBLANK(I1477),ISBLANK(J1477), ISBLANK(K1477), ISBLANK(L1477), ISBLANK(M1477) ), "", 1.5*SQRT( EXP(2.21*(I1477-1)) + EXP(2.21*(J1477-1)) + EXP(2.21*(K1477-1)) + EXP(2.21*(L1477-1)) + EXP(2.21*M1477)   )/100*2.45 )</f>
        <v/>
      </c>
    </row>
    <row r="1478" spans="8:15">
      <c r="H1478" s="1178"/>
      <c r="I1478" s="1178"/>
      <c r="J1478" s="1178"/>
      <c r="K1478" s="1178"/>
      <c r="L1478" s="1178"/>
      <c r="M1478" s="1178"/>
      <c r="N1478" s="1212" t="str">
        <f>IF( OR( ISBLANK(H1478),ISBLANK(J1478), ISBLANK(K1478), ISBLANK(L1478), ISBLANK(M1478) ), "", 1.5*SQRT(   EXP(2.21*(H1478-1)) + EXP(2.21*(J1478-1)) + EXP(2.21*(K1478-1)) + EXP(2.21*(L1478-1)) + EXP(2.21*M1478)   )/100*2.45 )</f>
        <v/>
      </c>
      <c r="O1478" s="1212" t="str">
        <f>IF( OR( ISBLANK(I1478),ISBLANK(J1478), ISBLANK(K1478), ISBLANK(L1478), ISBLANK(M1478) ), "", 1.5*SQRT( EXP(2.21*(I1478-1)) + EXP(2.21*(J1478-1)) + EXP(2.21*(K1478-1)) + EXP(2.21*(L1478-1)) + EXP(2.21*M1478)   )/100*2.45 )</f>
        <v/>
      </c>
    </row>
    <row r="1479" spans="8:15">
      <c r="H1479" s="1178"/>
      <c r="I1479" s="1178"/>
      <c r="J1479" s="1178"/>
      <c r="K1479" s="1178"/>
      <c r="L1479" s="1178"/>
      <c r="M1479" s="1178"/>
      <c r="N1479" s="1212" t="str">
        <f>IF( OR( ISBLANK(H1479),ISBLANK(J1479), ISBLANK(K1479), ISBLANK(L1479), ISBLANK(M1479) ), "", 1.5*SQRT(   EXP(2.21*(H1479-1)) + EXP(2.21*(J1479-1)) + EXP(2.21*(K1479-1)) + EXP(2.21*(L1479-1)) + EXP(2.21*M1479)   )/100*2.45 )</f>
        <v/>
      </c>
      <c r="O1479" s="1212" t="str">
        <f>IF( OR( ISBLANK(I1479),ISBLANK(J1479), ISBLANK(K1479), ISBLANK(L1479), ISBLANK(M1479) ), "", 1.5*SQRT( EXP(2.21*(I1479-1)) + EXP(2.21*(J1479-1)) + EXP(2.21*(K1479-1)) + EXP(2.21*(L1479-1)) + EXP(2.21*M1479)   )/100*2.45 )</f>
        <v/>
      </c>
    </row>
    <row r="1480" spans="8:15">
      <c r="H1480" s="1178"/>
      <c r="I1480" s="1178"/>
      <c r="J1480" s="1178"/>
      <c r="K1480" s="1178"/>
      <c r="L1480" s="1178"/>
      <c r="M1480" s="1178"/>
      <c r="N1480" s="1212" t="str">
        <f>IF( OR( ISBLANK(H1480),ISBLANK(J1480), ISBLANK(K1480), ISBLANK(L1480), ISBLANK(M1480) ), "", 1.5*SQRT(   EXP(2.21*(H1480-1)) + EXP(2.21*(J1480-1)) + EXP(2.21*(K1480-1)) + EXP(2.21*(L1480-1)) + EXP(2.21*M1480)   )/100*2.45 )</f>
        <v/>
      </c>
      <c r="O1480" s="1212" t="str">
        <f>IF( OR( ISBLANK(I1480),ISBLANK(J1480), ISBLANK(K1480), ISBLANK(L1480), ISBLANK(M1480) ), "", 1.5*SQRT( EXP(2.21*(I1480-1)) + EXP(2.21*(J1480-1)) + EXP(2.21*(K1480-1)) + EXP(2.21*(L1480-1)) + EXP(2.21*M1480)   )/100*2.45 )</f>
        <v/>
      </c>
    </row>
    <row r="1481" spans="8:15">
      <c r="H1481" s="1178"/>
      <c r="I1481" s="1178"/>
      <c r="J1481" s="1178"/>
      <c r="K1481" s="1178"/>
      <c r="L1481" s="1178"/>
      <c r="M1481" s="1178"/>
      <c r="N1481" s="1212" t="str">
        <f>IF( OR( ISBLANK(H1481),ISBLANK(J1481), ISBLANK(K1481), ISBLANK(L1481), ISBLANK(M1481) ), "", 1.5*SQRT(   EXP(2.21*(H1481-1)) + EXP(2.21*(J1481-1)) + EXP(2.21*(K1481-1)) + EXP(2.21*(L1481-1)) + EXP(2.21*M1481)   )/100*2.45 )</f>
        <v/>
      </c>
      <c r="O1481" s="1212" t="str">
        <f>IF( OR( ISBLANK(I1481),ISBLANK(J1481), ISBLANK(K1481), ISBLANK(L1481), ISBLANK(M1481) ), "", 1.5*SQRT( EXP(2.21*(I1481-1)) + EXP(2.21*(J1481-1)) + EXP(2.21*(K1481-1)) + EXP(2.21*(L1481-1)) + EXP(2.21*M1481)   )/100*2.45 )</f>
        <v/>
      </c>
    </row>
    <row r="1482" spans="8:15">
      <c r="H1482" s="1178"/>
      <c r="I1482" s="1178"/>
      <c r="J1482" s="1178"/>
      <c r="K1482" s="1178"/>
      <c r="L1482" s="1178"/>
      <c r="M1482" s="1178"/>
      <c r="N1482" s="1212" t="str">
        <f>IF( OR( ISBLANK(H1482),ISBLANK(J1482), ISBLANK(K1482), ISBLANK(L1482), ISBLANK(M1482) ), "", 1.5*SQRT(   EXP(2.21*(H1482-1)) + EXP(2.21*(J1482-1)) + EXP(2.21*(K1482-1)) + EXP(2.21*(L1482-1)) + EXP(2.21*M1482)   )/100*2.45 )</f>
        <v/>
      </c>
      <c r="O1482" s="1212" t="str">
        <f>IF( OR( ISBLANK(I1482),ISBLANK(J1482), ISBLANK(K1482), ISBLANK(L1482), ISBLANK(M1482) ), "", 1.5*SQRT( EXP(2.21*(I1482-1)) + EXP(2.21*(J1482-1)) + EXP(2.21*(K1482-1)) + EXP(2.21*(L1482-1)) + EXP(2.21*M1482)   )/100*2.45 )</f>
        <v/>
      </c>
    </row>
    <row r="1483" spans="8:15">
      <c r="H1483" s="1178"/>
      <c r="I1483" s="1178"/>
      <c r="J1483" s="1178"/>
      <c r="K1483" s="1178"/>
      <c r="L1483" s="1178"/>
      <c r="M1483" s="1178"/>
      <c r="N1483" s="1212" t="str">
        <f>IF( OR( ISBLANK(H1483),ISBLANK(J1483), ISBLANK(K1483), ISBLANK(L1483), ISBLANK(M1483) ), "", 1.5*SQRT(   EXP(2.21*(H1483-1)) + EXP(2.21*(J1483-1)) + EXP(2.21*(K1483-1)) + EXP(2.21*(L1483-1)) + EXP(2.21*M1483)   )/100*2.45 )</f>
        <v/>
      </c>
      <c r="O1483" s="1212" t="str">
        <f>IF( OR( ISBLANK(I1483),ISBLANK(J1483), ISBLANK(K1483), ISBLANK(L1483), ISBLANK(M1483) ), "", 1.5*SQRT( EXP(2.21*(I1483-1)) + EXP(2.21*(J1483-1)) + EXP(2.21*(K1483-1)) + EXP(2.21*(L1483-1)) + EXP(2.21*M1483)   )/100*2.45 )</f>
        <v/>
      </c>
    </row>
    <row r="1484" spans="8:15">
      <c r="H1484" s="1178"/>
      <c r="I1484" s="1178"/>
      <c r="J1484" s="1178"/>
      <c r="K1484" s="1178"/>
      <c r="L1484" s="1178"/>
      <c r="M1484" s="1178"/>
      <c r="N1484" s="1212" t="str">
        <f>IF( OR( ISBLANK(H1484),ISBLANK(J1484), ISBLANK(K1484), ISBLANK(L1484), ISBLANK(M1484) ), "", 1.5*SQRT(   EXP(2.21*(H1484-1)) + EXP(2.21*(J1484-1)) + EXP(2.21*(K1484-1)) + EXP(2.21*(L1484-1)) + EXP(2.21*M1484)   )/100*2.45 )</f>
        <v/>
      </c>
      <c r="O1484" s="1212" t="str">
        <f>IF( OR( ISBLANK(I1484),ISBLANK(J1484), ISBLANK(K1484), ISBLANK(L1484), ISBLANK(M1484) ), "", 1.5*SQRT( EXP(2.21*(I1484-1)) + EXP(2.21*(J1484-1)) + EXP(2.21*(K1484-1)) + EXP(2.21*(L1484-1)) + EXP(2.21*M1484)   )/100*2.45 )</f>
        <v/>
      </c>
    </row>
    <row r="1485" spans="8:15">
      <c r="H1485" s="1178"/>
      <c r="I1485" s="1178"/>
      <c r="J1485" s="1178"/>
      <c r="K1485" s="1178"/>
      <c r="L1485" s="1178"/>
      <c r="M1485" s="1178"/>
      <c r="N1485" s="1212" t="str">
        <f>IF( OR( ISBLANK(H1485),ISBLANK(J1485), ISBLANK(K1485), ISBLANK(L1485), ISBLANK(M1485) ), "", 1.5*SQRT(   EXP(2.21*(H1485-1)) + EXP(2.21*(J1485-1)) + EXP(2.21*(K1485-1)) + EXP(2.21*(L1485-1)) + EXP(2.21*M1485)   )/100*2.45 )</f>
        <v/>
      </c>
      <c r="O1485" s="1212" t="str">
        <f>IF( OR( ISBLANK(I1485),ISBLANK(J1485), ISBLANK(K1485), ISBLANK(L1485), ISBLANK(M1485) ), "", 1.5*SQRT( EXP(2.21*(I1485-1)) + EXP(2.21*(J1485-1)) + EXP(2.21*(K1485-1)) + EXP(2.21*(L1485-1)) + EXP(2.21*M1485)   )/100*2.45 )</f>
        <v/>
      </c>
    </row>
    <row r="1486" spans="8:15">
      <c r="H1486" s="1178"/>
      <c r="I1486" s="1178"/>
      <c r="J1486" s="1178"/>
      <c r="K1486" s="1178"/>
      <c r="L1486" s="1178"/>
      <c r="M1486" s="1178"/>
      <c r="N1486" s="1212" t="str">
        <f>IF( OR( ISBLANK(H1486),ISBLANK(J1486), ISBLANK(K1486), ISBLANK(L1486), ISBLANK(M1486) ), "", 1.5*SQRT(   EXP(2.21*(H1486-1)) + EXP(2.21*(J1486-1)) + EXP(2.21*(K1486-1)) + EXP(2.21*(L1486-1)) + EXP(2.21*M1486)   )/100*2.45 )</f>
        <v/>
      </c>
      <c r="O1486" s="1212" t="str">
        <f>IF( OR( ISBLANK(I1486),ISBLANK(J1486), ISBLANK(K1486), ISBLANK(L1486), ISBLANK(M1486) ), "", 1.5*SQRT( EXP(2.21*(I1486-1)) + EXP(2.21*(J1486-1)) + EXP(2.21*(K1486-1)) + EXP(2.21*(L1486-1)) + EXP(2.21*M1486)   )/100*2.45 )</f>
        <v/>
      </c>
    </row>
    <row r="1487" spans="8:15">
      <c r="H1487" s="1178"/>
      <c r="I1487" s="1178"/>
      <c r="J1487" s="1178"/>
      <c r="K1487" s="1178"/>
      <c r="L1487" s="1178"/>
      <c r="M1487" s="1178"/>
      <c r="N1487" s="1212" t="str">
        <f>IF( OR( ISBLANK(H1487),ISBLANK(J1487), ISBLANK(K1487), ISBLANK(L1487), ISBLANK(M1487) ), "", 1.5*SQRT(   EXP(2.21*(H1487-1)) + EXP(2.21*(J1487-1)) + EXP(2.21*(K1487-1)) + EXP(2.21*(L1487-1)) + EXP(2.21*M1487)   )/100*2.45 )</f>
        <v/>
      </c>
      <c r="O1487" s="1212" t="str">
        <f>IF( OR( ISBLANK(I1487),ISBLANK(J1487), ISBLANK(K1487), ISBLANK(L1487), ISBLANK(M1487) ), "", 1.5*SQRT( EXP(2.21*(I1487-1)) + EXP(2.21*(J1487-1)) + EXP(2.21*(K1487-1)) + EXP(2.21*(L1487-1)) + EXP(2.21*M1487)   )/100*2.45 )</f>
        <v/>
      </c>
    </row>
    <row r="1488" spans="8:15">
      <c r="H1488" s="1178"/>
      <c r="I1488" s="1178"/>
      <c r="J1488" s="1178"/>
      <c r="K1488" s="1178"/>
      <c r="L1488" s="1178"/>
      <c r="M1488" s="1178"/>
      <c r="N1488" s="1212" t="str">
        <f>IF( OR( ISBLANK(H1488),ISBLANK(J1488), ISBLANK(K1488), ISBLANK(L1488), ISBLANK(M1488) ), "", 1.5*SQRT(   EXP(2.21*(H1488-1)) + EXP(2.21*(J1488-1)) + EXP(2.21*(K1488-1)) + EXP(2.21*(L1488-1)) + EXP(2.21*M1488)   )/100*2.45 )</f>
        <v/>
      </c>
      <c r="O1488" s="1212" t="str">
        <f>IF( OR( ISBLANK(I1488),ISBLANK(J1488), ISBLANK(K1488), ISBLANK(L1488), ISBLANK(M1488) ), "", 1.5*SQRT( EXP(2.21*(I1488-1)) + EXP(2.21*(J1488-1)) + EXP(2.21*(K1488-1)) + EXP(2.21*(L1488-1)) + EXP(2.21*M1488)   )/100*2.45 )</f>
        <v/>
      </c>
    </row>
    <row r="1489" spans="8:15">
      <c r="H1489" s="1178"/>
      <c r="I1489" s="1178"/>
      <c r="J1489" s="1178"/>
      <c r="K1489" s="1178"/>
      <c r="L1489" s="1178"/>
      <c r="M1489" s="1178"/>
      <c r="N1489" s="1212" t="str">
        <f>IF( OR( ISBLANK(H1489),ISBLANK(J1489), ISBLANK(K1489), ISBLANK(L1489), ISBLANK(M1489) ), "", 1.5*SQRT(   EXP(2.21*(H1489-1)) + EXP(2.21*(J1489-1)) + EXP(2.21*(K1489-1)) + EXP(2.21*(L1489-1)) + EXP(2.21*M1489)   )/100*2.45 )</f>
        <v/>
      </c>
      <c r="O1489" s="1212" t="str">
        <f>IF( OR( ISBLANK(I1489),ISBLANK(J1489), ISBLANK(K1489), ISBLANK(L1489), ISBLANK(M1489) ), "", 1.5*SQRT( EXP(2.21*(I1489-1)) + EXP(2.21*(J1489-1)) + EXP(2.21*(K1489-1)) + EXP(2.21*(L1489-1)) + EXP(2.21*M1489)   )/100*2.45 )</f>
        <v/>
      </c>
    </row>
    <row r="1490" spans="8:15">
      <c r="H1490" s="1178"/>
      <c r="I1490" s="1178"/>
      <c r="J1490" s="1178"/>
      <c r="K1490" s="1178"/>
      <c r="L1490" s="1178"/>
      <c r="M1490" s="1178"/>
      <c r="N1490" s="1212" t="str">
        <f>IF( OR( ISBLANK(H1490),ISBLANK(J1490), ISBLANK(K1490), ISBLANK(L1490), ISBLANK(M1490) ), "", 1.5*SQRT(   EXP(2.21*(H1490-1)) + EXP(2.21*(J1490-1)) + EXP(2.21*(K1490-1)) + EXP(2.21*(L1490-1)) + EXP(2.21*M1490)   )/100*2.45 )</f>
        <v/>
      </c>
      <c r="O1490" s="1212" t="str">
        <f>IF( OR( ISBLANK(I1490),ISBLANK(J1490), ISBLANK(K1490), ISBLANK(L1490), ISBLANK(M1490) ), "", 1.5*SQRT( EXP(2.21*(I1490-1)) + EXP(2.21*(J1490-1)) + EXP(2.21*(K1490-1)) + EXP(2.21*(L1490-1)) + EXP(2.21*M1490)   )/100*2.45 )</f>
        <v/>
      </c>
    </row>
    <row r="1491" spans="8:15">
      <c r="H1491" s="1178"/>
      <c r="I1491" s="1178"/>
      <c r="J1491" s="1178"/>
      <c r="K1491" s="1178"/>
      <c r="L1491" s="1178"/>
      <c r="M1491" s="1178"/>
      <c r="N1491" s="1212" t="str">
        <f>IF( OR( ISBLANK(H1491),ISBLANK(J1491), ISBLANK(K1491), ISBLANK(L1491), ISBLANK(M1491) ), "", 1.5*SQRT(   EXP(2.21*(H1491-1)) + EXP(2.21*(J1491-1)) + EXP(2.21*(K1491-1)) + EXP(2.21*(L1491-1)) + EXP(2.21*M1491)   )/100*2.45 )</f>
        <v/>
      </c>
      <c r="O1491" s="1212" t="str">
        <f>IF( OR( ISBLANK(I1491),ISBLANK(J1491), ISBLANK(K1491), ISBLANK(L1491), ISBLANK(M1491) ), "", 1.5*SQRT( EXP(2.21*(I1491-1)) + EXP(2.21*(J1491-1)) + EXP(2.21*(K1491-1)) + EXP(2.21*(L1491-1)) + EXP(2.21*M1491)   )/100*2.45 )</f>
        <v/>
      </c>
    </row>
    <row r="1492" spans="8:15">
      <c r="H1492" s="1178"/>
      <c r="I1492" s="1178"/>
      <c r="J1492" s="1178"/>
      <c r="K1492" s="1178"/>
      <c r="L1492" s="1178"/>
      <c r="M1492" s="1178"/>
      <c r="N1492" s="1212" t="str">
        <f>IF( OR( ISBLANK(H1492),ISBLANK(J1492), ISBLANK(K1492), ISBLANK(L1492), ISBLANK(M1492) ), "", 1.5*SQRT(   EXP(2.21*(H1492-1)) + EXP(2.21*(J1492-1)) + EXP(2.21*(K1492-1)) + EXP(2.21*(L1492-1)) + EXP(2.21*M1492)   )/100*2.45 )</f>
        <v/>
      </c>
      <c r="O1492" s="1212" t="str">
        <f>IF( OR( ISBLANK(I1492),ISBLANK(J1492), ISBLANK(K1492), ISBLANK(L1492), ISBLANK(M1492) ), "", 1.5*SQRT( EXP(2.21*(I1492-1)) + EXP(2.21*(J1492-1)) + EXP(2.21*(K1492-1)) + EXP(2.21*(L1492-1)) + EXP(2.21*M1492)   )/100*2.45 )</f>
        <v/>
      </c>
    </row>
    <row r="1493" spans="8:15">
      <c r="H1493" s="1178"/>
      <c r="I1493" s="1178"/>
      <c r="J1493" s="1178"/>
      <c r="K1493" s="1178"/>
      <c r="L1493" s="1178"/>
      <c r="M1493" s="1178"/>
      <c r="N1493" s="1212" t="str">
        <f>IF( OR( ISBLANK(H1493),ISBLANK(J1493), ISBLANK(K1493), ISBLANK(L1493), ISBLANK(M1493) ), "", 1.5*SQRT(   EXP(2.21*(H1493-1)) + EXP(2.21*(J1493-1)) + EXP(2.21*(K1493-1)) + EXP(2.21*(L1493-1)) + EXP(2.21*M1493)   )/100*2.45 )</f>
        <v/>
      </c>
      <c r="O1493" s="1212" t="str">
        <f>IF( OR( ISBLANK(I1493),ISBLANK(J1493), ISBLANK(K1493), ISBLANK(L1493), ISBLANK(M1493) ), "", 1.5*SQRT( EXP(2.21*(I1493-1)) + EXP(2.21*(J1493-1)) + EXP(2.21*(K1493-1)) + EXP(2.21*(L1493-1)) + EXP(2.21*M1493)   )/100*2.45 )</f>
        <v/>
      </c>
    </row>
    <row r="1494" spans="8:15">
      <c r="H1494" s="1178"/>
      <c r="I1494" s="1178"/>
      <c r="J1494" s="1178"/>
      <c r="K1494" s="1178"/>
      <c r="L1494" s="1178"/>
      <c r="M1494" s="1178"/>
      <c r="N1494" s="1212" t="str">
        <f>IF( OR( ISBLANK(H1494),ISBLANK(J1494), ISBLANK(K1494), ISBLANK(L1494), ISBLANK(M1494) ), "", 1.5*SQRT(   EXP(2.21*(H1494-1)) + EXP(2.21*(J1494-1)) + EXP(2.21*(K1494-1)) + EXP(2.21*(L1494-1)) + EXP(2.21*M1494)   )/100*2.45 )</f>
        <v/>
      </c>
      <c r="O1494" s="1212" t="str">
        <f>IF( OR( ISBLANK(I1494),ISBLANK(J1494), ISBLANK(K1494), ISBLANK(L1494), ISBLANK(M1494) ), "", 1.5*SQRT( EXP(2.21*(I1494-1)) + EXP(2.21*(J1494-1)) + EXP(2.21*(K1494-1)) + EXP(2.21*(L1494-1)) + EXP(2.21*M1494)   )/100*2.45 )</f>
        <v/>
      </c>
    </row>
    <row r="1495" spans="8:15">
      <c r="H1495" s="1178"/>
      <c r="I1495" s="1178"/>
      <c r="J1495" s="1178"/>
      <c r="K1495" s="1178"/>
      <c r="L1495" s="1178"/>
      <c r="M1495" s="1178"/>
      <c r="N1495" s="1212" t="str">
        <f>IF( OR( ISBLANK(H1495),ISBLANK(J1495), ISBLANK(K1495), ISBLANK(L1495), ISBLANK(M1495) ), "", 1.5*SQRT(   EXP(2.21*(H1495-1)) + EXP(2.21*(J1495-1)) + EXP(2.21*(K1495-1)) + EXP(2.21*(L1495-1)) + EXP(2.21*M1495)   )/100*2.45 )</f>
        <v/>
      </c>
      <c r="O1495" s="1212" t="str">
        <f>IF( OR( ISBLANK(I1495),ISBLANK(J1495), ISBLANK(K1495), ISBLANK(L1495), ISBLANK(M1495) ), "", 1.5*SQRT( EXP(2.21*(I1495-1)) + EXP(2.21*(J1495-1)) + EXP(2.21*(K1495-1)) + EXP(2.21*(L1495-1)) + EXP(2.21*M1495)   )/100*2.45 )</f>
        <v/>
      </c>
    </row>
    <row r="1496" spans="8:15">
      <c r="H1496" s="1178"/>
      <c r="I1496" s="1178"/>
      <c r="J1496" s="1178"/>
      <c r="K1496" s="1178"/>
      <c r="L1496" s="1178"/>
      <c r="M1496" s="1178"/>
      <c r="N1496" s="1212" t="str">
        <f>IF( OR( ISBLANK(H1496),ISBLANK(J1496), ISBLANK(K1496), ISBLANK(L1496), ISBLANK(M1496) ), "", 1.5*SQRT(   EXP(2.21*(H1496-1)) + EXP(2.21*(J1496-1)) + EXP(2.21*(K1496-1)) + EXP(2.21*(L1496-1)) + EXP(2.21*M1496)   )/100*2.45 )</f>
        <v/>
      </c>
      <c r="O1496" s="1212" t="str">
        <f>IF( OR( ISBLANK(I1496),ISBLANK(J1496), ISBLANK(K1496), ISBLANK(L1496), ISBLANK(M1496) ), "", 1.5*SQRT( EXP(2.21*(I1496-1)) + EXP(2.21*(J1496-1)) + EXP(2.21*(K1496-1)) + EXP(2.21*(L1496-1)) + EXP(2.21*M1496)   )/100*2.45 )</f>
        <v/>
      </c>
    </row>
    <row r="1497" spans="8:15">
      <c r="H1497" s="1178"/>
      <c r="I1497" s="1178"/>
      <c r="J1497" s="1178"/>
      <c r="K1497" s="1178"/>
      <c r="L1497" s="1178"/>
      <c r="M1497" s="1178"/>
      <c r="N1497" s="1212" t="str">
        <f>IF( OR( ISBLANK(H1497),ISBLANK(J1497), ISBLANK(K1497), ISBLANK(L1497), ISBLANK(M1497) ), "", 1.5*SQRT(   EXP(2.21*(H1497-1)) + EXP(2.21*(J1497-1)) + EXP(2.21*(K1497-1)) + EXP(2.21*(L1497-1)) + EXP(2.21*M1497)   )/100*2.45 )</f>
        <v/>
      </c>
      <c r="O1497" s="1212" t="str">
        <f>IF( OR( ISBLANK(I1497),ISBLANK(J1497), ISBLANK(K1497), ISBLANK(L1497), ISBLANK(M1497) ), "", 1.5*SQRT( EXP(2.21*(I1497-1)) + EXP(2.21*(J1497-1)) + EXP(2.21*(K1497-1)) + EXP(2.21*(L1497-1)) + EXP(2.21*M1497)   )/100*2.45 )</f>
        <v/>
      </c>
    </row>
    <row r="1498" spans="8:15">
      <c r="H1498" s="1178"/>
      <c r="I1498" s="1178"/>
      <c r="J1498" s="1178"/>
      <c r="K1498" s="1178"/>
      <c r="L1498" s="1178"/>
      <c r="M1498" s="1178"/>
      <c r="N1498" s="1212" t="str">
        <f>IF( OR( ISBLANK(H1498),ISBLANK(J1498), ISBLANK(K1498), ISBLANK(L1498), ISBLANK(M1498) ), "", 1.5*SQRT(   EXP(2.21*(H1498-1)) + EXP(2.21*(J1498-1)) + EXP(2.21*(K1498-1)) + EXP(2.21*(L1498-1)) + EXP(2.21*M1498)   )/100*2.45 )</f>
        <v/>
      </c>
      <c r="O1498" s="1212" t="str">
        <f>IF( OR( ISBLANK(I1498),ISBLANK(J1498), ISBLANK(K1498), ISBLANK(L1498), ISBLANK(M1498) ), "", 1.5*SQRT( EXP(2.21*(I1498-1)) + EXP(2.21*(J1498-1)) + EXP(2.21*(K1498-1)) + EXP(2.21*(L1498-1)) + EXP(2.21*M1498)   )/100*2.45 )</f>
        <v/>
      </c>
    </row>
    <row r="1499" spans="8:15">
      <c r="H1499" s="1178"/>
      <c r="I1499" s="1178"/>
      <c r="J1499" s="1178"/>
      <c r="K1499" s="1178"/>
      <c r="L1499" s="1178"/>
      <c r="M1499" s="1178"/>
      <c r="N1499" s="1212" t="str">
        <f>IF( OR( ISBLANK(H1499),ISBLANK(J1499), ISBLANK(K1499), ISBLANK(L1499), ISBLANK(M1499) ), "", 1.5*SQRT(   EXP(2.21*(H1499-1)) + EXP(2.21*(J1499-1)) + EXP(2.21*(K1499-1)) + EXP(2.21*(L1499-1)) + EXP(2.21*M1499)   )/100*2.45 )</f>
        <v/>
      </c>
      <c r="O1499" s="1212" t="str">
        <f>IF( OR( ISBLANK(I1499),ISBLANK(J1499), ISBLANK(K1499), ISBLANK(L1499), ISBLANK(M1499) ), "", 1.5*SQRT( EXP(2.21*(I1499-1)) + EXP(2.21*(J1499-1)) + EXP(2.21*(K1499-1)) + EXP(2.21*(L1499-1)) + EXP(2.21*M1499)   )/100*2.45 )</f>
        <v/>
      </c>
    </row>
    <row r="1500" spans="8:15">
      <c r="H1500" s="1178"/>
      <c r="I1500" s="1178"/>
      <c r="J1500" s="1178"/>
      <c r="K1500" s="1178"/>
      <c r="L1500" s="1178"/>
      <c r="M1500" s="1178"/>
      <c r="N1500" s="1212" t="str">
        <f>IF( OR( ISBLANK(H1500),ISBLANK(J1500), ISBLANK(K1500), ISBLANK(L1500), ISBLANK(M1500) ), "", 1.5*SQRT(   EXP(2.21*(H1500-1)) + EXP(2.21*(J1500-1)) + EXP(2.21*(K1500-1)) + EXP(2.21*(L1500-1)) + EXP(2.21*M1500)   )/100*2.45 )</f>
        <v/>
      </c>
      <c r="O1500" s="1212" t="str">
        <f>IF( OR( ISBLANK(I1500),ISBLANK(J1500), ISBLANK(K1500), ISBLANK(L1500), ISBLANK(M1500) ), "", 1.5*SQRT( EXP(2.21*(I1500-1)) + EXP(2.21*(J1500-1)) + EXP(2.21*(K1500-1)) + EXP(2.21*(L1500-1)) + EXP(2.21*M1500)   )/100*2.45 )</f>
        <v/>
      </c>
    </row>
    <row r="1501" spans="8:15">
      <c r="H1501" s="1178"/>
      <c r="I1501" s="1178"/>
      <c r="J1501" s="1178"/>
      <c r="K1501" s="1178"/>
      <c r="L1501" s="1178"/>
      <c r="M1501" s="1178"/>
      <c r="N1501" s="1212" t="str">
        <f>IF( OR( ISBLANK(H1501),ISBLANK(J1501), ISBLANK(K1501), ISBLANK(L1501), ISBLANK(M1501) ), "", 1.5*SQRT(   EXP(2.21*(H1501-1)) + EXP(2.21*(J1501-1)) + EXP(2.21*(K1501-1)) + EXP(2.21*(L1501-1)) + EXP(2.21*M1501)   )/100*2.45 )</f>
        <v/>
      </c>
      <c r="O1501" s="1212" t="str">
        <f>IF( OR( ISBLANK(I1501),ISBLANK(J1501), ISBLANK(K1501), ISBLANK(L1501), ISBLANK(M1501) ), "", 1.5*SQRT( EXP(2.21*(I1501-1)) + EXP(2.21*(J1501-1)) + EXP(2.21*(K1501-1)) + EXP(2.21*(L1501-1)) + EXP(2.21*M1501)   )/100*2.45 )</f>
        <v/>
      </c>
    </row>
    <row r="1502" spans="8:15">
      <c r="H1502" s="1178"/>
      <c r="I1502" s="1178"/>
      <c r="J1502" s="1178"/>
      <c r="K1502" s="1178"/>
      <c r="L1502" s="1178"/>
      <c r="M1502" s="1178"/>
      <c r="N1502" s="1212" t="str">
        <f>IF( OR( ISBLANK(H1502),ISBLANK(J1502), ISBLANK(K1502), ISBLANK(L1502), ISBLANK(M1502) ), "", 1.5*SQRT(   EXP(2.21*(H1502-1)) + EXP(2.21*(J1502-1)) + EXP(2.21*(K1502-1)) + EXP(2.21*(L1502-1)) + EXP(2.21*M1502)   )/100*2.45 )</f>
        <v/>
      </c>
      <c r="O1502" s="1212" t="str">
        <f>IF( OR( ISBLANK(I1502),ISBLANK(J1502), ISBLANK(K1502), ISBLANK(L1502), ISBLANK(M1502) ), "", 1.5*SQRT( EXP(2.21*(I1502-1)) + EXP(2.21*(J1502-1)) + EXP(2.21*(K1502-1)) + EXP(2.21*(L1502-1)) + EXP(2.21*M1502)   )/100*2.45 )</f>
        <v/>
      </c>
    </row>
    <row r="1503" spans="8:15">
      <c r="H1503" s="1178"/>
      <c r="I1503" s="1178"/>
      <c r="J1503" s="1178"/>
      <c r="K1503" s="1178"/>
      <c r="L1503" s="1178"/>
      <c r="M1503" s="1178"/>
      <c r="N1503" s="1212" t="str">
        <f>IF( OR( ISBLANK(H1503),ISBLANK(J1503), ISBLANK(K1503), ISBLANK(L1503), ISBLANK(M1503) ), "", 1.5*SQRT(   EXP(2.21*(H1503-1)) + EXP(2.21*(J1503-1)) + EXP(2.21*(K1503-1)) + EXP(2.21*(L1503-1)) + EXP(2.21*M1503)   )/100*2.45 )</f>
        <v/>
      </c>
      <c r="O1503" s="1212" t="str">
        <f>IF( OR( ISBLANK(I1503),ISBLANK(J1503), ISBLANK(K1503), ISBLANK(L1503), ISBLANK(M1503) ), "", 1.5*SQRT( EXP(2.21*(I1503-1)) + EXP(2.21*(J1503-1)) + EXP(2.21*(K1503-1)) + EXP(2.21*(L1503-1)) + EXP(2.21*M1503)   )/100*2.45 )</f>
        <v/>
      </c>
    </row>
    <row r="1504" spans="8:15">
      <c r="H1504" s="1178"/>
      <c r="I1504" s="1178"/>
      <c r="J1504" s="1178"/>
      <c r="K1504" s="1178"/>
      <c r="L1504" s="1178"/>
      <c r="M1504" s="1178"/>
      <c r="N1504" s="1212" t="str">
        <f>IF( OR( ISBLANK(H1504),ISBLANK(J1504), ISBLANK(K1504), ISBLANK(L1504), ISBLANK(M1504) ), "", 1.5*SQRT(   EXP(2.21*(H1504-1)) + EXP(2.21*(J1504-1)) + EXP(2.21*(K1504-1)) + EXP(2.21*(L1504-1)) + EXP(2.21*M1504)   )/100*2.45 )</f>
        <v/>
      </c>
      <c r="O1504" s="1212" t="str">
        <f>IF( OR( ISBLANK(I1504),ISBLANK(J1504), ISBLANK(K1504), ISBLANK(L1504), ISBLANK(M1504) ), "", 1.5*SQRT( EXP(2.21*(I1504-1)) + EXP(2.21*(J1504-1)) + EXP(2.21*(K1504-1)) + EXP(2.21*(L1504-1)) + EXP(2.21*M1504)   )/100*2.45 )</f>
        <v/>
      </c>
    </row>
    <row r="1505" spans="8:15">
      <c r="H1505" s="1178"/>
      <c r="I1505" s="1178"/>
      <c r="J1505" s="1178"/>
      <c r="K1505" s="1178"/>
      <c r="L1505" s="1178"/>
      <c r="M1505" s="1178"/>
      <c r="N1505" s="1212" t="str">
        <f>IF( OR( ISBLANK(H1505),ISBLANK(J1505), ISBLANK(K1505), ISBLANK(L1505), ISBLANK(M1505) ), "", 1.5*SQRT(   EXP(2.21*(H1505-1)) + EXP(2.21*(J1505-1)) + EXP(2.21*(K1505-1)) + EXP(2.21*(L1505-1)) + EXP(2.21*M1505)   )/100*2.45 )</f>
        <v/>
      </c>
      <c r="O1505" s="1212" t="str">
        <f>IF( OR( ISBLANK(I1505),ISBLANK(J1505), ISBLANK(K1505), ISBLANK(L1505), ISBLANK(M1505) ), "", 1.5*SQRT( EXP(2.21*(I1505-1)) + EXP(2.21*(J1505-1)) + EXP(2.21*(K1505-1)) + EXP(2.21*(L1505-1)) + EXP(2.21*M1505)   )/100*2.45 )</f>
        <v/>
      </c>
    </row>
    <row r="1506" spans="8:15">
      <c r="H1506" s="1178"/>
      <c r="I1506" s="1178"/>
      <c r="J1506" s="1178"/>
      <c r="K1506" s="1178"/>
      <c r="L1506" s="1178"/>
      <c r="M1506" s="1178"/>
      <c r="N1506" s="1212" t="str">
        <f>IF( OR( ISBLANK(H1506),ISBLANK(J1506), ISBLANK(K1506), ISBLANK(L1506), ISBLANK(M1506) ), "", 1.5*SQRT(   EXP(2.21*(H1506-1)) + EXP(2.21*(J1506-1)) + EXP(2.21*(K1506-1)) + EXP(2.21*(L1506-1)) + EXP(2.21*M1506)   )/100*2.45 )</f>
        <v/>
      </c>
      <c r="O1506" s="1212" t="str">
        <f>IF( OR( ISBLANK(I1506),ISBLANK(J1506), ISBLANK(K1506), ISBLANK(L1506), ISBLANK(M1506) ), "", 1.5*SQRT( EXP(2.21*(I1506-1)) + EXP(2.21*(J1506-1)) + EXP(2.21*(K1506-1)) + EXP(2.21*(L1506-1)) + EXP(2.21*M1506)   )/100*2.45 )</f>
        <v/>
      </c>
    </row>
    <row r="1507" spans="8:15">
      <c r="H1507" s="1178"/>
      <c r="I1507" s="1178"/>
      <c r="J1507" s="1178"/>
      <c r="K1507" s="1178"/>
      <c r="L1507" s="1178"/>
      <c r="M1507" s="1178"/>
      <c r="N1507" s="1212" t="str">
        <f>IF( OR( ISBLANK(H1507),ISBLANK(J1507), ISBLANK(K1507), ISBLANK(L1507), ISBLANK(M1507) ), "", 1.5*SQRT(   EXP(2.21*(H1507-1)) + EXP(2.21*(J1507-1)) + EXP(2.21*(K1507-1)) + EXP(2.21*(L1507-1)) + EXP(2.21*M1507)   )/100*2.45 )</f>
        <v/>
      </c>
      <c r="O1507" s="1212" t="str">
        <f>IF( OR( ISBLANK(I1507),ISBLANK(J1507), ISBLANK(K1507), ISBLANK(L1507), ISBLANK(M1507) ), "", 1.5*SQRT( EXP(2.21*(I1507-1)) + EXP(2.21*(J1507-1)) + EXP(2.21*(K1507-1)) + EXP(2.21*(L1507-1)) + EXP(2.21*M1507)   )/100*2.45 )</f>
        <v/>
      </c>
    </row>
    <row r="1508" spans="8:15">
      <c r="H1508" s="1178"/>
      <c r="I1508" s="1178"/>
      <c r="J1508" s="1178"/>
      <c r="K1508" s="1178"/>
      <c r="L1508" s="1178"/>
      <c r="M1508" s="1178"/>
      <c r="N1508" s="1212" t="str">
        <f>IF( OR( ISBLANK(H1508),ISBLANK(J1508), ISBLANK(K1508), ISBLANK(L1508), ISBLANK(M1508) ), "", 1.5*SQRT(   EXP(2.21*(H1508-1)) + EXP(2.21*(J1508-1)) + EXP(2.21*(K1508-1)) + EXP(2.21*(L1508-1)) + EXP(2.21*M1508)   )/100*2.45 )</f>
        <v/>
      </c>
      <c r="O1508" s="1212" t="str">
        <f>IF( OR( ISBLANK(I1508),ISBLANK(J1508), ISBLANK(K1508), ISBLANK(L1508), ISBLANK(M1508) ), "", 1.5*SQRT( EXP(2.21*(I1508-1)) + EXP(2.21*(J1508-1)) + EXP(2.21*(K1508-1)) + EXP(2.21*(L1508-1)) + EXP(2.21*M1508)   )/100*2.45 )</f>
        <v/>
      </c>
    </row>
    <row r="1509" spans="8:15">
      <c r="H1509" s="1178"/>
      <c r="I1509" s="1178"/>
      <c r="J1509" s="1178"/>
      <c r="K1509" s="1178"/>
      <c r="L1509" s="1178"/>
      <c r="M1509" s="1178"/>
      <c r="N1509" s="1212" t="str">
        <f>IF( OR( ISBLANK(H1509),ISBLANK(J1509), ISBLANK(K1509), ISBLANK(L1509), ISBLANK(M1509) ), "", 1.5*SQRT(   EXP(2.21*(H1509-1)) + EXP(2.21*(J1509-1)) + EXP(2.21*(K1509-1)) + EXP(2.21*(L1509-1)) + EXP(2.21*M1509)   )/100*2.45 )</f>
        <v/>
      </c>
      <c r="O1509" s="1212" t="str">
        <f>IF( OR( ISBLANK(I1509),ISBLANK(J1509), ISBLANK(K1509), ISBLANK(L1509), ISBLANK(M1509) ), "", 1.5*SQRT( EXP(2.21*(I1509-1)) + EXP(2.21*(J1509-1)) + EXP(2.21*(K1509-1)) + EXP(2.21*(L1509-1)) + EXP(2.21*M1509)   )/100*2.45 )</f>
        <v/>
      </c>
    </row>
    <row r="1510" spans="8:15">
      <c r="H1510" s="1178"/>
      <c r="I1510" s="1178"/>
      <c r="J1510" s="1178"/>
      <c r="K1510" s="1178"/>
      <c r="L1510" s="1178"/>
      <c r="M1510" s="1178"/>
      <c r="N1510" s="1212" t="str">
        <f>IF( OR( ISBLANK(H1510),ISBLANK(J1510), ISBLANK(K1510), ISBLANK(L1510), ISBLANK(M1510) ), "", 1.5*SQRT(   EXP(2.21*(H1510-1)) + EXP(2.21*(J1510-1)) + EXP(2.21*(K1510-1)) + EXP(2.21*(L1510-1)) + EXP(2.21*M1510)   )/100*2.45 )</f>
        <v/>
      </c>
      <c r="O1510" s="1212" t="str">
        <f>IF( OR( ISBLANK(I1510),ISBLANK(J1510), ISBLANK(K1510), ISBLANK(L1510), ISBLANK(M1510) ), "", 1.5*SQRT( EXP(2.21*(I1510-1)) + EXP(2.21*(J1510-1)) + EXP(2.21*(K1510-1)) + EXP(2.21*(L1510-1)) + EXP(2.21*M1510)   )/100*2.45 )</f>
        <v/>
      </c>
    </row>
    <row r="1511" spans="8:15">
      <c r="H1511" s="1178"/>
      <c r="I1511" s="1178"/>
      <c r="J1511" s="1178"/>
      <c r="K1511" s="1178"/>
      <c r="L1511" s="1178"/>
      <c r="M1511" s="1178"/>
      <c r="N1511" s="1212" t="str">
        <f>IF( OR( ISBLANK(H1511),ISBLANK(J1511), ISBLANK(K1511), ISBLANK(L1511), ISBLANK(M1511) ), "", 1.5*SQRT(   EXP(2.21*(H1511-1)) + EXP(2.21*(J1511-1)) + EXP(2.21*(K1511-1)) + EXP(2.21*(L1511-1)) + EXP(2.21*M1511)   )/100*2.45 )</f>
        <v/>
      </c>
      <c r="O1511" s="1212" t="str">
        <f>IF( OR( ISBLANK(I1511),ISBLANK(J1511), ISBLANK(K1511), ISBLANK(L1511), ISBLANK(M1511) ), "", 1.5*SQRT( EXP(2.21*(I1511-1)) + EXP(2.21*(J1511-1)) + EXP(2.21*(K1511-1)) + EXP(2.21*(L1511-1)) + EXP(2.21*M1511)   )/100*2.45 )</f>
        <v/>
      </c>
    </row>
    <row r="1512" spans="8:15">
      <c r="H1512" s="1178"/>
      <c r="I1512" s="1178"/>
      <c r="J1512" s="1178"/>
      <c r="K1512" s="1178"/>
      <c r="L1512" s="1178"/>
      <c r="M1512" s="1178"/>
      <c r="N1512" s="1212" t="str">
        <f>IF( OR( ISBLANK(H1512),ISBLANK(J1512), ISBLANK(K1512), ISBLANK(L1512), ISBLANK(M1512) ), "", 1.5*SQRT(   EXP(2.21*(H1512-1)) + EXP(2.21*(J1512-1)) + EXP(2.21*(K1512-1)) + EXP(2.21*(L1512-1)) + EXP(2.21*M1512)   )/100*2.45 )</f>
        <v/>
      </c>
      <c r="O1512" s="1212" t="str">
        <f>IF( OR( ISBLANK(I1512),ISBLANK(J1512), ISBLANK(K1512), ISBLANK(L1512), ISBLANK(M1512) ), "", 1.5*SQRT( EXP(2.21*(I1512-1)) + EXP(2.21*(J1512-1)) + EXP(2.21*(K1512-1)) + EXP(2.21*(L1512-1)) + EXP(2.21*M1512)   )/100*2.45 )</f>
        <v/>
      </c>
    </row>
    <row r="1513" spans="8:15">
      <c r="H1513" s="1178"/>
      <c r="I1513" s="1178"/>
      <c r="J1513" s="1178"/>
      <c r="K1513" s="1178"/>
      <c r="L1513" s="1178"/>
      <c r="M1513" s="1178"/>
      <c r="N1513" s="1212" t="str">
        <f>IF( OR( ISBLANK(H1513),ISBLANK(J1513), ISBLANK(K1513), ISBLANK(L1513), ISBLANK(M1513) ), "", 1.5*SQRT(   EXP(2.21*(H1513-1)) + EXP(2.21*(J1513-1)) + EXP(2.21*(K1513-1)) + EXP(2.21*(L1513-1)) + EXP(2.21*M1513)   )/100*2.45 )</f>
        <v/>
      </c>
      <c r="O1513" s="1212" t="str">
        <f>IF( OR( ISBLANK(I1513),ISBLANK(J1513), ISBLANK(K1513), ISBLANK(L1513), ISBLANK(M1513) ), "", 1.5*SQRT( EXP(2.21*(I1513-1)) + EXP(2.21*(J1513-1)) + EXP(2.21*(K1513-1)) + EXP(2.21*(L1513-1)) + EXP(2.21*M1513)   )/100*2.45 )</f>
        <v/>
      </c>
    </row>
    <row r="1514" spans="8:15">
      <c r="H1514" s="1178"/>
      <c r="I1514" s="1178"/>
      <c r="J1514" s="1178"/>
      <c r="K1514" s="1178"/>
      <c r="L1514" s="1178"/>
      <c r="M1514" s="1178"/>
      <c r="N1514" s="1212" t="str">
        <f>IF( OR( ISBLANK(H1514),ISBLANK(J1514), ISBLANK(K1514), ISBLANK(L1514), ISBLANK(M1514) ), "", 1.5*SQRT(   EXP(2.21*(H1514-1)) + EXP(2.21*(J1514-1)) + EXP(2.21*(K1514-1)) + EXP(2.21*(L1514-1)) + EXP(2.21*M1514)   )/100*2.45 )</f>
        <v/>
      </c>
      <c r="O1514" s="1212" t="str">
        <f>IF( OR( ISBLANK(I1514),ISBLANK(J1514), ISBLANK(K1514), ISBLANK(L1514), ISBLANK(M1514) ), "", 1.5*SQRT( EXP(2.21*(I1514-1)) + EXP(2.21*(J1514-1)) + EXP(2.21*(K1514-1)) + EXP(2.21*(L1514-1)) + EXP(2.21*M1514)   )/100*2.45 )</f>
        <v/>
      </c>
    </row>
    <row r="1515" spans="8:15">
      <c r="H1515" s="1178"/>
      <c r="I1515" s="1178"/>
      <c r="J1515" s="1178"/>
      <c r="K1515" s="1178"/>
      <c r="L1515" s="1178"/>
      <c r="M1515" s="1178"/>
      <c r="N1515" s="1212" t="str">
        <f>IF( OR( ISBLANK(H1515),ISBLANK(J1515), ISBLANK(K1515), ISBLANK(L1515), ISBLANK(M1515) ), "", 1.5*SQRT(   EXP(2.21*(H1515-1)) + EXP(2.21*(J1515-1)) + EXP(2.21*(K1515-1)) + EXP(2.21*(L1515-1)) + EXP(2.21*M1515)   )/100*2.45 )</f>
        <v/>
      </c>
      <c r="O1515" s="1212" t="str">
        <f>IF( OR( ISBLANK(I1515),ISBLANK(J1515), ISBLANK(K1515), ISBLANK(L1515), ISBLANK(M1515) ), "", 1.5*SQRT( EXP(2.21*(I1515-1)) + EXP(2.21*(J1515-1)) + EXP(2.21*(K1515-1)) + EXP(2.21*(L1515-1)) + EXP(2.21*M1515)   )/100*2.45 )</f>
        <v/>
      </c>
    </row>
    <row r="1516" spans="8:15">
      <c r="H1516" s="1178"/>
      <c r="I1516" s="1178"/>
      <c r="J1516" s="1178"/>
      <c r="K1516" s="1178"/>
      <c r="L1516" s="1178"/>
      <c r="M1516" s="1178"/>
      <c r="N1516" s="1212" t="str">
        <f>IF( OR( ISBLANK(H1516),ISBLANK(J1516), ISBLANK(K1516), ISBLANK(L1516), ISBLANK(M1516) ), "", 1.5*SQRT(   EXP(2.21*(H1516-1)) + EXP(2.21*(J1516-1)) + EXP(2.21*(K1516-1)) + EXP(2.21*(L1516-1)) + EXP(2.21*M1516)   )/100*2.45 )</f>
        <v/>
      </c>
      <c r="O1516" s="1212" t="str">
        <f>IF( OR( ISBLANK(I1516),ISBLANK(J1516), ISBLANK(K1516), ISBLANK(L1516), ISBLANK(M1516) ), "", 1.5*SQRT( EXP(2.21*(I1516-1)) + EXP(2.21*(J1516-1)) + EXP(2.21*(K1516-1)) + EXP(2.21*(L1516-1)) + EXP(2.21*M1516)   )/100*2.45 )</f>
        <v/>
      </c>
    </row>
    <row r="1517" spans="8:15">
      <c r="H1517" s="1178"/>
      <c r="I1517" s="1178"/>
      <c r="J1517" s="1178"/>
      <c r="K1517" s="1178"/>
      <c r="L1517" s="1178"/>
      <c r="M1517" s="1178"/>
      <c r="N1517" s="1212" t="str">
        <f>IF( OR( ISBLANK(H1517),ISBLANK(J1517), ISBLANK(K1517), ISBLANK(L1517), ISBLANK(M1517) ), "", 1.5*SQRT(   EXP(2.21*(H1517-1)) + EXP(2.21*(J1517-1)) + EXP(2.21*(K1517-1)) + EXP(2.21*(L1517-1)) + EXP(2.21*M1517)   )/100*2.45 )</f>
        <v/>
      </c>
      <c r="O1517" s="1212" t="str">
        <f>IF( OR( ISBLANK(I1517),ISBLANK(J1517), ISBLANK(K1517), ISBLANK(L1517), ISBLANK(M1517) ), "", 1.5*SQRT( EXP(2.21*(I1517-1)) + EXP(2.21*(J1517-1)) + EXP(2.21*(K1517-1)) + EXP(2.21*(L1517-1)) + EXP(2.21*M1517)   )/100*2.45 )</f>
        <v/>
      </c>
    </row>
    <row r="1518" spans="8:15">
      <c r="H1518" s="1178"/>
      <c r="I1518" s="1178"/>
      <c r="J1518" s="1178"/>
      <c r="K1518" s="1178"/>
      <c r="L1518" s="1178"/>
      <c r="M1518" s="1178"/>
      <c r="N1518" s="1212" t="str">
        <f>IF( OR( ISBLANK(H1518),ISBLANK(J1518), ISBLANK(K1518), ISBLANK(L1518), ISBLANK(M1518) ), "", 1.5*SQRT(   EXP(2.21*(H1518-1)) + EXP(2.21*(J1518-1)) + EXP(2.21*(K1518-1)) + EXP(2.21*(L1518-1)) + EXP(2.21*M1518)   )/100*2.45 )</f>
        <v/>
      </c>
      <c r="O1518" s="1212" t="str">
        <f>IF( OR( ISBLANK(I1518),ISBLANK(J1518), ISBLANK(K1518), ISBLANK(L1518), ISBLANK(M1518) ), "", 1.5*SQRT( EXP(2.21*(I1518-1)) + EXP(2.21*(J1518-1)) + EXP(2.21*(K1518-1)) + EXP(2.21*(L1518-1)) + EXP(2.21*M1518)   )/100*2.45 )</f>
        <v/>
      </c>
    </row>
    <row r="1519" spans="8:15">
      <c r="H1519" s="1178"/>
      <c r="I1519" s="1178"/>
      <c r="J1519" s="1178"/>
      <c r="K1519" s="1178"/>
      <c r="L1519" s="1178"/>
      <c r="M1519" s="1178"/>
      <c r="N1519" s="1212" t="str">
        <f>IF( OR( ISBLANK(H1519),ISBLANK(J1519), ISBLANK(K1519), ISBLANK(L1519), ISBLANK(M1519) ), "", 1.5*SQRT(   EXP(2.21*(H1519-1)) + EXP(2.21*(J1519-1)) + EXP(2.21*(K1519-1)) + EXP(2.21*(L1519-1)) + EXP(2.21*M1519)   )/100*2.45 )</f>
        <v/>
      </c>
      <c r="O1519" s="1212" t="str">
        <f>IF( OR( ISBLANK(I1519),ISBLANK(J1519), ISBLANK(K1519), ISBLANK(L1519), ISBLANK(M1519) ), "", 1.5*SQRT( EXP(2.21*(I1519-1)) + EXP(2.21*(J1519-1)) + EXP(2.21*(K1519-1)) + EXP(2.21*(L1519-1)) + EXP(2.21*M1519)   )/100*2.45 )</f>
        <v/>
      </c>
    </row>
    <row r="1520" spans="8:15">
      <c r="H1520" s="1178"/>
      <c r="I1520" s="1178"/>
      <c r="J1520" s="1178"/>
      <c r="K1520" s="1178"/>
      <c r="L1520" s="1178"/>
      <c r="M1520" s="1178"/>
      <c r="N1520" s="1212" t="str">
        <f>IF( OR( ISBLANK(H1520),ISBLANK(J1520), ISBLANK(K1520), ISBLANK(L1520), ISBLANK(M1520) ), "", 1.5*SQRT(   EXP(2.21*(H1520-1)) + EXP(2.21*(J1520-1)) + EXP(2.21*(K1520-1)) + EXP(2.21*(L1520-1)) + EXP(2.21*M1520)   )/100*2.45 )</f>
        <v/>
      </c>
      <c r="O1520" s="1212" t="str">
        <f>IF( OR( ISBLANK(I1520),ISBLANK(J1520), ISBLANK(K1520), ISBLANK(L1520), ISBLANK(M1520) ), "", 1.5*SQRT( EXP(2.21*(I1520-1)) + EXP(2.21*(J1520-1)) + EXP(2.21*(K1520-1)) + EXP(2.21*(L1520-1)) + EXP(2.21*M1520)   )/100*2.45 )</f>
        <v/>
      </c>
    </row>
    <row r="1521" spans="8:15">
      <c r="H1521" s="1178"/>
      <c r="I1521" s="1178"/>
      <c r="J1521" s="1178"/>
      <c r="K1521" s="1178"/>
      <c r="L1521" s="1178"/>
      <c r="M1521" s="1178"/>
      <c r="N1521" s="1212" t="str">
        <f>IF( OR( ISBLANK(H1521),ISBLANK(J1521), ISBLANK(K1521), ISBLANK(L1521), ISBLANK(M1521) ), "", 1.5*SQRT(   EXP(2.21*(H1521-1)) + EXP(2.21*(J1521-1)) + EXP(2.21*(K1521-1)) + EXP(2.21*(L1521-1)) + EXP(2.21*M1521)   )/100*2.45 )</f>
        <v/>
      </c>
      <c r="O1521" s="1212" t="str">
        <f>IF( OR( ISBLANK(I1521),ISBLANK(J1521), ISBLANK(K1521), ISBLANK(L1521), ISBLANK(M1521) ), "", 1.5*SQRT( EXP(2.21*(I1521-1)) + EXP(2.21*(J1521-1)) + EXP(2.21*(K1521-1)) + EXP(2.21*(L1521-1)) + EXP(2.21*M1521)   )/100*2.45 )</f>
        <v/>
      </c>
    </row>
    <row r="1522" spans="8:15">
      <c r="H1522" s="1178"/>
      <c r="I1522" s="1178"/>
      <c r="J1522" s="1178"/>
      <c r="K1522" s="1178"/>
      <c r="L1522" s="1178"/>
      <c r="M1522" s="1178"/>
      <c r="N1522" s="1212" t="str">
        <f>IF( OR( ISBLANK(H1522),ISBLANK(J1522), ISBLANK(K1522), ISBLANK(L1522), ISBLANK(M1522) ), "", 1.5*SQRT(   EXP(2.21*(H1522-1)) + EXP(2.21*(J1522-1)) + EXP(2.21*(K1522-1)) + EXP(2.21*(L1522-1)) + EXP(2.21*M1522)   )/100*2.45 )</f>
        <v/>
      </c>
      <c r="O1522" s="1212" t="str">
        <f>IF( OR( ISBLANK(I1522),ISBLANK(J1522), ISBLANK(K1522), ISBLANK(L1522), ISBLANK(M1522) ), "", 1.5*SQRT( EXP(2.21*(I1522-1)) + EXP(2.21*(J1522-1)) + EXP(2.21*(K1522-1)) + EXP(2.21*(L1522-1)) + EXP(2.21*M1522)   )/100*2.45 )</f>
        <v/>
      </c>
    </row>
    <row r="1523" spans="8:15">
      <c r="H1523" s="1178"/>
      <c r="I1523" s="1178"/>
      <c r="J1523" s="1178"/>
      <c r="K1523" s="1178"/>
      <c r="L1523" s="1178"/>
      <c r="M1523" s="1178"/>
      <c r="N1523" s="1212" t="str">
        <f>IF( OR( ISBLANK(H1523),ISBLANK(J1523), ISBLANK(K1523), ISBLANK(L1523), ISBLANK(M1523) ), "", 1.5*SQRT(   EXP(2.21*(H1523-1)) + EXP(2.21*(J1523-1)) + EXP(2.21*(K1523-1)) + EXP(2.21*(L1523-1)) + EXP(2.21*M1523)   )/100*2.45 )</f>
        <v/>
      </c>
      <c r="O1523" s="1212" t="str">
        <f>IF( OR( ISBLANK(I1523),ISBLANK(J1523), ISBLANK(K1523), ISBLANK(L1523), ISBLANK(M1523) ), "", 1.5*SQRT( EXP(2.21*(I1523-1)) + EXP(2.21*(J1523-1)) + EXP(2.21*(K1523-1)) + EXP(2.21*(L1523-1)) + EXP(2.21*M1523)   )/100*2.45 )</f>
        <v/>
      </c>
    </row>
    <row r="1524" spans="8:15">
      <c r="H1524" s="1178"/>
      <c r="I1524" s="1178"/>
      <c r="J1524" s="1178"/>
      <c r="K1524" s="1178"/>
      <c r="L1524" s="1178"/>
      <c r="M1524" s="1178"/>
      <c r="N1524" s="1212" t="str">
        <f>IF( OR( ISBLANK(H1524),ISBLANK(J1524), ISBLANK(K1524), ISBLANK(L1524), ISBLANK(M1524) ), "", 1.5*SQRT(   EXP(2.21*(H1524-1)) + EXP(2.21*(J1524-1)) + EXP(2.21*(K1524-1)) + EXP(2.21*(L1524-1)) + EXP(2.21*M1524)   )/100*2.45 )</f>
        <v/>
      </c>
      <c r="O1524" s="1212" t="str">
        <f>IF( OR( ISBLANK(I1524),ISBLANK(J1524), ISBLANK(K1524), ISBLANK(L1524), ISBLANK(M1524) ), "", 1.5*SQRT( EXP(2.21*(I1524-1)) + EXP(2.21*(J1524-1)) + EXP(2.21*(K1524-1)) + EXP(2.21*(L1524-1)) + EXP(2.21*M1524)   )/100*2.45 )</f>
        <v/>
      </c>
    </row>
    <row r="1525" spans="8:15">
      <c r="H1525" s="1178"/>
      <c r="I1525" s="1178"/>
      <c r="J1525" s="1178"/>
      <c r="K1525" s="1178"/>
      <c r="L1525" s="1178"/>
      <c r="M1525" s="1178"/>
      <c r="N1525" s="1212" t="str">
        <f>IF( OR( ISBLANK(H1525),ISBLANK(J1525), ISBLANK(K1525), ISBLANK(L1525), ISBLANK(M1525) ), "", 1.5*SQRT(   EXP(2.21*(H1525-1)) + EXP(2.21*(J1525-1)) + EXP(2.21*(K1525-1)) + EXP(2.21*(L1525-1)) + EXP(2.21*M1525)   )/100*2.45 )</f>
        <v/>
      </c>
      <c r="O1525" s="1212" t="str">
        <f>IF( OR( ISBLANK(I1525),ISBLANK(J1525), ISBLANK(K1525), ISBLANK(L1525), ISBLANK(M1525) ), "", 1.5*SQRT( EXP(2.21*(I1525-1)) + EXP(2.21*(J1525-1)) + EXP(2.21*(K1525-1)) + EXP(2.21*(L1525-1)) + EXP(2.21*M1525)   )/100*2.45 )</f>
        <v/>
      </c>
    </row>
    <row r="1526" spans="8:15">
      <c r="H1526" s="1178"/>
      <c r="I1526" s="1178"/>
      <c r="J1526" s="1178"/>
      <c r="K1526" s="1178"/>
      <c r="L1526" s="1178"/>
      <c r="M1526" s="1178"/>
      <c r="N1526" s="1212" t="str">
        <f>IF( OR( ISBLANK(H1526),ISBLANK(J1526), ISBLANK(K1526), ISBLANK(L1526), ISBLANK(M1526) ), "", 1.5*SQRT(   EXP(2.21*(H1526-1)) + EXP(2.21*(J1526-1)) + EXP(2.21*(K1526-1)) + EXP(2.21*(L1526-1)) + EXP(2.21*M1526)   )/100*2.45 )</f>
        <v/>
      </c>
      <c r="O1526" s="1212" t="str">
        <f>IF( OR( ISBLANK(I1526),ISBLANK(J1526), ISBLANK(K1526), ISBLANK(L1526), ISBLANK(M1526) ), "", 1.5*SQRT( EXP(2.21*(I1526-1)) + EXP(2.21*(J1526-1)) + EXP(2.21*(K1526-1)) + EXP(2.21*(L1526-1)) + EXP(2.21*M1526)   )/100*2.45 )</f>
        <v/>
      </c>
    </row>
    <row r="1527" spans="8:15">
      <c r="H1527" s="1178"/>
      <c r="I1527" s="1178"/>
      <c r="J1527" s="1178"/>
      <c r="K1527" s="1178"/>
      <c r="L1527" s="1178"/>
      <c r="M1527" s="1178"/>
      <c r="N1527" s="1212" t="str">
        <f>IF( OR( ISBLANK(H1527),ISBLANK(J1527), ISBLANK(K1527), ISBLANK(L1527), ISBLANK(M1527) ), "", 1.5*SQRT(   EXP(2.21*(H1527-1)) + EXP(2.21*(J1527-1)) + EXP(2.21*(K1527-1)) + EXP(2.21*(L1527-1)) + EXP(2.21*M1527)   )/100*2.45 )</f>
        <v/>
      </c>
      <c r="O1527" s="1212" t="str">
        <f>IF( OR( ISBLANK(I1527),ISBLANK(J1527), ISBLANK(K1527), ISBLANK(L1527), ISBLANK(M1527) ), "", 1.5*SQRT( EXP(2.21*(I1527-1)) + EXP(2.21*(J1527-1)) + EXP(2.21*(K1527-1)) + EXP(2.21*(L1527-1)) + EXP(2.21*M1527)   )/100*2.45 )</f>
        <v/>
      </c>
    </row>
    <row r="1528" spans="8:15">
      <c r="H1528" s="1178"/>
      <c r="I1528" s="1178"/>
      <c r="J1528" s="1178"/>
      <c r="K1528" s="1178"/>
      <c r="L1528" s="1178"/>
      <c r="M1528" s="1178"/>
      <c r="N1528" s="1212" t="str">
        <f>IF( OR( ISBLANK(H1528),ISBLANK(J1528), ISBLANK(K1528), ISBLANK(L1528), ISBLANK(M1528) ), "", 1.5*SQRT(   EXP(2.21*(H1528-1)) + EXP(2.21*(J1528-1)) + EXP(2.21*(K1528-1)) + EXP(2.21*(L1528-1)) + EXP(2.21*M1528)   )/100*2.45 )</f>
        <v/>
      </c>
      <c r="O1528" s="1212" t="str">
        <f>IF( OR( ISBLANK(I1528),ISBLANK(J1528), ISBLANK(K1528), ISBLANK(L1528), ISBLANK(M1528) ), "", 1.5*SQRT( EXP(2.21*(I1528-1)) + EXP(2.21*(J1528-1)) + EXP(2.21*(K1528-1)) + EXP(2.21*(L1528-1)) + EXP(2.21*M1528)   )/100*2.45 )</f>
        <v/>
      </c>
    </row>
    <row r="1529" spans="8:15">
      <c r="H1529" s="1178"/>
      <c r="I1529" s="1178"/>
      <c r="J1529" s="1178"/>
      <c r="K1529" s="1178"/>
      <c r="L1529" s="1178"/>
      <c r="M1529" s="1178"/>
      <c r="N1529" s="1212" t="str">
        <f>IF( OR( ISBLANK(H1529),ISBLANK(J1529), ISBLANK(K1529), ISBLANK(L1529), ISBLANK(M1529) ), "", 1.5*SQRT(   EXP(2.21*(H1529-1)) + EXP(2.21*(J1529-1)) + EXP(2.21*(K1529-1)) + EXP(2.21*(L1529-1)) + EXP(2.21*M1529)   )/100*2.45 )</f>
        <v/>
      </c>
      <c r="O1529" s="1212" t="str">
        <f>IF( OR( ISBLANK(I1529),ISBLANK(J1529), ISBLANK(K1529), ISBLANK(L1529), ISBLANK(M1529) ), "", 1.5*SQRT( EXP(2.21*(I1529-1)) + EXP(2.21*(J1529-1)) + EXP(2.21*(K1529-1)) + EXP(2.21*(L1529-1)) + EXP(2.21*M1529)   )/100*2.45 )</f>
        <v/>
      </c>
    </row>
    <row r="1530" spans="8:15">
      <c r="H1530" s="1178"/>
      <c r="I1530" s="1178"/>
      <c r="J1530" s="1178"/>
      <c r="K1530" s="1178"/>
      <c r="L1530" s="1178"/>
      <c r="M1530" s="1178"/>
      <c r="N1530" s="1212" t="str">
        <f>IF( OR( ISBLANK(H1530),ISBLANK(J1530), ISBLANK(K1530), ISBLANK(L1530), ISBLANK(M1530) ), "", 1.5*SQRT(   EXP(2.21*(H1530-1)) + EXP(2.21*(J1530-1)) + EXP(2.21*(K1530-1)) + EXP(2.21*(L1530-1)) + EXP(2.21*M1530)   )/100*2.45 )</f>
        <v/>
      </c>
      <c r="O1530" s="1212" t="str">
        <f>IF( OR( ISBLANK(I1530),ISBLANK(J1530), ISBLANK(K1530), ISBLANK(L1530), ISBLANK(M1530) ), "", 1.5*SQRT( EXP(2.21*(I1530-1)) + EXP(2.21*(J1530-1)) + EXP(2.21*(K1530-1)) + EXP(2.21*(L1530-1)) + EXP(2.21*M1530)   )/100*2.45 )</f>
        <v/>
      </c>
    </row>
    <row r="1531" spans="8:15">
      <c r="H1531" s="1178"/>
      <c r="I1531" s="1178"/>
      <c r="J1531" s="1178"/>
      <c r="K1531" s="1178"/>
      <c r="L1531" s="1178"/>
      <c r="M1531" s="1178"/>
      <c r="N1531" s="1212" t="str">
        <f>IF( OR( ISBLANK(H1531),ISBLANK(J1531), ISBLANK(K1531), ISBLANK(L1531), ISBLANK(M1531) ), "", 1.5*SQRT(   EXP(2.21*(H1531-1)) + EXP(2.21*(J1531-1)) + EXP(2.21*(K1531-1)) + EXP(2.21*(L1531-1)) + EXP(2.21*M1531)   )/100*2.45 )</f>
        <v/>
      </c>
      <c r="O1531" s="1212" t="str">
        <f>IF( OR( ISBLANK(I1531),ISBLANK(J1531), ISBLANK(K1531), ISBLANK(L1531), ISBLANK(M1531) ), "", 1.5*SQRT( EXP(2.21*(I1531-1)) + EXP(2.21*(J1531-1)) + EXP(2.21*(K1531-1)) + EXP(2.21*(L1531-1)) + EXP(2.21*M1531)   )/100*2.45 )</f>
        <v/>
      </c>
    </row>
    <row r="1532" spans="8:15">
      <c r="H1532" s="1178"/>
      <c r="I1532" s="1178"/>
      <c r="J1532" s="1178"/>
      <c r="K1532" s="1178"/>
      <c r="L1532" s="1178"/>
      <c r="M1532" s="1178"/>
      <c r="N1532" s="1212" t="str">
        <f>IF( OR( ISBLANK(H1532),ISBLANK(J1532), ISBLANK(K1532), ISBLANK(L1532), ISBLANK(M1532) ), "", 1.5*SQRT(   EXP(2.21*(H1532-1)) + EXP(2.21*(J1532-1)) + EXP(2.21*(K1532-1)) + EXP(2.21*(L1532-1)) + EXP(2.21*M1532)   )/100*2.45 )</f>
        <v/>
      </c>
      <c r="O1532" s="1212" t="str">
        <f>IF( OR( ISBLANK(I1532),ISBLANK(J1532), ISBLANK(K1532), ISBLANK(L1532), ISBLANK(M1532) ), "", 1.5*SQRT( EXP(2.21*(I1532-1)) + EXP(2.21*(J1532-1)) + EXP(2.21*(K1532-1)) + EXP(2.21*(L1532-1)) + EXP(2.21*M1532)   )/100*2.45 )</f>
        <v/>
      </c>
    </row>
    <row r="1533" spans="8:15">
      <c r="H1533" s="1178"/>
      <c r="I1533" s="1178"/>
      <c r="J1533" s="1178"/>
      <c r="K1533" s="1178"/>
      <c r="L1533" s="1178"/>
      <c r="M1533" s="1178"/>
      <c r="N1533" s="1212" t="str">
        <f>IF( OR( ISBLANK(H1533),ISBLANK(J1533), ISBLANK(K1533), ISBLANK(L1533), ISBLANK(M1533) ), "", 1.5*SQRT(   EXP(2.21*(H1533-1)) + EXP(2.21*(J1533-1)) + EXP(2.21*(K1533-1)) + EXP(2.21*(L1533-1)) + EXP(2.21*M1533)   )/100*2.45 )</f>
        <v/>
      </c>
      <c r="O1533" s="1212" t="str">
        <f>IF( OR( ISBLANK(I1533),ISBLANK(J1533), ISBLANK(K1533), ISBLANK(L1533), ISBLANK(M1533) ), "", 1.5*SQRT( EXP(2.21*(I1533-1)) + EXP(2.21*(J1533-1)) + EXP(2.21*(K1533-1)) + EXP(2.21*(L1533-1)) + EXP(2.21*M1533)   )/100*2.45 )</f>
        <v/>
      </c>
    </row>
    <row r="1534" spans="8:15">
      <c r="H1534" s="1178"/>
      <c r="I1534" s="1178"/>
      <c r="J1534" s="1178"/>
      <c r="K1534" s="1178"/>
      <c r="L1534" s="1178"/>
      <c r="M1534" s="1178"/>
      <c r="N1534" s="1212" t="str">
        <f>IF( OR( ISBLANK(H1534),ISBLANK(J1534), ISBLANK(K1534), ISBLANK(L1534), ISBLANK(M1534) ), "", 1.5*SQRT(   EXP(2.21*(H1534-1)) + EXP(2.21*(J1534-1)) + EXP(2.21*(K1534-1)) + EXP(2.21*(L1534-1)) + EXP(2.21*M1534)   )/100*2.45 )</f>
        <v/>
      </c>
      <c r="O1534" s="1212" t="str">
        <f>IF( OR( ISBLANK(I1534),ISBLANK(J1534), ISBLANK(K1534), ISBLANK(L1534), ISBLANK(M1534) ), "", 1.5*SQRT( EXP(2.21*(I1534-1)) + EXP(2.21*(J1534-1)) + EXP(2.21*(K1534-1)) + EXP(2.21*(L1534-1)) + EXP(2.21*M1534)   )/100*2.45 )</f>
        <v/>
      </c>
    </row>
    <row r="1535" spans="8:15">
      <c r="H1535" s="1178"/>
      <c r="I1535" s="1178"/>
      <c r="J1535" s="1178"/>
      <c r="K1535" s="1178"/>
      <c r="L1535" s="1178"/>
      <c r="M1535" s="1178"/>
      <c r="N1535" s="1212" t="str">
        <f>IF( OR( ISBLANK(H1535),ISBLANK(J1535), ISBLANK(K1535), ISBLANK(L1535), ISBLANK(M1535) ), "", 1.5*SQRT(   EXP(2.21*(H1535-1)) + EXP(2.21*(J1535-1)) + EXP(2.21*(K1535-1)) + EXP(2.21*(L1535-1)) + EXP(2.21*M1535)   )/100*2.45 )</f>
        <v/>
      </c>
      <c r="O1535" s="1212" t="str">
        <f>IF( OR( ISBLANK(I1535),ISBLANK(J1535), ISBLANK(K1535), ISBLANK(L1535), ISBLANK(M1535) ), "", 1.5*SQRT( EXP(2.21*(I1535-1)) + EXP(2.21*(J1535-1)) + EXP(2.21*(K1535-1)) + EXP(2.21*(L1535-1)) + EXP(2.21*M1535)   )/100*2.45 )</f>
        <v/>
      </c>
    </row>
    <row r="1536" spans="8:15">
      <c r="H1536" s="1178"/>
      <c r="I1536" s="1178"/>
      <c r="J1536" s="1178"/>
      <c r="K1536" s="1178"/>
      <c r="L1536" s="1178"/>
      <c r="M1536" s="1178"/>
      <c r="N1536" s="1212" t="str">
        <f>IF( OR( ISBLANK(H1536),ISBLANK(J1536), ISBLANK(K1536), ISBLANK(L1536), ISBLANK(M1536) ), "", 1.5*SQRT(   EXP(2.21*(H1536-1)) + EXP(2.21*(J1536-1)) + EXP(2.21*(K1536-1)) + EXP(2.21*(L1536-1)) + EXP(2.21*M1536)   )/100*2.45 )</f>
        <v/>
      </c>
      <c r="O1536" s="1212" t="str">
        <f>IF( OR( ISBLANK(I1536),ISBLANK(J1536), ISBLANK(K1536), ISBLANK(L1536), ISBLANK(M1536) ), "", 1.5*SQRT( EXP(2.21*(I1536-1)) + EXP(2.21*(J1536-1)) + EXP(2.21*(K1536-1)) + EXP(2.21*(L1536-1)) + EXP(2.21*M1536)   )/100*2.45 )</f>
        <v/>
      </c>
    </row>
    <row r="1537" spans="8:15">
      <c r="H1537" s="1178"/>
      <c r="I1537" s="1178"/>
      <c r="J1537" s="1178"/>
      <c r="K1537" s="1178"/>
      <c r="L1537" s="1178"/>
      <c r="M1537" s="1178"/>
      <c r="N1537" s="1212" t="str">
        <f>IF( OR( ISBLANK(H1537),ISBLANK(J1537), ISBLANK(K1537), ISBLANK(L1537), ISBLANK(M1537) ), "", 1.5*SQRT(   EXP(2.21*(H1537-1)) + EXP(2.21*(J1537-1)) + EXP(2.21*(K1537-1)) + EXP(2.21*(L1537-1)) + EXP(2.21*M1537)   )/100*2.45 )</f>
        <v/>
      </c>
      <c r="O1537" s="1212" t="str">
        <f>IF( OR( ISBLANK(I1537),ISBLANK(J1537), ISBLANK(K1537), ISBLANK(L1537), ISBLANK(M1537) ), "", 1.5*SQRT( EXP(2.21*(I1537-1)) + EXP(2.21*(J1537-1)) + EXP(2.21*(K1537-1)) + EXP(2.21*(L1537-1)) + EXP(2.21*M1537)   )/100*2.45 )</f>
        <v/>
      </c>
    </row>
    <row r="1538" spans="8:15">
      <c r="H1538" s="1178"/>
      <c r="I1538" s="1178"/>
      <c r="J1538" s="1178"/>
      <c r="K1538" s="1178"/>
      <c r="L1538" s="1178"/>
      <c r="M1538" s="1178"/>
      <c r="N1538" s="1212" t="str">
        <f>IF( OR( ISBLANK(H1538),ISBLANK(J1538), ISBLANK(K1538), ISBLANK(L1538), ISBLANK(M1538) ), "", 1.5*SQRT(   EXP(2.21*(H1538-1)) + EXP(2.21*(J1538-1)) + EXP(2.21*(K1538-1)) + EXP(2.21*(L1538-1)) + EXP(2.21*M1538)   )/100*2.45 )</f>
        <v/>
      </c>
      <c r="O1538" s="1212" t="str">
        <f>IF( OR( ISBLANK(I1538),ISBLANK(J1538), ISBLANK(K1538), ISBLANK(L1538), ISBLANK(M1538) ), "", 1.5*SQRT( EXP(2.21*(I1538-1)) + EXP(2.21*(J1538-1)) + EXP(2.21*(K1538-1)) + EXP(2.21*(L1538-1)) + EXP(2.21*M1538)   )/100*2.45 )</f>
        <v/>
      </c>
    </row>
    <row r="1539" spans="8:15">
      <c r="H1539" s="1178"/>
      <c r="I1539" s="1178"/>
      <c r="J1539" s="1178"/>
      <c r="K1539" s="1178"/>
      <c r="L1539" s="1178"/>
      <c r="M1539" s="1178"/>
      <c r="N1539" s="1212" t="str">
        <f>IF( OR( ISBLANK(H1539),ISBLANK(J1539), ISBLANK(K1539), ISBLANK(L1539), ISBLANK(M1539) ), "", 1.5*SQRT(   EXP(2.21*(H1539-1)) + EXP(2.21*(J1539-1)) + EXP(2.21*(K1539-1)) + EXP(2.21*(L1539-1)) + EXP(2.21*M1539)   )/100*2.45 )</f>
        <v/>
      </c>
      <c r="O1539" s="1212" t="str">
        <f>IF( OR( ISBLANK(I1539),ISBLANK(J1539), ISBLANK(K1539), ISBLANK(L1539), ISBLANK(M1539) ), "", 1.5*SQRT( EXP(2.21*(I1539-1)) + EXP(2.21*(J1539-1)) + EXP(2.21*(K1539-1)) + EXP(2.21*(L1539-1)) + EXP(2.21*M1539)   )/100*2.45 )</f>
        <v/>
      </c>
    </row>
    <row r="1540" spans="8:15">
      <c r="H1540" s="1178"/>
      <c r="I1540" s="1178"/>
      <c r="J1540" s="1178"/>
      <c r="K1540" s="1178"/>
      <c r="L1540" s="1178"/>
      <c r="M1540" s="1178"/>
      <c r="N1540" s="1212" t="str">
        <f>IF( OR( ISBLANK(H1540),ISBLANK(J1540), ISBLANK(K1540), ISBLANK(L1540), ISBLANK(M1540) ), "", 1.5*SQRT(   EXP(2.21*(H1540-1)) + EXP(2.21*(J1540-1)) + EXP(2.21*(K1540-1)) + EXP(2.21*(L1540-1)) + EXP(2.21*M1540)   )/100*2.45 )</f>
        <v/>
      </c>
      <c r="O1540" s="1212" t="str">
        <f>IF( OR( ISBLANK(I1540),ISBLANK(J1540), ISBLANK(K1540), ISBLANK(L1540), ISBLANK(M1540) ), "", 1.5*SQRT( EXP(2.21*(I1540-1)) + EXP(2.21*(J1540-1)) + EXP(2.21*(K1540-1)) + EXP(2.21*(L1540-1)) + EXP(2.21*M1540)   )/100*2.45 )</f>
        <v/>
      </c>
    </row>
    <row r="1541" spans="8:15">
      <c r="H1541" s="1178"/>
      <c r="I1541" s="1178"/>
      <c r="J1541" s="1178"/>
      <c r="K1541" s="1178"/>
      <c r="L1541" s="1178"/>
      <c r="M1541" s="1178"/>
      <c r="N1541" s="1212" t="str">
        <f>IF( OR( ISBLANK(H1541),ISBLANK(J1541), ISBLANK(K1541), ISBLANK(L1541), ISBLANK(M1541) ), "", 1.5*SQRT(   EXP(2.21*(H1541-1)) + EXP(2.21*(J1541-1)) + EXP(2.21*(K1541-1)) + EXP(2.21*(L1541-1)) + EXP(2.21*M1541)   )/100*2.45 )</f>
        <v/>
      </c>
      <c r="O1541" s="1212" t="str">
        <f>IF( OR( ISBLANK(I1541),ISBLANK(J1541), ISBLANK(K1541), ISBLANK(L1541), ISBLANK(M1541) ), "", 1.5*SQRT( EXP(2.21*(I1541-1)) + EXP(2.21*(J1541-1)) + EXP(2.21*(K1541-1)) + EXP(2.21*(L1541-1)) + EXP(2.21*M1541)   )/100*2.45 )</f>
        <v/>
      </c>
    </row>
    <row r="1542" spans="8:15">
      <c r="H1542" s="1178"/>
      <c r="I1542" s="1178"/>
      <c r="J1542" s="1178"/>
      <c r="K1542" s="1178"/>
      <c r="L1542" s="1178"/>
      <c r="M1542" s="1178"/>
      <c r="N1542" s="1212" t="str">
        <f>IF( OR( ISBLANK(H1542),ISBLANK(J1542), ISBLANK(K1542), ISBLANK(L1542), ISBLANK(M1542) ), "", 1.5*SQRT(   EXP(2.21*(H1542-1)) + EXP(2.21*(J1542-1)) + EXP(2.21*(K1542-1)) + EXP(2.21*(L1542-1)) + EXP(2.21*M1542)   )/100*2.45 )</f>
        <v/>
      </c>
      <c r="O1542" s="1212" t="str">
        <f>IF( OR( ISBLANK(I1542),ISBLANK(J1542), ISBLANK(K1542), ISBLANK(L1542), ISBLANK(M1542) ), "", 1.5*SQRT( EXP(2.21*(I1542-1)) + EXP(2.21*(J1542-1)) + EXP(2.21*(K1542-1)) + EXP(2.21*(L1542-1)) + EXP(2.21*M1542)   )/100*2.45 )</f>
        <v/>
      </c>
    </row>
    <row r="1543" spans="8:15">
      <c r="H1543" s="1178"/>
      <c r="I1543" s="1178"/>
      <c r="J1543" s="1178"/>
      <c r="K1543" s="1178"/>
      <c r="L1543" s="1178"/>
      <c r="M1543" s="1178"/>
      <c r="N1543" s="1212" t="str">
        <f>IF( OR( ISBLANK(H1543),ISBLANK(J1543), ISBLANK(K1543), ISBLANK(L1543), ISBLANK(M1543) ), "", 1.5*SQRT(   EXP(2.21*(H1543-1)) + EXP(2.21*(J1543-1)) + EXP(2.21*(K1543-1)) + EXP(2.21*(L1543-1)) + EXP(2.21*M1543)   )/100*2.45 )</f>
        <v/>
      </c>
      <c r="O1543" s="1212" t="str">
        <f>IF( OR( ISBLANK(I1543),ISBLANK(J1543), ISBLANK(K1543), ISBLANK(L1543), ISBLANK(M1543) ), "", 1.5*SQRT( EXP(2.21*(I1543-1)) + EXP(2.21*(J1543-1)) + EXP(2.21*(K1543-1)) + EXP(2.21*(L1543-1)) + EXP(2.21*M1543)   )/100*2.45 )</f>
        <v/>
      </c>
    </row>
    <row r="1544" spans="8:15">
      <c r="H1544" s="1178"/>
      <c r="I1544" s="1178"/>
      <c r="J1544" s="1178"/>
      <c r="K1544" s="1178"/>
      <c r="L1544" s="1178"/>
      <c r="M1544" s="1178"/>
      <c r="N1544" s="1212" t="str">
        <f>IF( OR( ISBLANK(H1544),ISBLANK(J1544), ISBLANK(K1544), ISBLANK(L1544), ISBLANK(M1544) ), "", 1.5*SQRT(   EXP(2.21*(H1544-1)) + EXP(2.21*(J1544-1)) + EXP(2.21*(K1544-1)) + EXP(2.21*(L1544-1)) + EXP(2.21*M1544)   )/100*2.45 )</f>
        <v/>
      </c>
      <c r="O1544" s="1212" t="str">
        <f>IF( OR( ISBLANK(I1544),ISBLANK(J1544), ISBLANK(K1544), ISBLANK(L1544), ISBLANK(M1544) ), "", 1.5*SQRT( EXP(2.21*(I1544-1)) + EXP(2.21*(J1544-1)) + EXP(2.21*(K1544-1)) + EXP(2.21*(L1544-1)) + EXP(2.21*M1544)   )/100*2.45 )</f>
        <v/>
      </c>
    </row>
    <row r="1545" spans="8:15">
      <c r="H1545" s="1178"/>
      <c r="I1545" s="1178"/>
      <c r="J1545" s="1178"/>
      <c r="K1545" s="1178"/>
      <c r="L1545" s="1178"/>
      <c r="M1545" s="1178"/>
      <c r="N1545" s="1212" t="str">
        <f>IF( OR( ISBLANK(H1545),ISBLANK(J1545), ISBLANK(K1545), ISBLANK(L1545), ISBLANK(M1545) ), "", 1.5*SQRT(   EXP(2.21*(H1545-1)) + EXP(2.21*(J1545-1)) + EXP(2.21*(K1545-1)) + EXP(2.21*(L1545-1)) + EXP(2.21*M1545)   )/100*2.45 )</f>
        <v/>
      </c>
      <c r="O1545" s="1212" t="str">
        <f>IF( OR( ISBLANK(I1545),ISBLANK(J1545), ISBLANK(K1545), ISBLANK(L1545), ISBLANK(M1545) ), "", 1.5*SQRT( EXP(2.21*(I1545-1)) + EXP(2.21*(J1545-1)) + EXP(2.21*(K1545-1)) + EXP(2.21*(L1545-1)) + EXP(2.21*M1545)   )/100*2.45 )</f>
        <v/>
      </c>
    </row>
    <row r="1546" spans="8:15">
      <c r="H1546" s="1178"/>
      <c r="I1546" s="1178"/>
      <c r="J1546" s="1178"/>
      <c r="K1546" s="1178"/>
      <c r="L1546" s="1178"/>
      <c r="M1546" s="1178"/>
      <c r="N1546" s="1212" t="str">
        <f>IF( OR( ISBLANK(H1546),ISBLANK(J1546), ISBLANK(K1546), ISBLANK(L1546), ISBLANK(M1546) ), "", 1.5*SQRT(   EXP(2.21*(H1546-1)) + EXP(2.21*(J1546-1)) + EXP(2.21*(K1546-1)) + EXP(2.21*(L1546-1)) + EXP(2.21*M1546)   )/100*2.45 )</f>
        <v/>
      </c>
      <c r="O1546" s="1212" t="str">
        <f>IF( OR( ISBLANK(I1546),ISBLANK(J1546), ISBLANK(K1546), ISBLANK(L1546), ISBLANK(M1546) ), "", 1.5*SQRT( EXP(2.21*(I1546-1)) + EXP(2.21*(J1546-1)) + EXP(2.21*(K1546-1)) + EXP(2.21*(L1546-1)) + EXP(2.21*M1546)   )/100*2.45 )</f>
        <v/>
      </c>
    </row>
    <row r="1547" spans="8:15">
      <c r="H1547" s="1178"/>
      <c r="I1547" s="1178"/>
      <c r="J1547" s="1178"/>
      <c r="K1547" s="1178"/>
      <c r="L1547" s="1178"/>
      <c r="M1547" s="1178"/>
      <c r="N1547" s="1212" t="str">
        <f>IF( OR( ISBLANK(H1547),ISBLANK(J1547), ISBLANK(K1547), ISBLANK(L1547), ISBLANK(M1547) ), "", 1.5*SQRT(   EXP(2.21*(H1547-1)) + EXP(2.21*(J1547-1)) + EXP(2.21*(K1547-1)) + EXP(2.21*(L1547-1)) + EXP(2.21*M1547)   )/100*2.45 )</f>
        <v/>
      </c>
      <c r="O1547" s="1212" t="str">
        <f>IF( OR( ISBLANK(I1547),ISBLANK(J1547), ISBLANK(K1547), ISBLANK(L1547), ISBLANK(M1547) ), "", 1.5*SQRT( EXP(2.21*(I1547-1)) + EXP(2.21*(J1547-1)) + EXP(2.21*(K1547-1)) + EXP(2.21*(L1547-1)) + EXP(2.21*M1547)   )/100*2.45 )</f>
        <v/>
      </c>
    </row>
    <row r="1548" spans="8:15">
      <c r="H1548" s="1178"/>
      <c r="I1548" s="1178"/>
      <c r="J1548" s="1178"/>
      <c r="K1548" s="1178"/>
      <c r="L1548" s="1178"/>
      <c r="M1548" s="1178"/>
      <c r="N1548" s="1212" t="str">
        <f>IF( OR( ISBLANK(H1548),ISBLANK(J1548), ISBLANK(K1548), ISBLANK(L1548), ISBLANK(M1548) ), "", 1.5*SQRT(   EXP(2.21*(H1548-1)) + EXP(2.21*(J1548-1)) + EXP(2.21*(K1548-1)) + EXP(2.21*(L1548-1)) + EXP(2.21*M1548)   )/100*2.45 )</f>
        <v/>
      </c>
      <c r="O1548" s="1212" t="str">
        <f>IF( OR( ISBLANK(I1548),ISBLANK(J1548), ISBLANK(K1548), ISBLANK(L1548), ISBLANK(M1548) ), "", 1.5*SQRT( EXP(2.21*(I1548-1)) + EXP(2.21*(J1548-1)) + EXP(2.21*(K1548-1)) + EXP(2.21*(L1548-1)) + EXP(2.21*M1548)   )/100*2.45 )</f>
        <v/>
      </c>
    </row>
    <row r="1549" spans="8:15">
      <c r="H1549" s="1178"/>
      <c r="I1549" s="1178"/>
      <c r="J1549" s="1178"/>
      <c r="K1549" s="1178"/>
      <c r="L1549" s="1178"/>
      <c r="M1549" s="1178"/>
      <c r="N1549" s="1212" t="str">
        <f>IF( OR( ISBLANK(H1549),ISBLANK(J1549), ISBLANK(K1549), ISBLANK(L1549), ISBLANK(M1549) ), "", 1.5*SQRT(   EXP(2.21*(H1549-1)) + EXP(2.21*(J1549-1)) + EXP(2.21*(K1549-1)) + EXP(2.21*(L1549-1)) + EXP(2.21*M1549)   )/100*2.45 )</f>
        <v/>
      </c>
      <c r="O1549" s="1212" t="str">
        <f>IF( OR( ISBLANK(I1549),ISBLANK(J1549), ISBLANK(K1549), ISBLANK(L1549), ISBLANK(M1549) ), "", 1.5*SQRT( EXP(2.21*(I1549-1)) + EXP(2.21*(J1549-1)) + EXP(2.21*(K1549-1)) + EXP(2.21*(L1549-1)) + EXP(2.21*M1549)   )/100*2.45 )</f>
        <v/>
      </c>
    </row>
    <row r="1550" spans="8:15">
      <c r="H1550" s="1178"/>
      <c r="I1550" s="1178"/>
      <c r="J1550" s="1178"/>
      <c r="K1550" s="1178"/>
      <c r="L1550" s="1178"/>
      <c r="M1550" s="1178"/>
      <c r="N1550" s="1212" t="str">
        <f>IF( OR( ISBLANK(H1550),ISBLANK(J1550), ISBLANK(K1550), ISBLANK(L1550), ISBLANK(M1550) ), "", 1.5*SQRT(   EXP(2.21*(H1550-1)) + EXP(2.21*(J1550-1)) + EXP(2.21*(K1550-1)) + EXP(2.21*(L1550-1)) + EXP(2.21*M1550)   )/100*2.45 )</f>
        <v/>
      </c>
      <c r="O1550" s="1212" t="str">
        <f>IF( OR( ISBLANK(I1550),ISBLANK(J1550), ISBLANK(K1550), ISBLANK(L1550), ISBLANK(M1550) ), "", 1.5*SQRT( EXP(2.21*(I1550-1)) + EXP(2.21*(J1550-1)) + EXP(2.21*(K1550-1)) + EXP(2.21*(L1550-1)) + EXP(2.21*M1550)   )/100*2.45 )</f>
        <v/>
      </c>
    </row>
    <row r="1551" spans="8:15">
      <c r="H1551" s="1178"/>
      <c r="I1551" s="1178"/>
      <c r="J1551" s="1178"/>
      <c r="K1551" s="1178"/>
      <c r="L1551" s="1178"/>
      <c r="M1551" s="1178"/>
      <c r="N1551" s="1212" t="str">
        <f>IF( OR( ISBLANK(H1551),ISBLANK(J1551), ISBLANK(K1551), ISBLANK(L1551), ISBLANK(M1551) ), "", 1.5*SQRT(   EXP(2.21*(H1551-1)) + EXP(2.21*(J1551-1)) + EXP(2.21*(K1551-1)) + EXP(2.21*(L1551-1)) + EXP(2.21*M1551)   )/100*2.45 )</f>
        <v/>
      </c>
      <c r="O1551" s="1212" t="str">
        <f>IF( OR( ISBLANK(I1551),ISBLANK(J1551), ISBLANK(K1551), ISBLANK(L1551), ISBLANK(M1551) ), "", 1.5*SQRT( EXP(2.21*(I1551-1)) + EXP(2.21*(J1551-1)) + EXP(2.21*(K1551-1)) + EXP(2.21*(L1551-1)) + EXP(2.21*M1551)   )/100*2.45 )</f>
        <v/>
      </c>
    </row>
    <row r="1552" spans="8:15">
      <c r="H1552" s="1178"/>
      <c r="I1552" s="1178"/>
      <c r="J1552" s="1178"/>
      <c r="K1552" s="1178"/>
      <c r="L1552" s="1178"/>
      <c r="M1552" s="1178"/>
      <c r="N1552" s="1212" t="str">
        <f>IF( OR( ISBLANK(H1552),ISBLANK(J1552), ISBLANK(K1552), ISBLANK(L1552), ISBLANK(M1552) ), "", 1.5*SQRT(   EXP(2.21*(H1552-1)) + EXP(2.21*(J1552-1)) + EXP(2.21*(K1552-1)) + EXP(2.21*(L1552-1)) + EXP(2.21*M1552)   )/100*2.45 )</f>
        <v/>
      </c>
      <c r="O1552" s="1212" t="str">
        <f>IF( OR( ISBLANK(I1552),ISBLANK(J1552), ISBLANK(K1552), ISBLANK(L1552), ISBLANK(M1552) ), "", 1.5*SQRT( EXP(2.21*(I1552-1)) + EXP(2.21*(J1552-1)) + EXP(2.21*(K1552-1)) + EXP(2.21*(L1552-1)) + EXP(2.21*M1552)   )/100*2.45 )</f>
        <v/>
      </c>
    </row>
    <row r="1553" spans="8:15">
      <c r="H1553" s="1178"/>
      <c r="I1553" s="1178"/>
      <c r="J1553" s="1178"/>
      <c r="K1553" s="1178"/>
      <c r="L1553" s="1178"/>
      <c r="M1553" s="1178"/>
      <c r="N1553" s="1212" t="str">
        <f>IF( OR( ISBLANK(H1553),ISBLANK(J1553), ISBLANK(K1553), ISBLANK(L1553), ISBLANK(M1553) ), "", 1.5*SQRT(   EXP(2.21*(H1553-1)) + EXP(2.21*(J1553-1)) + EXP(2.21*(K1553-1)) + EXP(2.21*(L1553-1)) + EXP(2.21*M1553)   )/100*2.45 )</f>
        <v/>
      </c>
      <c r="O1553" s="1212" t="str">
        <f>IF( OR( ISBLANK(I1553),ISBLANK(J1553), ISBLANK(K1553), ISBLANK(L1553), ISBLANK(M1553) ), "", 1.5*SQRT( EXP(2.21*(I1553-1)) + EXP(2.21*(J1553-1)) + EXP(2.21*(K1553-1)) + EXP(2.21*(L1553-1)) + EXP(2.21*M1553)   )/100*2.45 )</f>
        <v/>
      </c>
    </row>
    <row r="1554" spans="8:15">
      <c r="H1554" s="1178"/>
      <c r="I1554" s="1178"/>
      <c r="J1554" s="1178"/>
      <c r="K1554" s="1178"/>
      <c r="L1554" s="1178"/>
      <c r="M1554" s="1178"/>
      <c r="N1554" s="1212" t="str">
        <f>IF( OR( ISBLANK(H1554),ISBLANK(J1554), ISBLANK(K1554), ISBLANK(L1554), ISBLANK(M1554) ), "", 1.5*SQRT(   EXP(2.21*(H1554-1)) + EXP(2.21*(J1554-1)) + EXP(2.21*(K1554-1)) + EXP(2.21*(L1554-1)) + EXP(2.21*M1554)   )/100*2.45 )</f>
        <v/>
      </c>
      <c r="O1554" s="1212" t="str">
        <f>IF( OR( ISBLANK(I1554),ISBLANK(J1554), ISBLANK(K1554), ISBLANK(L1554), ISBLANK(M1554) ), "", 1.5*SQRT( EXP(2.21*(I1554-1)) + EXP(2.21*(J1554-1)) + EXP(2.21*(K1554-1)) + EXP(2.21*(L1554-1)) + EXP(2.21*M1554)   )/100*2.45 )</f>
        <v/>
      </c>
    </row>
    <row r="1555" spans="8:15">
      <c r="H1555" s="1178"/>
      <c r="I1555" s="1178"/>
      <c r="J1555" s="1178"/>
      <c r="K1555" s="1178"/>
      <c r="L1555" s="1178"/>
      <c r="M1555" s="1178"/>
      <c r="N1555" s="1212" t="str">
        <f>IF( OR( ISBLANK(H1555),ISBLANK(J1555), ISBLANK(K1555), ISBLANK(L1555), ISBLANK(M1555) ), "", 1.5*SQRT(   EXP(2.21*(H1555-1)) + EXP(2.21*(J1555-1)) + EXP(2.21*(K1555-1)) + EXP(2.21*(L1555-1)) + EXP(2.21*M1555)   )/100*2.45 )</f>
        <v/>
      </c>
      <c r="O1555" s="1212" t="str">
        <f>IF( OR( ISBLANK(I1555),ISBLANK(J1555), ISBLANK(K1555), ISBLANK(L1555), ISBLANK(M1555) ), "", 1.5*SQRT( EXP(2.21*(I1555-1)) + EXP(2.21*(J1555-1)) + EXP(2.21*(K1555-1)) + EXP(2.21*(L1555-1)) + EXP(2.21*M1555)   )/100*2.45 )</f>
        <v/>
      </c>
    </row>
    <row r="1556" spans="8:15">
      <c r="H1556" s="1178"/>
      <c r="I1556" s="1178"/>
      <c r="J1556" s="1178"/>
      <c r="K1556" s="1178"/>
      <c r="L1556" s="1178"/>
      <c r="M1556" s="1178"/>
      <c r="N1556" s="1212" t="str">
        <f>IF( OR( ISBLANK(H1556),ISBLANK(J1556), ISBLANK(K1556), ISBLANK(L1556), ISBLANK(M1556) ), "", 1.5*SQRT(   EXP(2.21*(H1556-1)) + EXP(2.21*(J1556-1)) + EXP(2.21*(K1556-1)) + EXP(2.21*(L1556-1)) + EXP(2.21*M1556)   )/100*2.45 )</f>
        <v/>
      </c>
      <c r="O1556" s="1212" t="str">
        <f>IF( OR( ISBLANK(I1556),ISBLANK(J1556), ISBLANK(K1556), ISBLANK(L1556), ISBLANK(M1556) ), "", 1.5*SQRT( EXP(2.21*(I1556-1)) + EXP(2.21*(J1556-1)) + EXP(2.21*(K1556-1)) + EXP(2.21*(L1556-1)) + EXP(2.21*M1556)   )/100*2.45 )</f>
        <v/>
      </c>
    </row>
    <row r="1557" spans="8:15">
      <c r="H1557" s="1178"/>
      <c r="I1557" s="1178"/>
      <c r="J1557" s="1178"/>
      <c r="K1557" s="1178"/>
      <c r="L1557" s="1178"/>
      <c r="M1557" s="1178"/>
      <c r="N1557" s="1212" t="str">
        <f>IF( OR( ISBLANK(H1557),ISBLANK(J1557), ISBLANK(K1557), ISBLANK(L1557), ISBLANK(M1557) ), "", 1.5*SQRT(   EXP(2.21*(H1557-1)) + EXP(2.21*(J1557-1)) + EXP(2.21*(K1557-1)) + EXP(2.21*(L1557-1)) + EXP(2.21*M1557)   )/100*2.45 )</f>
        <v/>
      </c>
      <c r="O1557" s="1212" t="str">
        <f>IF( OR( ISBLANK(I1557),ISBLANK(J1557), ISBLANK(K1557), ISBLANK(L1557), ISBLANK(M1557) ), "", 1.5*SQRT( EXP(2.21*(I1557-1)) + EXP(2.21*(J1557-1)) + EXP(2.21*(K1557-1)) + EXP(2.21*(L1557-1)) + EXP(2.21*M1557)   )/100*2.45 )</f>
        <v/>
      </c>
    </row>
    <row r="1558" spans="8:15">
      <c r="H1558" s="1178"/>
      <c r="I1558" s="1178"/>
      <c r="J1558" s="1178"/>
      <c r="K1558" s="1178"/>
      <c r="L1558" s="1178"/>
      <c r="M1558" s="1178"/>
      <c r="N1558" s="1212" t="str">
        <f>IF( OR( ISBLANK(H1558),ISBLANK(J1558), ISBLANK(K1558), ISBLANK(L1558), ISBLANK(M1558) ), "", 1.5*SQRT(   EXP(2.21*(H1558-1)) + EXP(2.21*(J1558-1)) + EXP(2.21*(K1558-1)) + EXP(2.21*(L1558-1)) + EXP(2.21*M1558)   )/100*2.45 )</f>
        <v/>
      </c>
      <c r="O1558" s="1212" t="str">
        <f>IF( OR( ISBLANK(I1558),ISBLANK(J1558), ISBLANK(K1558), ISBLANK(L1558), ISBLANK(M1558) ), "", 1.5*SQRT( EXP(2.21*(I1558-1)) + EXP(2.21*(J1558-1)) + EXP(2.21*(K1558-1)) + EXP(2.21*(L1558-1)) + EXP(2.21*M1558)   )/100*2.45 )</f>
        <v/>
      </c>
    </row>
    <row r="1559" spans="8:15">
      <c r="H1559" s="1178"/>
      <c r="I1559" s="1178"/>
      <c r="J1559" s="1178"/>
      <c r="K1559" s="1178"/>
      <c r="L1559" s="1178"/>
      <c r="M1559" s="1178"/>
      <c r="N1559" s="1212" t="str">
        <f>IF( OR( ISBLANK(H1559),ISBLANK(J1559), ISBLANK(K1559), ISBLANK(L1559), ISBLANK(M1559) ), "", 1.5*SQRT(   EXP(2.21*(H1559-1)) + EXP(2.21*(J1559-1)) + EXP(2.21*(K1559-1)) + EXP(2.21*(L1559-1)) + EXP(2.21*M1559)   )/100*2.45 )</f>
        <v/>
      </c>
      <c r="O1559" s="1212" t="str">
        <f>IF( OR( ISBLANK(I1559),ISBLANK(J1559), ISBLANK(K1559), ISBLANK(L1559), ISBLANK(M1559) ), "", 1.5*SQRT( EXP(2.21*(I1559-1)) + EXP(2.21*(J1559-1)) + EXP(2.21*(K1559-1)) + EXP(2.21*(L1559-1)) + EXP(2.21*M1559)   )/100*2.45 )</f>
        <v/>
      </c>
    </row>
    <row r="1560" spans="8:15">
      <c r="H1560" s="1178"/>
      <c r="I1560" s="1178"/>
      <c r="J1560" s="1178"/>
      <c r="K1560" s="1178"/>
      <c r="L1560" s="1178"/>
      <c r="M1560" s="1178"/>
      <c r="N1560" s="1212" t="str">
        <f>IF( OR( ISBLANK(H1560),ISBLANK(J1560), ISBLANK(K1560), ISBLANK(L1560), ISBLANK(M1560) ), "", 1.5*SQRT(   EXP(2.21*(H1560-1)) + EXP(2.21*(J1560-1)) + EXP(2.21*(K1560-1)) + EXP(2.21*(L1560-1)) + EXP(2.21*M1560)   )/100*2.45 )</f>
        <v/>
      </c>
      <c r="O1560" s="1212" t="str">
        <f>IF( OR( ISBLANK(I1560),ISBLANK(J1560), ISBLANK(K1560), ISBLANK(L1560), ISBLANK(M1560) ), "", 1.5*SQRT( EXP(2.21*(I1560-1)) + EXP(2.21*(J1560-1)) + EXP(2.21*(K1560-1)) + EXP(2.21*(L1560-1)) + EXP(2.21*M1560)   )/100*2.45 )</f>
        <v/>
      </c>
    </row>
    <row r="1561" spans="8:15">
      <c r="H1561" s="1178"/>
      <c r="I1561" s="1178"/>
      <c r="J1561" s="1178"/>
      <c r="K1561" s="1178"/>
      <c r="L1561" s="1178"/>
      <c r="M1561" s="1178"/>
      <c r="N1561" s="1212" t="str">
        <f>IF( OR( ISBLANK(H1561),ISBLANK(J1561), ISBLANK(K1561), ISBLANK(L1561), ISBLANK(M1561) ), "", 1.5*SQRT(   EXP(2.21*(H1561-1)) + EXP(2.21*(J1561-1)) + EXP(2.21*(K1561-1)) + EXP(2.21*(L1561-1)) + EXP(2.21*M1561)   )/100*2.45 )</f>
        <v/>
      </c>
      <c r="O1561" s="1212" t="str">
        <f>IF( OR( ISBLANK(I1561),ISBLANK(J1561), ISBLANK(K1561), ISBLANK(L1561), ISBLANK(M1561) ), "", 1.5*SQRT( EXP(2.21*(I1561-1)) + EXP(2.21*(J1561-1)) + EXP(2.21*(K1561-1)) + EXP(2.21*(L1561-1)) + EXP(2.21*M1561)   )/100*2.45 )</f>
        <v/>
      </c>
    </row>
    <row r="1562" spans="8:15">
      <c r="H1562" s="1178"/>
      <c r="I1562" s="1178"/>
      <c r="J1562" s="1178"/>
      <c r="K1562" s="1178"/>
      <c r="L1562" s="1178"/>
      <c r="M1562" s="1178"/>
      <c r="N1562" s="1212" t="str">
        <f>IF( OR( ISBLANK(H1562),ISBLANK(J1562), ISBLANK(K1562), ISBLANK(L1562), ISBLANK(M1562) ), "", 1.5*SQRT(   EXP(2.21*(H1562-1)) + EXP(2.21*(J1562-1)) + EXP(2.21*(K1562-1)) + EXP(2.21*(L1562-1)) + EXP(2.21*M1562)   )/100*2.45 )</f>
        <v/>
      </c>
      <c r="O1562" s="1212" t="str">
        <f>IF( OR( ISBLANK(I1562),ISBLANK(J1562), ISBLANK(K1562), ISBLANK(L1562), ISBLANK(M1562) ), "", 1.5*SQRT( EXP(2.21*(I1562-1)) + EXP(2.21*(J1562-1)) + EXP(2.21*(K1562-1)) + EXP(2.21*(L1562-1)) + EXP(2.21*M1562)   )/100*2.45 )</f>
        <v/>
      </c>
    </row>
    <row r="1563" spans="8:15">
      <c r="H1563" s="1178"/>
      <c r="I1563" s="1178"/>
      <c r="J1563" s="1178"/>
      <c r="K1563" s="1178"/>
      <c r="L1563" s="1178"/>
      <c r="M1563" s="1178"/>
      <c r="N1563" s="1212" t="str">
        <f>IF( OR( ISBLANK(H1563),ISBLANK(J1563), ISBLANK(K1563), ISBLANK(L1563), ISBLANK(M1563) ), "", 1.5*SQRT(   EXP(2.21*(H1563-1)) + EXP(2.21*(J1563-1)) + EXP(2.21*(K1563-1)) + EXP(2.21*(L1563-1)) + EXP(2.21*M1563)   )/100*2.45 )</f>
        <v/>
      </c>
      <c r="O1563" s="1212" t="str">
        <f>IF( OR( ISBLANK(I1563),ISBLANK(J1563), ISBLANK(K1563), ISBLANK(L1563), ISBLANK(M1563) ), "", 1.5*SQRT( EXP(2.21*(I1563-1)) + EXP(2.21*(J1563-1)) + EXP(2.21*(K1563-1)) + EXP(2.21*(L1563-1)) + EXP(2.21*M1563)   )/100*2.45 )</f>
        <v/>
      </c>
    </row>
    <row r="1564" spans="8:15">
      <c r="H1564" s="1178"/>
      <c r="I1564" s="1178"/>
      <c r="J1564" s="1178"/>
      <c r="K1564" s="1178"/>
      <c r="L1564" s="1178"/>
      <c r="M1564" s="1178"/>
      <c r="N1564" s="1212" t="str">
        <f>IF( OR( ISBLANK(H1564),ISBLANK(J1564), ISBLANK(K1564), ISBLANK(L1564), ISBLANK(M1564) ), "", 1.5*SQRT(   EXP(2.21*(H1564-1)) + EXP(2.21*(J1564-1)) + EXP(2.21*(K1564-1)) + EXP(2.21*(L1564-1)) + EXP(2.21*M1564)   )/100*2.45 )</f>
        <v/>
      </c>
      <c r="O1564" s="1212" t="str">
        <f>IF( OR( ISBLANK(I1564),ISBLANK(J1564), ISBLANK(K1564), ISBLANK(L1564), ISBLANK(M1564) ), "", 1.5*SQRT( EXP(2.21*(I1564-1)) + EXP(2.21*(J1564-1)) + EXP(2.21*(K1564-1)) + EXP(2.21*(L1564-1)) + EXP(2.21*M1564)   )/100*2.45 )</f>
        <v/>
      </c>
    </row>
    <row r="1565" spans="8:15">
      <c r="H1565" s="1178"/>
      <c r="I1565" s="1178"/>
      <c r="J1565" s="1178"/>
      <c r="K1565" s="1178"/>
      <c r="L1565" s="1178"/>
      <c r="M1565" s="1178"/>
      <c r="N1565" s="1212" t="str">
        <f>IF( OR( ISBLANK(H1565),ISBLANK(J1565), ISBLANK(K1565), ISBLANK(L1565), ISBLANK(M1565) ), "", 1.5*SQRT(   EXP(2.21*(H1565-1)) + EXP(2.21*(J1565-1)) + EXP(2.21*(K1565-1)) + EXP(2.21*(L1565-1)) + EXP(2.21*M1565)   )/100*2.45 )</f>
        <v/>
      </c>
      <c r="O1565" s="1212" t="str">
        <f>IF( OR( ISBLANK(I1565),ISBLANK(J1565), ISBLANK(K1565), ISBLANK(L1565), ISBLANK(M1565) ), "", 1.5*SQRT( EXP(2.21*(I1565-1)) + EXP(2.21*(J1565-1)) + EXP(2.21*(K1565-1)) + EXP(2.21*(L1565-1)) + EXP(2.21*M1565)   )/100*2.45 )</f>
        <v/>
      </c>
    </row>
    <row r="1566" spans="8:15">
      <c r="H1566" s="1178"/>
      <c r="I1566" s="1178"/>
      <c r="J1566" s="1178"/>
      <c r="K1566" s="1178"/>
      <c r="L1566" s="1178"/>
      <c r="M1566" s="1178"/>
      <c r="N1566" s="1212" t="str">
        <f>IF( OR( ISBLANK(H1566),ISBLANK(J1566), ISBLANK(K1566), ISBLANK(L1566), ISBLANK(M1566) ), "", 1.5*SQRT(   EXP(2.21*(H1566-1)) + EXP(2.21*(J1566-1)) + EXP(2.21*(K1566-1)) + EXP(2.21*(L1566-1)) + EXP(2.21*M1566)   )/100*2.45 )</f>
        <v/>
      </c>
      <c r="O1566" s="1212" t="str">
        <f>IF( OR( ISBLANK(I1566),ISBLANK(J1566), ISBLANK(K1566), ISBLANK(L1566), ISBLANK(M1566) ), "", 1.5*SQRT( EXP(2.21*(I1566-1)) + EXP(2.21*(J1566-1)) + EXP(2.21*(K1566-1)) + EXP(2.21*(L1566-1)) + EXP(2.21*M1566)   )/100*2.45 )</f>
        <v/>
      </c>
    </row>
    <row r="1567" spans="8:15">
      <c r="H1567" s="1178"/>
      <c r="I1567" s="1178"/>
      <c r="J1567" s="1178"/>
      <c r="K1567" s="1178"/>
      <c r="L1567" s="1178"/>
      <c r="M1567" s="1178"/>
      <c r="N1567" s="1212" t="str">
        <f>IF( OR( ISBLANK(H1567),ISBLANK(J1567), ISBLANK(K1567), ISBLANK(L1567), ISBLANK(M1567) ), "", 1.5*SQRT(   EXP(2.21*(H1567-1)) + EXP(2.21*(J1567-1)) + EXP(2.21*(K1567-1)) + EXP(2.21*(L1567-1)) + EXP(2.21*M1567)   )/100*2.45 )</f>
        <v/>
      </c>
      <c r="O1567" s="1212" t="str">
        <f>IF( OR( ISBLANK(I1567),ISBLANK(J1567), ISBLANK(K1567), ISBLANK(L1567), ISBLANK(M1567) ), "", 1.5*SQRT( EXP(2.21*(I1567-1)) + EXP(2.21*(J1567-1)) + EXP(2.21*(K1567-1)) + EXP(2.21*(L1567-1)) + EXP(2.21*M1567)   )/100*2.45 )</f>
        <v/>
      </c>
    </row>
    <row r="1568" spans="8:15">
      <c r="H1568" s="1178"/>
      <c r="I1568" s="1178"/>
      <c r="J1568" s="1178"/>
      <c r="K1568" s="1178"/>
      <c r="L1568" s="1178"/>
      <c r="M1568" s="1178"/>
      <c r="N1568" s="1212" t="str">
        <f>IF( OR( ISBLANK(H1568),ISBLANK(J1568), ISBLANK(K1568), ISBLANK(L1568), ISBLANK(M1568) ), "", 1.5*SQRT(   EXP(2.21*(H1568-1)) + EXP(2.21*(J1568-1)) + EXP(2.21*(K1568-1)) + EXP(2.21*(L1568-1)) + EXP(2.21*M1568)   )/100*2.45 )</f>
        <v/>
      </c>
      <c r="O1568" s="1212" t="str">
        <f>IF( OR( ISBLANK(I1568),ISBLANK(J1568), ISBLANK(K1568), ISBLANK(L1568), ISBLANK(M1568) ), "", 1.5*SQRT( EXP(2.21*(I1568-1)) + EXP(2.21*(J1568-1)) + EXP(2.21*(K1568-1)) + EXP(2.21*(L1568-1)) + EXP(2.21*M1568)   )/100*2.45 )</f>
        <v/>
      </c>
    </row>
    <row r="1569" spans="8:15">
      <c r="H1569" s="1178"/>
      <c r="I1569" s="1178"/>
      <c r="J1569" s="1178"/>
      <c r="K1569" s="1178"/>
      <c r="L1569" s="1178"/>
      <c r="M1569" s="1178"/>
      <c r="N1569" s="1212" t="str">
        <f>IF( OR( ISBLANK(H1569),ISBLANK(J1569), ISBLANK(K1569), ISBLANK(L1569), ISBLANK(M1569) ), "", 1.5*SQRT(   EXP(2.21*(H1569-1)) + EXP(2.21*(J1569-1)) + EXP(2.21*(K1569-1)) + EXP(2.21*(L1569-1)) + EXP(2.21*M1569)   )/100*2.45 )</f>
        <v/>
      </c>
      <c r="O1569" s="1212" t="str">
        <f>IF( OR( ISBLANK(I1569),ISBLANK(J1569), ISBLANK(K1569), ISBLANK(L1569), ISBLANK(M1569) ), "", 1.5*SQRT( EXP(2.21*(I1569-1)) + EXP(2.21*(J1569-1)) + EXP(2.21*(K1569-1)) + EXP(2.21*(L1569-1)) + EXP(2.21*M1569)   )/100*2.45 )</f>
        <v/>
      </c>
    </row>
    <row r="1570" spans="8:15">
      <c r="H1570" s="1178"/>
      <c r="I1570" s="1178"/>
      <c r="J1570" s="1178"/>
      <c r="K1570" s="1178"/>
      <c r="L1570" s="1178"/>
      <c r="M1570" s="1178"/>
      <c r="N1570" s="1212" t="str">
        <f>IF( OR( ISBLANK(H1570),ISBLANK(J1570), ISBLANK(K1570), ISBLANK(L1570), ISBLANK(M1570) ), "", 1.5*SQRT(   EXP(2.21*(H1570-1)) + EXP(2.21*(J1570-1)) + EXP(2.21*(K1570-1)) + EXP(2.21*(L1570-1)) + EXP(2.21*M1570)   )/100*2.45 )</f>
        <v/>
      </c>
      <c r="O1570" s="1212" t="str">
        <f>IF( OR( ISBLANK(I1570),ISBLANK(J1570), ISBLANK(K1570), ISBLANK(L1570), ISBLANK(M1570) ), "", 1.5*SQRT( EXP(2.21*(I1570-1)) + EXP(2.21*(J1570-1)) + EXP(2.21*(K1570-1)) + EXP(2.21*(L1570-1)) + EXP(2.21*M1570)   )/100*2.45 )</f>
        <v/>
      </c>
    </row>
    <row r="1571" spans="8:15">
      <c r="H1571" s="1178"/>
      <c r="I1571" s="1178"/>
      <c r="J1571" s="1178"/>
      <c r="K1571" s="1178"/>
      <c r="L1571" s="1178"/>
      <c r="M1571" s="1178"/>
      <c r="N1571" s="1212" t="str">
        <f>IF( OR( ISBLANK(H1571),ISBLANK(J1571), ISBLANK(K1571), ISBLANK(L1571), ISBLANK(M1571) ), "", 1.5*SQRT(   EXP(2.21*(H1571-1)) + EXP(2.21*(J1571-1)) + EXP(2.21*(K1571-1)) + EXP(2.21*(L1571-1)) + EXP(2.21*M1571)   )/100*2.45 )</f>
        <v/>
      </c>
      <c r="O1571" s="1212" t="str">
        <f>IF( OR( ISBLANK(I1571),ISBLANK(J1571), ISBLANK(K1571), ISBLANK(L1571), ISBLANK(M1571) ), "", 1.5*SQRT( EXP(2.21*(I1571-1)) + EXP(2.21*(J1571-1)) + EXP(2.21*(K1571-1)) + EXP(2.21*(L1571-1)) + EXP(2.21*M1571)   )/100*2.45 )</f>
        <v/>
      </c>
    </row>
    <row r="1572" spans="8:15">
      <c r="H1572" s="1178"/>
      <c r="I1572" s="1178"/>
      <c r="J1572" s="1178"/>
      <c r="K1572" s="1178"/>
      <c r="L1572" s="1178"/>
      <c r="M1572" s="1178"/>
      <c r="N1572" s="1212" t="str">
        <f>IF( OR( ISBLANK(H1572),ISBLANK(J1572), ISBLANK(K1572), ISBLANK(L1572), ISBLANK(M1572) ), "", 1.5*SQRT(   EXP(2.21*(H1572-1)) + EXP(2.21*(J1572-1)) + EXP(2.21*(K1572-1)) + EXP(2.21*(L1572-1)) + EXP(2.21*M1572)   )/100*2.45 )</f>
        <v/>
      </c>
      <c r="O1572" s="1212" t="str">
        <f>IF( OR( ISBLANK(I1572),ISBLANK(J1572), ISBLANK(K1572), ISBLANK(L1572), ISBLANK(M1572) ), "", 1.5*SQRT( EXP(2.21*(I1572-1)) + EXP(2.21*(J1572-1)) + EXP(2.21*(K1572-1)) + EXP(2.21*(L1572-1)) + EXP(2.21*M1572)   )/100*2.45 )</f>
        <v/>
      </c>
    </row>
    <row r="1573" spans="8:15">
      <c r="H1573" s="1178"/>
      <c r="I1573" s="1178"/>
      <c r="J1573" s="1178"/>
      <c r="K1573" s="1178"/>
      <c r="L1573" s="1178"/>
      <c r="M1573" s="1178"/>
      <c r="N1573" s="1212" t="str">
        <f>IF( OR( ISBLANK(H1573),ISBLANK(J1573), ISBLANK(K1573), ISBLANK(L1573), ISBLANK(M1573) ), "", 1.5*SQRT(   EXP(2.21*(H1573-1)) + EXP(2.21*(J1573-1)) + EXP(2.21*(K1573-1)) + EXP(2.21*(L1573-1)) + EXP(2.21*M1573)   )/100*2.45 )</f>
        <v/>
      </c>
      <c r="O1573" s="1212" t="str">
        <f>IF( OR( ISBLANK(I1573),ISBLANK(J1573), ISBLANK(K1573), ISBLANK(L1573), ISBLANK(M1573) ), "", 1.5*SQRT( EXP(2.21*(I1573-1)) + EXP(2.21*(J1573-1)) + EXP(2.21*(K1573-1)) + EXP(2.21*(L1573-1)) + EXP(2.21*M1573)   )/100*2.45 )</f>
        <v/>
      </c>
    </row>
    <row r="1574" spans="8:15">
      <c r="H1574" s="1178"/>
      <c r="I1574" s="1178"/>
      <c r="J1574" s="1178"/>
      <c r="K1574" s="1178"/>
      <c r="L1574" s="1178"/>
      <c r="M1574" s="1178"/>
      <c r="N1574" s="1212" t="str">
        <f>IF( OR( ISBLANK(H1574),ISBLANK(J1574), ISBLANK(K1574), ISBLANK(L1574), ISBLANK(M1574) ), "", 1.5*SQRT(   EXP(2.21*(H1574-1)) + EXP(2.21*(J1574-1)) + EXP(2.21*(K1574-1)) + EXP(2.21*(L1574-1)) + EXP(2.21*M1574)   )/100*2.45 )</f>
        <v/>
      </c>
      <c r="O1574" s="1212" t="str">
        <f>IF( OR( ISBLANK(I1574),ISBLANK(J1574), ISBLANK(K1574), ISBLANK(L1574), ISBLANK(M1574) ), "", 1.5*SQRT( EXP(2.21*(I1574-1)) + EXP(2.21*(J1574-1)) + EXP(2.21*(K1574-1)) + EXP(2.21*(L1574-1)) + EXP(2.21*M1574)   )/100*2.45 )</f>
        <v/>
      </c>
    </row>
    <row r="1575" spans="8:15">
      <c r="H1575" s="1178"/>
      <c r="I1575" s="1178"/>
      <c r="J1575" s="1178"/>
      <c r="K1575" s="1178"/>
      <c r="L1575" s="1178"/>
      <c r="M1575" s="1178"/>
      <c r="N1575" s="1212" t="str">
        <f>IF( OR( ISBLANK(H1575),ISBLANK(J1575), ISBLANK(K1575), ISBLANK(L1575), ISBLANK(M1575) ), "", 1.5*SQRT(   EXP(2.21*(H1575-1)) + EXP(2.21*(J1575-1)) + EXP(2.21*(K1575-1)) + EXP(2.21*(L1575-1)) + EXP(2.21*M1575)   )/100*2.45 )</f>
        <v/>
      </c>
      <c r="O1575" s="1212" t="str">
        <f>IF( OR( ISBLANK(I1575),ISBLANK(J1575), ISBLANK(K1575), ISBLANK(L1575), ISBLANK(M1575) ), "", 1.5*SQRT( EXP(2.21*(I1575-1)) + EXP(2.21*(J1575-1)) + EXP(2.21*(K1575-1)) + EXP(2.21*(L1575-1)) + EXP(2.21*M1575)   )/100*2.45 )</f>
        <v/>
      </c>
    </row>
    <row r="1576" spans="8:15">
      <c r="H1576" s="1178"/>
      <c r="I1576" s="1178"/>
      <c r="J1576" s="1178"/>
      <c r="K1576" s="1178"/>
      <c r="L1576" s="1178"/>
      <c r="M1576" s="1178"/>
      <c r="N1576" s="1212" t="str">
        <f>IF( OR( ISBLANK(H1576),ISBLANK(J1576), ISBLANK(K1576), ISBLANK(L1576), ISBLANK(M1576) ), "", 1.5*SQRT(   EXP(2.21*(H1576-1)) + EXP(2.21*(J1576-1)) + EXP(2.21*(K1576-1)) + EXP(2.21*(L1576-1)) + EXP(2.21*M1576)   )/100*2.45 )</f>
        <v/>
      </c>
      <c r="O1576" s="1212" t="str">
        <f>IF( OR( ISBLANK(I1576),ISBLANK(J1576), ISBLANK(K1576), ISBLANK(L1576), ISBLANK(M1576) ), "", 1.5*SQRT( EXP(2.21*(I1576-1)) + EXP(2.21*(J1576-1)) + EXP(2.21*(K1576-1)) + EXP(2.21*(L1576-1)) + EXP(2.21*M1576)   )/100*2.45 )</f>
        <v/>
      </c>
    </row>
    <row r="1577" spans="8:15">
      <c r="H1577" s="1178"/>
      <c r="I1577" s="1178"/>
      <c r="J1577" s="1178"/>
      <c r="K1577" s="1178"/>
      <c r="L1577" s="1178"/>
      <c r="M1577" s="1178"/>
      <c r="N1577" s="1212" t="str">
        <f>IF( OR( ISBLANK(H1577),ISBLANK(J1577), ISBLANK(K1577), ISBLANK(L1577), ISBLANK(M1577) ), "", 1.5*SQRT(   EXP(2.21*(H1577-1)) + EXP(2.21*(J1577-1)) + EXP(2.21*(K1577-1)) + EXP(2.21*(L1577-1)) + EXP(2.21*M1577)   )/100*2.45 )</f>
        <v/>
      </c>
      <c r="O1577" s="1212" t="str">
        <f>IF( OR( ISBLANK(I1577),ISBLANK(J1577), ISBLANK(K1577), ISBLANK(L1577), ISBLANK(M1577) ), "", 1.5*SQRT( EXP(2.21*(I1577-1)) + EXP(2.21*(J1577-1)) + EXP(2.21*(K1577-1)) + EXP(2.21*(L1577-1)) + EXP(2.21*M1577)   )/100*2.45 )</f>
        <v/>
      </c>
    </row>
    <row r="1578" spans="8:15">
      <c r="H1578" s="1178"/>
      <c r="I1578" s="1178"/>
      <c r="J1578" s="1178"/>
      <c r="K1578" s="1178"/>
      <c r="L1578" s="1178"/>
      <c r="M1578" s="1178"/>
      <c r="N1578" s="1212" t="str">
        <f>IF( OR( ISBLANK(H1578),ISBLANK(J1578), ISBLANK(K1578), ISBLANK(L1578), ISBLANK(M1578) ), "", 1.5*SQRT(   EXP(2.21*(H1578-1)) + EXP(2.21*(J1578-1)) + EXP(2.21*(K1578-1)) + EXP(2.21*(L1578-1)) + EXP(2.21*M1578)   )/100*2.45 )</f>
        <v/>
      </c>
      <c r="O1578" s="1212" t="str">
        <f>IF( OR( ISBLANK(I1578),ISBLANK(J1578), ISBLANK(K1578), ISBLANK(L1578), ISBLANK(M1578) ), "", 1.5*SQRT( EXP(2.21*(I1578-1)) + EXP(2.21*(J1578-1)) + EXP(2.21*(K1578-1)) + EXP(2.21*(L1578-1)) + EXP(2.21*M1578)   )/100*2.45 )</f>
        <v/>
      </c>
    </row>
    <row r="1579" spans="8:15">
      <c r="H1579" s="1178"/>
      <c r="I1579" s="1178"/>
      <c r="J1579" s="1178"/>
      <c r="K1579" s="1178"/>
      <c r="L1579" s="1178"/>
      <c r="M1579" s="1178"/>
      <c r="N1579" s="1212" t="str">
        <f>IF( OR( ISBLANK(H1579),ISBLANK(J1579), ISBLANK(K1579), ISBLANK(L1579), ISBLANK(M1579) ), "", 1.5*SQRT(   EXP(2.21*(H1579-1)) + EXP(2.21*(J1579-1)) + EXP(2.21*(K1579-1)) + EXP(2.21*(L1579-1)) + EXP(2.21*M1579)   )/100*2.45 )</f>
        <v/>
      </c>
      <c r="O1579" s="1212" t="str">
        <f>IF( OR( ISBLANK(I1579),ISBLANK(J1579), ISBLANK(K1579), ISBLANK(L1579), ISBLANK(M1579) ), "", 1.5*SQRT( EXP(2.21*(I1579-1)) + EXP(2.21*(J1579-1)) + EXP(2.21*(K1579-1)) + EXP(2.21*(L1579-1)) + EXP(2.21*M1579)   )/100*2.45 )</f>
        <v/>
      </c>
    </row>
    <row r="1580" spans="8:15">
      <c r="H1580" s="1178"/>
      <c r="I1580" s="1178"/>
      <c r="J1580" s="1178"/>
      <c r="K1580" s="1178"/>
      <c r="L1580" s="1178"/>
      <c r="M1580" s="1178"/>
      <c r="N1580" s="1212" t="str">
        <f>IF( OR( ISBLANK(H1580),ISBLANK(J1580), ISBLANK(K1580), ISBLANK(L1580), ISBLANK(M1580) ), "", 1.5*SQRT(   EXP(2.21*(H1580-1)) + EXP(2.21*(J1580-1)) + EXP(2.21*(K1580-1)) + EXP(2.21*(L1580-1)) + EXP(2.21*M1580)   )/100*2.45 )</f>
        <v/>
      </c>
      <c r="O1580" s="1212" t="str">
        <f>IF( OR( ISBLANK(I1580),ISBLANK(J1580), ISBLANK(K1580), ISBLANK(L1580), ISBLANK(M1580) ), "", 1.5*SQRT( EXP(2.21*(I1580-1)) + EXP(2.21*(J1580-1)) + EXP(2.21*(K1580-1)) + EXP(2.21*(L1580-1)) + EXP(2.21*M1580)   )/100*2.45 )</f>
        <v/>
      </c>
    </row>
    <row r="1581" spans="8:15">
      <c r="H1581" s="1178"/>
      <c r="I1581" s="1178"/>
      <c r="J1581" s="1178"/>
      <c r="K1581" s="1178"/>
      <c r="L1581" s="1178"/>
      <c r="M1581" s="1178"/>
      <c r="N1581" s="1212" t="str">
        <f>IF( OR( ISBLANK(H1581),ISBLANK(J1581), ISBLANK(K1581), ISBLANK(L1581), ISBLANK(M1581) ), "", 1.5*SQRT(   EXP(2.21*(H1581-1)) + EXP(2.21*(J1581-1)) + EXP(2.21*(K1581-1)) + EXP(2.21*(L1581-1)) + EXP(2.21*M1581)   )/100*2.45 )</f>
        <v/>
      </c>
      <c r="O1581" s="1212" t="str">
        <f>IF( OR( ISBLANK(I1581),ISBLANK(J1581), ISBLANK(K1581), ISBLANK(L1581), ISBLANK(M1581) ), "", 1.5*SQRT( EXP(2.21*(I1581-1)) + EXP(2.21*(J1581-1)) + EXP(2.21*(K1581-1)) + EXP(2.21*(L1581-1)) + EXP(2.21*M1581)   )/100*2.45 )</f>
        <v/>
      </c>
    </row>
    <row r="1582" spans="8:15">
      <c r="H1582" s="1178"/>
      <c r="I1582" s="1178"/>
      <c r="J1582" s="1178"/>
      <c r="K1582" s="1178"/>
      <c r="L1582" s="1178"/>
      <c r="M1582" s="1178"/>
      <c r="N1582" s="1212" t="str">
        <f>IF( OR( ISBLANK(H1582),ISBLANK(J1582), ISBLANK(K1582), ISBLANK(L1582), ISBLANK(M1582) ), "", 1.5*SQRT(   EXP(2.21*(H1582-1)) + EXP(2.21*(J1582-1)) + EXP(2.21*(K1582-1)) + EXP(2.21*(L1582-1)) + EXP(2.21*M1582)   )/100*2.45 )</f>
        <v/>
      </c>
      <c r="O1582" s="1212" t="str">
        <f>IF( OR( ISBLANK(I1582),ISBLANK(J1582), ISBLANK(K1582), ISBLANK(L1582), ISBLANK(M1582) ), "", 1.5*SQRT( EXP(2.21*(I1582-1)) + EXP(2.21*(J1582-1)) + EXP(2.21*(K1582-1)) + EXP(2.21*(L1582-1)) + EXP(2.21*M1582)   )/100*2.45 )</f>
        <v/>
      </c>
    </row>
    <row r="1583" spans="8:15">
      <c r="H1583" s="1178"/>
      <c r="I1583" s="1178"/>
      <c r="J1583" s="1178"/>
      <c r="K1583" s="1178"/>
      <c r="L1583" s="1178"/>
      <c r="M1583" s="1178"/>
      <c r="N1583" s="1212" t="str">
        <f>IF( OR( ISBLANK(H1583),ISBLANK(J1583), ISBLANK(K1583), ISBLANK(L1583), ISBLANK(M1583) ), "", 1.5*SQRT(   EXP(2.21*(H1583-1)) + EXP(2.21*(J1583-1)) + EXP(2.21*(K1583-1)) + EXP(2.21*(L1583-1)) + EXP(2.21*M1583)   )/100*2.45 )</f>
        <v/>
      </c>
      <c r="O1583" s="1212" t="str">
        <f>IF( OR( ISBLANK(I1583),ISBLANK(J1583), ISBLANK(K1583), ISBLANK(L1583), ISBLANK(M1583) ), "", 1.5*SQRT( EXP(2.21*(I1583-1)) + EXP(2.21*(J1583-1)) + EXP(2.21*(K1583-1)) + EXP(2.21*(L1583-1)) + EXP(2.21*M1583)   )/100*2.45 )</f>
        <v/>
      </c>
    </row>
    <row r="1584" spans="8:15">
      <c r="H1584" s="1178"/>
      <c r="I1584" s="1178"/>
      <c r="J1584" s="1178"/>
      <c r="K1584" s="1178"/>
      <c r="L1584" s="1178"/>
      <c r="M1584" s="1178"/>
      <c r="N1584" s="1212" t="str">
        <f>IF( OR( ISBLANK(H1584),ISBLANK(J1584), ISBLANK(K1584), ISBLANK(L1584), ISBLANK(M1584) ), "", 1.5*SQRT(   EXP(2.21*(H1584-1)) + EXP(2.21*(J1584-1)) + EXP(2.21*(K1584-1)) + EXP(2.21*(L1584-1)) + EXP(2.21*M1584)   )/100*2.45 )</f>
        <v/>
      </c>
      <c r="O1584" s="1212" t="str">
        <f>IF( OR( ISBLANK(I1584),ISBLANK(J1584), ISBLANK(K1584), ISBLANK(L1584), ISBLANK(M1584) ), "", 1.5*SQRT( EXP(2.21*(I1584-1)) + EXP(2.21*(J1584-1)) + EXP(2.21*(K1584-1)) + EXP(2.21*(L1584-1)) + EXP(2.21*M1584)   )/100*2.45 )</f>
        <v/>
      </c>
    </row>
    <row r="1585" spans="8:15">
      <c r="H1585" s="1178"/>
      <c r="I1585" s="1178"/>
      <c r="J1585" s="1178"/>
      <c r="K1585" s="1178"/>
      <c r="L1585" s="1178"/>
      <c r="M1585" s="1178"/>
      <c r="N1585" s="1212" t="str">
        <f>IF( OR( ISBLANK(H1585),ISBLANK(J1585), ISBLANK(K1585), ISBLANK(L1585), ISBLANK(M1585) ), "", 1.5*SQRT(   EXP(2.21*(H1585-1)) + EXP(2.21*(J1585-1)) + EXP(2.21*(K1585-1)) + EXP(2.21*(L1585-1)) + EXP(2.21*M1585)   )/100*2.45 )</f>
        <v/>
      </c>
      <c r="O1585" s="1212" t="str">
        <f>IF( OR( ISBLANK(I1585),ISBLANK(J1585), ISBLANK(K1585), ISBLANK(L1585), ISBLANK(M1585) ), "", 1.5*SQRT( EXP(2.21*(I1585-1)) + EXP(2.21*(J1585-1)) + EXP(2.21*(K1585-1)) + EXP(2.21*(L1585-1)) + EXP(2.21*M1585)   )/100*2.45 )</f>
        <v/>
      </c>
    </row>
    <row r="1586" spans="8:15">
      <c r="H1586" s="1178"/>
      <c r="I1586" s="1178"/>
      <c r="J1586" s="1178"/>
      <c r="K1586" s="1178"/>
      <c r="L1586" s="1178"/>
      <c r="M1586" s="1178"/>
      <c r="N1586" s="1212" t="str">
        <f>IF( OR( ISBLANK(H1586),ISBLANK(J1586), ISBLANK(K1586), ISBLANK(L1586), ISBLANK(M1586) ), "", 1.5*SQRT(   EXP(2.21*(H1586-1)) + EXP(2.21*(J1586-1)) + EXP(2.21*(K1586-1)) + EXP(2.21*(L1586-1)) + EXP(2.21*M1586)   )/100*2.45 )</f>
        <v/>
      </c>
      <c r="O1586" s="1212" t="str">
        <f>IF( OR( ISBLANK(I1586),ISBLANK(J1586), ISBLANK(K1586), ISBLANK(L1586), ISBLANK(M1586) ), "", 1.5*SQRT( EXP(2.21*(I1586-1)) + EXP(2.21*(J1586-1)) + EXP(2.21*(K1586-1)) + EXP(2.21*(L1586-1)) + EXP(2.21*M1586)   )/100*2.45 )</f>
        <v/>
      </c>
    </row>
    <row r="1587" spans="8:15">
      <c r="H1587" s="1178"/>
      <c r="I1587" s="1178"/>
      <c r="J1587" s="1178"/>
      <c r="K1587" s="1178"/>
      <c r="L1587" s="1178"/>
      <c r="M1587" s="1178"/>
      <c r="N1587" s="1212" t="str">
        <f>IF( OR( ISBLANK(H1587),ISBLANK(J1587), ISBLANK(K1587), ISBLANK(L1587), ISBLANK(M1587) ), "", 1.5*SQRT(   EXP(2.21*(H1587-1)) + EXP(2.21*(J1587-1)) + EXP(2.21*(K1587-1)) + EXP(2.21*(L1587-1)) + EXP(2.21*M1587)   )/100*2.45 )</f>
        <v/>
      </c>
      <c r="O1587" s="1212" t="str">
        <f>IF( OR( ISBLANK(I1587),ISBLANK(J1587), ISBLANK(K1587), ISBLANK(L1587), ISBLANK(M1587) ), "", 1.5*SQRT( EXP(2.21*(I1587-1)) + EXP(2.21*(J1587-1)) + EXP(2.21*(K1587-1)) + EXP(2.21*(L1587-1)) + EXP(2.21*M1587)   )/100*2.45 )</f>
        <v/>
      </c>
    </row>
    <row r="1588" spans="8:15">
      <c r="H1588" s="1178"/>
      <c r="I1588" s="1178"/>
      <c r="J1588" s="1178"/>
      <c r="K1588" s="1178"/>
      <c r="L1588" s="1178"/>
      <c r="M1588" s="1178"/>
      <c r="N1588" s="1212" t="str">
        <f>IF( OR( ISBLANK(H1588),ISBLANK(J1588), ISBLANK(K1588), ISBLANK(L1588), ISBLANK(M1588) ), "", 1.5*SQRT(   EXP(2.21*(H1588-1)) + EXP(2.21*(J1588-1)) + EXP(2.21*(K1588-1)) + EXP(2.21*(L1588-1)) + EXP(2.21*M1588)   )/100*2.45 )</f>
        <v/>
      </c>
      <c r="O1588" s="1212" t="str">
        <f>IF( OR( ISBLANK(I1588),ISBLANK(J1588), ISBLANK(K1588), ISBLANK(L1588), ISBLANK(M1588) ), "", 1.5*SQRT( EXP(2.21*(I1588-1)) + EXP(2.21*(J1588-1)) + EXP(2.21*(K1588-1)) + EXP(2.21*(L1588-1)) + EXP(2.21*M1588)   )/100*2.45 )</f>
        <v/>
      </c>
    </row>
    <row r="1589" spans="8:15">
      <c r="H1589" s="1178"/>
      <c r="I1589" s="1178"/>
      <c r="J1589" s="1178"/>
      <c r="K1589" s="1178"/>
      <c r="L1589" s="1178"/>
      <c r="M1589" s="1178"/>
      <c r="N1589" s="1212" t="str">
        <f>IF( OR( ISBLANK(H1589),ISBLANK(J1589), ISBLANK(K1589), ISBLANK(L1589), ISBLANK(M1589) ), "", 1.5*SQRT(   EXP(2.21*(H1589-1)) + EXP(2.21*(J1589-1)) + EXP(2.21*(K1589-1)) + EXP(2.21*(L1589-1)) + EXP(2.21*M1589)   )/100*2.45 )</f>
        <v/>
      </c>
      <c r="O1589" s="1212" t="str">
        <f>IF( OR( ISBLANK(I1589),ISBLANK(J1589), ISBLANK(K1589), ISBLANK(L1589), ISBLANK(M1589) ), "", 1.5*SQRT( EXP(2.21*(I1589-1)) + EXP(2.21*(J1589-1)) + EXP(2.21*(K1589-1)) + EXP(2.21*(L1589-1)) + EXP(2.21*M1589)   )/100*2.45 )</f>
        <v/>
      </c>
    </row>
    <row r="1590" spans="8:15">
      <c r="H1590" s="1178"/>
      <c r="I1590" s="1178"/>
      <c r="J1590" s="1178"/>
      <c r="K1590" s="1178"/>
      <c r="L1590" s="1178"/>
      <c r="M1590" s="1178"/>
      <c r="N1590" s="1212" t="str">
        <f>IF( OR( ISBLANK(H1590),ISBLANK(J1590), ISBLANK(K1590), ISBLANK(L1590), ISBLANK(M1590) ), "", 1.5*SQRT(   EXP(2.21*(H1590-1)) + EXP(2.21*(J1590-1)) + EXP(2.21*(K1590-1)) + EXP(2.21*(L1590-1)) + EXP(2.21*M1590)   )/100*2.45 )</f>
        <v/>
      </c>
      <c r="O1590" s="1212" t="str">
        <f>IF( OR( ISBLANK(I1590),ISBLANK(J1590), ISBLANK(K1590), ISBLANK(L1590), ISBLANK(M1590) ), "", 1.5*SQRT( EXP(2.21*(I1590-1)) + EXP(2.21*(J1590-1)) + EXP(2.21*(K1590-1)) + EXP(2.21*(L1590-1)) + EXP(2.21*M1590)   )/100*2.45 )</f>
        <v/>
      </c>
    </row>
    <row r="1591" spans="8:15">
      <c r="H1591" s="1178"/>
      <c r="I1591" s="1178"/>
      <c r="J1591" s="1178"/>
      <c r="K1591" s="1178"/>
      <c r="L1591" s="1178"/>
      <c r="M1591" s="1178"/>
      <c r="N1591" s="1212" t="str">
        <f>IF( OR( ISBLANK(H1591),ISBLANK(J1591), ISBLANK(K1591), ISBLANK(L1591), ISBLANK(M1591) ), "", 1.5*SQRT(   EXP(2.21*(H1591-1)) + EXP(2.21*(J1591-1)) + EXP(2.21*(K1591-1)) + EXP(2.21*(L1591-1)) + EXP(2.21*M1591)   )/100*2.45 )</f>
        <v/>
      </c>
      <c r="O1591" s="1212" t="str">
        <f>IF( OR( ISBLANK(I1591),ISBLANK(J1591), ISBLANK(K1591), ISBLANK(L1591), ISBLANK(M1591) ), "", 1.5*SQRT( EXP(2.21*(I1591-1)) + EXP(2.21*(J1591-1)) + EXP(2.21*(K1591-1)) + EXP(2.21*(L1591-1)) + EXP(2.21*M1591)   )/100*2.45 )</f>
        <v/>
      </c>
    </row>
    <row r="1592" spans="8:15">
      <c r="H1592" s="1178"/>
      <c r="I1592" s="1178"/>
      <c r="J1592" s="1178"/>
      <c r="K1592" s="1178"/>
      <c r="L1592" s="1178"/>
      <c r="M1592" s="1178"/>
      <c r="N1592" s="1212" t="str">
        <f>IF( OR( ISBLANK(H1592),ISBLANK(J1592), ISBLANK(K1592), ISBLANK(L1592), ISBLANK(M1592) ), "", 1.5*SQRT(   EXP(2.21*(H1592-1)) + EXP(2.21*(J1592-1)) + EXP(2.21*(K1592-1)) + EXP(2.21*(L1592-1)) + EXP(2.21*M1592)   )/100*2.45 )</f>
        <v/>
      </c>
      <c r="O1592" s="1212" t="str">
        <f>IF( OR( ISBLANK(I1592),ISBLANK(J1592), ISBLANK(K1592), ISBLANK(L1592), ISBLANK(M1592) ), "", 1.5*SQRT( EXP(2.21*(I1592-1)) + EXP(2.21*(J1592-1)) + EXP(2.21*(K1592-1)) + EXP(2.21*(L1592-1)) + EXP(2.21*M1592)   )/100*2.45 )</f>
        <v/>
      </c>
    </row>
    <row r="1593" spans="8:15">
      <c r="H1593" s="1178"/>
      <c r="I1593" s="1178"/>
      <c r="J1593" s="1178"/>
      <c r="K1593" s="1178"/>
      <c r="L1593" s="1178"/>
      <c r="M1593" s="1178"/>
      <c r="N1593" s="1212" t="str">
        <f>IF( OR( ISBLANK(H1593),ISBLANK(J1593), ISBLANK(K1593), ISBLANK(L1593), ISBLANK(M1593) ), "", 1.5*SQRT(   EXP(2.21*(H1593-1)) + EXP(2.21*(J1593-1)) + EXP(2.21*(K1593-1)) + EXP(2.21*(L1593-1)) + EXP(2.21*M1593)   )/100*2.45 )</f>
        <v/>
      </c>
      <c r="O1593" s="1212" t="str">
        <f>IF( OR( ISBLANK(I1593),ISBLANK(J1593), ISBLANK(K1593), ISBLANK(L1593), ISBLANK(M1593) ), "", 1.5*SQRT( EXP(2.21*(I1593-1)) + EXP(2.21*(J1593-1)) + EXP(2.21*(K1593-1)) + EXP(2.21*(L1593-1)) + EXP(2.21*M1593)   )/100*2.45 )</f>
        <v/>
      </c>
    </row>
    <row r="1594" spans="8:15">
      <c r="H1594" s="1178"/>
      <c r="I1594" s="1178"/>
      <c r="J1594" s="1178"/>
      <c r="K1594" s="1178"/>
      <c r="L1594" s="1178"/>
      <c r="M1594" s="1178"/>
      <c r="N1594" s="1212" t="str">
        <f>IF( OR( ISBLANK(H1594),ISBLANK(J1594), ISBLANK(K1594), ISBLANK(L1594), ISBLANK(M1594) ), "", 1.5*SQRT(   EXP(2.21*(H1594-1)) + EXP(2.21*(J1594-1)) + EXP(2.21*(K1594-1)) + EXP(2.21*(L1594-1)) + EXP(2.21*M1594)   )/100*2.45 )</f>
        <v/>
      </c>
      <c r="O1594" s="1212" t="str">
        <f>IF( OR( ISBLANK(I1594),ISBLANK(J1594), ISBLANK(K1594), ISBLANK(L1594), ISBLANK(M1594) ), "", 1.5*SQRT( EXP(2.21*(I1594-1)) + EXP(2.21*(J1594-1)) + EXP(2.21*(K1594-1)) + EXP(2.21*(L1594-1)) + EXP(2.21*M1594)   )/100*2.45 )</f>
        <v/>
      </c>
    </row>
    <row r="1595" spans="8:15">
      <c r="H1595" s="1178"/>
      <c r="I1595" s="1178"/>
      <c r="J1595" s="1178"/>
      <c r="K1595" s="1178"/>
      <c r="L1595" s="1178"/>
      <c r="M1595" s="1178"/>
      <c r="N1595" s="1212" t="str">
        <f>IF( OR( ISBLANK(H1595),ISBLANK(J1595), ISBLANK(K1595), ISBLANK(L1595), ISBLANK(M1595) ), "", 1.5*SQRT(   EXP(2.21*(H1595-1)) + EXP(2.21*(J1595-1)) + EXP(2.21*(K1595-1)) + EXP(2.21*(L1595-1)) + EXP(2.21*M1595)   )/100*2.45 )</f>
        <v/>
      </c>
      <c r="O1595" s="1212" t="str">
        <f>IF( OR( ISBLANK(I1595),ISBLANK(J1595), ISBLANK(K1595), ISBLANK(L1595), ISBLANK(M1595) ), "", 1.5*SQRT( EXP(2.21*(I1595-1)) + EXP(2.21*(J1595-1)) + EXP(2.21*(K1595-1)) + EXP(2.21*(L1595-1)) + EXP(2.21*M1595)   )/100*2.45 )</f>
        <v/>
      </c>
    </row>
    <row r="1596" spans="8:15">
      <c r="H1596" s="1178"/>
      <c r="I1596" s="1178"/>
      <c r="J1596" s="1178"/>
      <c r="K1596" s="1178"/>
      <c r="L1596" s="1178"/>
      <c r="M1596" s="1178"/>
      <c r="N1596" s="1212" t="str">
        <f>IF( OR( ISBLANK(H1596),ISBLANK(J1596), ISBLANK(K1596), ISBLANK(L1596), ISBLANK(M1596) ), "", 1.5*SQRT(   EXP(2.21*(H1596-1)) + EXP(2.21*(J1596-1)) + EXP(2.21*(K1596-1)) + EXP(2.21*(L1596-1)) + EXP(2.21*M1596)   )/100*2.45 )</f>
        <v/>
      </c>
      <c r="O1596" s="1212" t="str">
        <f>IF( OR( ISBLANK(I1596),ISBLANK(J1596), ISBLANK(K1596), ISBLANK(L1596), ISBLANK(M1596) ), "", 1.5*SQRT( EXP(2.21*(I1596-1)) + EXP(2.21*(J1596-1)) + EXP(2.21*(K1596-1)) + EXP(2.21*(L1596-1)) + EXP(2.21*M1596)   )/100*2.45 )</f>
        <v/>
      </c>
    </row>
    <row r="1597" spans="8:15">
      <c r="H1597" s="1178"/>
      <c r="I1597" s="1178"/>
      <c r="J1597" s="1178"/>
      <c r="K1597" s="1178"/>
      <c r="L1597" s="1178"/>
      <c r="M1597" s="1178"/>
      <c r="N1597" s="1212" t="str">
        <f>IF( OR( ISBLANK(H1597),ISBLANK(J1597), ISBLANK(K1597), ISBLANK(L1597), ISBLANK(M1597) ), "", 1.5*SQRT(   EXP(2.21*(H1597-1)) + EXP(2.21*(J1597-1)) + EXP(2.21*(K1597-1)) + EXP(2.21*(L1597-1)) + EXP(2.21*M1597)   )/100*2.45 )</f>
        <v/>
      </c>
      <c r="O1597" s="1212" t="str">
        <f>IF( OR( ISBLANK(I1597),ISBLANK(J1597), ISBLANK(K1597), ISBLANK(L1597), ISBLANK(M1597) ), "", 1.5*SQRT( EXP(2.21*(I1597-1)) + EXP(2.21*(J1597-1)) + EXP(2.21*(K1597-1)) + EXP(2.21*(L1597-1)) + EXP(2.21*M1597)   )/100*2.45 )</f>
        <v/>
      </c>
    </row>
    <row r="1598" spans="8:15">
      <c r="H1598" s="1178"/>
      <c r="I1598" s="1178"/>
      <c r="J1598" s="1178"/>
      <c r="K1598" s="1178"/>
      <c r="L1598" s="1178"/>
      <c r="M1598" s="1178"/>
      <c r="N1598" s="1212" t="str">
        <f>IF( OR( ISBLANK(H1598),ISBLANK(J1598), ISBLANK(K1598), ISBLANK(L1598), ISBLANK(M1598) ), "", 1.5*SQRT(   EXP(2.21*(H1598-1)) + EXP(2.21*(J1598-1)) + EXP(2.21*(K1598-1)) + EXP(2.21*(L1598-1)) + EXP(2.21*M1598)   )/100*2.45 )</f>
        <v/>
      </c>
      <c r="O1598" s="1212" t="str">
        <f>IF( OR( ISBLANK(I1598),ISBLANK(J1598), ISBLANK(K1598), ISBLANK(L1598), ISBLANK(M1598) ), "", 1.5*SQRT( EXP(2.21*(I1598-1)) + EXP(2.21*(J1598-1)) + EXP(2.21*(K1598-1)) + EXP(2.21*(L1598-1)) + EXP(2.21*M1598)   )/100*2.45 )</f>
        <v/>
      </c>
    </row>
    <row r="1599" spans="8:15">
      <c r="H1599" s="1178"/>
      <c r="I1599" s="1178"/>
      <c r="J1599" s="1178"/>
      <c r="K1599" s="1178"/>
      <c r="L1599" s="1178"/>
      <c r="M1599" s="1178"/>
      <c r="N1599" s="1212" t="str">
        <f>IF( OR( ISBLANK(H1599),ISBLANK(J1599), ISBLANK(K1599), ISBLANK(L1599), ISBLANK(M1599) ), "", 1.5*SQRT(   EXP(2.21*(H1599-1)) + EXP(2.21*(J1599-1)) + EXP(2.21*(K1599-1)) + EXP(2.21*(L1599-1)) + EXP(2.21*M1599)   )/100*2.45 )</f>
        <v/>
      </c>
      <c r="O1599" s="1212" t="str">
        <f>IF( OR( ISBLANK(I1599),ISBLANK(J1599), ISBLANK(K1599), ISBLANK(L1599), ISBLANK(M1599) ), "", 1.5*SQRT( EXP(2.21*(I1599-1)) + EXP(2.21*(J1599-1)) + EXP(2.21*(K1599-1)) + EXP(2.21*(L1599-1)) + EXP(2.21*M1599)   )/100*2.45 )</f>
        <v/>
      </c>
    </row>
    <row r="1600" spans="8:15">
      <c r="H1600" s="1178"/>
      <c r="I1600" s="1178"/>
      <c r="J1600" s="1178"/>
      <c r="K1600" s="1178"/>
      <c r="L1600" s="1178"/>
      <c r="M1600" s="1178"/>
      <c r="N1600" s="1212" t="str">
        <f>IF( OR( ISBLANK(H1600),ISBLANK(J1600), ISBLANK(K1600), ISBLANK(L1600), ISBLANK(M1600) ), "", 1.5*SQRT(   EXP(2.21*(H1600-1)) + EXP(2.21*(J1600-1)) + EXP(2.21*(K1600-1)) + EXP(2.21*(L1600-1)) + EXP(2.21*M1600)   )/100*2.45 )</f>
        <v/>
      </c>
      <c r="O1600" s="1212" t="str">
        <f>IF( OR( ISBLANK(I1600),ISBLANK(J1600), ISBLANK(K1600), ISBLANK(L1600), ISBLANK(M1600) ), "", 1.5*SQRT( EXP(2.21*(I1600-1)) + EXP(2.21*(J1600-1)) + EXP(2.21*(K1600-1)) + EXP(2.21*(L1600-1)) + EXP(2.21*M1600)   )/100*2.45 )</f>
        <v/>
      </c>
    </row>
    <row r="1601" spans="8:15">
      <c r="H1601" s="1178"/>
      <c r="I1601" s="1178"/>
      <c r="J1601" s="1178"/>
      <c r="K1601" s="1178"/>
      <c r="L1601" s="1178"/>
      <c r="M1601" s="1178"/>
      <c r="N1601" s="1212" t="str">
        <f>IF( OR( ISBLANK(H1601),ISBLANK(J1601), ISBLANK(K1601), ISBLANK(L1601), ISBLANK(M1601) ), "", 1.5*SQRT(   EXP(2.21*(H1601-1)) + EXP(2.21*(J1601-1)) + EXP(2.21*(K1601-1)) + EXP(2.21*(L1601-1)) + EXP(2.21*M1601)   )/100*2.45 )</f>
        <v/>
      </c>
      <c r="O1601" s="1212" t="str">
        <f>IF( OR( ISBLANK(I1601),ISBLANK(J1601), ISBLANK(K1601), ISBLANK(L1601), ISBLANK(M1601) ), "", 1.5*SQRT( EXP(2.21*(I1601-1)) + EXP(2.21*(J1601-1)) + EXP(2.21*(K1601-1)) + EXP(2.21*(L1601-1)) + EXP(2.21*M1601)   )/100*2.45 )</f>
        <v/>
      </c>
    </row>
    <row r="1602" spans="8:15">
      <c r="H1602" s="1178"/>
      <c r="I1602" s="1178"/>
      <c r="J1602" s="1178"/>
      <c r="K1602" s="1178"/>
      <c r="L1602" s="1178"/>
      <c r="M1602" s="1178"/>
      <c r="N1602" s="1212" t="str">
        <f>IF( OR( ISBLANK(H1602),ISBLANK(J1602), ISBLANK(K1602), ISBLANK(L1602), ISBLANK(M1602) ), "", 1.5*SQRT(   EXP(2.21*(H1602-1)) + EXP(2.21*(J1602-1)) + EXP(2.21*(K1602-1)) + EXP(2.21*(L1602-1)) + EXP(2.21*M1602)   )/100*2.45 )</f>
        <v/>
      </c>
      <c r="O1602" s="1212" t="str">
        <f>IF( OR( ISBLANK(I1602),ISBLANK(J1602), ISBLANK(K1602), ISBLANK(L1602), ISBLANK(M1602) ), "", 1.5*SQRT( EXP(2.21*(I1602-1)) + EXP(2.21*(J1602-1)) + EXP(2.21*(K1602-1)) + EXP(2.21*(L1602-1)) + EXP(2.21*M1602)   )/100*2.45 )</f>
        <v/>
      </c>
    </row>
    <row r="1603" spans="8:15">
      <c r="H1603" s="1178"/>
      <c r="I1603" s="1178"/>
      <c r="J1603" s="1178"/>
      <c r="K1603" s="1178"/>
      <c r="L1603" s="1178"/>
      <c r="M1603" s="1178"/>
      <c r="N1603" s="1212" t="str">
        <f>IF( OR( ISBLANK(H1603),ISBLANK(J1603), ISBLANK(K1603), ISBLANK(L1603), ISBLANK(M1603) ), "", 1.5*SQRT(   EXP(2.21*(H1603-1)) + EXP(2.21*(J1603-1)) + EXP(2.21*(K1603-1)) + EXP(2.21*(L1603-1)) + EXP(2.21*M1603)   )/100*2.45 )</f>
        <v/>
      </c>
      <c r="O1603" s="1212" t="str">
        <f>IF( OR( ISBLANK(I1603),ISBLANK(J1603), ISBLANK(K1603), ISBLANK(L1603), ISBLANK(M1603) ), "", 1.5*SQRT( EXP(2.21*(I1603-1)) + EXP(2.21*(J1603-1)) + EXP(2.21*(K1603-1)) + EXP(2.21*(L1603-1)) + EXP(2.21*M1603)   )/100*2.45 )</f>
        <v/>
      </c>
    </row>
    <row r="1604" spans="8:15">
      <c r="H1604" s="1178"/>
      <c r="I1604" s="1178"/>
      <c r="J1604" s="1178"/>
      <c r="K1604" s="1178"/>
      <c r="L1604" s="1178"/>
      <c r="M1604" s="1178"/>
      <c r="N1604" s="1212" t="str">
        <f>IF( OR( ISBLANK(H1604),ISBLANK(J1604), ISBLANK(K1604), ISBLANK(L1604), ISBLANK(M1604) ), "", 1.5*SQRT(   EXP(2.21*(H1604-1)) + EXP(2.21*(J1604-1)) + EXP(2.21*(K1604-1)) + EXP(2.21*(L1604-1)) + EXP(2.21*M1604)   )/100*2.45 )</f>
        <v/>
      </c>
      <c r="O1604" s="1212" t="str">
        <f>IF( OR( ISBLANK(I1604),ISBLANK(J1604), ISBLANK(K1604), ISBLANK(L1604), ISBLANK(M1604) ), "", 1.5*SQRT( EXP(2.21*(I1604-1)) + EXP(2.21*(J1604-1)) + EXP(2.21*(K1604-1)) + EXP(2.21*(L1604-1)) + EXP(2.21*M1604)   )/100*2.45 )</f>
        <v/>
      </c>
    </row>
    <row r="1605" spans="8:15">
      <c r="H1605" s="1178"/>
      <c r="I1605" s="1178"/>
      <c r="J1605" s="1178"/>
      <c r="K1605" s="1178"/>
      <c r="L1605" s="1178"/>
      <c r="M1605" s="1178"/>
      <c r="N1605" s="1212" t="str">
        <f>IF( OR( ISBLANK(H1605),ISBLANK(J1605), ISBLANK(K1605), ISBLANK(L1605), ISBLANK(M1605) ), "", 1.5*SQRT(   EXP(2.21*(H1605-1)) + EXP(2.21*(J1605-1)) + EXP(2.21*(K1605-1)) + EXP(2.21*(L1605-1)) + EXP(2.21*M1605)   )/100*2.45 )</f>
        <v/>
      </c>
      <c r="O1605" s="1212" t="str">
        <f>IF( OR( ISBLANK(I1605),ISBLANK(J1605), ISBLANK(K1605), ISBLANK(L1605), ISBLANK(M1605) ), "", 1.5*SQRT( EXP(2.21*(I1605-1)) + EXP(2.21*(J1605-1)) + EXP(2.21*(K1605-1)) + EXP(2.21*(L1605-1)) + EXP(2.21*M1605)   )/100*2.45 )</f>
        <v/>
      </c>
    </row>
    <row r="1606" spans="8:15">
      <c r="H1606" s="1178"/>
      <c r="I1606" s="1178"/>
      <c r="J1606" s="1178"/>
      <c r="K1606" s="1178"/>
      <c r="L1606" s="1178"/>
      <c r="M1606" s="1178"/>
      <c r="N1606" s="1212" t="str">
        <f>IF( OR( ISBLANK(H1606),ISBLANK(J1606), ISBLANK(K1606), ISBLANK(L1606), ISBLANK(M1606) ), "", 1.5*SQRT(   EXP(2.21*(H1606-1)) + EXP(2.21*(J1606-1)) + EXP(2.21*(K1606-1)) + EXP(2.21*(L1606-1)) + EXP(2.21*M1606)   )/100*2.45 )</f>
        <v/>
      </c>
      <c r="O1606" s="1212" t="str">
        <f>IF( OR( ISBLANK(I1606),ISBLANK(J1606), ISBLANK(K1606), ISBLANK(L1606), ISBLANK(M1606) ), "", 1.5*SQRT( EXP(2.21*(I1606-1)) + EXP(2.21*(J1606-1)) + EXP(2.21*(K1606-1)) + EXP(2.21*(L1606-1)) + EXP(2.21*M1606)   )/100*2.45 )</f>
        <v/>
      </c>
    </row>
    <row r="1607" spans="8:15">
      <c r="H1607" s="1178"/>
      <c r="I1607" s="1178"/>
      <c r="J1607" s="1178"/>
      <c r="K1607" s="1178"/>
      <c r="L1607" s="1178"/>
      <c r="M1607" s="1178"/>
      <c r="N1607" s="1212" t="str">
        <f>IF( OR( ISBLANK(H1607),ISBLANK(J1607), ISBLANK(K1607), ISBLANK(L1607), ISBLANK(M1607) ), "", 1.5*SQRT(   EXP(2.21*(H1607-1)) + EXP(2.21*(J1607-1)) + EXP(2.21*(K1607-1)) + EXP(2.21*(L1607-1)) + EXP(2.21*M1607)   )/100*2.45 )</f>
        <v/>
      </c>
      <c r="O1607" s="1212" t="str">
        <f>IF( OR( ISBLANK(I1607),ISBLANK(J1607), ISBLANK(K1607), ISBLANK(L1607), ISBLANK(M1607) ), "", 1.5*SQRT( EXP(2.21*(I1607-1)) + EXP(2.21*(J1607-1)) + EXP(2.21*(K1607-1)) + EXP(2.21*(L1607-1)) + EXP(2.21*M1607)   )/100*2.45 )</f>
        <v/>
      </c>
    </row>
    <row r="1608" spans="8:15">
      <c r="H1608" s="1178"/>
      <c r="I1608" s="1178"/>
      <c r="J1608" s="1178"/>
      <c r="K1608" s="1178"/>
      <c r="L1608" s="1178"/>
      <c r="M1608" s="1178"/>
      <c r="N1608" s="1212" t="str">
        <f>IF( OR( ISBLANK(H1608),ISBLANK(J1608), ISBLANK(K1608), ISBLANK(L1608), ISBLANK(M1608) ), "", 1.5*SQRT(   EXP(2.21*(H1608-1)) + EXP(2.21*(J1608-1)) + EXP(2.21*(K1608-1)) + EXP(2.21*(L1608-1)) + EXP(2.21*M1608)   )/100*2.45 )</f>
        <v/>
      </c>
      <c r="O1608" s="1212" t="str">
        <f>IF( OR( ISBLANK(I1608),ISBLANK(J1608), ISBLANK(K1608), ISBLANK(L1608), ISBLANK(M1608) ), "", 1.5*SQRT( EXP(2.21*(I1608-1)) + EXP(2.21*(J1608-1)) + EXP(2.21*(K1608-1)) + EXP(2.21*(L1608-1)) + EXP(2.21*M1608)   )/100*2.45 )</f>
        <v/>
      </c>
    </row>
    <row r="1609" spans="8:15">
      <c r="H1609" s="1178"/>
      <c r="I1609" s="1178"/>
      <c r="J1609" s="1178"/>
      <c r="K1609" s="1178"/>
      <c r="L1609" s="1178"/>
      <c r="M1609" s="1178"/>
      <c r="N1609" s="1212" t="str">
        <f>IF( OR( ISBLANK(H1609),ISBLANK(J1609), ISBLANK(K1609), ISBLANK(L1609), ISBLANK(M1609) ), "", 1.5*SQRT(   EXP(2.21*(H1609-1)) + EXP(2.21*(J1609-1)) + EXP(2.21*(K1609-1)) + EXP(2.21*(L1609-1)) + EXP(2.21*M1609)   )/100*2.45 )</f>
        <v/>
      </c>
      <c r="O1609" s="1212" t="str">
        <f>IF( OR( ISBLANK(I1609),ISBLANK(J1609), ISBLANK(K1609), ISBLANK(L1609), ISBLANK(M1609) ), "", 1.5*SQRT( EXP(2.21*(I1609-1)) + EXP(2.21*(J1609-1)) + EXP(2.21*(K1609-1)) + EXP(2.21*(L1609-1)) + EXP(2.21*M1609)   )/100*2.45 )</f>
        <v/>
      </c>
    </row>
    <row r="1610" spans="8:15">
      <c r="H1610" s="1178"/>
      <c r="I1610" s="1178"/>
      <c r="J1610" s="1178"/>
      <c r="K1610" s="1178"/>
      <c r="L1610" s="1178"/>
      <c r="M1610" s="1178"/>
      <c r="N1610" s="1212" t="str">
        <f>IF( OR( ISBLANK(H1610),ISBLANK(J1610), ISBLANK(K1610), ISBLANK(L1610), ISBLANK(M1610) ), "", 1.5*SQRT(   EXP(2.21*(H1610-1)) + EXP(2.21*(J1610-1)) + EXP(2.21*(K1610-1)) + EXP(2.21*(L1610-1)) + EXP(2.21*M1610)   )/100*2.45 )</f>
        <v/>
      </c>
      <c r="O1610" s="1212" t="str">
        <f>IF( OR( ISBLANK(I1610),ISBLANK(J1610), ISBLANK(K1610), ISBLANK(L1610), ISBLANK(M1610) ), "", 1.5*SQRT( EXP(2.21*(I1610-1)) + EXP(2.21*(J1610-1)) + EXP(2.21*(K1610-1)) + EXP(2.21*(L1610-1)) + EXP(2.21*M1610)   )/100*2.45 )</f>
        <v/>
      </c>
    </row>
    <row r="1611" spans="8:15">
      <c r="H1611" s="1178"/>
      <c r="I1611" s="1178"/>
      <c r="J1611" s="1178"/>
      <c r="K1611" s="1178"/>
      <c r="L1611" s="1178"/>
      <c r="M1611" s="1178"/>
      <c r="N1611" s="1212" t="str">
        <f>IF( OR( ISBLANK(H1611),ISBLANK(J1611), ISBLANK(K1611), ISBLANK(L1611), ISBLANK(M1611) ), "", 1.5*SQRT(   EXP(2.21*(H1611-1)) + EXP(2.21*(J1611-1)) + EXP(2.21*(K1611-1)) + EXP(2.21*(L1611-1)) + EXP(2.21*M1611)   )/100*2.45 )</f>
        <v/>
      </c>
      <c r="O1611" s="1212" t="str">
        <f>IF( OR( ISBLANK(I1611),ISBLANK(J1611), ISBLANK(K1611), ISBLANK(L1611), ISBLANK(M1611) ), "", 1.5*SQRT( EXP(2.21*(I1611-1)) + EXP(2.21*(J1611-1)) + EXP(2.21*(K1611-1)) + EXP(2.21*(L1611-1)) + EXP(2.21*M1611)   )/100*2.45 )</f>
        <v/>
      </c>
    </row>
    <row r="1612" spans="8:15">
      <c r="H1612" s="1178"/>
      <c r="I1612" s="1178"/>
      <c r="J1612" s="1178"/>
      <c r="K1612" s="1178"/>
      <c r="L1612" s="1178"/>
      <c r="M1612" s="1178"/>
      <c r="N1612" s="1212" t="str">
        <f>IF( OR( ISBLANK(H1612),ISBLANK(J1612), ISBLANK(K1612), ISBLANK(L1612), ISBLANK(M1612) ), "", 1.5*SQRT(   EXP(2.21*(H1612-1)) + EXP(2.21*(J1612-1)) + EXP(2.21*(K1612-1)) + EXP(2.21*(L1612-1)) + EXP(2.21*M1612)   )/100*2.45 )</f>
        <v/>
      </c>
      <c r="O1612" s="1212" t="str">
        <f>IF( OR( ISBLANK(I1612),ISBLANK(J1612), ISBLANK(K1612), ISBLANK(L1612), ISBLANK(M1612) ), "", 1.5*SQRT( EXP(2.21*(I1612-1)) + EXP(2.21*(J1612-1)) + EXP(2.21*(K1612-1)) + EXP(2.21*(L1612-1)) + EXP(2.21*M1612)   )/100*2.45 )</f>
        <v/>
      </c>
    </row>
    <row r="1613" spans="8:15">
      <c r="H1613" s="1178"/>
      <c r="I1613" s="1178"/>
      <c r="J1613" s="1178"/>
      <c r="K1613" s="1178"/>
      <c r="L1613" s="1178"/>
      <c r="M1613" s="1178"/>
      <c r="N1613" s="1212" t="str">
        <f>IF( OR( ISBLANK(H1613),ISBLANK(J1613), ISBLANK(K1613), ISBLANK(L1613), ISBLANK(M1613) ), "", 1.5*SQRT(   EXP(2.21*(H1613-1)) + EXP(2.21*(J1613-1)) + EXP(2.21*(K1613-1)) + EXP(2.21*(L1613-1)) + EXP(2.21*M1613)   )/100*2.45 )</f>
        <v/>
      </c>
      <c r="O1613" s="1212" t="str">
        <f>IF( OR( ISBLANK(I1613),ISBLANK(J1613), ISBLANK(K1613), ISBLANK(L1613), ISBLANK(M1613) ), "", 1.5*SQRT( EXP(2.21*(I1613-1)) + EXP(2.21*(J1613-1)) + EXP(2.21*(K1613-1)) + EXP(2.21*(L1613-1)) + EXP(2.21*M1613)   )/100*2.45 )</f>
        <v/>
      </c>
    </row>
    <row r="1614" spans="8:15">
      <c r="H1614" s="1178"/>
      <c r="I1614" s="1178"/>
      <c r="J1614" s="1178"/>
      <c r="K1614" s="1178"/>
      <c r="L1614" s="1178"/>
      <c r="M1614" s="1178"/>
      <c r="N1614" s="1212" t="str">
        <f>IF( OR( ISBLANK(H1614),ISBLANK(J1614), ISBLANK(K1614), ISBLANK(L1614), ISBLANK(M1614) ), "", 1.5*SQRT(   EXP(2.21*(H1614-1)) + EXP(2.21*(J1614-1)) + EXP(2.21*(K1614-1)) + EXP(2.21*(L1614-1)) + EXP(2.21*M1614)   )/100*2.45 )</f>
        <v/>
      </c>
      <c r="O1614" s="1212" t="str">
        <f>IF( OR( ISBLANK(I1614),ISBLANK(J1614), ISBLANK(K1614), ISBLANK(L1614), ISBLANK(M1614) ), "", 1.5*SQRT( EXP(2.21*(I1614-1)) + EXP(2.21*(J1614-1)) + EXP(2.21*(K1614-1)) + EXP(2.21*(L1614-1)) + EXP(2.21*M1614)   )/100*2.45 )</f>
        <v/>
      </c>
    </row>
    <row r="1615" spans="8:15">
      <c r="H1615" s="1178"/>
      <c r="I1615" s="1178"/>
      <c r="J1615" s="1178"/>
      <c r="K1615" s="1178"/>
      <c r="L1615" s="1178"/>
      <c r="M1615" s="1178"/>
      <c r="N1615" s="1212" t="str">
        <f>IF( OR( ISBLANK(H1615),ISBLANK(J1615), ISBLANK(K1615), ISBLANK(L1615), ISBLANK(M1615) ), "", 1.5*SQRT(   EXP(2.21*(H1615-1)) + EXP(2.21*(J1615-1)) + EXP(2.21*(K1615-1)) + EXP(2.21*(L1615-1)) + EXP(2.21*M1615)   )/100*2.45 )</f>
        <v/>
      </c>
      <c r="O1615" s="1212" t="str">
        <f>IF( OR( ISBLANK(I1615),ISBLANK(J1615), ISBLANK(K1615), ISBLANK(L1615), ISBLANK(M1615) ), "", 1.5*SQRT( EXP(2.21*(I1615-1)) + EXP(2.21*(J1615-1)) + EXP(2.21*(K1615-1)) + EXP(2.21*(L1615-1)) + EXP(2.21*M1615)   )/100*2.45 )</f>
        <v/>
      </c>
    </row>
    <row r="1616" spans="8:15">
      <c r="H1616" s="1178"/>
      <c r="I1616" s="1178"/>
      <c r="J1616" s="1178"/>
      <c r="K1616" s="1178"/>
      <c r="L1616" s="1178"/>
      <c r="M1616" s="1178"/>
      <c r="N1616" s="1212" t="str">
        <f>IF( OR( ISBLANK(H1616),ISBLANK(J1616), ISBLANK(K1616), ISBLANK(L1616), ISBLANK(M1616) ), "", 1.5*SQRT(   EXP(2.21*(H1616-1)) + EXP(2.21*(J1616-1)) + EXP(2.21*(K1616-1)) + EXP(2.21*(L1616-1)) + EXP(2.21*M1616)   )/100*2.45 )</f>
        <v/>
      </c>
      <c r="O1616" s="1212" t="str">
        <f>IF( OR( ISBLANK(I1616),ISBLANK(J1616), ISBLANK(K1616), ISBLANK(L1616), ISBLANK(M1616) ), "", 1.5*SQRT( EXP(2.21*(I1616-1)) + EXP(2.21*(J1616-1)) + EXP(2.21*(K1616-1)) + EXP(2.21*(L1616-1)) + EXP(2.21*M1616)   )/100*2.45 )</f>
        <v/>
      </c>
    </row>
    <row r="1617" spans="8:15">
      <c r="H1617" s="1178"/>
      <c r="I1617" s="1178"/>
      <c r="J1617" s="1178"/>
      <c r="K1617" s="1178"/>
      <c r="L1617" s="1178"/>
      <c r="M1617" s="1178"/>
      <c r="N1617" s="1212" t="str">
        <f>IF( OR( ISBLANK(H1617),ISBLANK(J1617), ISBLANK(K1617), ISBLANK(L1617), ISBLANK(M1617) ), "", 1.5*SQRT(   EXP(2.21*(H1617-1)) + EXP(2.21*(J1617-1)) + EXP(2.21*(K1617-1)) + EXP(2.21*(L1617-1)) + EXP(2.21*M1617)   )/100*2.45 )</f>
        <v/>
      </c>
      <c r="O1617" s="1212" t="str">
        <f>IF( OR( ISBLANK(I1617),ISBLANK(J1617), ISBLANK(K1617), ISBLANK(L1617), ISBLANK(M1617) ), "", 1.5*SQRT( EXP(2.21*(I1617-1)) + EXP(2.21*(J1617-1)) + EXP(2.21*(K1617-1)) + EXP(2.21*(L1617-1)) + EXP(2.21*M1617)   )/100*2.45 )</f>
        <v/>
      </c>
    </row>
    <row r="1618" spans="8:15">
      <c r="H1618" s="1178"/>
      <c r="I1618" s="1178"/>
      <c r="J1618" s="1178"/>
      <c r="K1618" s="1178"/>
      <c r="L1618" s="1178"/>
      <c r="M1618" s="1178"/>
      <c r="N1618" s="1212" t="str">
        <f>IF( OR( ISBLANK(H1618),ISBLANK(J1618), ISBLANK(K1618), ISBLANK(L1618), ISBLANK(M1618) ), "", 1.5*SQRT(   EXP(2.21*(H1618-1)) + EXP(2.21*(J1618-1)) + EXP(2.21*(K1618-1)) + EXP(2.21*(L1618-1)) + EXP(2.21*M1618)   )/100*2.45 )</f>
        <v/>
      </c>
      <c r="O1618" s="1212" t="str">
        <f>IF( OR( ISBLANK(I1618),ISBLANK(J1618), ISBLANK(K1618), ISBLANK(L1618), ISBLANK(M1618) ), "", 1.5*SQRT( EXP(2.21*(I1618-1)) + EXP(2.21*(J1618-1)) + EXP(2.21*(K1618-1)) + EXP(2.21*(L1618-1)) + EXP(2.21*M1618)   )/100*2.45 )</f>
        <v/>
      </c>
    </row>
    <row r="1619" spans="8:15">
      <c r="H1619" s="1178"/>
      <c r="I1619" s="1178"/>
      <c r="J1619" s="1178"/>
      <c r="K1619" s="1178"/>
      <c r="L1619" s="1178"/>
      <c r="M1619" s="1178"/>
      <c r="N1619" s="1212" t="str">
        <f>IF( OR( ISBLANK(H1619),ISBLANK(J1619), ISBLANK(K1619), ISBLANK(L1619), ISBLANK(M1619) ), "", 1.5*SQRT(   EXP(2.21*(H1619-1)) + EXP(2.21*(J1619-1)) + EXP(2.21*(K1619-1)) + EXP(2.21*(L1619-1)) + EXP(2.21*M1619)   )/100*2.45 )</f>
        <v/>
      </c>
      <c r="O1619" s="1212" t="str">
        <f>IF( OR( ISBLANK(I1619),ISBLANK(J1619), ISBLANK(K1619), ISBLANK(L1619), ISBLANK(M1619) ), "", 1.5*SQRT( EXP(2.21*(I1619-1)) + EXP(2.21*(J1619-1)) + EXP(2.21*(K1619-1)) + EXP(2.21*(L1619-1)) + EXP(2.21*M1619)   )/100*2.45 )</f>
        <v/>
      </c>
    </row>
    <row r="1620" spans="8:15">
      <c r="H1620" s="1178"/>
      <c r="I1620" s="1178"/>
      <c r="J1620" s="1178"/>
      <c r="K1620" s="1178"/>
      <c r="L1620" s="1178"/>
      <c r="M1620" s="1178"/>
      <c r="N1620" s="1212" t="str">
        <f>IF( OR( ISBLANK(H1620),ISBLANK(J1620), ISBLANK(K1620), ISBLANK(L1620), ISBLANK(M1620) ), "", 1.5*SQRT(   EXP(2.21*(H1620-1)) + EXP(2.21*(J1620-1)) + EXP(2.21*(K1620-1)) + EXP(2.21*(L1620-1)) + EXP(2.21*M1620)   )/100*2.45 )</f>
        <v/>
      </c>
      <c r="O1620" s="1212" t="str">
        <f>IF( OR( ISBLANK(I1620),ISBLANK(J1620), ISBLANK(K1620), ISBLANK(L1620), ISBLANK(M1620) ), "", 1.5*SQRT( EXP(2.21*(I1620-1)) + EXP(2.21*(J1620-1)) + EXP(2.21*(K1620-1)) + EXP(2.21*(L1620-1)) + EXP(2.21*M1620)   )/100*2.45 )</f>
        <v/>
      </c>
    </row>
    <row r="1621" spans="8:15">
      <c r="H1621" s="1178"/>
      <c r="I1621" s="1178"/>
      <c r="J1621" s="1178"/>
      <c r="K1621" s="1178"/>
      <c r="L1621" s="1178"/>
      <c r="M1621" s="1178"/>
      <c r="N1621" s="1212" t="str">
        <f>IF( OR( ISBLANK(H1621),ISBLANK(J1621), ISBLANK(K1621), ISBLANK(L1621), ISBLANK(M1621) ), "", 1.5*SQRT(   EXP(2.21*(H1621-1)) + EXP(2.21*(J1621-1)) + EXP(2.21*(K1621-1)) + EXP(2.21*(L1621-1)) + EXP(2.21*M1621)   )/100*2.45 )</f>
        <v/>
      </c>
      <c r="O1621" s="1212" t="str">
        <f>IF( OR( ISBLANK(I1621),ISBLANK(J1621), ISBLANK(K1621), ISBLANK(L1621), ISBLANK(M1621) ), "", 1.5*SQRT( EXP(2.21*(I1621-1)) + EXP(2.21*(J1621-1)) + EXP(2.21*(K1621-1)) + EXP(2.21*(L1621-1)) + EXP(2.21*M1621)   )/100*2.45 )</f>
        <v/>
      </c>
    </row>
    <row r="1622" spans="8:15">
      <c r="H1622" s="1178"/>
      <c r="I1622" s="1178"/>
      <c r="J1622" s="1178"/>
      <c r="K1622" s="1178"/>
      <c r="L1622" s="1178"/>
      <c r="M1622" s="1178"/>
      <c r="N1622" s="1212" t="str">
        <f>IF( OR( ISBLANK(H1622),ISBLANK(J1622), ISBLANK(K1622), ISBLANK(L1622), ISBLANK(M1622) ), "", 1.5*SQRT(   EXP(2.21*(H1622-1)) + EXP(2.21*(J1622-1)) + EXP(2.21*(K1622-1)) + EXP(2.21*(L1622-1)) + EXP(2.21*M1622)   )/100*2.45 )</f>
        <v/>
      </c>
      <c r="O1622" s="1212" t="str">
        <f>IF( OR( ISBLANK(I1622),ISBLANK(J1622), ISBLANK(K1622), ISBLANK(L1622), ISBLANK(M1622) ), "", 1.5*SQRT( EXP(2.21*(I1622-1)) + EXP(2.21*(J1622-1)) + EXP(2.21*(K1622-1)) + EXP(2.21*(L1622-1)) + EXP(2.21*M1622)   )/100*2.45 )</f>
        <v/>
      </c>
    </row>
    <row r="1623" spans="8:15">
      <c r="H1623" s="1178"/>
      <c r="I1623" s="1178"/>
      <c r="J1623" s="1178"/>
      <c r="K1623" s="1178"/>
      <c r="L1623" s="1178"/>
      <c r="M1623" s="1178"/>
      <c r="N1623" s="1212" t="str">
        <f>IF( OR( ISBLANK(H1623),ISBLANK(J1623), ISBLANK(K1623), ISBLANK(L1623), ISBLANK(M1623) ), "", 1.5*SQRT(   EXP(2.21*(H1623-1)) + EXP(2.21*(J1623-1)) + EXP(2.21*(K1623-1)) + EXP(2.21*(L1623-1)) + EXP(2.21*M1623)   )/100*2.45 )</f>
        <v/>
      </c>
      <c r="O1623" s="1212" t="str">
        <f>IF( OR( ISBLANK(I1623),ISBLANK(J1623), ISBLANK(K1623), ISBLANK(L1623), ISBLANK(M1623) ), "", 1.5*SQRT( EXP(2.21*(I1623-1)) + EXP(2.21*(J1623-1)) + EXP(2.21*(K1623-1)) + EXP(2.21*(L1623-1)) + EXP(2.21*M1623)   )/100*2.45 )</f>
        <v/>
      </c>
    </row>
    <row r="1624" spans="8:15">
      <c r="H1624" s="1178"/>
      <c r="I1624" s="1178"/>
      <c r="J1624" s="1178"/>
      <c r="K1624" s="1178"/>
      <c r="L1624" s="1178"/>
      <c r="M1624" s="1178"/>
      <c r="N1624" s="1212" t="str">
        <f>IF( OR( ISBLANK(H1624),ISBLANK(J1624), ISBLANK(K1624), ISBLANK(L1624), ISBLANK(M1624) ), "", 1.5*SQRT(   EXP(2.21*(H1624-1)) + EXP(2.21*(J1624-1)) + EXP(2.21*(K1624-1)) + EXP(2.21*(L1624-1)) + EXP(2.21*M1624)   )/100*2.45 )</f>
        <v/>
      </c>
      <c r="O1624" s="1212" t="str">
        <f>IF( OR( ISBLANK(I1624),ISBLANK(J1624), ISBLANK(K1624), ISBLANK(L1624), ISBLANK(M1624) ), "", 1.5*SQRT( EXP(2.21*(I1624-1)) + EXP(2.21*(J1624-1)) + EXP(2.21*(K1624-1)) + EXP(2.21*(L1624-1)) + EXP(2.21*M1624)   )/100*2.45 )</f>
        <v/>
      </c>
    </row>
    <row r="1625" spans="8:15">
      <c r="H1625" s="1178"/>
      <c r="I1625" s="1178"/>
      <c r="J1625" s="1178"/>
      <c r="K1625" s="1178"/>
      <c r="L1625" s="1178"/>
      <c r="M1625" s="1178"/>
      <c r="N1625" s="1212" t="str">
        <f>IF( OR( ISBLANK(H1625),ISBLANK(J1625), ISBLANK(K1625), ISBLANK(L1625), ISBLANK(M1625) ), "", 1.5*SQRT(   EXP(2.21*(H1625-1)) + EXP(2.21*(J1625-1)) + EXP(2.21*(K1625-1)) + EXP(2.21*(L1625-1)) + EXP(2.21*M1625)   )/100*2.45 )</f>
        <v/>
      </c>
      <c r="O1625" s="1212" t="str">
        <f>IF( OR( ISBLANK(I1625),ISBLANK(J1625), ISBLANK(K1625), ISBLANK(L1625), ISBLANK(M1625) ), "", 1.5*SQRT( EXP(2.21*(I1625-1)) + EXP(2.21*(J1625-1)) + EXP(2.21*(K1625-1)) + EXP(2.21*(L1625-1)) + EXP(2.21*M1625)   )/100*2.45 )</f>
        <v/>
      </c>
    </row>
    <row r="1626" spans="8:15">
      <c r="H1626" s="1178"/>
      <c r="I1626" s="1178"/>
      <c r="J1626" s="1178"/>
      <c r="K1626" s="1178"/>
      <c r="L1626" s="1178"/>
      <c r="M1626" s="1178"/>
      <c r="N1626" s="1212" t="str">
        <f>IF( OR( ISBLANK(H1626),ISBLANK(J1626), ISBLANK(K1626), ISBLANK(L1626), ISBLANK(M1626) ), "", 1.5*SQRT(   EXP(2.21*(H1626-1)) + EXP(2.21*(J1626-1)) + EXP(2.21*(K1626-1)) + EXP(2.21*(L1626-1)) + EXP(2.21*M1626)   )/100*2.45 )</f>
        <v/>
      </c>
      <c r="O1626" s="1212" t="str">
        <f>IF( OR( ISBLANK(I1626),ISBLANK(J1626), ISBLANK(K1626), ISBLANK(L1626), ISBLANK(M1626) ), "", 1.5*SQRT( EXP(2.21*(I1626-1)) + EXP(2.21*(J1626-1)) + EXP(2.21*(K1626-1)) + EXP(2.21*(L1626-1)) + EXP(2.21*M1626)   )/100*2.45 )</f>
        <v/>
      </c>
    </row>
    <row r="1627" spans="8:15">
      <c r="H1627" s="1178"/>
      <c r="I1627" s="1178"/>
      <c r="J1627" s="1178"/>
      <c r="K1627" s="1178"/>
      <c r="L1627" s="1178"/>
      <c r="M1627" s="1178"/>
      <c r="N1627" s="1212" t="str">
        <f>IF( OR( ISBLANK(H1627),ISBLANK(J1627), ISBLANK(K1627), ISBLANK(L1627), ISBLANK(M1627) ), "", 1.5*SQRT(   EXP(2.21*(H1627-1)) + EXP(2.21*(J1627-1)) + EXP(2.21*(K1627-1)) + EXP(2.21*(L1627-1)) + EXP(2.21*M1627)   )/100*2.45 )</f>
        <v/>
      </c>
      <c r="O1627" s="1212" t="str">
        <f>IF( OR( ISBLANK(I1627),ISBLANK(J1627), ISBLANK(K1627), ISBLANK(L1627), ISBLANK(M1627) ), "", 1.5*SQRT( EXP(2.21*(I1627-1)) + EXP(2.21*(J1627-1)) + EXP(2.21*(K1627-1)) + EXP(2.21*(L1627-1)) + EXP(2.21*M1627)   )/100*2.45 )</f>
        <v/>
      </c>
    </row>
    <row r="1628" spans="8:15">
      <c r="H1628" s="1178"/>
      <c r="I1628" s="1178"/>
      <c r="J1628" s="1178"/>
      <c r="K1628" s="1178"/>
      <c r="L1628" s="1178"/>
      <c r="M1628" s="1178"/>
      <c r="N1628" s="1212" t="str">
        <f>IF( OR( ISBLANK(H1628),ISBLANK(J1628), ISBLANK(K1628), ISBLANK(L1628), ISBLANK(M1628) ), "", 1.5*SQRT(   EXP(2.21*(H1628-1)) + EXP(2.21*(J1628-1)) + EXP(2.21*(K1628-1)) + EXP(2.21*(L1628-1)) + EXP(2.21*M1628)   )/100*2.45 )</f>
        <v/>
      </c>
      <c r="O1628" s="1212" t="str">
        <f>IF( OR( ISBLANK(I1628),ISBLANK(J1628), ISBLANK(K1628), ISBLANK(L1628), ISBLANK(M1628) ), "", 1.5*SQRT( EXP(2.21*(I1628-1)) + EXP(2.21*(J1628-1)) + EXP(2.21*(K1628-1)) + EXP(2.21*(L1628-1)) + EXP(2.21*M1628)   )/100*2.45 )</f>
        <v/>
      </c>
    </row>
    <row r="1629" spans="8:15">
      <c r="H1629" s="1178"/>
      <c r="I1629" s="1178"/>
      <c r="J1629" s="1178"/>
      <c r="K1629" s="1178"/>
      <c r="L1629" s="1178"/>
      <c r="M1629" s="1178"/>
      <c r="N1629" s="1212" t="str">
        <f>IF( OR( ISBLANK(H1629),ISBLANK(J1629), ISBLANK(K1629), ISBLANK(L1629), ISBLANK(M1629) ), "", 1.5*SQRT(   EXP(2.21*(H1629-1)) + EXP(2.21*(J1629-1)) + EXP(2.21*(K1629-1)) + EXP(2.21*(L1629-1)) + EXP(2.21*M1629)   )/100*2.45 )</f>
        <v/>
      </c>
      <c r="O1629" s="1212" t="str">
        <f>IF( OR( ISBLANK(I1629),ISBLANK(J1629), ISBLANK(K1629), ISBLANK(L1629), ISBLANK(M1629) ), "", 1.5*SQRT( EXP(2.21*(I1629-1)) + EXP(2.21*(J1629-1)) + EXP(2.21*(K1629-1)) + EXP(2.21*(L1629-1)) + EXP(2.21*M1629)   )/100*2.45 )</f>
        <v/>
      </c>
    </row>
    <row r="1630" spans="8:15">
      <c r="H1630" s="1178"/>
      <c r="I1630" s="1178"/>
      <c r="J1630" s="1178"/>
      <c r="K1630" s="1178"/>
      <c r="L1630" s="1178"/>
      <c r="M1630" s="1178"/>
      <c r="N1630" s="1212" t="str">
        <f>IF( OR( ISBLANK(H1630),ISBLANK(J1630), ISBLANK(K1630), ISBLANK(L1630), ISBLANK(M1630) ), "", 1.5*SQRT(   EXP(2.21*(H1630-1)) + EXP(2.21*(J1630-1)) + EXP(2.21*(K1630-1)) + EXP(2.21*(L1630-1)) + EXP(2.21*M1630)   )/100*2.45 )</f>
        <v/>
      </c>
      <c r="O1630" s="1212" t="str">
        <f>IF( OR( ISBLANK(I1630),ISBLANK(J1630), ISBLANK(K1630), ISBLANK(L1630), ISBLANK(M1630) ), "", 1.5*SQRT( EXP(2.21*(I1630-1)) + EXP(2.21*(J1630-1)) + EXP(2.21*(K1630-1)) + EXP(2.21*(L1630-1)) + EXP(2.21*M1630)   )/100*2.45 )</f>
        <v/>
      </c>
    </row>
    <row r="1631" spans="8:15">
      <c r="H1631" s="1178"/>
      <c r="I1631" s="1178"/>
      <c r="J1631" s="1178"/>
      <c r="K1631" s="1178"/>
      <c r="L1631" s="1178"/>
      <c r="M1631" s="1178"/>
      <c r="N1631" s="1212" t="str">
        <f>IF( OR( ISBLANK(H1631),ISBLANK(J1631), ISBLANK(K1631), ISBLANK(L1631), ISBLANK(M1631) ), "", 1.5*SQRT(   EXP(2.21*(H1631-1)) + EXP(2.21*(J1631-1)) + EXP(2.21*(K1631-1)) + EXP(2.21*(L1631-1)) + EXP(2.21*M1631)   )/100*2.45 )</f>
        <v/>
      </c>
      <c r="O1631" s="1212" t="str">
        <f>IF( OR( ISBLANK(I1631),ISBLANK(J1631), ISBLANK(K1631), ISBLANK(L1631), ISBLANK(M1631) ), "", 1.5*SQRT( EXP(2.21*(I1631-1)) + EXP(2.21*(J1631-1)) + EXP(2.21*(K1631-1)) + EXP(2.21*(L1631-1)) + EXP(2.21*M1631)   )/100*2.45 )</f>
        <v/>
      </c>
    </row>
    <row r="1632" spans="8:15">
      <c r="H1632" s="1178"/>
      <c r="I1632" s="1178"/>
      <c r="J1632" s="1178"/>
      <c r="K1632" s="1178"/>
      <c r="L1632" s="1178"/>
      <c r="M1632" s="1178"/>
      <c r="N1632" s="1212" t="str">
        <f>IF( OR( ISBLANK(H1632),ISBLANK(J1632), ISBLANK(K1632), ISBLANK(L1632), ISBLANK(M1632) ), "", 1.5*SQRT(   EXP(2.21*(H1632-1)) + EXP(2.21*(J1632-1)) + EXP(2.21*(K1632-1)) + EXP(2.21*(L1632-1)) + EXP(2.21*M1632)   )/100*2.45 )</f>
        <v/>
      </c>
      <c r="O1632" s="1212" t="str">
        <f>IF( OR( ISBLANK(I1632),ISBLANK(J1632), ISBLANK(K1632), ISBLANK(L1632), ISBLANK(M1632) ), "", 1.5*SQRT( EXP(2.21*(I1632-1)) + EXP(2.21*(J1632-1)) + EXP(2.21*(K1632-1)) + EXP(2.21*(L1632-1)) + EXP(2.21*M1632)   )/100*2.45 )</f>
        <v/>
      </c>
    </row>
    <row r="1633" spans="8:15">
      <c r="H1633" s="1178"/>
      <c r="I1633" s="1178"/>
      <c r="J1633" s="1178"/>
      <c r="K1633" s="1178"/>
      <c r="L1633" s="1178"/>
      <c r="M1633" s="1178"/>
      <c r="N1633" s="1212" t="str">
        <f>IF( OR( ISBLANK(H1633),ISBLANK(J1633), ISBLANK(K1633), ISBLANK(L1633), ISBLANK(M1633) ), "", 1.5*SQRT(   EXP(2.21*(H1633-1)) + EXP(2.21*(J1633-1)) + EXP(2.21*(K1633-1)) + EXP(2.21*(L1633-1)) + EXP(2.21*M1633)   )/100*2.45 )</f>
        <v/>
      </c>
      <c r="O1633" s="1212" t="str">
        <f>IF( OR( ISBLANK(I1633),ISBLANK(J1633), ISBLANK(K1633), ISBLANK(L1633), ISBLANK(M1633) ), "", 1.5*SQRT( EXP(2.21*(I1633-1)) + EXP(2.21*(J1633-1)) + EXP(2.21*(K1633-1)) + EXP(2.21*(L1633-1)) + EXP(2.21*M1633)   )/100*2.45 )</f>
        <v/>
      </c>
    </row>
    <row r="1634" spans="8:15">
      <c r="H1634" s="1178"/>
      <c r="I1634" s="1178"/>
      <c r="J1634" s="1178"/>
      <c r="K1634" s="1178"/>
      <c r="L1634" s="1178"/>
      <c r="M1634" s="1178"/>
      <c r="N1634" s="1212" t="str">
        <f>IF( OR( ISBLANK(H1634),ISBLANK(J1634), ISBLANK(K1634), ISBLANK(L1634), ISBLANK(M1634) ), "", 1.5*SQRT(   EXP(2.21*(H1634-1)) + EXP(2.21*(J1634-1)) + EXP(2.21*(K1634-1)) + EXP(2.21*(L1634-1)) + EXP(2.21*M1634)   )/100*2.45 )</f>
        <v/>
      </c>
      <c r="O1634" s="1212" t="str">
        <f>IF( OR( ISBLANK(I1634),ISBLANK(J1634), ISBLANK(K1634), ISBLANK(L1634), ISBLANK(M1634) ), "", 1.5*SQRT( EXP(2.21*(I1634-1)) + EXP(2.21*(J1634-1)) + EXP(2.21*(K1634-1)) + EXP(2.21*(L1634-1)) + EXP(2.21*M1634)   )/100*2.45 )</f>
        <v/>
      </c>
    </row>
    <row r="1635" spans="8:15">
      <c r="H1635" s="1178"/>
      <c r="I1635" s="1178"/>
      <c r="J1635" s="1178"/>
      <c r="K1635" s="1178"/>
      <c r="L1635" s="1178"/>
      <c r="M1635" s="1178"/>
      <c r="N1635" s="1212" t="str">
        <f>IF( OR( ISBLANK(H1635),ISBLANK(J1635), ISBLANK(K1635), ISBLANK(L1635), ISBLANK(M1635) ), "", 1.5*SQRT(   EXP(2.21*(H1635-1)) + EXP(2.21*(J1635-1)) + EXP(2.21*(K1635-1)) + EXP(2.21*(L1635-1)) + EXP(2.21*M1635)   )/100*2.45 )</f>
        <v/>
      </c>
      <c r="O1635" s="1212" t="str">
        <f>IF( OR( ISBLANK(I1635),ISBLANK(J1635), ISBLANK(K1635), ISBLANK(L1635), ISBLANK(M1635) ), "", 1.5*SQRT( EXP(2.21*(I1635-1)) + EXP(2.21*(J1635-1)) + EXP(2.21*(K1635-1)) + EXP(2.21*(L1635-1)) + EXP(2.21*M1635)   )/100*2.45 )</f>
        <v/>
      </c>
    </row>
    <row r="1636" spans="8:15">
      <c r="H1636" s="1178"/>
      <c r="I1636" s="1178"/>
      <c r="J1636" s="1178"/>
      <c r="K1636" s="1178"/>
      <c r="L1636" s="1178"/>
      <c r="M1636" s="1178"/>
      <c r="N1636" s="1212" t="str">
        <f>IF( OR( ISBLANK(H1636),ISBLANK(J1636), ISBLANK(K1636), ISBLANK(L1636), ISBLANK(M1636) ), "", 1.5*SQRT(   EXP(2.21*(H1636-1)) + EXP(2.21*(J1636-1)) + EXP(2.21*(K1636-1)) + EXP(2.21*(L1636-1)) + EXP(2.21*M1636)   )/100*2.45 )</f>
        <v/>
      </c>
      <c r="O1636" s="1212" t="str">
        <f>IF( OR( ISBLANK(I1636),ISBLANK(J1636), ISBLANK(K1636), ISBLANK(L1636), ISBLANK(M1636) ), "", 1.5*SQRT( EXP(2.21*(I1636-1)) + EXP(2.21*(J1636-1)) + EXP(2.21*(K1636-1)) + EXP(2.21*(L1636-1)) + EXP(2.21*M1636)   )/100*2.45 )</f>
        <v/>
      </c>
    </row>
    <row r="1637" spans="8:15">
      <c r="H1637" s="1178"/>
      <c r="I1637" s="1178"/>
      <c r="J1637" s="1178"/>
      <c r="K1637" s="1178"/>
      <c r="L1637" s="1178"/>
      <c r="M1637" s="1178"/>
      <c r="N1637" s="1212" t="str">
        <f>IF( OR( ISBLANK(H1637),ISBLANK(J1637), ISBLANK(K1637), ISBLANK(L1637), ISBLANK(M1637) ), "", 1.5*SQRT(   EXP(2.21*(H1637-1)) + EXP(2.21*(J1637-1)) + EXP(2.21*(K1637-1)) + EXP(2.21*(L1637-1)) + EXP(2.21*M1637)   )/100*2.45 )</f>
        <v/>
      </c>
      <c r="O1637" s="1212" t="str">
        <f>IF( OR( ISBLANK(I1637),ISBLANK(J1637), ISBLANK(K1637), ISBLANK(L1637), ISBLANK(M1637) ), "", 1.5*SQRT( EXP(2.21*(I1637-1)) + EXP(2.21*(J1637-1)) + EXP(2.21*(K1637-1)) + EXP(2.21*(L1637-1)) + EXP(2.21*M1637)   )/100*2.45 )</f>
        <v/>
      </c>
    </row>
    <row r="1638" spans="8:15">
      <c r="H1638" s="1178"/>
      <c r="I1638" s="1178"/>
      <c r="J1638" s="1178"/>
      <c r="K1638" s="1178"/>
      <c r="L1638" s="1178"/>
      <c r="M1638" s="1178"/>
      <c r="N1638" s="1212" t="str">
        <f>IF( OR( ISBLANK(H1638),ISBLANK(J1638), ISBLANK(K1638), ISBLANK(L1638), ISBLANK(M1638) ), "", 1.5*SQRT(   EXP(2.21*(H1638-1)) + EXP(2.21*(J1638-1)) + EXP(2.21*(K1638-1)) + EXP(2.21*(L1638-1)) + EXP(2.21*M1638)   )/100*2.45 )</f>
        <v/>
      </c>
      <c r="O1638" s="1212" t="str">
        <f>IF( OR( ISBLANK(I1638),ISBLANK(J1638), ISBLANK(K1638), ISBLANK(L1638), ISBLANK(M1638) ), "", 1.5*SQRT( EXP(2.21*(I1638-1)) + EXP(2.21*(J1638-1)) + EXP(2.21*(K1638-1)) + EXP(2.21*(L1638-1)) + EXP(2.21*M1638)   )/100*2.45 )</f>
        <v/>
      </c>
    </row>
    <row r="1639" spans="8:15">
      <c r="H1639" s="1178"/>
      <c r="I1639" s="1178"/>
      <c r="J1639" s="1178"/>
      <c r="K1639" s="1178"/>
      <c r="L1639" s="1178"/>
      <c r="M1639" s="1178"/>
      <c r="N1639" s="1212" t="str">
        <f>IF( OR( ISBLANK(H1639),ISBLANK(J1639), ISBLANK(K1639), ISBLANK(L1639), ISBLANK(M1639) ), "", 1.5*SQRT(   EXP(2.21*(H1639-1)) + EXP(2.21*(J1639-1)) + EXP(2.21*(K1639-1)) + EXP(2.21*(L1639-1)) + EXP(2.21*M1639)   )/100*2.45 )</f>
        <v/>
      </c>
      <c r="O1639" s="1212" t="str">
        <f>IF( OR( ISBLANK(I1639),ISBLANK(J1639), ISBLANK(K1639), ISBLANK(L1639), ISBLANK(M1639) ), "", 1.5*SQRT( EXP(2.21*(I1639-1)) + EXP(2.21*(J1639-1)) + EXP(2.21*(K1639-1)) + EXP(2.21*(L1639-1)) + EXP(2.21*M1639)   )/100*2.45 )</f>
        <v/>
      </c>
    </row>
    <row r="1640" spans="8:15">
      <c r="H1640" s="1178"/>
      <c r="I1640" s="1178"/>
      <c r="J1640" s="1178"/>
      <c r="K1640" s="1178"/>
      <c r="L1640" s="1178"/>
      <c r="M1640" s="1178"/>
      <c r="N1640" s="1212" t="str">
        <f>IF( OR( ISBLANK(H1640),ISBLANK(J1640), ISBLANK(K1640), ISBLANK(L1640), ISBLANK(M1640) ), "", 1.5*SQRT(   EXP(2.21*(H1640-1)) + EXP(2.21*(J1640-1)) + EXP(2.21*(K1640-1)) + EXP(2.21*(L1640-1)) + EXP(2.21*M1640)   )/100*2.45 )</f>
        <v/>
      </c>
      <c r="O1640" s="1212" t="str">
        <f>IF( OR( ISBLANK(I1640),ISBLANK(J1640), ISBLANK(K1640), ISBLANK(L1640), ISBLANK(M1640) ), "", 1.5*SQRT( EXP(2.21*(I1640-1)) + EXP(2.21*(J1640-1)) + EXP(2.21*(K1640-1)) + EXP(2.21*(L1640-1)) + EXP(2.21*M1640)   )/100*2.45 )</f>
        <v/>
      </c>
    </row>
    <row r="1641" spans="8:15">
      <c r="H1641" s="1178"/>
      <c r="I1641" s="1178"/>
      <c r="J1641" s="1178"/>
      <c r="K1641" s="1178"/>
      <c r="L1641" s="1178"/>
      <c r="M1641" s="1178"/>
      <c r="N1641" s="1212" t="str">
        <f>IF( OR( ISBLANK(H1641),ISBLANK(J1641), ISBLANK(K1641), ISBLANK(L1641), ISBLANK(M1641) ), "", 1.5*SQRT(   EXP(2.21*(H1641-1)) + EXP(2.21*(J1641-1)) + EXP(2.21*(K1641-1)) + EXP(2.21*(L1641-1)) + EXP(2.21*M1641)   )/100*2.45 )</f>
        <v/>
      </c>
      <c r="O1641" s="1212" t="str">
        <f>IF( OR( ISBLANK(I1641),ISBLANK(J1641), ISBLANK(K1641), ISBLANK(L1641), ISBLANK(M1641) ), "", 1.5*SQRT( EXP(2.21*(I1641-1)) + EXP(2.21*(J1641-1)) + EXP(2.21*(K1641-1)) + EXP(2.21*(L1641-1)) + EXP(2.21*M1641)   )/100*2.45 )</f>
        <v/>
      </c>
    </row>
    <row r="1642" spans="8:15">
      <c r="H1642" s="1178"/>
      <c r="I1642" s="1178"/>
      <c r="J1642" s="1178"/>
      <c r="K1642" s="1178"/>
      <c r="L1642" s="1178"/>
      <c r="M1642" s="1178"/>
      <c r="N1642" s="1212" t="str">
        <f>IF( OR( ISBLANK(H1642),ISBLANK(J1642), ISBLANK(K1642), ISBLANK(L1642), ISBLANK(M1642) ), "", 1.5*SQRT(   EXP(2.21*(H1642-1)) + EXP(2.21*(J1642-1)) + EXP(2.21*(K1642-1)) + EXP(2.21*(L1642-1)) + EXP(2.21*M1642)   )/100*2.45 )</f>
        <v/>
      </c>
      <c r="O1642" s="1212" t="str">
        <f>IF( OR( ISBLANK(I1642),ISBLANK(J1642), ISBLANK(K1642), ISBLANK(L1642), ISBLANK(M1642) ), "", 1.5*SQRT( EXP(2.21*(I1642-1)) + EXP(2.21*(J1642-1)) + EXP(2.21*(K1642-1)) + EXP(2.21*(L1642-1)) + EXP(2.21*M1642)   )/100*2.45 )</f>
        <v/>
      </c>
    </row>
    <row r="1643" spans="8:15">
      <c r="H1643" s="1178"/>
      <c r="I1643" s="1178"/>
      <c r="J1643" s="1178"/>
      <c r="K1643" s="1178"/>
      <c r="L1643" s="1178"/>
      <c r="M1643" s="1178"/>
      <c r="N1643" s="1212" t="str">
        <f>IF( OR( ISBLANK(H1643),ISBLANK(J1643), ISBLANK(K1643), ISBLANK(L1643), ISBLANK(M1643) ), "", 1.5*SQRT(   EXP(2.21*(H1643-1)) + EXP(2.21*(J1643-1)) + EXP(2.21*(K1643-1)) + EXP(2.21*(L1643-1)) + EXP(2.21*M1643)   )/100*2.45 )</f>
        <v/>
      </c>
      <c r="O1643" s="1212" t="str">
        <f>IF( OR( ISBLANK(I1643),ISBLANK(J1643), ISBLANK(K1643), ISBLANK(L1643), ISBLANK(M1643) ), "", 1.5*SQRT( EXP(2.21*(I1643-1)) + EXP(2.21*(J1643-1)) + EXP(2.21*(K1643-1)) + EXP(2.21*(L1643-1)) + EXP(2.21*M1643)   )/100*2.45 )</f>
        <v/>
      </c>
    </row>
    <row r="1644" spans="8:15">
      <c r="H1644" s="1178"/>
      <c r="I1644" s="1178"/>
      <c r="J1644" s="1178"/>
      <c r="K1644" s="1178"/>
      <c r="L1644" s="1178"/>
      <c r="M1644" s="1178"/>
      <c r="N1644" s="1212" t="str">
        <f>IF( OR( ISBLANK(H1644),ISBLANK(J1644), ISBLANK(K1644), ISBLANK(L1644), ISBLANK(M1644) ), "", 1.5*SQRT(   EXP(2.21*(H1644-1)) + EXP(2.21*(J1644-1)) + EXP(2.21*(K1644-1)) + EXP(2.21*(L1644-1)) + EXP(2.21*M1644)   )/100*2.45 )</f>
        <v/>
      </c>
      <c r="O1644" s="1212" t="str">
        <f>IF( OR( ISBLANK(I1644),ISBLANK(J1644), ISBLANK(K1644), ISBLANK(L1644), ISBLANK(M1644) ), "", 1.5*SQRT( EXP(2.21*(I1644-1)) + EXP(2.21*(J1644-1)) + EXP(2.21*(K1644-1)) + EXP(2.21*(L1644-1)) + EXP(2.21*M1644)   )/100*2.45 )</f>
        <v/>
      </c>
    </row>
    <row r="1645" spans="8:15">
      <c r="H1645" s="1178"/>
      <c r="I1645" s="1178"/>
      <c r="J1645" s="1178"/>
      <c r="K1645" s="1178"/>
      <c r="L1645" s="1178"/>
      <c r="M1645" s="1178"/>
      <c r="N1645" s="1212" t="str">
        <f>IF( OR( ISBLANK(H1645),ISBLANK(J1645), ISBLANK(K1645), ISBLANK(L1645), ISBLANK(M1645) ), "", 1.5*SQRT(   EXP(2.21*(H1645-1)) + EXP(2.21*(J1645-1)) + EXP(2.21*(K1645-1)) + EXP(2.21*(L1645-1)) + EXP(2.21*M1645)   )/100*2.45 )</f>
        <v/>
      </c>
      <c r="O1645" s="1212" t="str">
        <f>IF( OR( ISBLANK(I1645),ISBLANK(J1645), ISBLANK(K1645), ISBLANK(L1645), ISBLANK(M1645) ), "", 1.5*SQRT( EXP(2.21*(I1645-1)) + EXP(2.21*(J1645-1)) + EXP(2.21*(K1645-1)) + EXP(2.21*(L1645-1)) + EXP(2.21*M1645)   )/100*2.45 )</f>
        <v/>
      </c>
    </row>
    <row r="1646" spans="8:15">
      <c r="H1646" s="1178"/>
      <c r="I1646" s="1178"/>
      <c r="J1646" s="1178"/>
      <c r="K1646" s="1178"/>
      <c r="L1646" s="1178"/>
      <c r="M1646" s="1178"/>
      <c r="N1646" s="1212" t="str">
        <f>IF( OR( ISBLANK(H1646),ISBLANK(J1646), ISBLANK(K1646), ISBLANK(L1646), ISBLANK(M1646) ), "", 1.5*SQRT(   EXP(2.21*(H1646-1)) + EXP(2.21*(J1646-1)) + EXP(2.21*(K1646-1)) + EXP(2.21*(L1646-1)) + EXP(2.21*M1646)   )/100*2.45 )</f>
        <v/>
      </c>
      <c r="O1646" s="1212" t="str">
        <f>IF( OR( ISBLANK(I1646),ISBLANK(J1646), ISBLANK(K1646), ISBLANK(L1646), ISBLANK(M1646) ), "", 1.5*SQRT( EXP(2.21*(I1646-1)) + EXP(2.21*(J1646-1)) + EXP(2.21*(K1646-1)) + EXP(2.21*(L1646-1)) + EXP(2.21*M1646)   )/100*2.45 )</f>
        <v/>
      </c>
    </row>
    <row r="1647" spans="8:15">
      <c r="H1647" s="1178"/>
      <c r="I1647" s="1178"/>
      <c r="J1647" s="1178"/>
      <c r="K1647" s="1178"/>
      <c r="L1647" s="1178"/>
      <c r="M1647" s="1178"/>
      <c r="N1647" s="1212" t="str">
        <f>IF( OR( ISBLANK(H1647),ISBLANK(J1647), ISBLANK(K1647), ISBLANK(L1647), ISBLANK(M1647) ), "", 1.5*SQRT(   EXP(2.21*(H1647-1)) + EXP(2.21*(J1647-1)) + EXP(2.21*(K1647-1)) + EXP(2.21*(L1647-1)) + EXP(2.21*M1647)   )/100*2.45 )</f>
        <v/>
      </c>
      <c r="O1647" s="1212" t="str">
        <f>IF( OR( ISBLANK(I1647),ISBLANK(J1647), ISBLANK(K1647), ISBLANK(L1647), ISBLANK(M1647) ), "", 1.5*SQRT( EXP(2.21*(I1647-1)) + EXP(2.21*(J1647-1)) + EXP(2.21*(K1647-1)) + EXP(2.21*(L1647-1)) + EXP(2.21*M1647)   )/100*2.45 )</f>
        <v/>
      </c>
    </row>
    <row r="1648" spans="8:15">
      <c r="H1648" s="1178"/>
      <c r="I1648" s="1178"/>
      <c r="J1648" s="1178"/>
      <c r="K1648" s="1178"/>
      <c r="L1648" s="1178"/>
      <c r="M1648" s="1178"/>
      <c r="N1648" s="1212" t="str">
        <f>IF( OR( ISBLANK(H1648),ISBLANK(J1648), ISBLANK(K1648), ISBLANK(L1648), ISBLANK(M1648) ), "", 1.5*SQRT(   EXP(2.21*(H1648-1)) + EXP(2.21*(J1648-1)) + EXP(2.21*(K1648-1)) + EXP(2.21*(L1648-1)) + EXP(2.21*M1648)   )/100*2.45 )</f>
        <v/>
      </c>
      <c r="O1648" s="1212" t="str">
        <f>IF( OR( ISBLANK(I1648),ISBLANK(J1648), ISBLANK(K1648), ISBLANK(L1648), ISBLANK(M1648) ), "", 1.5*SQRT( EXP(2.21*(I1648-1)) + EXP(2.21*(J1648-1)) + EXP(2.21*(K1648-1)) + EXP(2.21*(L1648-1)) + EXP(2.21*M1648)   )/100*2.45 )</f>
        <v/>
      </c>
    </row>
    <row r="1649" spans="8:15">
      <c r="H1649" s="1178"/>
      <c r="I1649" s="1178"/>
      <c r="J1649" s="1178"/>
      <c r="K1649" s="1178"/>
      <c r="L1649" s="1178"/>
      <c r="M1649" s="1178"/>
      <c r="N1649" s="1212" t="str">
        <f>IF( OR( ISBLANK(H1649),ISBLANK(J1649), ISBLANK(K1649), ISBLANK(L1649), ISBLANK(M1649) ), "", 1.5*SQRT(   EXP(2.21*(H1649-1)) + EXP(2.21*(J1649-1)) + EXP(2.21*(K1649-1)) + EXP(2.21*(L1649-1)) + EXP(2.21*M1649)   )/100*2.45 )</f>
        <v/>
      </c>
      <c r="O1649" s="1212" t="str">
        <f>IF( OR( ISBLANK(I1649),ISBLANK(J1649), ISBLANK(K1649), ISBLANK(L1649), ISBLANK(M1649) ), "", 1.5*SQRT( EXP(2.21*(I1649-1)) + EXP(2.21*(J1649-1)) + EXP(2.21*(K1649-1)) + EXP(2.21*(L1649-1)) + EXP(2.21*M1649)   )/100*2.45 )</f>
        <v/>
      </c>
    </row>
    <row r="1650" spans="8:15">
      <c r="H1650" s="1178"/>
      <c r="I1650" s="1178"/>
      <c r="J1650" s="1178"/>
      <c r="K1650" s="1178"/>
      <c r="L1650" s="1178"/>
      <c r="M1650" s="1178"/>
      <c r="N1650" s="1212" t="str">
        <f>IF( OR( ISBLANK(H1650),ISBLANK(J1650), ISBLANK(K1650), ISBLANK(L1650), ISBLANK(M1650) ), "", 1.5*SQRT(   EXP(2.21*(H1650-1)) + EXP(2.21*(J1650-1)) + EXP(2.21*(K1650-1)) + EXP(2.21*(L1650-1)) + EXP(2.21*M1650)   )/100*2.45 )</f>
        <v/>
      </c>
      <c r="O1650" s="1212" t="str">
        <f>IF( OR( ISBLANK(I1650),ISBLANK(J1650), ISBLANK(K1650), ISBLANK(L1650), ISBLANK(M1650) ), "", 1.5*SQRT( EXP(2.21*(I1650-1)) + EXP(2.21*(J1650-1)) + EXP(2.21*(K1650-1)) + EXP(2.21*(L1650-1)) + EXP(2.21*M1650)   )/100*2.45 )</f>
        <v/>
      </c>
    </row>
    <row r="1651" spans="8:15">
      <c r="H1651" s="1178"/>
      <c r="I1651" s="1178"/>
      <c r="J1651" s="1178"/>
      <c r="K1651" s="1178"/>
      <c r="L1651" s="1178"/>
      <c r="M1651" s="1178"/>
      <c r="N1651" s="1212" t="str">
        <f>IF( OR( ISBLANK(H1651),ISBLANK(J1651), ISBLANK(K1651), ISBLANK(L1651), ISBLANK(M1651) ), "", 1.5*SQRT(   EXP(2.21*(H1651-1)) + EXP(2.21*(J1651-1)) + EXP(2.21*(K1651-1)) + EXP(2.21*(L1651-1)) + EXP(2.21*M1651)   )/100*2.45 )</f>
        <v/>
      </c>
      <c r="O1651" s="1212" t="str">
        <f>IF( OR( ISBLANK(I1651),ISBLANK(J1651), ISBLANK(K1651), ISBLANK(L1651), ISBLANK(M1651) ), "", 1.5*SQRT( EXP(2.21*(I1651-1)) + EXP(2.21*(J1651-1)) + EXP(2.21*(K1651-1)) + EXP(2.21*(L1651-1)) + EXP(2.21*M1651)   )/100*2.45 )</f>
        <v/>
      </c>
    </row>
    <row r="1652" spans="8:15">
      <c r="H1652" s="1178"/>
      <c r="I1652" s="1178"/>
      <c r="J1652" s="1178"/>
      <c r="K1652" s="1178"/>
      <c r="L1652" s="1178"/>
      <c r="M1652" s="1178"/>
      <c r="N1652" s="1212" t="str">
        <f>IF( OR( ISBLANK(H1652),ISBLANK(J1652), ISBLANK(K1652), ISBLANK(L1652), ISBLANK(M1652) ), "", 1.5*SQRT(   EXP(2.21*(H1652-1)) + EXP(2.21*(J1652-1)) + EXP(2.21*(K1652-1)) + EXP(2.21*(L1652-1)) + EXP(2.21*M1652)   )/100*2.45 )</f>
        <v/>
      </c>
      <c r="O1652" s="1212" t="str">
        <f>IF( OR( ISBLANK(I1652),ISBLANK(J1652), ISBLANK(K1652), ISBLANK(L1652), ISBLANK(M1652) ), "", 1.5*SQRT( EXP(2.21*(I1652-1)) + EXP(2.21*(J1652-1)) + EXP(2.21*(K1652-1)) + EXP(2.21*(L1652-1)) + EXP(2.21*M1652)   )/100*2.45 )</f>
        <v/>
      </c>
    </row>
    <row r="1653" spans="8:15">
      <c r="H1653" s="1178"/>
      <c r="I1653" s="1178"/>
      <c r="J1653" s="1178"/>
      <c r="K1653" s="1178"/>
      <c r="L1653" s="1178"/>
      <c r="M1653" s="1178"/>
      <c r="N1653" s="1212" t="str">
        <f>IF( OR( ISBLANK(H1653),ISBLANK(J1653), ISBLANK(K1653), ISBLANK(L1653), ISBLANK(M1653) ), "", 1.5*SQRT(   EXP(2.21*(H1653-1)) + EXP(2.21*(J1653-1)) + EXP(2.21*(K1653-1)) + EXP(2.21*(L1653-1)) + EXP(2.21*M1653)   )/100*2.45 )</f>
        <v/>
      </c>
      <c r="O1653" s="1212" t="str">
        <f>IF( OR( ISBLANK(I1653),ISBLANK(J1653), ISBLANK(K1653), ISBLANK(L1653), ISBLANK(M1653) ), "", 1.5*SQRT( EXP(2.21*(I1653-1)) + EXP(2.21*(J1653-1)) + EXP(2.21*(K1653-1)) + EXP(2.21*(L1653-1)) + EXP(2.21*M1653)   )/100*2.45 )</f>
        <v/>
      </c>
    </row>
    <row r="1654" spans="8:15">
      <c r="H1654" s="1178"/>
      <c r="I1654" s="1178"/>
      <c r="J1654" s="1178"/>
      <c r="K1654" s="1178"/>
      <c r="L1654" s="1178"/>
      <c r="M1654" s="1178"/>
      <c r="N1654" s="1212" t="str">
        <f>IF( OR( ISBLANK(H1654),ISBLANK(J1654), ISBLANK(K1654), ISBLANK(L1654), ISBLANK(M1654) ), "", 1.5*SQRT(   EXP(2.21*(H1654-1)) + EXP(2.21*(J1654-1)) + EXP(2.21*(K1654-1)) + EXP(2.21*(L1654-1)) + EXP(2.21*M1654)   )/100*2.45 )</f>
        <v/>
      </c>
      <c r="O1654" s="1212" t="str">
        <f>IF( OR( ISBLANK(I1654),ISBLANK(J1654), ISBLANK(K1654), ISBLANK(L1654), ISBLANK(M1654) ), "", 1.5*SQRT( EXP(2.21*(I1654-1)) + EXP(2.21*(J1654-1)) + EXP(2.21*(K1654-1)) + EXP(2.21*(L1654-1)) + EXP(2.21*M1654)   )/100*2.45 )</f>
        <v/>
      </c>
    </row>
    <row r="1655" spans="8:15">
      <c r="H1655" s="1178"/>
      <c r="I1655" s="1178"/>
      <c r="J1655" s="1178"/>
      <c r="K1655" s="1178"/>
      <c r="L1655" s="1178"/>
      <c r="M1655" s="1178"/>
      <c r="N1655" s="1212" t="str">
        <f>IF( OR( ISBLANK(H1655),ISBLANK(J1655), ISBLANK(K1655), ISBLANK(L1655), ISBLANK(M1655) ), "", 1.5*SQRT(   EXP(2.21*(H1655-1)) + EXP(2.21*(J1655-1)) + EXP(2.21*(K1655-1)) + EXP(2.21*(L1655-1)) + EXP(2.21*M1655)   )/100*2.45 )</f>
        <v/>
      </c>
      <c r="O1655" s="1212" t="str">
        <f>IF( OR( ISBLANK(I1655),ISBLANK(J1655), ISBLANK(K1655), ISBLANK(L1655), ISBLANK(M1655) ), "", 1.5*SQRT( EXP(2.21*(I1655-1)) + EXP(2.21*(J1655-1)) + EXP(2.21*(K1655-1)) + EXP(2.21*(L1655-1)) + EXP(2.21*M1655)   )/100*2.45 )</f>
        <v/>
      </c>
    </row>
    <row r="1656" spans="8:15">
      <c r="H1656" s="1178"/>
      <c r="I1656" s="1178"/>
      <c r="J1656" s="1178"/>
      <c r="K1656" s="1178"/>
      <c r="L1656" s="1178"/>
      <c r="M1656" s="1178"/>
      <c r="N1656" s="1212" t="str">
        <f>IF( OR( ISBLANK(H1656),ISBLANK(J1656), ISBLANK(K1656), ISBLANK(L1656), ISBLANK(M1656) ), "", 1.5*SQRT(   EXP(2.21*(H1656-1)) + EXP(2.21*(J1656-1)) + EXP(2.21*(K1656-1)) + EXP(2.21*(L1656-1)) + EXP(2.21*M1656)   )/100*2.45 )</f>
        <v/>
      </c>
      <c r="O1656" s="1212" t="str">
        <f>IF( OR( ISBLANK(I1656),ISBLANK(J1656), ISBLANK(K1656), ISBLANK(L1656), ISBLANK(M1656) ), "", 1.5*SQRT( EXP(2.21*(I1656-1)) + EXP(2.21*(J1656-1)) + EXP(2.21*(K1656-1)) + EXP(2.21*(L1656-1)) + EXP(2.21*M1656)   )/100*2.45 )</f>
        <v/>
      </c>
    </row>
    <row r="1657" spans="8:15">
      <c r="H1657" s="1178"/>
      <c r="I1657" s="1178"/>
      <c r="J1657" s="1178"/>
      <c r="K1657" s="1178"/>
      <c r="L1657" s="1178"/>
      <c r="M1657" s="1178"/>
      <c r="N1657" s="1212" t="str">
        <f>IF( OR( ISBLANK(H1657),ISBLANK(J1657), ISBLANK(K1657), ISBLANK(L1657), ISBLANK(M1657) ), "", 1.5*SQRT(   EXP(2.21*(H1657-1)) + EXP(2.21*(J1657-1)) + EXP(2.21*(K1657-1)) + EXP(2.21*(L1657-1)) + EXP(2.21*M1657)   )/100*2.45 )</f>
        <v/>
      </c>
      <c r="O1657" s="1212" t="str">
        <f>IF( OR( ISBLANK(I1657),ISBLANK(J1657), ISBLANK(K1657), ISBLANK(L1657), ISBLANK(M1657) ), "", 1.5*SQRT( EXP(2.21*(I1657-1)) + EXP(2.21*(J1657-1)) + EXP(2.21*(K1657-1)) + EXP(2.21*(L1657-1)) + EXP(2.21*M1657)   )/100*2.45 )</f>
        <v/>
      </c>
    </row>
    <row r="1658" spans="8:15">
      <c r="H1658" s="1178"/>
      <c r="I1658" s="1178"/>
      <c r="J1658" s="1178"/>
      <c r="K1658" s="1178"/>
      <c r="L1658" s="1178"/>
      <c r="M1658" s="1178"/>
      <c r="N1658" s="1212" t="str">
        <f>IF( OR( ISBLANK(H1658),ISBLANK(J1658), ISBLANK(K1658), ISBLANK(L1658), ISBLANK(M1658) ), "", 1.5*SQRT(   EXP(2.21*(H1658-1)) + EXP(2.21*(J1658-1)) + EXP(2.21*(K1658-1)) + EXP(2.21*(L1658-1)) + EXP(2.21*M1658)   )/100*2.45 )</f>
        <v/>
      </c>
      <c r="O1658" s="1212" t="str">
        <f>IF( OR( ISBLANK(I1658),ISBLANK(J1658), ISBLANK(K1658), ISBLANK(L1658), ISBLANK(M1658) ), "", 1.5*SQRT( EXP(2.21*(I1658-1)) + EXP(2.21*(J1658-1)) + EXP(2.21*(K1658-1)) + EXP(2.21*(L1658-1)) + EXP(2.21*M1658)   )/100*2.45 )</f>
        <v/>
      </c>
    </row>
    <row r="1659" spans="8:15">
      <c r="H1659" s="1178"/>
      <c r="I1659" s="1178"/>
      <c r="J1659" s="1178"/>
      <c r="K1659" s="1178"/>
      <c r="L1659" s="1178"/>
      <c r="M1659" s="1178"/>
      <c r="N1659" s="1212" t="str">
        <f>IF( OR( ISBLANK(H1659),ISBLANK(J1659), ISBLANK(K1659), ISBLANK(L1659), ISBLANK(M1659) ), "", 1.5*SQRT(   EXP(2.21*(H1659-1)) + EXP(2.21*(J1659-1)) + EXP(2.21*(K1659-1)) + EXP(2.21*(L1659-1)) + EXP(2.21*M1659)   )/100*2.45 )</f>
        <v/>
      </c>
      <c r="O1659" s="1212" t="str">
        <f>IF( OR( ISBLANK(I1659),ISBLANK(J1659), ISBLANK(K1659), ISBLANK(L1659), ISBLANK(M1659) ), "", 1.5*SQRT( EXP(2.21*(I1659-1)) + EXP(2.21*(J1659-1)) + EXP(2.21*(K1659-1)) + EXP(2.21*(L1659-1)) + EXP(2.21*M1659)   )/100*2.45 )</f>
        <v/>
      </c>
    </row>
    <row r="1660" spans="8:15">
      <c r="H1660" s="1178"/>
      <c r="I1660" s="1178"/>
      <c r="J1660" s="1178"/>
      <c r="K1660" s="1178"/>
      <c r="L1660" s="1178"/>
      <c r="M1660" s="1178"/>
      <c r="N1660" s="1212" t="str">
        <f>IF( OR( ISBLANK(H1660),ISBLANK(J1660), ISBLANK(K1660), ISBLANK(L1660), ISBLANK(M1660) ), "", 1.5*SQRT(   EXP(2.21*(H1660-1)) + EXP(2.21*(J1660-1)) + EXP(2.21*(K1660-1)) + EXP(2.21*(L1660-1)) + EXP(2.21*M1660)   )/100*2.45 )</f>
        <v/>
      </c>
      <c r="O1660" s="1212" t="str">
        <f>IF( OR( ISBLANK(I1660),ISBLANK(J1660), ISBLANK(K1660), ISBLANK(L1660), ISBLANK(M1660) ), "", 1.5*SQRT( EXP(2.21*(I1660-1)) + EXP(2.21*(J1660-1)) + EXP(2.21*(K1660-1)) + EXP(2.21*(L1660-1)) + EXP(2.21*M1660)   )/100*2.45 )</f>
        <v/>
      </c>
    </row>
    <row r="1661" spans="8:15">
      <c r="H1661" s="1178"/>
      <c r="I1661" s="1178"/>
      <c r="J1661" s="1178"/>
      <c r="K1661" s="1178"/>
      <c r="L1661" s="1178"/>
      <c r="M1661" s="1178"/>
      <c r="N1661" s="1212" t="str">
        <f>IF( OR( ISBLANK(H1661),ISBLANK(J1661), ISBLANK(K1661), ISBLANK(L1661), ISBLANK(M1661) ), "", 1.5*SQRT(   EXP(2.21*(H1661-1)) + EXP(2.21*(J1661-1)) + EXP(2.21*(K1661-1)) + EXP(2.21*(L1661-1)) + EXP(2.21*M1661)   )/100*2.45 )</f>
        <v/>
      </c>
      <c r="O1661" s="1212" t="str">
        <f>IF( OR( ISBLANK(I1661),ISBLANK(J1661), ISBLANK(K1661), ISBLANK(L1661), ISBLANK(M1661) ), "", 1.5*SQRT( EXP(2.21*(I1661-1)) + EXP(2.21*(J1661-1)) + EXP(2.21*(K1661-1)) + EXP(2.21*(L1661-1)) + EXP(2.21*M1661)   )/100*2.45 )</f>
        <v/>
      </c>
    </row>
    <row r="1662" spans="8:15">
      <c r="H1662" s="1178"/>
      <c r="I1662" s="1178"/>
      <c r="J1662" s="1178"/>
      <c r="K1662" s="1178"/>
      <c r="L1662" s="1178"/>
      <c r="M1662" s="1178"/>
      <c r="N1662" s="1212" t="str">
        <f>IF( OR( ISBLANK(H1662),ISBLANK(J1662), ISBLANK(K1662), ISBLANK(L1662), ISBLANK(M1662) ), "", 1.5*SQRT(   EXP(2.21*(H1662-1)) + EXP(2.21*(J1662-1)) + EXP(2.21*(K1662-1)) + EXP(2.21*(L1662-1)) + EXP(2.21*M1662)   )/100*2.45 )</f>
        <v/>
      </c>
      <c r="O1662" s="1212" t="str">
        <f>IF( OR( ISBLANK(I1662),ISBLANK(J1662), ISBLANK(K1662), ISBLANK(L1662), ISBLANK(M1662) ), "", 1.5*SQRT( EXP(2.21*(I1662-1)) + EXP(2.21*(J1662-1)) + EXP(2.21*(K1662-1)) + EXP(2.21*(L1662-1)) + EXP(2.21*M1662)   )/100*2.45 )</f>
        <v/>
      </c>
    </row>
    <row r="1663" spans="8:15">
      <c r="H1663" s="1178"/>
      <c r="I1663" s="1178"/>
      <c r="J1663" s="1178"/>
      <c r="K1663" s="1178"/>
      <c r="L1663" s="1178"/>
      <c r="M1663" s="1178"/>
      <c r="N1663" s="1212" t="str">
        <f>IF( OR( ISBLANK(H1663),ISBLANK(J1663), ISBLANK(K1663), ISBLANK(L1663), ISBLANK(M1663) ), "", 1.5*SQRT(   EXP(2.21*(H1663-1)) + EXP(2.21*(J1663-1)) + EXP(2.21*(K1663-1)) + EXP(2.21*(L1663-1)) + EXP(2.21*M1663)   )/100*2.45 )</f>
        <v/>
      </c>
      <c r="O1663" s="1212" t="str">
        <f>IF( OR( ISBLANK(I1663),ISBLANK(J1663), ISBLANK(K1663), ISBLANK(L1663), ISBLANK(M1663) ), "", 1.5*SQRT( EXP(2.21*(I1663-1)) + EXP(2.21*(J1663-1)) + EXP(2.21*(K1663-1)) + EXP(2.21*(L1663-1)) + EXP(2.21*M1663)   )/100*2.45 )</f>
        <v/>
      </c>
    </row>
    <row r="1664" spans="8:15">
      <c r="H1664" s="1178"/>
      <c r="I1664" s="1178"/>
      <c r="J1664" s="1178"/>
      <c r="K1664" s="1178"/>
      <c r="L1664" s="1178"/>
      <c r="M1664" s="1178"/>
      <c r="N1664" s="1212" t="str">
        <f>IF( OR( ISBLANK(H1664),ISBLANK(J1664), ISBLANK(K1664), ISBLANK(L1664), ISBLANK(M1664) ), "", 1.5*SQRT(   EXP(2.21*(H1664-1)) + EXP(2.21*(J1664-1)) + EXP(2.21*(K1664-1)) + EXP(2.21*(L1664-1)) + EXP(2.21*M1664)   )/100*2.45 )</f>
        <v/>
      </c>
      <c r="O1664" s="1212" t="str">
        <f>IF( OR( ISBLANK(I1664),ISBLANK(J1664), ISBLANK(K1664), ISBLANK(L1664), ISBLANK(M1664) ), "", 1.5*SQRT( EXP(2.21*(I1664-1)) + EXP(2.21*(J1664-1)) + EXP(2.21*(K1664-1)) + EXP(2.21*(L1664-1)) + EXP(2.21*M1664)   )/100*2.45 )</f>
        <v/>
      </c>
    </row>
    <row r="1665" spans="8:15">
      <c r="H1665" s="1178"/>
      <c r="I1665" s="1178"/>
      <c r="J1665" s="1178"/>
      <c r="K1665" s="1178"/>
      <c r="L1665" s="1178"/>
      <c r="M1665" s="1178"/>
      <c r="N1665" s="1212" t="str">
        <f>IF( OR( ISBLANK(H1665),ISBLANK(J1665), ISBLANK(K1665), ISBLANK(L1665), ISBLANK(M1665) ), "", 1.5*SQRT(   EXP(2.21*(H1665-1)) + EXP(2.21*(J1665-1)) + EXP(2.21*(K1665-1)) + EXP(2.21*(L1665-1)) + EXP(2.21*M1665)   )/100*2.45 )</f>
        <v/>
      </c>
      <c r="O1665" s="1212" t="str">
        <f>IF( OR( ISBLANK(I1665),ISBLANK(J1665), ISBLANK(K1665), ISBLANK(L1665), ISBLANK(M1665) ), "", 1.5*SQRT( EXP(2.21*(I1665-1)) + EXP(2.21*(J1665-1)) + EXP(2.21*(K1665-1)) + EXP(2.21*(L1665-1)) + EXP(2.21*M1665)   )/100*2.45 )</f>
        <v/>
      </c>
    </row>
    <row r="1666" spans="8:15">
      <c r="H1666" s="1178"/>
      <c r="I1666" s="1178"/>
      <c r="J1666" s="1178"/>
      <c r="K1666" s="1178"/>
      <c r="L1666" s="1178"/>
      <c r="M1666" s="1178"/>
      <c r="N1666" s="1212" t="str">
        <f>IF( OR( ISBLANK(H1666),ISBLANK(J1666), ISBLANK(K1666), ISBLANK(L1666), ISBLANK(M1666) ), "", 1.5*SQRT(   EXP(2.21*(H1666-1)) + EXP(2.21*(J1666-1)) + EXP(2.21*(K1666-1)) + EXP(2.21*(L1666-1)) + EXP(2.21*M1666)   )/100*2.45 )</f>
        <v/>
      </c>
      <c r="O1666" s="1212" t="str">
        <f>IF( OR( ISBLANK(I1666),ISBLANK(J1666), ISBLANK(K1666), ISBLANK(L1666), ISBLANK(M1666) ), "", 1.5*SQRT( EXP(2.21*(I1666-1)) + EXP(2.21*(J1666-1)) + EXP(2.21*(K1666-1)) + EXP(2.21*(L1666-1)) + EXP(2.21*M1666)   )/100*2.45 )</f>
        <v/>
      </c>
    </row>
    <row r="1667" spans="8:15">
      <c r="H1667" s="1178"/>
      <c r="I1667" s="1178"/>
      <c r="J1667" s="1178"/>
      <c r="K1667" s="1178"/>
      <c r="L1667" s="1178"/>
      <c r="M1667" s="1178"/>
      <c r="N1667" s="1212" t="str">
        <f>IF( OR( ISBLANK(H1667),ISBLANK(J1667), ISBLANK(K1667), ISBLANK(L1667), ISBLANK(M1667) ), "", 1.5*SQRT(   EXP(2.21*(H1667-1)) + EXP(2.21*(J1667-1)) + EXP(2.21*(K1667-1)) + EXP(2.21*(L1667-1)) + EXP(2.21*M1667)   )/100*2.45 )</f>
        <v/>
      </c>
      <c r="O1667" s="1212" t="str">
        <f>IF( OR( ISBLANK(I1667),ISBLANK(J1667), ISBLANK(K1667), ISBLANK(L1667), ISBLANK(M1667) ), "", 1.5*SQRT( EXP(2.21*(I1667-1)) + EXP(2.21*(J1667-1)) + EXP(2.21*(K1667-1)) + EXP(2.21*(L1667-1)) + EXP(2.21*M1667)   )/100*2.45 )</f>
        <v/>
      </c>
    </row>
    <row r="1668" spans="8:15">
      <c r="H1668" s="1178"/>
      <c r="I1668" s="1178"/>
      <c r="J1668" s="1178"/>
      <c r="K1668" s="1178"/>
      <c r="L1668" s="1178"/>
      <c r="M1668" s="1178"/>
      <c r="N1668" s="1212" t="str">
        <f>IF( OR( ISBLANK(H1668),ISBLANK(J1668), ISBLANK(K1668), ISBLANK(L1668), ISBLANK(M1668) ), "", 1.5*SQRT(   EXP(2.21*(H1668-1)) + EXP(2.21*(J1668-1)) + EXP(2.21*(K1668-1)) + EXP(2.21*(L1668-1)) + EXP(2.21*M1668)   )/100*2.45 )</f>
        <v/>
      </c>
      <c r="O1668" s="1212" t="str">
        <f>IF( OR( ISBLANK(I1668),ISBLANK(J1668), ISBLANK(K1668), ISBLANK(L1668), ISBLANK(M1668) ), "", 1.5*SQRT( EXP(2.21*(I1668-1)) + EXP(2.21*(J1668-1)) + EXP(2.21*(K1668-1)) + EXP(2.21*(L1668-1)) + EXP(2.21*M1668)   )/100*2.45 )</f>
        <v/>
      </c>
    </row>
    <row r="1669" spans="8:15">
      <c r="H1669" s="1178"/>
      <c r="I1669" s="1178"/>
      <c r="J1669" s="1178"/>
      <c r="K1669" s="1178"/>
      <c r="L1669" s="1178"/>
      <c r="M1669" s="1178"/>
      <c r="N1669" s="1212" t="str">
        <f>IF( OR( ISBLANK(H1669),ISBLANK(J1669), ISBLANK(K1669), ISBLANK(L1669), ISBLANK(M1669) ), "", 1.5*SQRT(   EXP(2.21*(H1669-1)) + EXP(2.21*(J1669-1)) + EXP(2.21*(K1669-1)) + EXP(2.21*(L1669-1)) + EXP(2.21*M1669)   )/100*2.45 )</f>
        <v/>
      </c>
      <c r="O1669" s="1212" t="str">
        <f>IF( OR( ISBLANK(I1669),ISBLANK(J1669), ISBLANK(K1669), ISBLANK(L1669), ISBLANK(M1669) ), "", 1.5*SQRT( EXP(2.21*(I1669-1)) + EXP(2.21*(J1669-1)) + EXP(2.21*(K1669-1)) + EXP(2.21*(L1669-1)) + EXP(2.21*M1669)   )/100*2.45 )</f>
        <v/>
      </c>
    </row>
    <row r="1670" spans="8:15">
      <c r="H1670" s="1178"/>
      <c r="I1670" s="1178"/>
      <c r="J1670" s="1178"/>
      <c r="K1670" s="1178"/>
      <c r="L1670" s="1178"/>
      <c r="M1670" s="1178"/>
      <c r="N1670" s="1212" t="str">
        <f>IF( OR( ISBLANK(H1670),ISBLANK(J1670), ISBLANK(K1670), ISBLANK(L1670), ISBLANK(M1670) ), "", 1.5*SQRT(   EXP(2.21*(H1670-1)) + EXP(2.21*(J1670-1)) + EXP(2.21*(K1670-1)) + EXP(2.21*(L1670-1)) + EXP(2.21*M1670)   )/100*2.45 )</f>
        <v/>
      </c>
      <c r="O1670" s="1212" t="str">
        <f>IF( OR( ISBLANK(I1670),ISBLANK(J1670), ISBLANK(K1670), ISBLANK(L1670), ISBLANK(M1670) ), "", 1.5*SQRT( EXP(2.21*(I1670-1)) + EXP(2.21*(J1670-1)) + EXP(2.21*(K1670-1)) + EXP(2.21*(L1670-1)) + EXP(2.21*M1670)   )/100*2.45 )</f>
        <v/>
      </c>
    </row>
    <row r="1671" spans="8:15">
      <c r="H1671" s="1178"/>
      <c r="I1671" s="1178"/>
      <c r="J1671" s="1178"/>
      <c r="K1671" s="1178"/>
      <c r="L1671" s="1178"/>
      <c r="M1671" s="1178"/>
      <c r="N1671" s="1212" t="str">
        <f>IF( OR( ISBLANK(H1671),ISBLANK(J1671), ISBLANK(K1671), ISBLANK(L1671), ISBLANK(M1671) ), "", 1.5*SQRT(   EXP(2.21*(H1671-1)) + EXP(2.21*(J1671-1)) + EXP(2.21*(K1671-1)) + EXP(2.21*(L1671-1)) + EXP(2.21*M1671)   )/100*2.45 )</f>
        <v/>
      </c>
      <c r="O1671" s="1212" t="str">
        <f>IF( OR( ISBLANK(I1671),ISBLANK(J1671), ISBLANK(K1671), ISBLANK(L1671), ISBLANK(M1671) ), "", 1.5*SQRT( EXP(2.21*(I1671-1)) + EXP(2.21*(J1671-1)) + EXP(2.21*(K1671-1)) + EXP(2.21*(L1671-1)) + EXP(2.21*M1671)   )/100*2.45 )</f>
        <v/>
      </c>
    </row>
    <row r="1672" spans="8:15">
      <c r="H1672" s="1178"/>
      <c r="I1672" s="1178"/>
      <c r="J1672" s="1178"/>
      <c r="K1672" s="1178"/>
      <c r="L1672" s="1178"/>
      <c r="M1672" s="1178"/>
      <c r="N1672" s="1212" t="str">
        <f>IF( OR( ISBLANK(H1672),ISBLANK(J1672), ISBLANK(K1672), ISBLANK(L1672), ISBLANK(M1672) ), "", 1.5*SQRT(   EXP(2.21*(H1672-1)) + EXP(2.21*(J1672-1)) + EXP(2.21*(K1672-1)) + EXP(2.21*(L1672-1)) + EXP(2.21*M1672)   )/100*2.45 )</f>
        <v/>
      </c>
      <c r="O1672" s="1212" t="str">
        <f>IF( OR( ISBLANK(I1672),ISBLANK(J1672), ISBLANK(K1672), ISBLANK(L1672), ISBLANK(M1672) ), "", 1.5*SQRT( EXP(2.21*(I1672-1)) + EXP(2.21*(J1672-1)) + EXP(2.21*(K1672-1)) + EXP(2.21*(L1672-1)) + EXP(2.21*M1672)   )/100*2.45 )</f>
        <v/>
      </c>
    </row>
    <row r="1673" spans="8:15">
      <c r="H1673" s="1178"/>
      <c r="I1673" s="1178"/>
      <c r="J1673" s="1178"/>
      <c r="K1673" s="1178"/>
      <c r="L1673" s="1178"/>
      <c r="M1673" s="1178"/>
      <c r="N1673" s="1212" t="str">
        <f>IF( OR( ISBLANK(H1673),ISBLANK(J1673), ISBLANK(K1673), ISBLANK(L1673), ISBLANK(M1673) ), "", 1.5*SQRT(   EXP(2.21*(H1673-1)) + EXP(2.21*(J1673-1)) + EXP(2.21*(K1673-1)) + EXP(2.21*(L1673-1)) + EXP(2.21*M1673)   )/100*2.45 )</f>
        <v/>
      </c>
      <c r="O1673" s="1212" t="str">
        <f>IF( OR( ISBLANK(I1673),ISBLANK(J1673), ISBLANK(K1673), ISBLANK(L1673), ISBLANK(M1673) ), "", 1.5*SQRT( EXP(2.21*(I1673-1)) + EXP(2.21*(J1673-1)) + EXP(2.21*(K1673-1)) + EXP(2.21*(L1673-1)) + EXP(2.21*M1673)   )/100*2.45 )</f>
        <v/>
      </c>
    </row>
    <row r="1674" spans="8:15">
      <c r="H1674" s="1178"/>
      <c r="I1674" s="1178"/>
      <c r="J1674" s="1178"/>
      <c r="K1674" s="1178"/>
      <c r="L1674" s="1178"/>
      <c r="M1674" s="1178"/>
      <c r="N1674" s="1212" t="str">
        <f>IF( OR( ISBLANK(H1674),ISBLANK(J1674), ISBLANK(K1674), ISBLANK(L1674), ISBLANK(M1674) ), "", 1.5*SQRT(   EXP(2.21*(H1674-1)) + EXP(2.21*(J1674-1)) + EXP(2.21*(K1674-1)) + EXP(2.21*(L1674-1)) + EXP(2.21*M1674)   )/100*2.45 )</f>
        <v/>
      </c>
      <c r="O1674" s="1212" t="str">
        <f>IF( OR( ISBLANK(I1674),ISBLANK(J1674), ISBLANK(K1674), ISBLANK(L1674), ISBLANK(M1674) ), "", 1.5*SQRT( EXP(2.21*(I1674-1)) + EXP(2.21*(J1674-1)) + EXP(2.21*(K1674-1)) + EXP(2.21*(L1674-1)) + EXP(2.21*M1674)   )/100*2.45 )</f>
        <v/>
      </c>
    </row>
    <row r="1675" spans="8:15">
      <c r="H1675" s="1178"/>
      <c r="I1675" s="1178"/>
      <c r="J1675" s="1178"/>
      <c r="K1675" s="1178"/>
      <c r="L1675" s="1178"/>
      <c r="M1675" s="1178"/>
      <c r="N1675" s="1212" t="str">
        <f>IF( OR( ISBLANK(H1675),ISBLANK(J1675), ISBLANK(K1675), ISBLANK(L1675), ISBLANK(M1675) ), "", 1.5*SQRT(   EXP(2.21*(H1675-1)) + EXP(2.21*(J1675-1)) + EXP(2.21*(K1675-1)) + EXP(2.21*(L1675-1)) + EXP(2.21*M1675)   )/100*2.45 )</f>
        <v/>
      </c>
      <c r="O1675" s="1212" t="str">
        <f>IF( OR( ISBLANK(I1675),ISBLANK(J1675), ISBLANK(K1675), ISBLANK(L1675), ISBLANK(M1675) ), "", 1.5*SQRT( EXP(2.21*(I1675-1)) + EXP(2.21*(J1675-1)) + EXP(2.21*(K1675-1)) + EXP(2.21*(L1675-1)) + EXP(2.21*M1675)   )/100*2.45 )</f>
        <v/>
      </c>
    </row>
    <row r="1676" spans="8:15">
      <c r="H1676" s="1178"/>
      <c r="I1676" s="1178"/>
      <c r="J1676" s="1178"/>
      <c r="K1676" s="1178"/>
      <c r="L1676" s="1178"/>
      <c r="M1676" s="1178"/>
      <c r="N1676" s="1212" t="str">
        <f>IF( OR( ISBLANK(H1676),ISBLANK(J1676), ISBLANK(K1676), ISBLANK(L1676), ISBLANK(M1676) ), "", 1.5*SQRT(   EXP(2.21*(H1676-1)) + EXP(2.21*(J1676-1)) + EXP(2.21*(K1676-1)) + EXP(2.21*(L1676-1)) + EXP(2.21*M1676)   )/100*2.45 )</f>
        <v/>
      </c>
      <c r="O1676" s="1212" t="str">
        <f>IF( OR( ISBLANK(I1676),ISBLANK(J1676), ISBLANK(K1676), ISBLANK(L1676), ISBLANK(M1676) ), "", 1.5*SQRT( EXP(2.21*(I1676-1)) + EXP(2.21*(J1676-1)) + EXP(2.21*(K1676-1)) + EXP(2.21*(L1676-1)) + EXP(2.21*M1676)   )/100*2.45 )</f>
        <v/>
      </c>
    </row>
    <row r="1677" spans="8:15">
      <c r="H1677" s="1178"/>
      <c r="I1677" s="1178"/>
      <c r="J1677" s="1178"/>
      <c r="K1677" s="1178"/>
      <c r="L1677" s="1178"/>
      <c r="M1677" s="1178"/>
      <c r="N1677" s="1212" t="str">
        <f>IF( OR( ISBLANK(H1677),ISBLANK(J1677), ISBLANK(K1677), ISBLANK(L1677), ISBLANK(M1677) ), "", 1.5*SQRT(   EXP(2.21*(H1677-1)) + EXP(2.21*(J1677-1)) + EXP(2.21*(K1677-1)) + EXP(2.21*(L1677-1)) + EXP(2.21*M1677)   )/100*2.45 )</f>
        <v/>
      </c>
      <c r="O1677" s="1212" t="str">
        <f>IF( OR( ISBLANK(I1677),ISBLANK(J1677), ISBLANK(K1677), ISBLANK(L1677), ISBLANK(M1677) ), "", 1.5*SQRT( EXP(2.21*(I1677-1)) + EXP(2.21*(J1677-1)) + EXP(2.21*(K1677-1)) + EXP(2.21*(L1677-1)) + EXP(2.21*M1677)   )/100*2.45 )</f>
        <v/>
      </c>
    </row>
    <row r="1678" spans="8:15">
      <c r="H1678" s="1178"/>
      <c r="I1678" s="1178"/>
      <c r="J1678" s="1178"/>
      <c r="K1678" s="1178"/>
      <c r="L1678" s="1178"/>
      <c r="M1678" s="1178"/>
      <c r="N1678" s="1212" t="str">
        <f>IF( OR( ISBLANK(H1678),ISBLANK(J1678), ISBLANK(K1678), ISBLANK(L1678), ISBLANK(M1678) ), "", 1.5*SQRT(   EXP(2.21*(H1678-1)) + EXP(2.21*(J1678-1)) + EXP(2.21*(K1678-1)) + EXP(2.21*(L1678-1)) + EXP(2.21*M1678)   )/100*2.45 )</f>
        <v/>
      </c>
      <c r="O1678" s="1212" t="str">
        <f>IF( OR( ISBLANK(I1678),ISBLANK(J1678), ISBLANK(K1678), ISBLANK(L1678), ISBLANK(M1678) ), "", 1.5*SQRT( EXP(2.21*(I1678-1)) + EXP(2.21*(J1678-1)) + EXP(2.21*(K1678-1)) + EXP(2.21*(L1678-1)) + EXP(2.21*M1678)   )/100*2.45 )</f>
        <v/>
      </c>
    </row>
    <row r="1679" spans="8:15">
      <c r="H1679" s="1178"/>
      <c r="I1679" s="1178"/>
      <c r="J1679" s="1178"/>
      <c r="K1679" s="1178"/>
      <c r="L1679" s="1178"/>
      <c r="M1679" s="1178"/>
      <c r="N1679" s="1212" t="str">
        <f>IF( OR( ISBLANK(H1679),ISBLANK(J1679), ISBLANK(K1679), ISBLANK(L1679), ISBLANK(M1679) ), "", 1.5*SQRT(   EXP(2.21*(H1679-1)) + EXP(2.21*(J1679-1)) + EXP(2.21*(K1679-1)) + EXP(2.21*(L1679-1)) + EXP(2.21*M1679)   )/100*2.45 )</f>
        <v/>
      </c>
      <c r="O1679" s="1212" t="str">
        <f>IF( OR( ISBLANK(I1679),ISBLANK(J1679), ISBLANK(K1679), ISBLANK(L1679), ISBLANK(M1679) ), "", 1.5*SQRT( EXP(2.21*(I1679-1)) + EXP(2.21*(J1679-1)) + EXP(2.21*(K1679-1)) + EXP(2.21*(L1679-1)) + EXP(2.21*M1679)   )/100*2.45 )</f>
        <v/>
      </c>
    </row>
    <row r="1680" spans="8:15">
      <c r="H1680" s="1178"/>
      <c r="I1680" s="1178"/>
      <c r="J1680" s="1178"/>
      <c r="K1680" s="1178"/>
      <c r="L1680" s="1178"/>
      <c r="M1680" s="1178"/>
      <c r="N1680" s="1212" t="str">
        <f>IF( OR( ISBLANK(H1680),ISBLANK(J1680), ISBLANK(K1680), ISBLANK(L1680), ISBLANK(M1680) ), "", 1.5*SQRT(   EXP(2.21*(H1680-1)) + EXP(2.21*(J1680-1)) + EXP(2.21*(K1680-1)) + EXP(2.21*(L1680-1)) + EXP(2.21*M1680)   )/100*2.45 )</f>
        <v/>
      </c>
      <c r="O1680" s="1212" t="str">
        <f>IF( OR( ISBLANK(I1680),ISBLANK(J1680), ISBLANK(K1680), ISBLANK(L1680), ISBLANK(M1680) ), "", 1.5*SQRT( EXP(2.21*(I1680-1)) + EXP(2.21*(J1680-1)) + EXP(2.21*(K1680-1)) + EXP(2.21*(L1680-1)) + EXP(2.21*M1680)   )/100*2.45 )</f>
        <v/>
      </c>
    </row>
    <row r="1681" spans="8:15">
      <c r="H1681" s="1178"/>
      <c r="I1681" s="1178"/>
      <c r="J1681" s="1178"/>
      <c r="K1681" s="1178"/>
      <c r="L1681" s="1178"/>
      <c r="M1681" s="1178"/>
      <c r="N1681" s="1212" t="str">
        <f>IF( OR( ISBLANK(H1681),ISBLANK(J1681), ISBLANK(K1681), ISBLANK(L1681), ISBLANK(M1681) ), "", 1.5*SQRT(   EXP(2.21*(H1681-1)) + EXP(2.21*(J1681-1)) + EXP(2.21*(K1681-1)) + EXP(2.21*(L1681-1)) + EXP(2.21*M1681)   )/100*2.45 )</f>
        <v/>
      </c>
      <c r="O1681" s="1212" t="str">
        <f>IF( OR( ISBLANK(I1681),ISBLANK(J1681), ISBLANK(K1681), ISBLANK(L1681), ISBLANK(M1681) ), "", 1.5*SQRT( EXP(2.21*(I1681-1)) + EXP(2.21*(J1681-1)) + EXP(2.21*(K1681-1)) + EXP(2.21*(L1681-1)) + EXP(2.21*M1681)   )/100*2.45 )</f>
        <v/>
      </c>
    </row>
    <row r="1682" spans="8:15">
      <c r="H1682" s="1178"/>
      <c r="I1682" s="1178"/>
      <c r="J1682" s="1178"/>
      <c r="K1682" s="1178"/>
      <c r="L1682" s="1178"/>
      <c r="M1682" s="1178"/>
      <c r="N1682" s="1212" t="str">
        <f>IF( OR( ISBLANK(H1682),ISBLANK(J1682), ISBLANK(K1682), ISBLANK(L1682), ISBLANK(M1682) ), "", 1.5*SQRT(   EXP(2.21*(H1682-1)) + EXP(2.21*(J1682-1)) + EXP(2.21*(K1682-1)) + EXP(2.21*(L1682-1)) + EXP(2.21*M1682)   )/100*2.45 )</f>
        <v/>
      </c>
      <c r="O1682" s="1212" t="str">
        <f>IF( OR( ISBLANK(I1682),ISBLANK(J1682), ISBLANK(K1682), ISBLANK(L1682), ISBLANK(M1682) ), "", 1.5*SQRT( EXP(2.21*(I1682-1)) + EXP(2.21*(J1682-1)) + EXP(2.21*(K1682-1)) + EXP(2.21*(L1682-1)) + EXP(2.21*M1682)   )/100*2.45 )</f>
        <v/>
      </c>
    </row>
    <row r="1683" spans="8:15">
      <c r="H1683" s="1178"/>
      <c r="I1683" s="1178"/>
      <c r="J1683" s="1178"/>
      <c r="K1683" s="1178"/>
      <c r="L1683" s="1178"/>
      <c r="M1683" s="1178"/>
      <c r="N1683" s="1212" t="str">
        <f>IF( OR( ISBLANK(H1683),ISBLANK(J1683), ISBLANK(K1683), ISBLANK(L1683), ISBLANK(M1683) ), "", 1.5*SQRT(   EXP(2.21*(H1683-1)) + EXP(2.21*(J1683-1)) + EXP(2.21*(K1683-1)) + EXP(2.21*(L1683-1)) + EXP(2.21*M1683)   )/100*2.45 )</f>
        <v/>
      </c>
      <c r="O1683" s="1212" t="str">
        <f>IF( OR( ISBLANK(I1683),ISBLANK(J1683), ISBLANK(K1683), ISBLANK(L1683), ISBLANK(M1683) ), "", 1.5*SQRT( EXP(2.21*(I1683-1)) + EXP(2.21*(J1683-1)) + EXP(2.21*(K1683-1)) + EXP(2.21*(L1683-1)) + EXP(2.21*M1683)   )/100*2.45 )</f>
        <v/>
      </c>
    </row>
    <row r="1684" spans="8:15">
      <c r="H1684" s="1178"/>
      <c r="I1684" s="1178"/>
      <c r="J1684" s="1178"/>
      <c r="K1684" s="1178"/>
      <c r="L1684" s="1178"/>
      <c r="M1684" s="1178"/>
      <c r="N1684" s="1212" t="str">
        <f>IF( OR( ISBLANK(H1684),ISBLANK(J1684), ISBLANK(K1684), ISBLANK(L1684), ISBLANK(M1684) ), "", 1.5*SQRT(   EXP(2.21*(H1684-1)) + EXP(2.21*(J1684-1)) + EXP(2.21*(K1684-1)) + EXP(2.21*(L1684-1)) + EXP(2.21*M1684)   )/100*2.45 )</f>
        <v/>
      </c>
      <c r="O1684" s="1212" t="str">
        <f>IF( OR( ISBLANK(I1684),ISBLANK(J1684), ISBLANK(K1684), ISBLANK(L1684), ISBLANK(M1684) ), "", 1.5*SQRT( EXP(2.21*(I1684-1)) + EXP(2.21*(J1684-1)) + EXP(2.21*(K1684-1)) + EXP(2.21*(L1684-1)) + EXP(2.21*M1684)   )/100*2.45 )</f>
        <v/>
      </c>
    </row>
    <row r="1685" spans="8:15">
      <c r="H1685" s="1178"/>
      <c r="I1685" s="1178"/>
      <c r="J1685" s="1178"/>
      <c r="K1685" s="1178"/>
      <c r="L1685" s="1178"/>
      <c r="M1685" s="1178"/>
      <c r="N1685" s="1212" t="str">
        <f>IF( OR( ISBLANK(H1685),ISBLANK(J1685), ISBLANK(K1685), ISBLANK(L1685), ISBLANK(M1685) ), "", 1.5*SQRT(   EXP(2.21*(H1685-1)) + EXP(2.21*(J1685-1)) + EXP(2.21*(K1685-1)) + EXP(2.21*(L1685-1)) + EXP(2.21*M1685)   )/100*2.45 )</f>
        <v/>
      </c>
      <c r="O1685" s="1212" t="str">
        <f>IF( OR( ISBLANK(I1685),ISBLANK(J1685), ISBLANK(K1685), ISBLANK(L1685), ISBLANK(M1685) ), "", 1.5*SQRT( EXP(2.21*(I1685-1)) + EXP(2.21*(J1685-1)) + EXP(2.21*(K1685-1)) + EXP(2.21*(L1685-1)) + EXP(2.21*M1685)   )/100*2.45 )</f>
        <v/>
      </c>
    </row>
    <row r="1686" spans="8:15">
      <c r="H1686" s="1178"/>
      <c r="I1686" s="1178"/>
      <c r="J1686" s="1178"/>
      <c r="K1686" s="1178"/>
      <c r="L1686" s="1178"/>
      <c r="M1686" s="1178"/>
      <c r="N1686" s="1212" t="str">
        <f>IF( OR( ISBLANK(H1686),ISBLANK(J1686), ISBLANK(K1686), ISBLANK(L1686), ISBLANK(M1686) ), "", 1.5*SQRT(   EXP(2.21*(H1686-1)) + EXP(2.21*(J1686-1)) + EXP(2.21*(K1686-1)) + EXP(2.21*(L1686-1)) + EXP(2.21*M1686)   )/100*2.45 )</f>
        <v/>
      </c>
      <c r="O1686" s="1212" t="str">
        <f>IF( OR( ISBLANK(I1686),ISBLANK(J1686), ISBLANK(K1686), ISBLANK(L1686), ISBLANK(M1686) ), "", 1.5*SQRT( EXP(2.21*(I1686-1)) + EXP(2.21*(J1686-1)) + EXP(2.21*(K1686-1)) + EXP(2.21*(L1686-1)) + EXP(2.21*M1686)   )/100*2.45 )</f>
        <v/>
      </c>
    </row>
    <row r="1687" spans="8:15">
      <c r="H1687" s="1178"/>
      <c r="I1687" s="1178"/>
      <c r="J1687" s="1178"/>
      <c r="K1687" s="1178"/>
      <c r="L1687" s="1178"/>
      <c r="M1687" s="1178"/>
      <c r="N1687" s="1212" t="str">
        <f>IF( OR( ISBLANK(H1687),ISBLANK(J1687), ISBLANK(K1687), ISBLANK(L1687), ISBLANK(M1687) ), "", 1.5*SQRT(   EXP(2.21*(H1687-1)) + EXP(2.21*(J1687-1)) + EXP(2.21*(K1687-1)) + EXP(2.21*(L1687-1)) + EXP(2.21*M1687)   )/100*2.45 )</f>
        <v/>
      </c>
      <c r="O1687" s="1212" t="str">
        <f>IF( OR( ISBLANK(I1687),ISBLANK(J1687), ISBLANK(K1687), ISBLANK(L1687), ISBLANK(M1687) ), "", 1.5*SQRT( EXP(2.21*(I1687-1)) + EXP(2.21*(J1687-1)) + EXP(2.21*(K1687-1)) + EXP(2.21*(L1687-1)) + EXP(2.21*M1687)   )/100*2.45 )</f>
        <v/>
      </c>
    </row>
    <row r="1688" spans="8:15">
      <c r="H1688" s="1178"/>
      <c r="I1688" s="1178"/>
      <c r="J1688" s="1178"/>
      <c r="K1688" s="1178"/>
      <c r="L1688" s="1178"/>
      <c r="M1688" s="1178"/>
      <c r="N1688" s="1212" t="str">
        <f>IF( OR( ISBLANK(H1688),ISBLANK(J1688), ISBLANK(K1688), ISBLANK(L1688), ISBLANK(M1688) ), "", 1.5*SQRT(   EXP(2.21*(H1688-1)) + EXP(2.21*(J1688-1)) + EXP(2.21*(K1688-1)) + EXP(2.21*(L1688-1)) + EXP(2.21*M1688)   )/100*2.45 )</f>
        <v/>
      </c>
      <c r="O1688" s="1212" t="str">
        <f>IF( OR( ISBLANK(I1688),ISBLANK(J1688), ISBLANK(K1688), ISBLANK(L1688), ISBLANK(M1688) ), "", 1.5*SQRT( EXP(2.21*(I1688-1)) + EXP(2.21*(J1688-1)) + EXP(2.21*(K1688-1)) + EXP(2.21*(L1688-1)) + EXP(2.21*M1688)   )/100*2.45 )</f>
        <v/>
      </c>
    </row>
    <row r="1689" spans="8:15">
      <c r="H1689" s="1178"/>
      <c r="I1689" s="1178"/>
      <c r="J1689" s="1178"/>
      <c r="K1689" s="1178"/>
      <c r="L1689" s="1178"/>
      <c r="M1689" s="1178"/>
      <c r="N1689" s="1212" t="str">
        <f>IF( OR( ISBLANK(H1689),ISBLANK(J1689), ISBLANK(K1689), ISBLANK(L1689), ISBLANK(M1689) ), "", 1.5*SQRT(   EXP(2.21*(H1689-1)) + EXP(2.21*(J1689-1)) + EXP(2.21*(K1689-1)) + EXP(2.21*(L1689-1)) + EXP(2.21*M1689)   )/100*2.45 )</f>
        <v/>
      </c>
      <c r="O1689" s="1212" t="str">
        <f>IF( OR( ISBLANK(I1689),ISBLANK(J1689), ISBLANK(K1689), ISBLANK(L1689), ISBLANK(M1689) ), "", 1.5*SQRT( EXP(2.21*(I1689-1)) + EXP(2.21*(J1689-1)) + EXP(2.21*(K1689-1)) + EXP(2.21*(L1689-1)) + EXP(2.21*M1689)   )/100*2.45 )</f>
        <v/>
      </c>
    </row>
    <row r="1690" spans="8:15">
      <c r="H1690" s="1178"/>
      <c r="I1690" s="1178"/>
      <c r="J1690" s="1178"/>
      <c r="K1690" s="1178"/>
      <c r="L1690" s="1178"/>
      <c r="M1690" s="1178"/>
      <c r="N1690" s="1212" t="str">
        <f>IF( OR( ISBLANK(H1690),ISBLANK(J1690), ISBLANK(K1690), ISBLANK(L1690), ISBLANK(M1690) ), "", 1.5*SQRT(   EXP(2.21*(H1690-1)) + EXP(2.21*(J1690-1)) + EXP(2.21*(K1690-1)) + EXP(2.21*(L1690-1)) + EXP(2.21*M1690)   )/100*2.45 )</f>
        <v/>
      </c>
      <c r="O1690" s="1212" t="str">
        <f>IF( OR( ISBLANK(I1690),ISBLANK(J1690), ISBLANK(K1690), ISBLANK(L1690), ISBLANK(M1690) ), "", 1.5*SQRT( EXP(2.21*(I1690-1)) + EXP(2.21*(J1690-1)) + EXP(2.21*(K1690-1)) + EXP(2.21*(L1690-1)) + EXP(2.21*M1690)   )/100*2.45 )</f>
        <v/>
      </c>
    </row>
    <row r="1691" spans="8:15">
      <c r="H1691" s="1178"/>
      <c r="I1691" s="1178"/>
      <c r="J1691" s="1178"/>
      <c r="K1691" s="1178"/>
      <c r="L1691" s="1178"/>
      <c r="M1691" s="1178"/>
      <c r="N1691" s="1212" t="str">
        <f>IF( OR( ISBLANK(H1691),ISBLANK(J1691), ISBLANK(K1691), ISBLANK(L1691), ISBLANK(M1691) ), "", 1.5*SQRT(   EXP(2.21*(H1691-1)) + EXP(2.21*(J1691-1)) + EXP(2.21*(K1691-1)) + EXP(2.21*(L1691-1)) + EXP(2.21*M1691)   )/100*2.45 )</f>
        <v/>
      </c>
      <c r="O1691" s="1212" t="str">
        <f>IF( OR( ISBLANK(I1691),ISBLANK(J1691), ISBLANK(K1691), ISBLANK(L1691), ISBLANK(M1691) ), "", 1.5*SQRT( EXP(2.21*(I1691-1)) + EXP(2.21*(J1691-1)) + EXP(2.21*(K1691-1)) + EXP(2.21*(L1691-1)) + EXP(2.21*M1691)   )/100*2.45 )</f>
        <v/>
      </c>
    </row>
    <row r="1692" spans="8:15">
      <c r="H1692" s="1178"/>
      <c r="I1692" s="1178"/>
      <c r="J1692" s="1178"/>
      <c r="K1692" s="1178"/>
      <c r="L1692" s="1178"/>
      <c r="M1692" s="1178"/>
      <c r="N1692" s="1212" t="str">
        <f>IF( OR( ISBLANK(H1692),ISBLANK(J1692), ISBLANK(K1692), ISBLANK(L1692), ISBLANK(M1692) ), "", 1.5*SQRT(   EXP(2.21*(H1692-1)) + EXP(2.21*(J1692-1)) + EXP(2.21*(K1692-1)) + EXP(2.21*(L1692-1)) + EXP(2.21*M1692)   )/100*2.45 )</f>
        <v/>
      </c>
      <c r="O1692" s="1212" t="str">
        <f>IF( OR( ISBLANK(I1692),ISBLANK(J1692), ISBLANK(K1692), ISBLANK(L1692), ISBLANK(M1692) ), "", 1.5*SQRT( EXP(2.21*(I1692-1)) + EXP(2.21*(J1692-1)) + EXP(2.21*(K1692-1)) + EXP(2.21*(L1692-1)) + EXP(2.21*M1692)   )/100*2.45 )</f>
        <v/>
      </c>
    </row>
    <row r="1693" spans="8:15">
      <c r="H1693" s="1178"/>
      <c r="I1693" s="1178"/>
      <c r="J1693" s="1178"/>
      <c r="K1693" s="1178"/>
      <c r="L1693" s="1178"/>
      <c r="M1693" s="1178"/>
      <c r="N1693" s="1212" t="str">
        <f>IF( OR( ISBLANK(H1693),ISBLANK(J1693), ISBLANK(K1693), ISBLANK(L1693), ISBLANK(M1693) ), "", 1.5*SQRT(   EXP(2.21*(H1693-1)) + EXP(2.21*(J1693-1)) + EXP(2.21*(K1693-1)) + EXP(2.21*(L1693-1)) + EXP(2.21*M1693)   )/100*2.45 )</f>
        <v/>
      </c>
      <c r="O1693" s="1212" t="str">
        <f>IF( OR( ISBLANK(I1693),ISBLANK(J1693), ISBLANK(K1693), ISBLANK(L1693), ISBLANK(M1693) ), "", 1.5*SQRT( EXP(2.21*(I1693-1)) + EXP(2.21*(J1693-1)) + EXP(2.21*(K1693-1)) + EXP(2.21*(L1693-1)) + EXP(2.21*M1693)   )/100*2.45 )</f>
        <v/>
      </c>
    </row>
    <row r="1694" spans="8:15">
      <c r="H1694" s="1178"/>
      <c r="I1694" s="1178"/>
      <c r="J1694" s="1178"/>
      <c r="K1694" s="1178"/>
      <c r="L1694" s="1178"/>
      <c r="M1694" s="1178"/>
      <c r="N1694" s="1212" t="str">
        <f>IF( OR( ISBLANK(H1694),ISBLANK(J1694), ISBLANK(K1694), ISBLANK(L1694), ISBLANK(M1694) ), "", 1.5*SQRT(   EXP(2.21*(H1694-1)) + EXP(2.21*(J1694-1)) + EXP(2.21*(K1694-1)) + EXP(2.21*(L1694-1)) + EXP(2.21*M1694)   )/100*2.45 )</f>
        <v/>
      </c>
      <c r="O1694" s="1212" t="str">
        <f>IF( OR( ISBLANK(I1694),ISBLANK(J1694), ISBLANK(K1694), ISBLANK(L1694), ISBLANK(M1694) ), "", 1.5*SQRT( EXP(2.21*(I1694-1)) + EXP(2.21*(J1694-1)) + EXP(2.21*(K1694-1)) + EXP(2.21*(L1694-1)) + EXP(2.21*M1694)   )/100*2.45 )</f>
        <v/>
      </c>
    </row>
    <row r="1695" spans="8:15">
      <c r="H1695" s="1178"/>
      <c r="I1695" s="1178"/>
      <c r="J1695" s="1178"/>
      <c r="K1695" s="1178"/>
      <c r="L1695" s="1178"/>
      <c r="M1695" s="1178"/>
      <c r="N1695" s="1212" t="str">
        <f>IF( OR( ISBLANK(H1695),ISBLANK(J1695), ISBLANK(K1695), ISBLANK(L1695), ISBLANK(M1695) ), "", 1.5*SQRT(   EXP(2.21*(H1695-1)) + EXP(2.21*(J1695-1)) + EXP(2.21*(K1695-1)) + EXP(2.21*(L1695-1)) + EXP(2.21*M1695)   )/100*2.45 )</f>
        <v/>
      </c>
      <c r="O1695" s="1212" t="str">
        <f>IF( OR( ISBLANK(I1695),ISBLANK(J1695), ISBLANK(K1695), ISBLANK(L1695), ISBLANK(M1695) ), "", 1.5*SQRT( EXP(2.21*(I1695-1)) + EXP(2.21*(J1695-1)) + EXP(2.21*(K1695-1)) + EXP(2.21*(L1695-1)) + EXP(2.21*M1695)   )/100*2.45 )</f>
        <v/>
      </c>
    </row>
    <row r="1696" spans="8:15">
      <c r="H1696" s="1178"/>
      <c r="I1696" s="1178"/>
      <c r="J1696" s="1178"/>
      <c r="K1696" s="1178"/>
      <c r="L1696" s="1178"/>
      <c r="M1696" s="1178"/>
      <c r="N1696" s="1212" t="str">
        <f>IF( OR( ISBLANK(H1696),ISBLANK(J1696), ISBLANK(K1696), ISBLANK(L1696), ISBLANK(M1696) ), "", 1.5*SQRT(   EXP(2.21*(H1696-1)) + EXP(2.21*(J1696-1)) + EXP(2.21*(K1696-1)) + EXP(2.21*(L1696-1)) + EXP(2.21*M1696)   )/100*2.45 )</f>
        <v/>
      </c>
      <c r="O1696" s="1212" t="str">
        <f>IF( OR( ISBLANK(I1696),ISBLANK(J1696), ISBLANK(K1696), ISBLANK(L1696), ISBLANK(M1696) ), "", 1.5*SQRT( EXP(2.21*(I1696-1)) + EXP(2.21*(J1696-1)) + EXP(2.21*(K1696-1)) + EXP(2.21*(L1696-1)) + EXP(2.21*M1696)   )/100*2.45 )</f>
        <v/>
      </c>
    </row>
    <row r="1697" spans="8:15">
      <c r="H1697" s="1178"/>
      <c r="I1697" s="1178"/>
      <c r="J1697" s="1178"/>
      <c r="K1697" s="1178"/>
      <c r="L1697" s="1178"/>
      <c r="M1697" s="1178"/>
      <c r="N1697" s="1212" t="str">
        <f>IF( OR( ISBLANK(H1697),ISBLANK(J1697), ISBLANK(K1697), ISBLANK(L1697), ISBLANK(M1697) ), "", 1.5*SQRT(   EXP(2.21*(H1697-1)) + EXP(2.21*(J1697-1)) + EXP(2.21*(K1697-1)) + EXP(2.21*(L1697-1)) + EXP(2.21*M1697)   )/100*2.45 )</f>
        <v/>
      </c>
      <c r="O1697" s="1212" t="str">
        <f>IF( OR( ISBLANK(I1697),ISBLANK(J1697), ISBLANK(K1697), ISBLANK(L1697), ISBLANK(M1697) ), "", 1.5*SQRT( EXP(2.21*(I1697-1)) + EXP(2.21*(J1697-1)) + EXP(2.21*(K1697-1)) + EXP(2.21*(L1697-1)) + EXP(2.21*M1697)   )/100*2.45 )</f>
        <v/>
      </c>
    </row>
    <row r="1698" spans="8:15">
      <c r="H1698" s="1178"/>
      <c r="I1698" s="1178"/>
      <c r="J1698" s="1178"/>
      <c r="K1698" s="1178"/>
      <c r="L1698" s="1178"/>
      <c r="M1698" s="1178"/>
      <c r="N1698" s="1212" t="str">
        <f>IF( OR( ISBLANK(H1698),ISBLANK(J1698), ISBLANK(K1698), ISBLANK(L1698), ISBLANK(M1698) ), "", 1.5*SQRT(   EXP(2.21*(H1698-1)) + EXP(2.21*(J1698-1)) + EXP(2.21*(K1698-1)) + EXP(2.21*(L1698-1)) + EXP(2.21*M1698)   )/100*2.45 )</f>
        <v/>
      </c>
      <c r="O1698" s="1212" t="str">
        <f>IF( OR( ISBLANK(I1698),ISBLANK(J1698), ISBLANK(K1698), ISBLANK(L1698), ISBLANK(M1698) ), "", 1.5*SQRT( EXP(2.21*(I1698-1)) + EXP(2.21*(J1698-1)) + EXP(2.21*(K1698-1)) + EXP(2.21*(L1698-1)) + EXP(2.21*M1698)   )/100*2.45 )</f>
        <v/>
      </c>
    </row>
    <row r="1699" spans="8:15">
      <c r="H1699" s="1178"/>
      <c r="I1699" s="1178"/>
      <c r="J1699" s="1178"/>
      <c r="K1699" s="1178"/>
      <c r="L1699" s="1178"/>
      <c r="M1699" s="1178"/>
      <c r="N1699" s="1212" t="str">
        <f>IF( OR( ISBLANK(H1699),ISBLANK(J1699), ISBLANK(K1699), ISBLANK(L1699), ISBLANK(M1699) ), "", 1.5*SQRT(   EXP(2.21*(H1699-1)) + EXP(2.21*(J1699-1)) + EXP(2.21*(K1699-1)) + EXP(2.21*(L1699-1)) + EXP(2.21*M1699)   )/100*2.45 )</f>
        <v/>
      </c>
      <c r="O1699" s="1212" t="str">
        <f>IF( OR( ISBLANK(I1699),ISBLANK(J1699), ISBLANK(K1699), ISBLANK(L1699), ISBLANK(M1699) ), "", 1.5*SQRT( EXP(2.21*(I1699-1)) + EXP(2.21*(J1699-1)) + EXP(2.21*(K1699-1)) + EXP(2.21*(L1699-1)) + EXP(2.21*M1699)   )/100*2.45 )</f>
        <v/>
      </c>
    </row>
    <row r="1700" spans="8:15">
      <c r="H1700" s="1178"/>
      <c r="I1700" s="1178"/>
      <c r="J1700" s="1178"/>
      <c r="K1700" s="1178"/>
      <c r="L1700" s="1178"/>
      <c r="M1700" s="1178"/>
      <c r="N1700" s="1212" t="str">
        <f>IF( OR( ISBLANK(H1700),ISBLANK(J1700), ISBLANK(K1700), ISBLANK(L1700), ISBLANK(M1700) ), "", 1.5*SQRT(   EXP(2.21*(H1700-1)) + EXP(2.21*(J1700-1)) + EXP(2.21*(K1700-1)) + EXP(2.21*(L1700-1)) + EXP(2.21*M1700)   )/100*2.45 )</f>
        <v/>
      </c>
      <c r="O1700" s="1212" t="str">
        <f>IF( OR( ISBLANK(I1700),ISBLANK(J1700), ISBLANK(K1700), ISBLANK(L1700), ISBLANK(M1700) ), "", 1.5*SQRT( EXP(2.21*(I1700-1)) + EXP(2.21*(J1700-1)) + EXP(2.21*(K1700-1)) + EXP(2.21*(L1700-1)) + EXP(2.21*M1700)   )/100*2.45 )</f>
        <v/>
      </c>
    </row>
    <row r="1701" spans="8:15">
      <c r="H1701" s="1178"/>
      <c r="I1701" s="1178"/>
      <c r="J1701" s="1178"/>
      <c r="K1701" s="1178"/>
      <c r="L1701" s="1178"/>
      <c r="M1701" s="1178"/>
      <c r="N1701" s="1212" t="str">
        <f>IF( OR( ISBLANK(H1701),ISBLANK(J1701), ISBLANK(K1701), ISBLANK(L1701), ISBLANK(M1701) ), "", 1.5*SQRT(   EXP(2.21*(H1701-1)) + EXP(2.21*(J1701-1)) + EXP(2.21*(K1701-1)) + EXP(2.21*(L1701-1)) + EXP(2.21*M1701)   )/100*2.45 )</f>
        <v/>
      </c>
      <c r="O1701" s="1212" t="str">
        <f>IF( OR( ISBLANK(I1701),ISBLANK(J1701), ISBLANK(K1701), ISBLANK(L1701), ISBLANK(M1701) ), "", 1.5*SQRT( EXP(2.21*(I1701-1)) + EXP(2.21*(J1701-1)) + EXP(2.21*(K1701-1)) + EXP(2.21*(L1701-1)) + EXP(2.21*M1701)   )/100*2.45 )</f>
        <v/>
      </c>
    </row>
    <row r="1702" spans="8:15">
      <c r="H1702" s="1178"/>
      <c r="I1702" s="1178"/>
      <c r="J1702" s="1178"/>
      <c r="K1702" s="1178"/>
      <c r="L1702" s="1178"/>
      <c r="M1702" s="1178"/>
      <c r="N1702" s="1212" t="str">
        <f>IF( OR( ISBLANK(H1702),ISBLANK(J1702), ISBLANK(K1702), ISBLANK(L1702), ISBLANK(M1702) ), "", 1.5*SQRT(   EXP(2.21*(H1702-1)) + EXP(2.21*(J1702-1)) + EXP(2.21*(K1702-1)) + EXP(2.21*(L1702-1)) + EXP(2.21*M1702)   )/100*2.45 )</f>
        <v/>
      </c>
      <c r="O1702" s="1212" t="str">
        <f>IF( OR( ISBLANK(I1702),ISBLANK(J1702), ISBLANK(K1702), ISBLANK(L1702), ISBLANK(M1702) ), "", 1.5*SQRT( EXP(2.21*(I1702-1)) + EXP(2.21*(J1702-1)) + EXP(2.21*(K1702-1)) + EXP(2.21*(L1702-1)) + EXP(2.21*M1702)   )/100*2.45 )</f>
        <v/>
      </c>
    </row>
    <row r="1703" spans="8:15">
      <c r="H1703" s="1178"/>
      <c r="I1703" s="1178"/>
      <c r="J1703" s="1178"/>
      <c r="K1703" s="1178"/>
      <c r="L1703" s="1178"/>
      <c r="M1703" s="1178"/>
      <c r="N1703" s="1212" t="str">
        <f>IF( OR( ISBLANK(H1703),ISBLANK(J1703), ISBLANK(K1703), ISBLANK(L1703), ISBLANK(M1703) ), "", 1.5*SQRT(   EXP(2.21*(H1703-1)) + EXP(2.21*(J1703-1)) + EXP(2.21*(K1703-1)) + EXP(2.21*(L1703-1)) + EXP(2.21*M1703)   )/100*2.45 )</f>
        <v/>
      </c>
      <c r="O1703" s="1212" t="str">
        <f>IF( OR( ISBLANK(I1703),ISBLANK(J1703), ISBLANK(K1703), ISBLANK(L1703), ISBLANK(M1703) ), "", 1.5*SQRT( EXP(2.21*(I1703-1)) + EXP(2.21*(J1703-1)) + EXP(2.21*(K1703-1)) + EXP(2.21*(L1703-1)) + EXP(2.21*M1703)   )/100*2.45 )</f>
        <v/>
      </c>
    </row>
    <row r="1704" spans="8:15">
      <c r="H1704" s="1178"/>
      <c r="I1704" s="1178"/>
      <c r="J1704" s="1178"/>
      <c r="K1704" s="1178"/>
      <c r="L1704" s="1178"/>
      <c r="M1704" s="1178"/>
      <c r="N1704" s="1212" t="str">
        <f>IF( OR( ISBLANK(H1704),ISBLANK(J1704), ISBLANK(K1704), ISBLANK(L1704), ISBLANK(M1704) ), "", 1.5*SQRT(   EXP(2.21*(H1704-1)) + EXP(2.21*(J1704-1)) + EXP(2.21*(K1704-1)) + EXP(2.21*(L1704-1)) + EXP(2.21*M1704)   )/100*2.45 )</f>
        <v/>
      </c>
      <c r="O1704" s="1212" t="str">
        <f>IF( OR( ISBLANK(I1704),ISBLANK(J1704), ISBLANK(K1704), ISBLANK(L1704), ISBLANK(M1704) ), "", 1.5*SQRT( EXP(2.21*(I1704-1)) + EXP(2.21*(J1704-1)) + EXP(2.21*(K1704-1)) + EXP(2.21*(L1704-1)) + EXP(2.21*M1704)   )/100*2.45 )</f>
        <v/>
      </c>
    </row>
    <row r="1705" spans="8:15">
      <c r="H1705" s="1178"/>
      <c r="I1705" s="1178"/>
      <c r="J1705" s="1178"/>
      <c r="K1705" s="1178"/>
      <c r="L1705" s="1178"/>
      <c r="M1705" s="1178"/>
      <c r="N1705" s="1212" t="str">
        <f>IF( OR( ISBLANK(H1705),ISBLANK(J1705), ISBLANK(K1705), ISBLANK(L1705), ISBLANK(M1705) ), "", 1.5*SQRT(   EXP(2.21*(H1705-1)) + EXP(2.21*(J1705-1)) + EXP(2.21*(K1705-1)) + EXP(2.21*(L1705-1)) + EXP(2.21*M1705)   )/100*2.45 )</f>
        <v/>
      </c>
      <c r="O1705" s="1212" t="str">
        <f>IF( OR( ISBLANK(I1705),ISBLANK(J1705), ISBLANK(K1705), ISBLANK(L1705), ISBLANK(M1705) ), "", 1.5*SQRT( EXP(2.21*(I1705-1)) + EXP(2.21*(J1705-1)) + EXP(2.21*(K1705-1)) + EXP(2.21*(L1705-1)) + EXP(2.21*M1705)   )/100*2.45 )</f>
        <v/>
      </c>
    </row>
    <row r="1706" spans="8:15">
      <c r="H1706" s="1178"/>
      <c r="I1706" s="1178"/>
      <c r="J1706" s="1178"/>
      <c r="K1706" s="1178"/>
      <c r="L1706" s="1178"/>
      <c r="M1706" s="1178"/>
      <c r="N1706" s="1212" t="str">
        <f>IF( OR( ISBLANK(H1706),ISBLANK(J1706), ISBLANK(K1706), ISBLANK(L1706), ISBLANK(M1706) ), "", 1.5*SQRT(   EXP(2.21*(H1706-1)) + EXP(2.21*(J1706-1)) + EXP(2.21*(K1706-1)) + EXP(2.21*(L1706-1)) + EXP(2.21*M1706)   )/100*2.45 )</f>
        <v/>
      </c>
      <c r="O1706" s="1212" t="str">
        <f>IF( OR( ISBLANK(I1706),ISBLANK(J1706), ISBLANK(K1706), ISBLANK(L1706), ISBLANK(M1706) ), "", 1.5*SQRT( EXP(2.21*(I1706-1)) + EXP(2.21*(J1706-1)) + EXP(2.21*(K1706-1)) + EXP(2.21*(L1706-1)) + EXP(2.21*M1706)   )/100*2.45 )</f>
        <v/>
      </c>
    </row>
    <row r="1707" spans="8:15">
      <c r="H1707" s="1178"/>
      <c r="I1707" s="1178"/>
      <c r="J1707" s="1178"/>
      <c r="K1707" s="1178"/>
      <c r="L1707" s="1178"/>
      <c r="M1707" s="1178"/>
      <c r="N1707" s="1212" t="str">
        <f>IF( OR( ISBLANK(H1707),ISBLANK(J1707), ISBLANK(K1707), ISBLANK(L1707), ISBLANK(M1707) ), "", 1.5*SQRT(   EXP(2.21*(H1707-1)) + EXP(2.21*(J1707-1)) + EXP(2.21*(K1707-1)) + EXP(2.21*(L1707-1)) + EXP(2.21*M1707)   )/100*2.45 )</f>
        <v/>
      </c>
      <c r="O1707" s="1212" t="str">
        <f>IF( OR( ISBLANK(I1707),ISBLANK(J1707), ISBLANK(K1707), ISBLANK(L1707), ISBLANK(M1707) ), "", 1.5*SQRT( EXP(2.21*(I1707-1)) + EXP(2.21*(J1707-1)) + EXP(2.21*(K1707-1)) + EXP(2.21*(L1707-1)) + EXP(2.21*M1707)   )/100*2.45 )</f>
        <v/>
      </c>
    </row>
    <row r="1708" spans="8:15">
      <c r="H1708" s="1178"/>
      <c r="I1708" s="1178"/>
      <c r="J1708" s="1178"/>
      <c r="K1708" s="1178"/>
      <c r="L1708" s="1178"/>
      <c r="M1708" s="1178"/>
      <c r="N1708" s="1212" t="str">
        <f>IF( OR( ISBLANK(H1708),ISBLANK(J1708), ISBLANK(K1708), ISBLANK(L1708), ISBLANK(M1708) ), "", 1.5*SQRT(   EXP(2.21*(H1708-1)) + EXP(2.21*(J1708-1)) + EXP(2.21*(K1708-1)) + EXP(2.21*(L1708-1)) + EXP(2.21*M1708)   )/100*2.45 )</f>
        <v/>
      </c>
      <c r="O1708" s="1212" t="str">
        <f>IF( OR( ISBLANK(I1708),ISBLANK(J1708), ISBLANK(K1708), ISBLANK(L1708), ISBLANK(M1708) ), "", 1.5*SQRT( EXP(2.21*(I1708-1)) + EXP(2.21*(J1708-1)) + EXP(2.21*(K1708-1)) + EXP(2.21*(L1708-1)) + EXP(2.21*M1708)   )/100*2.45 )</f>
        <v/>
      </c>
    </row>
    <row r="1709" spans="8:15">
      <c r="H1709" s="1178"/>
      <c r="I1709" s="1178"/>
      <c r="J1709" s="1178"/>
      <c r="K1709" s="1178"/>
      <c r="L1709" s="1178"/>
      <c r="M1709" s="1178"/>
      <c r="N1709" s="1212" t="str">
        <f>IF( OR( ISBLANK(H1709),ISBLANK(J1709), ISBLANK(K1709), ISBLANK(L1709), ISBLANK(M1709) ), "", 1.5*SQRT(   EXP(2.21*(H1709-1)) + EXP(2.21*(J1709-1)) + EXP(2.21*(K1709-1)) + EXP(2.21*(L1709-1)) + EXP(2.21*M1709)   )/100*2.45 )</f>
        <v/>
      </c>
      <c r="O1709" s="1212" t="str">
        <f>IF( OR( ISBLANK(I1709),ISBLANK(J1709), ISBLANK(K1709), ISBLANK(L1709), ISBLANK(M1709) ), "", 1.5*SQRT( EXP(2.21*(I1709-1)) + EXP(2.21*(J1709-1)) + EXP(2.21*(K1709-1)) + EXP(2.21*(L1709-1)) + EXP(2.21*M1709)   )/100*2.45 )</f>
        <v/>
      </c>
    </row>
    <row r="1710" spans="8:15">
      <c r="H1710" s="1178"/>
      <c r="I1710" s="1178"/>
      <c r="J1710" s="1178"/>
      <c r="K1710" s="1178"/>
      <c r="L1710" s="1178"/>
      <c r="M1710" s="1178"/>
      <c r="N1710" s="1212" t="str">
        <f>IF( OR( ISBLANK(H1710),ISBLANK(J1710), ISBLANK(K1710), ISBLANK(L1710), ISBLANK(M1710) ), "", 1.5*SQRT(   EXP(2.21*(H1710-1)) + EXP(2.21*(J1710-1)) + EXP(2.21*(K1710-1)) + EXP(2.21*(L1710-1)) + EXP(2.21*M1710)   )/100*2.45 )</f>
        <v/>
      </c>
      <c r="O1710" s="1212" t="str">
        <f>IF( OR( ISBLANK(I1710),ISBLANK(J1710), ISBLANK(K1710), ISBLANK(L1710), ISBLANK(M1710) ), "", 1.5*SQRT( EXP(2.21*(I1710-1)) + EXP(2.21*(J1710-1)) + EXP(2.21*(K1710-1)) + EXP(2.21*(L1710-1)) + EXP(2.21*M1710)   )/100*2.45 )</f>
        <v/>
      </c>
    </row>
    <row r="1711" spans="8:15">
      <c r="H1711" s="1178"/>
      <c r="I1711" s="1178"/>
      <c r="J1711" s="1178"/>
      <c r="K1711" s="1178"/>
      <c r="L1711" s="1178"/>
      <c r="M1711" s="1178"/>
      <c r="N1711" s="1212" t="str">
        <f>IF( OR( ISBLANK(H1711),ISBLANK(J1711), ISBLANK(K1711), ISBLANK(L1711), ISBLANK(M1711) ), "", 1.5*SQRT(   EXP(2.21*(H1711-1)) + EXP(2.21*(J1711-1)) + EXP(2.21*(K1711-1)) + EXP(2.21*(L1711-1)) + EXP(2.21*M1711)   )/100*2.45 )</f>
        <v/>
      </c>
      <c r="O1711" s="1212" t="str">
        <f>IF( OR( ISBLANK(I1711),ISBLANK(J1711), ISBLANK(K1711), ISBLANK(L1711), ISBLANK(M1711) ), "", 1.5*SQRT( EXP(2.21*(I1711-1)) + EXP(2.21*(J1711-1)) + EXP(2.21*(K1711-1)) + EXP(2.21*(L1711-1)) + EXP(2.21*M1711)   )/100*2.45 )</f>
        <v/>
      </c>
    </row>
    <row r="1712" spans="8:15">
      <c r="H1712" s="1178"/>
      <c r="I1712" s="1178"/>
      <c r="J1712" s="1178"/>
      <c r="K1712" s="1178"/>
      <c r="L1712" s="1178"/>
      <c r="M1712" s="1178"/>
      <c r="N1712" s="1212" t="str">
        <f>IF( OR( ISBLANK(H1712),ISBLANK(J1712), ISBLANK(K1712), ISBLANK(L1712), ISBLANK(M1712) ), "", 1.5*SQRT(   EXP(2.21*(H1712-1)) + EXP(2.21*(J1712-1)) + EXP(2.21*(K1712-1)) + EXP(2.21*(L1712-1)) + EXP(2.21*M1712)   )/100*2.45 )</f>
        <v/>
      </c>
      <c r="O1712" s="1212" t="str">
        <f>IF( OR( ISBLANK(I1712),ISBLANK(J1712), ISBLANK(K1712), ISBLANK(L1712), ISBLANK(M1712) ), "", 1.5*SQRT( EXP(2.21*(I1712-1)) + EXP(2.21*(J1712-1)) + EXP(2.21*(K1712-1)) + EXP(2.21*(L1712-1)) + EXP(2.21*M1712)   )/100*2.45 )</f>
        <v/>
      </c>
    </row>
    <row r="1713" spans="8:15">
      <c r="H1713" s="1178"/>
      <c r="I1713" s="1178"/>
      <c r="J1713" s="1178"/>
      <c r="K1713" s="1178"/>
      <c r="L1713" s="1178"/>
      <c r="M1713" s="1178"/>
      <c r="N1713" s="1212" t="str">
        <f>IF( OR( ISBLANK(H1713),ISBLANK(J1713), ISBLANK(K1713), ISBLANK(L1713), ISBLANK(M1713) ), "", 1.5*SQRT(   EXP(2.21*(H1713-1)) + EXP(2.21*(J1713-1)) + EXP(2.21*(K1713-1)) + EXP(2.21*(L1713-1)) + EXP(2.21*M1713)   )/100*2.45 )</f>
        <v/>
      </c>
      <c r="O1713" s="1212" t="str">
        <f>IF( OR( ISBLANK(I1713),ISBLANK(J1713), ISBLANK(K1713), ISBLANK(L1713), ISBLANK(M1713) ), "", 1.5*SQRT( EXP(2.21*(I1713-1)) + EXP(2.21*(J1713-1)) + EXP(2.21*(K1713-1)) + EXP(2.21*(L1713-1)) + EXP(2.21*M1713)   )/100*2.45 )</f>
        <v/>
      </c>
    </row>
    <row r="1714" spans="8:15">
      <c r="H1714" s="1178"/>
      <c r="I1714" s="1178"/>
      <c r="J1714" s="1178"/>
      <c r="K1714" s="1178"/>
      <c r="L1714" s="1178"/>
      <c r="M1714" s="1178"/>
      <c r="N1714" s="1212" t="str">
        <f>IF( OR( ISBLANK(H1714),ISBLANK(J1714), ISBLANK(K1714), ISBLANK(L1714), ISBLANK(M1714) ), "", 1.5*SQRT(   EXP(2.21*(H1714-1)) + EXP(2.21*(J1714-1)) + EXP(2.21*(K1714-1)) + EXP(2.21*(L1714-1)) + EXP(2.21*M1714)   )/100*2.45 )</f>
        <v/>
      </c>
      <c r="O1714" s="1212" t="str">
        <f>IF( OR( ISBLANK(I1714),ISBLANK(J1714), ISBLANK(K1714), ISBLANK(L1714), ISBLANK(M1714) ), "", 1.5*SQRT( EXP(2.21*(I1714-1)) + EXP(2.21*(J1714-1)) + EXP(2.21*(K1714-1)) + EXP(2.21*(L1714-1)) + EXP(2.21*M1714)   )/100*2.45 )</f>
        <v/>
      </c>
    </row>
    <row r="1715" spans="8:15">
      <c r="H1715" s="1178"/>
      <c r="I1715" s="1178"/>
      <c r="J1715" s="1178"/>
      <c r="K1715" s="1178"/>
      <c r="L1715" s="1178"/>
      <c r="M1715" s="1178"/>
      <c r="N1715" s="1212" t="str">
        <f>IF( OR( ISBLANK(H1715),ISBLANK(J1715), ISBLANK(K1715), ISBLANK(L1715), ISBLANK(M1715) ), "", 1.5*SQRT(   EXP(2.21*(H1715-1)) + EXP(2.21*(J1715-1)) + EXP(2.21*(K1715-1)) + EXP(2.21*(L1715-1)) + EXP(2.21*M1715)   )/100*2.45 )</f>
        <v/>
      </c>
      <c r="O1715" s="1212" t="str">
        <f>IF( OR( ISBLANK(I1715),ISBLANK(J1715), ISBLANK(K1715), ISBLANK(L1715), ISBLANK(M1715) ), "", 1.5*SQRT( EXP(2.21*(I1715-1)) + EXP(2.21*(J1715-1)) + EXP(2.21*(K1715-1)) + EXP(2.21*(L1715-1)) + EXP(2.21*M1715)   )/100*2.45 )</f>
        <v/>
      </c>
    </row>
    <row r="1716" spans="8:15">
      <c r="H1716" s="1178"/>
      <c r="I1716" s="1178"/>
      <c r="J1716" s="1178"/>
      <c r="K1716" s="1178"/>
      <c r="L1716" s="1178"/>
      <c r="M1716" s="1178"/>
      <c r="N1716" s="1212" t="str">
        <f>IF( OR( ISBLANK(H1716),ISBLANK(J1716), ISBLANK(K1716), ISBLANK(L1716), ISBLANK(M1716) ), "", 1.5*SQRT(   EXP(2.21*(H1716-1)) + EXP(2.21*(J1716-1)) + EXP(2.21*(K1716-1)) + EXP(2.21*(L1716-1)) + EXP(2.21*M1716)   )/100*2.45 )</f>
        <v/>
      </c>
      <c r="O1716" s="1212" t="str">
        <f>IF( OR( ISBLANK(I1716),ISBLANK(J1716), ISBLANK(K1716), ISBLANK(L1716), ISBLANK(M1716) ), "", 1.5*SQRT( EXP(2.21*(I1716-1)) + EXP(2.21*(J1716-1)) + EXP(2.21*(K1716-1)) + EXP(2.21*(L1716-1)) + EXP(2.21*M1716)   )/100*2.45 )</f>
        <v/>
      </c>
    </row>
    <row r="1717" spans="8:15">
      <c r="H1717" s="1178"/>
      <c r="I1717" s="1178"/>
      <c r="J1717" s="1178"/>
      <c r="K1717" s="1178"/>
      <c r="L1717" s="1178"/>
      <c r="M1717" s="1178"/>
      <c r="N1717" s="1212" t="str">
        <f>IF( OR( ISBLANK(H1717),ISBLANK(J1717), ISBLANK(K1717), ISBLANK(L1717), ISBLANK(M1717) ), "", 1.5*SQRT(   EXP(2.21*(H1717-1)) + EXP(2.21*(J1717-1)) + EXP(2.21*(K1717-1)) + EXP(2.21*(L1717-1)) + EXP(2.21*M1717)   )/100*2.45 )</f>
        <v/>
      </c>
      <c r="O1717" s="1212" t="str">
        <f>IF( OR( ISBLANK(I1717),ISBLANK(J1717), ISBLANK(K1717), ISBLANK(L1717), ISBLANK(M1717) ), "", 1.5*SQRT( EXP(2.21*(I1717-1)) + EXP(2.21*(J1717-1)) + EXP(2.21*(K1717-1)) + EXP(2.21*(L1717-1)) + EXP(2.21*M1717)   )/100*2.45 )</f>
        <v/>
      </c>
    </row>
    <row r="1718" spans="8:15">
      <c r="H1718" s="1178"/>
      <c r="I1718" s="1178"/>
      <c r="J1718" s="1178"/>
      <c r="K1718" s="1178"/>
      <c r="L1718" s="1178"/>
      <c r="M1718" s="1178"/>
      <c r="N1718" s="1212" t="str">
        <f>IF( OR( ISBLANK(H1718),ISBLANK(J1718), ISBLANK(K1718), ISBLANK(L1718), ISBLANK(M1718) ), "", 1.5*SQRT(   EXP(2.21*(H1718-1)) + EXP(2.21*(J1718-1)) + EXP(2.21*(K1718-1)) + EXP(2.21*(L1718-1)) + EXP(2.21*M1718)   )/100*2.45 )</f>
        <v/>
      </c>
      <c r="O1718" s="1212" t="str">
        <f>IF( OR( ISBLANK(I1718),ISBLANK(J1718), ISBLANK(K1718), ISBLANK(L1718), ISBLANK(M1718) ), "", 1.5*SQRT( EXP(2.21*(I1718-1)) + EXP(2.21*(J1718-1)) + EXP(2.21*(K1718-1)) + EXP(2.21*(L1718-1)) + EXP(2.21*M1718)   )/100*2.45 )</f>
        <v/>
      </c>
    </row>
    <row r="1719" spans="8:15">
      <c r="H1719" s="1178"/>
      <c r="I1719" s="1178"/>
      <c r="J1719" s="1178"/>
      <c r="K1719" s="1178"/>
      <c r="L1719" s="1178"/>
      <c r="M1719" s="1178"/>
      <c r="N1719" s="1212" t="str">
        <f>IF( OR( ISBLANK(H1719),ISBLANK(J1719), ISBLANK(K1719), ISBLANK(L1719), ISBLANK(M1719) ), "", 1.5*SQRT(   EXP(2.21*(H1719-1)) + EXP(2.21*(J1719-1)) + EXP(2.21*(K1719-1)) + EXP(2.21*(L1719-1)) + EXP(2.21*M1719)   )/100*2.45 )</f>
        <v/>
      </c>
      <c r="O1719" s="1212" t="str">
        <f>IF( OR( ISBLANK(I1719),ISBLANK(J1719), ISBLANK(K1719), ISBLANK(L1719), ISBLANK(M1719) ), "", 1.5*SQRT( EXP(2.21*(I1719-1)) + EXP(2.21*(J1719-1)) + EXP(2.21*(K1719-1)) + EXP(2.21*(L1719-1)) + EXP(2.21*M1719)   )/100*2.45 )</f>
        <v/>
      </c>
    </row>
    <row r="1720" spans="8:15">
      <c r="H1720" s="1178"/>
      <c r="I1720" s="1178"/>
      <c r="J1720" s="1178"/>
      <c r="K1720" s="1178"/>
      <c r="L1720" s="1178"/>
      <c r="M1720" s="1178"/>
      <c r="N1720" s="1212" t="str">
        <f>IF( OR( ISBLANK(H1720),ISBLANK(J1720), ISBLANK(K1720), ISBLANK(L1720), ISBLANK(M1720) ), "", 1.5*SQRT(   EXP(2.21*(H1720-1)) + EXP(2.21*(J1720-1)) + EXP(2.21*(K1720-1)) + EXP(2.21*(L1720-1)) + EXP(2.21*M1720)   )/100*2.45 )</f>
        <v/>
      </c>
      <c r="O1720" s="1212" t="str">
        <f>IF( OR( ISBLANK(I1720),ISBLANK(J1720), ISBLANK(K1720), ISBLANK(L1720), ISBLANK(M1720) ), "", 1.5*SQRT( EXP(2.21*(I1720-1)) + EXP(2.21*(J1720-1)) + EXP(2.21*(K1720-1)) + EXP(2.21*(L1720-1)) + EXP(2.21*M1720)   )/100*2.45 )</f>
        <v/>
      </c>
    </row>
    <row r="1721" spans="8:15">
      <c r="H1721" s="1178"/>
      <c r="I1721" s="1178"/>
      <c r="J1721" s="1178"/>
      <c r="K1721" s="1178"/>
      <c r="L1721" s="1178"/>
      <c r="M1721" s="1178"/>
      <c r="N1721" s="1212" t="str">
        <f>IF( OR( ISBLANK(H1721),ISBLANK(J1721), ISBLANK(K1721), ISBLANK(L1721), ISBLANK(M1721) ), "", 1.5*SQRT(   EXP(2.21*(H1721-1)) + EXP(2.21*(J1721-1)) + EXP(2.21*(K1721-1)) + EXP(2.21*(L1721-1)) + EXP(2.21*M1721)   )/100*2.45 )</f>
        <v/>
      </c>
      <c r="O1721" s="1212" t="str">
        <f>IF( OR( ISBLANK(I1721),ISBLANK(J1721), ISBLANK(K1721), ISBLANK(L1721), ISBLANK(M1721) ), "", 1.5*SQRT( EXP(2.21*(I1721-1)) + EXP(2.21*(J1721-1)) + EXP(2.21*(K1721-1)) + EXP(2.21*(L1721-1)) + EXP(2.21*M1721)   )/100*2.45 )</f>
        <v/>
      </c>
    </row>
    <row r="1722" spans="8:15">
      <c r="H1722" s="1178"/>
      <c r="I1722" s="1178"/>
      <c r="J1722" s="1178"/>
      <c r="K1722" s="1178"/>
      <c r="L1722" s="1178"/>
      <c r="M1722" s="1178"/>
      <c r="N1722" s="1212" t="str">
        <f>IF( OR( ISBLANK(H1722),ISBLANK(J1722), ISBLANK(K1722), ISBLANK(L1722), ISBLANK(M1722) ), "", 1.5*SQRT(   EXP(2.21*(H1722-1)) + EXP(2.21*(J1722-1)) + EXP(2.21*(K1722-1)) + EXP(2.21*(L1722-1)) + EXP(2.21*M1722)   )/100*2.45 )</f>
        <v/>
      </c>
      <c r="O1722" s="1212" t="str">
        <f>IF( OR( ISBLANK(I1722),ISBLANK(J1722), ISBLANK(K1722), ISBLANK(L1722), ISBLANK(M1722) ), "", 1.5*SQRT( EXP(2.21*(I1722-1)) + EXP(2.21*(J1722-1)) + EXP(2.21*(K1722-1)) + EXP(2.21*(L1722-1)) + EXP(2.21*M1722)   )/100*2.45 )</f>
        <v/>
      </c>
    </row>
    <row r="1723" spans="8:15">
      <c r="H1723" s="1178"/>
      <c r="I1723" s="1178"/>
      <c r="J1723" s="1178"/>
      <c r="K1723" s="1178"/>
      <c r="L1723" s="1178"/>
      <c r="M1723" s="1178"/>
      <c r="N1723" s="1212" t="str">
        <f>IF( OR( ISBLANK(H1723),ISBLANK(J1723), ISBLANK(K1723), ISBLANK(L1723), ISBLANK(M1723) ), "", 1.5*SQRT(   EXP(2.21*(H1723-1)) + EXP(2.21*(J1723-1)) + EXP(2.21*(K1723-1)) + EXP(2.21*(L1723-1)) + EXP(2.21*M1723)   )/100*2.45 )</f>
        <v/>
      </c>
      <c r="O1723" s="1212" t="str">
        <f>IF( OR( ISBLANK(I1723),ISBLANK(J1723), ISBLANK(K1723), ISBLANK(L1723), ISBLANK(M1723) ), "", 1.5*SQRT( EXP(2.21*(I1723-1)) + EXP(2.21*(J1723-1)) + EXP(2.21*(K1723-1)) + EXP(2.21*(L1723-1)) + EXP(2.21*M1723)   )/100*2.45 )</f>
        <v/>
      </c>
    </row>
    <row r="1724" spans="8:15">
      <c r="H1724" s="1178"/>
      <c r="I1724" s="1178"/>
      <c r="J1724" s="1178"/>
      <c r="K1724" s="1178"/>
      <c r="L1724" s="1178"/>
      <c r="M1724" s="1178"/>
      <c r="N1724" s="1212" t="str">
        <f>IF( OR( ISBLANK(H1724),ISBLANK(J1724), ISBLANK(K1724), ISBLANK(L1724), ISBLANK(M1724) ), "", 1.5*SQRT(   EXP(2.21*(H1724-1)) + EXP(2.21*(J1724-1)) + EXP(2.21*(K1724-1)) + EXP(2.21*(L1724-1)) + EXP(2.21*M1724)   )/100*2.45 )</f>
        <v/>
      </c>
      <c r="O1724" s="1212" t="str">
        <f>IF( OR( ISBLANK(I1724),ISBLANK(J1724), ISBLANK(K1724), ISBLANK(L1724), ISBLANK(M1724) ), "", 1.5*SQRT( EXP(2.21*(I1724-1)) + EXP(2.21*(J1724-1)) + EXP(2.21*(K1724-1)) + EXP(2.21*(L1724-1)) + EXP(2.21*M1724)   )/100*2.45 )</f>
        <v/>
      </c>
    </row>
    <row r="1725" spans="8:15">
      <c r="H1725" s="1178"/>
      <c r="I1725" s="1178"/>
      <c r="J1725" s="1178"/>
      <c r="K1725" s="1178"/>
      <c r="L1725" s="1178"/>
      <c r="M1725" s="1178"/>
      <c r="N1725" s="1212" t="str">
        <f>IF( OR( ISBLANK(H1725),ISBLANK(J1725), ISBLANK(K1725), ISBLANK(L1725), ISBLANK(M1725) ), "", 1.5*SQRT(   EXP(2.21*(H1725-1)) + EXP(2.21*(J1725-1)) + EXP(2.21*(K1725-1)) + EXP(2.21*(L1725-1)) + EXP(2.21*M1725)   )/100*2.45 )</f>
        <v/>
      </c>
      <c r="O1725" s="1212" t="str">
        <f>IF( OR( ISBLANK(I1725),ISBLANK(J1725), ISBLANK(K1725), ISBLANK(L1725), ISBLANK(M1725) ), "", 1.5*SQRT( EXP(2.21*(I1725-1)) + EXP(2.21*(J1725-1)) + EXP(2.21*(K1725-1)) + EXP(2.21*(L1725-1)) + EXP(2.21*M1725)   )/100*2.45 )</f>
        <v/>
      </c>
    </row>
    <row r="1726" spans="8:15">
      <c r="H1726" s="1178"/>
      <c r="I1726" s="1178"/>
      <c r="J1726" s="1178"/>
      <c r="K1726" s="1178"/>
      <c r="L1726" s="1178"/>
      <c r="M1726" s="1178"/>
      <c r="N1726" s="1212" t="str">
        <f>IF( OR( ISBLANK(H1726),ISBLANK(J1726), ISBLANK(K1726), ISBLANK(L1726), ISBLANK(M1726) ), "", 1.5*SQRT(   EXP(2.21*(H1726-1)) + EXP(2.21*(J1726-1)) + EXP(2.21*(K1726-1)) + EXP(2.21*(L1726-1)) + EXP(2.21*M1726)   )/100*2.45 )</f>
        <v/>
      </c>
      <c r="O1726" s="1212" t="str">
        <f>IF( OR( ISBLANK(I1726),ISBLANK(J1726), ISBLANK(K1726), ISBLANK(L1726), ISBLANK(M1726) ), "", 1.5*SQRT( EXP(2.21*(I1726-1)) + EXP(2.21*(J1726-1)) + EXP(2.21*(K1726-1)) + EXP(2.21*(L1726-1)) + EXP(2.21*M1726)   )/100*2.45 )</f>
        <v/>
      </c>
    </row>
    <row r="1727" spans="8:15">
      <c r="H1727" s="1178"/>
      <c r="I1727" s="1178"/>
      <c r="J1727" s="1178"/>
      <c r="K1727" s="1178"/>
      <c r="L1727" s="1178"/>
      <c r="M1727" s="1178"/>
      <c r="N1727" s="1212" t="str">
        <f>IF( OR( ISBLANK(H1727),ISBLANK(J1727), ISBLANK(K1727), ISBLANK(L1727), ISBLANK(M1727) ), "", 1.5*SQRT(   EXP(2.21*(H1727-1)) + EXP(2.21*(J1727-1)) + EXP(2.21*(K1727-1)) + EXP(2.21*(L1727-1)) + EXP(2.21*M1727)   )/100*2.45 )</f>
        <v/>
      </c>
      <c r="O1727" s="1212" t="str">
        <f>IF( OR( ISBLANK(I1727),ISBLANK(J1727), ISBLANK(K1727), ISBLANK(L1727), ISBLANK(M1727) ), "", 1.5*SQRT( EXP(2.21*(I1727-1)) + EXP(2.21*(J1727-1)) + EXP(2.21*(K1727-1)) + EXP(2.21*(L1727-1)) + EXP(2.21*M1727)   )/100*2.45 )</f>
        <v/>
      </c>
    </row>
    <row r="1728" spans="8:15">
      <c r="H1728" s="1178"/>
      <c r="I1728" s="1178"/>
      <c r="J1728" s="1178"/>
      <c r="K1728" s="1178"/>
      <c r="L1728" s="1178"/>
      <c r="M1728" s="1178"/>
      <c r="N1728" s="1212" t="str">
        <f>IF( OR( ISBLANK(H1728),ISBLANK(J1728), ISBLANK(K1728), ISBLANK(L1728), ISBLANK(M1728) ), "", 1.5*SQRT(   EXP(2.21*(H1728-1)) + EXP(2.21*(J1728-1)) + EXP(2.21*(K1728-1)) + EXP(2.21*(L1728-1)) + EXP(2.21*M1728)   )/100*2.45 )</f>
        <v/>
      </c>
      <c r="O1728" s="1212" t="str">
        <f>IF( OR( ISBLANK(I1728),ISBLANK(J1728), ISBLANK(K1728), ISBLANK(L1728), ISBLANK(M1728) ), "", 1.5*SQRT( EXP(2.21*(I1728-1)) + EXP(2.21*(J1728-1)) + EXP(2.21*(K1728-1)) + EXP(2.21*(L1728-1)) + EXP(2.21*M1728)   )/100*2.45 )</f>
        <v/>
      </c>
    </row>
    <row r="1729" spans="8:15">
      <c r="H1729" s="1178"/>
      <c r="I1729" s="1178"/>
      <c r="J1729" s="1178"/>
      <c r="K1729" s="1178"/>
      <c r="L1729" s="1178"/>
      <c r="M1729" s="1178"/>
      <c r="N1729" s="1212" t="str">
        <f>IF( OR( ISBLANK(H1729),ISBLANK(J1729), ISBLANK(K1729), ISBLANK(L1729), ISBLANK(M1729) ), "", 1.5*SQRT(   EXP(2.21*(H1729-1)) + EXP(2.21*(J1729-1)) + EXP(2.21*(K1729-1)) + EXP(2.21*(L1729-1)) + EXP(2.21*M1729)   )/100*2.45 )</f>
        <v/>
      </c>
      <c r="O1729" s="1212" t="str">
        <f>IF( OR( ISBLANK(I1729),ISBLANK(J1729), ISBLANK(K1729), ISBLANK(L1729), ISBLANK(M1729) ), "", 1.5*SQRT( EXP(2.21*(I1729-1)) + EXP(2.21*(J1729-1)) + EXP(2.21*(K1729-1)) + EXP(2.21*(L1729-1)) + EXP(2.21*M1729)   )/100*2.45 )</f>
        <v/>
      </c>
    </row>
    <row r="1730" spans="8:15">
      <c r="H1730" s="1178"/>
      <c r="I1730" s="1178"/>
      <c r="J1730" s="1178"/>
      <c r="K1730" s="1178"/>
      <c r="L1730" s="1178"/>
      <c r="M1730" s="1178"/>
      <c r="N1730" s="1212" t="str">
        <f>IF( OR( ISBLANK(H1730),ISBLANK(J1730), ISBLANK(K1730), ISBLANK(L1730), ISBLANK(M1730) ), "", 1.5*SQRT(   EXP(2.21*(H1730-1)) + EXP(2.21*(J1730-1)) + EXP(2.21*(K1730-1)) + EXP(2.21*(L1730-1)) + EXP(2.21*M1730)   )/100*2.45 )</f>
        <v/>
      </c>
      <c r="O1730" s="1212" t="str">
        <f>IF( OR( ISBLANK(I1730),ISBLANK(J1730), ISBLANK(K1730), ISBLANK(L1730), ISBLANK(M1730) ), "", 1.5*SQRT( EXP(2.21*(I1730-1)) + EXP(2.21*(J1730-1)) + EXP(2.21*(K1730-1)) + EXP(2.21*(L1730-1)) + EXP(2.21*M1730)   )/100*2.45 )</f>
        <v/>
      </c>
    </row>
    <row r="1731" spans="8:15">
      <c r="H1731" s="1178"/>
      <c r="I1731" s="1178"/>
      <c r="J1731" s="1178"/>
      <c r="K1731" s="1178"/>
      <c r="L1731" s="1178"/>
      <c r="M1731" s="1178"/>
      <c r="N1731" s="1212" t="str">
        <f>IF( OR( ISBLANK(H1731),ISBLANK(J1731), ISBLANK(K1731), ISBLANK(L1731), ISBLANK(M1731) ), "", 1.5*SQRT(   EXP(2.21*(H1731-1)) + EXP(2.21*(J1731-1)) + EXP(2.21*(K1731-1)) + EXP(2.21*(L1731-1)) + EXP(2.21*M1731)   )/100*2.45 )</f>
        <v/>
      </c>
      <c r="O1731" s="1212" t="str">
        <f>IF( OR( ISBLANK(I1731),ISBLANK(J1731), ISBLANK(K1731), ISBLANK(L1731), ISBLANK(M1731) ), "", 1.5*SQRT( EXP(2.21*(I1731-1)) + EXP(2.21*(J1731-1)) + EXP(2.21*(K1731-1)) + EXP(2.21*(L1731-1)) + EXP(2.21*M1731)   )/100*2.45 )</f>
        <v/>
      </c>
    </row>
    <row r="1732" spans="8:15">
      <c r="H1732" s="1178"/>
      <c r="I1732" s="1178"/>
      <c r="J1732" s="1178"/>
      <c r="K1732" s="1178"/>
      <c r="L1732" s="1178"/>
      <c r="M1732" s="1178"/>
      <c r="N1732" s="1212" t="str">
        <f>IF( OR( ISBLANK(H1732),ISBLANK(J1732), ISBLANK(K1732), ISBLANK(L1732), ISBLANK(M1732) ), "", 1.5*SQRT(   EXP(2.21*(H1732-1)) + EXP(2.21*(J1732-1)) + EXP(2.21*(K1732-1)) + EXP(2.21*(L1732-1)) + EXP(2.21*M1732)   )/100*2.45 )</f>
        <v/>
      </c>
      <c r="O1732" s="1212" t="str">
        <f>IF( OR( ISBLANK(I1732),ISBLANK(J1732), ISBLANK(K1732), ISBLANK(L1732), ISBLANK(M1732) ), "", 1.5*SQRT( EXP(2.21*(I1732-1)) + EXP(2.21*(J1732-1)) + EXP(2.21*(K1732-1)) + EXP(2.21*(L1732-1)) + EXP(2.21*M1732)   )/100*2.45 )</f>
        <v/>
      </c>
    </row>
    <row r="1733" spans="8:15">
      <c r="H1733" s="1178"/>
      <c r="I1733" s="1178"/>
      <c r="J1733" s="1178"/>
      <c r="K1733" s="1178"/>
      <c r="L1733" s="1178"/>
      <c r="M1733" s="1178"/>
      <c r="N1733" s="1212" t="str">
        <f>IF( OR( ISBLANK(H1733),ISBLANK(J1733), ISBLANK(K1733), ISBLANK(L1733), ISBLANK(M1733) ), "", 1.5*SQRT(   EXP(2.21*(H1733-1)) + EXP(2.21*(J1733-1)) + EXP(2.21*(K1733-1)) + EXP(2.21*(L1733-1)) + EXP(2.21*M1733)   )/100*2.45 )</f>
        <v/>
      </c>
      <c r="O1733" s="1212" t="str">
        <f>IF( OR( ISBLANK(I1733),ISBLANK(J1733), ISBLANK(K1733), ISBLANK(L1733), ISBLANK(M1733) ), "", 1.5*SQRT( EXP(2.21*(I1733-1)) + EXP(2.21*(J1733-1)) + EXP(2.21*(K1733-1)) + EXP(2.21*(L1733-1)) + EXP(2.21*M1733)   )/100*2.45 )</f>
        <v/>
      </c>
    </row>
    <row r="1734" spans="8:15">
      <c r="H1734" s="1178"/>
      <c r="I1734" s="1178"/>
      <c r="J1734" s="1178"/>
      <c r="K1734" s="1178"/>
      <c r="L1734" s="1178"/>
      <c r="M1734" s="1178"/>
      <c r="N1734" s="1212" t="str">
        <f>IF( OR( ISBLANK(H1734),ISBLANK(J1734), ISBLANK(K1734), ISBLANK(L1734), ISBLANK(M1734) ), "", 1.5*SQRT(   EXP(2.21*(H1734-1)) + EXP(2.21*(J1734-1)) + EXP(2.21*(K1734-1)) + EXP(2.21*(L1734-1)) + EXP(2.21*M1734)   )/100*2.45 )</f>
        <v/>
      </c>
      <c r="O1734" s="1212" t="str">
        <f>IF( OR( ISBLANK(I1734),ISBLANK(J1734), ISBLANK(K1734), ISBLANK(L1734), ISBLANK(M1734) ), "", 1.5*SQRT( EXP(2.21*(I1734-1)) + EXP(2.21*(J1734-1)) + EXP(2.21*(K1734-1)) + EXP(2.21*(L1734-1)) + EXP(2.21*M1734)   )/100*2.45 )</f>
        <v/>
      </c>
    </row>
    <row r="1735" spans="8:15">
      <c r="H1735" s="1178"/>
      <c r="I1735" s="1178"/>
      <c r="J1735" s="1178"/>
      <c r="K1735" s="1178"/>
      <c r="L1735" s="1178"/>
      <c r="M1735" s="1178"/>
      <c r="N1735" s="1212" t="str">
        <f>IF( OR( ISBLANK(H1735),ISBLANK(J1735), ISBLANK(K1735), ISBLANK(L1735), ISBLANK(M1735) ), "", 1.5*SQRT(   EXP(2.21*(H1735-1)) + EXP(2.21*(J1735-1)) + EXP(2.21*(K1735-1)) + EXP(2.21*(L1735-1)) + EXP(2.21*M1735)   )/100*2.45 )</f>
        <v/>
      </c>
      <c r="O1735" s="1212" t="str">
        <f>IF( OR( ISBLANK(I1735),ISBLANK(J1735), ISBLANK(K1735), ISBLANK(L1735), ISBLANK(M1735) ), "", 1.5*SQRT( EXP(2.21*(I1735-1)) + EXP(2.21*(J1735-1)) + EXP(2.21*(K1735-1)) + EXP(2.21*(L1735-1)) + EXP(2.21*M1735)   )/100*2.45 )</f>
        <v/>
      </c>
    </row>
    <row r="1736" spans="8:15">
      <c r="H1736" s="1178"/>
      <c r="I1736" s="1178"/>
      <c r="J1736" s="1178"/>
      <c r="K1736" s="1178"/>
      <c r="L1736" s="1178"/>
      <c r="M1736" s="1178"/>
      <c r="N1736" s="1212" t="str">
        <f>IF( OR( ISBLANK(H1736),ISBLANK(J1736), ISBLANK(K1736), ISBLANK(L1736), ISBLANK(M1736) ), "", 1.5*SQRT(   EXP(2.21*(H1736-1)) + EXP(2.21*(J1736-1)) + EXP(2.21*(K1736-1)) + EXP(2.21*(L1736-1)) + EXP(2.21*M1736)   )/100*2.45 )</f>
        <v/>
      </c>
      <c r="O1736" s="1212" t="str">
        <f>IF( OR( ISBLANK(I1736),ISBLANK(J1736), ISBLANK(K1736), ISBLANK(L1736), ISBLANK(M1736) ), "", 1.5*SQRT( EXP(2.21*(I1736-1)) + EXP(2.21*(J1736-1)) + EXP(2.21*(K1736-1)) + EXP(2.21*(L1736-1)) + EXP(2.21*M1736)   )/100*2.45 )</f>
        <v/>
      </c>
    </row>
    <row r="1737" spans="8:15">
      <c r="H1737" s="1178"/>
      <c r="I1737" s="1178"/>
      <c r="J1737" s="1178"/>
      <c r="K1737" s="1178"/>
      <c r="L1737" s="1178"/>
      <c r="M1737" s="1178"/>
      <c r="N1737" s="1212" t="str">
        <f>IF( OR( ISBLANK(H1737),ISBLANK(J1737), ISBLANK(K1737), ISBLANK(L1737), ISBLANK(M1737) ), "", 1.5*SQRT(   EXP(2.21*(H1737-1)) + EXP(2.21*(J1737-1)) + EXP(2.21*(K1737-1)) + EXP(2.21*(L1737-1)) + EXP(2.21*M1737)   )/100*2.45 )</f>
        <v/>
      </c>
      <c r="O1737" s="1212" t="str">
        <f>IF( OR( ISBLANK(I1737),ISBLANK(J1737), ISBLANK(K1737), ISBLANK(L1737), ISBLANK(M1737) ), "", 1.5*SQRT( EXP(2.21*(I1737-1)) + EXP(2.21*(J1737-1)) + EXP(2.21*(K1737-1)) + EXP(2.21*(L1737-1)) + EXP(2.21*M1737)   )/100*2.45 )</f>
        <v/>
      </c>
    </row>
    <row r="1738" spans="8:15">
      <c r="H1738" s="1178"/>
      <c r="I1738" s="1178"/>
      <c r="J1738" s="1178"/>
      <c r="K1738" s="1178"/>
      <c r="L1738" s="1178"/>
      <c r="M1738" s="1178"/>
      <c r="N1738" s="1212" t="str">
        <f>IF( OR( ISBLANK(H1738),ISBLANK(J1738), ISBLANK(K1738), ISBLANK(L1738), ISBLANK(M1738) ), "", 1.5*SQRT(   EXP(2.21*(H1738-1)) + EXP(2.21*(J1738-1)) + EXP(2.21*(K1738-1)) + EXP(2.21*(L1738-1)) + EXP(2.21*M1738)   )/100*2.45 )</f>
        <v/>
      </c>
      <c r="O1738" s="1212" t="str">
        <f>IF( OR( ISBLANK(I1738),ISBLANK(J1738), ISBLANK(K1738), ISBLANK(L1738), ISBLANK(M1738) ), "", 1.5*SQRT( EXP(2.21*(I1738-1)) + EXP(2.21*(J1738-1)) + EXP(2.21*(K1738-1)) + EXP(2.21*(L1738-1)) + EXP(2.21*M1738)   )/100*2.45 )</f>
        <v/>
      </c>
    </row>
    <row r="1739" spans="8:15">
      <c r="H1739" s="1178"/>
      <c r="I1739" s="1178"/>
      <c r="J1739" s="1178"/>
      <c r="K1739" s="1178"/>
      <c r="L1739" s="1178"/>
      <c r="M1739" s="1178"/>
      <c r="N1739" s="1212" t="str">
        <f>IF( OR( ISBLANK(H1739),ISBLANK(J1739), ISBLANK(K1739), ISBLANK(L1739), ISBLANK(M1739) ), "", 1.5*SQRT(   EXP(2.21*(H1739-1)) + EXP(2.21*(J1739-1)) + EXP(2.21*(K1739-1)) + EXP(2.21*(L1739-1)) + EXP(2.21*M1739)   )/100*2.45 )</f>
        <v/>
      </c>
      <c r="O1739" s="1212" t="str">
        <f>IF( OR( ISBLANK(I1739),ISBLANK(J1739), ISBLANK(K1739), ISBLANK(L1739), ISBLANK(M1739) ), "", 1.5*SQRT( EXP(2.21*(I1739-1)) + EXP(2.21*(J1739-1)) + EXP(2.21*(K1739-1)) + EXP(2.21*(L1739-1)) + EXP(2.21*M1739)   )/100*2.45 )</f>
        <v/>
      </c>
    </row>
    <row r="1740" spans="8:15">
      <c r="H1740" s="1178"/>
      <c r="I1740" s="1178"/>
      <c r="J1740" s="1178"/>
      <c r="K1740" s="1178"/>
      <c r="L1740" s="1178"/>
      <c r="M1740" s="1178"/>
      <c r="N1740" s="1212" t="str">
        <f>IF( OR( ISBLANK(H1740),ISBLANK(J1740), ISBLANK(K1740), ISBLANK(L1740), ISBLANK(M1740) ), "", 1.5*SQRT(   EXP(2.21*(H1740-1)) + EXP(2.21*(J1740-1)) + EXP(2.21*(K1740-1)) + EXP(2.21*(L1740-1)) + EXP(2.21*M1740)   )/100*2.45 )</f>
        <v/>
      </c>
      <c r="O1740" s="1212" t="str">
        <f>IF( OR( ISBLANK(I1740),ISBLANK(J1740), ISBLANK(K1740), ISBLANK(L1740), ISBLANK(M1740) ), "", 1.5*SQRT( EXP(2.21*(I1740-1)) + EXP(2.21*(J1740-1)) + EXP(2.21*(K1740-1)) + EXP(2.21*(L1740-1)) + EXP(2.21*M1740)   )/100*2.45 )</f>
        <v/>
      </c>
    </row>
    <row r="1741" spans="8:15">
      <c r="H1741" s="1178"/>
      <c r="I1741" s="1178"/>
      <c r="J1741" s="1178"/>
      <c r="K1741" s="1178"/>
      <c r="L1741" s="1178"/>
      <c r="M1741" s="1178"/>
      <c r="N1741" s="1212" t="str">
        <f>IF( OR( ISBLANK(H1741),ISBLANK(J1741), ISBLANK(K1741), ISBLANK(L1741), ISBLANK(M1741) ), "", 1.5*SQRT(   EXP(2.21*(H1741-1)) + EXP(2.21*(J1741-1)) + EXP(2.21*(K1741-1)) + EXP(2.21*(L1741-1)) + EXP(2.21*M1741)   )/100*2.45 )</f>
        <v/>
      </c>
      <c r="O1741" s="1212" t="str">
        <f>IF( OR( ISBLANK(I1741),ISBLANK(J1741), ISBLANK(K1741), ISBLANK(L1741), ISBLANK(M1741) ), "", 1.5*SQRT( EXP(2.21*(I1741-1)) + EXP(2.21*(J1741-1)) + EXP(2.21*(K1741-1)) + EXP(2.21*(L1741-1)) + EXP(2.21*M1741)   )/100*2.45 )</f>
        <v/>
      </c>
    </row>
    <row r="1742" spans="8:15">
      <c r="H1742" s="1178"/>
      <c r="I1742" s="1178"/>
      <c r="J1742" s="1178"/>
      <c r="K1742" s="1178"/>
      <c r="L1742" s="1178"/>
      <c r="M1742" s="1178"/>
      <c r="N1742" s="1212" t="str">
        <f>IF( OR( ISBLANK(H1742),ISBLANK(J1742), ISBLANK(K1742), ISBLANK(L1742), ISBLANK(M1742) ), "", 1.5*SQRT(   EXP(2.21*(H1742-1)) + EXP(2.21*(J1742-1)) + EXP(2.21*(K1742-1)) + EXP(2.21*(L1742-1)) + EXP(2.21*M1742)   )/100*2.45 )</f>
        <v/>
      </c>
      <c r="O1742" s="1212" t="str">
        <f>IF( OR( ISBLANK(I1742),ISBLANK(J1742), ISBLANK(K1742), ISBLANK(L1742), ISBLANK(M1742) ), "", 1.5*SQRT( EXP(2.21*(I1742-1)) + EXP(2.21*(J1742-1)) + EXP(2.21*(K1742-1)) + EXP(2.21*(L1742-1)) + EXP(2.21*M1742)   )/100*2.45 )</f>
        <v/>
      </c>
    </row>
    <row r="1743" spans="8:15">
      <c r="H1743" s="1178"/>
      <c r="I1743" s="1178"/>
      <c r="J1743" s="1178"/>
      <c r="K1743" s="1178"/>
      <c r="L1743" s="1178"/>
      <c r="M1743" s="1178"/>
      <c r="N1743" s="1212" t="str">
        <f>IF( OR( ISBLANK(H1743),ISBLANK(J1743), ISBLANK(K1743), ISBLANK(L1743), ISBLANK(M1743) ), "", 1.5*SQRT(   EXP(2.21*(H1743-1)) + EXP(2.21*(J1743-1)) + EXP(2.21*(K1743-1)) + EXP(2.21*(L1743-1)) + EXP(2.21*M1743)   )/100*2.45 )</f>
        <v/>
      </c>
      <c r="O1743" s="1212" t="str">
        <f>IF( OR( ISBLANK(I1743),ISBLANK(J1743), ISBLANK(K1743), ISBLANK(L1743), ISBLANK(M1743) ), "", 1.5*SQRT( EXP(2.21*(I1743-1)) + EXP(2.21*(J1743-1)) + EXP(2.21*(K1743-1)) + EXP(2.21*(L1743-1)) + EXP(2.21*M1743)   )/100*2.45 )</f>
        <v/>
      </c>
    </row>
    <row r="1744" spans="8:15">
      <c r="H1744" s="1178"/>
      <c r="I1744" s="1178"/>
      <c r="J1744" s="1178"/>
      <c r="K1744" s="1178"/>
      <c r="L1744" s="1178"/>
      <c r="M1744" s="1178"/>
      <c r="N1744" s="1212" t="str">
        <f>IF( OR( ISBLANK(H1744),ISBLANK(J1744), ISBLANK(K1744), ISBLANK(L1744), ISBLANK(M1744) ), "", 1.5*SQRT(   EXP(2.21*(H1744-1)) + EXP(2.21*(J1744-1)) + EXP(2.21*(K1744-1)) + EXP(2.21*(L1744-1)) + EXP(2.21*M1744)   )/100*2.45 )</f>
        <v/>
      </c>
      <c r="O1744" s="1212" t="str">
        <f>IF( OR( ISBLANK(I1744),ISBLANK(J1744), ISBLANK(K1744), ISBLANK(L1744), ISBLANK(M1744) ), "", 1.5*SQRT( EXP(2.21*(I1744-1)) + EXP(2.21*(J1744-1)) + EXP(2.21*(K1744-1)) + EXP(2.21*(L1744-1)) + EXP(2.21*M1744)   )/100*2.45 )</f>
        <v/>
      </c>
    </row>
    <row r="1745" spans="8:15">
      <c r="H1745" s="1178"/>
      <c r="I1745" s="1178"/>
      <c r="J1745" s="1178"/>
      <c r="K1745" s="1178"/>
      <c r="L1745" s="1178"/>
      <c r="M1745" s="1178"/>
      <c r="N1745" s="1212" t="str">
        <f>IF( OR( ISBLANK(H1745),ISBLANK(J1745), ISBLANK(K1745), ISBLANK(L1745), ISBLANK(M1745) ), "", 1.5*SQRT(   EXP(2.21*(H1745-1)) + EXP(2.21*(J1745-1)) + EXP(2.21*(K1745-1)) + EXP(2.21*(L1745-1)) + EXP(2.21*M1745)   )/100*2.45 )</f>
        <v/>
      </c>
      <c r="O1745" s="1212" t="str">
        <f>IF( OR( ISBLANK(I1745),ISBLANK(J1745), ISBLANK(K1745), ISBLANK(L1745), ISBLANK(M1745) ), "", 1.5*SQRT( EXP(2.21*(I1745-1)) + EXP(2.21*(J1745-1)) + EXP(2.21*(K1745-1)) + EXP(2.21*(L1745-1)) + EXP(2.21*M1745)   )/100*2.45 )</f>
        <v/>
      </c>
    </row>
    <row r="1746" spans="8:15">
      <c r="H1746" s="1178"/>
      <c r="I1746" s="1178"/>
      <c r="J1746" s="1178"/>
      <c r="K1746" s="1178"/>
      <c r="L1746" s="1178"/>
      <c r="M1746" s="1178"/>
      <c r="N1746" s="1212" t="str">
        <f>IF( OR( ISBLANK(H1746),ISBLANK(J1746), ISBLANK(K1746), ISBLANK(L1746), ISBLANK(M1746) ), "", 1.5*SQRT(   EXP(2.21*(H1746-1)) + EXP(2.21*(J1746-1)) + EXP(2.21*(K1746-1)) + EXP(2.21*(L1746-1)) + EXP(2.21*M1746)   )/100*2.45 )</f>
        <v/>
      </c>
      <c r="O1746" s="1212" t="str">
        <f>IF( OR( ISBLANK(I1746),ISBLANK(J1746), ISBLANK(K1746), ISBLANK(L1746), ISBLANK(M1746) ), "", 1.5*SQRT( EXP(2.21*(I1746-1)) + EXP(2.21*(J1746-1)) + EXP(2.21*(K1746-1)) + EXP(2.21*(L1746-1)) + EXP(2.21*M1746)   )/100*2.45 )</f>
        <v/>
      </c>
    </row>
    <row r="1747" spans="8:15">
      <c r="H1747" s="1178"/>
      <c r="I1747" s="1178"/>
      <c r="J1747" s="1178"/>
      <c r="K1747" s="1178"/>
      <c r="L1747" s="1178"/>
      <c r="M1747" s="1178"/>
      <c r="N1747" s="1212" t="str">
        <f>IF( OR( ISBLANK(H1747),ISBLANK(J1747), ISBLANK(K1747), ISBLANK(L1747), ISBLANK(M1747) ), "", 1.5*SQRT(   EXP(2.21*(H1747-1)) + EXP(2.21*(J1747-1)) + EXP(2.21*(K1747-1)) + EXP(2.21*(L1747-1)) + EXP(2.21*M1747)   )/100*2.45 )</f>
        <v/>
      </c>
      <c r="O1747" s="1212" t="str">
        <f>IF( OR( ISBLANK(I1747),ISBLANK(J1747), ISBLANK(K1747), ISBLANK(L1747), ISBLANK(M1747) ), "", 1.5*SQRT( EXP(2.21*(I1747-1)) + EXP(2.21*(J1747-1)) + EXP(2.21*(K1747-1)) + EXP(2.21*(L1747-1)) + EXP(2.21*M1747)   )/100*2.45 )</f>
        <v/>
      </c>
    </row>
    <row r="1748" spans="8:15">
      <c r="H1748" s="1178"/>
      <c r="I1748" s="1178"/>
      <c r="J1748" s="1178"/>
      <c r="K1748" s="1178"/>
      <c r="L1748" s="1178"/>
      <c r="M1748" s="1178"/>
      <c r="N1748" s="1212" t="str">
        <f>IF( OR( ISBLANK(H1748),ISBLANK(J1748), ISBLANK(K1748), ISBLANK(L1748), ISBLANK(M1748) ), "", 1.5*SQRT(   EXP(2.21*(H1748-1)) + EXP(2.21*(J1748-1)) + EXP(2.21*(K1748-1)) + EXP(2.21*(L1748-1)) + EXP(2.21*M1748)   )/100*2.45 )</f>
        <v/>
      </c>
      <c r="O1748" s="1212" t="str">
        <f>IF( OR( ISBLANK(I1748),ISBLANK(J1748), ISBLANK(K1748), ISBLANK(L1748), ISBLANK(M1748) ), "", 1.5*SQRT( EXP(2.21*(I1748-1)) + EXP(2.21*(J1748-1)) + EXP(2.21*(K1748-1)) + EXP(2.21*(L1748-1)) + EXP(2.21*M1748)   )/100*2.45 )</f>
        <v/>
      </c>
    </row>
    <row r="1749" spans="8:15">
      <c r="H1749" s="1178"/>
      <c r="I1749" s="1178"/>
      <c r="J1749" s="1178"/>
      <c r="K1749" s="1178"/>
      <c r="L1749" s="1178"/>
      <c r="M1749" s="1178"/>
      <c r="N1749" s="1212" t="str">
        <f>IF( OR( ISBLANK(H1749),ISBLANK(J1749), ISBLANK(K1749), ISBLANK(L1749), ISBLANK(M1749) ), "", 1.5*SQRT(   EXP(2.21*(H1749-1)) + EXP(2.21*(J1749-1)) + EXP(2.21*(K1749-1)) + EXP(2.21*(L1749-1)) + EXP(2.21*M1749)   )/100*2.45 )</f>
        <v/>
      </c>
      <c r="O1749" s="1212" t="str">
        <f>IF( OR( ISBLANK(I1749),ISBLANK(J1749), ISBLANK(K1749), ISBLANK(L1749), ISBLANK(M1749) ), "", 1.5*SQRT( EXP(2.21*(I1749-1)) + EXP(2.21*(J1749-1)) + EXP(2.21*(K1749-1)) + EXP(2.21*(L1749-1)) + EXP(2.21*M1749)   )/100*2.45 )</f>
        <v/>
      </c>
    </row>
    <row r="1750" spans="8:15">
      <c r="H1750" s="1178"/>
      <c r="I1750" s="1178"/>
      <c r="J1750" s="1178"/>
      <c r="K1750" s="1178"/>
      <c r="L1750" s="1178"/>
      <c r="M1750" s="1178"/>
      <c r="N1750" s="1212" t="str">
        <f>IF( OR( ISBLANK(H1750),ISBLANK(J1750), ISBLANK(K1750), ISBLANK(L1750), ISBLANK(M1750) ), "", 1.5*SQRT(   EXP(2.21*(H1750-1)) + EXP(2.21*(J1750-1)) + EXP(2.21*(K1750-1)) + EXP(2.21*(L1750-1)) + EXP(2.21*M1750)   )/100*2.45 )</f>
        <v/>
      </c>
      <c r="O1750" s="1212" t="str">
        <f>IF( OR( ISBLANK(I1750),ISBLANK(J1750), ISBLANK(K1750), ISBLANK(L1750), ISBLANK(M1750) ), "", 1.5*SQRT( EXP(2.21*(I1750-1)) + EXP(2.21*(J1750-1)) + EXP(2.21*(K1750-1)) + EXP(2.21*(L1750-1)) + EXP(2.21*M1750)   )/100*2.45 )</f>
        <v/>
      </c>
    </row>
    <row r="1751" spans="8:15">
      <c r="H1751" s="1178"/>
      <c r="I1751" s="1178"/>
      <c r="J1751" s="1178"/>
      <c r="K1751" s="1178"/>
      <c r="L1751" s="1178"/>
      <c r="M1751" s="1178"/>
      <c r="N1751" s="1212" t="str">
        <f>IF( OR( ISBLANK(H1751),ISBLANK(J1751), ISBLANK(K1751), ISBLANK(L1751), ISBLANK(M1751) ), "", 1.5*SQRT(   EXP(2.21*(H1751-1)) + EXP(2.21*(J1751-1)) + EXP(2.21*(K1751-1)) + EXP(2.21*(L1751-1)) + EXP(2.21*M1751)   )/100*2.45 )</f>
        <v/>
      </c>
      <c r="O1751" s="1212" t="str">
        <f>IF( OR( ISBLANK(I1751),ISBLANK(J1751), ISBLANK(K1751), ISBLANK(L1751), ISBLANK(M1751) ), "", 1.5*SQRT( EXP(2.21*(I1751-1)) + EXP(2.21*(J1751-1)) + EXP(2.21*(K1751-1)) + EXP(2.21*(L1751-1)) + EXP(2.21*M1751)   )/100*2.45 )</f>
        <v/>
      </c>
    </row>
    <row r="1752" spans="8:15">
      <c r="H1752" s="1178"/>
      <c r="I1752" s="1178"/>
      <c r="J1752" s="1178"/>
      <c r="K1752" s="1178"/>
      <c r="L1752" s="1178"/>
      <c r="M1752" s="1178"/>
      <c r="N1752" s="1212" t="str">
        <f>IF( OR( ISBLANK(H1752),ISBLANK(J1752), ISBLANK(K1752), ISBLANK(L1752), ISBLANK(M1752) ), "", 1.5*SQRT(   EXP(2.21*(H1752-1)) + EXP(2.21*(J1752-1)) + EXP(2.21*(K1752-1)) + EXP(2.21*(L1752-1)) + EXP(2.21*M1752)   )/100*2.45 )</f>
        <v/>
      </c>
      <c r="O1752" s="1212" t="str">
        <f>IF( OR( ISBLANK(I1752),ISBLANK(J1752), ISBLANK(K1752), ISBLANK(L1752), ISBLANK(M1752) ), "", 1.5*SQRT( EXP(2.21*(I1752-1)) + EXP(2.21*(J1752-1)) + EXP(2.21*(K1752-1)) + EXP(2.21*(L1752-1)) + EXP(2.21*M1752)   )/100*2.45 )</f>
        <v/>
      </c>
    </row>
    <row r="1753" spans="8:15">
      <c r="H1753" s="1178"/>
      <c r="I1753" s="1178"/>
      <c r="J1753" s="1178"/>
      <c r="K1753" s="1178"/>
      <c r="L1753" s="1178"/>
      <c r="M1753" s="1178"/>
      <c r="N1753" s="1212" t="str">
        <f>IF( OR( ISBLANK(H1753),ISBLANK(J1753), ISBLANK(K1753), ISBLANK(L1753), ISBLANK(M1753) ), "", 1.5*SQRT(   EXP(2.21*(H1753-1)) + EXP(2.21*(J1753-1)) + EXP(2.21*(K1753-1)) + EXP(2.21*(L1753-1)) + EXP(2.21*M1753)   )/100*2.45 )</f>
        <v/>
      </c>
      <c r="O1753" s="1212" t="str">
        <f>IF( OR( ISBLANK(I1753),ISBLANK(J1753), ISBLANK(K1753), ISBLANK(L1753), ISBLANK(M1753) ), "", 1.5*SQRT( EXP(2.21*(I1753-1)) + EXP(2.21*(J1753-1)) + EXP(2.21*(K1753-1)) + EXP(2.21*(L1753-1)) + EXP(2.21*M1753)   )/100*2.45 )</f>
        <v/>
      </c>
    </row>
    <row r="1754" spans="8:15">
      <c r="H1754" s="1178"/>
      <c r="I1754" s="1178"/>
      <c r="J1754" s="1178"/>
      <c r="K1754" s="1178"/>
      <c r="L1754" s="1178"/>
      <c r="M1754" s="1178"/>
      <c r="N1754" s="1212" t="str">
        <f>IF( OR( ISBLANK(H1754),ISBLANK(J1754), ISBLANK(K1754), ISBLANK(L1754), ISBLANK(M1754) ), "", 1.5*SQRT(   EXP(2.21*(H1754-1)) + EXP(2.21*(J1754-1)) + EXP(2.21*(K1754-1)) + EXP(2.21*(L1754-1)) + EXP(2.21*M1754)   )/100*2.45 )</f>
        <v/>
      </c>
      <c r="O1754" s="1212" t="str">
        <f>IF( OR( ISBLANK(I1754),ISBLANK(J1754), ISBLANK(K1754), ISBLANK(L1754), ISBLANK(M1754) ), "", 1.5*SQRT( EXP(2.21*(I1754-1)) + EXP(2.21*(J1754-1)) + EXP(2.21*(K1754-1)) + EXP(2.21*(L1754-1)) + EXP(2.21*M1754)   )/100*2.45 )</f>
        <v/>
      </c>
    </row>
    <row r="1755" spans="8:15">
      <c r="H1755" s="1178"/>
      <c r="I1755" s="1178"/>
      <c r="J1755" s="1178"/>
      <c r="K1755" s="1178"/>
      <c r="L1755" s="1178"/>
      <c r="M1755" s="1178"/>
      <c r="N1755" s="1212" t="str">
        <f>IF( OR( ISBLANK(H1755),ISBLANK(J1755), ISBLANK(K1755), ISBLANK(L1755), ISBLANK(M1755) ), "", 1.5*SQRT(   EXP(2.21*(H1755-1)) + EXP(2.21*(J1755-1)) + EXP(2.21*(K1755-1)) + EXP(2.21*(L1755-1)) + EXP(2.21*M1755)   )/100*2.45 )</f>
        <v/>
      </c>
      <c r="O1755" s="1212" t="str">
        <f>IF( OR( ISBLANK(I1755),ISBLANK(J1755), ISBLANK(K1755), ISBLANK(L1755), ISBLANK(M1755) ), "", 1.5*SQRT( EXP(2.21*(I1755-1)) + EXP(2.21*(J1755-1)) + EXP(2.21*(K1755-1)) + EXP(2.21*(L1755-1)) + EXP(2.21*M1755)   )/100*2.45 )</f>
        <v/>
      </c>
    </row>
    <row r="1756" spans="8:15">
      <c r="H1756" s="1178"/>
      <c r="I1756" s="1178"/>
      <c r="J1756" s="1178"/>
      <c r="K1756" s="1178"/>
      <c r="L1756" s="1178"/>
      <c r="M1756" s="1178"/>
      <c r="N1756" s="1212" t="str">
        <f>IF( OR( ISBLANK(H1756),ISBLANK(J1756), ISBLANK(K1756), ISBLANK(L1756), ISBLANK(M1756) ), "", 1.5*SQRT(   EXP(2.21*(H1756-1)) + EXP(2.21*(J1756-1)) + EXP(2.21*(K1756-1)) + EXP(2.21*(L1756-1)) + EXP(2.21*M1756)   )/100*2.45 )</f>
        <v/>
      </c>
      <c r="O1756" s="1212" t="str">
        <f>IF( OR( ISBLANK(I1756),ISBLANK(J1756), ISBLANK(K1756), ISBLANK(L1756), ISBLANK(M1756) ), "", 1.5*SQRT( EXP(2.21*(I1756-1)) + EXP(2.21*(J1756-1)) + EXP(2.21*(K1756-1)) + EXP(2.21*(L1756-1)) + EXP(2.21*M1756)   )/100*2.45 )</f>
        <v/>
      </c>
    </row>
    <row r="1757" spans="8:15">
      <c r="H1757" s="1178"/>
      <c r="I1757" s="1178"/>
      <c r="J1757" s="1178"/>
      <c r="K1757" s="1178"/>
      <c r="L1757" s="1178"/>
      <c r="M1757" s="1178"/>
      <c r="N1757" s="1212" t="str">
        <f>IF( OR( ISBLANK(H1757),ISBLANK(J1757), ISBLANK(K1757), ISBLANK(L1757), ISBLANK(M1757) ), "", 1.5*SQRT(   EXP(2.21*(H1757-1)) + EXP(2.21*(J1757-1)) + EXP(2.21*(K1757-1)) + EXP(2.21*(L1757-1)) + EXP(2.21*M1757)   )/100*2.45 )</f>
        <v/>
      </c>
      <c r="O1757" s="1212" t="str">
        <f>IF( OR( ISBLANK(I1757),ISBLANK(J1757), ISBLANK(K1757), ISBLANK(L1757), ISBLANK(M1757) ), "", 1.5*SQRT( EXP(2.21*(I1757-1)) + EXP(2.21*(J1757-1)) + EXP(2.21*(K1757-1)) + EXP(2.21*(L1757-1)) + EXP(2.21*M1757)   )/100*2.45 )</f>
        <v/>
      </c>
    </row>
    <row r="1758" spans="8:15">
      <c r="H1758" s="1178"/>
      <c r="I1758" s="1178"/>
      <c r="J1758" s="1178"/>
      <c r="K1758" s="1178"/>
      <c r="L1758" s="1178"/>
      <c r="M1758" s="1178"/>
      <c r="N1758" s="1212" t="str">
        <f>IF( OR( ISBLANK(H1758),ISBLANK(J1758), ISBLANK(K1758), ISBLANK(L1758), ISBLANK(M1758) ), "", 1.5*SQRT(   EXP(2.21*(H1758-1)) + EXP(2.21*(J1758-1)) + EXP(2.21*(K1758-1)) + EXP(2.21*(L1758-1)) + EXP(2.21*M1758)   )/100*2.45 )</f>
        <v/>
      </c>
      <c r="O1758" s="1212" t="str">
        <f>IF( OR( ISBLANK(I1758),ISBLANK(J1758), ISBLANK(K1758), ISBLANK(L1758), ISBLANK(M1758) ), "", 1.5*SQRT( EXP(2.21*(I1758-1)) + EXP(2.21*(J1758-1)) + EXP(2.21*(K1758-1)) + EXP(2.21*(L1758-1)) + EXP(2.21*M1758)   )/100*2.45 )</f>
        <v/>
      </c>
    </row>
    <row r="1759" spans="8:15">
      <c r="H1759" s="1178"/>
      <c r="I1759" s="1178"/>
      <c r="J1759" s="1178"/>
      <c r="K1759" s="1178"/>
      <c r="L1759" s="1178"/>
      <c r="M1759" s="1178"/>
      <c r="N1759" s="1212" t="str">
        <f>IF( OR( ISBLANK(H1759),ISBLANK(J1759), ISBLANK(K1759), ISBLANK(L1759), ISBLANK(M1759) ), "", 1.5*SQRT(   EXP(2.21*(H1759-1)) + EXP(2.21*(J1759-1)) + EXP(2.21*(K1759-1)) + EXP(2.21*(L1759-1)) + EXP(2.21*M1759)   )/100*2.45 )</f>
        <v/>
      </c>
      <c r="O1759" s="1212" t="str">
        <f>IF( OR( ISBLANK(I1759),ISBLANK(J1759), ISBLANK(K1759), ISBLANK(L1759), ISBLANK(M1759) ), "", 1.5*SQRT( EXP(2.21*(I1759-1)) + EXP(2.21*(J1759-1)) + EXP(2.21*(K1759-1)) + EXP(2.21*(L1759-1)) + EXP(2.21*M1759)   )/100*2.45 )</f>
        <v/>
      </c>
    </row>
    <row r="1760" spans="8:15">
      <c r="H1760" s="1178"/>
      <c r="I1760" s="1178"/>
      <c r="J1760" s="1178"/>
      <c r="K1760" s="1178"/>
      <c r="L1760" s="1178"/>
      <c r="M1760" s="1178"/>
      <c r="N1760" s="1212" t="str">
        <f>IF( OR( ISBLANK(H1760),ISBLANK(J1760), ISBLANK(K1760), ISBLANK(L1760), ISBLANK(M1760) ), "", 1.5*SQRT(   EXP(2.21*(H1760-1)) + EXP(2.21*(J1760-1)) + EXP(2.21*(K1760-1)) + EXP(2.21*(L1760-1)) + EXP(2.21*M1760)   )/100*2.45 )</f>
        <v/>
      </c>
      <c r="O1760" s="1212" t="str">
        <f>IF( OR( ISBLANK(I1760),ISBLANK(J1760), ISBLANK(K1760), ISBLANK(L1760), ISBLANK(M1760) ), "", 1.5*SQRT( EXP(2.21*(I1760-1)) + EXP(2.21*(J1760-1)) + EXP(2.21*(K1760-1)) + EXP(2.21*(L1760-1)) + EXP(2.21*M1760)   )/100*2.45 )</f>
        <v/>
      </c>
    </row>
    <row r="1761" spans="8:15">
      <c r="H1761" s="1178"/>
      <c r="I1761" s="1178"/>
      <c r="J1761" s="1178"/>
      <c r="K1761" s="1178"/>
      <c r="L1761" s="1178"/>
      <c r="M1761" s="1178"/>
      <c r="N1761" s="1212" t="str">
        <f>IF( OR( ISBLANK(H1761),ISBLANK(J1761), ISBLANK(K1761), ISBLANK(L1761), ISBLANK(M1761) ), "", 1.5*SQRT(   EXP(2.21*(H1761-1)) + EXP(2.21*(J1761-1)) + EXP(2.21*(K1761-1)) + EXP(2.21*(L1761-1)) + EXP(2.21*M1761)   )/100*2.45 )</f>
        <v/>
      </c>
      <c r="O1761" s="1212" t="str">
        <f>IF( OR( ISBLANK(I1761),ISBLANK(J1761), ISBLANK(K1761), ISBLANK(L1761), ISBLANK(M1761) ), "", 1.5*SQRT( EXP(2.21*(I1761-1)) + EXP(2.21*(J1761-1)) + EXP(2.21*(K1761-1)) + EXP(2.21*(L1761-1)) + EXP(2.21*M1761)   )/100*2.45 )</f>
        <v/>
      </c>
    </row>
    <row r="1762" spans="8:15">
      <c r="H1762" s="1178"/>
      <c r="I1762" s="1178"/>
      <c r="J1762" s="1178"/>
      <c r="K1762" s="1178"/>
      <c r="L1762" s="1178"/>
      <c r="M1762" s="1178"/>
      <c r="N1762" s="1212" t="str">
        <f>IF( OR( ISBLANK(H1762),ISBLANK(J1762), ISBLANK(K1762), ISBLANK(L1762), ISBLANK(M1762) ), "", 1.5*SQRT(   EXP(2.21*(H1762-1)) + EXP(2.21*(J1762-1)) + EXP(2.21*(K1762-1)) + EXP(2.21*(L1762-1)) + EXP(2.21*M1762)   )/100*2.45 )</f>
        <v/>
      </c>
      <c r="O1762" s="1212" t="str">
        <f>IF( OR( ISBLANK(I1762),ISBLANK(J1762), ISBLANK(K1762), ISBLANK(L1762), ISBLANK(M1762) ), "", 1.5*SQRT( EXP(2.21*(I1762-1)) + EXP(2.21*(J1762-1)) + EXP(2.21*(K1762-1)) + EXP(2.21*(L1762-1)) + EXP(2.21*M1762)   )/100*2.45 )</f>
        <v/>
      </c>
    </row>
    <row r="1763" spans="8:15">
      <c r="H1763" s="1178"/>
      <c r="I1763" s="1178"/>
      <c r="J1763" s="1178"/>
      <c r="K1763" s="1178"/>
      <c r="L1763" s="1178"/>
      <c r="M1763" s="1178"/>
      <c r="N1763" s="1212" t="str">
        <f>IF( OR( ISBLANK(H1763),ISBLANK(J1763), ISBLANK(K1763), ISBLANK(L1763), ISBLANK(M1763) ), "", 1.5*SQRT(   EXP(2.21*(H1763-1)) + EXP(2.21*(J1763-1)) + EXP(2.21*(K1763-1)) + EXP(2.21*(L1763-1)) + EXP(2.21*M1763)   )/100*2.45 )</f>
        <v/>
      </c>
      <c r="O1763" s="1212" t="str">
        <f>IF( OR( ISBLANK(I1763),ISBLANK(J1763), ISBLANK(K1763), ISBLANK(L1763), ISBLANK(M1763) ), "", 1.5*SQRT( EXP(2.21*(I1763-1)) + EXP(2.21*(J1763-1)) + EXP(2.21*(K1763-1)) + EXP(2.21*(L1763-1)) + EXP(2.21*M1763)   )/100*2.45 )</f>
        <v/>
      </c>
    </row>
    <row r="1764" spans="8:15">
      <c r="H1764" s="1178"/>
      <c r="I1764" s="1178"/>
      <c r="J1764" s="1178"/>
      <c r="K1764" s="1178"/>
      <c r="L1764" s="1178"/>
      <c r="M1764" s="1178"/>
      <c r="N1764" s="1212" t="str">
        <f>IF( OR( ISBLANK(H1764),ISBLANK(J1764), ISBLANK(K1764), ISBLANK(L1764), ISBLANK(M1764) ), "", 1.5*SQRT(   EXP(2.21*(H1764-1)) + EXP(2.21*(J1764-1)) + EXP(2.21*(K1764-1)) + EXP(2.21*(L1764-1)) + EXP(2.21*M1764)   )/100*2.45 )</f>
        <v/>
      </c>
      <c r="O1764" s="1212" t="str">
        <f>IF( OR( ISBLANK(I1764),ISBLANK(J1764), ISBLANK(K1764), ISBLANK(L1764), ISBLANK(M1764) ), "", 1.5*SQRT( EXP(2.21*(I1764-1)) + EXP(2.21*(J1764-1)) + EXP(2.21*(K1764-1)) + EXP(2.21*(L1764-1)) + EXP(2.21*M1764)   )/100*2.45 )</f>
        <v/>
      </c>
    </row>
    <row r="1765" spans="8:15">
      <c r="H1765" s="1178"/>
      <c r="I1765" s="1178"/>
      <c r="J1765" s="1178"/>
      <c r="K1765" s="1178"/>
      <c r="L1765" s="1178"/>
      <c r="M1765" s="1178"/>
      <c r="N1765" s="1212" t="str">
        <f>IF( OR( ISBLANK(H1765),ISBLANK(J1765), ISBLANK(K1765), ISBLANK(L1765), ISBLANK(M1765) ), "", 1.5*SQRT(   EXP(2.21*(H1765-1)) + EXP(2.21*(J1765-1)) + EXP(2.21*(K1765-1)) + EXP(2.21*(L1765-1)) + EXP(2.21*M1765)   )/100*2.45 )</f>
        <v/>
      </c>
      <c r="O1765" s="1212" t="str">
        <f>IF( OR( ISBLANK(I1765),ISBLANK(J1765), ISBLANK(K1765), ISBLANK(L1765), ISBLANK(M1765) ), "", 1.5*SQRT( EXP(2.21*(I1765-1)) + EXP(2.21*(J1765-1)) + EXP(2.21*(K1765-1)) + EXP(2.21*(L1765-1)) + EXP(2.21*M1765)   )/100*2.45 )</f>
        <v/>
      </c>
    </row>
    <row r="1766" spans="8:15">
      <c r="H1766" s="1178"/>
      <c r="I1766" s="1178"/>
      <c r="J1766" s="1178"/>
      <c r="K1766" s="1178"/>
      <c r="L1766" s="1178"/>
      <c r="M1766" s="1178"/>
      <c r="N1766" s="1212" t="str">
        <f>IF( OR( ISBLANK(H1766),ISBLANK(J1766), ISBLANK(K1766), ISBLANK(L1766), ISBLANK(M1766) ), "", 1.5*SQRT(   EXP(2.21*(H1766-1)) + EXP(2.21*(J1766-1)) + EXP(2.21*(K1766-1)) + EXP(2.21*(L1766-1)) + EXP(2.21*M1766)   )/100*2.45 )</f>
        <v/>
      </c>
      <c r="O1766" s="1212" t="str">
        <f>IF( OR( ISBLANK(I1766),ISBLANK(J1766), ISBLANK(K1766), ISBLANK(L1766), ISBLANK(M1766) ), "", 1.5*SQRT( EXP(2.21*(I1766-1)) + EXP(2.21*(J1766-1)) + EXP(2.21*(K1766-1)) + EXP(2.21*(L1766-1)) + EXP(2.21*M1766)   )/100*2.45 )</f>
        <v/>
      </c>
    </row>
    <row r="1767" spans="8:15">
      <c r="H1767" s="1178"/>
      <c r="I1767" s="1178"/>
      <c r="J1767" s="1178"/>
      <c r="K1767" s="1178"/>
      <c r="L1767" s="1178"/>
      <c r="M1767" s="1178"/>
      <c r="N1767" s="1212" t="str">
        <f>IF( OR( ISBLANK(H1767),ISBLANK(J1767), ISBLANK(K1767), ISBLANK(L1767), ISBLANK(M1767) ), "", 1.5*SQRT(   EXP(2.21*(H1767-1)) + EXP(2.21*(J1767-1)) + EXP(2.21*(K1767-1)) + EXP(2.21*(L1767-1)) + EXP(2.21*M1767)   )/100*2.45 )</f>
        <v/>
      </c>
      <c r="O1767" s="1212" t="str">
        <f>IF( OR( ISBLANK(I1767),ISBLANK(J1767), ISBLANK(K1767), ISBLANK(L1767), ISBLANK(M1767) ), "", 1.5*SQRT( EXP(2.21*(I1767-1)) + EXP(2.21*(J1767-1)) + EXP(2.21*(K1767-1)) + EXP(2.21*(L1767-1)) + EXP(2.21*M1767)   )/100*2.45 )</f>
        <v/>
      </c>
    </row>
    <row r="1768" spans="8:15">
      <c r="H1768" s="1178"/>
      <c r="I1768" s="1178"/>
      <c r="J1768" s="1178"/>
      <c r="K1768" s="1178"/>
      <c r="L1768" s="1178"/>
      <c r="M1768" s="1178"/>
      <c r="N1768" s="1212" t="str">
        <f>IF( OR( ISBLANK(H1768),ISBLANK(J1768), ISBLANK(K1768), ISBLANK(L1768), ISBLANK(M1768) ), "", 1.5*SQRT(   EXP(2.21*(H1768-1)) + EXP(2.21*(J1768-1)) + EXP(2.21*(K1768-1)) + EXP(2.21*(L1768-1)) + EXP(2.21*M1768)   )/100*2.45 )</f>
        <v/>
      </c>
      <c r="O1768" s="1212" t="str">
        <f>IF( OR( ISBLANK(I1768),ISBLANK(J1768), ISBLANK(K1768), ISBLANK(L1768), ISBLANK(M1768) ), "", 1.5*SQRT( EXP(2.21*(I1768-1)) + EXP(2.21*(J1768-1)) + EXP(2.21*(K1768-1)) + EXP(2.21*(L1768-1)) + EXP(2.21*M1768)   )/100*2.45 )</f>
        <v/>
      </c>
    </row>
    <row r="1769" spans="8:15">
      <c r="H1769" s="1178"/>
      <c r="I1769" s="1178"/>
      <c r="J1769" s="1178"/>
      <c r="K1769" s="1178"/>
      <c r="L1769" s="1178"/>
      <c r="M1769" s="1178"/>
      <c r="N1769" s="1212" t="str">
        <f>IF( OR( ISBLANK(H1769),ISBLANK(J1769), ISBLANK(K1769), ISBLANK(L1769), ISBLANK(M1769) ), "", 1.5*SQRT(   EXP(2.21*(H1769-1)) + EXP(2.21*(J1769-1)) + EXP(2.21*(K1769-1)) + EXP(2.21*(L1769-1)) + EXP(2.21*M1769)   )/100*2.45 )</f>
        <v/>
      </c>
      <c r="O1769" s="1212" t="str">
        <f>IF( OR( ISBLANK(I1769),ISBLANK(J1769), ISBLANK(K1769), ISBLANK(L1769), ISBLANK(M1769) ), "", 1.5*SQRT( EXP(2.21*(I1769-1)) + EXP(2.21*(J1769-1)) + EXP(2.21*(K1769-1)) + EXP(2.21*(L1769-1)) + EXP(2.21*M1769)   )/100*2.45 )</f>
        <v/>
      </c>
    </row>
    <row r="1770" spans="8:15">
      <c r="H1770" s="1178"/>
      <c r="I1770" s="1178"/>
      <c r="J1770" s="1178"/>
      <c r="K1770" s="1178"/>
      <c r="L1770" s="1178"/>
      <c r="M1770" s="1178"/>
      <c r="N1770" s="1212" t="str">
        <f>IF( OR( ISBLANK(H1770),ISBLANK(J1770), ISBLANK(K1770), ISBLANK(L1770), ISBLANK(M1770) ), "", 1.5*SQRT(   EXP(2.21*(H1770-1)) + EXP(2.21*(J1770-1)) + EXP(2.21*(K1770-1)) + EXP(2.21*(L1770-1)) + EXP(2.21*M1770)   )/100*2.45 )</f>
        <v/>
      </c>
      <c r="O1770" s="1212" t="str">
        <f>IF( OR( ISBLANK(I1770),ISBLANK(J1770), ISBLANK(K1770), ISBLANK(L1770), ISBLANK(M1770) ), "", 1.5*SQRT( EXP(2.21*(I1770-1)) + EXP(2.21*(J1770-1)) + EXP(2.21*(K1770-1)) + EXP(2.21*(L1770-1)) + EXP(2.21*M1770)   )/100*2.45 )</f>
        <v/>
      </c>
    </row>
    <row r="1771" spans="8:15">
      <c r="H1771" s="1178"/>
      <c r="I1771" s="1178"/>
      <c r="J1771" s="1178"/>
      <c r="K1771" s="1178"/>
      <c r="L1771" s="1178"/>
      <c r="M1771" s="1178"/>
      <c r="N1771" s="1212" t="str">
        <f>IF( OR( ISBLANK(H1771),ISBLANK(J1771), ISBLANK(K1771), ISBLANK(L1771), ISBLANK(M1771) ), "", 1.5*SQRT(   EXP(2.21*(H1771-1)) + EXP(2.21*(J1771-1)) + EXP(2.21*(K1771-1)) + EXP(2.21*(L1771-1)) + EXP(2.21*M1771)   )/100*2.45 )</f>
        <v/>
      </c>
      <c r="O1771" s="1212" t="str">
        <f>IF( OR( ISBLANK(I1771),ISBLANK(J1771), ISBLANK(K1771), ISBLANK(L1771), ISBLANK(M1771) ), "", 1.5*SQRT( EXP(2.21*(I1771-1)) + EXP(2.21*(J1771-1)) + EXP(2.21*(K1771-1)) + EXP(2.21*(L1771-1)) + EXP(2.21*M1771)   )/100*2.45 )</f>
        <v/>
      </c>
    </row>
    <row r="1772" spans="8:15">
      <c r="H1772" s="1178"/>
      <c r="I1772" s="1178"/>
      <c r="J1772" s="1178"/>
      <c r="K1772" s="1178"/>
      <c r="L1772" s="1178"/>
      <c r="M1772" s="1178"/>
      <c r="N1772" s="1212" t="str">
        <f>IF( OR( ISBLANK(H1772),ISBLANK(J1772), ISBLANK(K1772), ISBLANK(L1772), ISBLANK(M1772) ), "", 1.5*SQRT(   EXP(2.21*(H1772-1)) + EXP(2.21*(J1772-1)) + EXP(2.21*(K1772-1)) + EXP(2.21*(L1772-1)) + EXP(2.21*M1772)   )/100*2.45 )</f>
        <v/>
      </c>
      <c r="O1772" s="1212" t="str">
        <f>IF( OR( ISBLANK(I1772),ISBLANK(J1772), ISBLANK(K1772), ISBLANK(L1772), ISBLANK(M1772) ), "", 1.5*SQRT( EXP(2.21*(I1772-1)) + EXP(2.21*(J1772-1)) + EXP(2.21*(K1772-1)) + EXP(2.21*(L1772-1)) + EXP(2.21*M1772)   )/100*2.45 )</f>
        <v/>
      </c>
    </row>
    <row r="1773" spans="8:15">
      <c r="H1773" s="1178"/>
      <c r="I1773" s="1178"/>
      <c r="J1773" s="1178"/>
      <c r="K1773" s="1178"/>
      <c r="L1773" s="1178"/>
      <c r="M1773" s="1178"/>
      <c r="N1773" s="1212" t="str">
        <f>IF( OR( ISBLANK(H1773),ISBLANK(J1773), ISBLANK(K1773), ISBLANK(L1773), ISBLANK(M1773) ), "", 1.5*SQRT(   EXP(2.21*(H1773-1)) + EXP(2.21*(J1773-1)) + EXP(2.21*(K1773-1)) + EXP(2.21*(L1773-1)) + EXP(2.21*M1773)   )/100*2.45 )</f>
        <v/>
      </c>
      <c r="O1773" s="1212" t="str">
        <f>IF( OR( ISBLANK(I1773),ISBLANK(J1773), ISBLANK(K1773), ISBLANK(L1773), ISBLANK(M1773) ), "", 1.5*SQRT( EXP(2.21*(I1773-1)) + EXP(2.21*(J1773-1)) + EXP(2.21*(K1773-1)) + EXP(2.21*(L1773-1)) + EXP(2.21*M1773)   )/100*2.45 )</f>
        <v/>
      </c>
    </row>
    <row r="1774" spans="8:15">
      <c r="H1774" s="1178"/>
      <c r="I1774" s="1178"/>
      <c r="J1774" s="1178"/>
      <c r="K1774" s="1178"/>
      <c r="L1774" s="1178"/>
      <c r="M1774" s="1178"/>
      <c r="N1774" s="1212" t="str">
        <f>IF( OR( ISBLANK(H1774),ISBLANK(J1774), ISBLANK(K1774), ISBLANK(L1774), ISBLANK(M1774) ), "", 1.5*SQRT(   EXP(2.21*(H1774-1)) + EXP(2.21*(J1774-1)) + EXP(2.21*(K1774-1)) + EXP(2.21*(L1774-1)) + EXP(2.21*M1774)   )/100*2.45 )</f>
        <v/>
      </c>
      <c r="O1774" s="1212" t="str">
        <f>IF( OR( ISBLANK(I1774),ISBLANK(J1774), ISBLANK(K1774), ISBLANK(L1774), ISBLANK(M1774) ), "", 1.5*SQRT( EXP(2.21*(I1774-1)) + EXP(2.21*(J1774-1)) + EXP(2.21*(K1774-1)) + EXP(2.21*(L1774-1)) + EXP(2.21*M1774)   )/100*2.45 )</f>
        <v/>
      </c>
    </row>
    <row r="1775" spans="8:15">
      <c r="H1775" s="1178"/>
      <c r="I1775" s="1178"/>
      <c r="J1775" s="1178"/>
      <c r="K1775" s="1178"/>
      <c r="L1775" s="1178"/>
      <c r="M1775" s="1178"/>
      <c r="N1775" s="1212" t="str">
        <f>IF( OR( ISBLANK(H1775),ISBLANK(J1775), ISBLANK(K1775), ISBLANK(L1775), ISBLANK(M1775) ), "", 1.5*SQRT(   EXP(2.21*(H1775-1)) + EXP(2.21*(J1775-1)) + EXP(2.21*(K1775-1)) + EXP(2.21*(L1775-1)) + EXP(2.21*M1775)   )/100*2.45 )</f>
        <v/>
      </c>
      <c r="O1775" s="1212" t="str">
        <f>IF( OR( ISBLANK(I1775),ISBLANK(J1775), ISBLANK(K1775), ISBLANK(L1775), ISBLANK(M1775) ), "", 1.5*SQRT( EXP(2.21*(I1775-1)) + EXP(2.21*(J1775-1)) + EXP(2.21*(K1775-1)) + EXP(2.21*(L1775-1)) + EXP(2.21*M1775)   )/100*2.45 )</f>
        <v/>
      </c>
    </row>
    <row r="1776" spans="8:15">
      <c r="H1776" s="1178"/>
      <c r="I1776" s="1178"/>
      <c r="J1776" s="1178"/>
      <c r="K1776" s="1178"/>
      <c r="L1776" s="1178"/>
      <c r="M1776" s="1178"/>
      <c r="N1776" s="1212" t="str">
        <f>IF( OR( ISBLANK(H1776),ISBLANK(J1776), ISBLANK(K1776), ISBLANK(L1776), ISBLANK(M1776) ), "", 1.5*SQRT(   EXP(2.21*(H1776-1)) + EXP(2.21*(J1776-1)) + EXP(2.21*(K1776-1)) + EXP(2.21*(L1776-1)) + EXP(2.21*M1776)   )/100*2.45 )</f>
        <v/>
      </c>
      <c r="O1776" s="1212" t="str">
        <f>IF( OR( ISBLANK(I1776),ISBLANK(J1776), ISBLANK(K1776), ISBLANK(L1776), ISBLANK(M1776) ), "", 1.5*SQRT( EXP(2.21*(I1776-1)) + EXP(2.21*(J1776-1)) + EXP(2.21*(K1776-1)) + EXP(2.21*(L1776-1)) + EXP(2.21*M1776)   )/100*2.45 )</f>
        <v/>
      </c>
    </row>
    <row r="1777" spans="8:15">
      <c r="H1777" s="1178"/>
      <c r="I1777" s="1178"/>
      <c r="J1777" s="1178"/>
      <c r="K1777" s="1178"/>
      <c r="L1777" s="1178"/>
      <c r="M1777" s="1178"/>
      <c r="N1777" s="1212" t="str">
        <f>IF( OR( ISBLANK(H1777),ISBLANK(J1777), ISBLANK(K1777), ISBLANK(L1777), ISBLANK(M1777) ), "", 1.5*SQRT(   EXP(2.21*(H1777-1)) + EXP(2.21*(J1777-1)) + EXP(2.21*(K1777-1)) + EXP(2.21*(L1777-1)) + EXP(2.21*M1777)   )/100*2.45 )</f>
        <v/>
      </c>
      <c r="O1777" s="1212" t="str">
        <f>IF( OR( ISBLANK(I1777),ISBLANK(J1777), ISBLANK(K1777), ISBLANK(L1777), ISBLANK(M1777) ), "", 1.5*SQRT( EXP(2.21*(I1777-1)) + EXP(2.21*(J1777-1)) + EXP(2.21*(K1777-1)) + EXP(2.21*(L1777-1)) + EXP(2.21*M1777)   )/100*2.45 )</f>
        <v/>
      </c>
    </row>
    <row r="1778" spans="8:15">
      <c r="H1778" s="1178"/>
      <c r="I1778" s="1178"/>
      <c r="J1778" s="1178"/>
      <c r="K1778" s="1178"/>
      <c r="L1778" s="1178"/>
      <c r="M1778" s="1178"/>
      <c r="N1778" s="1212" t="str">
        <f>IF( OR( ISBLANK(H1778),ISBLANK(J1778), ISBLANK(K1778), ISBLANK(L1778), ISBLANK(M1778) ), "", 1.5*SQRT(   EXP(2.21*(H1778-1)) + EXP(2.21*(J1778-1)) + EXP(2.21*(K1778-1)) + EXP(2.21*(L1778-1)) + EXP(2.21*M1778)   )/100*2.45 )</f>
        <v/>
      </c>
      <c r="O1778" s="1212" t="str">
        <f>IF( OR( ISBLANK(I1778),ISBLANK(J1778), ISBLANK(K1778), ISBLANK(L1778), ISBLANK(M1778) ), "", 1.5*SQRT( EXP(2.21*(I1778-1)) + EXP(2.21*(J1778-1)) + EXP(2.21*(K1778-1)) + EXP(2.21*(L1778-1)) + EXP(2.21*M1778)   )/100*2.45 )</f>
        <v/>
      </c>
    </row>
    <row r="1779" spans="8:15">
      <c r="H1779" s="1178"/>
      <c r="I1779" s="1178"/>
      <c r="J1779" s="1178"/>
      <c r="K1779" s="1178"/>
      <c r="L1779" s="1178"/>
      <c r="M1779" s="1178"/>
      <c r="N1779" s="1212" t="str">
        <f>IF( OR( ISBLANK(H1779),ISBLANK(J1779), ISBLANK(K1779), ISBLANK(L1779), ISBLANK(M1779) ), "", 1.5*SQRT(   EXP(2.21*(H1779-1)) + EXP(2.21*(J1779-1)) + EXP(2.21*(K1779-1)) + EXP(2.21*(L1779-1)) + EXP(2.21*M1779)   )/100*2.45 )</f>
        <v/>
      </c>
      <c r="O1779" s="1212" t="str">
        <f>IF( OR( ISBLANK(I1779),ISBLANK(J1779), ISBLANK(K1779), ISBLANK(L1779), ISBLANK(M1779) ), "", 1.5*SQRT( EXP(2.21*(I1779-1)) + EXP(2.21*(J1779-1)) + EXP(2.21*(K1779-1)) + EXP(2.21*(L1779-1)) + EXP(2.21*M1779)   )/100*2.45 )</f>
        <v/>
      </c>
    </row>
    <row r="1780" spans="8:15">
      <c r="H1780" s="1178"/>
      <c r="I1780" s="1178"/>
      <c r="J1780" s="1178"/>
      <c r="K1780" s="1178"/>
      <c r="L1780" s="1178"/>
      <c r="M1780" s="1178"/>
      <c r="N1780" s="1212" t="str">
        <f>IF( OR( ISBLANK(H1780),ISBLANK(J1780), ISBLANK(K1780), ISBLANK(L1780), ISBLANK(M1780) ), "", 1.5*SQRT(   EXP(2.21*(H1780-1)) + EXP(2.21*(J1780-1)) + EXP(2.21*(K1780-1)) + EXP(2.21*(L1780-1)) + EXP(2.21*M1780)   )/100*2.45 )</f>
        <v/>
      </c>
      <c r="O1780" s="1212" t="str">
        <f>IF( OR( ISBLANK(I1780),ISBLANK(J1780), ISBLANK(K1780), ISBLANK(L1780), ISBLANK(M1780) ), "", 1.5*SQRT( EXP(2.21*(I1780-1)) + EXP(2.21*(J1780-1)) + EXP(2.21*(K1780-1)) + EXP(2.21*(L1780-1)) + EXP(2.21*M1780)   )/100*2.45 )</f>
        <v/>
      </c>
    </row>
    <row r="1781" spans="8:15">
      <c r="H1781" s="1178"/>
      <c r="I1781" s="1178"/>
      <c r="J1781" s="1178"/>
      <c r="K1781" s="1178"/>
      <c r="L1781" s="1178"/>
      <c r="M1781" s="1178"/>
      <c r="N1781" s="1212" t="str">
        <f>IF( OR( ISBLANK(H1781),ISBLANK(J1781), ISBLANK(K1781), ISBLANK(L1781), ISBLANK(M1781) ), "", 1.5*SQRT(   EXP(2.21*(H1781-1)) + EXP(2.21*(J1781-1)) + EXP(2.21*(K1781-1)) + EXP(2.21*(L1781-1)) + EXP(2.21*M1781)   )/100*2.45 )</f>
        <v/>
      </c>
      <c r="O1781" s="1212" t="str">
        <f>IF( OR( ISBLANK(I1781),ISBLANK(J1781), ISBLANK(K1781), ISBLANK(L1781), ISBLANK(M1781) ), "", 1.5*SQRT( EXP(2.21*(I1781-1)) + EXP(2.21*(J1781-1)) + EXP(2.21*(K1781-1)) + EXP(2.21*(L1781-1)) + EXP(2.21*M1781)   )/100*2.45 )</f>
        <v/>
      </c>
    </row>
    <row r="1782" spans="8:15">
      <c r="H1782" s="1178"/>
      <c r="I1782" s="1178"/>
      <c r="J1782" s="1178"/>
      <c r="K1782" s="1178"/>
      <c r="L1782" s="1178"/>
      <c r="M1782" s="1178"/>
      <c r="N1782" s="1212" t="str">
        <f>IF( OR( ISBLANK(H1782),ISBLANK(J1782), ISBLANK(K1782), ISBLANK(L1782), ISBLANK(M1782) ), "", 1.5*SQRT(   EXP(2.21*(H1782-1)) + EXP(2.21*(J1782-1)) + EXP(2.21*(K1782-1)) + EXP(2.21*(L1782-1)) + EXP(2.21*M1782)   )/100*2.45 )</f>
        <v/>
      </c>
      <c r="O1782" s="1212" t="str">
        <f>IF( OR( ISBLANK(I1782),ISBLANK(J1782), ISBLANK(K1782), ISBLANK(L1782), ISBLANK(M1782) ), "", 1.5*SQRT( EXP(2.21*(I1782-1)) + EXP(2.21*(J1782-1)) + EXP(2.21*(K1782-1)) + EXP(2.21*(L1782-1)) + EXP(2.21*M1782)   )/100*2.45 )</f>
        <v/>
      </c>
    </row>
    <row r="1783" spans="8:15">
      <c r="H1783" s="1178"/>
      <c r="I1783" s="1178"/>
      <c r="J1783" s="1178"/>
      <c r="K1783" s="1178"/>
      <c r="L1783" s="1178"/>
      <c r="M1783" s="1178"/>
      <c r="N1783" s="1212" t="str">
        <f>IF( OR( ISBLANK(H1783),ISBLANK(J1783), ISBLANK(K1783), ISBLANK(L1783), ISBLANK(M1783) ), "", 1.5*SQRT(   EXP(2.21*(H1783-1)) + EXP(2.21*(J1783-1)) + EXP(2.21*(K1783-1)) + EXP(2.21*(L1783-1)) + EXP(2.21*M1783)   )/100*2.45 )</f>
        <v/>
      </c>
      <c r="O1783" s="1212" t="str">
        <f>IF( OR( ISBLANK(I1783),ISBLANK(J1783), ISBLANK(K1783), ISBLANK(L1783), ISBLANK(M1783) ), "", 1.5*SQRT( EXP(2.21*(I1783-1)) + EXP(2.21*(J1783-1)) + EXP(2.21*(K1783-1)) + EXP(2.21*(L1783-1)) + EXP(2.21*M1783)   )/100*2.45 )</f>
        <v/>
      </c>
    </row>
    <row r="1784" spans="8:15">
      <c r="H1784" s="1178"/>
      <c r="I1784" s="1178"/>
      <c r="J1784" s="1178"/>
      <c r="K1784" s="1178"/>
      <c r="L1784" s="1178"/>
      <c r="M1784" s="1178"/>
      <c r="N1784" s="1212" t="str">
        <f>IF( OR( ISBLANK(H1784),ISBLANK(J1784), ISBLANK(K1784), ISBLANK(L1784), ISBLANK(M1784) ), "", 1.5*SQRT(   EXP(2.21*(H1784-1)) + EXP(2.21*(J1784-1)) + EXP(2.21*(K1784-1)) + EXP(2.21*(L1784-1)) + EXP(2.21*M1784)   )/100*2.45 )</f>
        <v/>
      </c>
      <c r="O1784" s="1212" t="str">
        <f>IF( OR( ISBLANK(I1784),ISBLANK(J1784), ISBLANK(K1784), ISBLANK(L1784), ISBLANK(M1784) ), "", 1.5*SQRT( EXP(2.21*(I1784-1)) + EXP(2.21*(J1784-1)) + EXP(2.21*(K1784-1)) + EXP(2.21*(L1784-1)) + EXP(2.21*M1784)   )/100*2.45 )</f>
        <v/>
      </c>
    </row>
    <row r="1785" spans="8:15">
      <c r="H1785" s="1178"/>
      <c r="I1785" s="1178"/>
      <c r="J1785" s="1178"/>
      <c r="K1785" s="1178"/>
      <c r="L1785" s="1178"/>
      <c r="M1785" s="1178"/>
      <c r="N1785" s="1212" t="str">
        <f>IF( OR( ISBLANK(H1785),ISBLANK(J1785), ISBLANK(K1785), ISBLANK(L1785), ISBLANK(M1785) ), "", 1.5*SQRT(   EXP(2.21*(H1785-1)) + EXP(2.21*(J1785-1)) + EXP(2.21*(K1785-1)) + EXP(2.21*(L1785-1)) + EXP(2.21*M1785)   )/100*2.45 )</f>
        <v/>
      </c>
      <c r="O1785" s="1212" t="str">
        <f>IF( OR( ISBLANK(I1785),ISBLANK(J1785), ISBLANK(K1785), ISBLANK(L1785), ISBLANK(M1785) ), "", 1.5*SQRT( EXP(2.21*(I1785-1)) + EXP(2.21*(J1785-1)) + EXP(2.21*(K1785-1)) + EXP(2.21*(L1785-1)) + EXP(2.21*M1785)   )/100*2.45 )</f>
        <v/>
      </c>
    </row>
    <row r="1786" spans="8:15">
      <c r="H1786" s="1178"/>
      <c r="I1786" s="1178"/>
      <c r="J1786" s="1178"/>
      <c r="K1786" s="1178"/>
      <c r="L1786" s="1178"/>
      <c r="M1786" s="1178"/>
      <c r="N1786" s="1212" t="str">
        <f>IF( OR( ISBLANK(H1786),ISBLANK(J1786), ISBLANK(K1786), ISBLANK(L1786), ISBLANK(M1786) ), "", 1.5*SQRT(   EXP(2.21*(H1786-1)) + EXP(2.21*(J1786-1)) + EXP(2.21*(K1786-1)) + EXP(2.21*(L1786-1)) + EXP(2.21*M1786)   )/100*2.45 )</f>
        <v/>
      </c>
      <c r="O1786" s="1212" t="str">
        <f>IF( OR( ISBLANK(I1786),ISBLANK(J1786), ISBLANK(K1786), ISBLANK(L1786), ISBLANK(M1786) ), "", 1.5*SQRT( EXP(2.21*(I1786-1)) + EXP(2.21*(J1786-1)) + EXP(2.21*(K1786-1)) + EXP(2.21*(L1786-1)) + EXP(2.21*M1786)   )/100*2.45 )</f>
        <v/>
      </c>
    </row>
    <row r="1787" spans="8:15">
      <c r="H1787" s="1178"/>
      <c r="I1787" s="1178"/>
      <c r="J1787" s="1178"/>
      <c r="K1787" s="1178"/>
      <c r="L1787" s="1178"/>
      <c r="M1787" s="1178"/>
      <c r="N1787" s="1212" t="str">
        <f>IF( OR( ISBLANK(H1787),ISBLANK(J1787), ISBLANK(K1787), ISBLANK(L1787), ISBLANK(M1787) ), "", 1.5*SQRT(   EXP(2.21*(H1787-1)) + EXP(2.21*(J1787-1)) + EXP(2.21*(K1787-1)) + EXP(2.21*(L1787-1)) + EXP(2.21*M1787)   )/100*2.45 )</f>
        <v/>
      </c>
      <c r="O1787" s="1212" t="str">
        <f>IF( OR( ISBLANK(I1787),ISBLANK(J1787), ISBLANK(K1787), ISBLANK(L1787), ISBLANK(M1787) ), "", 1.5*SQRT( EXP(2.21*(I1787-1)) + EXP(2.21*(J1787-1)) + EXP(2.21*(K1787-1)) + EXP(2.21*(L1787-1)) + EXP(2.21*M1787)   )/100*2.45 )</f>
        <v/>
      </c>
    </row>
    <row r="1788" spans="8:15">
      <c r="H1788" s="1178"/>
      <c r="I1788" s="1178"/>
      <c r="J1788" s="1178"/>
      <c r="K1788" s="1178"/>
      <c r="L1788" s="1178"/>
      <c r="M1788" s="1178"/>
      <c r="N1788" s="1212" t="str">
        <f>IF( OR( ISBLANK(H1788),ISBLANK(J1788), ISBLANK(K1788), ISBLANK(L1788), ISBLANK(M1788) ), "", 1.5*SQRT(   EXP(2.21*(H1788-1)) + EXP(2.21*(J1788-1)) + EXP(2.21*(K1788-1)) + EXP(2.21*(L1788-1)) + EXP(2.21*M1788)   )/100*2.45 )</f>
        <v/>
      </c>
      <c r="O1788" s="1212" t="str">
        <f>IF( OR( ISBLANK(I1788),ISBLANK(J1788), ISBLANK(K1788), ISBLANK(L1788), ISBLANK(M1788) ), "", 1.5*SQRT( EXP(2.21*(I1788-1)) + EXP(2.21*(J1788-1)) + EXP(2.21*(K1788-1)) + EXP(2.21*(L1788-1)) + EXP(2.21*M1788)   )/100*2.45 )</f>
        <v/>
      </c>
    </row>
    <row r="1789" spans="8:15">
      <c r="H1789" s="1178"/>
      <c r="I1789" s="1178"/>
      <c r="J1789" s="1178"/>
      <c r="K1789" s="1178"/>
      <c r="L1789" s="1178"/>
      <c r="M1789" s="1178"/>
      <c r="N1789" s="1212" t="str">
        <f>IF( OR( ISBLANK(H1789),ISBLANK(J1789), ISBLANK(K1789), ISBLANK(L1789), ISBLANK(M1789) ), "", 1.5*SQRT(   EXP(2.21*(H1789-1)) + EXP(2.21*(J1789-1)) + EXP(2.21*(K1789-1)) + EXP(2.21*(L1789-1)) + EXP(2.21*M1789)   )/100*2.45 )</f>
        <v/>
      </c>
      <c r="O1789" s="1212" t="str">
        <f>IF( OR( ISBLANK(I1789),ISBLANK(J1789), ISBLANK(K1789), ISBLANK(L1789), ISBLANK(M1789) ), "", 1.5*SQRT( EXP(2.21*(I1789-1)) + EXP(2.21*(J1789-1)) + EXP(2.21*(K1789-1)) + EXP(2.21*(L1789-1)) + EXP(2.21*M1789)   )/100*2.45 )</f>
        <v/>
      </c>
    </row>
    <row r="1790" spans="8:15">
      <c r="H1790" s="1178"/>
      <c r="I1790" s="1178"/>
      <c r="J1790" s="1178"/>
      <c r="K1790" s="1178"/>
      <c r="L1790" s="1178"/>
      <c r="M1790" s="1178"/>
      <c r="N1790" s="1212" t="str">
        <f>IF( OR( ISBLANK(H1790),ISBLANK(J1790), ISBLANK(K1790), ISBLANK(L1790), ISBLANK(M1790) ), "", 1.5*SQRT(   EXP(2.21*(H1790-1)) + EXP(2.21*(J1790-1)) + EXP(2.21*(K1790-1)) + EXP(2.21*(L1790-1)) + EXP(2.21*M1790)   )/100*2.45 )</f>
        <v/>
      </c>
      <c r="O1790" s="1212" t="str">
        <f>IF( OR( ISBLANK(I1790),ISBLANK(J1790), ISBLANK(K1790), ISBLANK(L1790), ISBLANK(M1790) ), "", 1.5*SQRT( EXP(2.21*(I1790-1)) + EXP(2.21*(J1790-1)) + EXP(2.21*(K1790-1)) + EXP(2.21*(L1790-1)) + EXP(2.21*M1790)   )/100*2.45 )</f>
        <v/>
      </c>
    </row>
    <row r="1791" spans="8:15">
      <c r="H1791" s="1178"/>
      <c r="I1791" s="1178"/>
      <c r="J1791" s="1178"/>
      <c r="K1791" s="1178"/>
      <c r="L1791" s="1178"/>
      <c r="M1791" s="1178"/>
      <c r="N1791" s="1212" t="str">
        <f>IF( OR( ISBLANK(H1791),ISBLANK(J1791), ISBLANK(K1791), ISBLANK(L1791), ISBLANK(M1791) ), "", 1.5*SQRT(   EXP(2.21*(H1791-1)) + EXP(2.21*(J1791-1)) + EXP(2.21*(K1791-1)) + EXP(2.21*(L1791-1)) + EXP(2.21*M1791)   )/100*2.45 )</f>
        <v/>
      </c>
      <c r="O1791" s="1212" t="str">
        <f>IF( OR( ISBLANK(I1791),ISBLANK(J1791), ISBLANK(K1791), ISBLANK(L1791), ISBLANK(M1791) ), "", 1.5*SQRT( EXP(2.21*(I1791-1)) + EXP(2.21*(J1791-1)) + EXP(2.21*(K1791-1)) + EXP(2.21*(L1791-1)) + EXP(2.21*M1791)   )/100*2.45 )</f>
        <v/>
      </c>
    </row>
    <row r="1792" spans="8:15">
      <c r="H1792" s="1178"/>
      <c r="I1792" s="1178"/>
      <c r="J1792" s="1178"/>
      <c r="K1792" s="1178"/>
      <c r="L1792" s="1178"/>
      <c r="M1792" s="1178"/>
      <c r="N1792" s="1212" t="str">
        <f>IF( OR( ISBLANK(H1792),ISBLANK(J1792), ISBLANK(K1792), ISBLANK(L1792), ISBLANK(M1792) ), "", 1.5*SQRT(   EXP(2.21*(H1792-1)) + EXP(2.21*(J1792-1)) + EXP(2.21*(K1792-1)) + EXP(2.21*(L1792-1)) + EXP(2.21*M1792)   )/100*2.45 )</f>
        <v/>
      </c>
      <c r="O1792" s="1212" t="str">
        <f>IF( OR( ISBLANK(I1792),ISBLANK(J1792), ISBLANK(K1792), ISBLANK(L1792), ISBLANK(M1792) ), "", 1.5*SQRT( EXP(2.21*(I1792-1)) + EXP(2.21*(J1792-1)) + EXP(2.21*(K1792-1)) + EXP(2.21*(L1792-1)) + EXP(2.21*M1792)   )/100*2.45 )</f>
        <v/>
      </c>
    </row>
    <row r="1793" spans="8:15">
      <c r="H1793" s="1178"/>
      <c r="I1793" s="1178"/>
      <c r="J1793" s="1178"/>
      <c r="K1793" s="1178"/>
      <c r="L1793" s="1178"/>
      <c r="M1793" s="1178"/>
      <c r="N1793" s="1212" t="str">
        <f>IF( OR( ISBLANK(H1793),ISBLANK(J1793), ISBLANK(K1793), ISBLANK(L1793), ISBLANK(M1793) ), "", 1.5*SQRT(   EXP(2.21*(H1793-1)) + EXP(2.21*(J1793-1)) + EXP(2.21*(K1793-1)) + EXP(2.21*(L1793-1)) + EXP(2.21*M1793)   )/100*2.45 )</f>
        <v/>
      </c>
      <c r="O1793" s="1212" t="str">
        <f>IF( OR( ISBLANK(I1793),ISBLANK(J1793), ISBLANK(K1793), ISBLANK(L1793), ISBLANK(M1793) ), "", 1.5*SQRT( EXP(2.21*(I1793-1)) + EXP(2.21*(J1793-1)) + EXP(2.21*(K1793-1)) + EXP(2.21*(L1793-1)) + EXP(2.21*M1793)   )/100*2.45 )</f>
        <v/>
      </c>
    </row>
    <row r="1794" spans="8:15">
      <c r="H1794" s="1178"/>
      <c r="I1794" s="1178"/>
      <c r="J1794" s="1178"/>
      <c r="K1794" s="1178"/>
      <c r="L1794" s="1178"/>
      <c r="M1794" s="1178"/>
      <c r="N1794" s="1212" t="str">
        <f>IF( OR( ISBLANK(H1794),ISBLANK(J1794), ISBLANK(K1794), ISBLANK(L1794), ISBLANK(M1794) ), "", 1.5*SQRT(   EXP(2.21*(H1794-1)) + EXP(2.21*(J1794-1)) + EXP(2.21*(K1794-1)) + EXP(2.21*(L1794-1)) + EXP(2.21*M1794)   )/100*2.45 )</f>
        <v/>
      </c>
      <c r="O1794" s="1212" t="str">
        <f>IF( OR( ISBLANK(I1794),ISBLANK(J1794), ISBLANK(K1794), ISBLANK(L1794), ISBLANK(M1794) ), "", 1.5*SQRT( EXP(2.21*(I1794-1)) + EXP(2.21*(J1794-1)) + EXP(2.21*(K1794-1)) + EXP(2.21*(L1794-1)) + EXP(2.21*M1794)   )/100*2.45 )</f>
        <v/>
      </c>
    </row>
    <row r="1795" spans="8:15">
      <c r="H1795" s="1178"/>
      <c r="I1795" s="1178"/>
      <c r="J1795" s="1178"/>
      <c r="K1795" s="1178"/>
      <c r="L1795" s="1178"/>
      <c r="M1795" s="1178"/>
      <c r="N1795" s="1212" t="str">
        <f>IF( OR( ISBLANK(H1795),ISBLANK(J1795), ISBLANK(K1795), ISBLANK(L1795), ISBLANK(M1795) ), "", 1.5*SQRT(   EXP(2.21*(H1795-1)) + EXP(2.21*(J1795-1)) + EXP(2.21*(K1795-1)) + EXP(2.21*(L1795-1)) + EXP(2.21*M1795)   )/100*2.45 )</f>
        <v/>
      </c>
      <c r="O1795" s="1212" t="str">
        <f>IF( OR( ISBLANK(I1795),ISBLANK(J1795), ISBLANK(K1795), ISBLANK(L1795), ISBLANK(M1795) ), "", 1.5*SQRT( EXP(2.21*(I1795-1)) + EXP(2.21*(J1795-1)) + EXP(2.21*(K1795-1)) + EXP(2.21*(L1795-1)) + EXP(2.21*M1795)   )/100*2.45 )</f>
        <v/>
      </c>
    </row>
    <row r="1796" spans="8:15">
      <c r="H1796" s="1178"/>
      <c r="I1796" s="1178"/>
      <c r="J1796" s="1178"/>
      <c r="K1796" s="1178"/>
      <c r="L1796" s="1178"/>
      <c r="M1796" s="1178"/>
      <c r="N1796" s="1212" t="str">
        <f>IF( OR( ISBLANK(H1796),ISBLANK(J1796), ISBLANK(K1796), ISBLANK(L1796), ISBLANK(M1796) ), "", 1.5*SQRT(   EXP(2.21*(H1796-1)) + EXP(2.21*(J1796-1)) + EXP(2.21*(K1796-1)) + EXP(2.21*(L1796-1)) + EXP(2.21*M1796)   )/100*2.45 )</f>
        <v/>
      </c>
      <c r="O1796" s="1212" t="str">
        <f>IF( OR( ISBLANK(I1796),ISBLANK(J1796), ISBLANK(K1796), ISBLANK(L1796), ISBLANK(M1796) ), "", 1.5*SQRT( EXP(2.21*(I1796-1)) + EXP(2.21*(J1796-1)) + EXP(2.21*(K1796-1)) + EXP(2.21*(L1796-1)) + EXP(2.21*M1796)   )/100*2.45 )</f>
        <v/>
      </c>
    </row>
    <row r="1797" spans="8:15">
      <c r="H1797" s="1178"/>
      <c r="I1797" s="1178"/>
      <c r="J1797" s="1178"/>
      <c r="K1797" s="1178"/>
      <c r="L1797" s="1178"/>
      <c r="M1797" s="1178"/>
      <c r="N1797" s="1212" t="str">
        <f>IF( OR( ISBLANK(H1797),ISBLANK(J1797), ISBLANK(K1797), ISBLANK(L1797), ISBLANK(M1797) ), "", 1.5*SQRT(   EXP(2.21*(H1797-1)) + EXP(2.21*(J1797-1)) + EXP(2.21*(K1797-1)) + EXP(2.21*(L1797-1)) + EXP(2.21*M1797)   )/100*2.45 )</f>
        <v/>
      </c>
      <c r="O1797" s="1212" t="str">
        <f>IF( OR( ISBLANK(I1797),ISBLANK(J1797), ISBLANK(K1797), ISBLANK(L1797), ISBLANK(M1797) ), "", 1.5*SQRT( EXP(2.21*(I1797-1)) + EXP(2.21*(J1797-1)) + EXP(2.21*(K1797-1)) + EXP(2.21*(L1797-1)) + EXP(2.21*M1797)   )/100*2.45 )</f>
        <v/>
      </c>
    </row>
    <row r="1798" spans="8:15">
      <c r="H1798" s="1178"/>
      <c r="I1798" s="1178"/>
      <c r="J1798" s="1178"/>
      <c r="K1798" s="1178"/>
      <c r="L1798" s="1178"/>
      <c r="M1798" s="1178"/>
      <c r="N1798" s="1212" t="str">
        <f>IF( OR( ISBLANK(H1798),ISBLANK(J1798), ISBLANK(K1798), ISBLANK(L1798), ISBLANK(M1798) ), "", 1.5*SQRT(   EXP(2.21*(H1798-1)) + EXP(2.21*(J1798-1)) + EXP(2.21*(K1798-1)) + EXP(2.21*(L1798-1)) + EXP(2.21*M1798)   )/100*2.45 )</f>
        <v/>
      </c>
      <c r="O1798" s="1212" t="str">
        <f>IF( OR( ISBLANK(I1798),ISBLANK(J1798), ISBLANK(K1798), ISBLANK(L1798), ISBLANK(M1798) ), "", 1.5*SQRT( EXP(2.21*(I1798-1)) + EXP(2.21*(J1798-1)) + EXP(2.21*(K1798-1)) + EXP(2.21*(L1798-1)) + EXP(2.21*M1798)   )/100*2.45 )</f>
        <v/>
      </c>
    </row>
    <row r="1799" spans="8:15">
      <c r="H1799" s="1178"/>
      <c r="I1799" s="1178"/>
      <c r="J1799" s="1178"/>
      <c r="K1799" s="1178"/>
      <c r="L1799" s="1178"/>
      <c r="M1799" s="1178"/>
      <c r="N1799" s="1212" t="str">
        <f>IF( OR( ISBLANK(H1799),ISBLANK(J1799), ISBLANK(K1799), ISBLANK(L1799), ISBLANK(M1799) ), "", 1.5*SQRT(   EXP(2.21*(H1799-1)) + EXP(2.21*(J1799-1)) + EXP(2.21*(K1799-1)) + EXP(2.21*(L1799-1)) + EXP(2.21*M1799)   )/100*2.45 )</f>
        <v/>
      </c>
      <c r="O1799" s="1212" t="str">
        <f>IF( OR( ISBLANK(I1799),ISBLANK(J1799), ISBLANK(K1799), ISBLANK(L1799), ISBLANK(M1799) ), "", 1.5*SQRT( EXP(2.21*(I1799-1)) + EXP(2.21*(J1799-1)) + EXP(2.21*(K1799-1)) + EXP(2.21*(L1799-1)) + EXP(2.21*M1799)   )/100*2.45 )</f>
        <v/>
      </c>
    </row>
    <row r="1800" spans="8:15">
      <c r="H1800" s="1178"/>
      <c r="I1800" s="1178"/>
      <c r="J1800" s="1178"/>
      <c r="K1800" s="1178"/>
      <c r="L1800" s="1178"/>
      <c r="M1800" s="1178"/>
      <c r="N1800" s="1212" t="str">
        <f>IF( OR( ISBLANK(H1800),ISBLANK(J1800), ISBLANK(K1800), ISBLANK(L1800), ISBLANK(M1800) ), "", 1.5*SQRT(   EXP(2.21*(H1800-1)) + EXP(2.21*(J1800-1)) + EXP(2.21*(K1800-1)) + EXP(2.21*(L1800-1)) + EXP(2.21*M1800)   )/100*2.45 )</f>
        <v/>
      </c>
      <c r="O1800" s="1212" t="str">
        <f>IF( OR( ISBLANK(I1800),ISBLANK(J1800), ISBLANK(K1800), ISBLANK(L1800), ISBLANK(M1800) ), "", 1.5*SQRT( EXP(2.21*(I1800-1)) + EXP(2.21*(J1800-1)) + EXP(2.21*(K1800-1)) + EXP(2.21*(L1800-1)) + EXP(2.21*M1800)   )/100*2.45 )</f>
        <v/>
      </c>
    </row>
    <row r="1801" spans="8:15">
      <c r="H1801" s="1178"/>
      <c r="I1801" s="1178"/>
      <c r="J1801" s="1178"/>
      <c r="K1801" s="1178"/>
      <c r="L1801" s="1178"/>
      <c r="M1801" s="1178"/>
      <c r="N1801" s="1212" t="str">
        <f>IF( OR( ISBLANK(H1801),ISBLANK(J1801), ISBLANK(K1801), ISBLANK(L1801), ISBLANK(M1801) ), "", 1.5*SQRT(   EXP(2.21*(H1801-1)) + EXP(2.21*(J1801-1)) + EXP(2.21*(K1801-1)) + EXP(2.21*(L1801-1)) + EXP(2.21*M1801)   )/100*2.45 )</f>
        <v/>
      </c>
      <c r="O1801" s="1212" t="str">
        <f>IF( OR( ISBLANK(I1801),ISBLANK(J1801), ISBLANK(K1801), ISBLANK(L1801), ISBLANK(M1801) ), "", 1.5*SQRT( EXP(2.21*(I1801-1)) + EXP(2.21*(J1801-1)) + EXP(2.21*(K1801-1)) + EXP(2.21*(L1801-1)) + EXP(2.21*M1801)   )/100*2.45 )</f>
        <v/>
      </c>
    </row>
    <row r="1802" spans="8:15">
      <c r="H1802" s="1178"/>
      <c r="I1802" s="1178"/>
      <c r="J1802" s="1178"/>
      <c r="K1802" s="1178"/>
      <c r="L1802" s="1178"/>
      <c r="M1802" s="1178"/>
      <c r="N1802" s="1212" t="str">
        <f>IF( OR( ISBLANK(H1802),ISBLANK(J1802), ISBLANK(K1802), ISBLANK(L1802), ISBLANK(M1802) ), "", 1.5*SQRT(   EXP(2.21*(H1802-1)) + EXP(2.21*(J1802-1)) + EXP(2.21*(K1802-1)) + EXP(2.21*(L1802-1)) + EXP(2.21*M1802)   )/100*2.45 )</f>
        <v/>
      </c>
      <c r="O1802" s="1212" t="str">
        <f>IF( OR( ISBLANK(I1802),ISBLANK(J1802), ISBLANK(K1802), ISBLANK(L1802), ISBLANK(M1802) ), "", 1.5*SQRT( EXP(2.21*(I1802-1)) + EXP(2.21*(J1802-1)) + EXP(2.21*(K1802-1)) + EXP(2.21*(L1802-1)) + EXP(2.21*M1802)   )/100*2.45 )</f>
        <v/>
      </c>
    </row>
    <row r="1803" spans="8:15">
      <c r="H1803" s="1178"/>
      <c r="I1803" s="1178"/>
      <c r="J1803" s="1178"/>
      <c r="K1803" s="1178"/>
      <c r="L1803" s="1178"/>
      <c r="M1803" s="1178"/>
      <c r="N1803" s="1212" t="str">
        <f>IF( OR( ISBLANK(H1803),ISBLANK(J1803), ISBLANK(K1803), ISBLANK(L1803), ISBLANK(M1803) ), "", 1.5*SQRT(   EXP(2.21*(H1803-1)) + EXP(2.21*(J1803-1)) + EXP(2.21*(K1803-1)) + EXP(2.21*(L1803-1)) + EXP(2.21*M1803)   )/100*2.45 )</f>
        <v/>
      </c>
      <c r="O1803" s="1212" t="str">
        <f>IF( OR( ISBLANK(I1803),ISBLANK(J1803), ISBLANK(K1803), ISBLANK(L1803), ISBLANK(M1803) ), "", 1.5*SQRT( EXP(2.21*(I1803-1)) + EXP(2.21*(J1803-1)) + EXP(2.21*(K1803-1)) + EXP(2.21*(L1803-1)) + EXP(2.21*M1803)   )/100*2.45 )</f>
        <v/>
      </c>
    </row>
    <row r="1804" spans="8:15">
      <c r="H1804" s="1178"/>
      <c r="I1804" s="1178"/>
      <c r="J1804" s="1178"/>
      <c r="K1804" s="1178"/>
      <c r="L1804" s="1178"/>
      <c r="M1804" s="1178"/>
      <c r="N1804" s="1212" t="str">
        <f>IF( OR( ISBLANK(H1804),ISBLANK(J1804), ISBLANK(K1804), ISBLANK(L1804), ISBLANK(M1804) ), "", 1.5*SQRT(   EXP(2.21*(H1804-1)) + EXP(2.21*(J1804-1)) + EXP(2.21*(K1804-1)) + EXP(2.21*(L1804-1)) + EXP(2.21*M1804)   )/100*2.45 )</f>
        <v/>
      </c>
      <c r="O1804" s="1212" t="str">
        <f>IF( OR( ISBLANK(I1804),ISBLANK(J1804), ISBLANK(K1804), ISBLANK(L1804), ISBLANK(M1804) ), "", 1.5*SQRT( EXP(2.21*(I1804-1)) + EXP(2.21*(J1804-1)) + EXP(2.21*(K1804-1)) + EXP(2.21*(L1804-1)) + EXP(2.21*M1804)   )/100*2.45 )</f>
        <v/>
      </c>
    </row>
    <row r="1805" spans="8:15">
      <c r="H1805" s="1178"/>
      <c r="I1805" s="1178"/>
      <c r="J1805" s="1178"/>
      <c r="K1805" s="1178"/>
      <c r="L1805" s="1178"/>
      <c r="M1805" s="1178"/>
      <c r="N1805" s="1212" t="str">
        <f>IF( OR( ISBLANK(H1805),ISBLANK(J1805), ISBLANK(K1805), ISBLANK(L1805), ISBLANK(M1805) ), "", 1.5*SQRT(   EXP(2.21*(H1805-1)) + EXP(2.21*(J1805-1)) + EXP(2.21*(K1805-1)) + EXP(2.21*(L1805-1)) + EXP(2.21*M1805)   )/100*2.45 )</f>
        <v/>
      </c>
      <c r="O1805" s="1212" t="str">
        <f>IF( OR( ISBLANK(I1805),ISBLANK(J1805), ISBLANK(K1805), ISBLANK(L1805), ISBLANK(M1805) ), "", 1.5*SQRT( EXP(2.21*(I1805-1)) + EXP(2.21*(J1805-1)) + EXP(2.21*(K1805-1)) + EXP(2.21*(L1805-1)) + EXP(2.21*M1805)   )/100*2.45 )</f>
        <v/>
      </c>
    </row>
    <row r="1806" spans="8:15">
      <c r="H1806" s="1178"/>
      <c r="I1806" s="1178"/>
      <c r="J1806" s="1178"/>
      <c r="K1806" s="1178"/>
      <c r="L1806" s="1178"/>
      <c r="M1806" s="1178"/>
      <c r="N1806" s="1212" t="str">
        <f>IF( OR( ISBLANK(H1806),ISBLANK(J1806), ISBLANK(K1806), ISBLANK(L1806), ISBLANK(M1806) ), "", 1.5*SQRT(   EXP(2.21*(H1806-1)) + EXP(2.21*(J1806-1)) + EXP(2.21*(K1806-1)) + EXP(2.21*(L1806-1)) + EXP(2.21*M1806)   )/100*2.45 )</f>
        <v/>
      </c>
      <c r="O1806" s="1212" t="str">
        <f>IF( OR( ISBLANK(I1806),ISBLANK(J1806), ISBLANK(K1806), ISBLANK(L1806), ISBLANK(M1806) ), "", 1.5*SQRT( EXP(2.21*(I1806-1)) + EXP(2.21*(J1806-1)) + EXP(2.21*(K1806-1)) + EXP(2.21*(L1806-1)) + EXP(2.21*M1806)   )/100*2.45 )</f>
        <v/>
      </c>
    </row>
    <row r="1807" spans="8:15">
      <c r="H1807" s="1178"/>
      <c r="I1807" s="1178"/>
      <c r="J1807" s="1178"/>
      <c r="K1807" s="1178"/>
      <c r="L1807" s="1178"/>
      <c r="M1807" s="1178"/>
      <c r="N1807" s="1212" t="str">
        <f>IF( OR( ISBLANK(H1807),ISBLANK(J1807), ISBLANK(K1807), ISBLANK(L1807), ISBLANK(M1807) ), "", 1.5*SQRT(   EXP(2.21*(H1807-1)) + EXP(2.21*(J1807-1)) + EXP(2.21*(K1807-1)) + EXP(2.21*(L1807-1)) + EXP(2.21*M1807)   )/100*2.45 )</f>
        <v/>
      </c>
      <c r="O1807" s="1212" t="str">
        <f>IF( OR( ISBLANK(I1807),ISBLANK(J1807), ISBLANK(K1807), ISBLANK(L1807), ISBLANK(M1807) ), "", 1.5*SQRT( EXP(2.21*(I1807-1)) + EXP(2.21*(J1807-1)) + EXP(2.21*(K1807-1)) + EXP(2.21*(L1807-1)) + EXP(2.21*M1807)   )/100*2.45 )</f>
        <v/>
      </c>
    </row>
    <row r="1808" spans="8:15">
      <c r="H1808" s="1178"/>
      <c r="I1808" s="1178"/>
      <c r="J1808" s="1178"/>
      <c r="K1808" s="1178"/>
      <c r="L1808" s="1178"/>
      <c r="M1808" s="1178"/>
      <c r="N1808" s="1212" t="str">
        <f>IF( OR( ISBLANK(H1808),ISBLANK(J1808), ISBLANK(K1808), ISBLANK(L1808), ISBLANK(M1808) ), "", 1.5*SQRT(   EXP(2.21*(H1808-1)) + EXP(2.21*(J1808-1)) + EXP(2.21*(K1808-1)) + EXP(2.21*(L1808-1)) + EXP(2.21*M1808)   )/100*2.45 )</f>
        <v/>
      </c>
      <c r="O1808" s="1212" t="str">
        <f>IF( OR( ISBLANK(I1808),ISBLANK(J1808), ISBLANK(K1808), ISBLANK(L1808), ISBLANK(M1808) ), "", 1.5*SQRT( EXP(2.21*(I1808-1)) + EXP(2.21*(J1808-1)) + EXP(2.21*(K1808-1)) + EXP(2.21*(L1808-1)) + EXP(2.21*M1808)   )/100*2.45 )</f>
        <v/>
      </c>
    </row>
    <row r="1809" spans="8:15">
      <c r="H1809" s="1178"/>
      <c r="I1809" s="1178"/>
      <c r="J1809" s="1178"/>
      <c r="K1809" s="1178"/>
      <c r="L1809" s="1178"/>
      <c r="M1809" s="1178"/>
      <c r="N1809" s="1212" t="str">
        <f>IF( OR( ISBLANK(H1809),ISBLANK(J1809), ISBLANK(K1809), ISBLANK(L1809), ISBLANK(M1809) ), "", 1.5*SQRT(   EXP(2.21*(H1809-1)) + EXP(2.21*(J1809-1)) + EXP(2.21*(K1809-1)) + EXP(2.21*(L1809-1)) + EXP(2.21*M1809)   )/100*2.45 )</f>
        <v/>
      </c>
      <c r="O1809" s="1212" t="str">
        <f>IF( OR( ISBLANK(I1809),ISBLANK(J1809), ISBLANK(K1809), ISBLANK(L1809), ISBLANK(M1809) ), "", 1.5*SQRT( EXP(2.21*(I1809-1)) + EXP(2.21*(J1809-1)) + EXP(2.21*(K1809-1)) + EXP(2.21*(L1809-1)) + EXP(2.21*M1809)   )/100*2.45 )</f>
        <v/>
      </c>
    </row>
    <row r="1810" spans="8:15">
      <c r="H1810" s="1178"/>
      <c r="I1810" s="1178"/>
      <c r="J1810" s="1178"/>
      <c r="K1810" s="1178"/>
      <c r="L1810" s="1178"/>
      <c r="M1810" s="1178"/>
      <c r="N1810" s="1212" t="str">
        <f>IF( OR( ISBLANK(H1810),ISBLANK(J1810), ISBLANK(K1810), ISBLANK(L1810), ISBLANK(M1810) ), "", 1.5*SQRT(   EXP(2.21*(H1810-1)) + EXP(2.21*(J1810-1)) + EXP(2.21*(K1810-1)) + EXP(2.21*(L1810-1)) + EXP(2.21*M1810)   )/100*2.45 )</f>
        <v/>
      </c>
      <c r="O1810" s="1212" t="str">
        <f>IF( OR( ISBLANK(I1810),ISBLANK(J1810), ISBLANK(K1810), ISBLANK(L1810), ISBLANK(M1810) ), "", 1.5*SQRT( EXP(2.21*(I1810-1)) + EXP(2.21*(J1810-1)) + EXP(2.21*(K1810-1)) + EXP(2.21*(L1810-1)) + EXP(2.21*M1810)   )/100*2.45 )</f>
        <v/>
      </c>
    </row>
    <row r="1811" spans="8:15">
      <c r="H1811" s="1178"/>
      <c r="I1811" s="1178"/>
      <c r="J1811" s="1178"/>
      <c r="K1811" s="1178"/>
      <c r="L1811" s="1178"/>
      <c r="M1811" s="1178"/>
      <c r="N1811" s="1212" t="str">
        <f>IF( OR( ISBLANK(H1811),ISBLANK(J1811), ISBLANK(K1811), ISBLANK(L1811), ISBLANK(M1811) ), "", 1.5*SQRT(   EXP(2.21*(H1811-1)) + EXP(2.21*(J1811-1)) + EXP(2.21*(K1811-1)) + EXP(2.21*(L1811-1)) + EXP(2.21*M1811)   )/100*2.45 )</f>
        <v/>
      </c>
      <c r="O1811" s="1212" t="str">
        <f>IF( OR( ISBLANK(I1811),ISBLANK(J1811), ISBLANK(K1811), ISBLANK(L1811), ISBLANK(M1811) ), "", 1.5*SQRT( EXP(2.21*(I1811-1)) + EXP(2.21*(J1811-1)) + EXP(2.21*(K1811-1)) + EXP(2.21*(L1811-1)) + EXP(2.21*M1811)   )/100*2.45 )</f>
        <v/>
      </c>
    </row>
    <row r="1812" spans="8:15">
      <c r="H1812" s="1178"/>
      <c r="I1812" s="1178"/>
      <c r="J1812" s="1178"/>
      <c r="K1812" s="1178"/>
      <c r="L1812" s="1178"/>
      <c r="M1812" s="1178"/>
      <c r="N1812" s="1212" t="str">
        <f>IF( OR( ISBLANK(H1812),ISBLANK(J1812), ISBLANK(K1812), ISBLANK(L1812), ISBLANK(M1812) ), "", 1.5*SQRT(   EXP(2.21*(H1812-1)) + EXP(2.21*(J1812-1)) + EXP(2.21*(K1812-1)) + EXP(2.21*(L1812-1)) + EXP(2.21*M1812)   )/100*2.45 )</f>
        <v/>
      </c>
      <c r="O1812" s="1212" t="str">
        <f>IF( OR( ISBLANK(I1812),ISBLANK(J1812), ISBLANK(K1812), ISBLANK(L1812), ISBLANK(M1812) ), "", 1.5*SQRT( EXP(2.21*(I1812-1)) + EXP(2.21*(J1812-1)) + EXP(2.21*(K1812-1)) + EXP(2.21*(L1812-1)) + EXP(2.21*M1812)   )/100*2.45 )</f>
        <v/>
      </c>
    </row>
    <row r="1813" spans="8:15">
      <c r="H1813" s="1178"/>
      <c r="I1813" s="1178"/>
      <c r="J1813" s="1178"/>
      <c r="K1813" s="1178"/>
      <c r="L1813" s="1178"/>
      <c r="M1813" s="1178"/>
      <c r="N1813" s="1212" t="str">
        <f>IF( OR( ISBLANK(H1813),ISBLANK(J1813), ISBLANK(K1813), ISBLANK(L1813), ISBLANK(M1813) ), "", 1.5*SQRT(   EXP(2.21*(H1813-1)) + EXP(2.21*(J1813-1)) + EXP(2.21*(K1813-1)) + EXP(2.21*(L1813-1)) + EXP(2.21*M1813)   )/100*2.45 )</f>
        <v/>
      </c>
      <c r="O1813" s="1212" t="str">
        <f>IF( OR( ISBLANK(I1813),ISBLANK(J1813), ISBLANK(K1813), ISBLANK(L1813), ISBLANK(M1813) ), "", 1.5*SQRT( EXP(2.21*(I1813-1)) + EXP(2.21*(J1813-1)) + EXP(2.21*(K1813-1)) + EXP(2.21*(L1813-1)) + EXP(2.21*M1813)   )/100*2.45 )</f>
        <v/>
      </c>
    </row>
    <row r="1814" spans="8:15">
      <c r="H1814" s="1178"/>
      <c r="I1814" s="1178"/>
      <c r="J1814" s="1178"/>
      <c r="K1814" s="1178"/>
      <c r="L1814" s="1178"/>
      <c r="M1814" s="1178"/>
      <c r="N1814" s="1212" t="str">
        <f>IF( OR( ISBLANK(H1814),ISBLANK(J1814), ISBLANK(K1814), ISBLANK(L1814), ISBLANK(M1814) ), "", 1.5*SQRT(   EXP(2.21*(H1814-1)) + EXP(2.21*(J1814-1)) + EXP(2.21*(K1814-1)) + EXP(2.21*(L1814-1)) + EXP(2.21*M1814)   )/100*2.45 )</f>
        <v/>
      </c>
      <c r="O1814" s="1212" t="str">
        <f>IF( OR( ISBLANK(I1814),ISBLANK(J1814), ISBLANK(K1814), ISBLANK(L1814), ISBLANK(M1814) ), "", 1.5*SQRT( EXP(2.21*(I1814-1)) + EXP(2.21*(J1814-1)) + EXP(2.21*(K1814-1)) + EXP(2.21*(L1814-1)) + EXP(2.21*M1814)   )/100*2.45 )</f>
        <v/>
      </c>
    </row>
    <row r="1815" spans="8:15">
      <c r="H1815" s="1178"/>
      <c r="I1815" s="1178"/>
      <c r="J1815" s="1178"/>
      <c r="K1815" s="1178"/>
      <c r="L1815" s="1178"/>
      <c r="M1815" s="1178"/>
      <c r="N1815" s="1212" t="str">
        <f>IF( OR( ISBLANK(H1815),ISBLANK(J1815), ISBLANK(K1815), ISBLANK(L1815), ISBLANK(M1815) ), "", 1.5*SQRT(   EXP(2.21*(H1815-1)) + EXP(2.21*(J1815-1)) + EXP(2.21*(K1815-1)) + EXP(2.21*(L1815-1)) + EXP(2.21*M1815)   )/100*2.45 )</f>
        <v/>
      </c>
      <c r="O1815" s="1212" t="str">
        <f>IF( OR( ISBLANK(I1815),ISBLANK(J1815), ISBLANK(K1815), ISBLANK(L1815), ISBLANK(M1815) ), "", 1.5*SQRT( EXP(2.21*(I1815-1)) + EXP(2.21*(J1815-1)) + EXP(2.21*(K1815-1)) + EXP(2.21*(L1815-1)) + EXP(2.21*M1815)   )/100*2.45 )</f>
        <v/>
      </c>
    </row>
    <row r="1816" spans="8:15">
      <c r="H1816" s="1178"/>
      <c r="I1816" s="1178"/>
      <c r="J1816" s="1178"/>
      <c r="K1816" s="1178"/>
      <c r="L1816" s="1178"/>
      <c r="M1816" s="1178"/>
      <c r="N1816" s="1212" t="str">
        <f>IF( OR( ISBLANK(H1816),ISBLANK(J1816), ISBLANK(K1816), ISBLANK(L1816), ISBLANK(M1816) ), "", 1.5*SQRT(   EXP(2.21*(H1816-1)) + EXP(2.21*(J1816-1)) + EXP(2.21*(K1816-1)) + EXP(2.21*(L1816-1)) + EXP(2.21*M1816)   )/100*2.45 )</f>
        <v/>
      </c>
      <c r="O1816" s="1212" t="str">
        <f>IF( OR( ISBLANK(I1816),ISBLANK(J1816), ISBLANK(K1816), ISBLANK(L1816), ISBLANK(M1816) ), "", 1.5*SQRT( EXP(2.21*(I1816-1)) + EXP(2.21*(J1816-1)) + EXP(2.21*(K1816-1)) + EXP(2.21*(L1816-1)) + EXP(2.21*M1816)   )/100*2.45 )</f>
        <v/>
      </c>
    </row>
    <row r="1817" spans="8:15">
      <c r="H1817" s="1178"/>
      <c r="I1817" s="1178"/>
      <c r="J1817" s="1178"/>
      <c r="K1817" s="1178"/>
      <c r="L1817" s="1178"/>
      <c r="M1817" s="1178"/>
      <c r="N1817" s="1212" t="str">
        <f>IF( OR( ISBLANK(H1817),ISBLANK(J1817), ISBLANK(K1817), ISBLANK(L1817), ISBLANK(M1817) ), "", 1.5*SQRT(   EXP(2.21*(H1817-1)) + EXP(2.21*(J1817-1)) + EXP(2.21*(K1817-1)) + EXP(2.21*(L1817-1)) + EXP(2.21*M1817)   )/100*2.45 )</f>
        <v/>
      </c>
      <c r="O1817" s="1212" t="str">
        <f>IF( OR( ISBLANK(I1817),ISBLANK(J1817), ISBLANK(K1817), ISBLANK(L1817), ISBLANK(M1817) ), "", 1.5*SQRT( EXP(2.21*(I1817-1)) + EXP(2.21*(J1817-1)) + EXP(2.21*(K1817-1)) + EXP(2.21*(L1817-1)) + EXP(2.21*M1817)   )/100*2.45 )</f>
        <v/>
      </c>
    </row>
    <row r="1818" spans="8:15">
      <c r="H1818" s="1178"/>
      <c r="I1818" s="1178"/>
      <c r="J1818" s="1178"/>
      <c r="K1818" s="1178"/>
      <c r="L1818" s="1178"/>
      <c r="M1818" s="1178"/>
      <c r="N1818" s="1212" t="str">
        <f>IF( OR( ISBLANK(H1818),ISBLANK(J1818), ISBLANK(K1818), ISBLANK(L1818), ISBLANK(M1818) ), "", 1.5*SQRT(   EXP(2.21*(H1818-1)) + EXP(2.21*(J1818-1)) + EXP(2.21*(K1818-1)) + EXP(2.21*(L1818-1)) + EXP(2.21*M1818)   )/100*2.45 )</f>
        <v/>
      </c>
      <c r="O1818" s="1212" t="str">
        <f>IF( OR( ISBLANK(I1818),ISBLANK(J1818), ISBLANK(K1818), ISBLANK(L1818), ISBLANK(M1818) ), "", 1.5*SQRT( EXP(2.21*(I1818-1)) + EXP(2.21*(J1818-1)) + EXP(2.21*(K1818-1)) + EXP(2.21*(L1818-1)) + EXP(2.21*M1818)   )/100*2.45 )</f>
        <v/>
      </c>
    </row>
    <row r="1819" spans="8:15">
      <c r="H1819" s="1178"/>
      <c r="I1819" s="1178"/>
      <c r="J1819" s="1178"/>
      <c r="K1819" s="1178"/>
      <c r="L1819" s="1178"/>
      <c r="M1819" s="1178"/>
      <c r="N1819" s="1212" t="str">
        <f>IF( OR( ISBLANK(H1819),ISBLANK(J1819), ISBLANK(K1819), ISBLANK(L1819), ISBLANK(M1819) ), "", 1.5*SQRT(   EXP(2.21*(H1819-1)) + EXP(2.21*(J1819-1)) + EXP(2.21*(K1819-1)) + EXP(2.21*(L1819-1)) + EXP(2.21*M1819)   )/100*2.45 )</f>
        <v/>
      </c>
      <c r="O1819" s="1212" t="str">
        <f>IF( OR( ISBLANK(I1819),ISBLANK(J1819), ISBLANK(K1819), ISBLANK(L1819), ISBLANK(M1819) ), "", 1.5*SQRT( EXP(2.21*(I1819-1)) + EXP(2.21*(J1819-1)) + EXP(2.21*(K1819-1)) + EXP(2.21*(L1819-1)) + EXP(2.21*M1819)   )/100*2.45 )</f>
        <v/>
      </c>
    </row>
    <row r="1820" spans="8:15">
      <c r="H1820" s="1178"/>
      <c r="I1820" s="1178"/>
      <c r="J1820" s="1178"/>
      <c r="K1820" s="1178"/>
      <c r="L1820" s="1178"/>
      <c r="M1820" s="1178"/>
      <c r="N1820" s="1212" t="str">
        <f>IF( OR( ISBLANK(H1820),ISBLANK(J1820), ISBLANK(K1820), ISBLANK(L1820), ISBLANK(M1820) ), "", 1.5*SQRT(   EXP(2.21*(H1820-1)) + EXP(2.21*(J1820-1)) + EXP(2.21*(K1820-1)) + EXP(2.21*(L1820-1)) + EXP(2.21*M1820)   )/100*2.45 )</f>
        <v/>
      </c>
      <c r="O1820" s="1212" t="str">
        <f>IF( OR( ISBLANK(I1820),ISBLANK(J1820), ISBLANK(K1820), ISBLANK(L1820), ISBLANK(M1820) ), "", 1.5*SQRT( EXP(2.21*(I1820-1)) + EXP(2.21*(J1820-1)) + EXP(2.21*(K1820-1)) + EXP(2.21*(L1820-1)) + EXP(2.21*M1820)   )/100*2.45 )</f>
        <v/>
      </c>
    </row>
    <row r="1821" spans="8:15">
      <c r="H1821" s="1178"/>
      <c r="I1821" s="1178"/>
      <c r="J1821" s="1178"/>
      <c r="K1821" s="1178"/>
      <c r="L1821" s="1178"/>
      <c r="M1821" s="1178"/>
      <c r="N1821" s="1212" t="str">
        <f>IF( OR( ISBLANK(H1821),ISBLANK(J1821), ISBLANK(K1821), ISBLANK(L1821), ISBLANK(M1821) ), "", 1.5*SQRT(   EXP(2.21*(H1821-1)) + EXP(2.21*(J1821-1)) + EXP(2.21*(K1821-1)) + EXP(2.21*(L1821-1)) + EXP(2.21*M1821)   )/100*2.45 )</f>
        <v/>
      </c>
      <c r="O1821" s="1212" t="str">
        <f>IF( OR( ISBLANK(I1821),ISBLANK(J1821), ISBLANK(K1821), ISBLANK(L1821), ISBLANK(M1821) ), "", 1.5*SQRT( EXP(2.21*(I1821-1)) + EXP(2.21*(J1821-1)) + EXP(2.21*(K1821-1)) + EXP(2.21*(L1821-1)) + EXP(2.21*M1821)   )/100*2.45 )</f>
        <v/>
      </c>
    </row>
    <row r="1822" spans="8:15">
      <c r="H1822" s="1178"/>
      <c r="I1822" s="1178"/>
      <c r="J1822" s="1178"/>
      <c r="K1822" s="1178"/>
      <c r="L1822" s="1178"/>
      <c r="M1822" s="1178"/>
      <c r="N1822" s="1212" t="str">
        <f>IF( OR( ISBLANK(H1822),ISBLANK(J1822), ISBLANK(K1822), ISBLANK(L1822), ISBLANK(M1822) ), "", 1.5*SQRT(   EXP(2.21*(H1822-1)) + EXP(2.21*(J1822-1)) + EXP(2.21*(K1822-1)) + EXP(2.21*(L1822-1)) + EXP(2.21*M1822)   )/100*2.45 )</f>
        <v/>
      </c>
      <c r="O1822" s="1212" t="str">
        <f>IF( OR( ISBLANK(I1822),ISBLANK(J1822), ISBLANK(K1822), ISBLANK(L1822), ISBLANK(M1822) ), "", 1.5*SQRT( EXP(2.21*(I1822-1)) + EXP(2.21*(J1822-1)) + EXP(2.21*(K1822-1)) + EXP(2.21*(L1822-1)) + EXP(2.21*M1822)   )/100*2.45 )</f>
        <v/>
      </c>
    </row>
    <row r="1823" spans="8:15">
      <c r="H1823" s="1178"/>
      <c r="I1823" s="1178"/>
      <c r="J1823" s="1178"/>
      <c r="K1823" s="1178"/>
      <c r="L1823" s="1178"/>
      <c r="M1823" s="1178"/>
      <c r="N1823" s="1212" t="str">
        <f>IF( OR( ISBLANK(H1823),ISBLANK(J1823), ISBLANK(K1823), ISBLANK(L1823), ISBLANK(M1823) ), "", 1.5*SQRT(   EXP(2.21*(H1823-1)) + EXP(2.21*(J1823-1)) + EXP(2.21*(K1823-1)) + EXP(2.21*(L1823-1)) + EXP(2.21*M1823)   )/100*2.45 )</f>
        <v/>
      </c>
      <c r="O1823" s="1212" t="str">
        <f>IF( OR( ISBLANK(I1823),ISBLANK(J1823), ISBLANK(K1823), ISBLANK(L1823), ISBLANK(M1823) ), "", 1.5*SQRT( EXP(2.21*(I1823-1)) + EXP(2.21*(J1823-1)) + EXP(2.21*(K1823-1)) + EXP(2.21*(L1823-1)) + EXP(2.21*M1823)   )/100*2.45 )</f>
        <v/>
      </c>
    </row>
    <row r="1824" spans="8:15">
      <c r="H1824" s="1178"/>
      <c r="I1824" s="1178"/>
      <c r="J1824" s="1178"/>
      <c r="K1824" s="1178"/>
      <c r="L1824" s="1178"/>
      <c r="M1824" s="1178"/>
      <c r="N1824" s="1212" t="str">
        <f>IF( OR( ISBLANK(H1824),ISBLANK(J1824), ISBLANK(K1824), ISBLANK(L1824), ISBLANK(M1824) ), "", 1.5*SQRT(   EXP(2.21*(H1824-1)) + EXP(2.21*(J1824-1)) + EXP(2.21*(K1824-1)) + EXP(2.21*(L1824-1)) + EXP(2.21*M1824)   )/100*2.45 )</f>
        <v/>
      </c>
      <c r="O1824" s="1212" t="str">
        <f>IF( OR( ISBLANK(I1824),ISBLANK(J1824), ISBLANK(K1824), ISBLANK(L1824), ISBLANK(M1824) ), "", 1.5*SQRT( EXP(2.21*(I1824-1)) + EXP(2.21*(J1824-1)) + EXP(2.21*(K1824-1)) + EXP(2.21*(L1824-1)) + EXP(2.21*M1824)   )/100*2.45 )</f>
        <v/>
      </c>
    </row>
    <row r="1825" spans="8:15">
      <c r="H1825" s="1178"/>
      <c r="I1825" s="1178"/>
      <c r="J1825" s="1178"/>
      <c r="K1825" s="1178"/>
      <c r="L1825" s="1178"/>
      <c r="M1825" s="1178"/>
      <c r="N1825" s="1212" t="str">
        <f>IF( OR( ISBLANK(H1825),ISBLANK(J1825), ISBLANK(K1825), ISBLANK(L1825), ISBLANK(M1825) ), "", 1.5*SQRT(   EXP(2.21*(H1825-1)) + EXP(2.21*(J1825-1)) + EXP(2.21*(K1825-1)) + EXP(2.21*(L1825-1)) + EXP(2.21*M1825)   )/100*2.45 )</f>
        <v/>
      </c>
      <c r="O1825" s="1212" t="str">
        <f>IF( OR( ISBLANK(I1825),ISBLANK(J1825), ISBLANK(K1825), ISBLANK(L1825), ISBLANK(M1825) ), "", 1.5*SQRT( EXP(2.21*(I1825-1)) + EXP(2.21*(J1825-1)) + EXP(2.21*(K1825-1)) + EXP(2.21*(L1825-1)) + EXP(2.21*M1825)   )/100*2.45 )</f>
        <v/>
      </c>
    </row>
    <row r="1826" spans="8:15">
      <c r="H1826" s="1178"/>
      <c r="I1826" s="1178"/>
      <c r="J1826" s="1178"/>
      <c r="K1826" s="1178"/>
      <c r="L1826" s="1178"/>
      <c r="M1826" s="1178"/>
      <c r="N1826" s="1212" t="str">
        <f>IF( OR( ISBLANK(H1826),ISBLANK(J1826), ISBLANK(K1826), ISBLANK(L1826), ISBLANK(M1826) ), "", 1.5*SQRT(   EXP(2.21*(H1826-1)) + EXP(2.21*(J1826-1)) + EXP(2.21*(K1826-1)) + EXP(2.21*(L1826-1)) + EXP(2.21*M1826)   )/100*2.45 )</f>
        <v/>
      </c>
      <c r="O1826" s="1212" t="str">
        <f>IF( OR( ISBLANK(I1826),ISBLANK(J1826), ISBLANK(K1826), ISBLANK(L1826), ISBLANK(M1826) ), "", 1.5*SQRT( EXP(2.21*(I1826-1)) + EXP(2.21*(J1826-1)) + EXP(2.21*(K1826-1)) + EXP(2.21*(L1826-1)) + EXP(2.21*M1826)   )/100*2.45 )</f>
        <v/>
      </c>
    </row>
    <row r="1827" spans="8:15">
      <c r="H1827" s="1178"/>
      <c r="I1827" s="1178"/>
      <c r="J1827" s="1178"/>
      <c r="K1827" s="1178"/>
      <c r="L1827" s="1178"/>
      <c r="M1827" s="1178"/>
      <c r="N1827" s="1212" t="str">
        <f>IF( OR( ISBLANK(H1827),ISBLANK(J1827), ISBLANK(K1827), ISBLANK(L1827), ISBLANK(M1827) ), "", 1.5*SQRT(   EXP(2.21*(H1827-1)) + EXP(2.21*(J1827-1)) + EXP(2.21*(K1827-1)) + EXP(2.21*(L1827-1)) + EXP(2.21*M1827)   )/100*2.45 )</f>
        <v/>
      </c>
      <c r="O1827" s="1212" t="str">
        <f>IF( OR( ISBLANK(I1827),ISBLANK(J1827), ISBLANK(K1827), ISBLANK(L1827), ISBLANK(M1827) ), "", 1.5*SQRT( EXP(2.21*(I1827-1)) + EXP(2.21*(J1827-1)) + EXP(2.21*(K1827-1)) + EXP(2.21*(L1827-1)) + EXP(2.21*M1827)   )/100*2.45 )</f>
        <v/>
      </c>
    </row>
    <row r="1828" spans="8:15">
      <c r="H1828" s="1178"/>
      <c r="I1828" s="1178"/>
      <c r="J1828" s="1178"/>
      <c r="K1828" s="1178"/>
      <c r="L1828" s="1178"/>
      <c r="M1828" s="1178"/>
      <c r="N1828" s="1212" t="str">
        <f>IF( OR( ISBLANK(H1828),ISBLANK(J1828), ISBLANK(K1828), ISBLANK(L1828), ISBLANK(M1828) ), "", 1.5*SQRT(   EXP(2.21*(H1828-1)) + EXP(2.21*(J1828-1)) + EXP(2.21*(K1828-1)) + EXP(2.21*(L1828-1)) + EXP(2.21*M1828)   )/100*2.45 )</f>
        <v/>
      </c>
      <c r="O1828" s="1212" t="str">
        <f>IF( OR( ISBLANK(I1828),ISBLANK(J1828), ISBLANK(K1828), ISBLANK(L1828), ISBLANK(M1828) ), "", 1.5*SQRT( EXP(2.21*(I1828-1)) + EXP(2.21*(J1828-1)) + EXP(2.21*(K1828-1)) + EXP(2.21*(L1828-1)) + EXP(2.21*M1828)   )/100*2.45 )</f>
        <v/>
      </c>
    </row>
    <row r="1829" spans="8:15">
      <c r="H1829" s="1178"/>
      <c r="I1829" s="1178"/>
      <c r="J1829" s="1178"/>
      <c r="K1829" s="1178"/>
      <c r="L1829" s="1178"/>
      <c r="M1829" s="1178"/>
      <c r="N1829" s="1212" t="str">
        <f>IF( OR( ISBLANK(H1829),ISBLANK(J1829), ISBLANK(K1829), ISBLANK(L1829), ISBLANK(M1829) ), "", 1.5*SQRT(   EXP(2.21*(H1829-1)) + EXP(2.21*(J1829-1)) + EXP(2.21*(K1829-1)) + EXP(2.21*(L1829-1)) + EXP(2.21*M1829)   )/100*2.45 )</f>
        <v/>
      </c>
      <c r="O1829" s="1212" t="str">
        <f>IF( OR( ISBLANK(I1829),ISBLANK(J1829), ISBLANK(K1829), ISBLANK(L1829), ISBLANK(M1829) ), "", 1.5*SQRT( EXP(2.21*(I1829-1)) + EXP(2.21*(J1829-1)) + EXP(2.21*(K1829-1)) + EXP(2.21*(L1829-1)) + EXP(2.21*M1829)   )/100*2.45 )</f>
        <v/>
      </c>
    </row>
    <row r="1830" spans="8:15">
      <c r="H1830" s="1178"/>
      <c r="I1830" s="1178"/>
      <c r="J1830" s="1178"/>
      <c r="K1830" s="1178"/>
      <c r="L1830" s="1178"/>
      <c r="M1830" s="1178"/>
      <c r="N1830" s="1212" t="str">
        <f>IF( OR( ISBLANK(H1830),ISBLANK(J1830), ISBLANK(K1830), ISBLANK(L1830), ISBLANK(M1830) ), "", 1.5*SQRT(   EXP(2.21*(H1830-1)) + EXP(2.21*(J1830-1)) + EXP(2.21*(K1830-1)) + EXP(2.21*(L1830-1)) + EXP(2.21*M1830)   )/100*2.45 )</f>
        <v/>
      </c>
      <c r="O1830" s="1212" t="str">
        <f>IF( OR( ISBLANK(I1830),ISBLANK(J1830), ISBLANK(K1830), ISBLANK(L1830), ISBLANK(M1830) ), "", 1.5*SQRT( EXP(2.21*(I1830-1)) + EXP(2.21*(J1830-1)) + EXP(2.21*(K1830-1)) + EXP(2.21*(L1830-1)) + EXP(2.21*M1830)   )/100*2.45 )</f>
        <v/>
      </c>
    </row>
    <row r="1831" spans="8:15">
      <c r="H1831" s="1178"/>
      <c r="I1831" s="1178"/>
      <c r="J1831" s="1178"/>
      <c r="K1831" s="1178"/>
      <c r="L1831" s="1178"/>
      <c r="M1831" s="1178"/>
      <c r="N1831" s="1212" t="str">
        <f>IF( OR( ISBLANK(H1831),ISBLANK(J1831), ISBLANK(K1831), ISBLANK(L1831), ISBLANK(M1831) ), "", 1.5*SQRT(   EXP(2.21*(H1831-1)) + EXP(2.21*(J1831-1)) + EXP(2.21*(K1831-1)) + EXP(2.21*(L1831-1)) + EXP(2.21*M1831)   )/100*2.45 )</f>
        <v/>
      </c>
      <c r="O1831" s="1212" t="str">
        <f>IF( OR( ISBLANK(I1831),ISBLANK(J1831), ISBLANK(K1831), ISBLANK(L1831), ISBLANK(M1831) ), "", 1.5*SQRT( EXP(2.21*(I1831-1)) + EXP(2.21*(J1831-1)) + EXP(2.21*(K1831-1)) + EXP(2.21*(L1831-1)) + EXP(2.21*M1831)   )/100*2.45 )</f>
        <v/>
      </c>
    </row>
    <row r="1832" spans="8:15">
      <c r="H1832" s="1178"/>
      <c r="I1832" s="1178"/>
      <c r="J1832" s="1178"/>
      <c r="K1832" s="1178"/>
      <c r="L1832" s="1178"/>
      <c r="M1832" s="1178"/>
      <c r="N1832" s="1212" t="str">
        <f>IF( OR( ISBLANK(H1832),ISBLANK(J1832), ISBLANK(K1832), ISBLANK(L1832), ISBLANK(M1832) ), "", 1.5*SQRT(   EXP(2.21*(H1832-1)) + EXP(2.21*(J1832-1)) + EXP(2.21*(K1832-1)) + EXP(2.21*(L1832-1)) + EXP(2.21*M1832)   )/100*2.45 )</f>
        <v/>
      </c>
      <c r="O1832" s="1212" t="str">
        <f>IF( OR( ISBLANK(I1832),ISBLANK(J1832), ISBLANK(K1832), ISBLANK(L1832), ISBLANK(M1832) ), "", 1.5*SQRT( EXP(2.21*(I1832-1)) + EXP(2.21*(J1832-1)) + EXP(2.21*(K1832-1)) + EXP(2.21*(L1832-1)) + EXP(2.21*M1832)   )/100*2.45 )</f>
        <v/>
      </c>
    </row>
    <row r="1833" spans="8:15">
      <c r="H1833" s="1178"/>
      <c r="I1833" s="1178"/>
      <c r="J1833" s="1178"/>
      <c r="K1833" s="1178"/>
      <c r="L1833" s="1178"/>
      <c r="M1833" s="1178"/>
      <c r="N1833" s="1212" t="str">
        <f>IF( OR( ISBLANK(H1833),ISBLANK(J1833), ISBLANK(K1833), ISBLANK(L1833), ISBLANK(M1833) ), "", 1.5*SQRT(   EXP(2.21*(H1833-1)) + EXP(2.21*(J1833-1)) + EXP(2.21*(K1833-1)) + EXP(2.21*(L1833-1)) + EXP(2.21*M1833)   )/100*2.45 )</f>
        <v/>
      </c>
      <c r="O1833" s="1212" t="str">
        <f>IF( OR( ISBLANK(I1833),ISBLANK(J1833), ISBLANK(K1833), ISBLANK(L1833), ISBLANK(M1833) ), "", 1.5*SQRT( EXP(2.21*(I1833-1)) + EXP(2.21*(J1833-1)) + EXP(2.21*(K1833-1)) + EXP(2.21*(L1833-1)) + EXP(2.21*M1833)   )/100*2.45 )</f>
        <v/>
      </c>
    </row>
    <row r="1834" spans="8:15">
      <c r="H1834" s="1178"/>
      <c r="I1834" s="1178"/>
      <c r="J1834" s="1178"/>
      <c r="K1834" s="1178"/>
      <c r="L1834" s="1178"/>
      <c r="M1834" s="1178"/>
      <c r="N1834" s="1212" t="str">
        <f>IF( OR( ISBLANK(H1834),ISBLANK(J1834), ISBLANK(K1834), ISBLANK(L1834), ISBLANK(M1834) ), "", 1.5*SQRT(   EXP(2.21*(H1834-1)) + EXP(2.21*(J1834-1)) + EXP(2.21*(K1834-1)) + EXP(2.21*(L1834-1)) + EXP(2.21*M1834)   )/100*2.45 )</f>
        <v/>
      </c>
      <c r="O1834" s="1212" t="str">
        <f>IF( OR( ISBLANK(I1834),ISBLANK(J1834), ISBLANK(K1834), ISBLANK(L1834), ISBLANK(M1834) ), "", 1.5*SQRT( EXP(2.21*(I1834-1)) + EXP(2.21*(J1834-1)) + EXP(2.21*(K1834-1)) + EXP(2.21*(L1834-1)) + EXP(2.21*M1834)   )/100*2.45 )</f>
        <v/>
      </c>
    </row>
    <row r="1835" spans="8:15">
      <c r="H1835" s="1178"/>
      <c r="I1835" s="1178"/>
      <c r="J1835" s="1178"/>
      <c r="K1835" s="1178"/>
      <c r="L1835" s="1178"/>
      <c r="M1835" s="1178"/>
      <c r="N1835" s="1212" t="str">
        <f>IF( OR( ISBLANK(H1835),ISBLANK(J1835), ISBLANK(K1835), ISBLANK(L1835), ISBLANK(M1835) ), "", 1.5*SQRT(   EXP(2.21*(H1835-1)) + EXP(2.21*(J1835-1)) + EXP(2.21*(K1835-1)) + EXP(2.21*(L1835-1)) + EXP(2.21*M1835)   )/100*2.45 )</f>
        <v/>
      </c>
      <c r="O1835" s="1212" t="str">
        <f>IF( OR( ISBLANK(I1835),ISBLANK(J1835), ISBLANK(K1835), ISBLANK(L1835), ISBLANK(M1835) ), "", 1.5*SQRT( EXP(2.21*(I1835-1)) + EXP(2.21*(J1835-1)) + EXP(2.21*(K1835-1)) + EXP(2.21*(L1835-1)) + EXP(2.21*M1835)   )/100*2.45 )</f>
        <v/>
      </c>
    </row>
    <row r="1836" spans="8:15">
      <c r="H1836" s="1178"/>
      <c r="I1836" s="1178"/>
      <c r="J1836" s="1178"/>
      <c r="K1836" s="1178"/>
      <c r="L1836" s="1178"/>
      <c r="M1836" s="1178"/>
      <c r="N1836" s="1212" t="str">
        <f>IF( OR( ISBLANK(H1836),ISBLANK(J1836), ISBLANK(K1836), ISBLANK(L1836), ISBLANK(M1836) ), "", 1.5*SQRT(   EXP(2.21*(H1836-1)) + EXP(2.21*(J1836-1)) + EXP(2.21*(K1836-1)) + EXP(2.21*(L1836-1)) + EXP(2.21*M1836)   )/100*2.45 )</f>
        <v/>
      </c>
      <c r="O1836" s="1212" t="str">
        <f>IF( OR( ISBLANK(I1836),ISBLANK(J1836), ISBLANK(K1836), ISBLANK(L1836), ISBLANK(M1836) ), "", 1.5*SQRT( EXP(2.21*(I1836-1)) + EXP(2.21*(J1836-1)) + EXP(2.21*(K1836-1)) + EXP(2.21*(L1836-1)) + EXP(2.21*M1836)   )/100*2.45 )</f>
        <v/>
      </c>
    </row>
    <row r="1837" spans="8:15">
      <c r="H1837" s="1178"/>
      <c r="I1837" s="1178"/>
      <c r="J1837" s="1178"/>
      <c r="K1837" s="1178"/>
      <c r="L1837" s="1178"/>
      <c r="M1837" s="1178"/>
      <c r="N1837" s="1212" t="str">
        <f>IF( OR( ISBLANK(H1837),ISBLANK(J1837), ISBLANK(K1837), ISBLANK(L1837), ISBLANK(M1837) ), "", 1.5*SQRT(   EXP(2.21*(H1837-1)) + EXP(2.21*(J1837-1)) + EXP(2.21*(K1837-1)) + EXP(2.21*(L1837-1)) + EXP(2.21*M1837)   )/100*2.45 )</f>
        <v/>
      </c>
      <c r="O1837" s="1212" t="str">
        <f>IF( OR( ISBLANK(I1837),ISBLANK(J1837), ISBLANK(K1837), ISBLANK(L1837), ISBLANK(M1837) ), "", 1.5*SQRT( EXP(2.21*(I1837-1)) + EXP(2.21*(J1837-1)) + EXP(2.21*(K1837-1)) + EXP(2.21*(L1837-1)) + EXP(2.21*M1837)   )/100*2.45 )</f>
        <v/>
      </c>
    </row>
    <row r="1838" spans="8:15">
      <c r="H1838" s="1178"/>
      <c r="I1838" s="1178"/>
      <c r="J1838" s="1178"/>
      <c r="K1838" s="1178"/>
      <c r="L1838" s="1178"/>
      <c r="M1838" s="1178"/>
      <c r="N1838" s="1212" t="str">
        <f>IF( OR( ISBLANK(H1838),ISBLANK(J1838), ISBLANK(K1838), ISBLANK(L1838), ISBLANK(M1838) ), "", 1.5*SQRT(   EXP(2.21*(H1838-1)) + EXP(2.21*(J1838-1)) + EXP(2.21*(K1838-1)) + EXP(2.21*(L1838-1)) + EXP(2.21*M1838)   )/100*2.45 )</f>
        <v/>
      </c>
      <c r="O1838" s="1212" t="str">
        <f>IF( OR( ISBLANK(I1838),ISBLANK(J1838), ISBLANK(K1838), ISBLANK(L1838), ISBLANK(M1838) ), "", 1.5*SQRT( EXP(2.21*(I1838-1)) + EXP(2.21*(J1838-1)) + EXP(2.21*(K1838-1)) + EXP(2.21*(L1838-1)) + EXP(2.21*M1838)   )/100*2.45 )</f>
        <v/>
      </c>
    </row>
    <row r="1839" spans="8:15">
      <c r="H1839" s="1178"/>
      <c r="I1839" s="1178"/>
      <c r="J1839" s="1178"/>
      <c r="K1839" s="1178"/>
      <c r="L1839" s="1178"/>
      <c r="M1839" s="1178"/>
      <c r="N1839" s="1212" t="str">
        <f>IF( OR( ISBLANK(H1839),ISBLANK(J1839), ISBLANK(K1839), ISBLANK(L1839), ISBLANK(M1839) ), "", 1.5*SQRT(   EXP(2.21*(H1839-1)) + EXP(2.21*(J1839-1)) + EXP(2.21*(K1839-1)) + EXP(2.21*(L1839-1)) + EXP(2.21*M1839)   )/100*2.45 )</f>
        <v/>
      </c>
      <c r="O1839" s="1212" t="str">
        <f>IF( OR( ISBLANK(I1839),ISBLANK(J1839), ISBLANK(K1839), ISBLANK(L1839), ISBLANK(M1839) ), "", 1.5*SQRT( EXP(2.21*(I1839-1)) + EXP(2.21*(J1839-1)) + EXP(2.21*(K1839-1)) + EXP(2.21*(L1839-1)) + EXP(2.21*M1839)   )/100*2.45 )</f>
        <v/>
      </c>
    </row>
    <row r="1840" spans="8:15">
      <c r="H1840" s="1178"/>
      <c r="I1840" s="1178"/>
      <c r="J1840" s="1178"/>
      <c r="K1840" s="1178"/>
      <c r="L1840" s="1178"/>
      <c r="M1840" s="1178"/>
      <c r="N1840" s="1212" t="str">
        <f>IF( OR( ISBLANK(H1840),ISBLANK(J1840), ISBLANK(K1840), ISBLANK(L1840), ISBLANK(M1840) ), "", 1.5*SQRT(   EXP(2.21*(H1840-1)) + EXP(2.21*(J1840-1)) + EXP(2.21*(K1840-1)) + EXP(2.21*(L1840-1)) + EXP(2.21*M1840)   )/100*2.45 )</f>
        <v/>
      </c>
      <c r="O1840" s="1212" t="str">
        <f>IF( OR( ISBLANK(I1840),ISBLANK(J1840), ISBLANK(K1840), ISBLANK(L1840), ISBLANK(M1840) ), "", 1.5*SQRT( EXP(2.21*(I1840-1)) + EXP(2.21*(J1840-1)) + EXP(2.21*(K1840-1)) + EXP(2.21*(L1840-1)) + EXP(2.21*M1840)   )/100*2.45 )</f>
        <v/>
      </c>
    </row>
    <row r="1841" spans="8:15">
      <c r="H1841" s="1178"/>
      <c r="I1841" s="1178"/>
      <c r="J1841" s="1178"/>
      <c r="K1841" s="1178"/>
      <c r="L1841" s="1178"/>
      <c r="M1841" s="1178"/>
      <c r="N1841" s="1212" t="str">
        <f>IF( OR( ISBLANK(H1841),ISBLANK(J1841), ISBLANK(K1841), ISBLANK(L1841), ISBLANK(M1841) ), "", 1.5*SQRT(   EXP(2.21*(H1841-1)) + EXP(2.21*(J1841-1)) + EXP(2.21*(K1841-1)) + EXP(2.21*(L1841-1)) + EXP(2.21*M1841)   )/100*2.45 )</f>
        <v/>
      </c>
      <c r="O1841" s="1212" t="str">
        <f>IF( OR( ISBLANK(I1841),ISBLANK(J1841), ISBLANK(K1841), ISBLANK(L1841), ISBLANK(M1841) ), "", 1.5*SQRT( EXP(2.21*(I1841-1)) + EXP(2.21*(J1841-1)) + EXP(2.21*(K1841-1)) + EXP(2.21*(L1841-1)) + EXP(2.21*M1841)   )/100*2.45 )</f>
        <v/>
      </c>
    </row>
    <row r="1842" spans="8:15">
      <c r="H1842" s="1178"/>
      <c r="I1842" s="1178"/>
      <c r="J1842" s="1178"/>
      <c r="K1842" s="1178"/>
      <c r="L1842" s="1178"/>
      <c r="M1842" s="1178"/>
      <c r="N1842" s="1212" t="str">
        <f>IF( OR( ISBLANK(H1842),ISBLANK(J1842), ISBLANK(K1842), ISBLANK(L1842), ISBLANK(M1842) ), "", 1.5*SQRT(   EXP(2.21*(H1842-1)) + EXP(2.21*(J1842-1)) + EXP(2.21*(K1842-1)) + EXP(2.21*(L1842-1)) + EXP(2.21*M1842)   )/100*2.45 )</f>
        <v/>
      </c>
      <c r="O1842" s="1212" t="str">
        <f>IF( OR( ISBLANK(I1842),ISBLANK(J1842), ISBLANK(K1842), ISBLANK(L1842), ISBLANK(M1842) ), "", 1.5*SQRT( EXP(2.21*(I1842-1)) + EXP(2.21*(J1842-1)) + EXP(2.21*(K1842-1)) + EXP(2.21*(L1842-1)) + EXP(2.21*M1842)   )/100*2.45 )</f>
        <v/>
      </c>
    </row>
    <row r="1843" spans="8:15">
      <c r="H1843" s="1178"/>
      <c r="I1843" s="1178"/>
      <c r="J1843" s="1178"/>
      <c r="K1843" s="1178"/>
      <c r="L1843" s="1178"/>
      <c r="M1843" s="1178"/>
      <c r="N1843" s="1212" t="str">
        <f>IF( OR( ISBLANK(H1843),ISBLANK(J1843), ISBLANK(K1843), ISBLANK(L1843), ISBLANK(M1843) ), "", 1.5*SQRT(   EXP(2.21*(H1843-1)) + EXP(2.21*(J1843-1)) + EXP(2.21*(K1843-1)) + EXP(2.21*(L1843-1)) + EXP(2.21*M1843)   )/100*2.45 )</f>
        <v/>
      </c>
      <c r="O1843" s="1212" t="str">
        <f>IF( OR( ISBLANK(I1843),ISBLANK(J1843), ISBLANK(K1843), ISBLANK(L1843), ISBLANK(M1843) ), "", 1.5*SQRT( EXP(2.21*(I1843-1)) + EXP(2.21*(J1843-1)) + EXP(2.21*(K1843-1)) + EXP(2.21*(L1843-1)) + EXP(2.21*M1843)   )/100*2.45 )</f>
        <v/>
      </c>
    </row>
    <row r="1844" spans="8:15">
      <c r="H1844" s="1178"/>
      <c r="I1844" s="1178"/>
      <c r="J1844" s="1178"/>
      <c r="K1844" s="1178"/>
      <c r="L1844" s="1178"/>
      <c r="M1844" s="1178"/>
      <c r="N1844" s="1212" t="str">
        <f>IF( OR( ISBLANK(H1844),ISBLANK(J1844), ISBLANK(K1844), ISBLANK(L1844), ISBLANK(M1844) ), "", 1.5*SQRT(   EXP(2.21*(H1844-1)) + EXP(2.21*(J1844-1)) + EXP(2.21*(K1844-1)) + EXP(2.21*(L1844-1)) + EXP(2.21*M1844)   )/100*2.45 )</f>
        <v/>
      </c>
      <c r="O1844" s="1212" t="str">
        <f>IF( OR( ISBLANK(I1844),ISBLANK(J1844), ISBLANK(K1844), ISBLANK(L1844), ISBLANK(M1844) ), "", 1.5*SQRT( EXP(2.21*(I1844-1)) + EXP(2.21*(J1844-1)) + EXP(2.21*(K1844-1)) + EXP(2.21*(L1844-1)) + EXP(2.21*M1844)   )/100*2.45 )</f>
        <v/>
      </c>
    </row>
    <row r="1845" spans="8:15">
      <c r="H1845" s="1178"/>
      <c r="I1845" s="1178"/>
      <c r="J1845" s="1178"/>
      <c r="K1845" s="1178"/>
      <c r="L1845" s="1178"/>
      <c r="M1845" s="1178"/>
      <c r="N1845" s="1212" t="str">
        <f>IF( OR( ISBLANK(H1845),ISBLANK(J1845), ISBLANK(K1845), ISBLANK(L1845), ISBLANK(M1845) ), "", 1.5*SQRT(   EXP(2.21*(H1845-1)) + EXP(2.21*(J1845-1)) + EXP(2.21*(K1845-1)) + EXP(2.21*(L1845-1)) + EXP(2.21*M1845)   )/100*2.45 )</f>
        <v/>
      </c>
      <c r="O1845" s="1212" t="str">
        <f>IF( OR( ISBLANK(I1845),ISBLANK(J1845), ISBLANK(K1845), ISBLANK(L1845), ISBLANK(M1845) ), "", 1.5*SQRT( EXP(2.21*(I1845-1)) + EXP(2.21*(J1845-1)) + EXP(2.21*(K1845-1)) + EXP(2.21*(L1845-1)) + EXP(2.21*M1845)   )/100*2.45 )</f>
        <v/>
      </c>
    </row>
    <row r="1846" spans="8:15">
      <c r="H1846" s="1178"/>
      <c r="I1846" s="1178"/>
      <c r="J1846" s="1178"/>
      <c r="K1846" s="1178"/>
      <c r="L1846" s="1178"/>
      <c r="M1846" s="1178"/>
      <c r="N1846" s="1212" t="str">
        <f>IF( OR( ISBLANK(H1846),ISBLANK(J1846), ISBLANK(K1846), ISBLANK(L1846), ISBLANK(M1846) ), "", 1.5*SQRT(   EXP(2.21*(H1846-1)) + EXP(2.21*(J1846-1)) + EXP(2.21*(K1846-1)) + EXP(2.21*(L1846-1)) + EXP(2.21*M1846)   )/100*2.45 )</f>
        <v/>
      </c>
      <c r="O1846" s="1212" t="str">
        <f>IF( OR( ISBLANK(I1846),ISBLANK(J1846), ISBLANK(K1846), ISBLANK(L1846), ISBLANK(M1846) ), "", 1.5*SQRT( EXP(2.21*(I1846-1)) + EXP(2.21*(J1846-1)) + EXP(2.21*(K1846-1)) + EXP(2.21*(L1846-1)) + EXP(2.21*M1846)   )/100*2.45 )</f>
        <v/>
      </c>
    </row>
    <row r="1847" spans="8:15">
      <c r="H1847" s="1178"/>
      <c r="I1847" s="1178"/>
      <c r="J1847" s="1178"/>
      <c r="K1847" s="1178"/>
      <c r="L1847" s="1178"/>
      <c r="M1847" s="1178"/>
      <c r="N1847" s="1212" t="str">
        <f>IF( OR( ISBLANK(H1847),ISBLANK(J1847), ISBLANK(K1847), ISBLANK(L1847), ISBLANK(M1847) ), "", 1.5*SQRT(   EXP(2.21*(H1847-1)) + EXP(2.21*(J1847-1)) + EXP(2.21*(K1847-1)) + EXP(2.21*(L1847-1)) + EXP(2.21*M1847)   )/100*2.45 )</f>
        <v/>
      </c>
      <c r="O1847" s="1212" t="str">
        <f>IF( OR( ISBLANK(I1847),ISBLANK(J1847), ISBLANK(K1847), ISBLANK(L1847), ISBLANK(M1847) ), "", 1.5*SQRT( EXP(2.21*(I1847-1)) + EXP(2.21*(J1847-1)) + EXP(2.21*(K1847-1)) + EXP(2.21*(L1847-1)) + EXP(2.21*M1847)   )/100*2.45 )</f>
        <v/>
      </c>
    </row>
    <row r="1848" spans="8:15">
      <c r="H1848" s="1178"/>
      <c r="I1848" s="1178"/>
      <c r="J1848" s="1178"/>
      <c r="K1848" s="1178"/>
      <c r="L1848" s="1178"/>
      <c r="M1848" s="1178"/>
      <c r="N1848" s="1212" t="str">
        <f>IF( OR( ISBLANK(H1848),ISBLANK(J1848), ISBLANK(K1848), ISBLANK(L1848), ISBLANK(M1848) ), "", 1.5*SQRT(   EXP(2.21*(H1848-1)) + EXP(2.21*(J1848-1)) + EXP(2.21*(K1848-1)) + EXP(2.21*(L1848-1)) + EXP(2.21*M1848)   )/100*2.45 )</f>
        <v/>
      </c>
      <c r="O1848" s="1212" t="str">
        <f>IF( OR( ISBLANK(I1848),ISBLANK(J1848), ISBLANK(K1848), ISBLANK(L1848), ISBLANK(M1848) ), "", 1.5*SQRT( EXP(2.21*(I1848-1)) + EXP(2.21*(J1848-1)) + EXP(2.21*(K1848-1)) + EXP(2.21*(L1848-1)) + EXP(2.21*M1848)   )/100*2.45 )</f>
        <v/>
      </c>
    </row>
    <row r="1849" spans="8:15">
      <c r="H1849" s="1178"/>
      <c r="I1849" s="1178"/>
      <c r="J1849" s="1178"/>
      <c r="K1849" s="1178"/>
      <c r="L1849" s="1178"/>
      <c r="M1849" s="1178"/>
      <c r="N1849" s="1212" t="str">
        <f>IF( OR( ISBLANK(H1849),ISBLANK(J1849), ISBLANK(K1849), ISBLANK(L1849), ISBLANK(M1849) ), "", 1.5*SQRT(   EXP(2.21*(H1849-1)) + EXP(2.21*(J1849-1)) + EXP(2.21*(K1849-1)) + EXP(2.21*(L1849-1)) + EXP(2.21*M1849)   )/100*2.45 )</f>
        <v/>
      </c>
      <c r="O1849" s="1212" t="str">
        <f>IF( OR( ISBLANK(I1849),ISBLANK(J1849), ISBLANK(K1849), ISBLANK(L1849), ISBLANK(M1849) ), "", 1.5*SQRT( EXP(2.21*(I1849-1)) + EXP(2.21*(J1849-1)) + EXP(2.21*(K1849-1)) + EXP(2.21*(L1849-1)) + EXP(2.21*M1849)   )/100*2.45 )</f>
        <v/>
      </c>
    </row>
    <row r="1850" spans="8:15">
      <c r="H1850" s="1178"/>
      <c r="I1850" s="1178"/>
      <c r="J1850" s="1178"/>
      <c r="K1850" s="1178"/>
      <c r="L1850" s="1178"/>
      <c r="M1850" s="1178"/>
      <c r="N1850" s="1212" t="str">
        <f>IF( OR( ISBLANK(H1850),ISBLANK(J1850), ISBLANK(K1850), ISBLANK(L1850), ISBLANK(M1850) ), "", 1.5*SQRT(   EXP(2.21*(H1850-1)) + EXP(2.21*(J1850-1)) + EXP(2.21*(K1850-1)) + EXP(2.21*(L1850-1)) + EXP(2.21*M1850)   )/100*2.45 )</f>
        <v/>
      </c>
      <c r="O1850" s="1212" t="str">
        <f>IF( OR( ISBLANK(I1850),ISBLANK(J1850), ISBLANK(K1850), ISBLANK(L1850), ISBLANK(M1850) ), "", 1.5*SQRT( EXP(2.21*(I1850-1)) + EXP(2.21*(J1850-1)) + EXP(2.21*(K1850-1)) + EXP(2.21*(L1850-1)) + EXP(2.21*M1850)   )/100*2.45 )</f>
        <v/>
      </c>
    </row>
    <row r="1851" spans="8:15">
      <c r="H1851" s="1178"/>
      <c r="I1851" s="1178"/>
      <c r="J1851" s="1178"/>
      <c r="K1851" s="1178"/>
      <c r="L1851" s="1178"/>
      <c r="M1851" s="1178"/>
      <c r="N1851" s="1212" t="str">
        <f>IF( OR( ISBLANK(H1851),ISBLANK(J1851), ISBLANK(K1851), ISBLANK(L1851), ISBLANK(M1851) ), "", 1.5*SQRT(   EXP(2.21*(H1851-1)) + EXP(2.21*(J1851-1)) + EXP(2.21*(K1851-1)) + EXP(2.21*(L1851-1)) + EXP(2.21*M1851)   )/100*2.45 )</f>
        <v/>
      </c>
      <c r="O1851" s="1212" t="str">
        <f>IF( OR( ISBLANK(I1851),ISBLANK(J1851), ISBLANK(K1851), ISBLANK(L1851), ISBLANK(M1851) ), "", 1.5*SQRT( EXP(2.21*(I1851-1)) + EXP(2.21*(J1851-1)) + EXP(2.21*(K1851-1)) + EXP(2.21*(L1851-1)) + EXP(2.21*M1851)   )/100*2.45 )</f>
        <v/>
      </c>
    </row>
    <row r="1852" spans="8:15">
      <c r="H1852" s="1178"/>
      <c r="I1852" s="1178"/>
      <c r="J1852" s="1178"/>
      <c r="K1852" s="1178"/>
      <c r="L1852" s="1178"/>
      <c r="M1852" s="1178"/>
      <c r="N1852" s="1212" t="str">
        <f>IF( OR( ISBLANK(H1852),ISBLANK(J1852), ISBLANK(K1852), ISBLANK(L1852), ISBLANK(M1852) ), "", 1.5*SQRT(   EXP(2.21*(H1852-1)) + EXP(2.21*(J1852-1)) + EXP(2.21*(K1852-1)) + EXP(2.21*(L1852-1)) + EXP(2.21*M1852)   )/100*2.45 )</f>
        <v/>
      </c>
      <c r="O1852" s="1212" t="str">
        <f>IF( OR( ISBLANK(I1852),ISBLANK(J1852), ISBLANK(K1852), ISBLANK(L1852), ISBLANK(M1852) ), "", 1.5*SQRT( EXP(2.21*(I1852-1)) + EXP(2.21*(J1852-1)) + EXP(2.21*(K1852-1)) + EXP(2.21*(L1852-1)) + EXP(2.21*M1852)   )/100*2.45 )</f>
        <v/>
      </c>
    </row>
    <row r="1853" spans="8:15">
      <c r="H1853" s="1178"/>
      <c r="I1853" s="1178"/>
      <c r="J1853" s="1178"/>
      <c r="K1853" s="1178"/>
      <c r="L1853" s="1178"/>
      <c r="M1853" s="1178"/>
      <c r="N1853" s="1212" t="str">
        <f>IF( OR( ISBLANK(H1853),ISBLANK(J1853), ISBLANK(K1853), ISBLANK(L1853), ISBLANK(M1853) ), "", 1.5*SQRT(   EXP(2.21*(H1853-1)) + EXP(2.21*(J1853-1)) + EXP(2.21*(K1853-1)) + EXP(2.21*(L1853-1)) + EXP(2.21*M1853)   )/100*2.45 )</f>
        <v/>
      </c>
      <c r="O1853" s="1212" t="str">
        <f>IF( OR( ISBLANK(I1853),ISBLANK(J1853), ISBLANK(K1853), ISBLANK(L1853), ISBLANK(M1853) ), "", 1.5*SQRT( EXP(2.21*(I1853-1)) + EXP(2.21*(J1853-1)) + EXP(2.21*(K1853-1)) + EXP(2.21*(L1853-1)) + EXP(2.21*M1853)   )/100*2.45 )</f>
        <v/>
      </c>
    </row>
    <row r="1854" spans="8:15">
      <c r="H1854" s="1178"/>
      <c r="I1854" s="1178"/>
      <c r="J1854" s="1178"/>
      <c r="K1854" s="1178"/>
      <c r="L1854" s="1178"/>
      <c r="M1854" s="1178"/>
      <c r="N1854" s="1212" t="str">
        <f>IF( OR( ISBLANK(H1854),ISBLANK(J1854), ISBLANK(K1854), ISBLANK(L1854), ISBLANK(M1854) ), "", 1.5*SQRT(   EXP(2.21*(H1854-1)) + EXP(2.21*(J1854-1)) + EXP(2.21*(K1854-1)) + EXP(2.21*(L1854-1)) + EXP(2.21*M1854)   )/100*2.45 )</f>
        <v/>
      </c>
      <c r="O1854" s="1212" t="str">
        <f>IF( OR( ISBLANK(I1854),ISBLANK(J1854), ISBLANK(K1854), ISBLANK(L1854), ISBLANK(M1854) ), "", 1.5*SQRT( EXP(2.21*(I1854-1)) + EXP(2.21*(J1854-1)) + EXP(2.21*(K1854-1)) + EXP(2.21*(L1854-1)) + EXP(2.21*M1854)   )/100*2.45 )</f>
        <v/>
      </c>
    </row>
    <row r="1855" spans="8:15">
      <c r="H1855" s="1178"/>
      <c r="I1855" s="1178"/>
      <c r="J1855" s="1178"/>
      <c r="K1855" s="1178"/>
      <c r="L1855" s="1178"/>
      <c r="M1855" s="1178"/>
      <c r="N1855" s="1212" t="str">
        <f>IF( OR( ISBLANK(H1855),ISBLANK(J1855), ISBLANK(K1855), ISBLANK(L1855), ISBLANK(M1855) ), "", 1.5*SQRT(   EXP(2.21*(H1855-1)) + EXP(2.21*(J1855-1)) + EXP(2.21*(K1855-1)) + EXP(2.21*(L1855-1)) + EXP(2.21*M1855)   )/100*2.45 )</f>
        <v/>
      </c>
      <c r="O1855" s="1212" t="str">
        <f>IF( OR( ISBLANK(I1855),ISBLANK(J1855), ISBLANK(K1855), ISBLANK(L1855), ISBLANK(M1855) ), "", 1.5*SQRT( EXP(2.21*(I1855-1)) + EXP(2.21*(J1855-1)) + EXP(2.21*(K1855-1)) + EXP(2.21*(L1855-1)) + EXP(2.21*M1855)   )/100*2.45 )</f>
        <v/>
      </c>
    </row>
    <row r="1856" spans="8:15">
      <c r="H1856" s="1178"/>
      <c r="I1856" s="1178"/>
      <c r="J1856" s="1178"/>
      <c r="K1856" s="1178"/>
      <c r="L1856" s="1178"/>
      <c r="M1856" s="1178"/>
      <c r="N1856" s="1212" t="str">
        <f>IF( OR( ISBLANK(H1856),ISBLANK(J1856), ISBLANK(K1856), ISBLANK(L1856), ISBLANK(M1856) ), "", 1.5*SQRT(   EXP(2.21*(H1856-1)) + EXP(2.21*(J1856-1)) + EXP(2.21*(K1856-1)) + EXP(2.21*(L1856-1)) + EXP(2.21*M1856)   )/100*2.45 )</f>
        <v/>
      </c>
      <c r="O1856" s="1212" t="str">
        <f>IF( OR( ISBLANK(I1856),ISBLANK(J1856), ISBLANK(K1856), ISBLANK(L1856), ISBLANK(M1856) ), "", 1.5*SQRT( EXP(2.21*(I1856-1)) + EXP(2.21*(J1856-1)) + EXP(2.21*(K1856-1)) + EXP(2.21*(L1856-1)) + EXP(2.21*M1856)   )/100*2.45 )</f>
        <v/>
      </c>
    </row>
    <row r="1857" spans="8:15">
      <c r="H1857" s="1178"/>
      <c r="I1857" s="1178"/>
      <c r="J1857" s="1178"/>
      <c r="K1857" s="1178"/>
      <c r="L1857" s="1178"/>
      <c r="M1857" s="1178"/>
      <c r="N1857" s="1212" t="str">
        <f>IF( OR( ISBLANK(H1857),ISBLANK(J1857), ISBLANK(K1857), ISBLANK(L1857), ISBLANK(M1857) ), "", 1.5*SQRT(   EXP(2.21*(H1857-1)) + EXP(2.21*(J1857-1)) + EXP(2.21*(K1857-1)) + EXP(2.21*(L1857-1)) + EXP(2.21*M1857)   )/100*2.45 )</f>
        <v/>
      </c>
      <c r="O1857" s="1212" t="str">
        <f>IF( OR( ISBLANK(I1857),ISBLANK(J1857), ISBLANK(K1857), ISBLANK(L1857), ISBLANK(M1857) ), "", 1.5*SQRT( EXP(2.21*(I1857-1)) + EXP(2.21*(J1857-1)) + EXP(2.21*(K1857-1)) + EXP(2.21*(L1857-1)) + EXP(2.21*M1857)   )/100*2.45 )</f>
        <v/>
      </c>
    </row>
    <row r="1858" spans="8:15">
      <c r="H1858" s="1178"/>
      <c r="I1858" s="1178"/>
      <c r="J1858" s="1178"/>
      <c r="K1858" s="1178"/>
      <c r="L1858" s="1178"/>
      <c r="M1858" s="1178"/>
      <c r="N1858" s="1212" t="str">
        <f>IF( OR( ISBLANK(H1858),ISBLANK(J1858), ISBLANK(K1858), ISBLANK(L1858), ISBLANK(M1858) ), "", 1.5*SQRT(   EXP(2.21*(H1858-1)) + EXP(2.21*(J1858-1)) + EXP(2.21*(K1858-1)) + EXP(2.21*(L1858-1)) + EXP(2.21*M1858)   )/100*2.45 )</f>
        <v/>
      </c>
      <c r="O1858" s="1212" t="str">
        <f>IF( OR( ISBLANK(I1858),ISBLANK(J1858), ISBLANK(K1858), ISBLANK(L1858), ISBLANK(M1858) ), "", 1.5*SQRT( EXP(2.21*(I1858-1)) + EXP(2.21*(J1858-1)) + EXP(2.21*(K1858-1)) + EXP(2.21*(L1858-1)) + EXP(2.21*M1858)   )/100*2.45 )</f>
        <v/>
      </c>
    </row>
    <row r="1859" spans="8:15">
      <c r="H1859" s="1178"/>
      <c r="I1859" s="1178"/>
      <c r="J1859" s="1178"/>
      <c r="K1859" s="1178"/>
      <c r="L1859" s="1178"/>
      <c r="M1859" s="1178"/>
      <c r="N1859" s="1212" t="str">
        <f>IF( OR( ISBLANK(H1859),ISBLANK(J1859), ISBLANK(K1859), ISBLANK(L1859), ISBLANK(M1859) ), "", 1.5*SQRT(   EXP(2.21*(H1859-1)) + EXP(2.21*(J1859-1)) + EXP(2.21*(K1859-1)) + EXP(2.21*(L1859-1)) + EXP(2.21*M1859)   )/100*2.45 )</f>
        <v/>
      </c>
      <c r="O1859" s="1212" t="str">
        <f>IF( OR( ISBLANK(I1859),ISBLANK(J1859), ISBLANK(K1859), ISBLANK(L1859), ISBLANK(M1859) ), "", 1.5*SQRT( EXP(2.21*(I1859-1)) + EXP(2.21*(J1859-1)) + EXP(2.21*(K1859-1)) + EXP(2.21*(L1859-1)) + EXP(2.21*M1859)   )/100*2.45 )</f>
        <v/>
      </c>
    </row>
    <row r="1860" spans="8:15">
      <c r="H1860" s="1178"/>
      <c r="I1860" s="1178"/>
      <c r="J1860" s="1178"/>
      <c r="K1860" s="1178"/>
      <c r="L1860" s="1178"/>
      <c r="M1860" s="1178"/>
      <c r="N1860" s="1212" t="str">
        <f>IF( OR( ISBLANK(H1860),ISBLANK(J1860), ISBLANK(K1860), ISBLANK(L1860), ISBLANK(M1860) ), "", 1.5*SQRT(   EXP(2.21*(H1860-1)) + EXP(2.21*(J1860-1)) + EXP(2.21*(K1860-1)) + EXP(2.21*(L1860-1)) + EXP(2.21*M1860)   )/100*2.45 )</f>
        <v/>
      </c>
      <c r="O1860" s="1212" t="str">
        <f>IF( OR( ISBLANK(I1860),ISBLANK(J1860), ISBLANK(K1860), ISBLANK(L1860), ISBLANK(M1860) ), "", 1.5*SQRT( EXP(2.21*(I1860-1)) + EXP(2.21*(J1860-1)) + EXP(2.21*(K1860-1)) + EXP(2.21*(L1860-1)) + EXP(2.21*M1860)   )/100*2.45 )</f>
        <v/>
      </c>
    </row>
    <row r="1861" spans="8:15">
      <c r="H1861" s="1178"/>
      <c r="I1861" s="1178"/>
      <c r="J1861" s="1178"/>
      <c r="K1861" s="1178"/>
      <c r="L1861" s="1178"/>
      <c r="M1861" s="1178"/>
      <c r="N1861" s="1212" t="str">
        <f>IF( OR( ISBLANK(H1861),ISBLANK(J1861), ISBLANK(K1861), ISBLANK(L1861), ISBLANK(M1861) ), "", 1.5*SQRT(   EXP(2.21*(H1861-1)) + EXP(2.21*(J1861-1)) + EXP(2.21*(K1861-1)) + EXP(2.21*(L1861-1)) + EXP(2.21*M1861)   )/100*2.45 )</f>
        <v/>
      </c>
      <c r="O1861" s="1212" t="str">
        <f>IF( OR( ISBLANK(I1861),ISBLANK(J1861), ISBLANK(K1861), ISBLANK(L1861), ISBLANK(M1861) ), "", 1.5*SQRT( EXP(2.21*(I1861-1)) + EXP(2.21*(J1861-1)) + EXP(2.21*(K1861-1)) + EXP(2.21*(L1861-1)) + EXP(2.21*M1861)   )/100*2.45 )</f>
        <v/>
      </c>
    </row>
    <row r="1862" spans="8:15">
      <c r="H1862" s="1178"/>
      <c r="I1862" s="1178"/>
      <c r="J1862" s="1178"/>
      <c r="K1862" s="1178"/>
      <c r="L1862" s="1178"/>
      <c r="M1862" s="1178"/>
      <c r="N1862" s="1212" t="str">
        <f>IF( OR( ISBLANK(H1862),ISBLANK(J1862), ISBLANK(K1862), ISBLANK(L1862), ISBLANK(M1862) ), "", 1.5*SQRT(   EXP(2.21*(H1862-1)) + EXP(2.21*(J1862-1)) + EXP(2.21*(K1862-1)) + EXP(2.21*(L1862-1)) + EXP(2.21*M1862)   )/100*2.45 )</f>
        <v/>
      </c>
      <c r="O1862" s="1212" t="str">
        <f>IF( OR( ISBLANK(I1862),ISBLANK(J1862), ISBLANK(K1862), ISBLANK(L1862), ISBLANK(M1862) ), "", 1.5*SQRT( EXP(2.21*(I1862-1)) + EXP(2.21*(J1862-1)) + EXP(2.21*(K1862-1)) + EXP(2.21*(L1862-1)) + EXP(2.21*M1862)   )/100*2.45 )</f>
        <v/>
      </c>
    </row>
    <row r="1863" spans="8:15">
      <c r="H1863" s="1178"/>
      <c r="I1863" s="1178"/>
      <c r="J1863" s="1178"/>
      <c r="K1863" s="1178"/>
      <c r="L1863" s="1178"/>
      <c r="M1863" s="1178"/>
      <c r="N1863" s="1212" t="str">
        <f>IF( OR( ISBLANK(H1863),ISBLANK(J1863), ISBLANK(K1863), ISBLANK(L1863), ISBLANK(M1863) ), "", 1.5*SQRT(   EXP(2.21*(H1863-1)) + EXP(2.21*(J1863-1)) + EXP(2.21*(K1863-1)) + EXP(2.21*(L1863-1)) + EXP(2.21*M1863)   )/100*2.45 )</f>
        <v/>
      </c>
      <c r="O1863" s="1212" t="str">
        <f>IF( OR( ISBLANK(I1863),ISBLANK(J1863), ISBLANK(K1863), ISBLANK(L1863), ISBLANK(M1863) ), "", 1.5*SQRT( EXP(2.21*(I1863-1)) + EXP(2.21*(J1863-1)) + EXP(2.21*(K1863-1)) + EXP(2.21*(L1863-1)) + EXP(2.21*M1863)   )/100*2.45 )</f>
        <v/>
      </c>
    </row>
    <row r="1864" spans="8:15">
      <c r="H1864" s="1178"/>
      <c r="I1864" s="1178"/>
      <c r="J1864" s="1178"/>
      <c r="K1864" s="1178"/>
      <c r="L1864" s="1178"/>
      <c r="M1864" s="1178"/>
      <c r="N1864" s="1212" t="str">
        <f>IF( OR( ISBLANK(H1864),ISBLANK(J1864), ISBLANK(K1864), ISBLANK(L1864), ISBLANK(M1864) ), "", 1.5*SQRT(   EXP(2.21*(H1864-1)) + EXP(2.21*(J1864-1)) + EXP(2.21*(K1864-1)) + EXP(2.21*(L1864-1)) + EXP(2.21*M1864)   )/100*2.45 )</f>
        <v/>
      </c>
      <c r="O1864" s="1212" t="str">
        <f>IF( OR( ISBLANK(I1864),ISBLANK(J1864), ISBLANK(K1864), ISBLANK(L1864), ISBLANK(M1864) ), "", 1.5*SQRT( EXP(2.21*(I1864-1)) + EXP(2.21*(J1864-1)) + EXP(2.21*(K1864-1)) + EXP(2.21*(L1864-1)) + EXP(2.21*M1864)   )/100*2.45 )</f>
        <v/>
      </c>
    </row>
    <row r="1865" spans="8:15">
      <c r="H1865" s="1178"/>
      <c r="I1865" s="1178"/>
      <c r="J1865" s="1178"/>
      <c r="K1865" s="1178"/>
      <c r="L1865" s="1178"/>
      <c r="M1865" s="1178"/>
      <c r="N1865" s="1212" t="str">
        <f>IF( OR( ISBLANK(H1865),ISBLANK(J1865), ISBLANK(K1865), ISBLANK(L1865), ISBLANK(M1865) ), "", 1.5*SQRT(   EXP(2.21*(H1865-1)) + EXP(2.21*(J1865-1)) + EXP(2.21*(K1865-1)) + EXP(2.21*(L1865-1)) + EXP(2.21*M1865)   )/100*2.45 )</f>
        <v/>
      </c>
      <c r="O1865" s="1212" t="str">
        <f>IF( OR( ISBLANK(I1865),ISBLANK(J1865), ISBLANK(K1865), ISBLANK(L1865), ISBLANK(M1865) ), "", 1.5*SQRT( EXP(2.21*(I1865-1)) + EXP(2.21*(J1865-1)) + EXP(2.21*(K1865-1)) + EXP(2.21*(L1865-1)) + EXP(2.21*M1865)   )/100*2.45 )</f>
        <v/>
      </c>
    </row>
    <row r="1866" spans="8:15">
      <c r="H1866" s="1178"/>
      <c r="I1866" s="1178"/>
      <c r="J1866" s="1178"/>
      <c r="K1866" s="1178"/>
      <c r="L1866" s="1178"/>
      <c r="M1866" s="1178"/>
      <c r="N1866" s="1212" t="str">
        <f>IF( OR( ISBLANK(H1866),ISBLANK(J1866), ISBLANK(K1866), ISBLANK(L1866), ISBLANK(M1866) ), "", 1.5*SQRT(   EXP(2.21*(H1866-1)) + EXP(2.21*(J1866-1)) + EXP(2.21*(K1866-1)) + EXP(2.21*(L1866-1)) + EXP(2.21*M1866)   )/100*2.45 )</f>
        <v/>
      </c>
      <c r="O1866" s="1212" t="str">
        <f>IF( OR( ISBLANK(I1866),ISBLANK(J1866), ISBLANK(K1866), ISBLANK(L1866), ISBLANK(M1866) ), "", 1.5*SQRT( EXP(2.21*(I1866-1)) + EXP(2.21*(J1866-1)) + EXP(2.21*(K1866-1)) + EXP(2.21*(L1866-1)) + EXP(2.21*M1866)   )/100*2.45 )</f>
        <v/>
      </c>
    </row>
    <row r="1867" spans="8:15">
      <c r="H1867" s="1178"/>
      <c r="I1867" s="1178"/>
      <c r="J1867" s="1178"/>
      <c r="K1867" s="1178"/>
      <c r="L1867" s="1178"/>
      <c r="M1867" s="1178"/>
      <c r="N1867" s="1212" t="str">
        <f>IF( OR( ISBLANK(H1867),ISBLANK(J1867), ISBLANK(K1867), ISBLANK(L1867), ISBLANK(M1867) ), "", 1.5*SQRT(   EXP(2.21*(H1867-1)) + EXP(2.21*(J1867-1)) + EXP(2.21*(K1867-1)) + EXP(2.21*(L1867-1)) + EXP(2.21*M1867)   )/100*2.45 )</f>
        <v/>
      </c>
      <c r="O1867" s="1212" t="str">
        <f>IF( OR( ISBLANK(I1867),ISBLANK(J1867), ISBLANK(K1867), ISBLANK(L1867), ISBLANK(M1867) ), "", 1.5*SQRT( EXP(2.21*(I1867-1)) + EXP(2.21*(J1867-1)) + EXP(2.21*(K1867-1)) + EXP(2.21*(L1867-1)) + EXP(2.21*M1867)   )/100*2.45 )</f>
        <v/>
      </c>
    </row>
    <row r="1868" spans="8:15">
      <c r="H1868" s="1178"/>
      <c r="I1868" s="1178"/>
      <c r="J1868" s="1178"/>
      <c r="K1868" s="1178"/>
      <c r="L1868" s="1178"/>
      <c r="M1868" s="1178"/>
      <c r="N1868" s="1212" t="str">
        <f>IF( OR( ISBLANK(H1868),ISBLANK(J1868), ISBLANK(K1868), ISBLANK(L1868), ISBLANK(M1868) ), "", 1.5*SQRT(   EXP(2.21*(H1868-1)) + EXP(2.21*(J1868-1)) + EXP(2.21*(K1868-1)) + EXP(2.21*(L1868-1)) + EXP(2.21*M1868)   )/100*2.45 )</f>
        <v/>
      </c>
      <c r="O1868" s="1212" t="str">
        <f>IF( OR( ISBLANK(I1868),ISBLANK(J1868), ISBLANK(K1868), ISBLANK(L1868), ISBLANK(M1868) ), "", 1.5*SQRT( EXP(2.21*(I1868-1)) + EXP(2.21*(J1868-1)) + EXP(2.21*(K1868-1)) + EXP(2.21*(L1868-1)) + EXP(2.21*M1868)   )/100*2.45 )</f>
        <v/>
      </c>
    </row>
    <row r="1869" spans="8:15">
      <c r="H1869" s="1178"/>
      <c r="I1869" s="1178"/>
      <c r="J1869" s="1178"/>
      <c r="K1869" s="1178"/>
      <c r="L1869" s="1178"/>
      <c r="M1869" s="1178"/>
      <c r="N1869" s="1212" t="str">
        <f>IF( OR( ISBLANK(H1869),ISBLANK(J1869), ISBLANK(K1869), ISBLANK(L1869), ISBLANK(M1869) ), "", 1.5*SQRT(   EXP(2.21*(H1869-1)) + EXP(2.21*(J1869-1)) + EXP(2.21*(K1869-1)) + EXP(2.21*(L1869-1)) + EXP(2.21*M1869)   )/100*2.45 )</f>
        <v/>
      </c>
      <c r="O1869" s="1212" t="str">
        <f>IF( OR( ISBLANK(I1869),ISBLANK(J1869), ISBLANK(K1869), ISBLANK(L1869), ISBLANK(M1869) ), "", 1.5*SQRT( EXP(2.21*(I1869-1)) + EXP(2.21*(J1869-1)) + EXP(2.21*(K1869-1)) + EXP(2.21*(L1869-1)) + EXP(2.21*M1869)   )/100*2.45 )</f>
        <v/>
      </c>
    </row>
    <row r="1870" spans="8:15">
      <c r="H1870" s="1178"/>
      <c r="I1870" s="1178"/>
      <c r="J1870" s="1178"/>
      <c r="K1870" s="1178"/>
      <c r="L1870" s="1178"/>
      <c r="M1870" s="1178"/>
      <c r="N1870" s="1212" t="str">
        <f>IF( OR( ISBLANK(H1870),ISBLANK(J1870), ISBLANK(K1870), ISBLANK(L1870), ISBLANK(M1870) ), "", 1.5*SQRT(   EXP(2.21*(H1870-1)) + EXP(2.21*(J1870-1)) + EXP(2.21*(K1870-1)) + EXP(2.21*(L1870-1)) + EXP(2.21*M1870)   )/100*2.45 )</f>
        <v/>
      </c>
      <c r="O1870" s="1212" t="str">
        <f>IF( OR( ISBLANK(I1870),ISBLANK(J1870), ISBLANK(K1870), ISBLANK(L1870), ISBLANK(M1870) ), "", 1.5*SQRT( EXP(2.21*(I1870-1)) + EXP(2.21*(J1870-1)) + EXP(2.21*(K1870-1)) + EXP(2.21*(L1870-1)) + EXP(2.21*M1870)   )/100*2.45 )</f>
        <v/>
      </c>
    </row>
    <row r="1871" spans="8:15">
      <c r="H1871" s="1178"/>
      <c r="I1871" s="1178"/>
      <c r="J1871" s="1178"/>
      <c r="K1871" s="1178"/>
      <c r="L1871" s="1178"/>
      <c r="M1871" s="1178"/>
      <c r="N1871" s="1212" t="str">
        <f>IF( OR( ISBLANK(H1871),ISBLANK(J1871), ISBLANK(K1871), ISBLANK(L1871), ISBLANK(M1871) ), "", 1.5*SQRT(   EXP(2.21*(H1871-1)) + EXP(2.21*(J1871-1)) + EXP(2.21*(K1871-1)) + EXP(2.21*(L1871-1)) + EXP(2.21*M1871)   )/100*2.45 )</f>
        <v/>
      </c>
      <c r="O1871" s="1212" t="str">
        <f>IF( OR( ISBLANK(I1871),ISBLANK(J1871), ISBLANK(K1871), ISBLANK(L1871), ISBLANK(M1871) ), "", 1.5*SQRT( EXP(2.21*(I1871-1)) + EXP(2.21*(J1871-1)) + EXP(2.21*(K1871-1)) + EXP(2.21*(L1871-1)) + EXP(2.21*M1871)   )/100*2.45 )</f>
        <v/>
      </c>
    </row>
    <row r="1872" spans="8:15">
      <c r="H1872" s="1178"/>
      <c r="I1872" s="1178"/>
      <c r="J1872" s="1178"/>
      <c r="K1872" s="1178"/>
      <c r="L1872" s="1178"/>
      <c r="M1872" s="1178"/>
      <c r="N1872" s="1212" t="str">
        <f>IF( OR( ISBLANK(H1872),ISBLANK(J1872), ISBLANK(K1872), ISBLANK(L1872), ISBLANK(M1872) ), "", 1.5*SQRT(   EXP(2.21*(H1872-1)) + EXP(2.21*(J1872-1)) + EXP(2.21*(K1872-1)) + EXP(2.21*(L1872-1)) + EXP(2.21*M1872)   )/100*2.45 )</f>
        <v/>
      </c>
      <c r="O1872" s="1212" t="str">
        <f>IF( OR( ISBLANK(I1872),ISBLANK(J1872), ISBLANK(K1872), ISBLANK(L1872), ISBLANK(M1872) ), "", 1.5*SQRT( EXP(2.21*(I1872-1)) + EXP(2.21*(J1872-1)) + EXP(2.21*(K1872-1)) + EXP(2.21*(L1872-1)) + EXP(2.21*M1872)   )/100*2.45 )</f>
        <v/>
      </c>
    </row>
    <row r="1873" spans="8:15">
      <c r="H1873" s="1178"/>
      <c r="I1873" s="1178"/>
      <c r="J1873" s="1178"/>
      <c r="K1873" s="1178"/>
      <c r="L1873" s="1178"/>
      <c r="M1873" s="1178"/>
      <c r="N1873" s="1212" t="str">
        <f>IF( OR( ISBLANK(H1873),ISBLANK(J1873), ISBLANK(K1873), ISBLANK(L1873), ISBLANK(M1873) ), "", 1.5*SQRT(   EXP(2.21*(H1873-1)) + EXP(2.21*(J1873-1)) + EXP(2.21*(K1873-1)) + EXP(2.21*(L1873-1)) + EXP(2.21*M1873)   )/100*2.45 )</f>
        <v/>
      </c>
      <c r="O1873" s="1212" t="str">
        <f>IF( OR( ISBLANK(I1873),ISBLANK(J1873), ISBLANK(K1873), ISBLANK(L1873), ISBLANK(M1873) ), "", 1.5*SQRT( EXP(2.21*(I1873-1)) + EXP(2.21*(J1873-1)) + EXP(2.21*(K1873-1)) + EXP(2.21*(L1873-1)) + EXP(2.21*M1873)   )/100*2.45 )</f>
        <v/>
      </c>
    </row>
    <row r="1874" spans="8:15">
      <c r="H1874" s="1178"/>
      <c r="I1874" s="1178"/>
      <c r="J1874" s="1178"/>
      <c r="K1874" s="1178"/>
      <c r="L1874" s="1178"/>
      <c r="M1874" s="1178"/>
      <c r="N1874" s="1212" t="str">
        <f>IF( OR( ISBLANK(H1874),ISBLANK(J1874), ISBLANK(K1874), ISBLANK(L1874), ISBLANK(M1874) ), "", 1.5*SQRT(   EXP(2.21*(H1874-1)) + EXP(2.21*(J1874-1)) + EXP(2.21*(K1874-1)) + EXP(2.21*(L1874-1)) + EXP(2.21*M1874)   )/100*2.45 )</f>
        <v/>
      </c>
      <c r="O1874" s="1212" t="str">
        <f>IF( OR( ISBLANK(I1874),ISBLANK(J1874), ISBLANK(K1874), ISBLANK(L1874), ISBLANK(M1874) ), "", 1.5*SQRT( EXP(2.21*(I1874-1)) + EXP(2.21*(J1874-1)) + EXP(2.21*(K1874-1)) + EXP(2.21*(L1874-1)) + EXP(2.21*M1874)   )/100*2.45 )</f>
        <v/>
      </c>
    </row>
    <row r="1875" spans="8:15">
      <c r="H1875" s="1178"/>
      <c r="I1875" s="1178"/>
      <c r="J1875" s="1178"/>
      <c r="K1875" s="1178"/>
      <c r="L1875" s="1178"/>
      <c r="M1875" s="1178"/>
      <c r="N1875" s="1212" t="str">
        <f>IF( OR( ISBLANK(H1875),ISBLANK(J1875), ISBLANK(K1875), ISBLANK(L1875), ISBLANK(M1875) ), "", 1.5*SQRT(   EXP(2.21*(H1875-1)) + EXP(2.21*(J1875-1)) + EXP(2.21*(K1875-1)) + EXP(2.21*(L1875-1)) + EXP(2.21*M1875)   )/100*2.45 )</f>
        <v/>
      </c>
      <c r="O1875" s="1212" t="str">
        <f>IF( OR( ISBLANK(I1875),ISBLANK(J1875), ISBLANK(K1875), ISBLANK(L1875), ISBLANK(M1875) ), "", 1.5*SQRT( EXP(2.21*(I1875-1)) + EXP(2.21*(J1875-1)) + EXP(2.21*(K1875-1)) + EXP(2.21*(L1875-1)) + EXP(2.21*M1875)   )/100*2.45 )</f>
        <v/>
      </c>
    </row>
    <row r="1876" spans="8:15">
      <c r="H1876" s="1178"/>
      <c r="I1876" s="1178"/>
      <c r="J1876" s="1178"/>
      <c r="K1876" s="1178"/>
      <c r="L1876" s="1178"/>
      <c r="M1876" s="1178"/>
      <c r="N1876" s="1212" t="str">
        <f>IF( OR( ISBLANK(H1876),ISBLANK(J1876), ISBLANK(K1876), ISBLANK(L1876), ISBLANK(M1876) ), "", 1.5*SQRT(   EXP(2.21*(H1876-1)) + EXP(2.21*(J1876-1)) + EXP(2.21*(K1876-1)) + EXP(2.21*(L1876-1)) + EXP(2.21*M1876)   )/100*2.45 )</f>
        <v/>
      </c>
      <c r="O1876" s="1212" t="str">
        <f>IF( OR( ISBLANK(I1876),ISBLANK(J1876), ISBLANK(K1876), ISBLANK(L1876), ISBLANK(M1876) ), "", 1.5*SQRT( EXP(2.21*(I1876-1)) + EXP(2.21*(J1876-1)) + EXP(2.21*(K1876-1)) + EXP(2.21*(L1876-1)) + EXP(2.21*M1876)   )/100*2.45 )</f>
        <v/>
      </c>
    </row>
    <row r="1877" spans="8:15">
      <c r="H1877" s="1178"/>
      <c r="I1877" s="1178"/>
      <c r="J1877" s="1178"/>
      <c r="K1877" s="1178"/>
      <c r="L1877" s="1178"/>
      <c r="M1877" s="1178"/>
      <c r="N1877" s="1212" t="str">
        <f>IF( OR( ISBLANK(H1877),ISBLANK(J1877), ISBLANK(K1877), ISBLANK(L1877), ISBLANK(M1877) ), "", 1.5*SQRT(   EXP(2.21*(H1877-1)) + EXP(2.21*(J1877-1)) + EXP(2.21*(K1877-1)) + EXP(2.21*(L1877-1)) + EXP(2.21*M1877)   )/100*2.45 )</f>
        <v/>
      </c>
      <c r="O1877" s="1212" t="str">
        <f>IF( OR( ISBLANK(I1877),ISBLANK(J1877), ISBLANK(K1877), ISBLANK(L1877), ISBLANK(M1877) ), "", 1.5*SQRT( EXP(2.21*(I1877-1)) + EXP(2.21*(J1877-1)) + EXP(2.21*(K1877-1)) + EXP(2.21*(L1877-1)) + EXP(2.21*M1877)   )/100*2.45 )</f>
        <v/>
      </c>
    </row>
    <row r="1878" spans="8:15">
      <c r="H1878" s="1178"/>
      <c r="I1878" s="1178"/>
      <c r="J1878" s="1178"/>
      <c r="K1878" s="1178"/>
      <c r="L1878" s="1178"/>
      <c r="M1878" s="1178"/>
      <c r="N1878" s="1212" t="str">
        <f>IF( OR( ISBLANK(H1878),ISBLANK(J1878), ISBLANK(K1878), ISBLANK(L1878), ISBLANK(M1878) ), "", 1.5*SQRT(   EXP(2.21*(H1878-1)) + EXP(2.21*(J1878-1)) + EXP(2.21*(K1878-1)) + EXP(2.21*(L1878-1)) + EXP(2.21*M1878)   )/100*2.45 )</f>
        <v/>
      </c>
      <c r="O1878" s="1212" t="str">
        <f>IF( OR( ISBLANK(I1878),ISBLANK(J1878), ISBLANK(K1878), ISBLANK(L1878), ISBLANK(M1878) ), "", 1.5*SQRT( EXP(2.21*(I1878-1)) + EXP(2.21*(J1878-1)) + EXP(2.21*(K1878-1)) + EXP(2.21*(L1878-1)) + EXP(2.21*M1878)   )/100*2.45 )</f>
        <v/>
      </c>
    </row>
    <row r="1879" spans="8:15">
      <c r="H1879" s="1178"/>
      <c r="I1879" s="1178"/>
      <c r="J1879" s="1178"/>
      <c r="K1879" s="1178"/>
      <c r="L1879" s="1178"/>
      <c r="M1879" s="1178"/>
      <c r="N1879" s="1212" t="str">
        <f>IF( OR( ISBLANK(H1879),ISBLANK(J1879), ISBLANK(K1879), ISBLANK(L1879), ISBLANK(M1879) ), "", 1.5*SQRT(   EXP(2.21*(H1879-1)) + EXP(2.21*(J1879-1)) + EXP(2.21*(K1879-1)) + EXP(2.21*(L1879-1)) + EXP(2.21*M1879)   )/100*2.45 )</f>
        <v/>
      </c>
      <c r="O1879" s="1212" t="str">
        <f>IF( OR( ISBLANK(I1879),ISBLANK(J1879), ISBLANK(K1879), ISBLANK(L1879), ISBLANK(M1879) ), "", 1.5*SQRT( EXP(2.21*(I1879-1)) + EXP(2.21*(J1879-1)) + EXP(2.21*(K1879-1)) + EXP(2.21*(L1879-1)) + EXP(2.21*M1879)   )/100*2.45 )</f>
        <v/>
      </c>
    </row>
    <row r="1880" spans="8:15">
      <c r="H1880" s="1178"/>
      <c r="I1880" s="1178"/>
      <c r="J1880" s="1178"/>
      <c r="K1880" s="1178"/>
      <c r="L1880" s="1178"/>
      <c r="M1880" s="1178"/>
      <c r="N1880" s="1212" t="str">
        <f>IF( OR( ISBLANK(H1880),ISBLANK(J1880), ISBLANK(K1880), ISBLANK(L1880), ISBLANK(M1880) ), "", 1.5*SQRT(   EXP(2.21*(H1880-1)) + EXP(2.21*(J1880-1)) + EXP(2.21*(K1880-1)) + EXP(2.21*(L1880-1)) + EXP(2.21*M1880)   )/100*2.45 )</f>
        <v/>
      </c>
      <c r="O1880" s="1212" t="str">
        <f>IF( OR( ISBLANK(I1880),ISBLANK(J1880), ISBLANK(K1880), ISBLANK(L1880), ISBLANK(M1880) ), "", 1.5*SQRT( EXP(2.21*(I1880-1)) + EXP(2.21*(J1880-1)) + EXP(2.21*(K1880-1)) + EXP(2.21*(L1880-1)) + EXP(2.21*M1880)   )/100*2.45 )</f>
        <v/>
      </c>
    </row>
    <row r="1881" spans="8:15">
      <c r="H1881" s="1178"/>
      <c r="I1881" s="1178"/>
      <c r="J1881" s="1178"/>
      <c r="K1881" s="1178"/>
      <c r="L1881" s="1178"/>
      <c r="M1881" s="1178"/>
      <c r="N1881" s="1212" t="str">
        <f>IF( OR( ISBLANK(H1881),ISBLANK(J1881), ISBLANK(K1881), ISBLANK(L1881), ISBLANK(M1881) ), "", 1.5*SQRT(   EXP(2.21*(H1881-1)) + EXP(2.21*(J1881-1)) + EXP(2.21*(K1881-1)) + EXP(2.21*(L1881-1)) + EXP(2.21*M1881)   )/100*2.45 )</f>
        <v/>
      </c>
      <c r="O1881" s="1212" t="str">
        <f>IF( OR( ISBLANK(I1881),ISBLANK(J1881), ISBLANK(K1881), ISBLANK(L1881), ISBLANK(M1881) ), "", 1.5*SQRT( EXP(2.21*(I1881-1)) + EXP(2.21*(J1881-1)) + EXP(2.21*(K1881-1)) + EXP(2.21*(L1881-1)) + EXP(2.21*M1881)   )/100*2.45 )</f>
        <v/>
      </c>
    </row>
    <row r="1882" spans="8:15">
      <c r="H1882" s="1178"/>
      <c r="I1882" s="1178"/>
      <c r="J1882" s="1178"/>
      <c r="K1882" s="1178"/>
      <c r="L1882" s="1178"/>
      <c r="M1882" s="1178"/>
      <c r="N1882" s="1212" t="str">
        <f>IF( OR( ISBLANK(H1882),ISBLANK(J1882), ISBLANK(K1882), ISBLANK(L1882), ISBLANK(M1882) ), "", 1.5*SQRT(   EXP(2.21*(H1882-1)) + EXP(2.21*(J1882-1)) + EXP(2.21*(K1882-1)) + EXP(2.21*(L1882-1)) + EXP(2.21*M1882)   )/100*2.45 )</f>
        <v/>
      </c>
      <c r="O1882" s="1212" t="str">
        <f>IF( OR( ISBLANK(I1882),ISBLANK(J1882), ISBLANK(K1882), ISBLANK(L1882), ISBLANK(M1882) ), "", 1.5*SQRT( EXP(2.21*(I1882-1)) + EXP(2.21*(J1882-1)) + EXP(2.21*(K1882-1)) + EXP(2.21*(L1882-1)) + EXP(2.21*M1882)   )/100*2.45 )</f>
        <v/>
      </c>
    </row>
    <row r="1883" spans="8:15">
      <c r="H1883" s="1178"/>
      <c r="I1883" s="1178"/>
      <c r="J1883" s="1178"/>
      <c r="K1883" s="1178"/>
      <c r="L1883" s="1178"/>
      <c r="M1883" s="1178"/>
      <c r="N1883" s="1212" t="str">
        <f>IF( OR( ISBLANK(H1883),ISBLANK(J1883), ISBLANK(K1883), ISBLANK(L1883), ISBLANK(M1883) ), "", 1.5*SQRT(   EXP(2.21*(H1883-1)) + EXP(2.21*(J1883-1)) + EXP(2.21*(K1883-1)) + EXP(2.21*(L1883-1)) + EXP(2.21*M1883)   )/100*2.45 )</f>
        <v/>
      </c>
      <c r="O1883" s="1212" t="str">
        <f>IF( OR( ISBLANK(I1883),ISBLANK(J1883), ISBLANK(K1883), ISBLANK(L1883), ISBLANK(M1883) ), "", 1.5*SQRT( EXP(2.21*(I1883-1)) + EXP(2.21*(J1883-1)) + EXP(2.21*(K1883-1)) + EXP(2.21*(L1883-1)) + EXP(2.21*M1883)   )/100*2.45 )</f>
        <v/>
      </c>
    </row>
    <row r="1884" spans="8:15">
      <c r="H1884" s="1178"/>
      <c r="I1884" s="1178"/>
      <c r="J1884" s="1178"/>
      <c r="K1884" s="1178"/>
      <c r="L1884" s="1178"/>
      <c r="M1884" s="1178"/>
      <c r="N1884" s="1212" t="str">
        <f>IF( OR( ISBLANK(H1884),ISBLANK(J1884), ISBLANK(K1884), ISBLANK(L1884), ISBLANK(M1884) ), "", 1.5*SQRT(   EXP(2.21*(H1884-1)) + EXP(2.21*(J1884-1)) + EXP(2.21*(K1884-1)) + EXP(2.21*(L1884-1)) + EXP(2.21*M1884)   )/100*2.45 )</f>
        <v/>
      </c>
      <c r="O1884" s="1212" t="str">
        <f>IF( OR( ISBLANK(I1884),ISBLANK(J1884), ISBLANK(K1884), ISBLANK(L1884), ISBLANK(M1884) ), "", 1.5*SQRT( EXP(2.21*(I1884-1)) + EXP(2.21*(J1884-1)) + EXP(2.21*(K1884-1)) + EXP(2.21*(L1884-1)) + EXP(2.21*M1884)   )/100*2.45 )</f>
        <v/>
      </c>
    </row>
    <row r="1885" spans="8:15">
      <c r="H1885" s="1178"/>
      <c r="I1885" s="1178"/>
      <c r="J1885" s="1178"/>
      <c r="K1885" s="1178"/>
      <c r="L1885" s="1178"/>
      <c r="M1885" s="1178"/>
      <c r="N1885" s="1212" t="str">
        <f>IF( OR( ISBLANK(H1885),ISBLANK(J1885), ISBLANK(K1885), ISBLANK(L1885), ISBLANK(M1885) ), "", 1.5*SQRT(   EXP(2.21*(H1885-1)) + EXP(2.21*(J1885-1)) + EXP(2.21*(K1885-1)) + EXP(2.21*(L1885-1)) + EXP(2.21*M1885)   )/100*2.45 )</f>
        <v/>
      </c>
      <c r="O1885" s="1212" t="str">
        <f>IF( OR( ISBLANK(I1885),ISBLANK(J1885), ISBLANK(K1885), ISBLANK(L1885), ISBLANK(M1885) ), "", 1.5*SQRT( EXP(2.21*(I1885-1)) + EXP(2.21*(J1885-1)) + EXP(2.21*(K1885-1)) + EXP(2.21*(L1885-1)) + EXP(2.21*M1885)   )/100*2.45 )</f>
        <v/>
      </c>
    </row>
    <row r="1886" spans="8:15">
      <c r="H1886" s="1178"/>
      <c r="I1886" s="1178"/>
      <c r="J1886" s="1178"/>
      <c r="K1886" s="1178"/>
      <c r="L1886" s="1178"/>
      <c r="M1886" s="1178"/>
      <c r="N1886" s="1212" t="str">
        <f>IF( OR( ISBLANK(H1886),ISBLANK(J1886), ISBLANK(K1886), ISBLANK(L1886), ISBLANK(M1886) ), "", 1.5*SQRT(   EXP(2.21*(H1886-1)) + EXP(2.21*(J1886-1)) + EXP(2.21*(K1886-1)) + EXP(2.21*(L1886-1)) + EXP(2.21*M1886)   )/100*2.45 )</f>
        <v/>
      </c>
      <c r="O1886" s="1212" t="str">
        <f>IF( OR( ISBLANK(I1886),ISBLANK(J1886), ISBLANK(K1886), ISBLANK(L1886), ISBLANK(M1886) ), "", 1.5*SQRT( EXP(2.21*(I1886-1)) + EXP(2.21*(J1886-1)) + EXP(2.21*(K1886-1)) + EXP(2.21*(L1886-1)) + EXP(2.21*M1886)   )/100*2.45 )</f>
        <v/>
      </c>
    </row>
    <row r="1887" spans="8:15">
      <c r="H1887" s="1178"/>
      <c r="I1887" s="1178"/>
      <c r="J1887" s="1178"/>
      <c r="K1887" s="1178"/>
      <c r="L1887" s="1178"/>
      <c r="M1887" s="1178"/>
      <c r="N1887" s="1212" t="str">
        <f>IF( OR( ISBLANK(H1887),ISBLANK(J1887), ISBLANK(K1887), ISBLANK(L1887), ISBLANK(M1887) ), "", 1.5*SQRT(   EXP(2.21*(H1887-1)) + EXP(2.21*(J1887-1)) + EXP(2.21*(K1887-1)) + EXP(2.21*(L1887-1)) + EXP(2.21*M1887)   )/100*2.45 )</f>
        <v/>
      </c>
      <c r="O1887" s="1212" t="str">
        <f>IF( OR( ISBLANK(I1887),ISBLANK(J1887), ISBLANK(K1887), ISBLANK(L1887), ISBLANK(M1887) ), "", 1.5*SQRT( EXP(2.21*(I1887-1)) + EXP(2.21*(J1887-1)) + EXP(2.21*(K1887-1)) + EXP(2.21*(L1887-1)) + EXP(2.21*M1887)   )/100*2.45 )</f>
        <v/>
      </c>
    </row>
    <row r="1888" spans="8:15">
      <c r="H1888" s="1178"/>
      <c r="I1888" s="1178"/>
      <c r="J1888" s="1178"/>
      <c r="K1888" s="1178"/>
      <c r="L1888" s="1178"/>
      <c r="M1888" s="1178"/>
      <c r="N1888" s="1212" t="str">
        <f>IF( OR( ISBLANK(H1888),ISBLANK(J1888), ISBLANK(K1888), ISBLANK(L1888), ISBLANK(M1888) ), "", 1.5*SQRT(   EXP(2.21*(H1888-1)) + EXP(2.21*(J1888-1)) + EXP(2.21*(K1888-1)) + EXP(2.21*(L1888-1)) + EXP(2.21*M1888)   )/100*2.45 )</f>
        <v/>
      </c>
      <c r="O1888" s="1212" t="str">
        <f>IF( OR( ISBLANK(I1888),ISBLANK(J1888), ISBLANK(K1888), ISBLANK(L1888), ISBLANK(M1888) ), "", 1.5*SQRT( EXP(2.21*(I1888-1)) + EXP(2.21*(J1888-1)) + EXP(2.21*(K1888-1)) + EXP(2.21*(L1888-1)) + EXP(2.21*M1888)   )/100*2.45 )</f>
        <v/>
      </c>
    </row>
    <row r="1889" spans="8:15">
      <c r="H1889" s="1178"/>
      <c r="I1889" s="1178"/>
      <c r="J1889" s="1178"/>
      <c r="K1889" s="1178"/>
      <c r="L1889" s="1178"/>
      <c r="M1889" s="1178"/>
      <c r="N1889" s="1212" t="str">
        <f>IF( OR( ISBLANK(H1889),ISBLANK(J1889), ISBLANK(K1889), ISBLANK(L1889), ISBLANK(M1889) ), "", 1.5*SQRT(   EXP(2.21*(H1889-1)) + EXP(2.21*(J1889-1)) + EXP(2.21*(K1889-1)) + EXP(2.21*(L1889-1)) + EXP(2.21*M1889)   )/100*2.45 )</f>
        <v/>
      </c>
      <c r="O1889" s="1212" t="str">
        <f>IF( OR( ISBLANK(I1889),ISBLANK(J1889), ISBLANK(K1889), ISBLANK(L1889), ISBLANK(M1889) ), "", 1.5*SQRT( EXP(2.21*(I1889-1)) + EXP(2.21*(J1889-1)) + EXP(2.21*(K1889-1)) + EXP(2.21*(L1889-1)) + EXP(2.21*M1889)   )/100*2.45 )</f>
        <v/>
      </c>
    </row>
    <row r="1890" spans="8:15">
      <c r="H1890" s="1178"/>
      <c r="I1890" s="1178"/>
      <c r="J1890" s="1178"/>
      <c r="K1890" s="1178"/>
      <c r="L1890" s="1178"/>
      <c r="M1890" s="1178"/>
      <c r="N1890" s="1212" t="str">
        <f>IF( OR( ISBLANK(H1890),ISBLANK(J1890), ISBLANK(K1890), ISBLANK(L1890), ISBLANK(M1890) ), "", 1.5*SQRT(   EXP(2.21*(H1890-1)) + EXP(2.21*(J1890-1)) + EXP(2.21*(K1890-1)) + EXP(2.21*(L1890-1)) + EXP(2.21*M1890)   )/100*2.45 )</f>
        <v/>
      </c>
      <c r="O1890" s="1212" t="str">
        <f>IF( OR( ISBLANK(I1890),ISBLANK(J1890), ISBLANK(K1890), ISBLANK(L1890), ISBLANK(M1890) ), "", 1.5*SQRT( EXP(2.21*(I1890-1)) + EXP(2.21*(J1890-1)) + EXP(2.21*(K1890-1)) + EXP(2.21*(L1890-1)) + EXP(2.21*M1890)   )/100*2.45 )</f>
        <v/>
      </c>
    </row>
    <row r="1891" spans="8:15">
      <c r="H1891" s="1178"/>
      <c r="I1891" s="1178"/>
      <c r="J1891" s="1178"/>
      <c r="K1891" s="1178"/>
      <c r="L1891" s="1178"/>
      <c r="M1891" s="1178"/>
      <c r="N1891" s="1212" t="str">
        <f>IF( OR( ISBLANK(H1891),ISBLANK(J1891), ISBLANK(K1891), ISBLANK(L1891), ISBLANK(M1891) ), "", 1.5*SQRT(   EXP(2.21*(H1891-1)) + EXP(2.21*(J1891-1)) + EXP(2.21*(K1891-1)) + EXP(2.21*(L1891-1)) + EXP(2.21*M1891)   )/100*2.45 )</f>
        <v/>
      </c>
      <c r="O1891" s="1212" t="str">
        <f>IF( OR( ISBLANK(I1891),ISBLANK(J1891), ISBLANK(K1891), ISBLANK(L1891), ISBLANK(M1891) ), "", 1.5*SQRT( EXP(2.21*(I1891-1)) + EXP(2.21*(J1891-1)) + EXP(2.21*(K1891-1)) + EXP(2.21*(L1891-1)) + EXP(2.21*M1891)   )/100*2.45 )</f>
        <v/>
      </c>
    </row>
    <row r="1892" spans="8:15">
      <c r="H1892" s="1178"/>
      <c r="I1892" s="1178"/>
      <c r="J1892" s="1178"/>
      <c r="K1892" s="1178"/>
      <c r="L1892" s="1178"/>
      <c r="M1892" s="1178"/>
      <c r="N1892" s="1212" t="str">
        <f>IF( OR( ISBLANK(H1892),ISBLANK(J1892), ISBLANK(K1892), ISBLANK(L1892), ISBLANK(M1892) ), "", 1.5*SQRT(   EXP(2.21*(H1892-1)) + EXP(2.21*(J1892-1)) + EXP(2.21*(K1892-1)) + EXP(2.21*(L1892-1)) + EXP(2.21*M1892)   )/100*2.45 )</f>
        <v/>
      </c>
      <c r="O1892" s="1212" t="str">
        <f>IF( OR( ISBLANK(I1892),ISBLANK(J1892), ISBLANK(K1892), ISBLANK(L1892), ISBLANK(M1892) ), "", 1.5*SQRT( EXP(2.21*(I1892-1)) + EXP(2.21*(J1892-1)) + EXP(2.21*(K1892-1)) + EXP(2.21*(L1892-1)) + EXP(2.21*M1892)   )/100*2.45 )</f>
        <v/>
      </c>
    </row>
    <row r="1893" spans="8:15">
      <c r="H1893" s="1178"/>
      <c r="I1893" s="1178"/>
      <c r="J1893" s="1178"/>
      <c r="K1893" s="1178"/>
      <c r="L1893" s="1178"/>
      <c r="M1893" s="1178"/>
      <c r="N1893" s="1212" t="str">
        <f>IF( OR( ISBLANK(H1893),ISBLANK(J1893), ISBLANK(K1893), ISBLANK(L1893), ISBLANK(M1893) ), "", 1.5*SQRT(   EXP(2.21*(H1893-1)) + EXP(2.21*(J1893-1)) + EXP(2.21*(K1893-1)) + EXP(2.21*(L1893-1)) + EXP(2.21*M1893)   )/100*2.45 )</f>
        <v/>
      </c>
      <c r="O1893" s="1212" t="str">
        <f>IF( OR( ISBLANK(I1893),ISBLANK(J1893), ISBLANK(K1893), ISBLANK(L1893), ISBLANK(M1893) ), "", 1.5*SQRT( EXP(2.21*(I1893-1)) + EXP(2.21*(J1893-1)) + EXP(2.21*(K1893-1)) + EXP(2.21*(L1893-1)) + EXP(2.21*M1893)   )/100*2.45 )</f>
        <v/>
      </c>
    </row>
    <row r="1894" spans="8:15">
      <c r="H1894" s="1178"/>
      <c r="I1894" s="1178"/>
      <c r="J1894" s="1178"/>
      <c r="K1894" s="1178"/>
      <c r="L1894" s="1178"/>
      <c r="M1894" s="1178"/>
      <c r="N1894" s="1212" t="str">
        <f>IF( OR( ISBLANK(H1894),ISBLANK(J1894), ISBLANK(K1894), ISBLANK(L1894), ISBLANK(M1894) ), "", 1.5*SQRT(   EXP(2.21*(H1894-1)) + EXP(2.21*(J1894-1)) + EXP(2.21*(K1894-1)) + EXP(2.21*(L1894-1)) + EXP(2.21*M1894)   )/100*2.45 )</f>
        <v/>
      </c>
      <c r="O1894" s="1212" t="str">
        <f>IF( OR( ISBLANK(I1894),ISBLANK(J1894), ISBLANK(K1894), ISBLANK(L1894), ISBLANK(M1894) ), "", 1.5*SQRT( EXP(2.21*(I1894-1)) + EXP(2.21*(J1894-1)) + EXP(2.21*(K1894-1)) + EXP(2.21*(L1894-1)) + EXP(2.21*M1894)   )/100*2.45 )</f>
        <v/>
      </c>
    </row>
    <row r="1895" spans="8:15">
      <c r="H1895" s="1178"/>
      <c r="I1895" s="1178"/>
      <c r="J1895" s="1178"/>
      <c r="K1895" s="1178"/>
      <c r="L1895" s="1178"/>
      <c r="M1895" s="1178"/>
      <c r="N1895" s="1212" t="str">
        <f>IF( OR( ISBLANK(H1895),ISBLANK(J1895), ISBLANK(K1895), ISBLANK(L1895), ISBLANK(M1895) ), "", 1.5*SQRT(   EXP(2.21*(H1895-1)) + EXP(2.21*(J1895-1)) + EXP(2.21*(K1895-1)) + EXP(2.21*(L1895-1)) + EXP(2.21*M1895)   )/100*2.45 )</f>
        <v/>
      </c>
      <c r="O1895" s="1212" t="str">
        <f>IF( OR( ISBLANK(I1895),ISBLANK(J1895), ISBLANK(K1895), ISBLANK(L1895), ISBLANK(M1895) ), "", 1.5*SQRT( EXP(2.21*(I1895-1)) + EXP(2.21*(J1895-1)) + EXP(2.21*(K1895-1)) + EXP(2.21*(L1895-1)) + EXP(2.21*M1895)   )/100*2.45 )</f>
        <v/>
      </c>
    </row>
    <row r="1896" spans="8:15">
      <c r="H1896" s="1178"/>
      <c r="I1896" s="1178"/>
      <c r="J1896" s="1178"/>
      <c r="K1896" s="1178"/>
      <c r="L1896" s="1178"/>
      <c r="M1896" s="1178"/>
      <c r="N1896" s="1212" t="str">
        <f>IF( OR( ISBLANK(H1896),ISBLANK(J1896), ISBLANK(K1896), ISBLANK(L1896), ISBLANK(M1896) ), "", 1.5*SQRT(   EXP(2.21*(H1896-1)) + EXP(2.21*(J1896-1)) + EXP(2.21*(K1896-1)) + EXP(2.21*(L1896-1)) + EXP(2.21*M1896)   )/100*2.45 )</f>
        <v/>
      </c>
      <c r="O1896" s="1212" t="str">
        <f>IF( OR( ISBLANK(I1896),ISBLANK(J1896), ISBLANK(K1896), ISBLANK(L1896), ISBLANK(M1896) ), "", 1.5*SQRT( EXP(2.21*(I1896-1)) + EXP(2.21*(J1896-1)) + EXP(2.21*(K1896-1)) + EXP(2.21*(L1896-1)) + EXP(2.21*M1896)   )/100*2.45 )</f>
        <v/>
      </c>
    </row>
    <row r="1897" spans="8:15">
      <c r="H1897" s="1178"/>
      <c r="I1897" s="1178"/>
      <c r="J1897" s="1178"/>
      <c r="K1897" s="1178"/>
      <c r="L1897" s="1178"/>
      <c r="M1897" s="1178"/>
      <c r="N1897" s="1212" t="str">
        <f>IF( OR( ISBLANK(H1897),ISBLANK(J1897), ISBLANK(K1897), ISBLANK(L1897), ISBLANK(M1897) ), "", 1.5*SQRT(   EXP(2.21*(H1897-1)) + EXP(2.21*(J1897-1)) + EXP(2.21*(K1897-1)) + EXP(2.21*(L1897-1)) + EXP(2.21*M1897)   )/100*2.45 )</f>
        <v/>
      </c>
      <c r="O1897" s="1212" t="str">
        <f>IF( OR( ISBLANK(I1897),ISBLANK(J1897), ISBLANK(K1897), ISBLANK(L1897), ISBLANK(M1897) ), "", 1.5*SQRT( EXP(2.21*(I1897-1)) + EXP(2.21*(J1897-1)) + EXP(2.21*(K1897-1)) + EXP(2.21*(L1897-1)) + EXP(2.21*M1897)   )/100*2.45 )</f>
        <v/>
      </c>
    </row>
    <row r="1898" spans="8:15">
      <c r="H1898" s="1178"/>
      <c r="I1898" s="1178"/>
      <c r="J1898" s="1178"/>
      <c r="K1898" s="1178"/>
      <c r="L1898" s="1178"/>
      <c r="M1898" s="1178"/>
      <c r="N1898" s="1212" t="str">
        <f>IF( OR( ISBLANK(H1898),ISBLANK(J1898), ISBLANK(K1898), ISBLANK(L1898), ISBLANK(M1898) ), "", 1.5*SQRT(   EXP(2.21*(H1898-1)) + EXP(2.21*(J1898-1)) + EXP(2.21*(K1898-1)) + EXP(2.21*(L1898-1)) + EXP(2.21*M1898)   )/100*2.45 )</f>
        <v/>
      </c>
      <c r="O1898" s="1212" t="str">
        <f>IF( OR( ISBLANK(I1898),ISBLANK(J1898), ISBLANK(K1898), ISBLANK(L1898), ISBLANK(M1898) ), "", 1.5*SQRT( EXP(2.21*(I1898-1)) + EXP(2.21*(J1898-1)) + EXP(2.21*(K1898-1)) + EXP(2.21*(L1898-1)) + EXP(2.21*M1898)   )/100*2.45 )</f>
        <v/>
      </c>
    </row>
    <row r="1899" spans="8:15">
      <c r="H1899" s="1178"/>
      <c r="I1899" s="1178"/>
      <c r="J1899" s="1178"/>
      <c r="K1899" s="1178"/>
      <c r="L1899" s="1178"/>
      <c r="M1899" s="1178"/>
      <c r="N1899" s="1212" t="str">
        <f>IF( OR( ISBLANK(H1899),ISBLANK(J1899), ISBLANK(K1899), ISBLANK(L1899), ISBLANK(M1899) ), "", 1.5*SQRT(   EXP(2.21*(H1899-1)) + EXP(2.21*(J1899-1)) + EXP(2.21*(K1899-1)) + EXP(2.21*(L1899-1)) + EXP(2.21*M1899)   )/100*2.45 )</f>
        <v/>
      </c>
      <c r="O1899" s="1212" t="str">
        <f>IF( OR( ISBLANK(I1899),ISBLANK(J1899), ISBLANK(K1899), ISBLANK(L1899), ISBLANK(M1899) ), "", 1.5*SQRT( EXP(2.21*(I1899-1)) + EXP(2.21*(J1899-1)) + EXP(2.21*(K1899-1)) + EXP(2.21*(L1899-1)) + EXP(2.21*M1899)   )/100*2.45 )</f>
        <v/>
      </c>
    </row>
    <row r="1900" spans="8:15">
      <c r="H1900" s="1178"/>
      <c r="I1900" s="1178"/>
      <c r="J1900" s="1178"/>
      <c r="K1900" s="1178"/>
      <c r="L1900" s="1178"/>
      <c r="M1900" s="1178"/>
      <c r="N1900" s="1212" t="str">
        <f>IF( OR( ISBLANK(H1900),ISBLANK(J1900), ISBLANK(K1900), ISBLANK(L1900), ISBLANK(M1900) ), "", 1.5*SQRT(   EXP(2.21*(H1900-1)) + EXP(2.21*(J1900-1)) + EXP(2.21*(K1900-1)) + EXP(2.21*(L1900-1)) + EXP(2.21*M1900)   )/100*2.45 )</f>
        <v/>
      </c>
      <c r="O1900" s="1212" t="str">
        <f>IF( OR( ISBLANK(I1900),ISBLANK(J1900), ISBLANK(K1900), ISBLANK(L1900), ISBLANK(M1900) ), "", 1.5*SQRT( EXP(2.21*(I1900-1)) + EXP(2.21*(J1900-1)) + EXP(2.21*(K1900-1)) + EXP(2.21*(L1900-1)) + EXP(2.21*M1900)   )/100*2.45 )</f>
        <v/>
      </c>
    </row>
    <row r="1901" spans="8:15">
      <c r="H1901" s="1178"/>
      <c r="I1901" s="1178"/>
      <c r="J1901" s="1178"/>
      <c r="K1901" s="1178"/>
      <c r="L1901" s="1178"/>
      <c r="M1901" s="1178"/>
      <c r="N1901" s="1212" t="str">
        <f>IF( OR( ISBLANK(H1901),ISBLANK(J1901), ISBLANK(K1901), ISBLANK(L1901), ISBLANK(M1901) ), "", 1.5*SQRT(   EXP(2.21*(H1901-1)) + EXP(2.21*(J1901-1)) + EXP(2.21*(K1901-1)) + EXP(2.21*(L1901-1)) + EXP(2.21*M1901)   )/100*2.45 )</f>
        <v/>
      </c>
      <c r="O1901" s="1212" t="str">
        <f>IF( OR( ISBLANK(I1901),ISBLANK(J1901), ISBLANK(K1901), ISBLANK(L1901), ISBLANK(M1901) ), "", 1.5*SQRT( EXP(2.21*(I1901-1)) + EXP(2.21*(J1901-1)) + EXP(2.21*(K1901-1)) + EXP(2.21*(L1901-1)) + EXP(2.21*M1901)   )/100*2.45 )</f>
        <v/>
      </c>
    </row>
    <row r="1902" spans="8:15">
      <c r="H1902" s="1178"/>
      <c r="I1902" s="1178"/>
      <c r="J1902" s="1178"/>
      <c r="K1902" s="1178"/>
      <c r="L1902" s="1178"/>
      <c r="M1902" s="1178"/>
      <c r="N1902" s="1212" t="str">
        <f>IF( OR( ISBLANK(H1902),ISBLANK(J1902), ISBLANK(K1902), ISBLANK(L1902), ISBLANK(M1902) ), "", 1.5*SQRT(   EXP(2.21*(H1902-1)) + EXP(2.21*(J1902-1)) + EXP(2.21*(K1902-1)) + EXP(2.21*(L1902-1)) + EXP(2.21*M1902)   )/100*2.45 )</f>
        <v/>
      </c>
      <c r="O1902" s="1212" t="str">
        <f>IF( OR( ISBLANK(I1902),ISBLANK(J1902), ISBLANK(K1902), ISBLANK(L1902), ISBLANK(M1902) ), "", 1.5*SQRT( EXP(2.21*(I1902-1)) + EXP(2.21*(J1902-1)) + EXP(2.21*(K1902-1)) + EXP(2.21*(L1902-1)) + EXP(2.21*M1902)   )/100*2.45 )</f>
        <v/>
      </c>
    </row>
    <row r="1903" spans="8:15">
      <c r="H1903" s="1178"/>
      <c r="I1903" s="1178"/>
      <c r="J1903" s="1178"/>
      <c r="K1903" s="1178"/>
      <c r="L1903" s="1178"/>
      <c r="M1903" s="1178"/>
      <c r="N1903" s="1212" t="str">
        <f>IF( OR( ISBLANK(H1903),ISBLANK(J1903), ISBLANK(K1903), ISBLANK(L1903), ISBLANK(M1903) ), "", 1.5*SQRT(   EXP(2.21*(H1903-1)) + EXP(2.21*(J1903-1)) + EXP(2.21*(K1903-1)) + EXP(2.21*(L1903-1)) + EXP(2.21*M1903)   )/100*2.45 )</f>
        <v/>
      </c>
      <c r="O1903" s="1212" t="str">
        <f>IF( OR( ISBLANK(I1903),ISBLANK(J1903), ISBLANK(K1903), ISBLANK(L1903), ISBLANK(M1903) ), "", 1.5*SQRT( EXP(2.21*(I1903-1)) + EXP(2.21*(J1903-1)) + EXP(2.21*(K1903-1)) + EXP(2.21*(L1903-1)) + EXP(2.21*M1903)   )/100*2.45 )</f>
        <v/>
      </c>
    </row>
    <row r="1904" spans="8:15">
      <c r="H1904" s="1178"/>
      <c r="I1904" s="1178"/>
      <c r="J1904" s="1178"/>
      <c r="K1904" s="1178"/>
      <c r="L1904" s="1178"/>
      <c r="M1904" s="1178"/>
      <c r="N1904" s="1212" t="str">
        <f>IF( OR( ISBLANK(H1904),ISBLANK(J1904), ISBLANK(K1904), ISBLANK(L1904), ISBLANK(M1904) ), "", 1.5*SQRT(   EXP(2.21*(H1904-1)) + EXP(2.21*(J1904-1)) + EXP(2.21*(K1904-1)) + EXP(2.21*(L1904-1)) + EXP(2.21*M1904)   )/100*2.45 )</f>
        <v/>
      </c>
      <c r="O1904" s="1212" t="str">
        <f>IF( OR( ISBLANK(I1904),ISBLANK(J1904), ISBLANK(K1904), ISBLANK(L1904), ISBLANK(M1904) ), "", 1.5*SQRT( EXP(2.21*(I1904-1)) + EXP(2.21*(J1904-1)) + EXP(2.21*(K1904-1)) + EXP(2.21*(L1904-1)) + EXP(2.21*M1904)   )/100*2.45 )</f>
        <v/>
      </c>
    </row>
    <row r="1905" spans="8:15">
      <c r="H1905" s="1178"/>
      <c r="I1905" s="1178"/>
      <c r="J1905" s="1178"/>
      <c r="K1905" s="1178"/>
      <c r="L1905" s="1178"/>
      <c r="M1905" s="1178"/>
      <c r="N1905" s="1212" t="str">
        <f>IF( OR( ISBLANK(H1905),ISBLANK(J1905), ISBLANK(K1905), ISBLANK(L1905), ISBLANK(M1905) ), "", 1.5*SQRT(   EXP(2.21*(H1905-1)) + EXP(2.21*(J1905-1)) + EXP(2.21*(K1905-1)) + EXP(2.21*(L1905-1)) + EXP(2.21*M1905)   )/100*2.45 )</f>
        <v/>
      </c>
      <c r="O1905" s="1212" t="str">
        <f>IF( OR( ISBLANK(I1905),ISBLANK(J1905), ISBLANK(K1905), ISBLANK(L1905), ISBLANK(M1905) ), "", 1.5*SQRT( EXP(2.21*(I1905-1)) + EXP(2.21*(J1905-1)) + EXP(2.21*(K1905-1)) + EXP(2.21*(L1905-1)) + EXP(2.21*M1905)   )/100*2.45 )</f>
        <v/>
      </c>
    </row>
    <row r="1906" spans="8:15">
      <c r="H1906" s="1178"/>
      <c r="I1906" s="1178"/>
      <c r="J1906" s="1178"/>
      <c r="K1906" s="1178"/>
      <c r="L1906" s="1178"/>
      <c r="M1906" s="1178"/>
      <c r="N1906" s="1212" t="str">
        <f>IF( OR( ISBLANK(H1906),ISBLANK(J1906), ISBLANK(K1906), ISBLANK(L1906), ISBLANK(M1906) ), "", 1.5*SQRT(   EXP(2.21*(H1906-1)) + EXP(2.21*(J1906-1)) + EXP(2.21*(K1906-1)) + EXP(2.21*(L1906-1)) + EXP(2.21*M1906)   )/100*2.45 )</f>
        <v/>
      </c>
      <c r="O1906" s="1212" t="str">
        <f>IF( OR( ISBLANK(I1906),ISBLANK(J1906), ISBLANK(K1906), ISBLANK(L1906), ISBLANK(M1906) ), "", 1.5*SQRT( EXP(2.21*(I1906-1)) + EXP(2.21*(J1906-1)) + EXP(2.21*(K1906-1)) + EXP(2.21*(L1906-1)) + EXP(2.21*M1906)   )/100*2.45 )</f>
        <v/>
      </c>
    </row>
    <row r="1907" spans="8:15">
      <c r="H1907" s="1178"/>
      <c r="I1907" s="1178"/>
      <c r="J1907" s="1178"/>
      <c r="K1907" s="1178"/>
      <c r="L1907" s="1178"/>
      <c r="M1907" s="1178"/>
      <c r="N1907" s="1212" t="str">
        <f>IF( OR( ISBLANK(H1907),ISBLANK(J1907), ISBLANK(K1907), ISBLANK(L1907), ISBLANK(M1907) ), "", 1.5*SQRT(   EXP(2.21*(H1907-1)) + EXP(2.21*(J1907-1)) + EXP(2.21*(K1907-1)) + EXP(2.21*(L1907-1)) + EXP(2.21*M1907)   )/100*2.45 )</f>
        <v/>
      </c>
      <c r="O1907" s="1212" t="str">
        <f>IF( OR( ISBLANK(I1907),ISBLANK(J1907), ISBLANK(K1907), ISBLANK(L1907), ISBLANK(M1907) ), "", 1.5*SQRT( EXP(2.21*(I1907-1)) + EXP(2.21*(J1907-1)) + EXP(2.21*(K1907-1)) + EXP(2.21*(L1907-1)) + EXP(2.21*M1907)   )/100*2.45 )</f>
        <v/>
      </c>
    </row>
    <row r="1908" spans="8:15">
      <c r="H1908" s="1178"/>
      <c r="I1908" s="1178"/>
      <c r="J1908" s="1178"/>
      <c r="K1908" s="1178"/>
      <c r="L1908" s="1178"/>
      <c r="M1908" s="1178"/>
      <c r="N1908" s="1212" t="str">
        <f>IF( OR( ISBLANK(H1908),ISBLANK(J1908), ISBLANK(K1908), ISBLANK(L1908), ISBLANK(M1908) ), "", 1.5*SQRT(   EXP(2.21*(H1908-1)) + EXP(2.21*(J1908-1)) + EXP(2.21*(K1908-1)) + EXP(2.21*(L1908-1)) + EXP(2.21*M1908)   )/100*2.45 )</f>
        <v/>
      </c>
      <c r="O1908" s="1212" t="str">
        <f>IF( OR( ISBLANK(I1908),ISBLANK(J1908), ISBLANK(K1908), ISBLANK(L1908), ISBLANK(M1908) ), "", 1.5*SQRT( EXP(2.21*(I1908-1)) + EXP(2.21*(J1908-1)) + EXP(2.21*(K1908-1)) + EXP(2.21*(L1908-1)) + EXP(2.21*M1908)   )/100*2.45 )</f>
        <v/>
      </c>
    </row>
    <row r="1909" spans="8:15">
      <c r="H1909" s="1178"/>
      <c r="I1909" s="1178"/>
      <c r="J1909" s="1178"/>
      <c r="K1909" s="1178"/>
      <c r="L1909" s="1178"/>
      <c r="M1909" s="1178"/>
      <c r="N1909" s="1212" t="str">
        <f>IF( OR( ISBLANK(H1909),ISBLANK(J1909), ISBLANK(K1909), ISBLANK(L1909), ISBLANK(M1909) ), "", 1.5*SQRT(   EXP(2.21*(H1909-1)) + EXP(2.21*(J1909-1)) + EXP(2.21*(K1909-1)) + EXP(2.21*(L1909-1)) + EXP(2.21*M1909)   )/100*2.45 )</f>
        <v/>
      </c>
      <c r="O1909" s="1212" t="str">
        <f>IF( OR( ISBLANK(I1909),ISBLANK(J1909), ISBLANK(K1909), ISBLANK(L1909), ISBLANK(M1909) ), "", 1.5*SQRT( EXP(2.21*(I1909-1)) + EXP(2.21*(J1909-1)) + EXP(2.21*(K1909-1)) + EXP(2.21*(L1909-1)) + EXP(2.21*M1909)   )/100*2.45 )</f>
        <v/>
      </c>
    </row>
    <row r="1910" spans="8:15">
      <c r="H1910" s="1178"/>
      <c r="I1910" s="1178"/>
      <c r="J1910" s="1178"/>
      <c r="K1910" s="1178"/>
      <c r="L1910" s="1178"/>
      <c r="M1910" s="1178"/>
      <c r="N1910" s="1212" t="str">
        <f>IF( OR( ISBLANK(H1910),ISBLANK(J1910), ISBLANK(K1910), ISBLANK(L1910), ISBLANK(M1910) ), "", 1.5*SQRT(   EXP(2.21*(H1910-1)) + EXP(2.21*(J1910-1)) + EXP(2.21*(K1910-1)) + EXP(2.21*(L1910-1)) + EXP(2.21*M1910)   )/100*2.45 )</f>
        <v/>
      </c>
      <c r="O1910" s="1212" t="str">
        <f>IF( OR( ISBLANK(I1910),ISBLANK(J1910), ISBLANK(K1910), ISBLANK(L1910), ISBLANK(M1910) ), "", 1.5*SQRT( EXP(2.21*(I1910-1)) + EXP(2.21*(J1910-1)) + EXP(2.21*(K1910-1)) + EXP(2.21*(L1910-1)) + EXP(2.21*M1910)   )/100*2.45 )</f>
        <v/>
      </c>
    </row>
    <row r="1911" spans="8:15">
      <c r="H1911" s="1178"/>
      <c r="I1911" s="1178"/>
      <c r="J1911" s="1178"/>
      <c r="K1911" s="1178"/>
      <c r="L1911" s="1178"/>
      <c r="M1911" s="1178"/>
      <c r="N1911" s="1212" t="str">
        <f>IF( OR( ISBLANK(H1911),ISBLANK(J1911), ISBLANK(K1911), ISBLANK(L1911), ISBLANK(M1911) ), "", 1.5*SQRT(   EXP(2.21*(H1911-1)) + EXP(2.21*(J1911-1)) + EXP(2.21*(K1911-1)) + EXP(2.21*(L1911-1)) + EXP(2.21*M1911)   )/100*2.45 )</f>
        <v/>
      </c>
      <c r="O1911" s="1212" t="str">
        <f>IF( OR( ISBLANK(I1911),ISBLANK(J1911), ISBLANK(K1911), ISBLANK(L1911), ISBLANK(M1911) ), "", 1.5*SQRT( EXP(2.21*(I1911-1)) + EXP(2.21*(J1911-1)) + EXP(2.21*(K1911-1)) + EXP(2.21*(L1911-1)) + EXP(2.21*M1911)   )/100*2.45 )</f>
        <v/>
      </c>
    </row>
    <row r="1912" spans="8:15">
      <c r="H1912" s="1178"/>
      <c r="I1912" s="1178"/>
      <c r="J1912" s="1178"/>
      <c r="K1912" s="1178"/>
      <c r="L1912" s="1178"/>
      <c r="M1912" s="1178"/>
      <c r="N1912" s="1212" t="str">
        <f>IF( OR( ISBLANK(H1912),ISBLANK(J1912), ISBLANK(K1912), ISBLANK(L1912), ISBLANK(M1912) ), "", 1.5*SQRT(   EXP(2.21*(H1912-1)) + EXP(2.21*(J1912-1)) + EXP(2.21*(K1912-1)) + EXP(2.21*(L1912-1)) + EXP(2.21*M1912)   )/100*2.45 )</f>
        <v/>
      </c>
      <c r="O1912" s="1212" t="str">
        <f>IF( OR( ISBLANK(I1912),ISBLANK(J1912), ISBLANK(K1912), ISBLANK(L1912), ISBLANK(M1912) ), "", 1.5*SQRT( EXP(2.21*(I1912-1)) + EXP(2.21*(J1912-1)) + EXP(2.21*(K1912-1)) + EXP(2.21*(L1912-1)) + EXP(2.21*M1912)   )/100*2.45 )</f>
        <v/>
      </c>
    </row>
    <row r="1913" spans="8:15">
      <c r="H1913" s="1178"/>
      <c r="I1913" s="1178"/>
      <c r="J1913" s="1178"/>
      <c r="K1913" s="1178"/>
      <c r="L1913" s="1178"/>
      <c r="M1913" s="1178"/>
      <c r="N1913" s="1212" t="str">
        <f>IF( OR( ISBLANK(H1913),ISBLANK(J1913), ISBLANK(K1913), ISBLANK(L1913), ISBLANK(M1913) ), "", 1.5*SQRT(   EXP(2.21*(H1913-1)) + EXP(2.21*(J1913-1)) + EXP(2.21*(K1913-1)) + EXP(2.21*(L1913-1)) + EXP(2.21*M1913)   )/100*2.45 )</f>
        <v/>
      </c>
      <c r="O1913" s="1212" t="str">
        <f>IF( OR( ISBLANK(I1913),ISBLANK(J1913), ISBLANK(K1913), ISBLANK(L1913), ISBLANK(M1913) ), "", 1.5*SQRT( EXP(2.21*(I1913-1)) + EXP(2.21*(J1913-1)) + EXP(2.21*(K1913-1)) + EXP(2.21*(L1913-1)) + EXP(2.21*M1913)   )/100*2.45 )</f>
        <v/>
      </c>
    </row>
    <row r="1914" spans="8:15">
      <c r="H1914" s="1178"/>
      <c r="I1914" s="1178"/>
      <c r="J1914" s="1178"/>
      <c r="K1914" s="1178"/>
      <c r="L1914" s="1178"/>
      <c r="M1914" s="1178"/>
      <c r="N1914" s="1212" t="str">
        <f>IF( OR( ISBLANK(H1914),ISBLANK(J1914), ISBLANK(K1914), ISBLANK(L1914), ISBLANK(M1914) ), "", 1.5*SQRT(   EXP(2.21*(H1914-1)) + EXP(2.21*(J1914-1)) + EXP(2.21*(K1914-1)) + EXP(2.21*(L1914-1)) + EXP(2.21*M1914)   )/100*2.45 )</f>
        <v/>
      </c>
      <c r="O1914" s="1212" t="str">
        <f>IF( OR( ISBLANK(I1914),ISBLANK(J1914), ISBLANK(K1914), ISBLANK(L1914), ISBLANK(M1914) ), "", 1.5*SQRT( EXP(2.21*(I1914-1)) + EXP(2.21*(J1914-1)) + EXP(2.21*(K1914-1)) + EXP(2.21*(L1914-1)) + EXP(2.21*M1914)   )/100*2.45 )</f>
        <v/>
      </c>
    </row>
    <row r="1915" spans="8:15">
      <c r="H1915" s="1178"/>
      <c r="I1915" s="1178"/>
      <c r="J1915" s="1178"/>
      <c r="K1915" s="1178"/>
      <c r="L1915" s="1178"/>
      <c r="M1915" s="1178"/>
      <c r="N1915" s="1212" t="str">
        <f>IF( OR( ISBLANK(H1915),ISBLANK(J1915), ISBLANK(K1915), ISBLANK(L1915), ISBLANK(M1915) ), "", 1.5*SQRT(   EXP(2.21*(H1915-1)) + EXP(2.21*(J1915-1)) + EXP(2.21*(K1915-1)) + EXP(2.21*(L1915-1)) + EXP(2.21*M1915)   )/100*2.45 )</f>
        <v/>
      </c>
      <c r="O1915" s="1212" t="str">
        <f>IF( OR( ISBLANK(I1915),ISBLANK(J1915), ISBLANK(K1915), ISBLANK(L1915), ISBLANK(M1915) ), "", 1.5*SQRT( EXP(2.21*(I1915-1)) + EXP(2.21*(J1915-1)) + EXP(2.21*(K1915-1)) + EXP(2.21*(L1915-1)) + EXP(2.21*M1915)   )/100*2.45 )</f>
        <v/>
      </c>
    </row>
    <row r="1916" spans="8:15">
      <c r="H1916" s="1178"/>
      <c r="I1916" s="1178"/>
      <c r="J1916" s="1178"/>
      <c r="K1916" s="1178"/>
      <c r="L1916" s="1178"/>
      <c r="M1916" s="1178"/>
      <c r="N1916" s="1212" t="str">
        <f>IF( OR( ISBLANK(H1916),ISBLANK(J1916), ISBLANK(K1916), ISBLANK(L1916), ISBLANK(M1916) ), "", 1.5*SQRT(   EXP(2.21*(H1916-1)) + EXP(2.21*(J1916-1)) + EXP(2.21*(K1916-1)) + EXP(2.21*(L1916-1)) + EXP(2.21*M1916)   )/100*2.45 )</f>
        <v/>
      </c>
      <c r="O1916" s="1212" t="str">
        <f>IF( OR( ISBLANK(I1916),ISBLANK(J1916), ISBLANK(K1916), ISBLANK(L1916), ISBLANK(M1916) ), "", 1.5*SQRT( EXP(2.21*(I1916-1)) + EXP(2.21*(J1916-1)) + EXP(2.21*(K1916-1)) + EXP(2.21*(L1916-1)) + EXP(2.21*M1916)   )/100*2.45 )</f>
        <v/>
      </c>
    </row>
    <row r="1917" spans="8:15">
      <c r="H1917" s="1178"/>
      <c r="I1917" s="1178"/>
      <c r="J1917" s="1178"/>
      <c r="K1917" s="1178"/>
      <c r="L1917" s="1178"/>
      <c r="M1917" s="1178"/>
      <c r="N1917" s="1212" t="str">
        <f>IF( OR( ISBLANK(H1917),ISBLANK(J1917), ISBLANK(K1917), ISBLANK(L1917), ISBLANK(M1917) ), "", 1.5*SQRT(   EXP(2.21*(H1917-1)) + EXP(2.21*(J1917-1)) + EXP(2.21*(K1917-1)) + EXP(2.21*(L1917-1)) + EXP(2.21*M1917)   )/100*2.45 )</f>
        <v/>
      </c>
      <c r="O1917" s="1212" t="str">
        <f>IF( OR( ISBLANK(I1917),ISBLANK(J1917), ISBLANK(K1917), ISBLANK(L1917), ISBLANK(M1917) ), "", 1.5*SQRT( EXP(2.21*(I1917-1)) + EXP(2.21*(J1917-1)) + EXP(2.21*(K1917-1)) + EXP(2.21*(L1917-1)) + EXP(2.21*M1917)   )/100*2.45 )</f>
        <v/>
      </c>
    </row>
    <row r="1918" spans="8:15">
      <c r="H1918" s="1178"/>
      <c r="I1918" s="1178"/>
      <c r="J1918" s="1178"/>
      <c r="K1918" s="1178"/>
      <c r="L1918" s="1178"/>
      <c r="M1918" s="1178"/>
      <c r="N1918" s="1212" t="str">
        <f>IF( OR( ISBLANK(H1918),ISBLANK(J1918), ISBLANK(K1918), ISBLANK(L1918), ISBLANK(M1918) ), "", 1.5*SQRT(   EXP(2.21*(H1918-1)) + EXP(2.21*(J1918-1)) + EXP(2.21*(K1918-1)) + EXP(2.21*(L1918-1)) + EXP(2.21*M1918)   )/100*2.45 )</f>
        <v/>
      </c>
      <c r="O1918" s="1212" t="str">
        <f>IF( OR( ISBLANK(I1918),ISBLANK(J1918), ISBLANK(K1918), ISBLANK(L1918), ISBLANK(M1918) ), "", 1.5*SQRT( EXP(2.21*(I1918-1)) + EXP(2.21*(J1918-1)) + EXP(2.21*(K1918-1)) + EXP(2.21*(L1918-1)) + EXP(2.21*M1918)   )/100*2.45 )</f>
        <v/>
      </c>
    </row>
    <row r="1919" spans="8:15">
      <c r="H1919" s="1178"/>
      <c r="I1919" s="1178"/>
      <c r="J1919" s="1178"/>
      <c r="K1919" s="1178"/>
      <c r="L1919" s="1178"/>
      <c r="M1919" s="1178"/>
      <c r="N1919" s="1212" t="str">
        <f>IF( OR( ISBLANK(H1919),ISBLANK(J1919), ISBLANK(K1919), ISBLANK(L1919), ISBLANK(M1919) ), "", 1.5*SQRT(   EXP(2.21*(H1919-1)) + EXP(2.21*(J1919-1)) + EXP(2.21*(K1919-1)) + EXP(2.21*(L1919-1)) + EXP(2.21*M1919)   )/100*2.45 )</f>
        <v/>
      </c>
      <c r="O1919" s="1212" t="str">
        <f>IF( OR( ISBLANK(I1919),ISBLANK(J1919), ISBLANK(K1919), ISBLANK(L1919), ISBLANK(M1919) ), "", 1.5*SQRT( EXP(2.21*(I1919-1)) + EXP(2.21*(J1919-1)) + EXP(2.21*(K1919-1)) + EXP(2.21*(L1919-1)) + EXP(2.21*M1919)   )/100*2.45 )</f>
        <v/>
      </c>
    </row>
    <row r="1920" spans="8:15">
      <c r="H1920" s="1178"/>
      <c r="I1920" s="1178"/>
      <c r="J1920" s="1178"/>
      <c r="K1920" s="1178"/>
      <c r="L1920" s="1178"/>
      <c r="M1920" s="1178"/>
      <c r="N1920" s="1212" t="str">
        <f>IF( OR( ISBLANK(H1920),ISBLANK(J1920), ISBLANK(K1920), ISBLANK(L1920), ISBLANK(M1920) ), "", 1.5*SQRT(   EXP(2.21*(H1920-1)) + EXP(2.21*(J1920-1)) + EXP(2.21*(K1920-1)) + EXP(2.21*(L1920-1)) + EXP(2.21*M1920)   )/100*2.45 )</f>
        <v/>
      </c>
      <c r="O1920" s="1212" t="str">
        <f>IF( OR( ISBLANK(I1920),ISBLANK(J1920), ISBLANK(K1920), ISBLANK(L1920), ISBLANK(M1920) ), "", 1.5*SQRT( EXP(2.21*(I1920-1)) + EXP(2.21*(J1920-1)) + EXP(2.21*(K1920-1)) + EXP(2.21*(L1920-1)) + EXP(2.21*M1920)   )/100*2.45 )</f>
        <v/>
      </c>
    </row>
    <row r="1921" spans="8:15">
      <c r="H1921" s="1178"/>
      <c r="I1921" s="1178"/>
      <c r="J1921" s="1178"/>
      <c r="K1921" s="1178"/>
      <c r="L1921" s="1178"/>
      <c r="M1921" s="1178"/>
      <c r="N1921" s="1212" t="str">
        <f>IF( OR( ISBLANK(H1921),ISBLANK(J1921), ISBLANK(K1921), ISBLANK(L1921), ISBLANK(M1921) ), "", 1.5*SQRT(   EXP(2.21*(H1921-1)) + EXP(2.21*(J1921-1)) + EXP(2.21*(K1921-1)) + EXP(2.21*(L1921-1)) + EXP(2.21*M1921)   )/100*2.45 )</f>
        <v/>
      </c>
      <c r="O1921" s="1212" t="str">
        <f>IF( OR( ISBLANK(I1921),ISBLANK(J1921), ISBLANK(K1921), ISBLANK(L1921), ISBLANK(M1921) ), "", 1.5*SQRT( EXP(2.21*(I1921-1)) + EXP(2.21*(J1921-1)) + EXP(2.21*(K1921-1)) + EXP(2.21*(L1921-1)) + EXP(2.21*M1921)   )/100*2.45 )</f>
        <v/>
      </c>
    </row>
    <row r="1922" spans="8:15">
      <c r="H1922" s="1178"/>
      <c r="I1922" s="1178"/>
      <c r="J1922" s="1178"/>
      <c r="K1922" s="1178"/>
      <c r="L1922" s="1178"/>
      <c r="M1922" s="1178"/>
      <c r="N1922" s="1212" t="str">
        <f>IF( OR( ISBLANK(H1922),ISBLANK(J1922), ISBLANK(K1922), ISBLANK(L1922), ISBLANK(M1922) ), "", 1.5*SQRT(   EXP(2.21*(H1922-1)) + EXP(2.21*(J1922-1)) + EXP(2.21*(K1922-1)) + EXP(2.21*(L1922-1)) + EXP(2.21*M1922)   )/100*2.45 )</f>
        <v/>
      </c>
      <c r="O1922" s="1212" t="str">
        <f>IF( OR( ISBLANK(I1922),ISBLANK(J1922), ISBLANK(K1922), ISBLANK(L1922), ISBLANK(M1922) ), "", 1.5*SQRT( EXP(2.21*(I1922-1)) + EXP(2.21*(J1922-1)) + EXP(2.21*(K1922-1)) + EXP(2.21*(L1922-1)) + EXP(2.21*M1922)   )/100*2.45 )</f>
        <v/>
      </c>
    </row>
    <row r="1923" spans="8:15">
      <c r="H1923" s="1178"/>
      <c r="I1923" s="1178"/>
      <c r="J1923" s="1178"/>
      <c r="K1923" s="1178"/>
      <c r="L1923" s="1178"/>
      <c r="M1923" s="1178"/>
      <c r="N1923" s="1212" t="str">
        <f>IF( OR( ISBLANK(H1923),ISBLANK(J1923), ISBLANK(K1923), ISBLANK(L1923), ISBLANK(M1923) ), "", 1.5*SQRT(   EXP(2.21*(H1923-1)) + EXP(2.21*(J1923-1)) + EXP(2.21*(K1923-1)) + EXP(2.21*(L1923-1)) + EXP(2.21*M1923)   )/100*2.45 )</f>
        <v/>
      </c>
      <c r="O1923" s="1212" t="str">
        <f>IF( OR( ISBLANK(I1923),ISBLANK(J1923), ISBLANK(K1923), ISBLANK(L1923), ISBLANK(M1923) ), "", 1.5*SQRT( EXP(2.21*(I1923-1)) + EXP(2.21*(J1923-1)) + EXP(2.21*(K1923-1)) + EXP(2.21*(L1923-1)) + EXP(2.21*M1923)   )/100*2.45 )</f>
        <v/>
      </c>
    </row>
    <row r="1924" spans="8:15">
      <c r="H1924" s="1178"/>
      <c r="I1924" s="1178"/>
      <c r="J1924" s="1178"/>
      <c r="K1924" s="1178"/>
      <c r="L1924" s="1178"/>
      <c r="M1924" s="1178"/>
      <c r="N1924" s="1212" t="str">
        <f>IF( OR( ISBLANK(H1924),ISBLANK(J1924), ISBLANK(K1924), ISBLANK(L1924), ISBLANK(M1924) ), "", 1.5*SQRT(   EXP(2.21*(H1924-1)) + EXP(2.21*(J1924-1)) + EXP(2.21*(K1924-1)) + EXP(2.21*(L1924-1)) + EXP(2.21*M1924)   )/100*2.45 )</f>
        <v/>
      </c>
      <c r="O1924" s="1212" t="str">
        <f>IF( OR( ISBLANK(I1924),ISBLANK(J1924), ISBLANK(K1924), ISBLANK(L1924), ISBLANK(M1924) ), "", 1.5*SQRT( EXP(2.21*(I1924-1)) + EXP(2.21*(J1924-1)) + EXP(2.21*(K1924-1)) + EXP(2.21*(L1924-1)) + EXP(2.21*M1924)   )/100*2.45 )</f>
        <v/>
      </c>
    </row>
    <row r="1925" spans="8:15">
      <c r="H1925" s="1178"/>
      <c r="I1925" s="1178"/>
      <c r="J1925" s="1178"/>
      <c r="K1925" s="1178"/>
      <c r="L1925" s="1178"/>
      <c r="M1925" s="1178"/>
      <c r="N1925" s="1212" t="str">
        <f>IF( OR( ISBLANK(H1925),ISBLANK(J1925), ISBLANK(K1925), ISBLANK(L1925), ISBLANK(M1925) ), "", 1.5*SQRT(   EXP(2.21*(H1925-1)) + EXP(2.21*(J1925-1)) + EXP(2.21*(K1925-1)) + EXP(2.21*(L1925-1)) + EXP(2.21*M1925)   )/100*2.45 )</f>
        <v/>
      </c>
      <c r="O1925" s="1212" t="str">
        <f>IF( OR( ISBLANK(I1925),ISBLANK(J1925), ISBLANK(K1925), ISBLANK(L1925), ISBLANK(M1925) ), "", 1.5*SQRT( EXP(2.21*(I1925-1)) + EXP(2.21*(J1925-1)) + EXP(2.21*(K1925-1)) + EXP(2.21*(L1925-1)) + EXP(2.21*M1925)   )/100*2.45 )</f>
        <v/>
      </c>
    </row>
    <row r="1926" spans="8:15">
      <c r="H1926" s="1178"/>
      <c r="I1926" s="1178"/>
      <c r="J1926" s="1178"/>
      <c r="K1926" s="1178"/>
      <c r="L1926" s="1178"/>
      <c r="M1926" s="1178"/>
      <c r="N1926" s="1212" t="str">
        <f>IF( OR( ISBLANK(H1926),ISBLANK(J1926), ISBLANK(K1926), ISBLANK(L1926), ISBLANK(M1926) ), "", 1.5*SQRT(   EXP(2.21*(H1926-1)) + EXP(2.21*(J1926-1)) + EXP(2.21*(K1926-1)) + EXP(2.21*(L1926-1)) + EXP(2.21*M1926)   )/100*2.45 )</f>
        <v/>
      </c>
      <c r="O1926" s="1212" t="str">
        <f>IF( OR( ISBLANK(I1926),ISBLANK(J1926), ISBLANK(K1926), ISBLANK(L1926), ISBLANK(M1926) ), "", 1.5*SQRT( EXP(2.21*(I1926-1)) + EXP(2.21*(J1926-1)) + EXP(2.21*(K1926-1)) + EXP(2.21*(L1926-1)) + EXP(2.21*M1926)   )/100*2.45 )</f>
        <v/>
      </c>
    </row>
    <row r="1927" spans="8:15">
      <c r="H1927" s="1178"/>
      <c r="I1927" s="1178"/>
      <c r="J1927" s="1178"/>
      <c r="K1927" s="1178"/>
      <c r="L1927" s="1178"/>
      <c r="M1927" s="1178"/>
      <c r="N1927" s="1212" t="str">
        <f>IF( OR( ISBLANK(H1927),ISBLANK(J1927), ISBLANK(K1927), ISBLANK(L1927), ISBLANK(M1927) ), "", 1.5*SQRT(   EXP(2.21*(H1927-1)) + EXP(2.21*(J1927-1)) + EXP(2.21*(K1927-1)) + EXP(2.21*(L1927-1)) + EXP(2.21*M1927)   )/100*2.45 )</f>
        <v/>
      </c>
      <c r="O1927" s="1212" t="str">
        <f>IF( OR( ISBLANK(I1927),ISBLANK(J1927), ISBLANK(K1927), ISBLANK(L1927), ISBLANK(M1927) ), "", 1.5*SQRT( EXP(2.21*(I1927-1)) + EXP(2.21*(J1927-1)) + EXP(2.21*(K1927-1)) + EXP(2.21*(L1927-1)) + EXP(2.21*M1927)   )/100*2.45 )</f>
        <v/>
      </c>
    </row>
    <row r="1928" spans="8:15">
      <c r="H1928" s="1178"/>
      <c r="I1928" s="1178"/>
      <c r="J1928" s="1178"/>
      <c r="K1928" s="1178"/>
      <c r="L1928" s="1178"/>
      <c r="M1928" s="1178"/>
      <c r="N1928" s="1212" t="str">
        <f>IF( OR( ISBLANK(H1928),ISBLANK(J1928), ISBLANK(K1928), ISBLANK(L1928), ISBLANK(M1928) ), "", 1.5*SQRT(   EXP(2.21*(H1928-1)) + EXP(2.21*(J1928-1)) + EXP(2.21*(K1928-1)) + EXP(2.21*(L1928-1)) + EXP(2.21*M1928)   )/100*2.45 )</f>
        <v/>
      </c>
      <c r="O1928" s="1212" t="str">
        <f>IF( OR( ISBLANK(I1928),ISBLANK(J1928), ISBLANK(K1928), ISBLANK(L1928), ISBLANK(M1928) ), "", 1.5*SQRT( EXP(2.21*(I1928-1)) + EXP(2.21*(J1928-1)) + EXP(2.21*(K1928-1)) + EXP(2.21*(L1928-1)) + EXP(2.21*M1928)   )/100*2.45 )</f>
        <v/>
      </c>
    </row>
    <row r="1929" spans="8:15">
      <c r="H1929" s="1178"/>
      <c r="I1929" s="1178"/>
      <c r="J1929" s="1178"/>
      <c r="K1929" s="1178"/>
      <c r="L1929" s="1178"/>
      <c r="M1929" s="1178"/>
      <c r="N1929" s="1212" t="str">
        <f>IF( OR( ISBLANK(H1929),ISBLANK(J1929), ISBLANK(K1929), ISBLANK(L1929), ISBLANK(M1929) ), "", 1.5*SQRT(   EXP(2.21*(H1929-1)) + EXP(2.21*(J1929-1)) + EXP(2.21*(K1929-1)) + EXP(2.21*(L1929-1)) + EXP(2.21*M1929)   )/100*2.45 )</f>
        <v/>
      </c>
      <c r="O1929" s="1212" t="str">
        <f>IF( OR( ISBLANK(I1929),ISBLANK(J1929), ISBLANK(K1929), ISBLANK(L1929), ISBLANK(M1929) ), "", 1.5*SQRT( EXP(2.21*(I1929-1)) + EXP(2.21*(J1929-1)) + EXP(2.21*(K1929-1)) + EXP(2.21*(L1929-1)) + EXP(2.21*M1929)   )/100*2.45 )</f>
        <v/>
      </c>
    </row>
    <row r="1930" spans="8:15">
      <c r="H1930" s="1178"/>
      <c r="I1930" s="1178"/>
      <c r="J1930" s="1178"/>
      <c r="K1930" s="1178"/>
      <c r="L1930" s="1178"/>
      <c r="M1930" s="1178"/>
      <c r="N1930" s="1212" t="str">
        <f>IF( OR( ISBLANK(H1930),ISBLANK(J1930), ISBLANK(K1930), ISBLANK(L1930), ISBLANK(M1930) ), "", 1.5*SQRT(   EXP(2.21*(H1930-1)) + EXP(2.21*(J1930-1)) + EXP(2.21*(K1930-1)) + EXP(2.21*(L1930-1)) + EXP(2.21*M1930)   )/100*2.45 )</f>
        <v/>
      </c>
      <c r="O1930" s="1212" t="str">
        <f>IF( OR( ISBLANK(I1930),ISBLANK(J1930), ISBLANK(K1930), ISBLANK(L1930), ISBLANK(M1930) ), "", 1.5*SQRT( EXP(2.21*(I1930-1)) + EXP(2.21*(J1930-1)) + EXP(2.21*(K1930-1)) + EXP(2.21*(L1930-1)) + EXP(2.21*M1930)   )/100*2.45 )</f>
        <v/>
      </c>
    </row>
    <row r="1931" spans="8:15">
      <c r="H1931" s="1178"/>
      <c r="I1931" s="1178"/>
      <c r="J1931" s="1178"/>
      <c r="K1931" s="1178"/>
      <c r="L1931" s="1178"/>
      <c r="M1931" s="1178"/>
      <c r="N1931" s="1212" t="str">
        <f>IF( OR( ISBLANK(H1931),ISBLANK(J1931), ISBLANK(K1931), ISBLANK(L1931), ISBLANK(M1931) ), "", 1.5*SQRT(   EXP(2.21*(H1931-1)) + EXP(2.21*(J1931-1)) + EXP(2.21*(K1931-1)) + EXP(2.21*(L1931-1)) + EXP(2.21*M1931)   )/100*2.45 )</f>
        <v/>
      </c>
      <c r="O1931" s="1212" t="str">
        <f>IF( OR( ISBLANK(I1931),ISBLANK(J1931), ISBLANK(K1931), ISBLANK(L1931), ISBLANK(M1931) ), "", 1.5*SQRT( EXP(2.21*(I1931-1)) + EXP(2.21*(J1931-1)) + EXP(2.21*(K1931-1)) + EXP(2.21*(L1931-1)) + EXP(2.21*M1931)   )/100*2.45 )</f>
        <v/>
      </c>
    </row>
    <row r="1932" spans="8:15">
      <c r="H1932" s="1178"/>
      <c r="I1932" s="1178"/>
      <c r="J1932" s="1178"/>
      <c r="K1932" s="1178"/>
      <c r="L1932" s="1178"/>
      <c r="M1932" s="1178"/>
      <c r="N1932" s="1212" t="str">
        <f>IF( OR( ISBLANK(H1932),ISBLANK(J1932), ISBLANK(K1932), ISBLANK(L1932), ISBLANK(M1932) ), "", 1.5*SQRT(   EXP(2.21*(H1932-1)) + EXP(2.21*(J1932-1)) + EXP(2.21*(K1932-1)) + EXP(2.21*(L1932-1)) + EXP(2.21*M1932)   )/100*2.45 )</f>
        <v/>
      </c>
      <c r="O1932" s="1212" t="str">
        <f>IF( OR( ISBLANK(I1932),ISBLANK(J1932), ISBLANK(K1932), ISBLANK(L1932), ISBLANK(M1932) ), "", 1.5*SQRT( EXP(2.21*(I1932-1)) + EXP(2.21*(J1932-1)) + EXP(2.21*(K1932-1)) + EXP(2.21*(L1932-1)) + EXP(2.21*M1932)   )/100*2.45 )</f>
        <v/>
      </c>
    </row>
    <row r="1933" spans="8:15">
      <c r="H1933" s="1178"/>
      <c r="I1933" s="1178"/>
      <c r="J1933" s="1178"/>
      <c r="K1933" s="1178"/>
      <c r="L1933" s="1178"/>
      <c r="M1933" s="1178"/>
      <c r="N1933" s="1212" t="str">
        <f>IF( OR( ISBLANK(H1933),ISBLANK(J1933), ISBLANK(K1933), ISBLANK(L1933), ISBLANK(M1933) ), "", 1.5*SQRT(   EXP(2.21*(H1933-1)) + EXP(2.21*(J1933-1)) + EXP(2.21*(K1933-1)) + EXP(2.21*(L1933-1)) + EXP(2.21*M1933)   )/100*2.45 )</f>
        <v/>
      </c>
      <c r="O1933" s="1212" t="str">
        <f>IF( OR( ISBLANK(I1933),ISBLANK(J1933), ISBLANK(K1933), ISBLANK(L1933), ISBLANK(M1933) ), "", 1.5*SQRT( EXP(2.21*(I1933-1)) + EXP(2.21*(J1933-1)) + EXP(2.21*(K1933-1)) + EXP(2.21*(L1933-1)) + EXP(2.21*M1933)   )/100*2.45 )</f>
        <v/>
      </c>
    </row>
    <row r="1934" spans="8:15">
      <c r="H1934" s="1178"/>
      <c r="I1934" s="1178"/>
      <c r="J1934" s="1178"/>
      <c r="K1934" s="1178"/>
      <c r="L1934" s="1178"/>
      <c r="M1934" s="1178"/>
      <c r="N1934" s="1212" t="str">
        <f>IF( OR( ISBLANK(H1934),ISBLANK(J1934), ISBLANK(K1934), ISBLANK(L1934), ISBLANK(M1934) ), "", 1.5*SQRT(   EXP(2.21*(H1934-1)) + EXP(2.21*(J1934-1)) + EXP(2.21*(K1934-1)) + EXP(2.21*(L1934-1)) + EXP(2.21*M1934)   )/100*2.45 )</f>
        <v/>
      </c>
      <c r="O1934" s="1212" t="str">
        <f>IF( OR( ISBLANK(I1934),ISBLANK(J1934), ISBLANK(K1934), ISBLANK(L1934), ISBLANK(M1934) ), "", 1.5*SQRT( EXP(2.21*(I1934-1)) + EXP(2.21*(J1934-1)) + EXP(2.21*(K1934-1)) + EXP(2.21*(L1934-1)) + EXP(2.21*M1934)   )/100*2.45 )</f>
        <v/>
      </c>
    </row>
    <row r="1935" spans="8:15">
      <c r="H1935" s="1178"/>
      <c r="I1935" s="1178"/>
      <c r="J1935" s="1178"/>
      <c r="K1935" s="1178"/>
      <c r="L1935" s="1178"/>
      <c r="M1935" s="1178"/>
      <c r="N1935" s="1212" t="str">
        <f>IF( OR( ISBLANK(H1935),ISBLANK(J1935), ISBLANK(K1935), ISBLANK(L1935), ISBLANK(M1935) ), "", 1.5*SQRT(   EXP(2.21*(H1935-1)) + EXP(2.21*(J1935-1)) + EXP(2.21*(K1935-1)) + EXP(2.21*(L1935-1)) + EXP(2.21*M1935)   )/100*2.45 )</f>
        <v/>
      </c>
      <c r="O1935" s="1212" t="str">
        <f>IF( OR( ISBLANK(I1935),ISBLANK(J1935), ISBLANK(K1935), ISBLANK(L1935), ISBLANK(M1935) ), "", 1.5*SQRT( EXP(2.21*(I1935-1)) + EXP(2.21*(J1935-1)) + EXP(2.21*(K1935-1)) + EXP(2.21*(L1935-1)) + EXP(2.21*M1935)   )/100*2.45 )</f>
        <v/>
      </c>
    </row>
    <row r="1936" spans="8:15">
      <c r="H1936" s="1178"/>
      <c r="I1936" s="1178"/>
      <c r="J1936" s="1178"/>
      <c r="K1936" s="1178"/>
      <c r="L1936" s="1178"/>
      <c r="M1936" s="1178"/>
      <c r="N1936" s="1212" t="str">
        <f>IF( OR( ISBLANK(H1936),ISBLANK(J1936), ISBLANK(K1936), ISBLANK(L1936), ISBLANK(M1936) ), "", 1.5*SQRT(   EXP(2.21*(H1936-1)) + EXP(2.21*(J1936-1)) + EXP(2.21*(K1936-1)) + EXP(2.21*(L1936-1)) + EXP(2.21*M1936)   )/100*2.45 )</f>
        <v/>
      </c>
      <c r="O1936" s="1212" t="str">
        <f>IF( OR( ISBLANK(I1936),ISBLANK(J1936), ISBLANK(K1936), ISBLANK(L1936), ISBLANK(M1936) ), "", 1.5*SQRT( EXP(2.21*(I1936-1)) + EXP(2.21*(J1936-1)) + EXP(2.21*(K1936-1)) + EXP(2.21*(L1936-1)) + EXP(2.21*M1936)   )/100*2.45 )</f>
        <v/>
      </c>
    </row>
    <row r="1937" spans="8:15">
      <c r="H1937" s="1178"/>
      <c r="I1937" s="1178"/>
      <c r="J1937" s="1178"/>
      <c r="K1937" s="1178"/>
      <c r="L1937" s="1178"/>
      <c r="M1937" s="1178"/>
      <c r="N1937" s="1212" t="str">
        <f>IF( OR( ISBLANK(H1937),ISBLANK(J1937), ISBLANK(K1937), ISBLANK(L1937), ISBLANK(M1937) ), "", 1.5*SQRT(   EXP(2.21*(H1937-1)) + EXP(2.21*(J1937-1)) + EXP(2.21*(K1937-1)) + EXP(2.21*(L1937-1)) + EXP(2.21*M1937)   )/100*2.45 )</f>
        <v/>
      </c>
      <c r="O1937" s="1212" t="str">
        <f>IF( OR( ISBLANK(I1937),ISBLANK(J1937), ISBLANK(K1937), ISBLANK(L1937), ISBLANK(M1937) ), "", 1.5*SQRT( EXP(2.21*(I1937-1)) + EXP(2.21*(J1937-1)) + EXP(2.21*(K1937-1)) + EXP(2.21*(L1937-1)) + EXP(2.21*M1937)   )/100*2.45 )</f>
        <v/>
      </c>
    </row>
    <row r="1938" spans="8:15">
      <c r="H1938" s="1178"/>
      <c r="I1938" s="1178"/>
      <c r="J1938" s="1178"/>
      <c r="K1938" s="1178"/>
      <c r="L1938" s="1178"/>
      <c r="M1938" s="1178"/>
      <c r="N1938" s="1212" t="str">
        <f>IF( OR( ISBLANK(H1938),ISBLANK(J1938), ISBLANK(K1938), ISBLANK(L1938), ISBLANK(M1938) ), "", 1.5*SQRT(   EXP(2.21*(H1938-1)) + EXP(2.21*(J1938-1)) + EXP(2.21*(K1938-1)) + EXP(2.21*(L1938-1)) + EXP(2.21*M1938)   )/100*2.45 )</f>
        <v/>
      </c>
      <c r="O1938" s="1212" t="str">
        <f>IF( OR( ISBLANK(I1938),ISBLANK(J1938), ISBLANK(K1938), ISBLANK(L1938), ISBLANK(M1938) ), "", 1.5*SQRT( EXP(2.21*(I1938-1)) + EXP(2.21*(J1938-1)) + EXP(2.21*(K1938-1)) + EXP(2.21*(L1938-1)) + EXP(2.21*M1938)   )/100*2.45 )</f>
        <v/>
      </c>
    </row>
    <row r="1939" spans="8:15">
      <c r="H1939" s="1178"/>
      <c r="I1939" s="1178"/>
      <c r="J1939" s="1178"/>
      <c r="K1939" s="1178"/>
      <c r="L1939" s="1178"/>
      <c r="M1939" s="1178"/>
      <c r="N1939" s="1212" t="str">
        <f>IF( OR( ISBLANK(H1939),ISBLANK(J1939), ISBLANK(K1939), ISBLANK(L1939), ISBLANK(M1939) ), "", 1.5*SQRT(   EXP(2.21*(H1939-1)) + EXP(2.21*(J1939-1)) + EXP(2.21*(K1939-1)) + EXP(2.21*(L1939-1)) + EXP(2.21*M1939)   )/100*2.45 )</f>
        <v/>
      </c>
      <c r="O1939" s="1212" t="str">
        <f>IF( OR( ISBLANK(I1939),ISBLANK(J1939), ISBLANK(K1939), ISBLANK(L1939), ISBLANK(M1939) ), "", 1.5*SQRT( EXP(2.21*(I1939-1)) + EXP(2.21*(J1939-1)) + EXP(2.21*(K1939-1)) + EXP(2.21*(L1939-1)) + EXP(2.21*M1939)   )/100*2.45 )</f>
        <v/>
      </c>
    </row>
    <row r="1940" spans="8:15">
      <c r="H1940" s="1178"/>
      <c r="I1940" s="1178"/>
      <c r="J1940" s="1178"/>
      <c r="K1940" s="1178"/>
      <c r="L1940" s="1178"/>
      <c r="M1940" s="1178"/>
      <c r="N1940" s="1212" t="str">
        <f>IF( OR( ISBLANK(H1940),ISBLANK(J1940), ISBLANK(K1940), ISBLANK(L1940), ISBLANK(M1940) ), "", 1.5*SQRT(   EXP(2.21*(H1940-1)) + EXP(2.21*(J1940-1)) + EXP(2.21*(K1940-1)) + EXP(2.21*(L1940-1)) + EXP(2.21*M1940)   )/100*2.45 )</f>
        <v/>
      </c>
      <c r="O1940" s="1212" t="str">
        <f>IF( OR( ISBLANK(I1940),ISBLANK(J1940), ISBLANK(K1940), ISBLANK(L1940), ISBLANK(M1940) ), "", 1.5*SQRT( EXP(2.21*(I1940-1)) + EXP(2.21*(J1940-1)) + EXP(2.21*(K1940-1)) + EXP(2.21*(L1940-1)) + EXP(2.21*M1940)   )/100*2.45 )</f>
        <v/>
      </c>
    </row>
    <row r="1941" spans="8:15">
      <c r="H1941" s="1178"/>
      <c r="I1941" s="1178"/>
      <c r="J1941" s="1178"/>
      <c r="K1941" s="1178"/>
      <c r="L1941" s="1178"/>
      <c r="M1941" s="1178"/>
      <c r="N1941" s="1212" t="str">
        <f>IF( OR( ISBLANK(H1941),ISBLANK(J1941), ISBLANK(K1941), ISBLANK(L1941), ISBLANK(M1941) ), "", 1.5*SQRT(   EXP(2.21*(H1941-1)) + EXP(2.21*(J1941-1)) + EXP(2.21*(K1941-1)) + EXP(2.21*(L1941-1)) + EXP(2.21*M1941)   )/100*2.45 )</f>
        <v/>
      </c>
      <c r="O1941" s="1212" t="str">
        <f>IF( OR( ISBLANK(I1941),ISBLANK(J1941), ISBLANK(K1941), ISBLANK(L1941), ISBLANK(M1941) ), "", 1.5*SQRT( EXP(2.21*(I1941-1)) + EXP(2.21*(J1941-1)) + EXP(2.21*(K1941-1)) + EXP(2.21*(L1941-1)) + EXP(2.21*M1941)   )/100*2.45 )</f>
        <v/>
      </c>
    </row>
    <row r="1942" spans="8:15">
      <c r="H1942" s="1178"/>
      <c r="I1942" s="1178"/>
      <c r="J1942" s="1178"/>
      <c r="K1942" s="1178"/>
      <c r="L1942" s="1178"/>
      <c r="M1942" s="1178"/>
      <c r="N1942" s="1212" t="str">
        <f>IF( OR( ISBLANK(H1942),ISBLANK(J1942), ISBLANK(K1942), ISBLANK(L1942), ISBLANK(M1942) ), "", 1.5*SQRT(   EXP(2.21*(H1942-1)) + EXP(2.21*(J1942-1)) + EXP(2.21*(K1942-1)) + EXP(2.21*(L1942-1)) + EXP(2.21*M1942)   )/100*2.45 )</f>
        <v/>
      </c>
      <c r="O1942" s="1212" t="str">
        <f>IF( OR( ISBLANK(I1942),ISBLANK(J1942), ISBLANK(K1942), ISBLANK(L1942), ISBLANK(M1942) ), "", 1.5*SQRT( EXP(2.21*(I1942-1)) + EXP(2.21*(J1942-1)) + EXP(2.21*(K1942-1)) + EXP(2.21*(L1942-1)) + EXP(2.21*M1942)   )/100*2.45 )</f>
        <v/>
      </c>
    </row>
    <row r="1943" spans="8:15">
      <c r="H1943" s="1178"/>
      <c r="I1943" s="1178"/>
      <c r="J1943" s="1178"/>
      <c r="K1943" s="1178"/>
      <c r="L1943" s="1178"/>
      <c r="M1943" s="1178"/>
      <c r="N1943" s="1212" t="str">
        <f>IF( OR( ISBLANK(H1943),ISBLANK(J1943), ISBLANK(K1943), ISBLANK(L1943), ISBLANK(M1943) ), "", 1.5*SQRT(   EXP(2.21*(H1943-1)) + EXP(2.21*(J1943-1)) + EXP(2.21*(K1943-1)) + EXP(2.21*(L1943-1)) + EXP(2.21*M1943)   )/100*2.45 )</f>
        <v/>
      </c>
      <c r="O1943" s="1212" t="str">
        <f>IF( OR( ISBLANK(I1943),ISBLANK(J1943), ISBLANK(K1943), ISBLANK(L1943), ISBLANK(M1943) ), "", 1.5*SQRT( EXP(2.21*(I1943-1)) + EXP(2.21*(J1943-1)) + EXP(2.21*(K1943-1)) + EXP(2.21*(L1943-1)) + EXP(2.21*M1943)   )/100*2.45 )</f>
        <v/>
      </c>
    </row>
    <row r="1944" spans="8:15">
      <c r="H1944" s="1178"/>
      <c r="I1944" s="1178"/>
      <c r="J1944" s="1178"/>
      <c r="K1944" s="1178"/>
      <c r="L1944" s="1178"/>
      <c r="M1944" s="1178"/>
      <c r="N1944" s="1212" t="str">
        <f>IF( OR( ISBLANK(H1944),ISBLANK(J1944), ISBLANK(K1944), ISBLANK(L1944), ISBLANK(M1944) ), "", 1.5*SQRT(   EXP(2.21*(H1944-1)) + EXP(2.21*(J1944-1)) + EXP(2.21*(K1944-1)) + EXP(2.21*(L1944-1)) + EXP(2.21*M1944)   )/100*2.45 )</f>
        <v/>
      </c>
      <c r="O1944" s="1212" t="str">
        <f>IF( OR( ISBLANK(I1944),ISBLANK(J1944), ISBLANK(K1944), ISBLANK(L1944), ISBLANK(M1944) ), "", 1.5*SQRT( EXP(2.21*(I1944-1)) + EXP(2.21*(J1944-1)) + EXP(2.21*(K1944-1)) + EXP(2.21*(L1944-1)) + EXP(2.21*M1944)   )/100*2.45 )</f>
        <v/>
      </c>
    </row>
    <row r="1945" spans="8:15">
      <c r="H1945" s="1178"/>
      <c r="I1945" s="1178"/>
      <c r="J1945" s="1178"/>
      <c r="K1945" s="1178"/>
      <c r="L1945" s="1178"/>
      <c r="M1945" s="1178"/>
      <c r="N1945" s="1212" t="str">
        <f>IF( OR( ISBLANK(H1945),ISBLANK(J1945), ISBLANK(K1945), ISBLANK(L1945), ISBLANK(M1945) ), "", 1.5*SQRT(   EXP(2.21*(H1945-1)) + EXP(2.21*(J1945-1)) + EXP(2.21*(K1945-1)) + EXP(2.21*(L1945-1)) + EXP(2.21*M1945)   )/100*2.45 )</f>
        <v/>
      </c>
      <c r="O1945" s="1212" t="str">
        <f>IF( OR( ISBLANK(I1945),ISBLANK(J1945), ISBLANK(K1945), ISBLANK(L1945), ISBLANK(M1945) ), "", 1.5*SQRT( EXP(2.21*(I1945-1)) + EXP(2.21*(J1945-1)) + EXP(2.21*(K1945-1)) + EXP(2.21*(L1945-1)) + EXP(2.21*M1945)   )/100*2.45 )</f>
        <v/>
      </c>
    </row>
    <row r="1946" spans="8:15">
      <c r="H1946" s="1178"/>
      <c r="I1946" s="1178"/>
      <c r="J1946" s="1178"/>
      <c r="K1946" s="1178"/>
      <c r="L1946" s="1178"/>
      <c r="M1946" s="1178"/>
      <c r="N1946" s="1212" t="str">
        <f>IF( OR( ISBLANK(H1946),ISBLANK(J1946), ISBLANK(K1946), ISBLANK(L1946), ISBLANK(M1946) ), "", 1.5*SQRT(   EXP(2.21*(H1946-1)) + EXP(2.21*(J1946-1)) + EXP(2.21*(K1946-1)) + EXP(2.21*(L1946-1)) + EXP(2.21*M1946)   )/100*2.45 )</f>
        <v/>
      </c>
      <c r="O1946" s="1212" t="str">
        <f>IF( OR( ISBLANK(I1946),ISBLANK(J1946), ISBLANK(K1946), ISBLANK(L1946), ISBLANK(M1946) ), "", 1.5*SQRT( EXP(2.21*(I1946-1)) + EXP(2.21*(J1946-1)) + EXP(2.21*(K1946-1)) + EXP(2.21*(L1946-1)) + EXP(2.21*M1946)   )/100*2.45 )</f>
        <v/>
      </c>
    </row>
    <row r="1947" spans="8:15">
      <c r="H1947" s="1178"/>
      <c r="I1947" s="1178"/>
      <c r="J1947" s="1178"/>
      <c r="K1947" s="1178"/>
      <c r="L1947" s="1178"/>
      <c r="M1947" s="1178"/>
      <c r="N1947" s="1212" t="str">
        <f>IF( OR( ISBLANK(H1947),ISBLANK(J1947), ISBLANK(K1947), ISBLANK(L1947), ISBLANK(M1947) ), "", 1.5*SQRT(   EXP(2.21*(H1947-1)) + EXP(2.21*(J1947-1)) + EXP(2.21*(K1947-1)) + EXP(2.21*(L1947-1)) + EXP(2.21*M1947)   )/100*2.45 )</f>
        <v/>
      </c>
      <c r="O1947" s="1212" t="str">
        <f>IF( OR( ISBLANK(I1947),ISBLANK(J1947), ISBLANK(K1947), ISBLANK(L1947), ISBLANK(M1947) ), "", 1.5*SQRT( EXP(2.21*(I1947-1)) + EXP(2.21*(J1947-1)) + EXP(2.21*(K1947-1)) + EXP(2.21*(L1947-1)) + EXP(2.21*M1947)   )/100*2.45 )</f>
        <v/>
      </c>
    </row>
    <row r="1948" spans="8:15">
      <c r="H1948" s="1178"/>
      <c r="I1948" s="1178"/>
      <c r="J1948" s="1178"/>
      <c r="K1948" s="1178"/>
      <c r="L1948" s="1178"/>
      <c r="M1948" s="1178"/>
      <c r="N1948" s="1212" t="str">
        <f>IF( OR( ISBLANK(H1948),ISBLANK(J1948), ISBLANK(K1948), ISBLANK(L1948), ISBLANK(M1948) ), "", 1.5*SQRT(   EXP(2.21*(H1948-1)) + EXP(2.21*(J1948-1)) + EXP(2.21*(K1948-1)) + EXP(2.21*(L1948-1)) + EXP(2.21*M1948)   )/100*2.45 )</f>
        <v/>
      </c>
      <c r="O1948" s="1212" t="str">
        <f>IF( OR( ISBLANK(I1948),ISBLANK(J1948), ISBLANK(K1948), ISBLANK(L1948), ISBLANK(M1948) ), "", 1.5*SQRT( EXP(2.21*(I1948-1)) + EXP(2.21*(J1948-1)) + EXP(2.21*(K1948-1)) + EXP(2.21*(L1948-1)) + EXP(2.21*M1948)   )/100*2.45 )</f>
        <v/>
      </c>
    </row>
    <row r="1949" spans="8:15">
      <c r="H1949" s="1178"/>
      <c r="I1949" s="1178"/>
      <c r="J1949" s="1178"/>
      <c r="K1949" s="1178"/>
      <c r="L1949" s="1178"/>
      <c r="M1949" s="1178"/>
      <c r="N1949" s="1212" t="str">
        <f>IF( OR( ISBLANK(H1949),ISBLANK(J1949), ISBLANK(K1949), ISBLANK(L1949), ISBLANK(M1949) ), "", 1.5*SQRT(   EXP(2.21*(H1949-1)) + EXP(2.21*(J1949-1)) + EXP(2.21*(K1949-1)) + EXP(2.21*(L1949-1)) + EXP(2.21*M1949)   )/100*2.45 )</f>
        <v/>
      </c>
      <c r="O1949" s="1212" t="str">
        <f>IF( OR( ISBLANK(I1949),ISBLANK(J1949), ISBLANK(K1949), ISBLANK(L1949), ISBLANK(M1949) ), "", 1.5*SQRT( EXP(2.21*(I1949-1)) + EXP(2.21*(J1949-1)) + EXP(2.21*(K1949-1)) + EXP(2.21*(L1949-1)) + EXP(2.21*M1949)   )/100*2.45 )</f>
        <v/>
      </c>
    </row>
    <row r="1950" spans="8:15">
      <c r="H1950" s="1178"/>
      <c r="I1950" s="1178"/>
      <c r="J1950" s="1178"/>
      <c r="K1950" s="1178"/>
      <c r="L1950" s="1178"/>
      <c r="M1950" s="1178"/>
      <c r="N1950" s="1212" t="str">
        <f>IF( OR( ISBLANK(H1950),ISBLANK(J1950), ISBLANK(K1950), ISBLANK(L1950), ISBLANK(M1950) ), "", 1.5*SQRT(   EXP(2.21*(H1950-1)) + EXP(2.21*(J1950-1)) + EXP(2.21*(K1950-1)) + EXP(2.21*(L1950-1)) + EXP(2.21*M1950)   )/100*2.45 )</f>
        <v/>
      </c>
      <c r="O1950" s="1212" t="str">
        <f>IF( OR( ISBLANK(I1950),ISBLANK(J1950), ISBLANK(K1950), ISBLANK(L1950), ISBLANK(M1950) ), "", 1.5*SQRT( EXP(2.21*(I1950-1)) + EXP(2.21*(J1950-1)) + EXP(2.21*(K1950-1)) + EXP(2.21*(L1950-1)) + EXP(2.21*M1950)   )/100*2.45 )</f>
        <v/>
      </c>
    </row>
    <row r="1951" spans="8:15">
      <c r="H1951" s="1178"/>
      <c r="I1951" s="1178"/>
      <c r="J1951" s="1178"/>
      <c r="K1951" s="1178"/>
      <c r="L1951" s="1178"/>
      <c r="M1951" s="1178"/>
      <c r="N1951" s="1212" t="str">
        <f>IF( OR( ISBLANK(H1951),ISBLANK(J1951), ISBLANK(K1951), ISBLANK(L1951), ISBLANK(M1951) ), "", 1.5*SQRT(   EXP(2.21*(H1951-1)) + EXP(2.21*(J1951-1)) + EXP(2.21*(K1951-1)) + EXP(2.21*(L1951-1)) + EXP(2.21*M1951)   )/100*2.45 )</f>
        <v/>
      </c>
      <c r="O1951" s="1212" t="str">
        <f>IF( OR( ISBLANK(I1951),ISBLANK(J1951), ISBLANK(K1951), ISBLANK(L1951), ISBLANK(M1951) ), "", 1.5*SQRT( EXP(2.21*(I1951-1)) + EXP(2.21*(J1951-1)) + EXP(2.21*(K1951-1)) + EXP(2.21*(L1951-1)) + EXP(2.21*M1951)   )/100*2.45 )</f>
        <v/>
      </c>
    </row>
    <row r="1952" spans="8:15">
      <c r="H1952" s="1178"/>
      <c r="I1952" s="1178"/>
      <c r="J1952" s="1178"/>
      <c r="K1952" s="1178"/>
      <c r="L1952" s="1178"/>
      <c r="M1952" s="1178"/>
      <c r="N1952" s="1212" t="str">
        <f>IF( OR( ISBLANK(H1952),ISBLANK(J1952), ISBLANK(K1952), ISBLANK(L1952), ISBLANK(M1952) ), "", 1.5*SQRT(   EXP(2.21*(H1952-1)) + EXP(2.21*(J1952-1)) + EXP(2.21*(K1952-1)) + EXP(2.21*(L1952-1)) + EXP(2.21*M1952)   )/100*2.45 )</f>
        <v/>
      </c>
      <c r="O1952" s="1212" t="str">
        <f>IF( OR( ISBLANK(I1952),ISBLANK(J1952), ISBLANK(K1952), ISBLANK(L1952), ISBLANK(M1952) ), "", 1.5*SQRT( EXP(2.21*(I1952-1)) + EXP(2.21*(J1952-1)) + EXP(2.21*(K1952-1)) + EXP(2.21*(L1952-1)) + EXP(2.21*M1952)   )/100*2.45 )</f>
        <v/>
      </c>
    </row>
    <row r="1953" spans="8:15">
      <c r="H1953" s="1178"/>
      <c r="I1953" s="1178"/>
      <c r="J1953" s="1178"/>
      <c r="K1953" s="1178"/>
      <c r="L1953" s="1178"/>
      <c r="M1953" s="1178"/>
      <c r="N1953" s="1212" t="str">
        <f>IF( OR( ISBLANK(H1953),ISBLANK(J1953), ISBLANK(K1953), ISBLANK(L1953), ISBLANK(M1953) ), "", 1.5*SQRT(   EXP(2.21*(H1953-1)) + EXP(2.21*(J1953-1)) + EXP(2.21*(K1953-1)) + EXP(2.21*(L1953-1)) + EXP(2.21*M1953)   )/100*2.45 )</f>
        <v/>
      </c>
      <c r="O1953" s="1212" t="str">
        <f>IF( OR( ISBLANK(I1953),ISBLANK(J1953), ISBLANK(K1953), ISBLANK(L1953), ISBLANK(M1953) ), "", 1.5*SQRT( EXP(2.21*(I1953-1)) + EXP(2.21*(J1953-1)) + EXP(2.21*(K1953-1)) + EXP(2.21*(L1953-1)) + EXP(2.21*M1953)   )/100*2.45 )</f>
        <v/>
      </c>
    </row>
    <row r="1954" spans="8:15">
      <c r="H1954" s="1178"/>
      <c r="I1954" s="1178"/>
      <c r="J1954" s="1178"/>
      <c r="K1954" s="1178"/>
      <c r="L1954" s="1178"/>
      <c r="M1954" s="1178"/>
      <c r="N1954" s="1212" t="str">
        <f>IF( OR( ISBLANK(H1954),ISBLANK(J1954), ISBLANK(K1954), ISBLANK(L1954), ISBLANK(M1954) ), "", 1.5*SQRT(   EXP(2.21*(H1954-1)) + EXP(2.21*(J1954-1)) + EXP(2.21*(K1954-1)) + EXP(2.21*(L1954-1)) + EXP(2.21*M1954)   )/100*2.45 )</f>
        <v/>
      </c>
      <c r="O1954" s="1212" t="str">
        <f>IF( OR( ISBLANK(I1954),ISBLANK(J1954), ISBLANK(K1954), ISBLANK(L1954), ISBLANK(M1954) ), "", 1.5*SQRT( EXP(2.21*(I1954-1)) + EXP(2.21*(J1954-1)) + EXP(2.21*(K1954-1)) + EXP(2.21*(L1954-1)) + EXP(2.21*M1954)   )/100*2.45 )</f>
        <v/>
      </c>
    </row>
    <row r="1955" spans="8:15">
      <c r="H1955" s="1178"/>
      <c r="I1955" s="1178"/>
      <c r="J1955" s="1178"/>
      <c r="K1955" s="1178"/>
      <c r="L1955" s="1178"/>
      <c r="M1955" s="1178"/>
      <c r="N1955" s="1212" t="str">
        <f>IF( OR( ISBLANK(H1955),ISBLANK(J1955), ISBLANK(K1955), ISBLANK(L1955), ISBLANK(M1955) ), "", 1.5*SQRT(   EXP(2.21*(H1955-1)) + EXP(2.21*(J1955-1)) + EXP(2.21*(K1955-1)) + EXP(2.21*(L1955-1)) + EXP(2.21*M1955)   )/100*2.45 )</f>
        <v/>
      </c>
      <c r="O1955" s="1212" t="str">
        <f>IF( OR( ISBLANK(I1955),ISBLANK(J1955), ISBLANK(K1955), ISBLANK(L1955), ISBLANK(M1955) ), "", 1.5*SQRT( EXP(2.21*(I1955-1)) + EXP(2.21*(J1955-1)) + EXP(2.21*(K1955-1)) + EXP(2.21*(L1955-1)) + EXP(2.21*M1955)   )/100*2.45 )</f>
        <v/>
      </c>
    </row>
    <row r="1956" spans="8:15">
      <c r="H1956" s="1178"/>
      <c r="I1956" s="1178"/>
      <c r="J1956" s="1178"/>
      <c r="K1956" s="1178"/>
      <c r="L1956" s="1178"/>
      <c r="M1956" s="1178"/>
      <c r="N1956" s="1212" t="str">
        <f>IF( OR( ISBLANK(H1956),ISBLANK(J1956), ISBLANK(K1956), ISBLANK(L1956), ISBLANK(M1956) ), "", 1.5*SQRT(   EXP(2.21*(H1956-1)) + EXP(2.21*(J1956-1)) + EXP(2.21*(K1956-1)) + EXP(2.21*(L1956-1)) + EXP(2.21*M1956)   )/100*2.45 )</f>
        <v/>
      </c>
      <c r="O1956" s="1212" t="str">
        <f>IF( OR( ISBLANK(I1956),ISBLANK(J1956), ISBLANK(K1956), ISBLANK(L1956), ISBLANK(M1956) ), "", 1.5*SQRT( EXP(2.21*(I1956-1)) + EXP(2.21*(J1956-1)) + EXP(2.21*(K1956-1)) + EXP(2.21*(L1956-1)) + EXP(2.21*M1956)   )/100*2.45 )</f>
        <v/>
      </c>
    </row>
    <row r="1957" spans="8:15">
      <c r="H1957" s="1178"/>
      <c r="I1957" s="1178"/>
      <c r="J1957" s="1178"/>
      <c r="K1957" s="1178"/>
      <c r="L1957" s="1178"/>
      <c r="M1957" s="1178"/>
      <c r="N1957" s="1212" t="str">
        <f>IF( OR( ISBLANK(H1957),ISBLANK(J1957), ISBLANK(K1957), ISBLANK(L1957), ISBLANK(M1957) ), "", 1.5*SQRT(   EXP(2.21*(H1957-1)) + EXP(2.21*(J1957-1)) + EXP(2.21*(K1957-1)) + EXP(2.21*(L1957-1)) + EXP(2.21*M1957)   )/100*2.45 )</f>
        <v/>
      </c>
      <c r="O1957" s="1212" t="str">
        <f>IF( OR( ISBLANK(I1957),ISBLANK(J1957), ISBLANK(K1957), ISBLANK(L1957), ISBLANK(M1957) ), "", 1.5*SQRT( EXP(2.21*(I1957-1)) + EXP(2.21*(J1957-1)) + EXP(2.21*(K1957-1)) + EXP(2.21*(L1957-1)) + EXP(2.21*M1957)   )/100*2.45 )</f>
        <v/>
      </c>
    </row>
    <row r="1958" spans="8:15">
      <c r="H1958" s="1178"/>
      <c r="I1958" s="1178"/>
      <c r="J1958" s="1178"/>
      <c r="K1958" s="1178"/>
      <c r="L1958" s="1178"/>
      <c r="M1958" s="1178"/>
      <c r="N1958" s="1212" t="str">
        <f>IF( OR( ISBLANK(H1958),ISBLANK(J1958), ISBLANK(K1958), ISBLANK(L1958), ISBLANK(M1958) ), "", 1.5*SQRT(   EXP(2.21*(H1958-1)) + EXP(2.21*(J1958-1)) + EXP(2.21*(K1958-1)) + EXP(2.21*(L1958-1)) + EXP(2.21*M1958)   )/100*2.45 )</f>
        <v/>
      </c>
      <c r="O1958" s="1212" t="str">
        <f>IF( OR( ISBLANK(I1958),ISBLANK(J1958), ISBLANK(K1958), ISBLANK(L1958), ISBLANK(M1958) ), "", 1.5*SQRT( EXP(2.21*(I1958-1)) + EXP(2.21*(J1958-1)) + EXP(2.21*(K1958-1)) + EXP(2.21*(L1958-1)) + EXP(2.21*M1958)   )/100*2.45 )</f>
        <v/>
      </c>
    </row>
    <row r="1959" spans="8:15">
      <c r="H1959" s="1178"/>
      <c r="I1959" s="1178"/>
      <c r="J1959" s="1178"/>
      <c r="K1959" s="1178"/>
      <c r="L1959" s="1178"/>
      <c r="M1959" s="1178"/>
      <c r="N1959" s="1212" t="str">
        <f>IF( OR( ISBLANK(H1959),ISBLANK(J1959), ISBLANK(K1959), ISBLANK(L1959), ISBLANK(M1959) ), "", 1.5*SQRT(   EXP(2.21*(H1959-1)) + EXP(2.21*(J1959-1)) + EXP(2.21*(K1959-1)) + EXP(2.21*(L1959-1)) + EXP(2.21*M1959)   )/100*2.45 )</f>
        <v/>
      </c>
      <c r="O1959" s="1212" t="str">
        <f>IF( OR( ISBLANK(I1959),ISBLANK(J1959), ISBLANK(K1959), ISBLANK(L1959), ISBLANK(M1959) ), "", 1.5*SQRT( EXP(2.21*(I1959-1)) + EXP(2.21*(J1959-1)) + EXP(2.21*(K1959-1)) + EXP(2.21*(L1959-1)) + EXP(2.21*M1959)   )/100*2.45 )</f>
        <v/>
      </c>
    </row>
    <row r="1960" spans="8:15">
      <c r="H1960" s="1178"/>
      <c r="I1960" s="1178"/>
      <c r="J1960" s="1178"/>
      <c r="K1960" s="1178"/>
      <c r="L1960" s="1178"/>
      <c r="M1960" s="1178"/>
      <c r="N1960" s="1212" t="str">
        <f>IF( OR( ISBLANK(H1960),ISBLANK(J1960), ISBLANK(K1960), ISBLANK(L1960), ISBLANK(M1960) ), "", 1.5*SQRT(   EXP(2.21*(H1960-1)) + EXP(2.21*(J1960-1)) + EXP(2.21*(K1960-1)) + EXP(2.21*(L1960-1)) + EXP(2.21*M1960)   )/100*2.45 )</f>
        <v/>
      </c>
      <c r="O1960" s="1212" t="str">
        <f>IF( OR( ISBLANK(I1960),ISBLANK(J1960), ISBLANK(K1960), ISBLANK(L1960), ISBLANK(M1960) ), "", 1.5*SQRT( EXP(2.21*(I1960-1)) + EXP(2.21*(J1960-1)) + EXP(2.21*(K1960-1)) + EXP(2.21*(L1960-1)) + EXP(2.21*M1960)   )/100*2.45 )</f>
        <v/>
      </c>
    </row>
    <row r="1961" spans="8:15">
      <c r="H1961" s="1178"/>
      <c r="I1961" s="1178"/>
      <c r="J1961" s="1178"/>
      <c r="K1961" s="1178"/>
      <c r="L1961" s="1178"/>
      <c r="M1961" s="1178"/>
      <c r="N1961" s="1212" t="str">
        <f>IF( OR( ISBLANK(H1961),ISBLANK(J1961), ISBLANK(K1961), ISBLANK(L1961), ISBLANK(M1961) ), "", 1.5*SQRT(   EXP(2.21*(H1961-1)) + EXP(2.21*(J1961-1)) + EXP(2.21*(K1961-1)) + EXP(2.21*(L1961-1)) + EXP(2.21*M1961)   )/100*2.45 )</f>
        <v/>
      </c>
      <c r="O1961" s="1212" t="str">
        <f>IF( OR( ISBLANK(I1961),ISBLANK(J1961), ISBLANK(K1961), ISBLANK(L1961), ISBLANK(M1961) ), "", 1.5*SQRT( EXP(2.21*(I1961-1)) + EXP(2.21*(J1961-1)) + EXP(2.21*(K1961-1)) + EXP(2.21*(L1961-1)) + EXP(2.21*M1961)   )/100*2.45 )</f>
        <v/>
      </c>
    </row>
    <row r="1962" spans="8:15">
      <c r="H1962" s="1178"/>
      <c r="I1962" s="1178"/>
      <c r="J1962" s="1178"/>
      <c r="K1962" s="1178"/>
      <c r="L1962" s="1178"/>
      <c r="M1962" s="1178"/>
      <c r="N1962" s="1212" t="str">
        <f>IF( OR( ISBLANK(H1962),ISBLANK(J1962), ISBLANK(K1962), ISBLANK(L1962), ISBLANK(M1962) ), "", 1.5*SQRT(   EXP(2.21*(H1962-1)) + EXP(2.21*(J1962-1)) + EXP(2.21*(K1962-1)) + EXP(2.21*(L1962-1)) + EXP(2.21*M1962)   )/100*2.45 )</f>
        <v/>
      </c>
      <c r="O1962" s="1212" t="str">
        <f>IF( OR( ISBLANK(I1962),ISBLANK(J1962), ISBLANK(K1962), ISBLANK(L1962), ISBLANK(M1962) ), "", 1.5*SQRT( EXP(2.21*(I1962-1)) + EXP(2.21*(J1962-1)) + EXP(2.21*(K1962-1)) + EXP(2.21*(L1962-1)) + EXP(2.21*M1962)   )/100*2.45 )</f>
        <v/>
      </c>
    </row>
    <row r="1963" spans="8:15">
      <c r="H1963" s="1178"/>
      <c r="I1963" s="1178"/>
      <c r="J1963" s="1178"/>
      <c r="K1963" s="1178"/>
      <c r="L1963" s="1178"/>
      <c r="M1963" s="1178"/>
      <c r="N1963" s="1212" t="str">
        <f>IF( OR( ISBLANK(H1963),ISBLANK(J1963), ISBLANK(K1963), ISBLANK(L1963), ISBLANK(M1963) ), "", 1.5*SQRT(   EXP(2.21*(H1963-1)) + EXP(2.21*(J1963-1)) + EXP(2.21*(K1963-1)) + EXP(2.21*(L1963-1)) + EXP(2.21*M1963)   )/100*2.45 )</f>
        <v/>
      </c>
      <c r="O1963" s="1212" t="str">
        <f>IF( OR( ISBLANK(I1963),ISBLANK(J1963), ISBLANK(K1963), ISBLANK(L1963), ISBLANK(M1963) ), "", 1.5*SQRT( EXP(2.21*(I1963-1)) + EXP(2.21*(J1963-1)) + EXP(2.21*(K1963-1)) + EXP(2.21*(L1963-1)) + EXP(2.21*M1963)   )/100*2.45 )</f>
        <v/>
      </c>
    </row>
    <row r="1964" spans="8:15">
      <c r="H1964" s="1178"/>
      <c r="I1964" s="1178"/>
      <c r="J1964" s="1178"/>
      <c r="K1964" s="1178"/>
      <c r="L1964" s="1178"/>
      <c r="M1964" s="1178"/>
      <c r="N1964" s="1212" t="str">
        <f>IF( OR( ISBLANK(H1964),ISBLANK(J1964), ISBLANK(K1964), ISBLANK(L1964), ISBLANK(M1964) ), "", 1.5*SQRT(   EXP(2.21*(H1964-1)) + EXP(2.21*(J1964-1)) + EXP(2.21*(K1964-1)) + EXP(2.21*(L1964-1)) + EXP(2.21*M1964)   )/100*2.45 )</f>
        <v/>
      </c>
      <c r="O1964" s="1212" t="str">
        <f>IF( OR( ISBLANK(I1964),ISBLANK(J1964), ISBLANK(K1964), ISBLANK(L1964), ISBLANK(M1964) ), "", 1.5*SQRT( EXP(2.21*(I1964-1)) + EXP(2.21*(J1964-1)) + EXP(2.21*(K1964-1)) + EXP(2.21*(L1964-1)) + EXP(2.21*M1964)   )/100*2.45 )</f>
        <v/>
      </c>
    </row>
    <row r="1965" spans="8:15">
      <c r="H1965" s="1178"/>
      <c r="I1965" s="1178"/>
      <c r="J1965" s="1178"/>
      <c r="K1965" s="1178"/>
      <c r="L1965" s="1178"/>
      <c r="M1965" s="1178"/>
      <c r="N1965" s="1212" t="str">
        <f>IF( OR( ISBLANK(H1965),ISBLANK(J1965), ISBLANK(K1965), ISBLANK(L1965), ISBLANK(M1965) ), "", 1.5*SQRT(   EXP(2.21*(H1965-1)) + EXP(2.21*(J1965-1)) + EXP(2.21*(K1965-1)) + EXP(2.21*(L1965-1)) + EXP(2.21*M1965)   )/100*2.45 )</f>
        <v/>
      </c>
      <c r="O1965" s="1212" t="str">
        <f>IF( OR( ISBLANK(I1965),ISBLANK(J1965), ISBLANK(K1965), ISBLANK(L1965), ISBLANK(M1965) ), "", 1.5*SQRT( EXP(2.21*(I1965-1)) + EXP(2.21*(J1965-1)) + EXP(2.21*(K1965-1)) + EXP(2.21*(L1965-1)) + EXP(2.21*M1965)   )/100*2.45 )</f>
        <v/>
      </c>
    </row>
    <row r="1966" spans="8:15">
      <c r="H1966" s="1178"/>
      <c r="I1966" s="1178"/>
      <c r="J1966" s="1178"/>
      <c r="K1966" s="1178"/>
      <c r="L1966" s="1178"/>
      <c r="M1966" s="1178"/>
      <c r="N1966" s="1212" t="str">
        <f>IF( OR( ISBLANK(H1966),ISBLANK(J1966), ISBLANK(K1966), ISBLANK(L1966), ISBLANK(M1966) ), "", 1.5*SQRT(   EXP(2.21*(H1966-1)) + EXP(2.21*(J1966-1)) + EXP(2.21*(K1966-1)) + EXP(2.21*(L1966-1)) + EXP(2.21*M1966)   )/100*2.45 )</f>
        <v/>
      </c>
      <c r="O1966" s="1212" t="str">
        <f>IF( OR( ISBLANK(I1966),ISBLANK(J1966), ISBLANK(K1966), ISBLANK(L1966), ISBLANK(M1966) ), "", 1.5*SQRT( EXP(2.21*(I1966-1)) + EXP(2.21*(J1966-1)) + EXP(2.21*(K1966-1)) + EXP(2.21*(L1966-1)) + EXP(2.21*M1966)   )/100*2.45 )</f>
        <v/>
      </c>
    </row>
    <row r="1967" spans="8:15">
      <c r="H1967" s="1178"/>
      <c r="I1967" s="1178"/>
      <c r="J1967" s="1178"/>
      <c r="K1967" s="1178"/>
      <c r="L1967" s="1178"/>
      <c r="M1967" s="1178"/>
      <c r="N1967" s="1212" t="str">
        <f>IF( OR( ISBLANK(H1967),ISBLANK(J1967), ISBLANK(K1967), ISBLANK(L1967), ISBLANK(M1967) ), "", 1.5*SQRT(   EXP(2.21*(H1967-1)) + EXP(2.21*(J1967-1)) + EXP(2.21*(K1967-1)) + EXP(2.21*(L1967-1)) + EXP(2.21*M1967)   )/100*2.45 )</f>
        <v/>
      </c>
      <c r="O1967" s="1212" t="str">
        <f>IF( OR( ISBLANK(I1967),ISBLANK(J1967), ISBLANK(K1967), ISBLANK(L1967), ISBLANK(M1967) ), "", 1.5*SQRT( EXP(2.21*(I1967-1)) + EXP(2.21*(J1967-1)) + EXP(2.21*(K1967-1)) + EXP(2.21*(L1967-1)) + EXP(2.21*M1967)   )/100*2.45 )</f>
        <v/>
      </c>
    </row>
    <row r="1968" spans="8:15">
      <c r="H1968" s="1178"/>
      <c r="I1968" s="1178"/>
      <c r="J1968" s="1178"/>
      <c r="K1968" s="1178"/>
      <c r="L1968" s="1178"/>
      <c r="M1968" s="1178"/>
      <c r="N1968" s="1212" t="str">
        <f>IF( OR( ISBLANK(H1968),ISBLANK(J1968), ISBLANK(K1968), ISBLANK(L1968), ISBLANK(M1968) ), "", 1.5*SQRT(   EXP(2.21*(H1968-1)) + EXP(2.21*(J1968-1)) + EXP(2.21*(K1968-1)) + EXP(2.21*(L1968-1)) + EXP(2.21*M1968)   )/100*2.45 )</f>
        <v/>
      </c>
      <c r="O1968" s="1212" t="str">
        <f>IF( OR( ISBLANK(I1968),ISBLANK(J1968), ISBLANK(K1968), ISBLANK(L1968), ISBLANK(M1968) ), "", 1.5*SQRT( EXP(2.21*(I1968-1)) + EXP(2.21*(J1968-1)) + EXP(2.21*(K1968-1)) + EXP(2.21*(L1968-1)) + EXP(2.21*M1968)   )/100*2.45 )</f>
        <v/>
      </c>
    </row>
    <row r="1969" spans="8:15">
      <c r="H1969" s="1178"/>
      <c r="I1969" s="1178"/>
      <c r="J1969" s="1178"/>
      <c r="K1969" s="1178"/>
      <c r="L1969" s="1178"/>
      <c r="M1969" s="1178"/>
      <c r="N1969" s="1212" t="str">
        <f>IF( OR( ISBLANK(H1969),ISBLANK(J1969), ISBLANK(K1969), ISBLANK(L1969), ISBLANK(M1969) ), "", 1.5*SQRT(   EXP(2.21*(H1969-1)) + EXP(2.21*(J1969-1)) + EXP(2.21*(K1969-1)) + EXP(2.21*(L1969-1)) + EXP(2.21*M1969)   )/100*2.45 )</f>
        <v/>
      </c>
      <c r="O1969" s="1212" t="str">
        <f>IF( OR( ISBLANK(I1969),ISBLANK(J1969), ISBLANK(K1969), ISBLANK(L1969), ISBLANK(M1969) ), "", 1.5*SQRT( EXP(2.21*(I1969-1)) + EXP(2.21*(J1969-1)) + EXP(2.21*(K1969-1)) + EXP(2.21*(L1969-1)) + EXP(2.21*M1969)   )/100*2.45 )</f>
        <v/>
      </c>
    </row>
    <row r="1970" spans="8:15">
      <c r="H1970" s="1178"/>
      <c r="I1970" s="1178"/>
      <c r="J1970" s="1178"/>
      <c r="K1970" s="1178"/>
      <c r="L1970" s="1178"/>
      <c r="M1970" s="1178"/>
      <c r="N1970" s="1212" t="str">
        <f>IF( OR( ISBLANK(H1970),ISBLANK(J1970), ISBLANK(K1970), ISBLANK(L1970), ISBLANK(M1970) ), "", 1.5*SQRT(   EXP(2.21*(H1970-1)) + EXP(2.21*(J1970-1)) + EXP(2.21*(K1970-1)) + EXP(2.21*(L1970-1)) + EXP(2.21*M1970)   )/100*2.45 )</f>
        <v/>
      </c>
      <c r="O1970" s="1212" t="str">
        <f>IF( OR( ISBLANK(I1970),ISBLANK(J1970), ISBLANK(K1970), ISBLANK(L1970), ISBLANK(M1970) ), "", 1.5*SQRT( EXP(2.21*(I1970-1)) + EXP(2.21*(J1970-1)) + EXP(2.21*(K1970-1)) + EXP(2.21*(L1970-1)) + EXP(2.21*M1970)   )/100*2.45 )</f>
        <v/>
      </c>
    </row>
    <row r="1971" spans="8:15">
      <c r="H1971" s="1178"/>
      <c r="I1971" s="1178"/>
      <c r="J1971" s="1178"/>
      <c r="K1971" s="1178"/>
      <c r="L1971" s="1178"/>
      <c r="M1971" s="1178"/>
      <c r="N1971" s="1212" t="str">
        <f>IF( OR( ISBLANK(H1971),ISBLANK(J1971), ISBLANK(K1971), ISBLANK(L1971), ISBLANK(M1971) ), "", 1.5*SQRT(   EXP(2.21*(H1971-1)) + EXP(2.21*(J1971-1)) + EXP(2.21*(K1971-1)) + EXP(2.21*(L1971-1)) + EXP(2.21*M1971)   )/100*2.45 )</f>
        <v/>
      </c>
      <c r="O1971" s="1212" t="str">
        <f>IF( OR( ISBLANK(I1971),ISBLANK(J1971), ISBLANK(K1971), ISBLANK(L1971), ISBLANK(M1971) ), "", 1.5*SQRT( EXP(2.21*(I1971-1)) + EXP(2.21*(J1971-1)) + EXP(2.21*(K1971-1)) + EXP(2.21*(L1971-1)) + EXP(2.21*M1971)   )/100*2.45 )</f>
        <v/>
      </c>
    </row>
    <row r="1972" spans="8:15">
      <c r="H1972" s="1178"/>
      <c r="I1972" s="1178"/>
      <c r="J1972" s="1178"/>
      <c r="K1972" s="1178"/>
      <c r="L1972" s="1178"/>
      <c r="M1972" s="1178"/>
      <c r="N1972" s="1212" t="str">
        <f>IF( OR( ISBLANK(H1972),ISBLANK(J1972), ISBLANK(K1972), ISBLANK(L1972), ISBLANK(M1972) ), "", 1.5*SQRT(   EXP(2.21*(H1972-1)) + EXP(2.21*(J1972-1)) + EXP(2.21*(K1972-1)) + EXP(2.21*(L1972-1)) + EXP(2.21*M1972)   )/100*2.45 )</f>
        <v/>
      </c>
      <c r="O1972" s="1212" t="str">
        <f>IF( OR( ISBLANK(I1972),ISBLANK(J1972), ISBLANK(K1972), ISBLANK(L1972), ISBLANK(M1972) ), "", 1.5*SQRT( EXP(2.21*(I1972-1)) + EXP(2.21*(J1972-1)) + EXP(2.21*(K1972-1)) + EXP(2.21*(L1972-1)) + EXP(2.21*M1972)   )/100*2.45 )</f>
        <v/>
      </c>
    </row>
    <row r="1973" spans="8:15">
      <c r="H1973" s="1178"/>
      <c r="I1973" s="1178"/>
      <c r="J1973" s="1178"/>
      <c r="K1973" s="1178"/>
      <c r="L1973" s="1178"/>
      <c r="M1973" s="1178"/>
      <c r="N1973" s="1212" t="str">
        <f>IF( OR( ISBLANK(H1973),ISBLANK(J1973), ISBLANK(K1973), ISBLANK(L1973), ISBLANK(M1973) ), "", 1.5*SQRT(   EXP(2.21*(H1973-1)) + EXP(2.21*(J1973-1)) + EXP(2.21*(K1973-1)) + EXP(2.21*(L1973-1)) + EXP(2.21*M1973)   )/100*2.45 )</f>
        <v/>
      </c>
      <c r="O1973" s="1212" t="str">
        <f>IF( OR( ISBLANK(I1973),ISBLANK(J1973), ISBLANK(K1973), ISBLANK(L1973), ISBLANK(M1973) ), "", 1.5*SQRT( EXP(2.21*(I1973-1)) + EXP(2.21*(J1973-1)) + EXP(2.21*(K1973-1)) + EXP(2.21*(L1973-1)) + EXP(2.21*M1973)   )/100*2.45 )</f>
        <v/>
      </c>
    </row>
    <row r="1974" spans="8:15">
      <c r="H1974" s="1178"/>
      <c r="I1974" s="1178"/>
      <c r="J1974" s="1178"/>
      <c r="K1974" s="1178"/>
      <c r="L1974" s="1178"/>
      <c r="M1974" s="1178"/>
      <c r="N1974" s="1212" t="str">
        <f>IF( OR( ISBLANK(H1974),ISBLANK(J1974), ISBLANK(K1974), ISBLANK(L1974), ISBLANK(M1974) ), "", 1.5*SQRT(   EXP(2.21*(H1974-1)) + EXP(2.21*(J1974-1)) + EXP(2.21*(K1974-1)) + EXP(2.21*(L1974-1)) + EXP(2.21*M1974)   )/100*2.45 )</f>
        <v/>
      </c>
      <c r="O1974" s="1212" t="str">
        <f>IF( OR( ISBLANK(I1974),ISBLANK(J1974), ISBLANK(K1974), ISBLANK(L1974), ISBLANK(M1974) ), "", 1.5*SQRT( EXP(2.21*(I1974-1)) + EXP(2.21*(J1974-1)) + EXP(2.21*(K1974-1)) + EXP(2.21*(L1974-1)) + EXP(2.21*M1974)   )/100*2.45 )</f>
        <v/>
      </c>
    </row>
    <row r="1975" spans="8:15">
      <c r="H1975" s="1178"/>
      <c r="I1975" s="1178"/>
      <c r="J1975" s="1178"/>
      <c r="K1975" s="1178"/>
      <c r="L1975" s="1178"/>
      <c r="M1975" s="1178"/>
      <c r="N1975" s="1212" t="str">
        <f>IF( OR( ISBLANK(H1975),ISBLANK(J1975), ISBLANK(K1975), ISBLANK(L1975), ISBLANK(M1975) ), "", 1.5*SQRT(   EXP(2.21*(H1975-1)) + EXP(2.21*(J1975-1)) + EXP(2.21*(K1975-1)) + EXP(2.21*(L1975-1)) + EXP(2.21*M1975)   )/100*2.45 )</f>
        <v/>
      </c>
      <c r="O1975" s="1212" t="str">
        <f>IF( OR( ISBLANK(I1975),ISBLANK(J1975), ISBLANK(K1975), ISBLANK(L1975), ISBLANK(M1975) ), "", 1.5*SQRT( EXP(2.21*(I1975-1)) + EXP(2.21*(J1975-1)) + EXP(2.21*(K1975-1)) + EXP(2.21*(L1975-1)) + EXP(2.21*M1975)   )/100*2.45 )</f>
        <v/>
      </c>
    </row>
    <row r="1976" spans="8:15">
      <c r="H1976" s="1178"/>
      <c r="I1976" s="1178"/>
      <c r="J1976" s="1178"/>
      <c r="K1976" s="1178"/>
      <c r="L1976" s="1178"/>
      <c r="M1976" s="1178"/>
      <c r="N1976" s="1212" t="str">
        <f>IF( OR( ISBLANK(H1976),ISBLANK(J1976), ISBLANK(K1976), ISBLANK(L1976), ISBLANK(M1976) ), "", 1.5*SQRT(   EXP(2.21*(H1976-1)) + EXP(2.21*(J1976-1)) + EXP(2.21*(K1976-1)) + EXP(2.21*(L1976-1)) + EXP(2.21*M1976)   )/100*2.45 )</f>
        <v/>
      </c>
      <c r="O1976" s="1212" t="str">
        <f>IF( OR( ISBLANK(I1976),ISBLANK(J1976), ISBLANK(K1976), ISBLANK(L1976), ISBLANK(M1976) ), "", 1.5*SQRT( EXP(2.21*(I1976-1)) + EXP(2.21*(J1976-1)) + EXP(2.21*(K1976-1)) + EXP(2.21*(L1976-1)) + EXP(2.21*M1976)   )/100*2.45 )</f>
        <v/>
      </c>
    </row>
    <row r="1977" spans="8:15">
      <c r="H1977" s="1178"/>
      <c r="I1977" s="1178"/>
      <c r="J1977" s="1178"/>
      <c r="K1977" s="1178"/>
      <c r="L1977" s="1178"/>
      <c r="M1977" s="1178"/>
      <c r="N1977" s="1212" t="str">
        <f>IF( OR( ISBLANK(H1977),ISBLANK(J1977), ISBLANK(K1977), ISBLANK(L1977), ISBLANK(M1977) ), "", 1.5*SQRT(   EXP(2.21*(H1977-1)) + EXP(2.21*(J1977-1)) + EXP(2.21*(K1977-1)) + EXP(2.21*(L1977-1)) + EXP(2.21*M1977)   )/100*2.45 )</f>
        <v/>
      </c>
      <c r="O1977" s="1212" t="str">
        <f>IF( OR( ISBLANK(I1977),ISBLANK(J1977), ISBLANK(K1977), ISBLANK(L1977), ISBLANK(M1977) ), "", 1.5*SQRT( EXP(2.21*(I1977-1)) + EXP(2.21*(J1977-1)) + EXP(2.21*(K1977-1)) + EXP(2.21*(L1977-1)) + EXP(2.21*M1977)   )/100*2.45 )</f>
        <v/>
      </c>
    </row>
    <row r="1978" spans="8:15">
      <c r="H1978" s="1178"/>
      <c r="I1978" s="1178"/>
      <c r="J1978" s="1178"/>
      <c r="K1978" s="1178"/>
      <c r="L1978" s="1178"/>
      <c r="M1978" s="1178"/>
      <c r="N1978" s="1212" t="str">
        <f>IF( OR( ISBLANK(H1978),ISBLANK(J1978), ISBLANK(K1978), ISBLANK(L1978), ISBLANK(M1978) ), "", 1.5*SQRT(   EXP(2.21*(H1978-1)) + EXP(2.21*(J1978-1)) + EXP(2.21*(K1978-1)) + EXP(2.21*(L1978-1)) + EXP(2.21*M1978)   )/100*2.45 )</f>
        <v/>
      </c>
      <c r="O1978" s="1212" t="str">
        <f>IF( OR( ISBLANK(I1978),ISBLANK(J1978), ISBLANK(K1978), ISBLANK(L1978), ISBLANK(M1978) ), "", 1.5*SQRT( EXP(2.21*(I1978-1)) + EXP(2.21*(J1978-1)) + EXP(2.21*(K1978-1)) + EXP(2.21*(L1978-1)) + EXP(2.21*M1978)   )/100*2.45 )</f>
        <v/>
      </c>
    </row>
    <row r="1979" spans="8:15">
      <c r="H1979" s="1178"/>
      <c r="I1979" s="1178"/>
      <c r="J1979" s="1178"/>
      <c r="K1979" s="1178"/>
      <c r="L1979" s="1178"/>
      <c r="M1979" s="1178"/>
      <c r="N1979" s="1212" t="str">
        <f>IF( OR( ISBLANK(H1979),ISBLANK(J1979), ISBLANK(K1979), ISBLANK(L1979), ISBLANK(M1979) ), "", 1.5*SQRT(   EXP(2.21*(H1979-1)) + EXP(2.21*(J1979-1)) + EXP(2.21*(K1979-1)) + EXP(2.21*(L1979-1)) + EXP(2.21*M1979)   )/100*2.45 )</f>
        <v/>
      </c>
      <c r="O1979" s="1212" t="str">
        <f>IF( OR( ISBLANK(I1979),ISBLANK(J1979), ISBLANK(K1979), ISBLANK(L1979), ISBLANK(M1979) ), "", 1.5*SQRT( EXP(2.21*(I1979-1)) + EXP(2.21*(J1979-1)) + EXP(2.21*(K1979-1)) + EXP(2.21*(L1979-1)) + EXP(2.21*M1979)   )/100*2.45 )</f>
        <v/>
      </c>
    </row>
    <row r="1980" spans="8:15">
      <c r="H1980" s="1178"/>
      <c r="I1980" s="1178"/>
      <c r="J1980" s="1178"/>
      <c r="K1980" s="1178"/>
      <c r="L1980" s="1178"/>
      <c r="M1980" s="1178"/>
      <c r="N1980" s="1212" t="str">
        <f>IF( OR( ISBLANK(H1980),ISBLANK(J1980), ISBLANK(K1980), ISBLANK(L1980), ISBLANK(M1980) ), "", 1.5*SQRT(   EXP(2.21*(H1980-1)) + EXP(2.21*(J1980-1)) + EXP(2.21*(K1980-1)) + EXP(2.21*(L1980-1)) + EXP(2.21*M1980)   )/100*2.45 )</f>
        <v/>
      </c>
      <c r="O1980" s="1212" t="str">
        <f>IF( OR( ISBLANK(I1980),ISBLANK(J1980), ISBLANK(K1980), ISBLANK(L1980), ISBLANK(M1980) ), "", 1.5*SQRT( EXP(2.21*(I1980-1)) + EXP(2.21*(J1980-1)) + EXP(2.21*(K1980-1)) + EXP(2.21*(L1980-1)) + EXP(2.21*M1980)   )/100*2.45 )</f>
        <v/>
      </c>
    </row>
    <row r="1981" spans="8:15">
      <c r="H1981" s="1178"/>
      <c r="I1981" s="1178"/>
      <c r="J1981" s="1178"/>
      <c r="K1981" s="1178"/>
      <c r="L1981" s="1178"/>
      <c r="M1981" s="1178"/>
      <c r="N1981" s="1212" t="str">
        <f>IF( OR( ISBLANK(H1981),ISBLANK(J1981), ISBLANK(K1981), ISBLANK(L1981), ISBLANK(M1981) ), "", 1.5*SQRT(   EXP(2.21*(H1981-1)) + EXP(2.21*(J1981-1)) + EXP(2.21*(K1981-1)) + EXP(2.21*(L1981-1)) + EXP(2.21*M1981)   )/100*2.45 )</f>
        <v/>
      </c>
      <c r="O1981" s="1212" t="str">
        <f>IF( OR( ISBLANK(I1981),ISBLANK(J1981), ISBLANK(K1981), ISBLANK(L1981), ISBLANK(M1981) ), "", 1.5*SQRT( EXP(2.21*(I1981-1)) + EXP(2.21*(J1981-1)) + EXP(2.21*(K1981-1)) + EXP(2.21*(L1981-1)) + EXP(2.21*M1981)   )/100*2.45 )</f>
        <v/>
      </c>
    </row>
    <row r="1982" spans="8:15">
      <c r="H1982" s="1178"/>
      <c r="I1982" s="1178"/>
      <c r="J1982" s="1178"/>
      <c r="K1982" s="1178"/>
      <c r="L1982" s="1178"/>
      <c r="M1982" s="1178"/>
      <c r="N1982" s="1212" t="str">
        <f>IF( OR( ISBLANK(H1982),ISBLANK(J1982), ISBLANK(K1982), ISBLANK(L1982), ISBLANK(M1982) ), "", 1.5*SQRT(   EXP(2.21*(H1982-1)) + EXP(2.21*(J1982-1)) + EXP(2.21*(K1982-1)) + EXP(2.21*(L1982-1)) + EXP(2.21*M1982)   )/100*2.45 )</f>
        <v/>
      </c>
      <c r="O1982" s="1212" t="str">
        <f>IF( OR( ISBLANK(I1982),ISBLANK(J1982), ISBLANK(K1982), ISBLANK(L1982), ISBLANK(M1982) ), "", 1.5*SQRT( EXP(2.21*(I1982-1)) + EXP(2.21*(J1982-1)) + EXP(2.21*(K1982-1)) + EXP(2.21*(L1982-1)) + EXP(2.21*M1982)   )/100*2.45 )</f>
        <v/>
      </c>
    </row>
    <row r="1983" spans="8:15">
      <c r="H1983" s="1178"/>
      <c r="I1983" s="1178"/>
      <c r="J1983" s="1178"/>
      <c r="K1983" s="1178"/>
      <c r="L1983" s="1178"/>
      <c r="M1983" s="1178"/>
      <c r="N1983" s="1212" t="str">
        <f>IF( OR( ISBLANK(H1983),ISBLANK(J1983), ISBLANK(K1983), ISBLANK(L1983), ISBLANK(M1983) ), "", 1.5*SQRT(   EXP(2.21*(H1983-1)) + EXP(2.21*(J1983-1)) + EXP(2.21*(K1983-1)) + EXP(2.21*(L1983-1)) + EXP(2.21*M1983)   )/100*2.45 )</f>
        <v/>
      </c>
      <c r="O1983" s="1212" t="str">
        <f>IF( OR( ISBLANK(I1983),ISBLANK(J1983), ISBLANK(K1983), ISBLANK(L1983), ISBLANK(M1983) ), "", 1.5*SQRT( EXP(2.21*(I1983-1)) + EXP(2.21*(J1983-1)) + EXP(2.21*(K1983-1)) + EXP(2.21*(L1983-1)) + EXP(2.21*M1983)   )/100*2.45 )</f>
        <v/>
      </c>
    </row>
    <row r="1984" spans="8:15">
      <c r="H1984" s="1178"/>
      <c r="I1984" s="1178"/>
      <c r="J1984" s="1178"/>
      <c r="K1984" s="1178"/>
      <c r="L1984" s="1178"/>
      <c r="M1984" s="1178"/>
      <c r="N1984" s="1212" t="str">
        <f>IF( OR( ISBLANK(H1984),ISBLANK(J1984), ISBLANK(K1984), ISBLANK(L1984), ISBLANK(M1984) ), "", 1.5*SQRT(   EXP(2.21*(H1984-1)) + EXP(2.21*(J1984-1)) + EXP(2.21*(K1984-1)) + EXP(2.21*(L1984-1)) + EXP(2.21*M1984)   )/100*2.45 )</f>
        <v/>
      </c>
      <c r="O1984" s="1212" t="str">
        <f>IF( OR( ISBLANK(I1984),ISBLANK(J1984), ISBLANK(K1984), ISBLANK(L1984), ISBLANK(M1984) ), "", 1.5*SQRT( EXP(2.21*(I1984-1)) + EXP(2.21*(J1984-1)) + EXP(2.21*(K1984-1)) + EXP(2.21*(L1984-1)) + EXP(2.21*M1984)   )/100*2.45 )</f>
        <v/>
      </c>
    </row>
    <row r="1985" spans="8:15">
      <c r="H1985" s="1178"/>
      <c r="I1985" s="1178"/>
      <c r="J1985" s="1178"/>
      <c r="K1985" s="1178"/>
      <c r="L1985" s="1178"/>
      <c r="M1985" s="1178"/>
      <c r="N1985" s="1212" t="str">
        <f>IF( OR( ISBLANK(H1985),ISBLANK(J1985), ISBLANK(K1985), ISBLANK(L1985), ISBLANK(M1985) ), "", 1.5*SQRT(   EXP(2.21*(H1985-1)) + EXP(2.21*(J1985-1)) + EXP(2.21*(K1985-1)) + EXP(2.21*(L1985-1)) + EXP(2.21*M1985)   )/100*2.45 )</f>
        <v/>
      </c>
      <c r="O1985" s="1212" t="str">
        <f>IF( OR( ISBLANK(I1985),ISBLANK(J1985), ISBLANK(K1985), ISBLANK(L1985), ISBLANK(M1985) ), "", 1.5*SQRT( EXP(2.21*(I1985-1)) + EXP(2.21*(J1985-1)) + EXP(2.21*(K1985-1)) + EXP(2.21*(L1985-1)) + EXP(2.21*M1985)   )/100*2.45 )</f>
        <v/>
      </c>
    </row>
    <row r="1986" spans="8:15">
      <c r="H1986" s="1178"/>
      <c r="I1986" s="1178"/>
      <c r="J1986" s="1178"/>
      <c r="K1986" s="1178"/>
      <c r="L1986" s="1178"/>
      <c r="M1986" s="1178"/>
      <c r="N1986" s="1212" t="str">
        <f>IF( OR( ISBLANK(H1986),ISBLANK(J1986), ISBLANK(K1986), ISBLANK(L1986), ISBLANK(M1986) ), "", 1.5*SQRT(   EXP(2.21*(H1986-1)) + EXP(2.21*(J1986-1)) + EXP(2.21*(K1986-1)) + EXP(2.21*(L1986-1)) + EXP(2.21*M1986)   )/100*2.45 )</f>
        <v/>
      </c>
      <c r="O1986" s="1212" t="str">
        <f>IF( OR( ISBLANK(I1986),ISBLANK(J1986), ISBLANK(K1986), ISBLANK(L1986), ISBLANK(M1986) ), "", 1.5*SQRT( EXP(2.21*(I1986-1)) + EXP(2.21*(J1986-1)) + EXP(2.21*(K1986-1)) + EXP(2.21*(L1986-1)) + EXP(2.21*M1986)   )/100*2.45 )</f>
        <v/>
      </c>
    </row>
    <row r="1987" spans="8:15">
      <c r="H1987" s="1178"/>
      <c r="I1987" s="1178"/>
      <c r="J1987" s="1178"/>
      <c r="K1987" s="1178"/>
      <c r="L1987" s="1178"/>
      <c r="M1987" s="1178"/>
      <c r="N1987" s="1212" t="str">
        <f>IF( OR( ISBLANK(H1987),ISBLANK(J1987), ISBLANK(K1987), ISBLANK(L1987), ISBLANK(M1987) ), "", 1.5*SQRT(   EXP(2.21*(H1987-1)) + EXP(2.21*(J1987-1)) + EXP(2.21*(K1987-1)) + EXP(2.21*(L1987-1)) + EXP(2.21*M1987)   )/100*2.45 )</f>
        <v/>
      </c>
      <c r="O1987" s="1212" t="str">
        <f>IF( OR( ISBLANK(I1987),ISBLANK(J1987), ISBLANK(K1987), ISBLANK(L1987), ISBLANK(M1987) ), "", 1.5*SQRT( EXP(2.21*(I1987-1)) + EXP(2.21*(J1987-1)) + EXP(2.21*(K1987-1)) + EXP(2.21*(L1987-1)) + EXP(2.21*M1987)   )/100*2.45 )</f>
        <v/>
      </c>
    </row>
    <row r="1988" spans="8:15">
      <c r="H1988" s="1178"/>
      <c r="I1988" s="1178"/>
      <c r="J1988" s="1178"/>
      <c r="K1988" s="1178"/>
      <c r="L1988" s="1178"/>
      <c r="M1988" s="1178"/>
      <c r="N1988" s="1212" t="str">
        <f>IF( OR( ISBLANK(H1988),ISBLANK(J1988), ISBLANK(K1988), ISBLANK(L1988), ISBLANK(M1988) ), "", 1.5*SQRT(   EXP(2.21*(H1988-1)) + EXP(2.21*(J1988-1)) + EXP(2.21*(K1988-1)) + EXP(2.21*(L1988-1)) + EXP(2.21*M1988)   )/100*2.45 )</f>
        <v/>
      </c>
      <c r="O1988" s="1212" t="str">
        <f>IF( OR( ISBLANK(I1988),ISBLANK(J1988), ISBLANK(K1988), ISBLANK(L1988), ISBLANK(M1988) ), "", 1.5*SQRT( EXP(2.21*(I1988-1)) + EXP(2.21*(J1988-1)) + EXP(2.21*(K1988-1)) + EXP(2.21*(L1988-1)) + EXP(2.21*M1988)   )/100*2.45 )</f>
        <v/>
      </c>
    </row>
  </sheetData>
  <autoFilter ref="A1:P1988" xr:uid="{D17F49C5-045C-4C41-8133-90E2E1555C53}">
    <sortState xmlns:xlrd2="http://schemas.microsoft.com/office/spreadsheetml/2017/richdata2" ref="A2:P1988">
      <sortCondition ref="A1:A1988"/>
    </sortState>
  </autoFilter>
  <sortState xmlns:xlrd2="http://schemas.microsoft.com/office/spreadsheetml/2017/richdata2" ref="A2:P2838">
    <sortCondition ref="A1:A2838"/>
  </sortState>
  <phoneticPr fontId="22" type="noConversion"/>
  <conditionalFormatting sqref="H277:H278">
    <cfRule type="dataBar" priority="323">
      <dataBar>
        <cfvo type="min"/>
        <cfvo type="num" val="4"/>
        <color rgb="FFFFC000"/>
      </dataBar>
      <extLst>
        <ext xmlns:x14="http://schemas.microsoft.com/office/spreadsheetml/2009/9/main" uri="{B025F937-C7B1-47D3-B67F-A62EFF666E3E}">
          <x14:id>{639DB7A4-AB12-4E57-AD97-0D9CFDF09E4F}</x14:id>
        </ext>
      </extLst>
    </cfRule>
  </conditionalFormatting>
  <conditionalFormatting sqref="H280:H281">
    <cfRule type="dataBar" priority="341">
      <dataBar>
        <cfvo type="min"/>
        <cfvo type="num" val="4"/>
        <color rgb="FFFFC000"/>
      </dataBar>
      <extLst>
        <ext xmlns:x14="http://schemas.microsoft.com/office/spreadsheetml/2009/9/main" uri="{B025F937-C7B1-47D3-B67F-A62EFF666E3E}">
          <x14:id>{7F0D3BF5-F7D3-41C9-B5D1-8E4AFD59C17C}</x14:id>
        </ext>
      </extLst>
    </cfRule>
  </conditionalFormatting>
  <conditionalFormatting sqref="H859:H864">
    <cfRule type="dataBar" priority="279">
      <dataBar>
        <cfvo type="min"/>
        <cfvo type="num" val="4"/>
        <color rgb="FFFFC000"/>
      </dataBar>
      <extLst>
        <ext xmlns:x14="http://schemas.microsoft.com/office/spreadsheetml/2009/9/main" uri="{B025F937-C7B1-47D3-B67F-A62EFF666E3E}">
          <x14:id>{417BFCA9-CDE7-4C65-85B5-ADEF903F56D6}</x14:id>
        </ext>
      </extLst>
    </cfRule>
  </conditionalFormatting>
  <conditionalFormatting sqref="H2:M857">
    <cfRule type="cellIs" dxfId="205" priority="8101" stopIfTrue="1" operator="notBetween">
      <formula>1</formula>
      <formula>4</formula>
    </cfRule>
  </conditionalFormatting>
  <conditionalFormatting sqref="H282:M282 H276:M276 H279:M279">
    <cfRule type="dataBar" priority="359">
      <dataBar>
        <cfvo type="min"/>
        <cfvo type="num" val="4"/>
        <color rgb="FFFFC000"/>
      </dataBar>
      <extLst>
        <ext xmlns:x14="http://schemas.microsoft.com/office/spreadsheetml/2009/9/main" uri="{B025F937-C7B1-47D3-B67F-A62EFF666E3E}">
          <x14:id>{7FB5FFFD-BFF5-4607-8266-C61D50D37610}</x14:id>
        </ext>
      </extLst>
    </cfRule>
  </conditionalFormatting>
  <conditionalFormatting sqref="H283:M857 H2:M275">
    <cfRule type="dataBar" priority="8878">
      <dataBar>
        <cfvo type="min"/>
        <cfvo type="num" val="4"/>
        <color rgb="FFFFC000"/>
      </dataBar>
      <extLst>
        <ext xmlns:x14="http://schemas.microsoft.com/office/spreadsheetml/2009/9/main" uri="{B025F937-C7B1-47D3-B67F-A62EFF666E3E}">
          <x14:id>{63002CF0-DF8C-4594-826D-C58BB7151C72}</x14:id>
        </ext>
      </extLst>
    </cfRule>
  </conditionalFormatting>
  <conditionalFormatting sqref="H858:M858">
    <cfRule type="dataBar" priority="294">
      <dataBar>
        <cfvo type="min"/>
        <cfvo type="num" val="4"/>
        <color rgb="FFFFC000"/>
      </dataBar>
      <extLst>
        <ext xmlns:x14="http://schemas.microsoft.com/office/spreadsheetml/2009/9/main" uri="{B025F937-C7B1-47D3-B67F-A62EFF666E3E}">
          <x14:id>{8E152E79-9395-4607-AAB9-133D2AEF55CD}</x14:id>
        </ext>
      </extLst>
    </cfRule>
  </conditionalFormatting>
  <conditionalFormatting sqref="H858:M864">
    <cfRule type="cellIs" dxfId="204" priority="275" stopIfTrue="1" operator="notBetween">
      <formula>1</formula>
      <formula>4</formula>
    </cfRule>
  </conditionalFormatting>
  <conditionalFormatting sqref="H865:M865">
    <cfRule type="dataBar" priority="261">
      <dataBar>
        <cfvo type="min"/>
        <cfvo type="num" val="4"/>
        <color rgb="FFFFC000"/>
      </dataBar>
      <extLst>
        <ext xmlns:x14="http://schemas.microsoft.com/office/spreadsheetml/2009/9/main" uri="{B025F937-C7B1-47D3-B67F-A62EFF666E3E}">
          <x14:id>{B6046930-B12E-4F63-A1A3-82B63FAA2115}</x14:id>
        </ext>
      </extLst>
    </cfRule>
  </conditionalFormatting>
  <conditionalFormatting sqref="H865:M866">
    <cfRule type="dataBar" priority="244">
      <dataBar>
        <cfvo type="min"/>
        <cfvo type="num" val="4"/>
        <color rgb="FFFFC000"/>
      </dataBar>
      <extLst>
        <ext xmlns:x14="http://schemas.microsoft.com/office/spreadsheetml/2009/9/main" uri="{B025F937-C7B1-47D3-B67F-A62EFF666E3E}">
          <x14:id>{313108EF-E70F-470E-8327-337884178851}</x14:id>
        </ext>
      </extLst>
    </cfRule>
  </conditionalFormatting>
  <conditionalFormatting sqref="H865:M867">
    <cfRule type="cellIs" dxfId="203" priority="245" stopIfTrue="1" operator="notBetween">
      <formula>1</formula>
      <formula>4</formula>
    </cfRule>
  </conditionalFormatting>
  <conditionalFormatting sqref="H865:M876 N878:O1054 N1056:O1090 N1092:O1109 N1111:O1462">
    <cfRule type="containsBlanks" dxfId="202" priority="238">
      <formula>LEN(TRIM(H865))=0</formula>
    </cfRule>
  </conditionalFormatting>
  <conditionalFormatting sqref="H866:M866">
    <cfRule type="dataBar" priority="263">
      <dataBar>
        <cfvo type="min"/>
        <cfvo type="num" val="4"/>
        <color rgb="FFFFC000"/>
      </dataBar>
      <extLst>
        <ext xmlns:x14="http://schemas.microsoft.com/office/spreadsheetml/2009/9/main" uri="{B025F937-C7B1-47D3-B67F-A62EFF666E3E}">
          <x14:id>{2A4AEB21-0401-4F6F-BAFE-DCE5BAE1F22E}</x14:id>
        </ext>
      </extLst>
    </cfRule>
  </conditionalFormatting>
  <conditionalFormatting sqref="H867:M867">
    <cfRule type="dataBar" priority="256">
      <dataBar>
        <cfvo type="min"/>
        <cfvo type="num" val="4"/>
        <color rgb="FFFFC000"/>
      </dataBar>
      <extLst>
        <ext xmlns:x14="http://schemas.microsoft.com/office/spreadsheetml/2009/9/main" uri="{B025F937-C7B1-47D3-B67F-A62EFF666E3E}">
          <x14:id>{5D386311-A62A-4DEA-933B-43D27B06F7D1}</x14:id>
        </ext>
      </extLst>
    </cfRule>
  </conditionalFormatting>
  <conditionalFormatting sqref="H868:M868">
    <cfRule type="dataBar" priority="271">
      <dataBar>
        <cfvo type="min"/>
        <cfvo type="num" val="4"/>
        <color rgb="FFFFC000"/>
      </dataBar>
      <extLst>
        <ext xmlns:x14="http://schemas.microsoft.com/office/spreadsheetml/2009/9/main" uri="{B025F937-C7B1-47D3-B67F-A62EFF666E3E}">
          <x14:id>{7BAE4504-4F0E-4DB4-9789-A64DEFBEF436}</x14:id>
        </ext>
      </extLst>
    </cfRule>
  </conditionalFormatting>
  <conditionalFormatting sqref="H868:M872">
    <cfRule type="cellIs" dxfId="201" priority="269" stopIfTrue="1" operator="notBetween">
      <formula>1</formula>
      <formula>4</formula>
    </cfRule>
  </conditionalFormatting>
  <conditionalFormatting sqref="H869:M872">
    <cfRule type="dataBar" priority="266">
      <dataBar>
        <cfvo type="min"/>
        <cfvo type="num" val="4"/>
        <color rgb="FFFFC000"/>
      </dataBar>
      <extLst>
        <ext xmlns:x14="http://schemas.microsoft.com/office/spreadsheetml/2009/9/main" uri="{B025F937-C7B1-47D3-B67F-A62EFF666E3E}">
          <x14:id>{196AA2B0-1A96-46F6-9570-3964F7E343F8}</x14:id>
        </ext>
      </extLst>
    </cfRule>
  </conditionalFormatting>
  <conditionalFormatting sqref="H873:M874">
    <cfRule type="dataBar" priority="239">
      <dataBar>
        <cfvo type="min"/>
        <cfvo type="num" val="4"/>
        <color rgb="FFFFC000"/>
      </dataBar>
      <extLst>
        <ext xmlns:x14="http://schemas.microsoft.com/office/spreadsheetml/2009/9/main" uri="{B025F937-C7B1-47D3-B67F-A62EFF666E3E}">
          <x14:id>{4FF3944F-F6EB-469A-B3BF-89C2ACEF9A5A}</x14:id>
        </ext>
      </extLst>
    </cfRule>
    <cfRule type="cellIs" dxfId="200" priority="241" stopIfTrue="1" operator="notBetween">
      <formula>1</formula>
      <formula>4</formula>
    </cfRule>
  </conditionalFormatting>
  <conditionalFormatting sqref="H875:M876">
    <cfRule type="dataBar" priority="247">
      <dataBar>
        <cfvo type="min"/>
        <cfvo type="num" val="4"/>
        <color rgb="FFFFC000"/>
      </dataBar>
      <extLst>
        <ext xmlns:x14="http://schemas.microsoft.com/office/spreadsheetml/2009/9/main" uri="{B025F937-C7B1-47D3-B67F-A62EFF666E3E}">
          <x14:id>{C636A330-3589-4118-9161-5E09435D3530}</x14:id>
        </ext>
      </extLst>
    </cfRule>
  </conditionalFormatting>
  <conditionalFormatting sqref="H875:M1125">
    <cfRule type="cellIs" dxfId="199" priority="249" stopIfTrue="1" operator="notBetween">
      <formula>1</formula>
      <formula>4</formula>
    </cfRule>
  </conditionalFormatting>
  <conditionalFormatting sqref="H877:M890">
    <cfRule type="dataBar" priority="233">
      <dataBar>
        <cfvo type="min"/>
        <cfvo type="num" val="4"/>
        <color rgb="FFFFC000"/>
      </dataBar>
      <extLst>
        <ext xmlns:x14="http://schemas.microsoft.com/office/spreadsheetml/2009/9/main" uri="{B025F937-C7B1-47D3-B67F-A62EFF666E3E}">
          <x14:id>{0ACD0B7B-98AF-45E4-8215-5123E796F153}</x14:id>
        </ext>
      </extLst>
    </cfRule>
  </conditionalFormatting>
  <conditionalFormatting sqref="H878:M878">
    <cfRule type="containsBlanks" dxfId="198" priority="176" stopIfTrue="1">
      <formula>LEN(TRIM(H878))=0</formula>
    </cfRule>
    <cfRule type="dataBar" priority="177">
      <dataBar>
        <cfvo type="min"/>
        <cfvo type="num" val="4"/>
        <color rgb="FFFFC000"/>
      </dataBar>
      <extLst>
        <ext xmlns:x14="http://schemas.microsoft.com/office/spreadsheetml/2009/9/main" uri="{B025F937-C7B1-47D3-B67F-A62EFF666E3E}">
          <x14:id>{4A516C74-FCED-47AC-AAE2-98D1F54DE959}</x14:id>
        </ext>
      </extLst>
    </cfRule>
  </conditionalFormatting>
  <conditionalFormatting sqref="H878:M890 H877:O877">
    <cfRule type="containsBlanks" dxfId="197" priority="234">
      <formula>LEN(TRIM(H877))=0</formula>
    </cfRule>
  </conditionalFormatting>
  <conditionalFormatting sqref="H908:M908">
    <cfRule type="dataBar" priority="229">
      <dataBar>
        <cfvo type="min"/>
        <cfvo type="num" val="4"/>
        <color rgb="FFFFC000"/>
      </dataBar>
      <extLst>
        <ext xmlns:x14="http://schemas.microsoft.com/office/spreadsheetml/2009/9/main" uri="{B025F937-C7B1-47D3-B67F-A62EFF666E3E}">
          <x14:id>{BA1F9C6C-AC7E-448E-BA6C-317D0FFF122C}</x14:id>
        </ext>
      </extLst>
    </cfRule>
  </conditionalFormatting>
  <conditionalFormatting sqref="H915:M916">
    <cfRule type="dataBar" priority="225">
      <dataBar>
        <cfvo type="min"/>
        <cfvo type="num" val="4"/>
        <color rgb="FFFFC000"/>
      </dataBar>
      <extLst>
        <ext xmlns:x14="http://schemas.microsoft.com/office/spreadsheetml/2009/9/main" uri="{B025F937-C7B1-47D3-B67F-A62EFF666E3E}">
          <x14:id>{3FE364B5-5DD3-4A5D-838F-4917A68DD0D8}</x14:id>
        </ext>
      </extLst>
    </cfRule>
  </conditionalFormatting>
  <conditionalFormatting sqref="H935:M935">
    <cfRule type="dataBar" priority="221">
      <dataBar>
        <cfvo type="min"/>
        <cfvo type="num" val="4"/>
        <color rgb="FFFFC000"/>
      </dataBar>
      <extLst>
        <ext xmlns:x14="http://schemas.microsoft.com/office/spreadsheetml/2009/9/main" uri="{B025F937-C7B1-47D3-B67F-A62EFF666E3E}">
          <x14:id>{E849F10B-2B10-497E-B79A-0495DC630C98}</x14:id>
        </ext>
      </extLst>
    </cfRule>
  </conditionalFormatting>
  <conditionalFormatting sqref="H954:M954">
    <cfRule type="dataBar" priority="217">
      <dataBar>
        <cfvo type="min"/>
        <cfvo type="num" val="4"/>
        <color rgb="FFFFC000"/>
      </dataBar>
      <extLst>
        <ext xmlns:x14="http://schemas.microsoft.com/office/spreadsheetml/2009/9/main" uri="{B025F937-C7B1-47D3-B67F-A62EFF666E3E}">
          <x14:id>{EA43D244-56CF-446F-AC5E-E8422A84AF22}</x14:id>
        </ext>
      </extLst>
    </cfRule>
  </conditionalFormatting>
  <conditionalFormatting sqref="H973:M973">
    <cfRule type="dataBar" priority="213">
      <dataBar>
        <cfvo type="min"/>
        <cfvo type="num" val="4"/>
        <color rgb="FFFFC000"/>
      </dataBar>
      <extLst>
        <ext xmlns:x14="http://schemas.microsoft.com/office/spreadsheetml/2009/9/main" uri="{B025F937-C7B1-47D3-B67F-A62EFF666E3E}">
          <x14:id>{49E73A2C-8A08-4096-9749-FF6D8E8F492F}</x14:id>
        </ext>
      </extLst>
    </cfRule>
  </conditionalFormatting>
  <conditionalFormatting sqref="H992:M992">
    <cfRule type="dataBar" priority="209">
      <dataBar>
        <cfvo type="min"/>
        <cfvo type="num" val="4"/>
        <color rgb="FFFFC000"/>
      </dataBar>
      <extLst>
        <ext xmlns:x14="http://schemas.microsoft.com/office/spreadsheetml/2009/9/main" uri="{B025F937-C7B1-47D3-B67F-A62EFF666E3E}">
          <x14:id>{07E15439-BBFA-4CFE-A61F-33485D00BD6F}</x14:id>
        </ext>
      </extLst>
    </cfRule>
  </conditionalFormatting>
  <conditionalFormatting sqref="H1011:M1011">
    <cfRule type="dataBar" priority="205">
      <dataBar>
        <cfvo type="min"/>
        <cfvo type="num" val="4"/>
        <color rgb="FFFFC000"/>
      </dataBar>
      <extLst>
        <ext xmlns:x14="http://schemas.microsoft.com/office/spreadsheetml/2009/9/main" uri="{B025F937-C7B1-47D3-B67F-A62EFF666E3E}">
          <x14:id>{38745E4E-3A56-44D1-B890-7189DCD49A5C}</x14:id>
        </ext>
      </extLst>
    </cfRule>
  </conditionalFormatting>
  <conditionalFormatting sqref="H1030:M1030">
    <cfRule type="dataBar" priority="201">
      <dataBar>
        <cfvo type="min"/>
        <cfvo type="num" val="4"/>
        <color rgb="FFFFC000"/>
      </dataBar>
      <extLst>
        <ext xmlns:x14="http://schemas.microsoft.com/office/spreadsheetml/2009/9/main" uri="{B025F937-C7B1-47D3-B67F-A62EFF666E3E}">
          <x14:id>{5C6A9FF9-D196-42A0-9CDF-7889F935CE1A}</x14:id>
        </ext>
      </extLst>
    </cfRule>
  </conditionalFormatting>
  <conditionalFormatting sqref="H1049:M1049">
    <cfRule type="dataBar" priority="197">
      <dataBar>
        <cfvo type="min"/>
        <cfvo type="num" val="4"/>
        <color rgb="FFFFC000"/>
      </dataBar>
      <extLst>
        <ext xmlns:x14="http://schemas.microsoft.com/office/spreadsheetml/2009/9/main" uri="{B025F937-C7B1-47D3-B67F-A62EFF666E3E}">
          <x14:id>{BA4D3E41-5B69-4BC9-9D03-B27E5624E081}</x14:id>
        </ext>
      </extLst>
    </cfRule>
  </conditionalFormatting>
  <conditionalFormatting sqref="H1068:M1068">
    <cfRule type="dataBar" priority="193">
      <dataBar>
        <cfvo type="min"/>
        <cfvo type="num" val="4"/>
        <color rgb="FFFFC000"/>
      </dataBar>
      <extLst>
        <ext xmlns:x14="http://schemas.microsoft.com/office/spreadsheetml/2009/9/main" uri="{B025F937-C7B1-47D3-B67F-A62EFF666E3E}">
          <x14:id>{F531ED59-95EA-44D1-8C42-6C72F488B85A}</x14:id>
        </ext>
      </extLst>
    </cfRule>
  </conditionalFormatting>
  <conditionalFormatting sqref="H1090:M1090">
    <cfRule type="dataBar" priority="189">
      <dataBar>
        <cfvo type="min"/>
        <cfvo type="num" val="4"/>
        <color rgb="FFFFC000"/>
      </dataBar>
      <extLst>
        <ext xmlns:x14="http://schemas.microsoft.com/office/spreadsheetml/2009/9/main" uri="{B025F937-C7B1-47D3-B67F-A62EFF666E3E}">
          <x14:id>{EB2DD670-BF81-427B-AFC4-FC454331F690}</x14:id>
        </ext>
      </extLst>
    </cfRule>
  </conditionalFormatting>
  <conditionalFormatting sqref="H1109:M1109">
    <cfRule type="dataBar" priority="185">
      <dataBar>
        <cfvo type="min"/>
        <cfvo type="num" val="4"/>
        <color rgb="FFFFC000"/>
      </dataBar>
      <extLst>
        <ext xmlns:x14="http://schemas.microsoft.com/office/spreadsheetml/2009/9/main" uri="{B025F937-C7B1-47D3-B67F-A62EFF666E3E}">
          <x14:id>{F17A6D30-0FA8-445D-A163-EF37F8FAC453}</x14:id>
        </ext>
      </extLst>
    </cfRule>
  </conditionalFormatting>
  <conditionalFormatting sqref="H1122:M1122">
    <cfRule type="dataBar" priority="181">
      <dataBar>
        <cfvo type="min"/>
        <cfvo type="num" val="4"/>
        <color rgb="FFFFC000"/>
      </dataBar>
      <extLst>
        <ext xmlns:x14="http://schemas.microsoft.com/office/spreadsheetml/2009/9/main" uri="{B025F937-C7B1-47D3-B67F-A62EFF666E3E}">
          <x14:id>{04F6C02E-7BF6-4FBC-A993-DC42F0422558}</x14:id>
        </ext>
      </extLst>
    </cfRule>
  </conditionalFormatting>
  <conditionalFormatting sqref="H1123:M1125 H909:M914 H891:M907 H917:M934 H936:M953 H955:M972 H974:M991 H993:M1010 H1012:M1029 H1031:M1048 H1050:M1067 H1069:M1089 H1091:M1108 H1110:M1121">
    <cfRule type="dataBar" priority="237">
      <dataBar>
        <cfvo type="min"/>
        <cfvo type="num" val="4"/>
        <color rgb="FFFFC000"/>
      </dataBar>
      <extLst>
        <ext xmlns:x14="http://schemas.microsoft.com/office/spreadsheetml/2009/9/main" uri="{B025F937-C7B1-47D3-B67F-A62EFF666E3E}">
          <x14:id>{F6EBAD4B-397A-4D41-A011-39216889E484}</x14:id>
        </ext>
      </extLst>
    </cfRule>
  </conditionalFormatting>
  <conditionalFormatting sqref="H1126:M1126">
    <cfRule type="dataBar" priority="174">
      <dataBar>
        <cfvo type="min"/>
        <cfvo type="num" val="4"/>
        <color rgb="FFFFC000"/>
      </dataBar>
      <extLst>
        <ext xmlns:x14="http://schemas.microsoft.com/office/spreadsheetml/2009/9/main" uri="{B025F937-C7B1-47D3-B67F-A62EFF666E3E}">
          <x14:id>{E3D3A31F-1B4D-4C1E-B155-12725913D55E}</x14:id>
        </ext>
      </extLst>
    </cfRule>
  </conditionalFormatting>
  <conditionalFormatting sqref="H1127:M1184">
    <cfRule type="dataBar" priority="164">
      <dataBar>
        <cfvo type="min"/>
        <cfvo type="num" val="4"/>
        <color rgb="FFFFC000"/>
      </dataBar>
      <extLst>
        <ext xmlns:x14="http://schemas.microsoft.com/office/spreadsheetml/2009/9/main" uri="{B025F937-C7B1-47D3-B67F-A62EFF666E3E}">
          <x14:id>{477C9796-99D8-42A2-AD03-395B8F54A3A5}</x14:id>
        </ext>
      </extLst>
    </cfRule>
  </conditionalFormatting>
  <conditionalFormatting sqref="H1185:M1243">
    <cfRule type="dataBar" priority="145">
      <dataBar>
        <cfvo type="min"/>
        <cfvo type="num" val="4"/>
        <color rgb="FFFFC000"/>
      </dataBar>
      <extLst>
        <ext xmlns:x14="http://schemas.microsoft.com/office/spreadsheetml/2009/9/main" uri="{B025F937-C7B1-47D3-B67F-A62EFF666E3E}">
          <x14:id>{BB1630BC-20D1-4F08-AC7A-9A21EC3D6B6B}</x14:id>
        </ext>
      </extLst>
    </cfRule>
  </conditionalFormatting>
  <conditionalFormatting sqref="H1126:M1246">
    <cfRule type="cellIs" dxfId="196" priority="111" stopIfTrue="1" operator="notBetween">
      <formula>1</formula>
      <formula>4</formula>
    </cfRule>
  </conditionalFormatting>
  <conditionalFormatting sqref="H1244:M1246">
    <cfRule type="containsBlanks" dxfId="195" priority="110" stopIfTrue="1">
      <formula>LEN(TRIM(H1244))=0</formula>
    </cfRule>
  </conditionalFormatting>
  <conditionalFormatting sqref="H1250:M1275 H1244:M1246">
    <cfRule type="dataBar" priority="8932">
      <dataBar>
        <cfvo type="min"/>
        <cfvo type="num" val="4"/>
        <color rgb="FFFFC000"/>
      </dataBar>
      <extLst>
        <ext xmlns:x14="http://schemas.microsoft.com/office/spreadsheetml/2009/9/main" uri="{B025F937-C7B1-47D3-B67F-A62EFF666E3E}">
          <x14:id>{FD2D57E6-A4A2-46E5-8307-8ABDE36BA79D}</x14:id>
        </ext>
      </extLst>
    </cfRule>
  </conditionalFormatting>
  <conditionalFormatting sqref="H1250:M1398">
    <cfRule type="containsBlanks" dxfId="194" priority="98" stopIfTrue="1">
      <formula>LEN(TRIM(H1250))=0</formula>
    </cfRule>
    <cfRule type="cellIs" dxfId="193" priority="101" stopIfTrue="1" operator="notBetween">
      <formula>1</formula>
      <formula>4</formula>
    </cfRule>
  </conditionalFormatting>
  <conditionalFormatting sqref="H1276:M1279">
    <cfRule type="dataBar" priority="8299">
      <dataBar>
        <cfvo type="min"/>
        <cfvo type="num" val="4"/>
        <color rgb="FFFFC000"/>
      </dataBar>
      <extLst>
        <ext xmlns:x14="http://schemas.microsoft.com/office/spreadsheetml/2009/9/main" uri="{B025F937-C7B1-47D3-B67F-A62EFF666E3E}">
          <x14:id>{78595269-E52B-496C-95A4-F9035A539AC5}</x14:id>
        </ext>
      </extLst>
    </cfRule>
  </conditionalFormatting>
  <conditionalFormatting sqref="H1280:M1280">
    <cfRule type="dataBar" priority="125">
      <dataBar>
        <cfvo type="min"/>
        <cfvo type="num" val="4"/>
        <color rgb="FFFFC000"/>
      </dataBar>
      <extLst>
        <ext xmlns:x14="http://schemas.microsoft.com/office/spreadsheetml/2009/9/main" uri="{B025F937-C7B1-47D3-B67F-A62EFF666E3E}">
          <x14:id>{838F6A96-F116-49B2-B496-786614AA0A9B}</x14:id>
        </ext>
      </extLst>
    </cfRule>
  </conditionalFormatting>
  <conditionalFormatting sqref="H1281:M1291">
    <cfRule type="dataBar" priority="131">
      <dataBar>
        <cfvo type="min"/>
        <cfvo type="num" val="4"/>
        <color rgb="FFFFC000"/>
      </dataBar>
      <extLst>
        <ext xmlns:x14="http://schemas.microsoft.com/office/spreadsheetml/2009/9/main" uri="{B025F937-C7B1-47D3-B67F-A62EFF666E3E}">
          <x14:id>{4F98EB96-C1E0-4643-A145-06B5F8BB5784}</x14:id>
        </ext>
      </extLst>
    </cfRule>
  </conditionalFormatting>
  <conditionalFormatting sqref="H1292:M1301">
    <cfRule type="dataBar" priority="121">
      <dataBar>
        <cfvo type="min"/>
        <cfvo type="num" val="4"/>
        <color rgb="FFFFC000"/>
      </dataBar>
      <extLst>
        <ext xmlns:x14="http://schemas.microsoft.com/office/spreadsheetml/2009/9/main" uri="{B025F937-C7B1-47D3-B67F-A62EFF666E3E}">
          <x14:id>{1E6386B3-2E09-43CE-BB77-4B113DEF381B}</x14:id>
        </ext>
      </extLst>
    </cfRule>
  </conditionalFormatting>
  <conditionalFormatting sqref="H1302:M1302">
    <cfRule type="dataBar" priority="17">
      <dataBar>
        <cfvo type="min"/>
        <cfvo type="num" val="4"/>
        <color rgb="FFFFC000"/>
      </dataBar>
      <extLst>
        <ext xmlns:x14="http://schemas.microsoft.com/office/spreadsheetml/2009/9/main" uri="{B025F937-C7B1-47D3-B67F-A62EFF666E3E}">
          <x14:id>{45DA9F47-8A2F-4764-BD9B-B4247F3401DB}</x14:id>
        </ext>
      </extLst>
    </cfRule>
  </conditionalFormatting>
  <conditionalFormatting sqref="H1303:M1306">
    <cfRule type="dataBar" priority="122">
      <dataBar>
        <cfvo type="min"/>
        <cfvo type="num" val="4"/>
        <color rgb="FFFFC000"/>
      </dataBar>
      <extLst>
        <ext xmlns:x14="http://schemas.microsoft.com/office/spreadsheetml/2009/9/main" uri="{B025F937-C7B1-47D3-B67F-A62EFF666E3E}">
          <x14:id>{3C6B4D78-66FE-4615-8129-4BE111E3F026}</x14:id>
        </ext>
      </extLst>
    </cfRule>
  </conditionalFormatting>
  <conditionalFormatting sqref="H1307:M1307">
    <cfRule type="dataBar" priority="115">
      <dataBar>
        <cfvo type="min"/>
        <cfvo type="num" val="4"/>
        <color rgb="FFFFC000"/>
      </dataBar>
      <extLst>
        <ext xmlns:x14="http://schemas.microsoft.com/office/spreadsheetml/2009/9/main" uri="{B025F937-C7B1-47D3-B67F-A62EFF666E3E}">
          <x14:id>{18A20061-E604-4327-98EE-636849B405DD}</x14:id>
        </ext>
      </extLst>
    </cfRule>
  </conditionalFormatting>
  <conditionalFormatting sqref="H1308:M1308">
    <cfRule type="dataBar" priority="21">
      <dataBar>
        <cfvo type="min"/>
        <cfvo type="num" val="4"/>
        <color rgb="FFFFC000"/>
      </dataBar>
      <extLst>
        <ext xmlns:x14="http://schemas.microsoft.com/office/spreadsheetml/2009/9/main" uri="{B025F937-C7B1-47D3-B67F-A62EFF666E3E}">
          <x14:id>{AB3EBBB7-2D11-42E8-8C84-6F1E9882C0EF}</x14:id>
        </ext>
      </extLst>
    </cfRule>
  </conditionalFormatting>
  <conditionalFormatting sqref="H1309:M1317">
    <cfRule type="dataBar" priority="118">
      <dataBar>
        <cfvo type="min"/>
        <cfvo type="num" val="4"/>
        <color rgb="FFFFC000"/>
      </dataBar>
      <extLst>
        <ext xmlns:x14="http://schemas.microsoft.com/office/spreadsheetml/2009/9/main" uri="{B025F937-C7B1-47D3-B67F-A62EFF666E3E}">
          <x14:id>{F7685427-7022-4322-95B9-026F7BCC1EC4}</x14:id>
        </ext>
      </extLst>
    </cfRule>
  </conditionalFormatting>
  <conditionalFormatting sqref="H1314:M1314">
    <cfRule type="dataBar" priority="18">
      <dataBar>
        <cfvo type="min"/>
        <cfvo type="num" val="4"/>
        <color rgb="FFFFC000"/>
      </dataBar>
      <extLst>
        <ext xmlns:x14="http://schemas.microsoft.com/office/spreadsheetml/2009/9/main" uri="{B025F937-C7B1-47D3-B67F-A62EFF666E3E}">
          <x14:id>{3010524C-3B0E-41F1-B689-64F9877CD01A}</x14:id>
        </ext>
      </extLst>
    </cfRule>
  </conditionalFormatting>
  <conditionalFormatting sqref="H1318:M1322">
    <cfRule type="dataBar" priority="112">
      <dataBar>
        <cfvo type="min"/>
        <cfvo type="num" val="4"/>
        <color rgb="FFFFC000"/>
      </dataBar>
      <extLst>
        <ext xmlns:x14="http://schemas.microsoft.com/office/spreadsheetml/2009/9/main" uri="{B025F937-C7B1-47D3-B67F-A62EFF666E3E}">
          <x14:id>{FE468DE5-93BE-473E-A7A2-7E2187B30927}</x14:id>
        </ext>
      </extLst>
    </cfRule>
  </conditionalFormatting>
  <conditionalFormatting sqref="H1323:M1326">
    <cfRule type="dataBar" priority="109">
      <dataBar>
        <cfvo type="min"/>
        <cfvo type="num" val="4"/>
        <color rgb="FFFFC000"/>
      </dataBar>
      <extLst>
        <ext xmlns:x14="http://schemas.microsoft.com/office/spreadsheetml/2009/9/main" uri="{B025F937-C7B1-47D3-B67F-A62EFF666E3E}">
          <x14:id>{587E42E6-08A2-4210-8F44-90BFB5B4C20A}</x14:id>
        </ext>
      </extLst>
    </cfRule>
  </conditionalFormatting>
  <conditionalFormatting sqref="H1327:M1327">
    <cfRule type="dataBar" priority="107">
      <dataBar>
        <cfvo type="min"/>
        <cfvo type="num" val="4"/>
        <color rgb="FFFFC000"/>
      </dataBar>
      <extLst>
        <ext xmlns:x14="http://schemas.microsoft.com/office/spreadsheetml/2009/9/main" uri="{B025F937-C7B1-47D3-B67F-A62EFF666E3E}">
          <x14:id>{139D3D38-2613-4A9A-9D9A-8CBA5443B775}</x14:id>
        </ext>
      </extLst>
    </cfRule>
  </conditionalFormatting>
  <conditionalFormatting sqref="H1328:M1338">
    <cfRule type="dataBar" priority="108">
      <dataBar>
        <cfvo type="min"/>
        <cfvo type="num" val="4"/>
        <color rgb="FFFFC000"/>
      </dataBar>
      <extLst>
        <ext xmlns:x14="http://schemas.microsoft.com/office/spreadsheetml/2009/9/main" uri="{B025F937-C7B1-47D3-B67F-A62EFF666E3E}">
          <x14:id>{808B6F5D-11D8-4926-A7E1-8EAB683432A5}</x14:id>
        </ext>
      </extLst>
    </cfRule>
  </conditionalFormatting>
  <conditionalFormatting sqref="H1339:M1349">
    <cfRule type="dataBar" priority="105">
      <dataBar>
        <cfvo type="min"/>
        <cfvo type="num" val="4"/>
        <color rgb="FFFFC000"/>
      </dataBar>
      <extLst>
        <ext xmlns:x14="http://schemas.microsoft.com/office/spreadsheetml/2009/9/main" uri="{B025F937-C7B1-47D3-B67F-A62EFF666E3E}">
          <x14:id>{2543AE42-FF5C-4E5A-9202-0D6FC1EC90FA}</x14:id>
        </ext>
      </extLst>
    </cfRule>
  </conditionalFormatting>
  <conditionalFormatting sqref="H1350:M1353">
    <cfRule type="dataBar" priority="106">
      <dataBar>
        <cfvo type="min"/>
        <cfvo type="num" val="4"/>
        <color rgb="FFFFC000"/>
      </dataBar>
      <extLst>
        <ext xmlns:x14="http://schemas.microsoft.com/office/spreadsheetml/2009/9/main" uri="{B025F937-C7B1-47D3-B67F-A62EFF666E3E}">
          <x14:id>{3EA27803-CF1E-4D42-9A8C-242230D0ED0D}</x14:id>
        </ext>
      </extLst>
    </cfRule>
  </conditionalFormatting>
  <conditionalFormatting sqref="H1354:M1354">
    <cfRule type="dataBar" priority="103">
      <dataBar>
        <cfvo type="min"/>
        <cfvo type="num" val="4"/>
        <color rgb="FFFFC000"/>
      </dataBar>
      <extLst>
        <ext xmlns:x14="http://schemas.microsoft.com/office/spreadsheetml/2009/9/main" uri="{B025F937-C7B1-47D3-B67F-A62EFF666E3E}">
          <x14:id>{733C10C1-2B6A-4DD9-BC83-774EEB5C4E16}</x14:id>
        </ext>
      </extLst>
    </cfRule>
  </conditionalFormatting>
  <conditionalFormatting sqref="H1355:M1364">
    <cfRule type="dataBar" priority="104">
      <dataBar>
        <cfvo type="min"/>
        <cfvo type="num" val="4"/>
        <color rgb="FFFFC000"/>
      </dataBar>
      <extLst>
        <ext xmlns:x14="http://schemas.microsoft.com/office/spreadsheetml/2009/9/main" uri="{B025F937-C7B1-47D3-B67F-A62EFF666E3E}">
          <x14:id>{2D0996A4-9F97-4C19-BE68-0EA7BC3FDBCE}</x14:id>
        </ext>
      </extLst>
    </cfRule>
  </conditionalFormatting>
  <conditionalFormatting sqref="H1365:M1369">
    <cfRule type="dataBar" priority="102">
      <dataBar>
        <cfvo type="min"/>
        <cfvo type="num" val="4"/>
        <color rgb="FFFFC000"/>
      </dataBar>
      <extLst>
        <ext xmlns:x14="http://schemas.microsoft.com/office/spreadsheetml/2009/9/main" uri="{B025F937-C7B1-47D3-B67F-A62EFF666E3E}">
          <x14:id>{8DE006C4-F113-4864-BA89-09932E02B8D9}</x14:id>
        </ext>
      </extLst>
    </cfRule>
  </conditionalFormatting>
  <conditionalFormatting sqref="H1370:M1373">
    <cfRule type="dataBar" priority="99">
      <dataBar>
        <cfvo type="min"/>
        <cfvo type="num" val="4"/>
        <color rgb="FFFFC000"/>
      </dataBar>
      <extLst>
        <ext xmlns:x14="http://schemas.microsoft.com/office/spreadsheetml/2009/9/main" uri="{B025F937-C7B1-47D3-B67F-A62EFF666E3E}">
          <x14:id>{D12839BB-770C-4F49-AFEE-F846ADE71758}</x14:id>
        </ext>
      </extLst>
    </cfRule>
  </conditionalFormatting>
  <conditionalFormatting sqref="H1374:M1374">
    <cfRule type="dataBar" priority="97">
      <dataBar>
        <cfvo type="min"/>
        <cfvo type="num" val="4"/>
        <color rgb="FFFFC000"/>
      </dataBar>
      <extLst>
        <ext xmlns:x14="http://schemas.microsoft.com/office/spreadsheetml/2009/9/main" uri="{B025F937-C7B1-47D3-B67F-A62EFF666E3E}">
          <x14:id>{6D598FF7-F1DF-4A21-A9C1-0B9B8130097E}</x14:id>
        </ext>
      </extLst>
    </cfRule>
  </conditionalFormatting>
  <conditionalFormatting sqref="H1375:M1385">
    <cfRule type="dataBar" priority="8882">
      <dataBar>
        <cfvo type="min"/>
        <cfvo type="num" val="4"/>
        <color rgb="FFFFC000"/>
      </dataBar>
      <extLst>
        <ext xmlns:x14="http://schemas.microsoft.com/office/spreadsheetml/2009/9/main" uri="{B025F937-C7B1-47D3-B67F-A62EFF666E3E}">
          <x14:id>{96E5137D-5C37-46A7-94CC-EB25C6E818F9}</x14:id>
        </ext>
      </extLst>
    </cfRule>
  </conditionalFormatting>
  <conditionalFormatting sqref="H1386:M1396">
    <cfRule type="dataBar" priority="95">
      <dataBar>
        <cfvo type="min"/>
        <cfvo type="num" val="4"/>
        <color rgb="FFFFC000"/>
      </dataBar>
      <extLst>
        <ext xmlns:x14="http://schemas.microsoft.com/office/spreadsheetml/2009/9/main" uri="{B025F937-C7B1-47D3-B67F-A62EFF666E3E}">
          <x14:id>{D5B2D1E4-F83C-416F-A408-B3DD9871AAFB}</x14:id>
        </ext>
      </extLst>
    </cfRule>
  </conditionalFormatting>
  <conditionalFormatting sqref="H1397:M1398">
    <cfRule type="dataBar" priority="8885">
      <dataBar>
        <cfvo type="min"/>
        <cfvo type="num" val="4"/>
        <color rgb="FFFFC000"/>
      </dataBar>
      <extLst>
        <ext xmlns:x14="http://schemas.microsoft.com/office/spreadsheetml/2009/9/main" uri="{B025F937-C7B1-47D3-B67F-A62EFF666E3E}">
          <x14:id>{96D073B0-987F-471F-B5AA-DA92DA506A55}</x14:id>
        </ext>
      </extLst>
    </cfRule>
  </conditionalFormatting>
  <conditionalFormatting sqref="H1399:M1399">
    <cfRule type="cellIs" dxfId="192" priority="30" stopIfTrue="1" operator="notBetween">
      <formula>1</formula>
      <formula>4</formula>
    </cfRule>
    <cfRule type="dataBar" priority="31">
      <dataBar>
        <cfvo type="min"/>
        <cfvo type="num" val="4"/>
        <color rgb="FFFFC000"/>
      </dataBar>
      <extLst>
        <ext xmlns:x14="http://schemas.microsoft.com/office/spreadsheetml/2009/9/main" uri="{B025F937-C7B1-47D3-B67F-A62EFF666E3E}">
          <x14:id>{74AE529A-7935-4026-A156-7A01961AA581}</x14:id>
        </ext>
      </extLst>
    </cfRule>
  </conditionalFormatting>
  <conditionalFormatting sqref="H1399:M1404 H891:M1243 I1405">
    <cfRule type="containsBlanks" dxfId="191" priority="35" stopIfTrue="1">
      <formula>LEN(TRIM(H891))=0</formula>
    </cfRule>
  </conditionalFormatting>
  <conditionalFormatting sqref="H1400:M1401">
    <cfRule type="dataBar" priority="37">
      <dataBar>
        <cfvo type="min"/>
        <cfvo type="num" val="4"/>
        <color rgb="FFFFC000"/>
      </dataBar>
      <extLst>
        <ext xmlns:x14="http://schemas.microsoft.com/office/spreadsheetml/2009/9/main" uri="{B025F937-C7B1-47D3-B67F-A62EFF666E3E}">
          <x14:id>{3E98507C-8F70-406F-BFBD-7149D695AF51}</x14:id>
        </ext>
      </extLst>
    </cfRule>
  </conditionalFormatting>
  <conditionalFormatting sqref="H1400:M1404 I1405">
    <cfRule type="cellIs" dxfId="190" priority="36" stopIfTrue="1" operator="notBetween">
      <formula>1</formula>
      <formula>4</formula>
    </cfRule>
  </conditionalFormatting>
  <conditionalFormatting sqref="H1402:M1402">
    <cfRule type="dataBar" priority="60">
      <dataBar>
        <cfvo type="min"/>
        <cfvo type="num" val="4"/>
        <color rgb="FFFFC000"/>
      </dataBar>
      <extLst>
        <ext xmlns:x14="http://schemas.microsoft.com/office/spreadsheetml/2009/9/main" uri="{B025F937-C7B1-47D3-B67F-A62EFF666E3E}">
          <x14:id>{FFBB5DE8-E6FC-42F5-BD28-6FF7958AE086}</x14:id>
        </ext>
      </extLst>
    </cfRule>
  </conditionalFormatting>
  <conditionalFormatting sqref="H1403:M1403">
    <cfRule type="dataBar" priority="57">
      <dataBar>
        <cfvo type="min"/>
        <cfvo type="num" val="4"/>
        <color rgb="FFFFC000"/>
      </dataBar>
      <extLst>
        <ext xmlns:x14="http://schemas.microsoft.com/office/spreadsheetml/2009/9/main" uri="{B025F937-C7B1-47D3-B67F-A62EFF666E3E}">
          <x14:id>{E8E8B35A-21F4-48E5-B83D-15320BE621E5}</x14:id>
        </ext>
      </extLst>
    </cfRule>
  </conditionalFormatting>
  <conditionalFormatting sqref="H1404:M1404 I1405">
    <cfRule type="dataBar" priority="77">
      <dataBar>
        <cfvo type="min"/>
        <cfvo type="num" val="4"/>
        <color rgb="FFFFC000"/>
      </dataBar>
      <extLst>
        <ext xmlns:x14="http://schemas.microsoft.com/office/spreadsheetml/2009/9/main" uri="{B025F937-C7B1-47D3-B67F-A62EFF666E3E}">
          <x14:id>{534DD5AC-AF58-495B-AC27-93178C46EB2A}</x14:id>
        </ext>
      </extLst>
    </cfRule>
  </conditionalFormatting>
  <conditionalFormatting sqref="J1405:M1405 H1405">
    <cfRule type="cellIs" dxfId="189" priority="22" stopIfTrue="1" operator="notBetween">
      <formula>1</formula>
      <formula>4</formula>
    </cfRule>
    <cfRule type="dataBar" priority="23">
      <dataBar>
        <cfvo type="min"/>
        <cfvo type="num" val="4"/>
        <color rgb="FFFFC000"/>
      </dataBar>
      <extLst>
        <ext xmlns:x14="http://schemas.microsoft.com/office/spreadsheetml/2009/9/main" uri="{B025F937-C7B1-47D3-B67F-A62EFF666E3E}">
          <x14:id>{C6267D83-65C7-470A-A878-913168EBF4E1}</x14:id>
        </ext>
      </extLst>
    </cfRule>
  </conditionalFormatting>
  <conditionalFormatting sqref="H1406:M1412 H1405 J1405:M1405">
    <cfRule type="containsBlanks" dxfId="188" priority="24" stopIfTrue="1">
      <formula>LEN(TRIM(H1405))=0</formula>
    </cfRule>
  </conditionalFormatting>
  <conditionalFormatting sqref="H1406:M1406">
    <cfRule type="dataBar" priority="52">
      <dataBar>
        <cfvo type="min"/>
        <cfvo type="num" val="4"/>
        <color rgb="FFFFC000"/>
      </dataBar>
      <extLst>
        <ext xmlns:x14="http://schemas.microsoft.com/office/spreadsheetml/2009/9/main" uri="{B025F937-C7B1-47D3-B67F-A62EFF666E3E}">
          <x14:id>{1C678FE8-1629-499E-B8D5-7809E0EE1FA8}</x14:id>
        </ext>
      </extLst>
    </cfRule>
  </conditionalFormatting>
  <conditionalFormatting sqref="H1406:M1412">
    <cfRule type="cellIs" dxfId="187" priority="39" stopIfTrue="1" operator="notBetween">
      <formula>1</formula>
      <formula>4</formula>
    </cfRule>
  </conditionalFormatting>
  <conditionalFormatting sqref="H1407:M1407">
    <cfRule type="dataBar" priority="49">
      <dataBar>
        <cfvo type="min"/>
        <cfvo type="num" val="4"/>
        <color rgb="FFFFC000"/>
      </dataBar>
      <extLst>
        <ext xmlns:x14="http://schemas.microsoft.com/office/spreadsheetml/2009/9/main" uri="{B025F937-C7B1-47D3-B67F-A62EFF666E3E}">
          <x14:id>{87FAB6CA-8080-494D-9FAE-139D22174EED}</x14:id>
        </ext>
      </extLst>
    </cfRule>
  </conditionalFormatting>
  <conditionalFormatting sqref="H1408:M1408">
    <cfRule type="dataBar" priority="46">
      <dataBar>
        <cfvo type="min"/>
        <cfvo type="num" val="4"/>
        <color rgb="FFFFC000"/>
      </dataBar>
      <extLst>
        <ext xmlns:x14="http://schemas.microsoft.com/office/spreadsheetml/2009/9/main" uri="{B025F937-C7B1-47D3-B67F-A62EFF666E3E}">
          <x14:id>{3E7F4117-66C5-4BD2-8629-4C4D2E4486A3}</x14:id>
        </ext>
      </extLst>
    </cfRule>
  </conditionalFormatting>
  <conditionalFormatting sqref="H1409:M1409">
    <cfRule type="dataBar" priority="72">
      <dataBar>
        <cfvo type="min"/>
        <cfvo type="num" val="4"/>
        <color rgb="FFFFC000"/>
      </dataBar>
      <extLst>
        <ext xmlns:x14="http://schemas.microsoft.com/office/spreadsheetml/2009/9/main" uri="{B025F937-C7B1-47D3-B67F-A62EFF666E3E}">
          <x14:id>{2A73FDF0-6927-46E9-AE6F-26E4B14D169B}</x14:id>
        </ext>
      </extLst>
    </cfRule>
  </conditionalFormatting>
  <conditionalFormatting sqref="H1410:M1410">
    <cfRule type="dataBar" priority="40">
      <dataBar>
        <cfvo type="min"/>
        <cfvo type="num" val="4"/>
        <color rgb="FFFFC000"/>
      </dataBar>
      <extLst>
        <ext xmlns:x14="http://schemas.microsoft.com/office/spreadsheetml/2009/9/main" uri="{B025F937-C7B1-47D3-B67F-A62EFF666E3E}">
          <x14:id>{B7D1F8C5-1D53-488A-A9D9-FC6BD54320D4}</x14:id>
        </ext>
      </extLst>
    </cfRule>
  </conditionalFormatting>
  <conditionalFormatting sqref="H1411:M1412">
    <cfRule type="dataBar" priority="69">
      <dataBar>
        <cfvo type="min"/>
        <cfvo type="num" val="4"/>
        <color rgb="FFFFC000"/>
      </dataBar>
      <extLst>
        <ext xmlns:x14="http://schemas.microsoft.com/office/spreadsheetml/2009/9/main" uri="{B025F937-C7B1-47D3-B67F-A62EFF666E3E}">
          <x14:id>{9D127D25-CD58-473B-B902-864102AB1F1E}</x14:id>
        </ext>
      </extLst>
    </cfRule>
  </conditionalFormatting>
  <conditionalFormatting sqref="H1414:M1414">
    <cfRule type="dataBar" priority="66">
      <dataBar>
        <cfvo type="min"/>
        <cfvo type="num" val="4"/>
        <color rgb="FFFFC000"/>
      </dataBar>
      <extLst>
        <ext xmlns:x14="http://schemas.microsoft.com/office/spreadsheetml/2009/9/main" uri="{B025F937-C7B1-47D3-B67F-A62EFF666E3E}">
          <x14:id>{1B27A565-30ED-42F8-8700-6DDDBEC85E8D}</x14:id>
        </ext>
      </extLst>
    </cfRule>
  </conditionalFormatting>
  <conditionalFormatting sqref="H1414:M1417">
    <cfRule type="containsBlanks" dxfId="186" priority="32" stopIfTrue="1">
      <formula>LEN(TRIM(H1414))=0</formula>
    </cfRule>
    <cfRule type="cellIs" dxfId="185" priority="33" stopIfTrue="1" operator="notBetween">
      <formula>1</formula>
      <formula>4</formula>
    </cfRule>
  </conditionalFormatting>
  <conditionalFormatting sqref="H1415:M1416">
    <cfRule type="dataBar" priority="63">
      <dataBar>
        <cfvo type="min"/>
        <cfvo type="num" val="4"/>
        <color rgb="FFFFC000"/>
      </dataBar>
      <extLst>
        <ext xmlns:x14="http://schemas.microsoft.com/office/spreadsheetml/2009/9/main" uri="{B025F937-C7B1-47D3-B67F-A62EFF666E3E}">
          <x14:id>{65066EC0-D07E-4EE9-8147-7E441D2F9401}</x14:id>
        </ext>
      </extLst>
    </cfRule>
  </conditionalFormatting>
  <conditionalFormatting sqref="H1417:M1417">
    <cfRule type="dataBar" priority="34">
      <dataBar>
        <cfvo type="min"/>
        <cfvo type="num" val="4"/>
        <color rgb="FFFFC000"/>
      </dataBar>
      <extLst>
        <ext xmlns:x14="http://schemas.microsoft.com/office/spreadsheetml/2009/9/main" uri="{B025F937-C7B1-47D3-B67F-A62EFF666E3E}">
          <x14:id>{82FD937E-8AA1-4544-894E-2DB2FF66E0B5}</x14:id>
        </ext>
      </extLst>
    </cfRule>
  </conditionalFormatting>
  <conditionalFormatting sqref="H1419:M1435">
    <cfRule type="containsBlanks" dxfId="184" priority="41" stopIfTrue="1">
      <formula>LEN(TRIM(H1419))=0</formula>
    </cfRule>
    <cfRule type="cellIs" dxfId="183" priority="42" stopIfTrue="1" operator="notBetween">
      <formula>1</formula>
      <formula>4</formula>
    </cfRule>
  </conditionalFormatting>
  <conditionalFormatting sqref="H1421:M1421">
    <cfRule type="dataBar" priority="75">
      <dataBar>
        <cfvo type="min"/>
        <cfvo type="num" val="4"/>
        <color rgb="FFFFC000"/>
      </dataBar>
      <extLst>
        <ext xmlns:x14="http://schemas.microsoft.com/office/spreadsheetml/2009/9/main" uri="{B025F937-C7B1-47D3-B67F-A62EFF666E3E}">
          <x14:id>{1C4DE7CD-FF5A-4705-A280-AEC064C61EC3}</x14:id>
        </ext>
      </extLst>
    </cfRule>
  </conditionalFormatting>
  <conditionalFormatting sqref="H1424:M1424 H1429:M1429 H1435:M1435 H1440:M1440">
    <cfRule type="dataBar" priority="79">
      <dataBar>
        <cfvo type="min"/>
        <cfvo type="num" val="4"/>
        <color rgb="FFFFC000"/>
      </dataBar>
      <extLst>
        <ext xmlns:x14="http://schemas.microsoft.com/office/spreadsheetml/2009/9/main" uri="{B025F937-C7B1-47D3-B67F-A62EFF666E3E}">
          <x14:id>{23EE4AFC-6C7C-4ADA-BA1F-EE4A1CDFC5EC}</x14:id>
        </ext>
      </extLst>
    </cfRule>
  </conditionalFormatting>
  <conditionalFormatting sqref="H1425:M1426">
    <cfRule type="dataBar" priority="43">
      <dataBar>
        <cfvo type="min"/>
        <cfvo type="num" val="4"/>
        <color rgb="FFFFC000"/>
      </dataBar>
      <extLst>
        <ext xmlns:x14="http://schemas.microsoft.com/office/spreadsheetml/2009/9/main" uri="{B025F937-C7B1-47D3-B67F-A62EFF666E3E}">
          <x14:id>{D66D1455-A9D0-4DF7-B3B3-2DC095F07A93}</x14:id>
        </ext>
      </extLst>
    </cfRule>
  </conditionalFormatting>
  <conditionalFormatting sqref="H1427:M1428 H1422:M1423 H1419:M1420">
    <cfRule type="dataBar" priority="78">
      <dataBar>
        <cfvo type="min"/>
        <cfvo type="num" val="4"/>
        <color rgb="FFFFC000"/>
      </dataBar>
      <extLst>
        <ext xmlns:x14="http://schemas.microsoft.com/office/spreadsheetml/2009/9/main" uri="{B025F937-C7B1-47D3-B67F-A62EFF666E3E}">
          <x14:id>{27202862-82BF-420A-B622-40C267477592}</x14:id>
        </ext>
      </extLst>
    </cfRule>
  </conditionalFormatting>
  <conditionalFormatting sqref="H1432:M1432">
    <cfRule type="dataBar" priority="28">
      <dataBar>
        <cfvo type="min"/>
        <cfvo type="num" val="4"/>
        <color rgb="FFFFC000"/>
      </dataBar>
      <extLst>
        <ext xmlns:x14="http://schemas.microsoft.com/office/spreadsheetml/2009/9/main" uri="{B025F937-C7B1-47D3-B67F-A62EFF666E3E}">
          <x14:id>{167746D8-C60D-42A1-88A6-C7B8A8105699}</x14:id>
        </ext>
      </extLst>
    </cfRule>
  </conditionalFormatting>
  <conditionalFormatting sqref="H1436:M1437">
    <cfRule type="containsBlanks" dxfId="182" priority="25" stopIfTrue="1">
      <formula>LEN(TRIM(H1436))=0</formula>
    </cfRule>
    <cfRule type="cellIs" dxfId="181" priority="26" stopIfTrue="1" operator="notBetween">
      <formula>1</formula>
      <formula>4</formula>
    </cfRule>
    <cfRule type="dataBar" priority="27">
      <dataBar>
        <cfvo type="min"/>
        <cfvo type="num" val="4"/>
        <color rgb="FFFFC000"/>
      </dataBar>
      <extLst>
        <ext xmlns:x14="http://schemas.microsoft.com/office/spreadsheetml/2009/9/main" uri="{B025F937-C7B1-47D3-B67F-A62EFF666E3E}">
          <x14:id>{B95AD9D9-3A6B-482F-9FA1-119927118C0D}</x14:id>
        </ext>
      </extLst>
    </cfRule>
  </conditionalFormatting>
  <conditionalFormatting sqref="H1438:M1439 H1433:M1434 H1430:M1431">
    <cfRule type="dataBar" priority="29">
      <dataBar>
        <cfvo type="min"/>
        <cfvo type="num" val="4"/>
        <color rgb="FFFFC000"/>
      </dataBar>
      <extLst>
        <ext xmlns:x14="http://schemas.microsoft.com/office/spreadsheetml/2009/9/main" uri="{B025F937-C7B1-47D3-B67F-A62EFF666E3E}">
          <x14:id>{392C63E0-F3DB-499A-9D5C-576261E67A6F}</x14:id>
        </ext>
      </extLst>
    </cfRule>
  </conditionalFormatting>
  <conditionalFormatting sqref="H1438:M1440">
    <cfRule type="containsBlanks" dxfId="180" priority="73" stopIfTrue="1">
      <formula>LEN(TRIM(H1438))=0</formula>
    </cfRule>
    <cfRule type="cellIs" dxfId="179" priority="74" stopIfTrue="1" operator="notBetween">
      <formula>1</formula>
      <formula>4</formula>
    </cfRule>
  </conditionalFormatting>
  <conditionalFormatting sqref="H1441:M1462">
    <cfRule type="containsBlanks" dxfId="178" priority="12" stopIfTrue="1">
      <formula>LEN(TRIM(H1441))=0</formula>
    </cfRule>
    <cfRule type="cellIs" dxfId="177" priority="13" stopIfTrue="1" operator="notBetween">
      <formula>1</formula>
      <formula>4</formula>
    </cfRule>
    <cfRule type="dataBar" priority="14">
      <dataBar>
        <cfvo type="min"/>
        <cfvo type="num" val="4"/>
        <color rgb="FFFFC000"/>
      </dataBar>
      <extLst>
        <ext xmlns:x14="http://schemas.microsoft.com/office/spreadsheetml/2009/9/main" uri="{B025F937-C7B1-47D3-B67F-A62EFF666E3E}">
          <x14:id>{1D8376CC-04EF-4C1F-B1C2-32964C843C96}</x14:id>
        </ext>
      </extLst>
    </cfRule>
  </conditionalFormatting>
  <conditionalFormatting sqref="H859:N864">
    <cfRule type="containsBlanks" dxfId="176" priority="272">
      <formula>LEN(TRIM(H859))=0</formula>
    </cfRule>
  </conditionalFormatting>
  <conditionalFormatting sqref="H2:O275 H283:O858">
    <cfRule type="containsBlanks" dxfId="175" priority="179" stopIfTrue="1">
      <formula>LEN(TRIM(H2))=0</formula>
    </cfRule>
  </conditionalFormatting>
  <conditionalFormatting sqref="H276:O282">
    <cfRule type="containsBlanks" dxfId="174" priority="318">
      <formula>LEN(TRIM(H276))=0</formula>
    </cfRule>
  </conditionalFormatting>
  <conditionalFormatting sqref="H865:O866 N867:O876">
    <cfRule type="containsBlanks" dxfId="173" priority="267">
      <formula>LEN(TRIM(H865))=0</formula>
    </cfRule>
  </conditionalFormatting>
  <conditionalFormatting sqref="I277:I278">
    <cfRule type="dataBar" priority="326">
      <dataBar>
        <cfvo type="min"/>
        <cfvo type="num" val="4"/>
        <color rgb="FFFFC000"/>
      </dataBar>
      <extLst>
        <ext xmlns:x14="http://schemas.microsoft.com/office/spreadsheetml/2009/9/main" uri="{B025F937-C7B1-47D3-B67F-A62EFF666E3E}">
          <x14:id>{0981FE92-40C9-4998-8688-F5E958AF26DF}</x14:id>
        </ext>
      </extLst>
    </cfRule>
  </conditionalFormatting>
  <conditionalFormatting sqref="I280:I281">
    <cfRule type="dataBar" priority="344">
      <dataBar>
        <cfvo type="min"/>
        <cfvo type="num" val="4"/>
        <color rgb="FFFFC000"/>
      </dataBar>
      <extLst>
        <ext xmlns:x14="http://schemas.microsoft.com/office/spreadsheetml/2009/9/main" uri="{B025F937-C7B1-47D3-B67F-A62EFF666E3E}">
          <x14:id>{8C325829-DC4E-4059-85B7-DE2682CB3B57}</x14:id>
        </ext>
      </extLst>
    </cfRule>
  </conditionalFormatting>
  <conditionalFormatting sqref="I859:I864">
    <cfRule type="dataBar" priority="282">
      <dataBar>
        <cfvo type="min"/>
        <cfvo type="num" val="4"/>
        <color rgb="FFFFC000"/>
      </dataBar>
      <extLst>
        <ext xmlns:x14="http://schemas.microsoft.com/office/spreadsheetml/2009/9/main" uri="{B025F937-C7B1-47D3-B67F-A62EFF666E3E}">
          <x14:id>{64BBA177-E9E6-4258-837C-B4E2091A860D}</x14:id>
        </ext>
      </extLst>
    </cfRule>
  </conditionalFormatting>
  <conditionalFormatting sqref="J277:J278">
    <cfRule type="dataBar" priority="320">
      <dataBar>
        <cfvo type="min"/>
        <cfvo type="num" val="4"/>
        <color rgb="FFFFC000"/>
      </dataBar>
      <extLst>
        <ext xmlns:x14="http://schemas.microsoft.com/office/spreadsheetml/2009/9/main" uri="{B025F937-C7B1-47D3-B67F-A62EFF666E3E}">
          <x14:id>{36844039-BEAE-48B6-9E94-15D168E5520E}</x14:id>
        </ext>
      </extLst>
    </cfRule>
  </conditionalFormatting>
  <conditionalFormatting sqref="J280:J281">
    <cfRule type="dataBar" priority="338">
      <dataBar>
        <cfvo type="min"/>
        <cfvo type="num" val="4"/>
        <color rgb="FFFFC000"/>
      </dataBar>
      <extLst>
        <ext xmlns:x14="http://schemas.microsoft.com/office/spreadsheetml/2009/9/main" uri="{B025F937-C7B1-47D3-B67F-A62EFF666E3E}">
          <x14:id>{F934E2D6-1F08-4146-B105-9A045A89AA43}</x14:id>
        </ext>
      </extLst>
    </cfRule>
  </conditionalFormatting>
  <conditionalFormatting sqref="J859:J864">
    <cfRule type="dataBar" priority="276">
      <dataBar>
        <cfvo type="min"/>
        <cfvo type="num" val="4"/>
        <color rgb="FFFFC000"/>
      </dataBar>
      <extLst>
        <ext xmlns:x14="http://schemas.microsoft.com/office/spreadsheetml/2009/9/main" uri="{B025F937-C7B1-47D3-B67F-A62EFF666E3E}">
          <x14:id>{40511D16-FD68-424C-B221-1299B52B9CEF}</x14:id>
        </ext>
      </extLst>
    </cfRule>
  </conditionalFormatting>
  <conditionalFormatting sqref="K277:K278">
    <cfRule type="dataBar" priority="335">
      <dataBar>
        <cfvo type="min"/>
        <cfvo type="num" val="4"/>
        <color rgb="FFFFC000"/>
      </dataBar>
      <extLst>
        <ext xmlns:x14="http://schemas.microsoft.com/office/spreadsheetml/2009/9/main" uri="{B025F937-C7B1-47D3-B67F-A62EFF666E3E}">
          <x14:id>{35655516-FD7D-487A-A136-73E746610FEE}</x14:id>
        </ext>
      </extLst>
    </cfRule>
  </conditionalFormatting>
  <conditionalFormatting sqref="K280:K281">
    <cfRule type="dataBar" priority="353">
      <dataBar>
        <cfvo type="min"/>
        <cfvo type="num" val="4"/>
        <color rgb="FFFFC000"/>
      </dataBar>
      <extLst>
        <ext xmlns:x14="http://schemas.microsoft.com/office/spreadsheetml/2009/9/main" uri="{B025F937-C7B1-47D3-B67F-A62EFF666E3E}">
          <x14:id>{3AC1C6DC-4662-48C3-A299-2758C912D15B}</x14:id>
        </ext>
      </extLst>
    </cfRule>
  </conditionalFormatting>
  <conditionalFormatting sqref="K859:K864">
    <cfRule type="dataBar" priority="291">
      <dataBar>
        <cfvo type="min"/>
        <cfvo type="num" val="4"/>
        <color rgb="FFFFC000"/>
      </dataBar>
      <extLst>
        <ext xmlns:x14="http://schemas.microsoft.com/office/spreadsheetml/2009/9/main" uri="{B025F937-C7B1-47D3-B67F-A62EFF666E3E}">
          <x14:id>{410751F8-359B-48E2-B5D1-B8A6F48ADF33}</x14:id>
        </ext>
      </extLst>
    </cfRule>
  </conditionalFormatting>
  <conditionalFormatting sqref="L277:L278">
    <cfRule type="dataBar" priority="332">
      <dataBar>
        <cfvo type="min"/>
        <cfvo type="num" val="4"/>
        <color rgb="FFFFC000"/>
      </dataBar>
      <extLst>
        <ext xmlns:x14="http://schemas.microsoft.com/office/spreadsheetml/2009/9/main" uri="{B025F937-C7B1-47D3-B67F-A62EFF666E3E}">
          <x14:id>{A0C0C633-887C-4064-B0C9-D8DCFD8A0232}</x14:id>
        </ext>
      </extLst>
    </cfRule>
  </conditionalFormatting>
  <conditionalFormatting sqref="L280:L281">
    <cfRule type="dataBar" priority="350">
      <dataBar>
        <cfvo type="min"/>
        <cfvo type="num" val="4"/>
        <color rgb="FFFFC000"/>
      </dataBar>
      <extLst>
        <ext xmlns:x14="http://schemas.microsoft.com/office/spreadsheetml/2009/9/main" uri="{B025F937-C7B1-47D3-B67F-A62EFF666E3E}">
          <x14:id>{EB0DFE2C-63FE-4D19-8832-2FF6F7765BEF}</x14:id>
        </ext>
      </extLst>
    </cfRule>
  </conditionalFormatting>
  <conditionalFormatting sqref="L859:L864">
    <cfRule type="dataBar" priority="288">
      <dataBar>
        <cfvo type="min"/>
        <cfvo type="num" val="4"/>
        <color rgb="FFFFC000"/>
      </dataBar>
      <extLst>
        <ext xmlns:x14="http://schemas.microsoft.com/office/spreadsheetml/2009/9/main" uri="{B025F937-C7B1-47D3-B67F-A62EFF666E3E}">
          <x14:id>{7F39E170-6BBD-4A71-8987-7FAC5C0FBA51}</x14:id>
        </ext>
      </extLst>
    </cfRule>
  </conditionalFormatting>
  <conditionalFormatting sqref="M277:M278">
    <cfRule type="dataBar" priority="329">
      <dataBar>
        <cfvo type="min"/>
        <cfvo type="num" val="4"/>
        <color rgb="FFFFC000"/>
      </dataBar>
      <extLst>
        <ext xmlns:x14="http://schemas.microsoft.com/office/spreadsheetml/2009/9/main" uri="{B025F937-C7B1-47D3-B67F-A62EFF666E3E}">
          <x14:id>{2FF23883-0495-42DD-8901-6B987EBA4DFE}</x14:id>
        </ext>
      </extLst>
    </cfRule>
  </conditionalFormatting>
  <conditionalFormatting sqref="M280:M281">
    <cfRule type="dataBar" priority="347">
      <dataBar>
        <cfvo type="min"/>
        <cfvo type="num" val="4"/>
        <color rgb="FFFFC000"/>
      </dataBar>
      <extLst>
        <ext xmlns:x14="http://schemas.microsoft.com/office/spreadsheetml/2009/9/main" uri="{B025F937-C7B1-47D3-B67F-A62EFF666E3E}">
          <x14:id>{5AEF6319-80C2-4A0C-B2D1-345E3DD9F043}</x14:id>
        </ext>
      </extLst>
    </cfRule>
  </conditionalFormatting>
  <conditionalFormatting sqref="M859:M864">
    <cfRule type="dataBar" priority="285">
      <dataBar>
        <cfvo type="min"/>
        <cfvo type="num" val="4"/>
        <color rgb="FFFFC000"/>
      </dataBar>
      <extLst>
        <ext xmlns:x14="http://schemas.microsoft.com/office/spreadsheetml/2009/9/main" uri="{B025F937-C7B1-47D3-B67F-A62EFF666E3E}">
          <x14:id>{D8476B79-A7A0-48EE-B819-C78E9304EB16}</x14:id>
        </ext>
      </extLst>
    </cfRule>
  </conditionalFormatting>
  <conditionalFormatting sqref="N276:N282">
    <cfRule type="dataBar" priority="355">
      <dataBar>
        <cfvo type="min"/>
        <cfvo type="max"/>
        <color rgb="FF3FCDFF"/>
      </dataBar>
      <extLst>
        <ext xmlns:x14="http://schemas.microsoft.com/office/spreadsheetml/2009/9/main" uri="{B025F937-C7B1-47D3-B67F-A62EFF666E3E}">
          <x14:id>{5FE02AD2-B592-4442-BE93-F1FA8A0DDB6E}</x14:id>
        </ext>
      </extLst>
    </cfRule>
  </conditionalFormatting>
  <conditionalFormatting sqref="N859:N864">
    <cfRule type="dataBar" priority="273">
      <dataBar>
        <cfvo type="min"/>
        <cfvo type="max"/>
        <color rgb="FF3FCDFF"/>
      </dataBar>
      <extLst>
        <ext xmlns:x14="http://schemas.microsoft.com/office/spreadsheetml/2009/9/main" uri="{B025F937-C7B1-47D3-B67F-A62EFF666E3E}">
          <x14:id>{653FB42B-DE40-4B04-BFE0-2BFA64BBDF9F}</x14:id>
        </ext>
      </extLst>
    </cfRule>
  </conditionalFormatting>
  <conditionalFormatting sqref="N865:N876">
    <cfRule type="dataBar" priority="264">
      <dataBar>
        <cfvo type="min"/>
        <cfvo type="max"/>
        <color rgb="FF3FCDFF"/>
      </dataBar>
      <extLst>
        <ext xmlns:x14="http://schemas.microsoft.com/office/spreadsheetml/2009/9/main" uri="{B025F937-C7B1-47D3-B67F-A62EFF666E3E}">
          <x14:id>{71FBF820-96F4-4292-A09E-2001342C43A2}</x14:id>
        </ext>
      </extLst>
    </cfRule>
  </conditionalFormatting>
  <conditionalFormatting sqref="N877:N1054 N1056:N1090 N1092:N1109 N1111:N1462">
    <cfRule type="dataBar" priority="8943">
      <dataBar>
        <cfvo type="min"/>
        <cfvo type="max"/>
        <color rgb="FF3FCDFF"/>
      </dataBar>
      <extLst>
        <ext xmlns:x14="http://schemas.microsoft.com/office/spreadsheetml/2009/9/main" uri="{B025F937-C7B1-47D3-B67F-A62EFF666E3E}">
          <x14:id>{75FB3F3D-C50D-494B-9F38-66F7DAE5D4A4}</x14:id>
        </ext>
      </extLst>
    </cfRule>
  </conditionalFormatting>
  <conditionalFormatting sqref="N2:O275 N283:O857">
    <cfRule type="dataBar" priority="8881">
      <dataBar>
        <cfvo type="min"/>
        <cfvo type="max"/>
        <color rgb="FF3FCDFF"/>
      </dataBar>
      <extLst>
        <ext xmlns:x14="http://schemas.microsoft.com/office/spreadsheetml/2009/9/main" uri="{B025F937-C7B1-47D3-B67F-A62EFF666E3E}">
          <x14:id>{39683FCE-C635-49D2-A9BA-C7023BF37511}</x14:id>
        </ext>
      </extLst>
    </cfRule>
  </conditionalFormatting>
  <conditionalFormatting sqref="N858:O858">
    <cfRule type="dataBar" priority="297">
      <dataBar>
        <cfvo type="min"/>
        <cfvo type="max"/>
        <color rgb="FF3FCDFF"/>
      </dataBar>
      <extLst>
        <ext xmlns:x14="http://schemas.microsoft.com/office/spreadsheetml/2009/9/main" uri="{B025F937-C7B1-47D3-B67F-A62EFF666E3E}">
          <x14:id>{D11272F5-DF2F-4773-94F8-7C2EEEAA96C3}</x14:id>
        </ext>
      </extLst>
    </cfRule>
  </conditionalFormatting>
  <conditionalFormatting sqref="O276:O282">
    <cfRule type="dataBar" priority="356">
      <dataBar>
        <cfvo type="min"/>
        <cfvo type="max"/>
        <color rgb="FF3FCDFF"/>
      </dataBar>
      <extLst>
        <ext xmlns:x14="http://schemas.microsoft.com/office/spreadsheetml/2009/9/main" uri="{B025F937-C7B1-47D3-B67F-A62EFF666E3E}">
          <x14:id>{0AFB4F83-0A52-40D8-AB0C-A5FD58A88EC6}</x14:id>
        </ext>
      </extLst>
    </cfRule>
  </conditionalFormatting>
  <conditionalFormatting sqref="O865:O876">
    <cfRule type="dataBar" priority="265">
      <dataBar>
        <cfvo type="min"/>
        <cfvo type="max"/>
        <color rgb="FF3FCDFF"/>
      </dataBar>
      <extLst>
        <ext xmlns:x14="http://schemas.microsoft.com/office/spreadsheetml/2009/9/main" uri="{B025F937-C7B1-47D3-B67F-A62EFF666E3E}">
          <x14:id>{66C82E18-99EA-4433-AB1D-53FBF20EFA86}</x14:id>
        </ext>
      </extLst>
    </cfRule>
  </conditionalFormatting>
  <conditionalFormatting sqref="O877:O1054 O1056:O1090 O1092:O1109 O1111:O1462">
    <cfRule type="dataBar" priority="8945">
      <dataBar>
        <cfvo type="min"/>
        <cfvo type="max"/>
        <color rgb="FF3FCDFF"/>
      </dataBar>
      <extLst>
        <ext xmlns:x14="http://schemas.microsoft.com/office/spreadsheetml/2009/9/main" uri="{B025F937-C7B1-47D3-B67F-A62EFF666E3E}">
          <x14:id>{FA495B81-A52E-48A7-8207-E9317622B22D}</x14:id>
        </ext>
      </extLst>
    </cfRule>
  </conditionalFormatting>
  <conditionalFormatting sqref="P2:P450 P709:P858 P1126:P1130">
    <cfRule type="containsText" dxfId="172" priority="357" operator="containsText" text="Actual TC">
      <formula>NOT(ISERROR(SEARCH("Actual TC",P2)))</formula>
    </cfRule>
  </conditionalFormatting>
  <conditionalFormatting sqref="P52">
    <cfRule type="dataBar" priority="663">
      <dataBar>
        <cfvo type="min"/>
        <cfvo type="max"/>
        <color rgb="FF3FCDFF"/>
      </dataBar>
      <extLst>
        <ext xmlns:x14="http://schemas.microsoft.com/office/spreadsheetml/2009/9/main" uri="{B025F937-C7B1-47D3-B67F-A62EFF666E3E}">
          <x14:id>{390A2160-3F82-4A47-A33A-146EF68B2912}</x14:id>
        </ext>
      </extLst>
    </cfRule>
  </conditionalFormatting>
  <conditionalFormatting sqref="P453:P463">
    <cfRule type="containsText" dxfId="171" priority="383" operator="containsText" text="Actual TC">
      <formula>NOT(ISERROR(SEARCH("Actual TC",P453)))</formula>
    </cfRule>
  </conditionalFormatting>
  <conditionalFormatting sqref="P469">
    <cfRule type="containsText" dxfId="170" priority="612" operator="containsText" text="Actual TC">
      <formula>NOT(ISERROR(SEARCH("Actual TC",P469)))</formula>
    </cfRule>
  </conditionalFormatting>
  <conditionalFormatting sqref="P471:P473">
    <cfRule type="containsText" dxfId="169" priority="611" operator="containsText" text="Actual TC">
      <formula>NOT(ISERROR(SEARCH("Actual TC",P471)))</formula>
    </cfRule>
  </conditionalFormatting>
  <conditionalFormatting sqref="P867:P870">
    <cfRule type="containsText" dxfId="168" priority="258" operator="containsText" text="Actual TC">
      <formula>NOT(ISERROR(SEARCH("Actual TC",P867)))</formula>
    </cfRule>
  </conditionalFormatting>
  <conditionalFormatting sqref="P873:P876">
    <cfRule type="containsText" dxfId="167" priority="250" operator="containsText" text="Actual TC">
      <formula>NOT(ISERROR(SEARCH("Actual TC",P873)))</formula>
    </cfRule>
  </conditionalFormatting>
  <conditionalFormatting sqref="Q71:T71">
    <cfRule type="dataBar" priority="2970">
      <dataBar>
        <cfvo type="min"/>
        <cfvo type="max"/>
        <color rgb="FF3FCDFF"/>
      </dataBar>
      <extLst>
        <ext xmlns:x14="http://schemas.microsoft.com/office/spreadsheetml/2009/9/main" uri="{B025F937-C7B1-47D3-B67F-A62EFF666E3E}">
          <x14:id>{9D887FAC-849C-4DD2-9754-D6AB34DE9384}</x14:id>
        </ext>
      </extLst>
    </cfRule>
  </conditionalFormatting>
  <conditionalFormatting sqref="N1055:O1055">
    <cfRule type="containsBlanks" dxfId="5" priority="10" stopIfTrue="1">
      <formula>LEN(TRIM(N1055))=0</formula>
    </cfRule>
  </conditionalFormatting>
  <conditionalFormatting sqref="N1055:O1055">
    <cfRule type="dataBar" priority="11">
      <dataBar>
        <cfvo type="min"/>
        <cfvo type="max"/>
        <color rgb="FF3FCDFF"/>
      </dataBar>
      <extLst>
        <ext xmlns:x14="http://schemas.microsoft.com/office/spreadsheetml/2009/9/main" uri="{B025F937-C7B1-47D3-B67F-A62EFF666E3E}">
          <x14:id>{DD36D789-F48B-4171-A750-B8B0CF98E6AC}</x14:id>
        </ext>
      </extLst>
    </cfRule>
  </conditionalFormatting>
  <conditionalFormatting sqref="N1091:O1091">
    <cfRule type="containsBlanks" dxfId="4" priority="8" stopIfTrue="1">
      <formula>LEN(TRIM(N1091))=0</formula>
    </cfRule>
  </conditionalFormatting>
  <conditionalFormatting sqref="N1091:O1091">
    <cfRule type="dataBar" priority="9">
      <dataBar>
        <cfvo type="min"/>
        <cfvo type="max"/>
        <color rgb="FF3FCDFF"/>
      </dataBar>
      <extLst>
        <ext xmlns:x14="http://schemas.microsoft.com/office/spreadsheetml/2009/9/main" uri="{B025F937-C7B1-47D3-B67F-A62EFF666E3E}">
          <x14:id>{96559635-EEC9-49C3-A447-78E396A130A5}</x14:id>
        </ext>
      </extLst>
    </cfRule>
  </conditionalFormatting>
  <conditionalFormatting sqref="N1110:O1110">
    <cfRule type="containsBlanks" dxfId="3" priority="6" stopIfTrue="1">
      <formula>LEN(TRIM(N1110))=0</formula>
    </cfRule>
  </conditionalFormatting>
  <conditionalFormatting sqref="N1110:O1110">
    <cfRule type="dataBar" priority="7">
      <dataBar>
        <cfvo type="min"/>
        <cfvo type="max"/>
        <color rgb="FF3FCDFF"/>
      </dataBar>
      <extLst>
        <ext xmlns:x14="http://schemas.microsoft.com/office/spreadsheetml/2009/9/main" uri="{B025F937-C7B1-47D3-B67F-A62EFF666E3E}">
          <x14:id>{90EBD2C5-6959-4EE5-BF27-1797AEE39DCC}</x14:id>
        </ext>
      </extLst>
    </cfRule>
  </conditionalFormatting>
  <conditionalFormatting sqref="H1247:M1248">
    <cfRule type="dataBar" priority="4">
      <dataBar>
        <cfvo type="min"/>
        <cfvo type="num" val="4"/>
        <color rgb="FFFFC000"/>
      </dataBar>
      <extLst>
        <ext xmlns:x14="http://schemas.microsoft.com/office/spreadsheetml/2009/9/main" uri="{B025F937-C7B1-47D3-B67F-A62EFF666E3E}">
          <x14:id>{1480D803-BD60-448F-BF6A-BCF0A0C01209}</x14:id>
        </ext>
      </extLst>
    </cfRule>
  </conditionalFormatting>
  <conditionalFormatting sqref="H1247:M1249">
    <cfRule type="cellIs" dxfId="2" priority="3" stopIfTrue="1" operator="notBetween">
      <formula>1</formula>
      <formula>4</formula>
    </cfRule>
  </conditionalFormatting>
  <conditionalFormatting sqref="H1249:M1249">
    <cfRule type="containsBlanks" dxfId="1" priority="2" stopIfTrue="1">
      <formula>LEN(TRIM(H1249))=0</formula>
    </cfRule>
  </conditionalFormatting>
  <conditionalFormatting sqref="H1249:M1249">
    <cfRule type="dataBar" priority="5">
      <dataBar>
        <cfvo type="min"/>
        <cfvo type="num" val="4"/>
        <color rgb="FFFFC000"/>
      </dataBar>
      <extLst>
        <ext xmlns:x14="http://schemas.microsoft.com/office/spreadsheetml/2009/9/main" uri="{B025F937-C7B1-47D3-B67F-A62EFF666E3E}">
          <x14:id>{87371D02-5B91-46CA-A4BF-F6E54A52F084}</x14:id>
        </ext>
      </extLst>
    </cfRule>
  </conditionalFormatting>
  <conditionalFormatting sqref="H1247:M1248">
    <cfRule type="containsBlanks" dxfId="0" priority="1" stopIfTrue="1">
      <formula>LEN(TRIM(H1247))=0</formula>
    </cfRule>
  </conditionalFormatting>
  <hyperlinks>
    <hyperlink ref="G435:G439" r:id="rId1" display="https://ec.europa.eu/eurostat/databrowser/view/DS-056120__custom_6262207/default/table" xr:uid="{64A4E7E9-E2C9-4784-8D63-9E64E7CFC3FE}"/>
    <hyperlink ref="G431:G434" r:id="rId2" display="https://ec.europa.eu/eurostat/databrowser/view/DS-056120__custom_5851448/default/table" xr:uid="{B595BB2C-99BA-46ED-BB35-C7522A3C7864}"/>
    <hyperlink ref="G463" r:id="rId3" display="https://doi.org/10.1016/j.resconrec.2023.107389" xr:uid="{42973653-FFAC-497A-A977-F79969579536}"/>
    <hyperlink ref="G1126" r:id="rId4" display="https://doi.org/10.1016/j.resconrec.2023.107389" xr:uid="{818B2EDA-DBA0-4EF2-83FC-24BC7E843676}"/>
    <hyperlink ref="G1346" r:id="rId5" display="https://doi.org/10.1016/j.resconrec.2023.107389" xr:uid="{C93F6439-DC92-4293-99EF-B0A52E4135A9}"/>
    <hyperlink ref="G470" r:id="rId6" display="https://doi.org/10.1016/j.resconrec.2023.107389" xr:uid="{02B72B08-7A21-47ED-A54A-1B09FB599AFA}"/>
    <hyperlink ref="G1307" r:id="rId7" display="https://ec.europa.eu/eurostat/databrowser/view/DS-056120__custom_6262207/default/table" xr:uid="{53DE11B1-913B-4F17-931B-7D82CEBADD33}"/>
    <hyperlink ref="G1294" r:id="rId8" display="https://ec.europa.eu/eurostat/databrowser/view/DS-056120__custom_5851448/default/table" xr:uid="{15A9B237-05EB-47AB-A211-688F10CC7CEB}"/>
  </hyperlinks>
  <pageMargins left="0.7" right="0.7" top="0.75" bottom="0.75" header="0.3" footer="0.3"/>
  <pageSetup paperSize="9" orientation="portrait" r:id="rId9"/>
  <extLst>
    <ext xmlns:x14="http://schemas.microsoft.com/office/spreadsheetml/2009/9/main" uri="{78C0D931-6437-407d-A8EE-F0AAD7539E65}">
      <x14:conditionalFormattings>
        <x14:conditionalFormatting xmlns:xm="http://schemas.microsoft.com/office/excel/2006/main">
          <x14:cfRule type="dataBar" id="{639DB7A4-AB12-4E57-AD97-0D9CFDF09E4F}">
            <x14:dataBar minLength="0" maxLength="100" gradient="0">
              <x14:cfvo type="autoMin"/>
              <x14:cfvo type="num">
                <xm:f>4</xm:f>
              </x14:cfvo>
              <x14:negativeFillColor rgb="FFFF0000"/>
              <x14:axisColor rgb="FF000000"/>
            </x14:dataBar>
          </x14:cfRule>
          <xm:sqref>H277:H278</xm:sqref>
        </x14:conditionalFormatting>
        <x14:conditionalFormatting xmlns:xm="http://schemas.microsoft.com/office/excel/2006/main">
          <x14:cfRule type="dataBar" id="{7F0D3BF5-F7D3-41C9-B5D1-8E4AFD59C17C}">
            <x14:dataBar minLength="0" maxLength="100" gradient="0">
              <x14:cfvo type="autoMin"/>
              <x14:cfvo type="num">
                <xm:f>4</xm:f>
              </x14:cfvo>
              <x14:negativeFillColor rgb="FFFF0000"/>
              <x14:axisColor rgb="FF000000"/>
            </x14:dataBar>
          </x14:cfRule>
          <xm:sqref>H280:H281</xm:sqref>
        </x14:conditionalFormatting>
        <x14:conditionalFormatting xmlns:xm="http://schemas.microsoft.com/office/excel/2006/main">
          <x14:cfRule type="dataBar" id="{417BFCA9-CDE7-4C65-85B5-ADEF903F56D6}">
            <x14:dataBar minLength="0" maxLength="100" gradient="0">
              <x14:cfvo type="autoMin"/>
              <x14:cfvo type="num">
                <xm:f>4</xm:f>
              </x14:cfvo>
              <x14:negativeFillColor rgb="FFFF0000"/>
              <x14:axisColor rgb="FF000000"/>
            </x14:dataBar>
          </x14:cfRule>
          <xm:sqref>H859:H864</xm:sqref>
        </x14:conditionalFormatting>
        <x14:conditionalFormatting xmlns:xm="http://schemas.microsoft.com/office/excel/2006/main">
          <x14:cfRule type="dataBar" id="{7FB5FFFD-BFF5-4607-8266-C61D50D37610}">
            <x14:dataBar minLength="0" maxLength="100" gradient="0">
              <x14:cfvo type="autoMin"/>
              <x14:cfvo type="num">
                <xm:f>4</xm:f>
              </x14:cfvo>
              <x14:negativeFillColor rgb="FFFF0000"/>
              <x14:axisColor rgb="FF000000"/>
            </x14:dataBar>
          </x14:cfRule>
          <xm:sqref>H282:M282 H276:M276 H279:M279</xm:sqref>
        </x14:conditionalFormatting>
        <x14:conditionalFormatting xmlns:xm="http://schemas.microsoft.com/office/excel/2006/main">
          <x14:cfRule type="dataBar" id="{63002CF0-DF8C-4594-826D-C58BB7151C72}">
            <x14:dataBar minLength="0" maxLength="100" gradient="0">
              <x14:cfvo type="autoMin"/>
              <x14:cfvo type="num">
                <xm:f>4</xm:f>
              </x14:cfvo>
              <x14:negativeFillColor rgb="FFFF0000"/>
              <x14:axisColor rgb="FF000000"/>
            </x14:dataBar>
          </x14:cfRule>
          <xm:sqref>H283:M857 H2:M275</xm:sqref>
        </x14:conditionalFormatting>
        <x14:conditionalFormatting xmlns:xm="http://schemas.microsoft.com/office/excel/2006/main">
          <x14:cfRule type="dataBar" id="{8E152E79-9395-4607-AAB9-133D2AEF55CD}">
            <x14:dataBar minLength="0" maxLength="100" gradient="0">
              <x14:cfvo type="autoMin"/>
              <x14:cfvo type="num">
                <xm:f>4</xm:f>
              </x14:cfvo>
              <x14:negativeFillColor rgb="FFFF0000"/>
              <x14:axisColor rgb="FF000000"/>
            </x14:dataBar>
          </x14:cfRule>
          <xm:sqref>H858:M858</xm:sqref>
        </x14:conditionalFormatting>
        <x14:conditionalFormatting xmlns:xm="http://schemas.microsoft.com/office/excel/2006/main">
          <x14:cfRule type="dataBar" id="{B6046930-B12E-4F63-A1A3-82B63FAA2115}">
            <x14:dataBar minLength="0" maxLength="100" gradient="0">
              <x14:cfvo type="autoMin"/>
              <x14:cfvo type="num">
                <xm:f>4</xm:f>
              </x14:cfvo>
              <x14:negativeFillColor rgb="FFFF0000"/>
              <x14:axisColor rgb="FF000000"/>
            </x14:dataBar>
          </x14:cfRule>
          <xm:sqref>H865:M865</xm:sqref>
        </x14:conditionalFormatting>
        <x14:conditionalFormatting xmlns:xm="http://schemas.microsoft.com/office/excel/2006/main">
          <x14:cfRule type="dataBar" id="{313108EF-E70F-470E-8327-337884178851}">
            <x14:dataBar minLength="0" maxLength="100" gradient="0">
              <x14:cfvo type="autoMin"/>
              <x14:cfvo type="num">
                <xm:f>4</xm:f>
              </x14:cfvo>
              <x14:negativeFillColor rgb="FFFF0000"/>
              <x14:axisColor rgb="FF000000"/>
            </x14:dataBar>
          </x14:cfRule>
          <xm:sqref>H865:M866</xm:sqref>
        </x14:conditionalFormatting>
        <x14:conditionalFormatting xmlns:xm="http://schemas.microsoft.com/office/excel/2006/main">
          <x14:cfRule type="dataBar" id="{2A4AEB21-0401-4F6F-BAFE-DCE5BAE1F22E}">
            <x14:dataBar minLength="0" maxLength="100" gradient="0">
              <x14:cfvo type="autoMin"/>
              <x14:cfvo type="num">
                <xm:f>4</xm:f>
              </x14:cfvo>
              <x14:negativeFillColor rgb="FFFF0000"/>
              <x14:axisColor rgb="FF000000"/>
            </x14:dataBar>
          </x14:cfRule>
          <xm:sqref>H866:M866</xm:sqref>
        </x14:conditionalFormatting>
        <x14:conditionalFormatting xmlns:xm="http://schemas.microsoft.com/office/excel/2006/main">
          <x14:cfRule type="dataBar" id="{5D386311-A62A-4DEA-933B-43D27B06F7D1}">
            <x14:dataBar minLength="0" maxLength="100" gradient="0">
              <x14:cfvo type="autoMin"/>
              <x14:cfvo type="num">
                <xm:f>4</xm:f>
              </x14:cfvo>
              <x14:negativeFillColor rgb="FFFF0000"/>
              <x14:axisColor rgb="FF000000"/>
            </x14:dataBar>
          </x14:cfRule>
          <xm:sqref>H867:M867</xm:sqref>
        </x14:conditionalFormatting>
        <x14:conditionalFormatting xmlns:xm="http://schemas.microsoft.com/office/excel/2006/main">
          <x14:cfRule type="dataBar" id="{7BAE4504-4F0E-4DB4-9789-A64DEFBEF436}">
            <x14:dataBar minLength="0" maxLength="100" gradient="0">
              <x14:cfvo type="autoMin"/>
              <x14:cfvo type="num">
                <xm:f>4</xm:f>
              </x14:cfvo>
              <x14:negativeFillColor rgb="FFFF0000"/>
              <x14:axisColor rgb="FF000000"/>
            </x14:dataBar>
          </x14:cfRule>
          <xm:sqref>H868:M868</xm:sqref>
        </x14:conditionalFormatting>
        <x14:conditionalFormatting xmlns:xm="http://schemas.microsoft.com/office/excel/2006/main">
          <x14:cfRule type="dataBar" id="{196AA2B0-1A96-46F6-9570-3964F7E343F8}">
            <x14:dataBar minLength="0" maxLength="100" gradient="0">
              <x14:cfvo type="autoMin"/>
              <x14:cfvo type="num">
                <xm:f>4</xm:f>
              </x14:cfvo>
              <x14:negativeFillColor rgb="FFFF0000"/>
              <x14:axisColor rgb="FF000000"/>
            </x14:dataBar>
          </x14:cfRule>
          <xm:sqref>H869:M872</xm:sqref>
        </x14:conditionalFormatting>
        <x14:conditionalFormatting xmlns:xm="http://schemas.microsoft.com/office/excel/2006/main">
          <x14:cfRule type="dataBar" id="{4FF3944F-F6EB-469A-B3BF-89C2ACEF9A5A}">
            <x14:dataBar minLength="0" maxLength="100" gradient="0">
              <x14:cfvo type="autoMin"/>
              <x14:cfvo type="num">
                <xm:f>4</xm:f>
              </x14:cfvo>
              <x14:negativeFillColor rgb="FFFF0000"/>
              <x14:axisColor rgb="FF000000"/>
            </x14:dataBar>
          </x14:cfRule>
          <xm:sqref>H873:M874</xm:sqref>
        </x14:conditionalFormatting>
        <x14:conditionalFormatting xmlns:xm="http://schemas.microsoft.com/office/excel/2006/main">
          <x14:cfRule type="dataBar" id="{C636A330-3589-4118-9161-5E09435D3530}">
            <x14:dataBar minLength="0" maxLength="100" gradient="0">
              <x14:cfvo type="autoMin"/>
              <x14:cfvo type="num">
                <xm:f>4</xm:f>
              </x14:cfvo>
              <x14:negativeFillColor rgb="FFFF0000"/>
              <x14:axisColor rgb="FF000000"/>
            </x14:dataBar>
          </x14:cfRule>
          <xm:sqref>H875:M876</xm:sqref>
        </x14:conditionalFormatting>
        <x14:conditionalFormatting xmlns:xm="http://schemas.microsoft.com/office/excel/2006/main">
          <x14:cfRule type="dataBar" id="{0ACD0B7B-98AF-45E4-8215-5123E796F153}">
            <x14:dataBar minLength="0" maxLength="100" gradient="0">
              <x14:cfvo type="autoMin"/>
              <x14:cfvo type="num">
                <xm:f>4</xm:f>
              </x14:cfvo>
              <x14:negativeFillColor rgb="FFFF0000"/>
              <x14:axisColor rgb="FF000000"/>
            </x14:dataBar>
          </x14:cfRule>
          <xm:sqref>H877:M890</xm:sqref>
        </x14:conditionalFormatting>
        <x14:conditionalFormatting xmlns:xm="http://schemas.microsoft.com/office/excel/2006/main">
          <x14:cfRule type="dataBar" id="{4A516C74-FCED-47AC-AAE2-98D1F54DE959}">
            <x14:dataBar minLength="0" maxLength="100" gradient="0">
              <x14:cfvo type="autoMin"/>
              <x14:cfvo type="num">
                <xm:f>4</xm:f>
              </x14:cfvo>
              <x14:negativeFillColor rgb="FFFF0000"/>
              <x14:axisColor rgb="FF000000"/>
            </x14:dataBar>
          </x14:cfRule>
          <xm:sqref>H878:M878</xm:sqref>
        </x14:conditionalFormatting>
        <x14:conditionalFormatting xmlns:xm="http://schemas.microsoft.com/office/excel/2006/main">
          <x14:cfRule type="dataBar" id="{BA1F9C6C-AC7E-448E-BA6C-317D0FFF122C}">
            <x14:dataBar minLength="0" maxLength="100" gradient="0">
              <x14:cfvo type="autoMin"/>
              <x14:cfvo type="num">
                <xm:f>4</xm:f>
              </x14:cfvo>
              <x14:negativeFillColor rgb="FFFF0000"/>
              <x14:axisColor rgb="FF000000"/>
            </x14:dataBar>
          </x14:cfRule>
          <xm:sqref>H908:M908</xm:sqref>
        </x14:conditionalFormatting>
        <x14:conditionalFormatting xmlns:xm="http://schemas.microsoft.com/office/excel/2006/main">
          <x14:cfRule type="dataBar" id="{3FE364B5-5DD3-4A5D-838F-4917A68DD0D8}">
            <x14:dataBar minLength="0" maxLength="100" gradient="0">
              <x14:cfvo type="autoMin"/>
              <x14:cfvo type="num">
                <xm:f>4</xm:f>
              </x14:cfvo>
              <x14:negativeFillColor rgb="FFFF0000"/>
              <x14:axisColor rgb="FF000000"/>
            </x14:dataBar>
          </x14:cfRule>
          <xm:sqref>H915:M916</xm:sqref>
        </x14:conditionalFormatting>
        <x14:conditionalFormatting xmlns:xm="http://schemas.microsoft.com/office/excel/2006/main">
          <x14:cfRule type="dataBar" id="{E849F10B-2B10-497E-B79A-0495DC630C98}">
            <x14:dataBar minLength="0" maxLength="100" gradient="0">
              <x14:cfvo type="autoMin"/>
              <x14:cfvo type="num">
                <xm:f>4</xm:f>
              </x14:cfvo>
              <x14:negativeFillColor rgb="FFFF0000"/>
              <x14:axisColor rgb="FF000000"/>
            </x14:dataBar>
          </x14:cfRule>
          <xm:sqref>H935:M935</xm:sqref>
        </x14:conditionalFormatting>
        <x14:conditionalFormatting xmlns:xm="http://schemas.microsoft.com/office/excel/2006/main">
          <x14:cfRule type="dataBar" id="{EA43D244-56CF-446F-AC5E-E8422A84AF22}">
            <x14:dataBar minLength="0" maxLength="100" gradient="0">
              <x14:cfvo type="autoMin"/>
              <x14:cfvo type="num">
                <xm:f>4</xm:f>
              </x14:cfvo>
              <x14:negativeFillColor rgb="FFFF0000"/>
              <x14:axisColor rgb="FF000000"/>
            </x14:dataBar>
          </x14:cfRule>
          <xm:sqref>H954:M954</xm:sqref>
        </x14:conditionalFormatting>
        <x14:conditionalFormatting xmlns:xm="http://schemas.microsoft.com/office/excel/2006/main">
          <x14:cfRule type="dataBar" id="{49E73A2C-8A08-4096-9749-FF6D8E8F492F}">
            <x14:dataBar minLength="0" maxLength="100" gradient="0">
              <x14:cfvo type="autoMin"/>
              <x14:cfvo type="num">
                <xm:f>4</xm:f>
              </x14:cfvo>
              <x14:negativeFillColor rgb="FFFF0000"/>
              <x14:axisColor rgb="FF000000"/>
            </x14:dataBar>
          </x14:cfRule>
          <xm:sqref>H973:M973</xm:sqref>
        </x14:conditionalFormatting>
        <x14:conditionalFormatting xmlns:xm="http://schemas.microsoft.com/office/excel/2006/main">
          <x14:cfRule type="dataBar" id="{07E15439-BBFA-4CFE-A61F-33485D00BD6F}">
            <x14:dataBar minLength="0" maxLength="100" gradient="0">
              <x14:cfvo type="autoMin"/>
              <x14:cfvo type="num">
                <xm:f>4</xm:f>
              </x14:cfvo>
              <x14:negativeFillColor rgb="FFFF0000"/>
              <x14:axisColor rgb="FF000000"/>
            </x14:dataBar>
          </x14:cfRule>
          <xm:sqref>H992:M992</xm:sqref>
        </x14:conditionalFormatting>
        <x14:conditionalFormatting xmlns:xm="http://schemas.microsoft.com/office/excel/2006/main">
          <x14:cfRule type="dataBar" id="{38745E4E-3A56-44D1-B890-7189DCD49A5C}">
            <x14:dataBar minLength="0" maxLength="100" gradient="0">
              <x14:cfvo type="autoMin"/>
              <x14:cfvo type="num">
                <xm:f>4</xm:f>
              </x14:cfvo>
              <x14:negativeFillColor rgb="FFFF0000"/>
              <x14:axisColor rgb="FF000000"/>
            </x14:dataBar>
          </x14:cfRule>
          <xm:sqref>H1011:M1011</xm:sqref>
        </x14:conditionalFormatting>
        <x14:conditionalFormatting xmlns:xm="http://schemas.microsoft.com/office/excel/2006/main">
          <x14:cfRule type="dataBar" id="{5C6A9FF9-D196-42A0-9CDF-7889F935CE1A}">
            <x14:dataBar minLength="0" maxLength="100" gradient="0">
              <x14:cfvo type="autoMin"/>
              <x14:cfvo type="num">
                <xm:f>4</xm:f>
              </x14:cfvo>
              <x14:negativeFillColor rgb="FFFF0000"/>
              <x14:axisColor rgb="FF000000"/>
            </x14:dataBar>
          </x14:cfRule>
          <xm:sqref>H1030:M1030</xm:sqref>
        </x14:conditionalFormatting>
        <x14:conditionalFormatting xmlns:xm="http://schemas.microsoft.com/office/excel/2006/main">
          <x14:cfRule type="dataBar" id="{BA4D3E41-5B69-4BC9-9D03-B27E5624E081}">
            <x14:dataBar minLength="0" maxLength="100" gradient="0">
              <x14:cfvo type="autoMin"/>
              <x14:cfvo type="num">
                <xm:f>4</xm:f>
              </x14:cfvo>
              <x14:negativeFillColor rgb="FFFF0000"/>
              <x14:axisColor rgb="FF000000"/>
            </x14:dataBar>
          </x14:cfRule>
          <xm:sqref>H1049:M1049</xm:sqref>
        </x14:conditionalFormatting>
        <x14:conditionalFormatting xmlns:xm="http://schemas.microsoft.com/office/excel/2006/main">
          <x14:cfRule type="dataBar" id="{F531ED59-95EA-44D1-8C42-6C72F488B85A}">
            <x14:dataBar minLength="0" maxLength="100" gradient="0">
              <x14:cfvo type="autoMin"/>
              <x14:cfvo type="num">
                <xm:f>4</xm:f>
              </x14:cfvo>
              <x14:negativeFillColor rgb="FFFF0000"/>
              <x14:axisColor rgb="FF000000"/>
            </x14:dataBar>
          </x14:cfRule>
          <xm:sqref>H1068:M1068</xm:sqref>
        </x14:conditionalFormatting>
        <x14:conditionalFormatting xmlns:xm="http://schemas.microsoft.com/office/excel/2006/main">
          <x14:cfRule type="dataBar" id="{EB2DD670-BF81-427B-AFC4-FC454331F690}">
            <x14:dataBar minLength="0" maxLength="100" gradient="0">
              <x14:cfvo type="autoMin"/>
              <x14:cfvo type="num">
                <xm:f>4</xm:f>
              </x14:cfvo>
              <x14:negativeFillColor rgb="FFFF0000"/>
              <x14:axisColor rgb="FF000000"/>
            </x14:dataBar>
          </x14:cfRule>
          <xm:sqref>H1090:M1090</xm:sqref>
        </x14:conditionalFormatting>
        <x14:conditionalFormatting xmlns:xm="http://schemas.microsoft.com/office/excel/2006/main">
          <x14:cfRule type="dataBar" id="{F17A6D30-0FA8-445D-A163-EF37F8FAC453}">
            <x14:dataBar minLength="0" maxLength="100" gradient="0">
              <x14:cfvo type="autoMin"/>
              <x14:cfvo type="num">
                <xm:f>4</xm:f>
              </x14:cfvo>
              <x14:negativeFillColor rgb="FFFF0000"/>
              <x14:axisColor rgb="FF000000"/>
            </x14:dataBar>
          </x14:cfRule>
          <xm:sqref>H1109:M1109</xm:sqref>
        </x14:conditionalFormatting>
        <x14:conditionalFormatting xmlns:xm="http://schemas.microsoft.com/office/excel/2006/main">
          <x14:cfRule type="dataBar" id="{04F6C02E-7BF6-4FBC-A993-DC42F0422558}">
            <x14:dataBar minLength="0" maxLength="100" gradient="0">
              <x14:cfvo type="autoMin"/>
              <x14:cfvo type="num">
                <xm:f>4</xm:f>
              </x14:cfvo>
              <x14:negativeFillColor rgb="FFFF0000"/>
              <x14:axisColor rgb="FF000000"/>
            </x14:dataBar>
          </x14:cfRule>
          <xm:sqref>H1122:M1122</xm:sqref>
        </x14:conditionalFormatting>
        <x14:conditionalFormatting xmlns:xm="http://schemas.microsoft.com/office/excel/2006/main">
          <x14:cfRule type="dataBar" id="{F6EBAD4B-397A-4D41-A011-39216889E484}">
            <x14:dataBar minLength="0" maxLength="100" gradient="0">
              <x14:cfvo type="autoMin"/>
              <x14:cfvo type="num">
                <xm:f>4</xm:f>
              </x14:cfvo>
              <x14:negativeFillColor rgb="FFFF0000"/>
              <x14:axisColor rgb="FF000000"/>
            </x14:dataBar>
          </x14:cfRule>
          <xm:sqref>H1123:M1125 H909:M914 H891:M907 H917:M934 H936:M953 H955:M972 H974:M991 H993:M1010 H1012:M1029 H1031:M1048 H1050:M1067 H1069:M1089 H1091:M1108 H1110:M1121</xm:sqref>
        </x14:conditionalFormatting>
        <x14:conditionalFormatting xmlns:xm="http://schemas.microsoft.com/office/excel/2006/main">
          <x14:cfRule type="dataBar" id="{E3D3A31F-1B4D-4C1E-B155-12725913D55E}">
            <x14:dataBar minLength="0" maxLength="100" gradient="0">
              <x14:cfvo type="autoMin"/>
              <x14:cfvo type="num">
                <xm:f>4</xm:f>
              </x14:cfvo>
              <x14:negativeFillColor rgb="FFFF0000"/>
              <x14:axisColor rgb="FF000000"/>
            </x14:dataBar>
          </x14:cfRule>
          <xm:sqref>H1126:M1126</xm:sqref>
        </x14:conditionalFormatting>
        <x14:conditionalFormatting xmlns:xm="http://schemas.microsoft.com/office/excel/2006/main">
          <x14:cfRule type="dataBar" id="{477C9796-99D8-42A2-AD03-395B8F54A3A5}">
            <x14:dataBar minLength="0" maxLength="100" gradient="0">
              <x14:cfvo type="autoMin"/>
              <x14:cfvo type="num">
                <xm:f>4</xm:f>
              </x14:cfvo>
              <x14:negativeFillColor rgb="FFFF0000"/>
              <x14:axisColor rgb="FF000000"/>
            </x14:dataBar>
          </x14:cfRule>
          <xm:sqref>H1127:M1184</xm:sqref>
        </x14:conditionalFormatting>
        <x14:conditionalFormatting xmlns:xm="http://schemas.microsoft.com/office/excel/2006/main">
          <x14:cfRule type="dataBar" id="{BB1630BC-20D1-4F08-AC7A-9A21EC3D6B6B}">
            <x14:dataBar minLength="0" maxLength="100" gradient="0">
              <x14:cfvo type="autoMin"/>
              <x14:cfvo type="num">
                <xm:f>4</xm:f>
              </x14:cfvo>
              <x14:negativeFillColor rgb="FFFF0000"/>
              <x14:axisColor rgb="FF000000"/>
            </x14:dataBar>
          </x14:cfRule>
          <xm:sqref>H1185:M1243</xm:sqref>
        </x14:conditionalFormatting>
        <x14:conditionalFormatting xmlns:xm="http://schemas.microsoft.com/office/excel/2006/main">
          <x14:cfRule type="dataBar" id="{FD2D57E6-A4A2-46E5-8307-8ABDE36BA79D}">
            <x14:dataBar minLength="0" maxLength="100" gradient="0">
              <x14:cfvo type="autoMin"/>
              <x14:cfvo type="num">
                <xm:f>4</xm:f>
              </x14:cfvo>
              <x14:negativeFillColor rgb="FFFF0000"/>
              <x14:axisColor rgb="FF000000"/>
            </x14:dataBar>
          </x14:cfRule>
          <xm:sqref>H1250:M1275 H1244:M1246</xm:sqref>
        </x14:conditionalFormatting>
        <x14:conditionalFormatting xmlns:xm="http://schemas.microsoft.com/office/excel/2006/main">
          <x14:cfRule type="dataBar" id="{78595269-E52B-496C-95A4-F9035A539AC5}">
            <x14:dataBar minLength="0" maxLength="100" gradient="0">
              <x14:cfvo type="autoMin"/>
              <x14:cfvo type="num">
                <xm:f>4</xm:f>
              </x14:cfvo>
              <x14:negativeFillColor rgb="FFFF0000"/>
              <x14:axisColor rgb="FF000000"/>
            </x14:dataBar>
          </x14:cfRule>
          <xm:sqref>H1276:M1279</xm:sqref>
        </x14:conditionalFormatting>
        <x14:conditionalFormatting xmlns:xm="http://schemas.microsoft.com/office/excel/2006/main">
          <x14:cfRule type="dataBar" id="{838F6A96-F116-49B2-B496-786614AA0A9B}">
            <x14:dataBar minLength="0" maxLength="100" gradient="0">
              <x14:cfvo type="autoMin"/>
              <x14:cfvo type="num">
                <xm:f>4</xm:f>
              </x14:cfvo>
              <x14:negativeFillColor rgb="FFFF0000"/>
              <x14:axisColor rgb="FF000000"/>
            </x14:dataBar>
          </x14:cfRule>
          <xm:sqref>H1280:M1280</xm:sqref>
        </x14:conditionalFormatting>
        <x14:conditionalFormatting xmlns:xm="http://schemas.microsoft.com/office/excel/2006/main">
          <x14:cfRule type="dataBar" id="{4F98EB96-C1E0-4643-A145-06B5F8BB5784}">
            <x14:dataBar minLength="0" maxLength="100" gradient="0">
              <x14:cfvo type="autoMin"/>
              <x14:cfvo type="num">
                <xm:f>4</xm:f>
              </x14:cfvo>
              <x14:negativeFillColor rgb="FFFF0000"/>
              <x14:axisColor rgb="FF000000"/>
            </x14:dataBar>
          </x14:cfRule>
          <xm:sqref>H1281:M1291</xm:sqref>
        </x14:conditionalFormatting>
        <x14:conditionalFormatting xmlns:xm="http://schemas.microsoft.com/office/excel/2006/main">
          <x14:cfRule type="dataBar" id="{1E6386B3-2E09-43CE-BB77-4B113DEF381B}">
            <x14:dataBar minLength="0" maxLength="100" gradient="0">
              <x14:cfvo type="autoMin"/>
              <x14:cfvo type="num">
                <xm:f>4</xm:f>
              </x14:cfvo>
              <x14:negativeFillColor rgb="FFFF0000"/>
              <x14:axisColor rgb="FF000000"/>
            </x14:dataBar>
          </x14:cfRule>
          <xm:sqref>H1292:M1301</xm:sqref>
        </x14:conditionalFormatting>
        <x14:conditionalFormatting xmlns:xm="http://schemas.microsoft.com/office/excel/2006/main">
          <x14:cfRule type="dataBar" id="{45DA9F47-8A2F-4764-BD9B-B4247F3401DB}">
            <x14:dataBar minLength="0" maxLength="100" gradient="0">
              <x14:cfvo type="autoMin"/>
              <x14:cfvo type="num">
                <xm:f>4</xm:f>
              </x14:cfvo>
              <x14:negativeFillColor rgb="FFFF0000"/>
              <x14:axisColor rgb="FF000000"/>
            </x14:dataBar>
          </x14:cfRule>
          <xm:sqref>H1302:M1302</xm:sqref>
        </x14:conditionalFormatting>
        <x14:conditionalFormatting xmlns:xm="http://schemas.microsoft.com/office/excel/2006/main">
          <x14:cfRule type="dataBar" id="{3C6B4D78-66FE-4615-8129-4BE111E3F026}">
            <x14:dataBar minLength="0" maxLength="100" gradient="0">
              <x14:cfvo type="autoMin"/>
              <x14:cfvo type="num">
                <xm:f>4</xm:f>
              </x14:cfvo>
              <x14:negativeFillColor rgb="FFFF0000"/>
              <x14:axisColor rgb="FF000000"/>
            </x14:dataBar>
          </x14:cfRule>
          <xm:sqref>H1303:M1306</xm:sqref>
        </x14:conditionalFormatting>
        <x14:conditionalFormatting xmlns:xm="http://schemas.microsoft.com/office/excel/2006/main">
          <x14:cfRule type="dataBar" id="{18A20061-E604-4327-98EE-636849B405DD}">
            <x14:dataBar minLength="0" maxLength="100" gradient="0">
              <x14:cfvo type="autoMin"/>
              <x14:cfvo type="num">
                <xm:f>4</xm:f>
              </x14:cfvo>
              <x14:negativeFillColor rgb="FFFF0000"/>
              <x14:axisColor rgb="FF000000"/>
            </x14:dataBar>
          </x14:cfRule>
          <xm:sqref>H1307:M1307</xm:sqref>
        </x14:conditionalFormatting>
        <x14:conditionalFormatting xmlns:xm="http://schemas.microsoft.com/office/excel/2006/main">
          <x14:cfRule type="dataBar" id="{AB3EBBB7-2D11-42E8-8C84-6F1E9882C0EF}">
            <x14:dataBar minLength="0" maxLength="100" gradient="0">
              <x14:cfvo type="autoMin"/>
              <x14:cfvo type="num">
                <xm:f>4</xm:f>
              </x14:cfvo>
              <x14:negativeFillColor rgb="FFFF0000"/>
              <x14:axisColor rgb="FF000000"/>
            </x14:dataBar>
          </x14:cfRule>
          <xm:sqref>H1308:M1308</xm:sqref>
        </x14:conditionalFormatting>
        <x14:conditionalFormatting xmlns:xm="http://schemas.microsoft.com/office/excel/2006/main">
          <x14:cfRule type="dataBar" id="{F7685427-7022-4322-95B9-026F7BCC1EC4}">
            <x14:dataBar minLength="0" maxLength="100" gradient="0">
              <x14:cfvo type="autoMin"/>
              <x14:cfvo type="num">
                <xm:f>4</xm:f>
              </x14:cfvo>
              <x14:negativeFillColor rgb="FFFF0000"/>
              <x14:axisColor rgb="FF000000"/>
            </x14:dataBar>
          </x14:cfRule>
          <xm:sqref>H1309:M1317</xm:sqref>
        </x14:conditionalFormatting>
        <x14:conditionalFormatting xmlns:xm="http://schemas.microsoft.com/office/excel/2006/main">
          <x14:cfRule type="dataBar" id="{3010524C-3B0E-41F1-B689-64F9877CD01A}">
            <x14:dataBar minLength="0" maxLength="100" gradient="0">
              <x14:cfvo type="autoMin"/>
              <x14:cfvo type="num">
                <xm:f>4</xm:f>
              </x14:cfvo>
              <x14:negativeFillColor rgb="FFFF0000"/>
              <x14:axisColor rgb="FF000000"/>
            </x14:dataBar>
          </x14:cfRule>
          <xm:sqref>H1314:M1314</xm:sqref>
        </x14:conditionalFormatting>
        <x14:conditionalFormatting xmlns:xm="http://schemas.microsoft.com/office/excel/2006/main">
          <x14:cfRule type="dataBar" id="{FE468DE5-93BE-473E-A7A2-7E2187B30927}">
            <x14:dataBar minLength="0" maxLength="100" gradient="0">
              <x14:cfvo type="autoMin"/>
              <x14:cfvo type="num">
                <xm:f>4</xm:f>
              </x14:cfvo>
              <x14:negativeFillColor rgb="FFFF0000"/>
              <x14:axisColor rgb="FF000000"/>
            </x14:dataBar>
          </x14:cfRule>
          <xm:sqref>H1318:M1322</xm:sqref>
        </x14:conditionalFormatting>
        <x14:conditionalFormatting xmlns:xm="http://schemas.microsoft.com/office/excel/2006/main">
          <x14:cfRule type="dataBar" id="{587E42E6-08A2-4210-8F44-90BFB5B4C20A}">
            <x14:dataBar minLength="0" maxLength="100" gradient="0">
              <x14:cfvo type="autoMin"/>
              <x14:cfvo type="num">
                <xm:f>4</xm:f>
              </x14:cfvo>
              <x14:negativeFillColor rgb="FFFF0000"/>
              <x14:axisColor rgb="FF000000"/>
            </x14:dataBar>
          </x14:cfRule>
          <xm:sqref>H1323:M1326</xm:sqref>
        </x14:conditionalFormatting>
        <x14:conditionalFormatting xmlns:xm="http://schemas.microsoft.com/office/excel/2006/main">
          <x14:cfRule type="dataBar" id="{139D3D38-2613-4A9A-9D9A-8CBA5443B775}">
            <x14:dataBar minLength="0" maxLength="100" gradient="0">
              <x14:cfvo type="autoMin"/>
              <x14:cfvo type="num">
                <xm:f>4</xm:f>
              </x14:cfvo>
              <x14:negativeFillColor rgb="FFFF0000"/>
              <x14:axisColor rgb="FF000000"/>
            </x14:dataBar>
          </x14:cfRule>
          <xm:sqref>H1327:M1327</xm:sqref>
        </x14:conditionalFormatting>
        <x14:conditionalFormatting xmlns:xm="http://schemas.microsoft.com/office/excel/2006/main">
          <x14:cfRule type="dataBar" id="{808B6F5D-11D8-4926-A7E1-8EAB683432A5}">
            <x14:dataBar minLength="0" maxLength="100" gradient="0">
              <x14:cfvo type="autoMin"/>
              <x14:cfvo type="num">
                <xm:f>4</xm:f>
              </x14:cfvo>
              <x14:negativeFillColor rgb="FFFF0000"/>
              <x14:axisColor rgb="FF000000"/>
            </x14:dataBar>
          </x14:cfRule>
          <xm:sqref>H1328:M1338</xm:sqref>
        </x14:conditionalFormatting>
        <x14:conditionalFormatting xmlns:xm="http://schemas.microsoft.com/office/excel/2006/main">
          <x14:cfRule type="dataBar" id="{2543AE42-FF5C-4E5A-9202-0D6FC1EC90FA}">
            <x14:dataBar minLength="0" maxLength="100" gradient="0">
              <x14:cfvo type="autoMin"/>
              <x14:cfvo type="num">
                <xm:f>4</xm:f>
              </x14:cfvo>
              <x14:negativeFillColor rgb="FFFF0000"/>
              <x14:axisColor rgb="FF000000"/>
            </x14:dataBar>
          </x14:cfRule>
          <xm:sqref>H1339:M1349</xm:sqref>
        </x14:conditionalFormatting>
        <x14:conditionalFormatting xmlns:xm="http://schemas.microsoft.com/office/excel/2006/main">
          <x14:cfRule type="dataBar" id="{3EA27803-CF1E-4D42-9A8C-242230D0ED0D}">
            <x14:dataBar minLength="0" maxLength="100" gradient="0">
              <x14:cfvo type="autoMin"/>
              <x14:cfvo type="num">
                <xm:f>4</xm:f>
              </x14:cfvo>
              <x14:negativeFillColor rgb="FFFF0000"/>
              <x14:axisColor rgb="FF000000"/>
            </x14:dataBar>
          </x14:cfRule>
          <xm:sqref>H1350:M1353</xm:sqref>
        </x14:conditionalFormatting>
        <x14:conditionalFormatting xmlns:xm="http://schemas.microsoft.com/office/excel/2006/main">
          <x14:cfRule type="dataBar" id="{733C10C1-2B6A-4DD9-BC83-774EEB5C4E16}">
            <x14:dataBar minLength="0" maxLength="100" gradient="0">
              <x14:cfvo type="autoMin"/>
              <x14:cfvo type="num">
                <xm:f>4</xm:f>
              </x14:cfvo>
              <x14:negativeFillColor rgb="FFFF0000"/>
              <x14:axisColor rgb="FF000000"/>
            </x14:dataBar>
          </x14:cfRule>
          <xm:sqref>H1354:M1354</xm:sqref>
        </x14:conditionalFormatting>
        <x14:conditionalFormatting xmlns:xm="http://schemas.microsoft.com/office/excel/2006/main">
          <x14:cfRule type="dataBar" id="{2D0996A4-9F97-4C19-BE68-0EA7BC3FDBCE}">
            <x14:dataBar minLength="0" maxLength="100" gradient="0">
              <x14:cfvo type="autoMin"/>
              <x14:cfvo type="num">
                <xm:f>4</xm:f>
              </x14:cfvo>
              <x14:negativeFillColor rgb="FFFF0000"/>
              <x14:axisColor rgb="FF000000"/>
            </x14:dataBar>
          </x14:cfRule>
          <xm:sqref>H1355:M1364</xm:sqref>
        </x14:conditionalFormatting>
        <x14:conditionalFormatting xmlns:xm="http://schemas.microsoft.com/office/excel/2006/main">
          <x14:cfRule type="dataBar" id="{8DE006C4-F113-4864-BA89-09932E02B8D9}">
            <x14:dataBar minLength="0" maxLength="100" gradient="0">
              <x14:cfvo type="autoMin"/>
              <x14:cfvo type="num">
                <xm:f>4</xm:f>
              </x14:cfvo>
              <x14:negativeFillColor rgb="FFFF0000"/>
              <x14:axisColor rgb="FF000000"/>
            </x14:dataBar>
          </x14:cfRule>
          <xm:sqref>H1365:M1369</xm:sqref>
        </x14:conditionalFormatting>
        <x14:conditionalFormatting xmlns:xm="http://schemas.microsoft.com/office/excel/2006/main">
          <x14:cfRule type="dataBar" id="{D12839BB-770C-4F49-AFEE-F846ADE71758}">
            <x14:dataBar minLength="0" maxLength="100" gradient="0">
              <x14:cfvo type="autoMin"/>
              <x14:cfvo type="num">
                <xm:f>4</xm:f>
              </x14:cfvo>
              <x14:negativeFillColor rgb="FFFF0000"/>
              <x14:axisColor rgb="FF000000"/>
            </x14:dataBar>
          </x14:cfRule>
          <xm:sqref>H1370:M1373</xm:sqref>
        </x14:conditionalFormatting>
        <x14:conditionalFormatting xmlns:xm="http://schemas.microsoft.com/office/excel/2006/main">
          <x14:cfRule type="dataBar" id="{6D598FF7-F1DF-4A21-A9C1-0B9B8130097E}">
            <x14:dataBar minLength="0" maxLength="100" gradient="0">
              <x14:cfvo type="autoMin"/>
              <x14:cfvo type="num">
                <xm:f>4</xm:f>
              </x14:cfvo>
              <x14:negativeFillColor rgb="FFFF0000"/>
              <x14:axisColor rgb="FF000000"/>
            </x14:dataBar>
          </x14:cfRule>
          <xm:sqref>H1374:M1374</xm:sqref>
        </x14:conditionalFormatting>
        <x14:conditionalFormatting xmlns:xm="http://schemas.microsoft.com/office/excel/2006/main">
          <x14:cfRule type="dataBar" id="{96E5137D-5C37-46A7-94CC-EB25C6E818F9}">
            <x14:dataBar minLength="0" maxLength="100" gradient="0">
              <x14:cfvo type="autoMin"/>
              <x14:cfvo type="num">
                <xm:f>4</xm:f>
              </x14:cfvo>
              <x14:negativeFillColor rgb="FFFF0000"/>
              <x14:axisColor rgb="FF000000"/>
            </x14:dataBar>
          </x14:cfRule>
          <xm:sqref>H1375:M1385</xm:sqref>
        </x14:conditionalFormatting>
        <x14:conditionalFormatting xmlns:xm="http://schemas.microsoft.com/office/excel/2006/main">
          <x14:cfRule type="dataBar" id="{D5B2D1E4-F83C-416F-A408-B3DD9871AAFB}">
            <x14:dataBar minLength="0" maxLength="100" gradient="0">
              <x14:cfvo type="autoMin"/>
              <x14:cfvo type="num">
                <xm:f>4</xm:f>
              </x14:cfvo>
              <x14:negativeFillColor rgb="FFFF0000"/>
              <x14:axisColor rgb="FF000000"/>
            </x14:dataBar>
          </x14:cfRule>
          <xm:sqref>H1386:M1396</xm:sqref>
        </x14:conditionalFormatting>
        <x14:conditionalFormatting xmlns:xm="http://schemas.microsoft.com/office/excel/2006/main">
          <x14:cfRule type="dataBar" id="{96D073B0-987F-471F-B5AA-DA92DA506A55}">
            <x14:dataBar minLength="0" maxLength="100" gradient="0">
              <x14:cfvo type="autoMin"/>
              <x14:cfvo type="num">
                <xm:f>4</xm:f>
              </x14:cfvo>
              <x14:negativeFillColor rgb="FFFF0000"/>
              <x14:axisColor rgb="FF000000"/>
            </x14:dataBar>
          </x14:cfRule>
          <xm:sqref>H1397:M1398</xm:sqref>
        </x14:conditionalFormatting>
        <x14:conditionalFormatting xmlns:xm="http://schemas.microsoft.com/office/excel/2006/main">
          <x14:cfRule type="dataBar" id="{74AE529A-7935-4026-A156-7A01961AA581}">
            <x14:dataBar minLength="0" maxLength="100" gradient="0">
              <x14:cfvo type="autoMin"/>
              <x14:cfvo type="num">
                <xm:f>4</xm:f>
              </x14:cfvo>
              <x14:negativeFillColor rgb="FFFF0000"/>
              <x14:axisColor rgb="FF000000"/>
            </x14:dataBar>
          </x14:cfRule>
          <xm:sqref>H1399:M1399</xm:sqref>
        </x14:conditionalFormatting>
        <x14:conditionalFormatting xmlns:xm="http://schemas.microsoft.com/office/excel/2006/main">
          <x14:cfRule type="dataBar" id="{3E98507C-8F70-406F-BFBD-7149D695AF51}">
            <x14:dataBar minLength="0" maxLength="100" gradient="0">
              <x14:cfvo type="autoMin"/>
              <x14:cfvo type="num">
                <xm:f>4</xm:f>
              </x14:cfvo>
              <x14:negativeFillColor rgb="FFFF0000"/>
              <x14:axisColor rgb="FF000000"/>
            </x14:dataBar>
          </x14:cfRule>
          <xm:sqref>H1400:M1401</xm:sqref>
        </x14:conditionalFormatting>
        <x14:conditionalFormatting xmlns:xm="http://schemas.microsoft.com/office/excel/2006/main">
          <x14:cfRule type="dataBar" id="{FFBB5DE8-E6FC-42F5-BD28-6FF7958AE086}">
            <x14:dataBar minLength="0" maxLength="100" gradient="0">
              <x14:cfvo type="autoMin"/>
              <x14:cfvo type="num">
                <xm:f>4</xm:f>
              </x14:cfvo>
              <x14:negativeFillColor rgb="FFFF0000"/>
              <x14:axisColor rgb="FF000000"/>
            </x14:dataBar>
          </x14:cfRule>
          <xm:sqref>H1402:M1402</xm:sqref>
        </x14:conditionalFormatting>
        <x14:conditionalFormatting xmlns:xm="http://schemas.microsoft.com/office/excel/2006/main">
          <x14:cfRule type="dataBar" id="{E8E8B35A-21F4-48E5-B83D-15320BE621E5}">
            <x14:dataBar minLength="0" maxLength="100" gradient="0">
              <x14:cfvo type="autoMin"/>
              <x14:cfvo type="num">
                <xm:f>4</xm:f>
              </x14:cfvo>
              <x14:negativeFillColor rgb="FFFF0000"/>
              <x14:axisColor rgb="FF000000"/>
            </x14:dataBar>
          </x14:cfRule>
          <xm:sqref>H1403:M1403</xm:sqref>
        </x14:conditionalFormatting>
        <x14:conditionalFormatting xmlns:xm="http://schemas.microsoft.com/office/excel/2006/main">
          <x14:cfRule type="dataBar" id="{534DD5AC-AF58-495B-AC27-93178C46EB2A}">
            <x14:dataBar minLength="0" maxLength="100" gradient="0">
              <x14:cfvo type="autoMin"/>
              <x14:cfvo type="num">
                <xm:f>4</xm:f>
              </x14:cfvo>
              <x14:negativeFillColor rgb="FFFF0000"/>
              <x14:axisColor rgb="FF000000"/>
            </x14:dataBar>
          </x14:cfRule>
          <xm:sqref>H1404:M1404 I1405</xm:sqref>
        </x14:conditionalFormatting>
        <x14:conditionalFormatting xmlns:xm="http://schemas.microsoft.com/office/excel/2006/main">
          <x14:cfRule type="dataBar" id="{C6267D83-65C7-470A-A878-913168EBF4E1}">
            <x14:dataBar minLength="0" maxLength="100" gradient="0">
              <x14:cfvo type="autoMin"/>
              <x14:cfvo type="num">
                <xm:f>4</xm:f>
              </x14:cfvo>
              <x14:negativeFillColor rgb="FFFF0000"/>
              <x14:axisColor rgb="FF000000"/>
            </x14:dataBar>
          </x14:cfRule>
          <xm:sqref>J1405:M1405 H1405</xm:sqref>
        </x14:conditionalFormatting>
        <x14:conditionalFormatting xmlns:xm="http://schemas.microsoft.com/office/excel/2006/main">
          <x14:cfRule type="dataBar" id="{1C678FE8-1629-499E-B8D5-7809E0EE1FA8}">
            <x14:dataBar minLength="0" maxLength="100" gradient="0">
              <x14:cfvo type="autoMin"/>
              <x14:cfvo type="num">
                <xm:f>4</xm:f>
              </x14:cfvo>
              <x14:negativeFillColor rgb="FFFF0000"/>
              <x14:axisColor rgb="FF000000"/>
            </x14:dataBar>
          </x14:cfRule>
          <xm:sqref>H1406:M1406</xm:sqref>
        </x14:conditionalFormatting>
        <x14:conditionalFormatting xmlns:xm="http://schemas.microsoft.com/office/excel/2006/main">
          <x14:cfRule type="dataBar" id="{87FAB6CA-8080-494D-9FAE-139D22174EED}">
            <x14:dataBar minLength="0" maxLength="100" gradient="0">
              <x14:cfvo type="autoMin"/>
              <x14:cfvo type="num">
                <xm:f>4</xm:f>
              </x14:cfvo>
              <x14:negativeFillColor rgb="FFFF0000"/>
              <x14:axisColor rgb="FF000000"/>
            </x14:dataBar>
          </x14:cfRule>
          <xm:sqref>H1407:M1407</xm:sqref>
        </x14:conditionalFormatting>
        <x14:conditionalFormatting xmlns:xm="http://schemas.microsoft.com/office/excel/2006/main">
          <x14:cfRule type="dataBar" id="{3E7F4117-66C5-4BD2-8629-4C4D2E4486A3}">
            <x14:dataBar minLength="0" maxLength="100" gradient="0">
              <x14:cfvo type="autoMin"/>
              <x14:cfvo type="num">
                <xm:f>4</xm:f>
              </x14:cfvo>
              <x14:negativeFillColor rgb="FFFF0000"/>
              <x14:axisColor rgb="FF000000"/>
            </x14:dataBar>
          </x14:cfRule>
          <xm:sqref>H1408:M1408</xm:sqref>
        </x14:conditionalFormatting>
        <x14:conditionalFormatting xmlns:xm="http://schemas.microsoft.com/office/excel/2006/main">
          <x14:cfRule type="dataBar" id="{2A73FDF0-6927-46E9-AE6F-26E4B14D169B}">
            <x14:dataBar minLength="0" maxLength="100" gradient="0">
              <x14:cfvo type="autoMin"/>
              <x14:cfvo type="num">
                <xm:f>4</xm:f>
              </x14:cfvo>
              <x14:negativeFillColor rgb="FFFF0000"/>
              <x14:axisColor rgb="FF000000"/>
            </x14:dataBar>
          </x14:cfRule>
          <xm:sqref>H1409:M1409</xm:sqref>
        </x14:conditionalFormatting>
        <x14:conditionalFormatting xmlns:xm="http://schemas.microsoft.com/office/excel/2006/main">
          <x14:cfRule type="dataBar" id="{B7D1F8C5-1D53-488A-A9D9-FC6BD54320D4}">
            <x14:dataBar minLength="0" maxLength="100" gradient="0">
              <x14:cfvo type="autoMin"/>
              <x14:cfvo type="num">
                <xm:f>4</xm:f>
              </x14:cfvo>
              <x14:negativeFillColor rgb="FFFF0000"/>
              <x14:axisColor rgb="FF000000"/>
            </x14:dataBar>
          </x14:cfRule>
          <xm:sqref>H1410:M1410</xm:sqref>
        </x14:conditionalFormatting>
        <x14:conditionalFormatting xmlns:xm="http://schemas.microsoft.com/office/excel/2006/main">
          <x14:cfRule type="dataBar" id="{9D127D25-CD58-473B-B902-864102AB1F1E}">
            <x14:dataBar minLength="0" maxLength="100" gradient="0">
              <x14:cfvo type="autoMin"/>
              <x14:cfvo type="num">
                <xm:f>4</xm:f>
              </x14:cfvo>
              <x14:negativeFillColor rgb="FFFF0000"/>
              <x14:axisColor rgb="FF000000"/>
            </x14:dataBar>
          </x14:cfRule>
          <xm:sqref>H1411:M1412</xm:sqref>
        </x14:conditionalFormatting>
        <x14:conditionalFormatting xmlns:xm="http://schemas.microsoft.com/office/excel/2006/main">
          <x14:cfRule type="dataBar" id="{1B27A565-30ED-42F8-8700-6DDDBEC85E8D}">
            <x14:dataBar minLength="0" maxLength="100" gradient="0">
              <x14:cfvo type="autoMin"/>
              <x14:cfvo type="num">
                <xm:f>4</xm:f>
              </x14:cfvo>
              <x14:negativeFillColor rgb="FFFF0000"/>
              <x14:axisColor rgb="FF000000"/>
            </x14:dataBar>
          </x14:cfRule>
          <xm:sqref>H1414:M1414</xm:sqref>
        </x14:conditionalFormatting>
        <x14:conditionalFormatting xmlns:xm="http://schemas.microsoft.com/office/excel/2006/main">
          <x14:cfRule type="dataBar" id="{65066EC0-D07E-4EE9-8147-7E441D2F9401}">
            <x14:dataBar minLength="0" maxLength="100" gradient="0">
              <x14:cfvo type="autoMin"/>
              <x14:cfvo type="num">
                <xm:f>4</xm:f>
              </x14:cfvo>
              <x14:negativeFillColor rgb="FFFF0000"/>
              <x14:axisColor rgb="FF000000"/>
            </x14:dataBar>
          </x14:cfRule>
          <xm:sqref>H1415:M1416</xm:sqref>
        </x14:conditionalFormatting>
        <x14:conditionalFormatting xmlns:xm="http://schemas.microsoft.com/office/excel/2006/main">
          <x14:cfRule type="dataBar" id="{82FD937E-8AA1-4544-894E-2DB2FF66E0B5}">
            <x14:dataBar minLength="0" maxLength="100" gradient="0">
              <x14:cfvo type="autoMin"/>
              <x14:cfvo type="num">
                <xm:f>4</xm:f>
              </x14:cfvo>
              <x14:negativeFillColor rgb="FFFF0000"/>
              <x14:axisColor rgb="FF000000"/>
            </x14:dataBar>
          </x14:cfRule>
          <xm:sqref>H1417:M1417</xm:sqref>
        </x14:conditionalFormatting>
        <x14:conditionalFormatting xmlns:xm="http://schemas.microsoft.com/office/excel/2006/main">
          <x14:cfRule type="dataBar" id="{1C4DE7CD-FF5A-4705-A280-AEC064C61EC3}">
            <x14:dataBar minLength="0" maxLength="100" gradient="0">
              <x14:cfvo type="autoMin"/>
              <x14:cfvo type="num">
                <xm:f>4</xm:f>
              </x14:cfvo>
              <x14:negativeFillColor rgb="FFFF0000"/>
              <x14:axisColor rgb="FF000000"/>
            </x14:dataBar>
          </x14:cfRule>
          <xm:sqref>H1421:M1421</xm:sqref>
        </x14:conditionalFormatting>
        <x14:conditionalFormatting xmlns:xm="http://schemas.microsoft.com/office/excel/2006/main">
          <x14:cfRule type="dataBar" id="{23EE4AFC-6C7C-4ADA-BA1F-EE4A1CDFC5EC}">
            <x14:dataBar minLength="0" maxLength="100" gradient="0">
              <x14:cfvo type="autoMin"/>
              <x14:cfvo type="num">
                <xm:f>4</xm:f>
              </x14:cfvo>
              <x14:negativeFillColor rgb="FFFF0000"/>
              <x14:axisColor rgb="FF000000"/>
            </x14:dataBar>
          </x14:cfRule>
          <xm:sqref>H1424:M1424 H1429:M1429 H1435:M1435 H1440:M1440</xm:sqref>
        </x14:conditionalFormatting>
        <x14:conditionalFormatting xmlns:xm="http://schemas.microsoft.com/office/excel/2006/main">
          <x14:cfRule type="dataBar" id="{D66D1455-A9D0-4DF7-B3B3-2DC095F07A93}">
            <x14:dataBar minLength="0" maxLength="100" gradient="0">
              <x14:cfvo type="autoMin"/>
              <x14:cfvo type="num">
                <xm:f>4</xm:f>
              </x14:cfvo>
              <x14:negativeFillColor rgb="FFFF0000"/>
              <x14:axisColor rgb="FF000000"/>
            </x14:dataBar>
          </x14:cfRule>
          <xm:sqref>H1425:M1426</xm:sqref>
        </x14:conditionalFormatting>
        <x14:conditionalFormatting xmlns:xm="http://schemas.microsoft.com/office/excel/2006/main">
          <x14:cfRule type="dataBar" id="{27202862-82BF-420A-B622-40C267477592}">
            <x14:dataBar minLength="0" maxLength="100" gradient="0">
              <x14:cfvo type="autoMin"/>
              <x14:cfvo type="num">
                <xm:f>4</xm:f>
              </x14:cfvo>
              <x14:negativeFillColor rgb="FFFF0000"/>
              <x14:axisColor rgb="FF000000"/>
            </x14:dataBar>
          </x14:cfRule>
          <xm:sqref>H1427:M1428 H1422:M1423 H1419:M1420</xm:sqref>
        </x14:conditionalFormatting>
        <x14:conditionalFormatting xmlns:xm="http://schemas.microsoft.com/office/excel/2006/main">
          <x14:cfRule type="dataBar" id="{167746D8-C60D-42A1-88A6-C7B8A8105699}">
            <x14:dataBar minLength="0" maxLength="100" gradient="0">
              <x14:cfvo type="autoMin"/>
              <x14:cfvo type="num">
                <xm:f>4</xm:f>
              </x14:cfvo>
              <x14:negativeFillColor rgb="FFFF0000"/>
              <x14:axisColor rgb="FF000000"/>
            </x14:dataBar>
          </x14:cfRule>
          <xm:sqref>H1432:M1432</xm:sqref>
        </x14:conditionalFormatting>
        <x14:conditionalFormatting xmlns:xm="http://schemas.microsoft.com/office/excel/2006/main">
          <x14:cfRule type="dataBar" id="{B95AD9D9-3A6B-482F-9FA1-119927118C0D}">
            <x14:dataBar minLength="0" maxLength="100" gradient="0">
              <x14:cfvo type="autoMin"/>
              <x14:cfvo type="num">
                <xm:f>4</xm:f>
              </x14:cfvo>
              <x14:negativeFillColor rgb="FFFF0000"/>
              <x14:axisColor rgb="FF000000"/>
            </x14:dataBar>
          </x14:cfRule>
          <xm:sqref>H1436:M1437</xm:sqref>
        </x14:conditionalFormatting>
        <x14:conditionalFormatting xmlns:xm="http://schemas.microsoft.com/office/excel/2006/main">
          <x14:cfRule type="dataBar" id="{392C63E0-F3DB-499A-9D5C-576261E67A6F}">
            <x14:dataBar minLength="0" maxLength="100" gradient="0">
              <x14:cfvo type="autoMin"/>
              <x14:cfvo type="num">
                <xm:f>4</xm:f>
              </x14:cfvo>
              <x14:negativeFillColor rgb="FFFF0000"/>
              <x14:axisColor rgb="FF000000"/>
            </x14:dataBar>
          </x14:cfRule>
          <xm:sqref>H1438:M1439 H1433:M1434 H1430:M1431</xm:sqref>
        </x14:conditionalFormatting>
        <x14:conditionalFormatting xmlns:xm="http://schemas.microsoft.com/office/excel/2006/main">
          <x14:cfRule type="dataBar" id="{1D8376CC-04EF-4C1F-B1C2-32964C843C96}">
            <x14:dataBar minLength="0" maxLength="100" gradient="0">
              <x14:cfvo type="autoMin"/>
              <x14:cfvo type="num">
                <xm:f>4</xm:f>
              </x14:cfvo>
              <x14:negativeFillColor rgb="FFFF0000"/>
              <x14:axisColor rgb="FF000000"/>
            </x14:dataBar>
          </x14:cfRule>
          <xm:sqref>H1441:M1462</xm:sqref>
        </x14:conditionalFormatting>
        <x14:conditionalFormatting xmlns:xm="http://schemas.microsoft.com/office/excel/2006/main">
          <x14:cfRule type="dataBar" id="{0981FE92-40C9-4998-8688-F5E958AF26DF}">
            <x14:dataBar minLength="0" maxLength="100" gradient="0">
              <x14:cfvo type="autoMin"/>
              <x14:cfvo type="num">
                <xm:f>4</xm:f>
              </x14:cfvo>
              <x14:negativeFillColor rgb="FFFF0000"/>
              <x14:axisColor rgb="FF000000"/>
            </x14:dataBar>
          </x14:cfRule>
          <xm:sqref>I277:I278</xm:sqref>
        </x14:conditionalFormatting>
        <x14:conditionalFormatting xmlns:xm="http://schemas.microsoft.com/office/excel/2006/main">
          <x14:cfRule type="dataBar" id="{8C325829-DC4E-4059-85B7-DE2682CB3B57}">
            <x14:dataBar minLength="0" maxLength="100" gradient="0">
              <x14:cfvo type="autoMin"/>
              <x14:cfvo type="num">
                <xm:f>4</xm:f>
              </x14:cfvo>
              <x14:negativeFillColor rgb="FFFF0000"/>
              <x14:axisColor rgb="FF000000"/>
            </x14:dataBar>
          </x14:cfRule>
          <xm:sqref>I280:I281</xm:sqref>
        </x14:conditionalFormatting>
        <x14:conditionalFormatting xmlns:xm="http://schemas.microsoft.com/office/excel/2006/main">
          <x14:cfRule type="dataBar" id="{64BBA177-E9E6-4258-837C-B4E2091A860D}">
            <x14:dataBar minLength="0" maxLength="100" gradient="0">
              <x14:cfvo type="autoMin"/>
              <x14:cfvo type="num">
                <xm:f>4</xm:f>
              </x14:cfvo>
              <x14:negativeFillColor rgb="FFFF0000"/>
              <x14:axisColor rgb="FF000000"/>
            </x14:dataBar>
          </x14:cfRule>
          <xm:sqref>I859:I864</xm:sqref>
        </x14:conditionalFormatting>
        <x14:conditionalFormatting xmlns:xm="http://schemas.microsoft.com/office/excel/2006/main">
          <x14:cfRule type="dataBar" id="{36844039-BEAE-48B6-9E94-15D168E5520E}">
            <x14:dataBar minLength="0" maxLength="100" gradient="0">
              <x14:cfvo type="autoMin"/>
              <x14:cfvo type="num">
                <xm:f>4</xm:f>
              </x14:cfvo>
              <x14:negativeFillColor rgb="FFFF0000"/>
              <x14:axisColor rgb="FF000000"/>
            </x14:dataBar>
          </x14:cfRule>
          <xm:sqref>J277:J278</xm:sqref>
        </x14:conditionalFormatting>
        <x14:conditionalFormatting xmlns:xm="http://schemas.microsoft.com/office/excel/2006/main">
          <x14:cfRule type="dataBar" id="{F934E2D6-1F08-4146-B105-9A045A89AA43}">
            <x14:dataBar minLength="0" maxLength="100" gradient="0">
              <x14:cfvo type="autoMin"/>
              <x14:cfvo type="num">
                <xm:f>4</xm:f>
              </x14:cfvo>
              <x14:negativeFillColor rgb="FFFF0000"/>
              <x14:axisColor rgb="FF000000"/>
            </x14:dataBar>
          </x14:cfRule>
          <xm:sqref>J280:J281</xm:sqref>
        </x14:conditionalFormatting>
        <x14:conditionalFormatting xmlns:xm="http://schemas.microsoft.com/office/excel/2006/main">
          <x14:cfRule type="dataBar" id="{40511D16-FD68-424C-B221-1299B52B9CEF}">
            <x14:dataBar minLength="0" maxLength="100" gradient="0">
              <x14:cfvo type="autoMin"/>
              <x14:cfvo type="num">
                <xm:f>4</xm:f>
              </x14:cfvo>
              <x14:negativeFillColor rgb="FFFF0000"/>
              <x14:axisColor rgb="FF000000"/>
            </x14:dataBar>
          </x14:cfRule>
          <xm:sqref>J859:J864</xm:sqref>
        </x14:conditionalFormatting>
        <x14:conditionalFormatting xmlns:xm="http://schemas.microsoft.com/office/excel/2006/main">
          <x14:cfRule type="dataBar" id="{35655516-FD7D-487A-A136-73E746610FEE}">
            <x14:dataBar minLength="0" maxLength="100" gradient="0">
              <x14:cfvo type="autoMin"/>
              <x14:cfvo type="num">
                <xm:f>4</xm:f>
              </x14:cfvo>
              <x14:negativeFillColor rgb="FFFF0000"/>
              <x14:axisColor rgb="FF000000"/>
            </x14:dataBar>
          </x14:cfRule>
          <xm:sqref>K277:K278</xm:sqref>
        </x14:conditionalFormatting>
        <x14:conditionalFormatting xmlns:xm="http://schemas.microsoft.com/office/excel/2006/main">
          <x14:cfRule type="dataBar" id="{3AC1C6DC-4662-48C3-A299-2758C912D15B}">
            <x14:dataBar minLength="0" maxLength="100" gradient="0">
              <x14:cfvo type="autoMin"/>
              <x14:cfvo type="num">
                <xm:f>4</xm:f>
              </x14:cfvo>
              <x14:negativeFillColor rgb="FFFF0000"/>
              <x14:axisColor rgb="FF000000"/>
            </x14:dataBar>
          </x14:cfRule>
          <xm:sqref>K280:K281</xm:sqref>
        </x14:conditionalFormatting>
        <x14:conditionalFormatting xmlns:xm="http://schemas.microsoft.com/office/excel/2006/main">
          <x14:cfRule type="dataBar" id="{410751F8-359B-48E2-B5D1-B8A6F48ADF33}">
            <x14:dataBar minLength="0" maxLength="100" gradient="0">
              <x14:cfvo type="autoMin"/>
              <x14:cfvo type="num">
                <xm:f>4</xm:f>
              </x14:cfvo>
              <x14:negativeFillColor rgb="FFFF0000"/>
              <x14:axisColor rgb="FF000000"/>
            </x14:dataBar>
          </x14:cfRule>
          <xm:sqref>K859:K864</xm:sqref>
        </x14:conditionalFormatting>
        <x14:conditionalFormatting xmlns:xm="http://schemas.microsoft.com/office/excel/2006/main">
          <x14:cfRule type="dataBar" id="{A0C0C633-887C-4064-B0C9-D8DCFD8A0232}">
            <x14:dataBar minLength="0" maxLength="100" gradient="0">
              <x14:cfvo type="autoMin"/>
              <x14:cfvo type="num">
                <xm:f>4</xm:f>
              </x14:cfvo>
              <x14:negativeFillColor rgb="FFFF0000"/>
              <x14:axisColor rgb="FF000000"/>
            </x14:dataBar>
          </x14:cfRule>
          <xm:sqref>L277:L278</xm:sqref>
        </x14:conditionalFormatting>
        <x14:conditionalFormatting xmlns:xm="http://schemas.microsoft.com/office/excel/2006/main">
          <x14:cfRule type="dataBar" id="{EB0DFE2C-63FE-4D19-8832-2FF6F7765BEF}">
            <x14:dataBar minLength="0" maxLength="100" gradient="0">
              <x14:cfvo type="autoMin"/>
              <x14:cfvo type="num">
                <xm:f>4</xm:f>
              </x14:cfvo>
              <x14:negativeFillColor rgb="FFFF0000"/>
              <x14:axisColor rgb="FF000000"/>
            </x14:dataBar>
          </x14:cfRule>
          <xm:sqref>L280:L281</xm:sqref>
        </x14:conditionalFormatting>
        <x14:conditionalFormatting xmlns:xm="http://schemas.microsoft.com/office/excel/2006/main">
          <x14:cfRule type="dataBar" id="{7F39E170-6BBD-4A71-8987-7FAC5C0FBA51}">
            <x14:dataBar minLength="0" maxLength="100" gradient="0">
              <x14:cfvo type="autoMin"/>
              <x14:cfvo type="num">
                <xm:f>4</xm:f>
              </x14:cfvo>
              <x14:negativeFillColor rgb="FFFF0000"/>
              <x14:axisColor rgb="FF000000"/>
            </x14:dataBar>
          </x14:cfRule>
          <xm:sqref>L859:L864</xm:sqref>
        </x14:conditionalFormatting>
        <x14:conditionalFormatting xmlns:xm="http://schemas.microsoft.com/office/excel/2006/main">
          <x14:cfRule type="dataBar" id="{2FF23883-0495-42DD-8901-6B987EBA4DFE}">
            <x14:dataBar minLength="0" maxLength="100" gradient="0">
              <x14:cfvo type="autoMin"/>
              <x14:cfvo type="num">
                <xm:f>4</xm:f>
              </x14:cfvo>
              <x14:negativeFillColor rgb="FFFF0000"/>
              <x14:axisColor rgb="FF000000"/>
            </x14:dataBar>
          </x14:cfRule>
          <xm:sqref>M277:M278</xm:sqref>
        </x14:conditionalFormatting>
        <x14:conditionalFormatting xmlns:xm="http://schemas.microsoft.com/office/excel/2006/main">
          <x14:cfRule type="dataBar" id="{5AEF6319-80C2-4A0C-B2D1-345E3DD9F043}">
            <x14:dataBar minLength="0" maxLength="100" gradient="0">
              <x14:cfvo type="autoMin"/>
              <x14:cfvo type="num">
                <xm:f>4</xm:f>
              </x14:cfvo>
              <x14:negativeFillColor rgb="FFFF0000"/>
              <x14:axisColor rgb="FF000000"/>
            </x14:dataBar>
          </x14:cfRule>
          <xm:sqref>M280:M281</xm:sqref>
        </x14:conditionalFormatting>
        <x14:conditionalFormatting xmlns:xm="http://schemas.microsoft.com/office/excel/2006/main">
          <x14:cfRule type="dataBar" id="{D8476B79-A7A0-48EE-B819-C78E9304EB16}">
            <x14:dataBar minLength="0" maxLength="100" gradient="0">
              <x14:cfvo type="autoMin"/>
              <x14:cfvo type="num">
                <xm:f>4</xm:f>
              </x14:cfvo>
              <x14:negativeFillColor rgb="FFFF0000"/>
              <x14:axisColor rgb="FF000000"/>
            </x14:dataBar>
          </x14:cfRule>
          <xm:sqref>M859:M864</xm:sqref>
        </x14:conditionalFormatting>
        <x14:conditionalFormatting xmlns:xm="http://schemas.microsoft.com/office/excel/2006/main">
          <x14:cfRule type="dataBar" id="{5FE02AD2-B592-4442-BE93-F1FA8A0DDB6E}">
            <x14:dataBar minLength="0" maxLength="100" gradient="0">
              <x14:cfvo type="autoMin"/>
              <x14:cfvo type="autoMax"/>
              <x14:negativeFillColor rgb="FFFF0000"/>
              <x14:axisColor rgb="FF000000"/>
            </x14:dataBar>
          </x14:cfRule>
          <xm:sqref>N276:N282</xm:sqref>
        </x14:conditionalFormatting>
        <x14:conditionalFormatting xmlns:xm="http://schemas.microsoft.com/office/excel/2006/main">
          <x14:cfRule type="dataBar" id="{653FB42B-DE40-4B04-BFE0-2BFA64BBDF9F}">
            <x14:dataBar minLength="0" maxLength="100" gradient="0">
              <x14:cfvo type="autoMin"/>
              <x14:cfvo type="autoMax"/>
              <x14:negativeFillColor rgb="FFFF0000"/>
              <x14:axisColor rgb="FF000000"/>
            </x14:dataBar>
          </x14:cfRule>
          <xm:sqref>N859:N864</xm:sqref>
        </x14:conditionalFormatting>
        <x14:conditionalFormatting xmlns:xm="http://schemas.microsoft.com/office/excel/2006/main">
          <x14:cfRule type="dataBar" id="{71FBF820-96F4-4292-A09E-2001342C43A2}">
            <x14:dataBar minLength="0" maxLength="100" gradient="0">
              <x14:cfvo type="autoMin"/>
              <x14:cfvo type="autoMax"/>
              <x14:negativeFillColor rgb="FFFF0000"/>
              <x14:axisColor rgb="FF000000"/>
            </x14:dataBar>
          </x14:cfRule>
          <xm:sqref>N865:N876</xm:sqref>
        </x14:conditionalFormatting>
        <x14:conditionalFormatting xmlns:xm="http://schemas.microsoft.com/office/excel/2006/main">
          <x14:cfRule type="dataBar" id="{75FB3F3D-C50D-494B-9F38-66F7DAE5D4A4}">
            <x14:dataBar minLength="0" maxLength="100" gradient="0">
              <x14:cfvo type="autoMin"/>
              <x14:cfvo type="autoMax"/>
              <x14:negativeFillColor rgb="FFFF0000"/>
              <x14:axisColor rgb="FF000000"/>
            </x14:dataBar>
          </x14:cfRule>
          <xm:sqref>N877:N1054 N1056:N1090 N1092:N1109 N1111:N1462</xm:sqref>
        </x14:conditionalFormatting>
        <x14:conditionalFormatting xmlns:xm="http://schemas.microsoft.com/office/excel/2006/main">
          <x14:cfRule type="dataBar" id="{39683FCE-C635-49D2-A9BA-C7023BF37511}">
            <x14:dataBar minLength="0" maxLength="100" gradient="0">
              <x14:cfvo type="autoMin"/>
              <x14:cfvo type="autoMax"/>
              <x14:negativeFillColor rgb="FFFF0000"/>
              <x14:axisColor rgb="FF000000"/>
            </x14:dataBar>
          </x14:cfRule>
          <xm:sqref>N2:O275 N283:O857</xm:sqref>
        </x14:conditionalFormatting>
        <x14:conditionalFormatting xmlns:xm="http://schemas.microsoft.com/office/excel/2006/main">
          <x14:cfRule type="dataBar" id="{D11272F5-DF2F-4773-94F8-7C2EEEAA96C3}">
            <x14:dataBar minLength="0" maxLength="100" gradient="0">
              <x14:cfvo type="autoMin"/>
              <x14:cfvo type="autoMax"/>
              <x14:negativeFillColor rgb="FFFF0000"/>
              <x14:axisColor rgb="FF000000"/>
            </x14:dataBar>
          </x14:cfRule>
          <xm:sqref>N858:O858</xm:sqref>
        </x14:conditionalFormatting>
        <x14:conditionalFormatting xmlns:xm="http://schemas.microsoft.com/office/excel/2006/main">
          <x14:cfRule type="dataBar" id="{0AFB4F83-0A52-40D8-AB0C-A5FD58A88EC6}">
            <x14:dataBar minLength="0" maxLength="100" gradient="0">
              <x14:cfvo type="autoMin"/>
              <x14:cfvo type="autoMax"/>
              <x14:negativeFillColor rgb="FFFF0000"/>
              <x14:axisColor rgb="FF000000"/>
            </x14:dataBar>
          </x14:cfRule>
          <xm:sqref>O276:O282</xm:sqref>
        </x14:conditionalFormatting>
        <x14:conditionalFormatting xmlns:xm="http://schemas.microsoft.com/office/excel/2006/main">
          <x14:cfRule type="dataBar" id="{66C82E18-99EA-4433-AB1D-53FBF20EFA86}">
            <x14:dataBar minLength="0" maxLength="100" gradient="0">
              <x14:cfvo type="autoMin"/>
              <x14:cfvo type="autoMax"/>
              <x14:negativeFillColor rgb="FFFF0000"/>
              <x14:axisColor rgb="FF000000"/>
            </x14:dataBar>
          </x14:cfRule>
          <xm:sqref>O865:O876</xm:sqref>
        </x14:conditionalFormatting>
        <x14:conditionalFormatting xmlns:xm="http://schemas.microsoft.com/office/excel/2006/main">
          <x14:cfRule type="dataBar" id="{FA495B81-A52E-48A7-8207-E9317622B22D}">
            <x14:dataBar minLength="0" maxLength="100" gradient="0">
              <x14:cfvo type="autoMin"/>
              <x14:cfvo type="autoMax"/>
              <x14:negativeFillColor rgb="FFFF0000"/>
              <x14:axisColor rgb="FF000000"/>
            </x14:dataBar>
          </x14:cfRule>
          <xm:sqref>O877:O1054 O1056:O1090 O1092:O1109 O1111:O1462</xm:sqref>
        </x14:conditionalFormatting>
        <x14:conditionalFormatting xmlns:xm="http://schemas.microsoft.com/office/excel/2006/main">
          <x14:cfRule type="dataBar" id="{390A2160-3F82-4A47-A33A-146EF68B2912}">
            <x14:dataBar minLength="0" maxLength="100" gradient="0">
              <x14:cfvo type="autoMin"/>
              <x14:cfvo type="autoMax"/>
              <x14:negativeFillColor rgb="FFFF0000"/>
              <x14:axisColor rgb="FF000000"/>
            </x14:dataBar>
          </x14:cfRule>
          <xm:sqref>P52</xm:sqref>
        </x14:conditionalFormatting>
        <x14:conditionalFormatting xmlns:xm="http://schemas.microsoft.com/office/excel/2006/main">
          <x14:cfRule type="dataBar" id="{9D887FAC-849C-4DD2-9754-D6AB34DE9384}">
            <x14:dataBar minLength="0" maxLength="100" gradient="0">
              <x14:cfvo type="autoMin"/>
              <x14:cfvo type="autoMax"/>
              <x14:negativeFillColor rgb="FFFF0000"/>
              <x14:axisColor rgb="FF000000"/>
            </x14:dataBar>
          </x14:cfRule>
          <xm:sqref>Q71:T71</xm:sqref>
        </x14:conditionalFormatting>
        <x14:conditionalFormatting xmlns:xm="http://schemas.microsoft.com/office/excel/2006/main">
          <x14:cfRule type="dataBar" id="{DD36D789-F48B-4171-A750-B8B0CF98E6AC}">
            <x14:dataBar minLength="0" maxLength="100" gradient="0">
              <x14:cfvo type="autoMin"/>
              <x14:cfvo type="autoMax"/>
              <x14:negativeFillColor rgb="FFFF0000"/>
              <x14:axisColor rgb="FF000000"/>
            </x14:dataBar>
          </x14:cfRule>
          <xm:sqref>N1055:O1055</xm:sqref>
        </x14:conditionalFormatting>
        <x14:conditionalFormatting xmlns:xm="http://schemas.microsoft.com/office/excel/2006/main">
          <x14:cfRule type="dataBar" id="{96559635-EEC9-49C3-A447-78E396A130A5}">
            <x14:dataBar minLength="0" maxLength="100" gradient="0">
              <x14:cfvo type="autoMin"/>
              <x14:cfvo type="autoMax"/>
              <x14:negativeFillColor rgb="FFFF0000"/>
              <x14:axisColor rgb="FF000000"/>
            </x14:dataBar>
          </x14:cfRule>
          <xm:sqref>N1091:O1091</xm:sqref>
        </x14:conditionalFormatting>
        <x14:conditionalFormatting xmlns:xm="http://schemas.microsoft.com/office/excel/2006/main">
          <x14:cfRule type="dataBar" id="{90EBD2C5-6959-4EE5-BF27-1797AEE39DCC}">
            <x14:dataBar minLength="0" maxLength="100" gradient="0">
              <x14:cfvo type="autoMin"/>
              <x14:cfvo type="autoMax"/>
              <x14:negativeFillColor rgb="FFFF0000"/>
              <x14:axisColor rgb="FF000000"/>
            </x14:dataBar>
          </x14:cfRule>
          <xm:sqref>N1110:O1110</xm:sqref>
        </x14:conditionalFormatting>
        <x14:conditionalFormatting xmlns:xm="http://schemas.microsoft.com/office/excel/2006/main">
          <x14:cfRule type="dataBar" id="{1480D803-BD60-448F-BF6A-BCF0A0C01209}">
            <x14:dataBar minLength="0" maxLength="100" gradient="0">
              <x14:cfvo type="autoMin"/>
              <x14:cfvo type="num">
                <xm:f>4</xm:f>
              </x14:cfvo>
              <x14:negativeFillColor rgb="FFFF0000"/>
              <x14:axisColor rgb="FF000000"/>
            </x14:dataBar>
          </x14:cfRule>
          <xm:sqref>H1247:M1248</xm:sqref>
        </x14:conditionalFormatting>
        <x14:conditionalFormatting xmlns:xm="http://schemas.microsoft.com/office/excel/2006/main">
          <x14:cfRule type="dataBar" id="{87371D02-5B91-46CA-A4BF-F6E54A52F084}">
            <x14:dataBar minLength="0" maxLength="100" gradient="0">
              <x14:cfvo type="autoMin"/>
              <x14:cfvo type="num">
                <xm:f>4</xm:f>
              </x14:cfvo>
              <x14:negativeFillColor rgb="FFFF0000"/>
              <x14:axisColor rgb="FF000000"/>
            </x14:dataBar>
          </x14:cfRule>
          <xm:sqref>H1249:M1249</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D856B-552D-430E-8F01-BF884EDA01C0}">
  <sheetPr>
    <tabColor theme="8"/>
  </sheetPr>
  <dimension ref="A1:AGJ632"/>
  <sheetViews>
    <sheetView topLeftCell="B1" zoomScaleNormal="100" workbookViewId="0">
      <selection activeCell="I478" sqref="I478:M479"/>
    </sheetView>
  </sheetViews>
  <sheetFormatPr defaultRowHeight="14.4"/>
  <cols>
    <col min="1" max="1" width="30" customWidth="1"/>
    <col min="2" max="2" width="33.33203125" bestFit="1" customWidth="1"/>
    <col min="3" max="3" width="16" customWidth="1"/>
    <col min="4" max="4" width="18.88671875" customWidth="1"/>
    <col min="5" max="5" width="25.109375" customWidth="1"/>
    <col min="6" max="6" width="28" customWidth="1"/>
    <col min="7" max="7" width="29.109375" customWidth="1"/>
    <col min="8" max="8" width="9.88671875" customWidth="1"/>
    <col min="9" max="9" width="18.5546875" bestFit="1" customWidth="1"/>
    <col min="10" max="10" width="20.6640625" bestFit="1" customWidth="1"/>
    <col min="11" max="11" width="15" customWidth="1"/>
    <col min="12" max="12" width="13.44140625" customWidth="1"/>
    <col min="13" max="13" width="12" customWidth="1"/>
    <col min="14" max="14" width="14.33203125" customWidth="1"/>
  </cols>
  <sheetData>
    <row r="1" spans="1:7" s="1010" customFormat="1"/>
    <row r="2" spans="1:7" s="1010" customFormat="1"/>
    <row r="3" spans="1:7">
      <c r="A3" s="222" t="s">
        <v>2</v>
      </c>
      <c r="B3" s="222" t="s">
        <v>1992</v>
      </c>
      <c r="C3" s="222" t="s">
        <v>104</v>
      </c>
      <c r="F3" s="222" t="s">
        <v>132</v>
      </c>
      <c r="G3" s="222" t="s">
        <v>104</v>
      </c>
    </row>
    <row r="4" spans="1:7">
      <c r="A4" t="s">
        <v>2024</v>
      </c>
      <c r="B4" s="860">
        <v>1.1000000000000001</v>
      </c>
      <c r="C4" t="s">
        <v>2022</v>
      </c>
      <c r="F4" t="s">
        <v>823</v>
      </c>
      <c r="G4" t="s">
        <v>2017</v>
      </c>
    </row>
    <row r="5" spans="1:7">
      <c r="A5" t="s">
        <v>2025</v>
      </c>
      <c r="B5" s="860">
        <v>0.9</v>
      </c>
      <c r="C5" t="s">
        <v>2022</v>
      </c>
      <c r="F5" t="s">
        <v>824</v>
      </c>
      <c r="G5" s="364" t="s">
        <v>2017</v>
      </c>
    </row>
    <row r="6" spans="1:7">
      <c r="A6" t="s">
        <v>2026</v>
      </c>
      <c r="B6" s="860">
        <f>B4+B14+B13+B12+B11+B9</f>
        <v>1.3655000000000002</v>
      </c>
      <c r="C6" t="s">
        <v>2023</v>
      </c>
    </row>
    <row r="7" spans="1:7">
      <c r="A7" t="s">
        <v>2027</v>
      </c>
      <c r="B7" s="860">
        <f>B5+B14+B13+B12+B10+B9</f>
        <v>1.1561000000000001</v>
      </c>
      <c r="C7" t="s">
        <v>2023</v>
      </c>
    </row>
    <row r="8" spans="1:7">
      <c r="B8" s="860"/>
    </row>
    <row r="9" spans="1:7">
      <c r="A9" t="s">
        <v>2006</v>
      </c>
      <c r="B9" s="860">
        <v>0.05</v>
      </c>
      <c r="C9" t="s">
        <v>2012</v>
      </c>
    </row>
    <row r="10" spans="1:7">
      <c r="A10" t="s">
        <v>2007</v>
      </c>
      <c r="B10" s="860">
        <v>5.9999999999999995E-4</v>
      </c>
      <c r="C10" t="s">
        <v>2012</v>
      </c>
    </row>
    <row r="11" spans="1:7">
      <c r="A11" t="s">
        <v>2008</v>
      </c>
      <c r="B11" s="860">
        <v>0.01</v>
      </c>
      <c r="C11" t="s">
        <v>2012</v>
      </c>
    </row>
    <row r="12" spans="1:7">
      <c r="A12" t="s">
        <v>2009</v>
      </c>
      <c r="B12" s="860">
        <v>1.5E-3</v>
      </c>
      <c r="C12" t="s">
        <v>2012</v>
      </c>
    </row>
    <row r="13" spans="1:7">
      <c r="A13" t="s">
        <v>2010</v>
      </c>
      <c r="B13" s="860">
        <v>4.0000000000000001E-3</v>
      </c>
      <c r="C13" t="s">
        <v>2012</v>
      </c>
    </row>
    <row r="14" spans="1:7">
      <c r="A14" t="s">
        <v>2011</v>
      </c>
      <c r="B14" s="860">
        <v>0.2</v>
      </c>
      <c r="C14" t="s">
        <v>2012</v>
      </c>
    </row>
    <row r="16" spans="1:7">
      <c r="A16" t="s">
        <v>2004</v>
      </c>
    </row>
    <row r="17" spans="1:20" s="1012" customFormat="1">
      <c r="A17" s="1011" t="s">
        <v>1997</v>
      </c>
    </row>
    <row r="18" spans="1:20" s="1012" customFormat="1" ht="15" thickBot="1"/>
    <row r="19" spans="1:20">
      <c r="A19" s="858" t="s">
        <v>1005</v>
      </c>
      <c r="B19" s="858" t="s">
        <v>101</v>
      </c>
      <c r="C19" s="858" t="s">
        <v>102</v>
      </c>
      <c r="D19" t="s">
        <v>245</v>
      </c>
      <c r="E19" t="s">
        <v>1994</v>
      </c>
      <c r="F19" t="s">
        <v>1993</v>
      </c>
      <c r="G19" t="s">
        <v>1999</v>
      </c>
      <c r="H19" t="s">
        <v>2000</v>
      </c>
      <c r="I19" s="858" t="s">
        <v>1995</v>
      </c>
      <c r="J19" s="858" t="s">
        <v>1996</v>
      </c>
      <c r="K19" s="858" t="s">
        <v>2013</v>
      </c>
      <c r="L19" s="858" t="s">
        <v>2015</v>
      </c>
      <c r="M19" s="858" t="s">
        <v>2016</v>
      </c>
      <c r="N19" s="858" t="s">
        <v>2014</v>
      </c>
      <c r="O19" s="416" t="s">
        <v>105</v>
      </c>
      <c r="P19" s="417" t="s">
        <v>65</v>
      </c>
      <c r="Q19" s="417" t="s">
        <v>67</v>
      </c>
      <c r="R19" s="417" t="s">
        <v>73</v>
      </c>
      <c r="S19" s="418" t="s">
        <v>79</v>
      </c>
      <c r="T19" s="420" t="s">
        <v>107</v>
      </c>
    </row>
    <row r="20" spans="1:20">
      <c r="A20" s="951" t="s">
        <v>180</v>
      </c>
      <c r="B20" s="858">
        <v>2011</v>
      </c>
      <c r="C20" s="858" t="s">
        <v>99</v>
      </c>
      <c r="D20" s="217">
        <v>7.0630766380000001</v>
      </c>
      <c r="E20" s="217">
        <v>2.9838768519999999</v>
      </c>
      <c r="F20" s="217">
        <v>14.88017883</v>
      </c>
      <c r="G20" s="217">
        <f t="shared" ref="G20:G51" si="0">E20/(E20+F20)</f>
        <v>0.16703244241488699</v>
      </c>
      <c r="H20" s="217">
        <f t="shared" ref="H20:H51" si="1">1-G20</f>
        <v>0.83296755758511298</v>
      </c>
      <c r="I20" s="888">
        <f t="shared" ref="I20:I51" si="2">E20-(D20*G20)</f>
        <v>1.8041139101913313</v>
      </c>
      <c r="J20" s="888">
        <f t="shared" ref="J20:J51" si="3">F20-D20*H20</f>
        <v>8.9968651338086687</v>
      </c>
      <c r="K20" s="217">
        <f t="shared" ref="K20:K51" si="4">I20*$B$5</f>
        <v>1.6237025191721981</v>
      </c>
      <c r="L20" s="217">
        <f t="shared" ref="L20:L51" si="5">I20*$B$4</f>
        <v>1.9845253012104647</v>
      </c>
      <c r="M20" s="217">
        <f t="shared" ref="M20:M51" si="6">J20*$B$5</f>
        <v>8.0971786204278029</v>
      </c>
      <c r="N20" s="217">
        <f t="shared" ref="N20:N51" si="7">J20*$B$4</f>
        <v>9.8965516471895363</v>
      </c>
      <c r="O20">
        <v>1</v>
      </c>
      <c r="P20">
        <v>1</v>
      </c>
      <c r="Q20">
        <v>2</v>
      </c>
      <c r="R20">
        <v>2</v>
      </c>
      <c r="S20">
        <v>2</v>
      </c>
    </row>
    <row r="21" spans="1:20">
      <c r="A21" s="858" t="s">
        <v>180</v>
      </c>
      <c r="B21" s="858">
        <v>2011</v>
      </c>
      <c r="C21" s="858" t="s">
        <v>98</v>
      </c>
      <c r="D21" s="217">
        <v>15.99000421</v>
      </c>
      <c r="E21" s="217">
        <v>5.3017206320000003</v>
      </c>
      <c r="F21" s="217">
        <v>26.8794705</v>
      </c>
      <c r="G21" s="217">
        <f t="shared" si="0"/>
        <v>0.16474594151141067</v>
      </c>
      <c r="H21" s="217">
        <f t="shared" si="1"/>
        <v>0.83525405848858936</v>
      </c>
      <c r="I21" s="888">
        <f t="shared" si="2"/>
        <v>2.6674323336521297</v>
      </c>
      <c r="J21" s="888">
        <f t="shared" si="3"/>
        <v>13.52375458834787</v>
      </c>
      <c r="K21" s="217">
        <f t="shared" si="4"/>
        <v>2.4006891002869168</v>
      </c>
      <c r="L21" s="217">
        <f t="shared" si="5"/>
        <v>2.9341755670173431</v>
      </c>
      <c r="M21" s="217">
        <f t="shared" si="6"/>
        <v>12.171379129513083</v>
      </c>
      <c r="N21" s="217">
        <f t="shared" si="7"/>
        <v>14.876130047182658</v>
      </c>
      <c r="O21">
        <v>1</v>
      </c>
      <c r="P21">
        <v>1</v>
      </c>
      <c r="Q21">
        <v>2</v>
      </c>
      <c r="R21">
        <v>2</v>
      </c>
      <c r="S21">
        <v>2</v>
      </c>
    </row>
    <row r="22" spans="1:20">
      <c r="A22" s="858" t="s">
        <v>180</v>
      </c>
      <c r="B22" s="858">
        <v>2011</v>
      </c>
      <c r="C22" s="858" t="s">
        <v>95</v>
      </c>
      <c r="D22" s="217">
        <v>18.619256870000001</v>
      </c>
      <c r="E22" s="217">
        <v>10.32585832</v>
      </c>
      <c r="F22" s="217">
        <v>35.543951159999999</v>
      </c>
      <c r="G22" s="217">
        <f t="shared" si="0"/>
        <v>0.22511230016122577</v>
      </c>
      <c r="H22" s="217">
        <f t="shared" si="1"/>
        <v>0.77488769983877426</v>
      </c>
      <c r="I22" s="888">
        <f t="shared" si="2"/>
        <v>6.1344345787015948</v>
      </c>
      <c r="J22" s="888">
        <f t="shared" si="3"/>
        <v>21.116118031298402</v>
      </c>
      <c r="K22" s="217">
        <f t="shared" si="4"/>
        <v>5.5209911208314351</v>
      </c>
      <c r="L22" s="217">
        <f t="shared" si="5"/>
        <v>6.7478780365717546</v>
      </c>
      <c r="M22" s="217">
        <f t="shared" si="6"/>
        <v>19.004506228168562</v>
      </c>
      <c r="N22" s="217">
        <f t="shared" si="7"/>
        <v>23.227729834428246</v>
      </c>
      <c r="O22">
        <v>1</v>
      </c>
      <c r="P22">
        <v>1</v>
      </c>
      <c r="Q22">
        <v>2</v>
      </c>
      <c r="R22">
        <v>2</v>
      </c>
      <c r="S22">
        <v>2</v>
      </c>
    </row>
    <row r="23" spans="1:20">
      <c r="A23" s="858" t="s">
        <v>180</v>
      </c>
      <c r="B23" s="858">
        <v>2011</v>
      </c>
      <c r="C23" s="858" t="s">
        <v>91</v>
      </c>
      <c r="D23" s="217">
        <v>78.517591150000001</v>
      </c>
      <c r="E23" s="217">
        <v>28.333257830000001</v>
      </c>
      <c r="F23" s="217">
        <v>165.93556570000001</v>
      </c>
      <c r="G23" s="217">
        <f t="shared" si="0"/>
        <v>0.14584562419828845</v>
      </c>
      <c r="H23" s="217">
        <f t="shared" si="1"/>
        <v>0.85415437580171161</v>
      </c>
      <c r="I23" s="888">
        <f t="shared" si="2"/>
        <v>16.881810738182242</v>
      </c>
      <c r="J23" s="888">
        <f t="shared" si="3"/>
        <v>98.869421641817766</v>
      </c>
      <c r="K23" s="217">
        <f t="shared" si="4"/>
        <v>15.193629664364018</v>
      </c>
      <c r="L23" s="217">
        <f t="shared" si="5"/>
        <v>18.569991812000467</v>
      </c>
      <c r="M23" s="217">
        <f t="shared" si="6"/>
        <v>88.982479477635991</v>
      </c>
      <c r="N23" s="217">
        <f t="shared" si="7"/>
        <v>108.75636380599956</v>
      </c>
      <c r="O23">
        <v>1</v>
      </c>
      <c r="P23">
        <v>1</v>
      </c>
      <c r="Q23">
        <v>2</v>
      </c>
      <c r="R23">
        <v>2</v>
      </c>
      <c r="S23">
        <v>2</v>
      </c>
    </row>
    <row r="24" spans="1:20">
      <c r="A24" s="858" t="s">
        <v>180</v>
      </c>
      <c r="B24" s="858">
        <v>2011</v>
      </c>
      <c r="C24" s="858" t="s">
        <v>93</v>
      </c>
      <c r="D24" s="217">
        <v>16.158205450000001</v>
      </c>
      <c r="E24" s="217">
        <v>7.3596634700000001</v>
      </c>
      <c r="F24" s="217">
        <v>18.855066050000001</v>
      </c>
      <c r="G24" s="217">
        <f t="shared" si="0"/>
        <v>0.2807453521267535</v>
      </c>
      <c r="H24" s="217">
        <f t="shared" si="1"/>
        <v>0.71925464787324644</v>
      </c>
      <c r="I24" s="888">
        <f t="shared" si="2"/>
        <v>2.8233223912033223</v>
      </c>
      <c r="J24" s="888">
        <f t="shared" si="3"/>
        <v>7.2332016787966786</v>
      </c>
      <c r="K24" s="217">
        <f t="shared" si="4"/>
        <v>2.5409901520829901</v>
      </c>
      <c r="L24" s="217">
        <f t="shared" si="5"/>
        <v>3.105654630323655</v>
      </c>
      <c r="M24" s="217">
        <f t="shared" si="6"/>
        <v>6.5098815109170109</v>
      </c>
      <c r="N24" s="217">
        <f t="shared" si="7"/>
        <v>7.9565218466763472</v>
      </c>
      <c r="O24">
        <v>1</v>
      </c>
      <c r="P24">
        <v>1</v>
      </c>
      <c r="Q24">
        <v>2</v>
      </c>
      <c r="R24">
        <v>2</v>
      </c>
      <c r="S24">
        <v>2</v>
      </c>
    </row>
    <row r="25" spans="1:20">
      <c r="A25" s="858" t="s">
        <v>180</v>
      </c>
      <c r="B25" s="858">
        <v>2011</v>
      </c>
      <c r="C25" s="858" t="s">
        <v>90</v>
      </c>
      <c r="D25" s="217">
        <v>10.16148924</v>
      </c>
      <c r="E25" s="217">
        <v>4.4250242220000002</v>
      </c>
      <c r="F25" s="217">
        <v>12.144934279999999</v>
      </c>
      <c r="G25" s="217">
        <f t="shared" si="0"/>
        <v>0.26705101412691518</v>
      </c>
      <c r="H25" s="217">
        <f t="shared" si="1"/>
        <v>0.73294898587308488</v>
      </c>
      <c r="I25" s="888">
        <f t="shared" si="2"/>
        <v>1.7113882154182636</v>
      </c>
      <c r="J25" s="888">
        <f t="shared" si="3"/>
        <v>4.6970810465817356</v>
      </c>
      <c r="K25" s="217">
        <f t="shared" si="4"/>
        <v>1.5402493938764372</v>
      </c>
      <c r="L25" s="217">
        <f t="shared" si="5"/>
        <v>1.8825270369600902</v>
      </c>
      <c r="M25" s="217">
        <f t="shared" si="6"/>
        <v>4.2273729419235622</v>
      </c>
      <c r="N25" s="217">
        <f t="shared" si="7"/>
        <v>5.16678915123991</v>
      </c>
      <c r="O25">
        <v>1</v>
      </c>
      <c r="P25">
        <v>1</v>
      </c>
      <c r="Q25">
        <v>2</v>
      </c>
      <c r="R25">
        <v>2</v>
      </c>
      <c r="S25">
        <v>2</v>
      </c>
    </row>
    <row r="26" spans="1:20">
      <c r="A26" s="858" t="s">
        <v>180</v>
      </c>
      <c r="B26" s="858">
        <v>2011</v>
      </c>
      <c r="C26" s="858" t="s">
        <v>92</v>
      </c>
      <c r="D26" s="217">
        <v>18.036622099999999</v>
      </c>
      <c r="E26" s="217">
        <v>5.3007882210000004</v>
      </c>
      <c r="F26" s="217">
        <v>25.408375240000002</v>
      </c>
      <c r="G26" s="217">
        <f t="shared" si="0"/>
        <v>0.1726125893247431</v>
      </c>
      <c r="H26" s="217">
        <f t="shared" si="1"/>
        <v>0.8273874106752569</v>
      </c>
      <c r="I26" s="888">
        <f t="shared" si="2"/>
        <v>2.1874401776471148</v>
      </c>
      <c r="J26" s="888">
        <f t="shared" si="3"/>
        <v>10.485101183352889</v>
      </c>
      <c r="K26" s="217">
        <f t="shared" si="4"/>
        <v>1.9686961598824033</v>
      </c>
      <c r="L26" s="217">
        <f t="shared" si="5"/>
        <v>2.4061841954118264</v>
      </c>
      <c r="M26" s="217">
        <f t="shared" si="6"/>
        <v>9.4365910650176001</v>
      </c>
      <c r="N26" s="217">
        <f t="shared" si="7"/>
        <v>11.533611301688179</v>
      </c>
      <c r="O26">
        <v>1</v>
      </c>
      <c r="P26">
        <v>1</v>
      </c>
      <c r="Q26">
        <v>2</v>
      </c>
      <c r="R26">
        <v>2</v>
      </c>
      <c r="S26">
        <v>2</v>
      </c>
    </row>
    <row r="27" spans="1:20">
      <c r="A27" s="858" t="s">
        <v>180</v>
      </c>
      <c r="B27" s="858">
        <v>2012</v>
      </c>
      <c r="C27" s="858" t="s">
        <v>99</v>
      </c>
      <c r="D27" s="217">
        <v>5.2640174660000003</v>
      </c>
      <c r="E27" s="217">
        <v>2.8814270849999999</v>
      </c>
      <c r="F27" s="217">
        <v>11.6254262</v>
      </c>
      <c r="G27" s="217">
        <f t="shared" si="0"/>
        <v>0.19862523101266755</v>
      </c>
      <c r="H27" s="217">
        <f t="shared" si="1"/>
        <v>0.80137476898733251</v>
      </c>
      <c r="I27" s="888">
        <f t="shared" si="2"/>
        <v>1.835860399761033</v>
      </c>
      <c r="J27" s="888">
        <f t="shared" si="3"/>
        <v>7.4069754192389663</v>
      </c>
      <c r="K27" s="217">
        <f t="shared" si="4"/>
        <v>1.6522743597849296</v>
      </c>
      <c r="L27" s="217">
        <f t="shared" si="5"/>
        <v>2.0194464397371363</v>
      </c>
      <c r="M27" s="217">
        <f t="shared" si="6"/>
        <v>6.6662778773150695</v>
      </c>
      <c r="N27" s="217">
        <f t="shared" si="7"/>
        <v>8.1476729611628631</v>
      </c>
      <c r="O27">
        <v>1</v>
      </c>
      <c r="P27">
        <v>1</v>
      </c>
      <c r="Q27">
        <v>2</v>
      </c>
      <c r="R27">
        <v>2</v>
      </c>
      <c r="S27">
        <v>2</v>
      </c>
    </row>
    <row r="28" spans="1:20">
      <c r="A28" s="858" t="s">
        <v>180</v>
      </c>
      <c r="B28" s="858">
        <v>2012</v>
      </c>
      <c r="C28" s="858" t="s">
        <v>98</v>
      </c>
      <c r="D28" s="217">
        <v>14.175025890000001</v>
      </c>
      <c r="E28" s="217">
        <v>4.6584762240000002</v>
      </c>
      <c r="F28" s="217">
        <v>22.082020279999998</v>
      </c>
      <c r="G28" s="217">
        <f t="shared" si="0"/>
        <v>0.17421053581795529</v>
      </c>
      <c r="H28" s="217">
        <f t="shared" si="1"/>
        <v>0.82578946418204469</v>
      </c>
      <c r="I28" s="888">
        <f t="shared" si="2"/>
        <v>2.1890373684697115</v>
      </c>
      <c r="J28" s="888">
        <f t="shared" si="3"/>
        <v>10.376433245530286</v>
      </c>
      <c r="K28" s="217">
        <f t="shared" si="4"/>
        <v>1.9701336316227405</v>
      </c>
      <c r="L28" s="217">
        <f t="shared" si="5"/>
        <v>2.407941105316683</v>
      </c>
      <c r="M28" s="217">
        <f t="shared" si="6"/>
        <v>9.3387899209772574</v>
      </c>
      <c r="N28" s="217">
        <f t="shared" si="7"/>
        <v>11.414076570083315</v>
      </c>
      <c r="O28">
        <v>1</v>
      </c>
      <c r="P28">
        <v>1</v>
      </c>
      <c r="Q28">
        <v>2</v>
      </c>
      <c r="R28">
        <v>2</v>
      </c>
      <c r="S28">
        <v>2</v>
      </c>
    </row>
    <row r="29" spans="1:20">
      <c r="A29" s="858" t="s">
        <v>180</v>
      </c>
      <c r="B29" s="858">
        <v>2012</v>
      </c>
      <c r="C29" s="858" t="s">
        <v>95</v>
      </c>
      <c r="D29" s="217">
        <v>13.247093</v>
      </c>
      <c r="E29" s="217">
        <v>8.7461496990000001</v>
      </c>
      <c r="F29" s="217">
        <v>25.704587830000001</v>
      </c>
      <c r="G29" s="217">
        <f t="shared" si="0"/>
        <v>0.25387409171248226</v>
      </c>
      <c r="H29" s="217">
        <f t="shared" si="1"/>
        <v>0.74612590828751779</v>
      </c>
      <c r="I29" s="888">
        <f t="shared" si="2"/>
        <v>5.3830559957942183</v>
      </c>
      <c r="J29" s="888">
        <f t="shared" si="3"/>
        <v>15.820588533205783</v>
      </c>
      <c r="K29" s="217">
        <f t="shared" si="4"/>
        <v>4.8447503962147964</v>
      </c>
      <c r="L29" s="217">
        <f t="shared" si="5"/>
        <v>5.9213615953736403</v>
      </c>
      <c r="M29" s="217">
        <f t="shared" si="6"/>
        <v>14.238529679885204</v>
      </c>
      <c r="N29" s="217">
        <f t="shared" si="7"/>
        <v>17.402647386526361</v>
      </c>
      <c r="O29">
        <v>1</v>
      </c>
      <c r="P29">
        <v>1</v>
      </c>
      <c r="Q29">
        <v>2</v>
      </c>
      <c r="R29">
        <v>2</v>
      </c>
      <c r="S29">
        <v>2</v>
      </c>
    </row>
    <row r="30" spans="1:20">
      <c r="A30" s="858" t="s">
        <v>180</v>
      </c>
      <c r="B30" s="858">
        <v>2012</v>
      </c>
      <c r="C30" s="858" t="s">
        <v>91</v>
      </c>
      <c r="D30" s="217">
        <v>71.02216919</v>
      </c>
      <c r="E30" s="217">
        <v>29.016421959999999</v>
      </c>
      <c r="F30" s="217">
        <v>151.22031179999999</v>
      </c>
      <c r="G30" s="217">
        <f t="shared" si="0"/>
        <v>0.16099061137358239</v>
      </c>
      <c r="H30" s="217">
        <f t="shared" si="1"/>
        <v>0.83900938862641761</v>
      </c>
      <c r="I30" s="888">
        <f t="shared" si="2"/>
        <v>17.58251952102389</v>
      </c>
      <c r="J30" s="888">
        <f t="shared" si="3"/>
        <v>91.632045048976096</v>
      </c>
      <c r="K30" s="217">
        <f t="shared" si="4"/>
        <v>15.824267568921501</v>
      </c>
      <c r="L30" s="217">
        <f t="shared" si="5"/>
        <v>19.340771473126281</v>
      </c>
      <c r="M30" s="217">
        <f t="shared" si="6"/>
        <v>82.468840544078489</v>
      </c>
      <c r="N30" s="217">
        <f t="shared" si="7"/>
        <v>100.79524955387372</v>
      </c>
      <c r="O30">
        <v>1</v>
      </c>
      <c r="P30">
        <v>1</v>
      </c>
      <c r="Q30">
        <v>2</v>
      </c>
      <c r="R30">
        <v>2</v>
      </c>
      <c r="S30">
        <v>2</v>
      </c>
    </row>
    <row r="31" spans="1:20">
      <c r="A31" s="858" t="s">
        <v>180</v>
      </c>
      <c r="B31" s="858">
        <v>2012</v>
      </c>
      <c r="C31" s="858" t="s">
        <v>93</v>
      </c>
      <c r="D31" s="217">
        <v>14.5388096</v>
      </c>
      <c r="E31" s="217">
        <v>6.9357768960000001</v>
      </c>
      <c r="F31" s="217">
        <v>16.410014790000002</v>
      </c>
      <c r="G31" s="217">
        <f t="shared" si="0"/>
        <v>0.29708895672873004</v>
      </c>
      <c r="H31" s="217">
        <f t="shared" si="1"/>
        <v>0.70291104327126996</v>
      </c>
      <c r="I31" s="888">
        <f t="shared" si="2"/>
        <v>2.6164571198583548</v>
      </c>
      <c r="J31" s="888">
        <f t="shared" si="3"/>
        <v>6.1905249661416466</v>
      </c>
      <c r="K31" s="217">
        <f t="shared" si="4"/>
        <v>2.3548114078725195</v>
      </c>
      <c r="L31" s="217">
        <f t="shared" si="5"/>
        <v>2.8781028318441906</v>
      </c>
      <c r="M31" s="217">
        <f t="shared" si="6"/>
        <v>5.5714724695274818</v>
      </c>
      <c r="N31" s="217">
        <f t="shared" si="7"/>
        <v>6.8095774627558114</v>
      </c>
      <c r="O31">
        <v>1</v>
      </c>
      <c r="P31">
        <v>1</v>
      </c>
      <c r="Q31">
        <v>2</v>
      </c>
      <c r="R31">
        <v>2</v>
      </c>
      <c r="S31">
        <v>2</v>
      </c>
    </row>
    <row r="32" spans="1:20">
      <c r="A32" s="858" t="s">
        <v>180</v>
      </c>
      <c r="B32" s="858">
        <v>2012</v>
      </c>
      <c r="C32" s="858" t="s">
        <v>90</v>
      </c>
      <c r="D32" s="217">
        <v>9.1850493360000005</v>
      </c>
      <c r="E32" s="217">
        <v>4.1764702399999996</v>
      </c>
      <c r="F32" s="217">
        <v>10.55823487</v>
      </c>
      <c r="G32" s="217">
        <f t="shared" si="0"/>
        <v>0.2834444401038983</v>
      </c>
      <c r="H32" s="217">
        <f t="shared" si="1"/>
        <v>0.71655555989610176</v>
      </c>
      <c r="I32" s="888">
        <f t="shared" si="2"/>
        <v>1.5730190736307965</v>
      </c>
      <c r="J32" s="888">
        <f t="shared" si="3"/>
        <v>3.9766367003692018</v>
      </c>
      <c r="K32" s="217">
        <f t="shared" si="4"/>
        <v>1.4157171662677168</v>
      </c>
      <c r="L32" s="217">
        <f t="shared" si="5"/>
        <v>1.7303209809938762</v>
      </c>
      <c r="M32" s="217">
        <f t="shared" si="6"/>
        <v>3.5789730303322815</v>
      </c>
      <c r="N32" s="217">
        <f t="shared" si="7"/>
        <v>4.3743003704061225</v>
      </c>
      <c r="O32">
        <v>1</v>
      </c>
      <c r="P32">
        <v>1</v>
      </c>
      <c r="Q32">
        <v>2</v>
      </c>
      <c r="R32">
        <v>2</v>
      </c>
      <c r="S32">
        <v>2</v>
      </c>
    </row>
    <row r="33" spans="1:19">
      <c r="A33" s="858" t="s">
        <v>180</v>
      </c>
      <c r="B33" s="858">
        <v>2012</v>
      </c>
      <c r="C33" s="858" t="s">
        <v>92</v>
      </c>
      <c r="D33" s="217">
        <v>16.823204310000001</v>
      </c>
      <c r="E33" s="217">
        <v>5.0060553399999996</v>
      </c>
      <c r="F33" s="217">
        <v>22.08549344</v>
      </c>
      <c r="G33" s="217">
        <f t="shared" si="0"/>
        <v>0.18478291443033548</v>
      </c>
      <c r="H33" s="217">
        <f t="shared" si="1"/>
        <v>0.81521708556966455</v>
      </c>
      <c r="I33" s="888">
        <f t="shared" si="2"/>
        <v>1.8974146175412185</v>
      </c>
      <c r="J33" s="888">
        <f t="shared" si="3"/>
        <v>8.3709298524587794</v>
      </c>
      <c r="K33" s="217">
        <f t="shared" si="4"/>
        <v>1.7076731557870968</v>
      </c>
      <c r="L33" s="217">
        <f t="shared" si="5"/>
        <v>2.0871560792953407</v>
      </c>
      <c r="M33" s="217">
        <f t="shared" si="6"/>
        <v>7.5338368672129015</v>
      </c>
      <c r="N33" s="217">
        <f t="shared" si="7"/>
        <v>9.2080228377046573</v>
      </c>
      <c r="O33">
        <v>1</v>
      </c>
      <c r="P33">
        <v>1</v>
      </c>
      <c r="Q33">
        <v>2</v>
      </c>
      <c r="R33">
        <v>2</v>
      </c>
      <c r="S33">
        <v>2</v>
      </c>
    </row>
    <row r="34" spans="1:19">
      <c r="A34" s="858" t="s">
        <v>180</v>
      </c>
      <c r="B34" s="858">
        <v>2013</v>
      </c>
      <c r="C34" s="858" t="s">
        <v>99</v>
      </c>
      <c r="D34" s="217">
        <v>7.0791820760000004</v>
      </c>
      <c r="E34" s="217">
        <v>3.0614866909999998</v>
      </c>
      <c r="F34" s="217">
        <v>13.75505044</v>
      </c>
      <c r="G34" s="217">
        <f t="shared" si="0"/>
        <v>0.18205214707113412</v>
      </c>
      <c r="H34" s="217">
        <f t="shared" si="1"/>
        <v>0.81794785292886585</v>
      </c>
      <c r="I34" s="888">
        <f t="shared" si="2"/>
        <v>1.7727063945567112</v>
      </c>
      <c r="J34" s="888">
        <f t="shared" si="3"/>
        <v>7.964648660443288</v>
      </c>
      <c r="K34" s="217">
        <f t="shared" si="4"/>
        <v>1.5954357551010401</v>
      </c>
      <c r="L34" s="217">
        <f t="shared" si="5"/>
        <v>1.9499770340123825</v>
      </c>
      <c r="M34" s="217">
        <f t="shared" si="6"/>
        <v>7.168183794398959</v>
      </c>
      <c r="N34" s="217">
        <f t="shared" si="7"/>
        <v>8.7611135264876179</v>
      </c>
      <c r="O34">
        <v>1</v>
      </c>
      <c r="P34">
        <v>1</v>
      </c>
      <c r="Q34">
        <v>2</v>
      </c>
      <c r="R34">
        <v>2</v>
      </c>
      <c r="S34">
        <v>2</v>
      </c>
    </row>
    <row r="35" spans="1:19">
      <c r="A35" s="858" t="s">
        <v>180</v>
      </c>
      <c r="B35" s="858">
        <v>2013</v>
      </c>
      <c r="C35" s="858" t="s">
        <v>98</v>
      </c>
      <c r="D35" s="217">
        <v>15.97068258</v>
      </c>
      <c r="E35" s="217">
        <v>4.9979292949999996</v>
      </c>
      <c r="F35" s="217">
        <v>26.373243429999999</v>
      </c>
      <c r="G35" s="217">
        <f t="shared" si="0"/>
        <v>0.15931598537332015</v>
      </c>
      <c r="H35" s="217">
        <f t="shared" si="1"/>
        <v>0.84068401462667985</v>
      </c>
      <c r="I35" s="888">
        <f t="shared" si="2"/>
        <v>2.4535442626827808</v>
      </c>
      <c r="J35" s="888">
        <f t="shared" si="3"/>
        <v>12.946945882317218</v>
      </c>
      <c r="K35" s="217">
        <f t="shared" si="4"/>
        <v>2.2081898364145029</v>
      </c>
      <c r="L35" s="217">
        <f t="shared" si="5"/>
        <v>2.6988986889510591</v>
      </c>
      <c r="M35" s="217">
        <f t="shared" si="6"/>
        <v>11.652251294085497</v>
      </c>
      <c r="N35" s="217">
        <f t="shared" si="7"/>
        <v>14.241640470548941</v>
      </c>
      <c r="O35">
        <v>1</v>
      </c>
      <c r="P35">
        <v>1</v>
      </c>
      <c r="Q35">
        <v>2</v>
      </c>
      <c r="R35">
        <v>2</v>
      </c>
      <c r="S35">
        <v>2</v>
      </c>
    </row>
    <row r="36" spans="1:19">
      <c r="A36" s="858" t="s">
        <v>180</v>
      </c>
      <c r="B36" s="858">
        <v>2013</v>
      </c>
      <c r="C36" s="858" t="s">
        <v>95</v>
      </c>
      <c r="D36" s="217">
        <v>16.03556489</v>
      </c>
      <c r="E36" s="217">
        <v>9.2648735490000007</v>
      </c>
      <c r="F36" s="217">
        <v>29.860490800000001</v>
      </c>
      <c r="G36" s="217">
        <f t="shared" si="0"/>
        <v>0.23679967466518431</v>
      </c>
      <c r="H36" s="217">
        <f t="shared" si="1"/>
        <v>0.76320032533481563</v>
      </c>
      <c r="I36" s="888">
        <f t="shared" si="2"/>
        <v>5.4676569999755493</v>
      </c>
      <c r="J36" s="888">
        <f t="shared" si="3"/>
        <v>17.622142459024452</v>
      </c>
      <c r="K36" s="217">
        <f t="shared" si="4"/>
        <v>4.9208912999779946</v>
      </c>
      <c r="L36" s="217">
        <f t="shared" si="5"/>
        <v>6.014422699973105</v>
      </c>
      <c r="M36" s="217">
        <f t="shared" si="6"/>
        <v>15.859928213122007</v>
      </c>
      <c r="N36" s="217">
        <f t="shared" si="7"/>
        <v>19.384356704926898</v>
      </c>
      <c r="O36">
        <v>1</v>
      </c>
      <c r="P36">
        <v>1</v>
      </c>
      <c r="Q36">
        <v>2</v>
      </c>
      <c r="R36">
        <v>2</v>
      </c>
      <c r="S36">
        <v>2</v>
      </c>
    </row>
    <row r="37" spans="1:19">
      <c r="A37" s="858" t="s">
        <v>180</v>
      </c>
      <c r="B37" s="858">
        <v>2013</v>
      </c>
      <c r="C37" s="858" t="s">
        <v>91</v>
      </c>
      <c r="D37" s="217">
        <v>86.517840129999996</v>
      </c>
      <c r="E37" s="217">
        <v>32.047845940000002</v>
      </c>
      <c r="F37" s="217">
        <v>176.01498960000001</v>
      </c>
      <c r="G37" s="217">
        <f t="shared" si="0"/>
        <v>0.15402965097934954</v>
      </c>
      <c r="H37" s="217">
        <f t="shared" si="1"/>
        <v>0.84597034902065049</v>
      </c>
      <c r="I37" s="888">
        <f t="shared" si="2"/>
        <v>18.721533221288944</v>
      </c>
      <c r="J37" s="888">
        <f t="shared" si="3"/>
        <v>102.82346218871106</v>
      </c>
      <c r="K37" s="217">
        <f t="shared" si="4"/>
        <v>16.849379899160049</v>
      </c>
      <c r="L37" s="217">
        <f t="shared" si="5"/>
        <v>20.593686543417839</v>
      </c>
      <c r="M37" s="217">
        <f t="shared" si="6"/>
        <v>92.541115969839964</v>
      </c>
      <c r="N37" s="217">
        <f t="shared" si="7"/>
        <v>113.10580840758217</v>
      </c>
      <c r="O37">
        <v>1</v>
      </c>
      <c r="P37">
        <v>1</v>
      </c>
      <c r="Q37">
        <v>2</v>
      </c>
      <c r="R37">
        <v>2</v>
      </c>
      <c r="S37">
        <v>2</v>
      </c>
    </row>
    <row r="38" spans="1:19">
      <c r="A38" s="858" t="s">
        <v>180</v>
      </c>
      <c r="B38" s="858">
        <v>2013</v>
      </c>
      <c r="C38" s="858" t="s">
        <v>93</v>
      </c>
      <c r="D38" s="217">
        <v>16.060460150000001</v>
      </c>
      <c r="E38" s="217">
        <v>7.3957083450000001</v>
      </c>
      <c r="F38" s="217">
        <v>17.78924628</v>
      </c>
      <c r="G38" s="217">
        <f t="shared" si="0"/>
        <v>0.29365581376345246</v>
      </c>
      <c r="H38" s="217">
        <f t="shared" si="1"/>
        <v>0.7063441862365476</v>
      </c>
      <c r="I38" s="888">
        <f t="shared" si="2"/>
        <v>2.67946085023625</v>
      </c>
      <c r="J38" s="888">
        <f t="shared" si="3"/>
        <v>6.4450336247637487</v>
      </c>
      <c r="K38" s="217">
        <f t="shared" si="4"/>
        <v>2.4115147652126252</v>
      </c>
      <c r="L38" s="217">
        <f t="shared" si="5"/>
        <v>2.9474069352598753</v>
      </c>
      <c r="M38" s="217">
        <f t="shared" si="6"/>
        <v>5.8005302622873742</v>
      </c>
      <c r="N38" s="217">
        <f t="shared" si="7"/>
        <v>7.0895369872401242</v>
      </c>
      <c r="O38">
        <v>1</v>
      </c>
      <c r="P38">
        <v>1</v>
      </c>
      <c r="Q38">
        <v>2</v>
      </c>
      <c r="R38">
        <v>2</v>
      </c>
      <c r="S38">
        <v>2</v>
      </c>
    </row>
    <row r="39" spans="1:19">
      <c r="A39" s="858" t="s">
        <v>180</v>
      </c>
      <c r="B39" s="858">
        <v>2013</v>
      </c>
      <c r="C39" s="858" t="s">
        <v>90</v>
      </c>
      <c r="D39" s="217">
        <v>10.15769553</v>
      </c>
      <c r="E39" s="217">
        <v>4.4761625479999996</v>
      </c>
      <c r="F39" s="217">
        <v>11.52437542</v>
      </c>
      <c r="G39" s="217">
        <f t="shared" si="0"/>
        <v>0.27975075319042547</v>
      </c>
      <c r="H39" s="217">
        <f t="shared" si="1"/>
        <v>0.72024924680957447</v>
      </c>
      <c r="I39" s="888">
        <f t="shared" si="2"/>
        <v>1.6345395728034817</v>
      </c>
      <c r="J39" s="888">
        <f t="shared" si="3"/>
        <v>4.2083028651965186</v>
      </c>
      <c r="K39" s="217">
        <f t="shared" si="4"/>
        <v>1.4710856155231335</v>
      </c>
      <c r="L39" s="217">
        <f t="shared" si="5"/>
        <v>1.7979935300838301</v>
      </c>
      <c r="M39" s="217">
        <f t="shared" si="6"/>
        <v>3.787472578676867</v>
      </c>
      <c r="N39" s="217">
        <f t="shared" si="7"/>
        <v>4.6291331517161707</v>
      </c>
      <c r="O39">
        <v>1</v>
      </c>
      <c r="P39">
        <v>1</v>
      </c>
      <c r="Q39">
        <v>2</v>
      </c>
      <c r="R39">
        <v>2</v>
      </c>
      <c r="S39">
        <v>2</v>
      </c>
    </row>
    <row r="40" spans="1:19">
      <c r="A40" s="858" t="s">
        <v>180</v>
      </c>
      <c r="B40" s="858">
        <v>2013</v>
      </c>
      <c r="C40" s="858" t="s">
        <v>92</v>
      </c>
      <c r="D40" s="217">
        <v>18.870301940000001</v>
      </c>
      <c r="E40" s="217">
        <v>5.5593733670000001</v>
      </c>
      <c r="F40" s="217">
        <v>25.210982940000001</v>
      </c>
      <c r="G40" s="217">
        <f t="shared" si="0"/>
        <v>0.18067302541229557</v>
      </c>
      <c r="H40" s="217">
        <f t="shared" si="1"/>
        <v>0.81932697458770443</v>
      </c>
      <c r="I40" s="888">
        <f t="shared" si="2"/>
        <v>2.1500188250566894</v>
      </c>
      <c r="J40" s="888">
        <f t="shared" si="3"/>
        <v>9.7500355419433102</v>
      </c>
      <c r="K40" s="217">
        <f t="shared" si="4"/>
        <v>1.9350169425510204</v>
      </c>
      <c r="L40" s="217">
        <f t="shared" si="5"/>
        <v>2.3650207075623584</v>
      </c>
      <c r="M40" s="217">
        <f t="shared" si="6"/>
        <v>8.7750319877489797</v>
      </c>
      <c r="N40" s="217">
        <f t="shared" si="7"/>
        <v>10.725039096137643</v>
      </c>
      <c r="O40">
        <v>1</v>
      </c>
      <c r="P40">
        <v>1</v>
      </c>
      <c r="Q40">
        <v>2</v>
      </c>
      <c r="R40">
        <v>2</v>
      </c>
      <c r="S40">
        <v>2</v>
      </c>
    </row>
    <row r="41" spans="1:19">
      <c r="A41" s="858" t="s">
        <v>180</v>
      </c>
      <c r="B41" s="858">
        <v>2014</v>
      </c>
      <c r="C41" s="858" t="s">
        <v>99</v>
      </c>
      <c r="D41" s="217">
        <v>10.43662456</v>
      </c>
      <c r="E41" s="217">
        <v>3.3916552969999998</v>
      </c>
      <c r="F41" s="217">
        <v>17.677083199999998</v>
      </c>
      <c r="G41" s="217">
        <f t="shared" si="0"/>
        <v>0.16098046389834594</v>
      </c>
      <c r="H41" s="217">
        <f t="shared" si="1"/>
        <v>0.83901953610165403</v>
      </c>
      <c r="I41" s="888">
        <f t="shared" si="2"/>
        <v>1.7115626337983292</v>
      </c>
      <c r="J41" s="888">
        <f t="shared" si="3"/>
        <v>8.9205513032016697</v>
      </c>
      <c r="K41" s="217">
        <f t="shared" si="4"/>
        <v>1.5404063704184963</v>
      </c>
      <c r="L41" s="217">
        <f t="shared" si="5"/>
        <v>1.8827188971781623</v>
      </c>
      <c r="M41" s="217">
        <f t="shared" si="6"/>
        <v>8.0284961728815034</v>
      </c>
      <c r="N41" s="217">
        <f t="shared" si="7"/>
        <v>9.8126064335218377</v>
      </c>
      <c r="O41">
        <v>1</v>
      </c>
      <c r="P41">
        <v>1</v>
      </c>
      <c r="Q41">
        <v>2</v>
      </c>
      <c r="R41">
        <v>2</v>
      </c>
      <c r="S41">
        <v>2</v>
      </c>
    </row>
    <row r="42" spans="1:19">
      <c r="A42" s="858" t="s">
        <v>180</v>
      </c>
      <c r="B42" s="858">
        <v>2014</v>
      </c>
      <c r="C42" s="858" t="s">
        <v>98</v>
      </c>
      <c r="D42" s="217">
        <v>18.84465441</v>
      </c>
      <c r="E42" s="217">
        <v>5.7503899299999999</v>
      </c>
      <c r="F42" s="217">
        <v>31.737233310000001</v>
      </c>
      <c r="G42" s="217">
        <f t="shared" si="0"/>
        <v>0.15339435880438068</v>
      </c>
      <c r="H42" s="217">
        <f t="shared" si="1"/>
        <v>0.84660564119561932</v>
      </c>
      <c r="I42" s="888">
        <f t="shared" si="2"/>
        <v>2.8597262498879052</v>
      </c>
      <c r="J42" s="888">
        <f t="shared" si="3"/>
        <v>15.783242580112095</v>
      </c>
      <c r="K42" s="217">
        <f t="shared" si="4"/>
        <v>2.5737536248991146</v>
      </c>
      <c r="L42" s="217">
        <f t="shared" si="5"/>
        <v>3.1456988748766959</v>
      </c>
      <c r="M42" s="217">
        <f t="shared" si="6"/>
        <v>14.204918322100886</v>
      </c>
      <c r="N42" s="217">
        <f t="shared" si="7"/>
        <v>17.361566838123306</v>
      </c>
      <c r="O42">
        <v>1</v>
      </c>
      <c r="P42">
        <v>1</v>
      </c>
      <c r="Q42">
        <v>2</v>
      </c>
      <c r="R42">
        <v>2</v>
      </c>
      <c r="S42">
        <v>2</v>
      </c>
    </row>
    <row r="43" spans="1:19">
      <c r="A43" s="858" t="s">
        <v>180</v>
      </c>
      <c r="B43" s="858">
        <v>2014</v>
      </c>
      <c r="C43" s="858" t="s">
        <v>95</v>
      </c>
      <c r="D43" s="217">
        <v>21.313565149999999</v>
      </c>
      <c r="E43" s="217">
        <v>10.46747573</v>
      </c>
      <c r="F43" s="217">
        <v>37.394253259999999</v>
      </c>
      <c r="G43" s="217">
        <f t="shared" si="0"/>
        <v>0.21870241528857062</v>
      </c>
      <c r="H43" s="217">
        <f t="shared" si="1"/>
        <v>0.7812975847114294</v>
      </c>
      <c r="I43" s="888">
        <f t="shared" si="2"/>
        <v>5.8061475532846947</v>
      </c>
      <c r="J43" s="888">
        <f t="shared" si="3"/>
        <v>20.742016286715305</v>
      </c>
      <c r="K43" s="217">
        <f t="shared" si="4"/>
        <v>5.2255327979562249</v>
      </c>
      <c r="L43" s="217">
        <f t="shared" si="5"/>
        <v>6.3867623086131644</v>
      </c>
      <c r="M43" s="217">
        <f t="shared" si="6"/>
        <v>18.667814658043774</v>
      </c>
      <c r="N43" s="217">
        <f t="shared" si="7"/>
        <v>22.816217915386837</v>
      </c>
      <c r="O43">
        <v>1</v>
      </c>
      <c r="P43">
        <v>1</v>
      </c>
      <c r="Q43">
        <v>2</v>
      </c>
      <c r="R43">
        <v>2</v>
      </c>
      <c r="S43">
        <v>2</v>
      </c>
    </row>
    <row r="44" spans="1:19">
      <c r="A44" s="858" t="s">
        <v>180</v>
      </c>
      <c r="B44" s="858">
        <v>2014</v>
      </c>
      <c r="C44" s="858" t="s">
        <v>91</v>
      </c>
      <c r="D44" s="217">
        <v>113.614777</v>
      </c>
      <c r="E44" s="217">
        <v>35.99111284</v>
      </c>
      <c r="F44" s="217">
        <v>216.2397374</v>
      </c>
      <c r="G44" s="217">
        <f t="shared" si="0"/>
        <v>0.14269116091768363</v>
      </c>
      <c r="H44" s="217">
        <f t="shared" si="1"/>
        <v>0.85730883908231637</v>
      </c>
      <c r="I44" s="888">
        <f t="shared" si="2"/>
        <v>19.779288412466258</v>
      </c>
      <c r="J44" s="888">
        <f t="shared" si="3"/>
        <v>118.83678482753373</v>
      </c>
      <c r="K44" s="217">
        <f t="shared" si="4"/>
        <v>17.801359571219631</v>
      </c>
      <c r="L44" s="217">
        <f t="shared" si="5"/>
        <v>21.757217253712884</v>
      </c>
      <c r="M44" s="217">
        <f t="shared" si="6"/>
        <v>106.95310634478037</v>
      </c>
      <c r="N44" s="217">
        <f t="shared" si="7"/>
        <v>130.72046331028713</v>
      </c>
      <c r="O44">
        <v>1</v>
      </c>
      <c r="P44">
        <v>1</v>
      </c>
      <c r="Q44">
        <v>2</v>
      </c>
      <c r="R44">
        <v>2</v>
      </c>
      <c r="S44">
        <v>2</v>
      </c>
    </row>
    <row r="45" spans="1:19">
      <c r="A45" s="858" t="s">
        <v>180</v>
      </c>
      <c r="B45" s="858">
        <v>2014</v>
      </c>
      <c r="C45" s="858" t="s">
        <v>93</v>
      </c>
      <c r="D45" s="217">
        <v>16.388617929999999</v>
      </c>
      <c r="E45" s="217">
        <v>8.0330004729999995</v>
      </c>
      <c r="F45" s="217">
        <v>19.173431069999999</v>
      </c>
      <c r="G45" s="217">
        <f t="shared" si="0"/>
        <v>0.2952610841412176</v>
      </c>
      <c r="H45" s="217">
        <f t="shared" si="1"/>
        <v>0.70473891585878246</v>
      </c>
      <c r="I45" s="888">
        <f t="shared" si="2"/>
        <v>3.1940793754120023</v>
      </c>
      <c r="J45" s="888">
        <f t="shared" si="3"/>
        <v>7.6237342375879962</v>
      </c>
      <c r="K45" s="217">
        <f t="shared" si="4"/>
        <v>2.874671437870802</v>
      </c>
      <c r="L45" s="217">
        <f t="shared" si="5"/>
        <v>3.5134873129532029</v>
      </c>
      <c r="M45" s="217">
        <f t="shared" si="6"/>
        <v>6.8613608138291964</v>
      </c>
      <c r="N45" s="217">
        <f t="shared" si="7"/>
        <v>8.3861076613467969</v>
      </c>
      <c r="O45">
        <v>1</v>
      </c>
      <c r="P45">
        <v>1</v>
      </c>
      <c r="Q45">
        <v>2</v>
      </c>
      <c r="R45">
        <v>2</v>
      </c>
      <c r="S45">
        <v>2</v>
      </c>
    </row>
    <row r="46" spans="1:19">
      <c r="A46" s="858" t="s">
        <v>180</v>
      </c>
      <c r="B46" s="858">
        <v>2014</v>
      </c>
      <c r="C46" s="858" t="s">
        <v>90</v>
      </c>
      <c r="D46" s="217">
        <v>10.446142999999999</v>
      </c>
      <c r="E46" s="217">
        <v>4.8833478570000004</v>
      </c>
      <c r="F46" s="217">
        <v>12.48289201</v>
      </c>
      <c r="G46" s="217">
        <f t="shared" si="0"/>
        <v>0.2811977661485332</v>
      </c>
      <c r="H46" s="217">
        <f t="shared" si="1"/>
        <v>0.7188022338514668</v>
      </c>
      <c r="I46" s="888">
        <f t="shared" si="2"/>
        <v>1.9459157805318634</v>
      </c>
      <c r="J46" s="888">
        <f t="shared" si="3"/>
        <v>4.9741810864681382</v>
      </c>
      <c r="K46" s="217">
        <f t="shared" si="4"/>
        <v>1.751324202478677</v>
      </c>
      <c r="L46" s="217">
        <f t="shared" si="5"/>
        <v>2.14050735858505</v>
      </c>
      <c r="M46" s="217">
        <f t="shared" si="6"/>
        <v>4.4767629778213243</v>
      </c>
      <c r="N46" s="217">
        <f t="shared" si="7"/>
        <v>5.4715991951149521</v>
      </c>
      <c r="O46">
        <v>1</v>
      </c>
      <c r="P46">
        <v>1</v>
      </c>
      <c r="Q46">
        <v>2</v>
      </c>
      <c r="R46">
        <v>2</v>
      </c>
      <c r="S46">
        <v>2</v>
      </c>
    </row>
    <row r="47" spans="1:19">
      <c r="A47" s="858" t="s">
        <v>180</v>
      </c>
      <c r="B47" s="858">
        <v>2014</v>
      </c>
      <c r="C47" s="858" t="s">
        <v>92</v>
      </c>
      <c r="D47" s="217">
        <v>20.470950930000001</v>
      </c>
      <c r="E47" s="217">
        <v>6.2244893729999999</v>
      </c>
      <c r="F47" s="217">
        <v>28.080355740000002</v>
      </c>
      <c r="G47" s="217">
        <f t="shared" si="0"/>
        <v>0.18144636282415971</v>
      </c>
      <c r="H47" s="217">
        <f t="shared" si="1"/>
        <v>0.81855363717584029</v>
      </c>
      <c r="I47" s="888">
        <f t="shared" si="2"/>
        <v>2.5101097831996499</v>
      </c>
      <c r="J47" s="888">
        <f t="shared" si="3"/>
        <v>11.323784399800349</v>
      </c>
      <c r="K47" s="217">
        <f t="shared" si="4"/>
        <v>2.259098804879685</v>
      </c>
      <c r="L47" s="217">
        <f t="shared" si="5"/>
        <v>2.7611207615196154</v>
      </c>
      <c r="M47" s="217">
        <f t="shared" si="6"/>
        <v>10.191405959820315</v>
      </c>
      <c r="N47" s="217">
        <f t="shared" si="7"/>
        <v>12.456162839780385</v>
      </c>
      <c r="O47">
        <v>1</v>
      </c>
      <c r="P47">
        <v>1</v>
      </c>
      <c r="Q47">
        <v>2</v>
      </c>
      <c r="R47">
        <v>2</v>
      </c>
      <c r="S47">
        <v>2</v>
      </c>
    </row>
    <row r="48" spans="1:19">
      <c r="A48" s="858" t="s">
        <v>180</v>
      </c>
      <c r="B48" s="858">
        <v>2015</v>
      </c>
      <c r="C48" s="858" t="s">
        <v>99</v>
      </c>
      <c r="D48" s="217">
        <v>7.6148640639999998</v>
      </c>
      <c r="E48" s="217">
        <v>2.8612299750000001</v>
      </c>
      <c r="F48" s="217">
        <v>15.481102010000001</v>
      </c>
      <c r="G48" s="217">
        <f t="shared" si="0"/>
        <v>0.15599052385159409</v>
      </c>
      <c r="H48" s="217">
        <f t="shared" si="1"/>
        <v>0.84400947614840593</v>
      </c>
      <c r="I48" s="888">
        <f t="shared" si="2"/>
        <v>1.6733833405979615</v>
      </c>
      <c r="J48" s="888">
        <f t="shared" si="3"/>
        <v>9.0540845804020407</v>
      </c>
      <c r="K48" s="217">
        <f t="shared" si="4"/>
        <v>1.5060450065381654</v>
      </c>
      <c r="L48" s="217">
        <f t="shared" si="5"/>
        <v>1.8407216746577577</v>
      </c>
      <c r="M48" s="217">
        <f t="shared" si="6"/>
        <v>8.1486761223618362</v>
      </c>
      <c r="N48" s="217">
        <f t="shared" si="7"/>
        <v>9.9594930384422451</v>
      </c>
      <c r="O48">
        <v>1</v>
      </c>
      <c r="P48">
        <v>1</v>
      </c>
      <c r="Q48">
        <v>2</v>
      </c>
      <c r="R48">
        <v>2</v>
      </c>
      <c r="S48">
        <v>2</v>
      </c>
    </row>
    <row r="49" spans="1:19">
      <c r="A49" s="858" t="s">
        <v>180</v>
      </c>
      <c r="B49" s="858">
        <v>2015</v>
      </c>
      <c r="C49" s="858" t="s">
        <v>98</v>
      </c>
      <c r="D49" s="217">
        <v>16.095346020000001</v>
      </c>
      <c r="E49" s="217">
        <v>5.2133125690000002</v>
      </c>
      <c r="F49" s="217">
        <v>28.91984428</v>
      </c>
      <c r="G49" s="217">
        <f t="shared" si="0"/>
        <v>0.15273455637469802</v>
      </c>
      <c r="H49" s="217">
        <f t="shared" si="1"/>
        <v>0.84726544362530198</v>
      </c>
      <c r="I49" s="888">
        <f t="shared" si="2"/>
        <v>2.7549970349380386</v>
      </c>
      <c r="J49" s="888">
        <f t="shared" si="3"/>
        <v>15.28281379406196</v>
      </c>
      <c r="K49" s="217">
        <f t="shared" si="4"/>
        <v>2.479497331444235</v>
      </c>
      <c r="L49" s="217">
        <f t="shared" si="5"/>
        <v>3.0304967384318426</v>
      </c>
      <c r="M49" s="217">
        <f t="shared" si="6"/>
        <v>13.754532414655765</v>
      </c>
      <c r="N49" s="217">
        <f t="shared" si="7"/>
        <v>16.811095173468157</v>
      </c>
      <c r="O49">
        <v>1</v>
      </c>
      <c r="P49">
        <v>1</v>
      </c>
      <c r="Q49">
        <v>2</v>
      </c>
      <c r="R49">
        <v>2</v>
      </c>
      <c r="S49">
        <v>2</v>
      </c>
    </row>
    <row r="50" spans="1:19">
      <c r="A50" s="858" t="s">
        <v>180</v>
      </c>
      <c r="B50" s="858">
        <v>2015</v>
      </c>
      <c r="C50" s="858" t="s">
        <v>95</v>
      </c>
      <c r="D50" s="217">
        <v>18.32504338</v>
      </c>
      <c r="E50" s="217">
        <v>9.3032460300000004</v>
      </c>
      <c r="F50" s="217">
        <v>34.434036740000003</v>
      </c>
      <c r="G50" s="217">
        <f t="shared" si="0"/>
        <v>0.21270745324812959</v>
      </c>
      <c r="H50" s="217">
        <f t="shared" si="1"/>
        <v>0.78729254675187044</v>
      </c>
      <c r="I50" s="888">
        <f t="shared" si="2"/>
        <v>5.4053727219787042</v>
      </c>
      <c r="J50" s="888">
        <f t="shared" si="3"/>
        <v>20.006866668021299</v>
      </c>
      <c r="K50" s="217">
        <f t="shared" si="4"/>
        <v>4.8648354497808342</v>
      </c>
      <c r="L50" s="217">
        <f t="shared" si="5"/>
        <v>5.9459099941765752</v>
      </c>
      <c r="M50" s="217">
        <f t="shared" si="6"/>
        <v>18.006180001219171</v>
      </c>
      <c r="N50" s="217">
        <f t="shared" si="7"/>
        <v>22.007553334823431</v>
      </c>
      <c r="O50">
        <v>1</v>
      </c>
      <c r="P50">
        <v>1</v>
      </c>
      <c r="Q50">
        <v>2</v>
      </c>
      <c r="R50">
        <v>2</v>
      </c>
      <c r="S50">
        <v>2</v>
      </c>
    </row>
    <row r="51" spans="1:19">
      <c r="A51" s="858" t="s">
        <v>180</v>
      </c>
      <c r="B51" s="858">
        <v>2015</v>
      </c>
      <c r="C51" s="858" t="s">
        <v>91</v>
      </c>
      <c r="D51" s="217">
        <v>94.786767929999996</v>
      </c>
      <c r="E51" s="217">
        <v>31.287310080000001</v>
      </c>
      <c r="F51" s="217">
        <v>198.16315019999999</v>
      </c>
      <c r="G51" s="217">
        <f t="shared" si="0"/>
        <v>0.13635758255537983</v>
      </c>
      <c r="H51" s="217">
        <f t="shared" si="1"/>
        <v>0.86364241744462023</v>
      </c>
      <c r="I51" s="888">
        <f t="shared" si="2"/>
        <v>18.3624155468274</v>
      </c>
      <c r="J51" s="888">
        <f t="shared" si="3"/>
        <v>116.3012768031726</v>
      </c>
      <c r="K51" s="217">
        <f t="shared" si="4"/>
        <v>16.52617399214466</v>
      </c>
      <c r="L51" s="217">
        <f t="shared" si="5"/>
        <v>20.19865710151014</v>
      </c>
      <c r="M51" s="217">
        <f t="shared" si="6"/>
        <v>104.67114912285534</v>
      </c>
      <c r="N51" s="217">
        <f t="shared" si="7"/>
        <v>127.93140448348987</v>
      </c>
      <c r="O51">
        <v>1</v>
      </c>
      <c r="P51">
        <v>1</v>
      </c>
      <c r="Q51">
        <v>2</v>
      </c>
      <c r="R51">
        <v>2</v>
      </c>
      <c r="S51">
        <v>2</v>
      </c>
    </row>
    <row r="52" spans="1:19">
      <c r="A52" s="858" t="s">
        <v>180</v>
      </c>
      <c r="B52" s="858">
        <v>2015</v>
      </c>
      <c r="C52" s="858" t="s">
        <v>93</v>
      </c>
      <c r="D52" s="217">
        <v>14.50195357</v>
      </c>
      <c r="E52" s="217">
        <v>7.7908636659999999</v>
      </c>
      <c r="F52" s="217">
        <v>18.440981300000001</v>
      </c>
      <c r="G52" s="217">
        <f t="shared" ref="G52:G83" si="8">E52/(E52+F52)</f>
        <v>0.29700021771621504</v>
      </c>
      <c r="H52" s="217">
        <f t="shared" ref="H52:H83" si="9">1-G52</f>
        <v>0.70299978228378501</v>
      </c>
      <c r="I52" s="888">
        <f t="shared" ref="I52:I83" si="10">E52-(D52*G52)</f>
        <v>3.4837802983995578</v>
      </c>
      <c r="J52" s="888">
        <f t="shared" ref="J52:J83" si="11">F52-D52*H52</f>
        <v>8.2461110976004424</v>
      </c>
      <c r="K52" s="217">
        <f t="shared" ref="K52:K83" si="12">I52*$B$5</f>
        <v>3.1354022685596021</v>
      </c>
      <c r="L52" s="217">
        <f t="shared" ref="L52:L83" si="13">I52*$B$4</f>
        <v>3.832158328239514</v>
      </c>
      <c r="M52" s="217">
        <f t="shared" ref="M52:M83" si="14">J52*$B$5</f>
        <v>7.4214999878403987</v>
      </c>
      <c r="N52" s="217">
        <f t="shared" ref="N52:N83" si="15">J52*$B$4</f>
        <v>9.0707222073604878</v>
      </c>
      <c r="O52">
        <v>1</v>
      </c>
      <c r="P52">
        <v>1</v>
      </c>
      <c r="Q52">
        <v>2</v>
      </c>
      <c r="R52">
        <v>2</v>
      </c>
      <c r="S52">
        <v>2</v>
      </c>
    </row>
    <row r="53" spans="1:19">
      <c r="A53" s="858" t="s">
        <v>180</v>
      </c>
      <c r="B53" s="858">
        <v>2015</v>
      </c>
      <c r="C53" s="858" t="s">
        <v>90</v>
      </c>
      <c r="D53" s="217">
        <v>9.1773205440000005</v>
      </c>
      <c r="E53" s="217">
        <v>4.7322028639999996</v>
      </c>
      <c r="F53" s="217">
        <v>11.950123169999999</v>
      </c>
      <c r="G53" s="217">
        <f t="shared" si="8"/>
        <v>0.28366565036286712</v>
      </c>
      <c r="H53" s="217">
        <f t="shared" si="9"/>
        <v>0.71633434963713283</v>
      </c>
      <c r="I53" s="888">
        <f t="shared" si="10"/>
        <v>2.128912263297738</v>
      </c>
      <c r="J53" s="888">
        <f t="shared" si="11"/>
        <v>5.3760932267022614</v>
      </c>
      <c r="K53" s="217">
        <f t="shared" si="12"/>
        <v>1.9160210369679642</v>
      </c>
      <c r="L53" s="217">
        <f t="shared" si="13"/>
        <v>2.3418034896275119</v>
      </c>
      <c r="M53" s="217">
        <f t="shared" si="14"/>
        <v>4.8384839040320351</v>
      </c>
      <c r="N53" s="217">
        <f t="shared" si="15"/>
        <v>5.9137025493724877</v>
      </c>
      <c r="O53">
        <v>1</v>
      </c>
      <c r="P53">
        <v>1</v>
      </c>
      <c r="Q53">
        <v>2</v>
      </c>
      <c r="R53">
        <v>2</v>
      </c>
      <c r="S53">
        <v>2</v>
      </c>
    </row>
    <row r="54" spans="1:19">
      <c r="A54" s="858" t="s">
        <v>180</v>
      </c>
      <c r="B54" s="858">
        <v>2015</v>
      </c>
      <c r="C54" s="858" t="s">
        <v>92</v>
      </c>
      <c r="D54" s="217">
        <v>17.112173680000001</v>
      </c>
      <c r="E54" s="217">
        <v>6.0161579129999998</v>
      </c>
      <c r="F54" s="217">
        <v>26.29816748</v>
      </c>
      <c r="G54" s="217">
        <f t="shared" si="8"/>
        <v>0.18617618780007808</v>
      </c>
      <c r="H54" s="217">
        <f t="shared" si="9"/>
        <v>0.81382381219992195</v>
      </c>
      <c r="I54" s="888">
        <f t="shared" si="10"/>
        <v>2.8302786522847665</v>
      </c>
      <c r="J54" s="888">
        <f t="shared" si="11"/>
        <v>12.371873060715231</v>
      </c>
      <c r="K54" s="217">
        <f t="shared" si="12"/>
        <v>2.5472507870562899</v>
      </c>
      <c r="L54" s="217">
        <f t="shared" si="13"/>
        <v>3.1133065175132435</v>
      </c>
      <c r="M54" s="217">
        <f t="shared" si="14"/>
        <v>11.134685754643709</v>
      </c>
      <c r="N54" s="217">
        <f t="shared" si="15"/>
        <v>13.609060366786755</v>
      </c>
      <c r="O54">
        <v>1</v>
      </c>
      <c r="P54">
        <v>1</v>
      </c>
      <c r="Q54">
        <v>2</v>
      </c>
      <c r="R54">
        <v>2</v>
      </c>
      <c r="S54">
        <v>2</v>
      </c>
    </row>
    <row r="55" spans="1:19">
      <c r="A55" s="858" t="s">
        <v>180</v>
      </c>
      <c r="B55" s="858">
        <v>2016</v>
      </c>
      <c r="C55" s="858" t="s">
        <v>99</v>
      </c>
      <c r="D55" s="217">
        <v>8.6037087319999994</v>
      </c>
      <c r="E55" s="217">
        <v>3.3324842399999999</v>
      </c>
      <c r="F55" s="217">
        <v>16.501961649999998</v>
      </c>
      <c r="G55" s="217">
        <f t="shared" si="8"/>
        <v>0.16801499061187034</v>
      </c>
      <c r="H55" s="217">
        <f t="shared" si="9"/>
        <v>0.83198500938812969</v>
      </c>
      <c r="I55" s="888">
        <f t="shared" si="10"/>
        <v>1.8869321981657532</v>
      </c>
      <c r="J55" s="888">
        <f t="shared" si="11"/>
        <v>9.3438049598342445</v>
      </c>
      <c r="K55" s="217">
        <f t="shared" si="12"/>
        <v>1.6982389783491778</v>
      </c>
      <c r="L55" s="217">
        <f t="shared" si="13"/>
        <v>2.0756254179823288</v>
      </c>
      <c r="M55" s="217">
        <f t="shared" si="14"/>
        <v>8.4094244638508204</v>
      </c>
      <c r="N55" s="217">
        <f t="shared" si="15"/>
        <v>10.27818545581767</v>
      </c>
      <c r="O55">
        <v>1</v>
      </c>
      <c r="P55">
        <v>1</v>
      </c>
      <c r="Q55">
        <v>2</v>
      </c>
      <c r="R55">
        <v>2</v>
      </c>
      <c r="S55">
        <v>2</v>
      </c>
    </row>
    <row r="56" spans="1:19">
      <c r="A56" s="858" t="s">
        <v>180</v>
      </c>
      <c r="B56" s="858">
        <v>2016</v>
      </c>
      <c r="C56" s="858" t="s">
        <v>98</v>
      </c>
      <c r="D56" s="217">
        <v>18.974461300000002</v>
      </c>
      <c r="E56" s="217">
        <v>5.6720230369999998</v>
      </c>
      <c r="F56" s="217">
        <v>32.143780939999999</v>
      </c>
      <c r="G56" s="217">
        <f t="shared" si="8"/>
        <v>0.14999080914555693</v>
      </c>
      <c r="H56" s="217">
        <f t="shared" si="9"/>
        <v>0.85000919085444304</v>
      </c>
      <c r="I56" s="888">
        <f t="shared" si="10"/>
        <v>2.8260282335119435</v>
      </c>
      <c r="J56" s="888">
        <f t="shared" si="11"/>
        <v>16.015314443488055</v>
      </c>
      <c r="K56" s="217">
        <f t="shared" si="12"/>
        <v>2.5434254101607494</v>
      </c>
      <c r="L56" s="217">
        <f t="shared" si="13"/>
        <v>3.1086310568631381</v>
      </c>
      <c r="M56" s="217">
        <f t="shared" si="14"/>
        <v>14.413782999139251</v>
      </c>
      <c r="N56" s="217">
        <f t="shared" si="15"/>
        <v>17.616845887836863</v>
      </c>
      <c r="O56">
        <v>1</v>
      </c>
      <c r="P56">
        <v>1</v>
      </c>
      <c r="Q56">
        <v>2</v>
      </c>
      <c r="R56">
        <v>2</v>
      </c>
      <c r="S56">
        <v>2</v>
      </c>
    </row>
    <row r="57" spans="1:19">
      <c r="A57" s="858" t="s">
        <v>180</v>
      </c>
      <c r="B57" s="858">
        <v>2016</v>
      </c>
      <c r="C57" s="858" t="s">
        <v>95</v>
      </c>
      <c r="D57" s="217">
        <v>21.639784129999999</v>
      </c>
      <c r="E57" s="217">
        <v>10.07252175</v>
      </c>
      <c r="F57" s="217">
        <v>39.27596527</v>
      </c>
      <c r="G57" s="217">
        <f t="shared" si="8"/>
        <v>0.20411004183203832</v>
      </c>
      <c r="H57" s="217">
        <f t="shared" si="9"/>
        <v>0.79588995816796171</v>
      </c>
      <c r="I57" s="888">
        <f t="shared" si="10"/>
        <v>5.6556245059894215</v>
      </c>
      <c r="J57" s="888">
        <f t="shared" si="11"/>
        <v>22.053078384010579</v>
      </c>
      <c r="K57" s="217">
        <f t="shared" si="12"/>
        <v>5.0900620553904794</v>
      </c>
      <c r="L57" s="217">
        <f t="shared" si="13"/>
        <v>6.2211869565883644</v>
      </c>
      <c r="M57" s="217">
        <f t="shared" si="14"/>
        <v>19.847770545609521</v>
      </c>
      <c r="N57" s="217">
        <f t="shared" si="15"/>
        <v>24.258386222411637</v>
      </c>
      <c r="O57">
        <v>1</v>
      </c>
      <c r="P57">
        <v>1</v>
      </c>
      <c r="Q57">
        <v>2</v>
      </c>
      <c r="R57">
        <v>2</v>
      </c>
      <c r="S57">
        <v>2</v>
      </c>
    </row>
    <row r="58" spans="1:19">
      <c r="A58" s="858" t="s">
        <v>180</v>
      </c>
      <c r="B58" s="858">
        <v>2016</v>
      </c>
      <c r="C58" s="858" t="s">
        <v>91</v>
      </c>
      <c r="D58" s="217">
        <v>112.50988359999999</v>
      </c>
      <c r="E58" s="217">
        <v>35.340356649999997</v>
      </c>
      <c r="F58" s="217">
        <v>221.56452039999999</v>
      </c>
      <c r="G58" s="217">
        <f t="shared" si="8"/>
        <v>0.13756203095794828</v>
      </c>
      <c r="H58" s="217">
        <f t="shared" si="9"/>
        <v>0.86243796904205172</v>
      </c>
      <c r="I58" s="888">
        <f t="shared" si="10"/>
        <v>19.863268559141641</v>
      </c>
      <c r="J58" s="888">
        <f t="shared" si="11"/>
        <v>124.53172489085836</v>
      </c>
      <c r="K58" s="217">
        <f t="shared" si="12"/>
        <v>17.876941703227477</v>
      </c>
      <c r="L58" s="217">
        <f t="shared" si="13"/>
        <v>21.849595415055806</v>
      </c>
      <c r="M58" s="217">
        <f t="shared" si="14"/>
        <v>112.07855240177253</v>
      </c>
      <c r="N58" s="217">
        <f t="shared" si="15"/>
        <v>136.98489737994421</v>
      </c>
      <c r="O58">
        <v>1</v>
      </c>
      <c r="P58">
        <v>1</v>
      </c>
      <c r="Q58">
        <v>2</v>
      </c>
      <c r="R58">
        <v>2</v>
      </c>
      <c r="S58">
        <v>2</v>
      </c>
    </row>
    <row r="59" spans="1:19">
      <c r="A59" s="858" t="s">
        <v>180</v>
      </c>
      <c r="B59" s="858">
        <v>2016</v>
      </c>
      <c r="C59" s="858" t="s">
        <v>93</v>
      </c>
      <c r="D59" s="217">
        <v>16.889088149999999</v>
      </c>
      <c r="E59" s="217">
        <v>8.6108498440000005</v>
      </c>
      <c r="F59" s="217">
        <v>20.21475659</v>
      </c>
      <c r="G59" s="217">
        <f t="shared" si="8"/>
        <v>0.29872224418645515</v>
      </c>
      <c r="H59" s="217">
        <f t="shared" si="9"/>
        <v>0.70127775581354479</v>
      </c>
      <c r="I59" s="888">
        <f t="shared" si="10"/>
        <v>3.5657035295691344</v>
      </c>
      <c r="J59" s="888">
        <f t="shared" si="11"/>
        <v>8.3708147544308673</v>
      </c>
      <c r="K59" s="217">
        <f t="shared" si="12"/>
        <v>3.2091331766122209</v>
      </c>
      <c r="L59" s="217">
        <f t="shared" si="13"/>
        <v>3.9222738825260484</v>
      </c>
      <c r="M59" s="217">
        <f t="shared" si="14"/>
        <v>7.5337332789877811</v>
      </c>
      <c r="N59" s="217">
        <f t="shared" si="15"/>
        <v>9.2078962298739544</v>
      </c>
      <c r="O59">
        <v>1</v>
      </c>
      <c r="P59">
        <v>1</v>
      </c>
      <c r="Q59">
        <v>2</v>
      </c>
      <c r="R59">
        <v>2</v>
      </c>
      <c r="S59">
        <v>2</v>
      </c>
    </row>
    <row r="60" spans="1:19">
      <c r="A60" s="858" t="s">
        <v>180</v>
      </c>
      <c r="B60" s="858">
        <v>2016</v>
      </c>
      <c r="C60" s="858" t="s">
        <v>90</v>
      </c>
      <c r="D60" s="217">
        <v>10.712392189999999</v>
      </c>
      <c r="E60" s="217">
        <v>5.213295145</v>
      </c>
      <c r="F60" s="217">
        <v>13.063414059999999</v>
      </c>
      <c r="G60" s="217">
        <f t="shared" si="8"/>
        <v>0.28524255031500895</v>
      </c>
      <c r="H60" s="217">
        <f t="shared" si="9"/>
        <v>0.71475744968499111</v>
      </c>
      <c r="I60" s="888">
        <f t="shared" si="10"/>
        <v>2.1576650767498164</v>
      </c>
      <c r="J60" s="888">
        <f t="shared" si="11"/>
        <v>5.4066519382501834</v>
      </c>
      <c r="K60" s="217">
        <f t="shared" si="12"/>
        <v>1.9418985690748349</v>
      </c>
      <c r="L60" s="217">
        <f t="shared" si="13"/>
        <v>2.3734315844247984</v>
      </c>
      <c r="M60" s="217">
        <f t="shared" si="14"/>
        <v>4.8659867444251654</v>
      </c>
      <c r="N60" s="217">
        <f t="shared" si="15"/>
        <v>5.9473171320752023</v>
      </c>
      <c r="O60">
        <v>1</v>
      </c>
      <c r="P60">
        <v>1</v>
      </c>
      <c r="Q60">
        <v>2</v>
      </c>
      <c r="R60">
        <v>2</v>
      </c>
      <c r="S60">
        <v>2</v>
      </c>
    </row>
    <row r="61" spans="1:19">
      <c r="A61" s="858" t="s">
        <v>180</v>
      </c>
      <c r="B61" s="858">
        <v>2016</v>
      </c>
      <c r="C61" s="858" t="s">
        <v>92</v>
      </c>
      <c r="D61" s="217">
        <v>20.37883248</v>
      </c>
      <c r="E61" s="217">
        <v>6.4480846749999996</v>
      </c>
      <c r="F61" s="217">
        <v>28.164366950000002</v>
      </c>
      <c r="G61" s="217">
        <f t="shared" si="8"/>
        <v>0.18629378655000142</v>
      </c>
      <c r="H61" s="217">
        <f t="shared" si="9"/>
        <v>0.81370621344999861</v>
      </c>
      <c r="I61" s="888">
        <f t="shared" si="10"/>
        <v>2.6516348068326434</v>
      </c>
      <c r="J61" s="888">
        <f t="shared" si="11"/>
        <v>11.581984338167356</v>
      </c>
      <c r="K61" s="217">
        <f t="shared" si="12"/>
        <v>2.3864713261493793</v>
      </c>
      <c r="L61" s="217">
        <f t="shared" si="13"/>
        <v>2.916798287515908</v>
      </c>
      <c r="M61" s="217">
        <f t="shared" si="14"/>
        <v>10.42378590435062</v>
      </c>
      <c r="N61" s="217">
        <f t="shared" si="15"/>
        <v>12.740182771984092</v>
      </c>
      <c r="O61">
        <v>1</v>
      </c>
      <c r="P61">
        <v>1</v>
      </c>
      <c r="Q61">
        <v>2</v>
      </c>
      <c r="R61">
        <v>2</v>
      </c>
      <c r="S61">
        <v>2</v>
      </c>
    </row>
    <row r="62" spans="1:19">
      <c r="A62" s="858" t="s">
        <v>180</v>
      </c>
      <c r="B62" s="858">
        <v>2017</v>
      </c>
      <c r="C62" s="858" t="s">
        <v>99</v>
      </c>
      <c r="D62" s="217">
        <v>8.8705314049999995</v>
      </c>
      <c r="E62" s="217">
        <v>2.7178807890000001</v>
      </c>
      <c r="F62" s="217">
        <v>17.034923070000001</v>
      </c>
      <c r="G62" s="217">
        <f t="shared" si="8"/>
        <v>0.1375946831852759</v>
      </c>
      <c r="H62" s="217">
        <f t="shared" si="9"/>
        <v>0.8624053168147241</v>
      </c>
      <c r="I62" s="888">
        <f t="shared" si="10"/>
        <v>1.4973428306439849</v>
      </c>
      <c r="J62" s="888">
        <f t="shared" si="11"/>
        <v>9.3849296233560171</v>
      </c>
      <c r="K62" s="217">
        <f t="shared" si="12"/>
        <v>1.3476085475795865</v>
      </c>
      <c r="L62" s="217">
        <f t="shared" si="13"/>
        <v>1.6470771137083835</v>
      </c>
      <c r="M62" s="217">
        <f t="shared" si="14"/>
        <v>8.4464366610204156</v>
      </c>
      <c r="N62" s="217">
        <f t="shared" si="15"/>
        <v>10.32342258569162</v>
      </c>
      <c r="O62">
        <v>1</v>
      </c>
      <c r="P62">
        <v>1</v>
      </c>
      <c r="Q62">
        <v>2</v>
      </c>
      <c r="R62">
        <v>2</v>
      </c>
      <c r="S62">
        <v>2</v>
      </c>
    </row>
    <row r="63" spans="1:19">
      <c r="A63" s="858" t="s">
        <v>180</v>
      </c>
      <c r="B63" s="858">
        <v>2017</v>
      </c>
      <c r="C63" s="858" t="s">
        <v>98</v>
      </c>
      <c r="D63" s="217">
        <v>20.569637069999999</v>
      </c>
      <c r="E63" s="217">
        <v>5.2403185499999996</v>
      </c>
      <c r="F63" s="217">
        <v>32.198553560000001</v>
      </c>
      <c r="G63" s="217">
        <f t="shared" si="8"/>
        <v>0.13996998987050949</v>
      </c>
      <c r="H63" s="217">
        <f t="shared" si="9"/>
        <v>0.86003001012949054</v>
      </c>
      <c r="I63" s="888">
        <f t="shared" si="10"/>
        <v>2.3611866576720435</v>
      </c>
      <c r="J63" s="888">
        <f t="shared" si="11"/>
        <v>14.508048382327956</v>
      </c>
      <c r="K63" s="217">
        <f t="shared" si="12"/>
        <v>2.1250679919048392</v>
      </c>
      <c r="L63" s="217">
        <f t="shared" si="13"/>
        <v>2.5973053234392482</v>
      </c>
      <c r="M63" s="217">
        <f t="shared" si="14"/>
        <v>13.057243544095162</v>
      </c>
      <c r="N63" s="217">
        <f t="shared" si="15"/>
        <v>15.958853220560753</v>
      </c>
      <c r="O63">
        <v>1</v>
      </c>
      <c r="P63">
        <v>1</v>
      </c>
      <c r="Q63">
        <v>2</v>
      </c>
      <c r="R63">
        <v>2</v>
      </c>
      <c r="S63">
        <v>2</v>
      </c>
    </row>
    <row r="64" spans="1:19">
      <c r="A64" s="858" t="s">
        <v>180</v>
      </c>
      <c r="B64" s="858">
        <v>2017</v>
      </c>
      <c r="C64" s="858" t="s">
        <v>95</v>
      </c>
      <c r="D64" s="217">
        <v>23.019471899999999</v>
      </c>
      <c r="E64" s="217">
        <v>8.9314289819999999</v>
      </c>
      <c r="F64" s="217">
        <v>39.039347990000003</v>
      </c>
      <c r="G64" s="217">
        <f t="shared" si="8"/>
        <v>0.18618478886037584</v>
      </c>
      <c r="H64" s="217">
        <f t="shared" si="9"/>
        <v>0.81381521113962418</v>
      </c>
      <c r="I64" s="888">
        <f t="shared" si="10"/>
        <v>4.6455534666211449</v>
      </c>
      <c r="J64" s="888">
        <f t="shared" si="11"/>
        <v>20.305751605378859</v>
      </c>
      <c r="K64" s="217">
        <f t="shared" si="12"/>
        <v>4.1809981199590309</v>
      </c>
      <c r="L64" s="217">
        <f t="shared" si="13"/>
        <v>5.1101088132832597</v>
      </c>
      <c r="M64" s="217">
        <f t="shared" si="14"/>
        <v>18.275176444840973</v>
      </c>
      <c r="N64" s="217">
        <f t="shared" si="15"/>
        <v>22.336326765916748</v>
      </c>
      <c r="O64">
        <v>1</v>
      </c>
      <c r="P64">
        <v>1</v>
      </c>
      <c r="Q64">
        <v>2</v>
      </c>
      <c r="R64">
        <v>2</v>
      </c>
      <c r="S64">
        <v>2</v>
      </c>
    </row>
    <row r="65" spans="1:19">
      <c r="A65" s="858" t="s">
        <v>180</v>
      </c>
      <c r="B65" s="858">
        <v>2017</v>
      </c>
      <c r="C65" s="858" t="s">
        <v>91</v>
      </c>
      <c r="D65" s="217">
        <v>119.010966</v>
      </c>
      <c r="E65" s="217">
        <v>31.219740999999999</v>
      </c>
      <c r="F65" s="217">
        <v>211.95836850000001</v>
      </c>
      <c r="G65" s="217">
        <f t="shared" si="8"/>
        <v>0.12838220127704381</v>
      </c>
      <c r="H65" s="217">
        <f t="shared" si="9"/>
        <v>0.87161779872295619</v>
      </c>
      <c r="I65" s="888">
        <f t="shared" si="10"/>
        <v>15.940851208812582</v>
      </c>
      <c r="J65" s="888">
        <f t="shared" si="11"/>
        <v>108.22629229118742</v>
      </c>
      <c r="K65" s="217">
        <f t="shared" si="12"/>
        <v>14.346766087931323</v>
      </c>
      <c r="L65" s="217">
        <f t="shared" si="13"/>
        <v>17.534936329693842</v>
      </c>
      <c r="M65" s="217">
        <f t="shared" si="14"/>
        <v>97.403663062068674</v>
      </c>
      <c r="N65" s="217">
        <f t="shared" si="15"/>
        <v>119.04892152030617</v>
      </c>
      <c r="O65">
        <v>1</v>
      </c>
      <c r="P65">
        <v>1</v>
      </c>
      <c r="Q65">
        <v>2</v>
      </c>
      <c r="R65">
        <v>2</v>
      </c>
      <c r="S65">
        <v>2</v>
      </c>
    </row>
    <row r="66" spans="1:19">
      <c r="A66" s="858" t="s">
        <v>180</v>
      </c>
      <c r="B66" s="858">
        <v>2017</v>
      </c>
      <c r="C66" s="858" t="s">
        <v>93</v>
      </c>
      <c r="D66" s="217">
        <v>18.539099319999998</v>
      </c>
      <c r="E66" s="217">
        <v>8.4864438230000001</v>
      </c>
      <c r="F66" s="217">
        <v>20.151662380000001</v>
      </c>
      <c r="G66" s="217">
        <f t="shared" si="8"/>
        <v>0.29633397414075507</v>
      </c>
      <c r="H66" s="217">
        <f t="shared" si="9"/>
        <v>0.70366602585924487</v>
      </c>
      <c r="I66" s="888">
        <f t="shared" si="10"/>
        <v>2.9926788445142307</v>
      </c>
      <c r="J66" s="888">
        <f t="shared" si="11"/>
        <v>7.1063280384857741</v>
      </c>
      <c r="K66" s="217">
        <f t="shared" si="12"/>
        <v>2.6934109600628076</v>
      </c>
      <c r="L66" s="217">
        <f t="shared" si="13"/>
        <v>3.2919467289656539</v>
      </c>
      <c r="M66" s="217">
        <f t="shared" si="14"/>
        <v>6.3956952346371967</v>
      </c>
      <c r="N66" s="217">
        <f t="shared" si="15"/>
        <v>7.8169608423343524</v>
      </c>
      <c r="O66">
        <v>1</v>
      </c>
      <c r="P66">
        <v>1</v>
      </c>
      <c r="Q66">
        <v>2</v>
      </c>
      <c r="R66">
        <v>2</v>
      </c>
      <c r="S66">
        <v>2</v>
      </c>
    </row>
    <row r="67" spans="1:19">
      <c r="A67" s="858" t="s">
        <v>180</v>
      </c>
      <c r="B67" s="858">
        <v>2017</v>
      </c>
      <c r="C67" s="858" t="s">
        <v>90</v>
      </c>
      <c r="D67" s="217">
        <v>11.718102119999999</v>
      </c>
      <c r="E67" s="217">
        <v>5.1317544799999997</v>
      </c>
      <c r="F67" s="217">
        <v>13.02140958</v>
      </c>
      <c r="G67" s="217">
        <f t="shared" si="8"/>
        <v>0.28269201242485764</v>
      </c>
      <c r="H67" s="217">
        <f t="shared" si="9"/>
        <v>0.71730798757514236</v>
      </c>
      <c r="I67" s="888">
        <f t="shared" si="10"/>
        <v>1.8191406098972092</v>
      </c>
      <c r="J67" s="888">
        <f t="shared" si="11"/>
        <v>4.6159213301027915</v>
      </c>
      <c r="K67" s="217">
        <f t="shared" si="12"/>
        <v>1.6372265489074882</v>
      </c>
      <c r="L67" s="217">
        <f t="shared" si="13"/>
        <v>2.0010546708869303</v>
      </c>
      <c r="M67" s="217">
        <f t="shared" si="14"/>
        <v>4.1543291970925127</v>
      </c>
      <c r="N67" s="217">
        <f t="shared" si="15"/>
        <v>5.0775134631130712</v>
      </c>
      <c r="O67">
        <v>1</v>
      </c>
      <c r="P67">
        <v>1</v>
      </c>
      <c r="Q67">
        <v>2</v>
      </c>
      <c r="R67">
        <v>2</v>
      </c>
      <c r="S67">
        <v>2</v>
      </c>
    </row>
    <row r="68" spans="1:19">
      <c r="A68" s="858" t="s">
        <v>180</v>
      </c>
      <c r="B68" s="858">
        <v>2017</v>
      </c>
      <c r="C68" s="858" t="s">
        <v>92</v>
      </c>
      <c r="D68" s="217">
        <v>21.6133624</v>
      </c>
      <c r="E68" s="217">
        <v>6.2817467640000002</v>
      </c>
      <c r="F68" s="217">
        <v>27.853160039999999</v>
      </c>
      <c r="G68" s="217">
        <f t="shared" si="8"/>
        <v>0.18402706648854517</v>
      </c>
      <c r="H68" s="217">
        <f t="shared" si="9"/>
        <v>0.81597293351145483</v>
      </c>
      <c r="I68" s="888">
        <f t="shared" si="10"/>
        <v>2.3043030845741783</v>
      </c>
      <c r="J68" s="888">
        <f t="shared" si="11"/>
        <v>10.21724131942582</v>
      </c>
      <c r="K68" s="217">
        <f t="shared" si="12"/>
        <v>2.0738727761167604</v>
      </c>
      <c r="L68" s="217">
        <f t="shared" si="13"/>
        <v>2.5347333930315963</v>
      </c>
      <c r="M68" s="217">
        <f t="shared" si="14"/>
        <v>9.1955171874832384</v>
      </c>
      <c r="N68" s="217">
        <f t="shared" si="15"/>
        <v>11.238965451368404</v>
      </c>
      <c r="O68">
        <v>1</v>
      </c>
      <c r="P68">
        <v>1</v>
      </c>
      <c r="Q68">
        <v>2</v>
      </c>
      <c r="R68">
        <v>2</v>
      </c>
      <c r="S68">
        <v>2</v>
      </c>
    </row>
    <row r="69" spans="1:19">
      <c r="A69" s="858" t="s">
        <v>180</v>
      </c>
      <c r="B69" s="858">
        <v>2018</v>
      </c>
      <c r="C69" s="858" t="s">
        <v>99</v>
      </c>
      <c r="D69" s="217">
        <v>10.01495948</v>
      </c>
      <c r="E69" s="217">
        <v>3.0943820550000001</v>
      </c>
      <c r="F69" s="217">
        <v>18.794389389999999</v>
      </c>
      <c r="G69" s="217">
        <f t="shared" si="8"/>
        <v>0.1413684666028546</v>
      </c>
      <c r="H69" s="217">
        <f t="shared" si="9"/>
        <v>0.85863153339714537</v>
      </c>
      <c r="I69" s="888">
        <f t="shared" si="10"/>
        <v>1.6785825902226781</v>
      </c>
      <c r="J69" s="888">
        <f t="shared" si="11"/>
        <v>10.195229374777321</v>
      </c>
      <c r="K69" s="217">
        <f t="shared" si="12"/>
        <v>1.5107243312004104</v>
      </c>
      <c r="L69" s="217">
        <f t="shared" si="13"/>
        <v>1.846440849244946</v>
      </c>
      <c r="M69" s="217">
        <f t="shared" si="14"/>
        <v>9.1757064372995902</v>
      </c>
      <c r="N69" s="217">
        <f t="shared" si="15"/>
        <v>11.214752312255055</v>
      </c>
      <c r="O69">
        <v>1</v>
      </c>
      <c r="P69">
        <v>1</v>
      </c>
      <c r="Q69">
        <v>2</v>
      </c>
      <c r="R69">
        <v>2</v>
      </c>
      <c r="S69">
        <v>2</v>
      </c>
    </row>
    <row r="70" spans="1:19">
      <c r="A70" s="858" t="s">
        <v>180</v>
      </c>
      <c r="B70" s="858">
        <v>2018</v>
      </c>
      <c r="C70" s="858" t="s">
        <v>98</v>
      </c>
      <c r="D70" s="217">
        <v>22.055573809999999</v>
      </c>
      <c r="E70" s="217">
        <v>6.6512163600000003</v>
      </c>
      <c r="F70" s="217">
        <v>34.900696930000002</v>
      </c>
      <c r="G70" s="217">
        <f t="shared" si="8"/>
        <v>0.1600700384980997</v>
      </c>
      <c r="H70" s="217">
        <f t="shared" si="9"/>
        <v>0.83992996150190025</v>
      </c>
      <c r="I70" s="888">
        <f t="shared" si="10"/>
        <v>3.1207798111356211</v>
      </c>
      <c r="J70" s="888">
        <f t="shared" si="11"/>
        <v>16.375559668864383</v>
      </c>
      <c r="K70" s="217">
        <f t="shared" si="12"/>
        <v>2.8087018300220592</v>
      </c>
      <c r="L70" s="217">
        <f t="shared" si="13"/>
        <v>3.4328577922491834</v>
      </c>
      <c r="M70" s="217">
        <f t="shared" si="14"/>
        <v>14.738003701977945</v>
      </c>
      <c r="N70" s="217">
        <f t="shared" si="15"/>
        <v>18.013115635750822</v>
      </c>
      <c r="O70">
        <v>1</v>
      </c>
      <c r="P70">
        <v>1</v>
      </c>
      <c r="Q70">
        <v>2</v>
      </c>
      <c r="R70">
        <v>2</v>
      </c>
      <c r="S70">
        <v>2</v>
      </c>
    </row>
    <row r="71" spans="1:19">
      <c r="A71" s="858" t="s">
        <v>180</v>
      </c>
      <c r="B71" s="858">
        <v>2018</v>
      </c>
      <c r="C71" s="858" t="s">
        <v>95</v>
      </c>
      <c r="D71" s="217">
        <v>25.072993919999998</v>
      </c>
      <c r="E71" s="217">
        <v>10.04143272</v>
      </c>
      <c r="F71" s="217">
        <v>43.979649270000003</v>
      </c>
      <c r="G71" s="217">
        <f t="shared" si="8"/>
        <v>0.18587988892667492</v>
      </c>
      <c r="H71" s="217">
        <f t="shared" si="9"/>
        <v>0.81412011107332505</v>
      </c>
      <c r="I71" s="888">
        <f t="shared" si="10"/>
        <v>5.3808673950912045</v>
      </c>
      <c r="J71" s="888">
        <f t="shared" si="11"/>
        <v>23.5672206749088</v>
      </c>
      <c r="K71" s="217">
        <f t="shared" si="12"/>
        <v>4.842780655582084</v>
      </c>
      <c r="L71" s="217">
        <f t="shared" si="13"/>
        <v>5.9189541346003258</v>
      </c>
      <c r="M71" s="217">
        <f t="shared" si="14"/>
        <v>21.210498607417922</v>
      </c>
      <c r="N71" s="217">
        <f t="shared" si="15"/>
        <v>25.923942742399682</v>
      </c>
      <c r="O71">
        <v>1</v>
      </c>
      <c r="P71">
        <v>1</v>
      </c>
      <c r="Q71">
        <v>2</v>
      </c>
      <c r="R71">
        <v>2</v>
      </c>
      <c r="S71">
        <v>2</v>
      </c>
    </row>
    <row r="72" spans="1:19">
      <c r="A72" s="858" t="s">
        <v>180</v>
      </c>
      <c r="B72" s="858">
        <v>2018</v>
      </c>
      <c r="C72" s="858" t="s">
        <v>91</v>
      </c>
      <c r="D72" s="217">
        <v>129.02562879999999</v>
      </c>
      <c r="E72" s="217">
        <v>37.438594360000003</v>
      </c>
      <c r="F72" s="217">
        <v>235.69731569999999</v>
      </c>
      <c r="G72" s="217">
        <f t="shared" si="8"/>
        <v>0.13706946974411321</v>
      </c>
      <c r="H72" s="217">
        <f t="shared" si="9"/>
        <v>0.86293053025588673</v>
      </c>
      <c r="I72" s="888">
        <f t="shared" si="10"/>
        <v>19.75311983698322</v>
      </c>
      <c r="J72" s="888">
        <f t="shared" si="11"/>
        <v>124.35716142301679</v>
      </c>
      <c r="K72" s="217">
        <f t="shared" si="12"/>
        <v>17.777807853284898</v>
      </c>
      <c r="L72" s="217">
        <f t="shared" si="13"/>
        <v>21.728431820681543</v>
      </c>
      <c r="M72" s="217">
        <f t="shared" si="14"/>
        <v>111.92144528071512</v>
      </c>
      <c r="N72" s="217">
        <f t="shared" si="15"/>
        <v>136.79287756531849</v>
      </c>
      <c r="O72">
        <v>1</v>
      </c>
      <c r="P72">
        <v>1</v>
      </c>
      <c r="Q72">
        <v>2</v>
      </c>
      <c r="R72">
        <v>2</v>
      </c>
      <c r="S72">
        <v>2</v>
      </c>
    </row>
    <row r="73" spans="1:19">
      <c r="A73" s="858" t="s">
        <v>180</v>
      </c>
      <c r="B73" s="858">
        <v>2018</v>
      </c>
      <c r="C73" s="858" t="s">
        <v>93</v>
      </c>
      <c r="D73" s="217">
        <v>18.712387209999999</v>
      </c>
      <c r="E73" s="217">
        <v>8.3623091550000002</v>
      </c>
      <c r="F73" s="217">
        <v>21.463345409999999</v>
      </c>
      <c r="G73" s="217">
        <f t="shared" si="8"/>
        <v>0.28037303043176315</v>
      </c>
      <c r="H73" s="217">
        <f t="shared" si="9"/>
        <v>0.71962696956823691</v>
      </c>
      <c r="I73" s="888">
        <f t="shared" si="10"/>
        <v>3.1158604463197346</v>
      </c>
      <c r="J73" s="888">
        <f t="shared" si="11"/>
        <v>7.9974069086802633</v>
      </c>
      <c r="K73" s="217">
        <f t="shared" si="12"/>
        <v>2.8042744016877612</v>
      </c>
      <c r="L73" s="217">
        <f t="shared" si="13"/>
        <v>3.4274464909517084</v>
      </c>
      <c r="M73" s="217">
        <f t="shared" si="14"/>
        <v>7.1976662178122375</v>
      </c>
      <c r="N73" s="217">
        <f t="shared" si="15"/>
        <v>8.7971475995482908</v>
      </c>
      <c r="O73">
        <v>1</v>
      </c>
      <c r="P73">
        <v>1</v>
      </c>
      <c r="Q73">
        <v>2</v>
      </c>
      <c r="R73">
        <v>2</v>
      </c>
      <c r="S73">
        <v>2</v>
      </c>
    </row>
    <row r="74" spans="1:19">
      <c r="A74" s="858" t="s">
        <v>180</v>
      </c>
      <c r="B74" s="858">
        <v>2018</v>
      </c>
      <c r="C74" s="858" t="s">
        <v>90</v>
      </c>
      <c r="D74" s="217">
        <v>11.878221569999999</v>
      </c>
      <c r="E74" s="217">
        <v>5.1216061599999998</v>
      </c>
      <c r="F74" s="217">
        <v>13.861956660000001</v>
      </c>
      <c r="G74" s="217">
        <f t="shared" si="8"/>
        <v>0.26979161965340709</v>
      </c>
      <c r="H74" s="217">
        <f t="shared" si="9"/>
        <v>0.73020838034659286</v>
      </c>
      <c r="I74" s="888">
        <f t="shared" si="10"/>
        <v>1.9169615240276641</v>
      </c>
      <c r="J74" s="888">
        <f t="shared" si="11"/>
        <v>5.1883797259723377</v>
      </c>
      <c r="K74" s="217">
        <f t="shared" si="12"/>
        <v>1.7252653716248978</v>
      </c>
      <c r="L74" s="217">
        <f t="shared" si="13"/>
        <v>2.1086576764304308</v>
      </c>
      <c r="M74" s="217">
        <f t="shared" si="14"/>
        <v>4.6695417533751042</v>
      </c>
      <c r="N74" s="217">
        <f t="shared" si="15"/>
        <v>5.707217698569572</v>
      </c>
      <c r="O74">
        <v>1</v>
      </c>
      <c r="P74">
        <v>1</v>
      </c>
      <c r="Q74">
        <v>2</v>
      </c>
      <c r="R74">
        <v>2</v>
      </c>
      <c r="S74">
        <v>2</v>
      </c>
    </row>
    <row r="75" spans="1:19">
      <c r="A75" s="858" t="s">
        <v>180</v>
      </c>
      <c r="B75" s="858">
        <v>2018</v>
      </c>
      <c r="C75" s="858" t="s">
        <v>92</v>
      </c>
      <c r="D75" s="217">
        <v>22.540254990000001</v>
      </c>
      <c r="E75" s="217">
        <v>7.2968744230000002</v>
      </c>
      <c r="F75" s="217">
        <v>29.43337764</v>
      </c>
      <c r="G75" s="217">
        <f t="shared" si="8"/>
        <v>0.19866115839565562</v>
      </c>
      <c r="H75" s="217">
        <f t="shared" si="9"/>
        <v>0.80133884160434432</v>
      </c>
      <c r="I75" s="888">
        <f t="shared" si="10"/>
        <v>2.8190012561531432</v>
      </c>
      <c r="J75" s="888">
        <f t="shared" si="11"/>
        <v>11.370995816846857</v>
      </c>
      <c r="K75" s="217">
        <f t="shared" si="12"/>
        <v>2.5371011305378288</v>
      </c>
      <c r="L75" s="217">
        <f t="shared" si="13"/>
        <v>3.1009013817684576</v>
      </c>
      <c r="M75" s="217">
        <f t="shared" si="14"/>
        <v>10.233896235162172</v>
      </c>
      <c r="N75" s="217">
        <f t="shared" si="15"/>
        <v>12.508095398531545</v>
      </c>
      <c r="O75">
        <v>1</v>
      </c>
      <c r="P75">
        <v>1</v>
      </c>
      <c r="Q75">
        <v>2</v>
      </c>
      <c r="R75">
        <v>2</v>
      </c>
      <c r="S75">
        <v>2</v>
      </c>
    </row>
    <row r="76" spans="1:19">
      <c r="A76" s="858" t="s">
        <v>180</v>
      </c>
      <c r="B76" s="858">
        <v>2019</v>
      </c>
      <c r="C76" s="858" t="s">
        <v>99</v>
      </c>
      <c r="D76" s="217">
        <v>10.03581292</v>
      </c>
      <c r="E76" s="217">
        <v>2.9301375140000001</v>
      </c>
      <c r="F76" s="217">
        <v>17.54854632</v>
      </c>
      <c r="G76" s="217">
        <f t="shared" si="8"/>
        <v>0.14308231611717162</v>
      </c>
      <c r="H76" s="217">
        <f t="shared" si="9"/>
        <v>0.85691768388282841</v>
      </c>
      <c r="I76" s="888">
        <f t="shared" si="10"/>
        <v>1.4941901572877649</v>
      </c>
      <c r="J76" s="888">
        <f t="shared" si="11"/>
        <v>8.9486807567122355</v>
      </c>
      <c r="K76" s="217">
        <f t="shared" si="12"/>
        <v>1.3447711415589885</v>
      </c>
      <c r="L76" s="217">
        <f t="shared" si="13"/>
        <v>1.6436091730165416</v>
      </c>
      <c r="M76" s="217">
        <f t="shared" si="14"/>
        <v>8.0538126810410127</v>
      </c>
      <c r="N76" s="217">
        <f t="shared" si="15"/>
        <v>9.8435488323834601</v>
      </c>
      <c r="O76">
        <v>1</v>
      </c>
      <c r="P76">
        <v>1</v>
      </c>
      <c r="Q76">
        <v>2</v>
      </c>
      <c r="R76">
        <v>2</v>
      </c>
      <c r="S76">
        <v>2</v>
      </c>
    </row>
    <row r="77" spans="1:19">
      <c r="A77" s="858" t="s">
        <v>180</v>
      </c>
      <c r="B77" s="858">
        <v>2019</v>
      </c>
      <c r="C77" s="858" t="s">
        <v>98</v>
      </c>
      <c r="D77" s="217">
        <v>21.884298529999999</v>
      </c>
      <c r="E77" s="217">
        <v>5.7895750069999998</v>
      </c>
      <c r="F77" s="217">
        <v>33.598762309999998</v>
      </c>
      <c r="G77" s="217">
        <f t="shared" si="8"/>
        <v>0.14698703731526186</v>
      </c>
      <c r="H77" s="217">
        <f t="shared" si="9"/>
        <v>0.85301296268473814</v>
      </c>
      <c r="I77" s="888">
        <f t="shared" si="10"/>
        <v>2.5728668023525598</v>
      </c>
      <c r="J77" s="888">
        <f t="shared" si="11"/>
        <v>14.931171984647438</v>
      </c>
      <c r="K77" s="217">
        <f t="shared" si="12"/>
        <v>2.315580122117304</v>
      </c>
      <c r="L77" s="217">
        <f t="shared" si="13"/>
        <v>2.8301534825878161</v>
      </c>
      <c r="M77" s="217">
        <f t="shared" si="14"/>
        <v>13.438054786182695</v>
      </c>
      <c r="N77" s="217">
        <f t="shared" si="15"/>
        <v>16.424289183112183</v>
      </c>
      <c r="O77">
        <v>1</v>
      </c>
      <c r="P77">
        <v>1</v>
      </c>
      <c r="Q77">
        <v>2</v>
      </c>
      <c r="R77">
        <v>2</v>
      </c>
      <c r="S77">
        <v>2</v>
      </c>
    </row>
    <row r="78" spans="1:19">
      <c r="A78" s="858" t="s">
        <v>180</v>
      </c>
      <c r="B78" s="858">
        <v>2019</v>
      </c>
      <c r="C78" s="858" t="s">
        <v>95</v>
      </c>
      <c r="D78" s="217">
        <v>25.62662456</v>
      </c>
      <c r="E78" s="217">
        <v>8.8998138359999999</v>
      </c>
      <c r="F78" s="217">
        <v>42.516774699999999</v>
      </c>
      <c r="G78" s="217">
        <f t="shared" si="8"/>
        <v>0.17309226631729327</v>
      </c>
      <c r="H78" s="217">
        <f t="shared" si="9"/>
        <v>0.82690773368270676</v>
      </c>
      <c r="I78" s="888">
        <f t="shared" si="10"/>
        <v>4.464043312847191</v>
      </c>
      <c r="J78" s="888">
        <f t="shared" si="11"/>
        <v>21.325920663152807</v>
      </c>
      <c r="K78" s="217">
        <f t="shared" si="12"/>
        <v>4.017638981562472</v>
      </c>
      <c r="L78" s="217">
        <f t="shared" si="13"/>
        <v>4.9104476441319109</v>
      </c>
      <c r="M78" s="217">
        <f t="shared" si="14"/>
        <v>19.193328596837528</v>
      </c>
      <c r="N78" s="217">
        <f t="shared" si="15"/>
        <v>23.45851272946809</v>
      </c>
      <c r="O78">
        <v>1</v>
      </c>
      <c r="P78">
        <v>1</v>
      </c>
      <c r="Q78">
        <v>2</v>
      </c>
      <c r="R78">
        <v>2</v>
      </c>
      <c r="S78">
        <v>2</v>
      </c>
    </row>
    <row r="79" spans="1:19">
      <c r="A79" s="858" t="s">
        <v>180</v>
      </c>
      <c r="B79" s="858">
        <v>2019</v>
      </c>
      <c r="C79" s="858" t="s">
        <v>91</v>
      </c>
      <c r="D79" s="217">
        <v>128.44063420000001</v>
      </c>
      <c r="E79" s="217">
        <v>31.601882799999998</v>
      </c>
      <c r="F79" s="217">
        <v>226.81486559999999</v>
      </c>
      <c r="G79" s="217">
        <f t="shared" si="8"/>
        <v>0.12229038170190057</v>
      </c>
      <c r="H79" s="217">
        <f t="shared" si="9"/>
        <v>0.87770961829809946</v>
      </c>
      <c r="I79" s="888">
        <f t="shared" si="10"/>
        <v>15.894828617647814</v>
      </c>
      <c r="J79" s="888">
        <f t="shared" si="11"/>
        <v>114.08128558235217</v>
      </c>
      <c r="K79" s="217">
        <f t="shared" si="12"/>
        <v>14.305345755883033</v>
      </c>
      <c r="L79" s="217">
        <f t="shared" si="13"/>
        <v>17.484311479412597</v>
      </c>
      <c r="M79" s="217">
        <f t="shared" si="14"/>
        <v>102.67315702411695</v>
      </c>
      <c r="N79" s="217">
        <f t="shared" si="15"/>
        <v>125.4894141405874</v>
      </c>
      <c r="O79">
        <v>1</v>
      </c>
      <c r="P79">
        <v>1</v>
      </c>
      <c r="Q79">
        <v>2</v>
      </c>
      <c r="R79">
        <v>2</v>
      </c>
      <c r="S79">
        <v>2</v>
      </c>
    </row>
    <row r="80" spans="1:19">
      <c r="A80" s="858" t="s">
        <v>180</v>
      </c>
      <c r="B80" s="858">
        <v>2019</v>
      </c>
      <c r="C80" s="858" t="s">
        <v>93</v>
      </c>
      <c r="D80" s="217">
        <v>17.814076270000001</v>
      </c>
      <c r="E80" s="217">
        <v>7.3827467760000003</v>
      </c>
      <c r="F80" s="217">
        <v>21.224926079999999</v>
      </c>
      <c r="G80" s="217">
        <f t="shared" si="8"/>
        <v>0.25806876403970019</v>
      </c>
      <c r="H80" s="217">
        <f t="shared" si="9"/>
        <v>0.74193123596029986</v>
      </c>
      <c r="I80" s="888">
        <f t="shared" si="10"/>
        <v>2.7854901304921471</v>
      </c>
      <c r="J80" s="888">
        <f t="shared" si="11"/>
        <v>8.0081064555078498</v>
      </c>
      <c r="K80" s="217">
        <f t="shared" si="12"/>
        <v>2.5069411174429326</v>
      </c>
      <c r="L80" s="217">
        <f t="shared" si="13"/>
        <v>3.0640391435413621</v>
      </c>
      <c r="M80" s="217">
        <f t="shared" si="14"/>
        <v>7.2072958099570652</v>
      </c>
      <c r="N80" s="217">
        <f t="shared" si="15"/>
        <v>8.8089171010586362</v>
      </c>
      <c r="O80">
        <v>1</v>
      </c>
      <c r="P80">
        <v>1</v>
      </c>
      <c r="Q80">
        <v>2</v>
      </c>
      <c r="R80">
        <v>2</v>
      </c>
      <c r="S80">
        <v>2</v>
      </c>
    </row>
    <row r="81" spans="1:19">
      <c r="A81" s="858" t="s">
        <v>180</v>
      </c>
      <c r="B81" s="858">
        <v>2019</v>
      </c>
      <c r="C81" s="858" t="s">
        <v>90</v>
      </c>
      <c r="D81" s="217">
        <v>11.317652389999999</v>
      </c>
      <c r="E81" s="217">
        <v>4.492639413</v>
      </c>
      <c r="F81" s="217">
        <v>13.66375494</v>
      </c>
      <c r="G81" s="217">
        <f t="shared" si="8"/>
        <v>0.24744116731842611</v>
      </c>
      <c r="H81" s="217">
        <f t="shared" si="9"/>
        <v>0.75255883268157386</v>
      </c>
      <c r="I81" s="888">
        <f t="shared" si="10"/>
        <v>1.692186294314225</v>
      </c>
      <c r="J81" s="888">
        <f t="shared" si="11"/>
        <v>5.1465556686857763</v>
      </c>
      <c r="K81" s="217">
        <f t="shared" si="12"/>
        <v>1.5229676648828026</v>
      </c>
      <c r="L81" s="217">
        <f t="shared" si="13"/>
        <v>1.8614049237456476</v>
      </c>
      <c r="M81" s="217">
        <f t="shared" si="14"/>
        <v>4.631900101817199</v>
      </c>
      <c r="N81" s="217">
        <f t="shared" si="15"/>
        <v>5.6612112355543545</v>
      </c>
      <c r="O81">
        <v>1</v>
      </c>
      <c r="P81">
        <v>1</v>
      </c>
      <c r="Q81">
        <v>2</v>
      </c>
      <c r="R81">
        <v>2</v>
      </c>
      <c r="S81">
        <v>2</v>
      </c>
    </row>
    <row r="82" spans="1:19">
      <c r="A82" s="858" t="s">
        <v>180</v>
      </c>
      <c r="B82" s="858">
        <v>2019</v>
      </c>
      <c r="C82" s="858" t="s">
        <v>92</v>
      </c>
      <c r="D82" s="217">
        <v>21.589822730000002</v>
      </c>
      <c r="E82" s="217">
        <v>5.9459532919999996</v>
      </c>
      <c r="F82" s="217">
        <v>28.398745170000002</v>
      </c>
      <c r="G82" s="217">
        <f t="shared" si="8"/>
        <v>0.17312579694297736</v>
      </c>
      <c r="H82" s="217">
        <f t="shared" si="9"/>
        <v>0.82687420305702264</v>
      </c>
      <c r="I82" s="888">
        <f t="shared" si="10"/>
        <v>2.208198026011142</v>
      </c>
      <c r="J82" s="888">
        <f t="shared" si="11"/>
        <v>10.546677705988856</v>
      </c>
      <c r="K82" s="217">
        <f t="shared" si="12"/>
        <v>1.9873782234100279</v>
      </c>
      <c r="L82" s="217">
        <f t="shared" si="13"/>
        <v>2.4290178286122566</v>
      </c>
      <c r="M82" s="217">
        <f t="shared" si="14"/>
        <v>9.4920099353899712</v>
      </c>
      <c r="N82" s="217">
        <f t="shared" si="15"/>
        <v>11.601345476587742</v>
      </c>
      <c r="O82">
        <v>1</v>
      </c>
      <c r="P82">
        <v>1</v>
      </c>
      <c r="Q82">
        <v>2</v>
      </c>
      <c r="R82">
        <v>2</v>
      </c>
      <c r="S82">
        <v>2</v>
      </c>
    </row>
    <row r="83" spans="1:19">
      <c r="A83" s="858" t="s">
        <v>180</v>
      </c>
      <c r="B83" s="858">
        <v>2020</v>
      </c>
      <c r="C83" s="858" t="s">
        <v>99</v>
      </c>
      <c r="D83" s="217">
        <v>9.1922539200000006</v>
      </c>
      <c r="E83" s="217">
        <v>1.8709530459999999</v>
      </c>
      <c r="F83" s="217">
        <v>12.13324772</v>
      </c>
      <c r="G83" s="217">
        <f t="shared" si="8"/>
        <v>0.13359941615107232</v>
      </c>
      <c r="H83" s="217">
        <f t="shared" si="9"/>
        <v>0.86640058384892771</v>
      </c>
      <c r="I83" s="888">
        <f t="shared" si="10"/>
        <v>0.64287328917559394</v>
      </c>
      <c r="J83" s="888">
        <f t="shared" si="11"/>
        <v>4.1690735568244053</v>
      </c>
      <c r="K83" s="217">
        <f t="shared" si="12"/>
        <v>0.57858596025803455</v>
      </c>
      <c r="L83" s="217">
        <f t="shared" si="13"/>
        <v>0.70716061809315345</v>
      </c>
      <c r="M83" s="217">
        <f t="shared" si="14"/>
        <v>3.7521662011419648</v>
      </c>
      <c r="N83" s="217">
        <f t="shared" si="15"/>
        <v>4.5859809125068463</v>
      </c>
      <c r="O83">
        <v>1</v>
      </c>
      <c r="P83">
        <v>1</v>
      </c>
      <c r="Q83">
        <v>2</v>
      </c>
      <c r="R83">
        <v>2</v>
      </c>
      <c r="S83">
        <v>2</v>
      </c>
    </row>
    <row r="84" spans="1:19">
      <c r="A84" s="858" t="s">
        <v>180</v>
      </c>
      <c r="B84" s="858">
        <v>2020</v>
      </c>
      <c r="C84" s="858" t="s">
        <v>98</v>
      </c>
      <c r="D84" s="217">
        <v>19.787031639999999</v>
      </c>
      <c r="E84" s="217">
        <v>3.836750688</v>
      </c>
      <c r="F84" s="217">
        <v>22.93146647</v>
      </c>
      <c r="G84" s="217">
        <f t="shared" ref="G84:G103" si="16">E84/(E84+F84)</f>
        <v>0.14333232076508845</v>
      </c>
      <c r="H84" s="217">
        <f t="shared" ref="H84:H103" si="17">1-G84</f>
        <v>0.85666767923491149</v>
      </c>
      <c r="I84" s="888">
        <f t="shared" ref="I84:I103" si="18">E84-(D84*G84)</f>
        <v>1.000629521986566</v>
      </c>
      <c r="J84" s="888">
        <f t="shared" ref="J84:J103" si="19">F84-D84*H84</f>
        <v>5.980555996013436</v>
      </c>
      <c r="K84" s="217">
        <f t="shared" ref="K84:K103" si="20">I84*$B$5</f>
        <v>0.90056656978790939</v>
      </c>
      <c r="L84" s="217">
        <f t="shared" ref="L84:L103" si="21">I84*$B$4</f>
        <v>1.1006924741852226</v>
      </c>
      <c r="M84" s="217">
        <f t="shared" ref="M84:M103" si="22">J84*$B$5</f>
        <v>5.3825003964120928</v>
      </c>
      <c r="N84" s="217">
        <f t="shared" ref="N84:N103" si="23">J84*$B$4</f>
        <v>6.5786115956147801</v>
      </c>
      <c r="O84">
        <v>1</v>
      </c>
      <c r="P84">
        <v>1</v>
      </c>
      <c r="Q84">
        <v>2</v>
      </c>
      <c r="R84">
        <v>2</v>
      </c>
      <c r="S84">
        <v>2</v>
      </c>
    </row>
    <row r="85" spans="1:19">
      <c r="A85" s="858" t="s">
        <v>180</v>
      </c>
      <c r="B85" s="858">
        <v>2020</v>
      </c>
      <c r="C85" s="858" t="s">
        <v>95</v>
      </c>
      <c r="D85" s="217">
        <v>23.382186279999999</v>
      </c>
      <c r="E85" s="217">
        <v>5.9489918609999997</v>
      </c>
      <c r="F85" s="217">
        <v>27.473770129999998</v>
      </c>
      <c r="G85" s="217">
        <f t="shared" si="16"/>
        <v>0.1779922276501843</v>
      </c>
      <c r="H85" s="217">
        <f t="shared" si="17"/>
        <v>0.8220077723498157</v>
      </c>
      <c r="I85" s="888">
        <f t="shared" si="18"/>
        <v>1.7871444376912242</v>
      </c>
      <c r="J85" s="888">
        <f t="shared" si="19"/>
        <v>8.2534312733087738</v>
      </c>
      <c r="K85" s="217">
        <f t="shared" si="20"/>
        <v>1.6084299939221018</v>
      </c>
      <c r="L85" s="217">
        <f t="shared" si="21"/>
        <v>1.9658588814603468</v>
      </c>
      <c r="M85" s="217">
        <f t="shared" si="22"/>
        <v>7.4280881459778962</v>
      </c>
      <c r="N85" s="217">
        <f t="shared" si="23"/>
        <v>9.0787744006396522</v>
      </c>
      <c r="O85">
        <v>1</v>
      </c>
      <c r="P85">
        <v>1</v>
      </c>
      <c r="Q85">
        <v>2</v>
      </c>
      <c r="R85">
        <v>2</v>
      </c>
      <c r="S85">
        <v>2</v>
      </c>
    </row>
    <row r="86" spans="1:19">
      <c r="A86" s="858" t="s">
        <v>180</v>
      </c>
      <c r="B86" s="858">
        <v>2020</v>
      </c>
      <c r="C86" s="858" t="s">
        <v>91</v>
      </c>
      <c r="D86" s="217">
        <v>116.5578671</v>
      </c>
      <c r="E86" s="217">
        <v>19.496869239999999</v>
      </c>
      <c r="F86" s="217">
        <v>146.75291419999999</v>
      </c>
      <c r="G86" s="217">
        <f t="shared" si="16"/>
        <v>0.11727455420738321</v>
      </c>
      <c r="H86" s="217">
        <f t="shared" si="17"/>
        <v>0.8827254457926168</v>
      </c>
      <c r="I86" s="888">
        <f t="shared" si="18"/>
        <v>5.8275973364840805</v>
      </c>
      <c r="J86" s="888">
        <f t="shared" si="19"/>
        <v>43.864319003515917</v>
      </c>
      <c r="K86" s="217">
        <f t="shared" si="20"/>
        <v>5.2448376028356725</v>
      </c>
      <c r="L86" s="217">
        <f t="shared" si="21"/>
        <v>6.4103570701324895</v>
      </c>
      <c r="M86" s="217">
        <f t="shared" si="22"/>
        <v>39.477887103164328</v>
      </c>
      <c r="N86" s="217">
        <f t="shared" si="23"/>
        <v>48.250750903867512</v>
      </c>
      <c r="O86">
        <v>1</v>
      </c>
      <c r="P86">
        <v>1</v>
      </c>
      <c r="Q86">
        <v>2</v>
      </c>
      <c r="R86">
        <v>2</v>
      </c>
      <c r="S86">
        <v>2</v>
      </c>
    </row>
    <row r="87" spans="1:19">
      <c r="A87" s="858" t="s">
        <v>180</v>
      </c>
      <c r="B87" s="858">
        <v>2020</v>
      </c>
      <c r="C87" s="858" t="s">
        <v>93</v>
      </c>
      <c r="D87" s="217">
        <v>15.75667537</v>
      </c>
      <c r="E87" s="217">
        <v>5.9236578670000002</v>
      </c>
      <c r="F87" s="217">
        <v>17.326536180000002</v>
      </c>
      <c r="G87" s="217">
        <f t="shared" si="16"/>
        <v>0.25477885711514464</v>
      </c>
      <c r="H87" s="217">
        <f t="shared" si="17"/>
        <v>0.74522114288485541</v>
      </c>
      <c r="I87" s="888">
        <f t="shared" si="18"/>
        <v>1.9091901242970515</v>
      </c>
      <c r="J87" s="888">
        <f t="shared" si="19"/>
        <v>5.5843285527029494</v>
      </c>
      <c r="K87" s="217">
        <f t="shared" si="20"/>
        <v>1.7182711118673464</v>
      </c>
      <c r="L87" s="217">
        <f t="shared" si="21"/>
        <v>2.1001091367267568</v>
      </c>
      <c r="M87" s="217">
        <f t="shared" si="22"/>
        <v>5.025895697432655</v>
      </c>
      <c r="N87" s="217">
        <f t="shared" si="23"/>
        <v>6.1427614079732447</v>
      </c>
      <c r="O87">
        <v>1</v>
      </c>
      <c r="P87">
        <v>1</v>
      </c>
      <c r="Q87">
        <v>2</v>
      </c>
      <c r="R87">
        <v>2</v>
      </c>
      <c r="S87">
        <v>2</v>
      </c>
    </row>
    <row r="88" spans="1:19">
      <c r="A88" s="858" t="s">
        <v>180</v>
      </c>
      <c r="B88" s="858">
        <v>2020</v>
      </c>
      <c r="C88" s="858" t="s">
        <v>90</v>
      </c>
      <c r="D88" s="217">
        <v>10.01020647</v>
      </c>
      <c r="E88" s="217">
        <v>3.5814853499999999</v>
      </c>
      <c r="F88" s="217">
        <v>11.06819829</v>
      </c>
      <c r="G88" s="217">
        <f t="shared" si="16"/>
        <v>0.24447526909188599</v>
      </c>
      <c r="H88" s="217">
        <f t="shared" si="17"/>
        <v>0.75552473090811401</v>
      </c>
      <c r="I88" s="888">
        <f t="shared" si="18"/>
        <v>1.1342374295814115</v>
      </c>
      <c r="J88" s="888">
        <f t="shared" si="19"/>
        <v>3.5052397404185882</v>
      </c>
      <c r="K88" s="217">
        <f t="shared" si="20"/>
        <v>1.0208136866232704</v>
      </c>
      <c r="L88" s="217">
        <f t="shared" si="21"/>
        <v>1.2476611725395528</v>
      </c>
      <c r="M88" s="217">
        <f t="shared" si="22"/>
        <v>3.1547157663767296</v>
      </c>
      <c r="N88" s="217">
        <f t="shared" si="23"/>
        <v>3.8557637144604473</v>
      </c>
      <c r="O88">
        <v>1</v>
      </c>
      <c r="P88">
        <v>1</v>
      </c>
      <c r="Q88">
        <v>2</v>
      </c>
      <c r="R88">
        <v>2</v>
      </c>
      <c r="S88">
        <v>2</v>
      </c>
    </row>
    <row r="89" spans="1:19">
      <c r="A89" s="858" t="s">
        <v>180</v>
      </c>
      <c r="B89" s="858">
        <v>2020</v>
      </c>
      <c r="C89" s="858" t="s">
        <v>92</v>
      </c>
      <c r="D89" s="217">
        <v>19.051081549999999</v>
      </c>
      <c r="E89" s="217">
        <v>4.5528234469999997</v>
      </c>
      <c r="F89" s="217">
        <v>21.841717490000001</v>
      </c>
      <c r="G89" s="217">
        <f t="shared" si="16"/>
        <v>0.17249110177240584</v>
      </c>
      <c r="H89" s="217">
        <f t="shared" si="17"/>
        <v>0.82750889822759421</v>
      </c>
      <c r="I89" s="888">
        <f t="shared" si="18"/>
        <v>1.2666814004845466</v>
      </c>
      <c r="J89" s="888">
        <f t="shared" si="19"/>
        <v>6.0767779865154541</v>
      </c>
      <c r="K89" s="217">
        <f t="shared" si="20"/>
        <v>1.140013260436092</v>
      </c>
      <c r="L89" s="217">
        <f t="shared" si="21"/>
        <v>1.3933495405330014</v>
      </c>
      <c r="M89" s="217">
        <f t="shared" si="22"/>
        <v>5.4691001878639085</v>
      </c>
      <c r="N89" s="217">
        <f t="shared" si="23"/>
        <v>6.6844557851669997</v>
      </c>
      <c r="O89">
        <v>1</v>
      </c>
      <c r="P89">
        <v>1</v>
      </c>
      <c r="Q89">
        <v>2</v>
      </c>
      <c r="R89">
        <v>2</v>
      </c>
      <c r="S89">
        <v>2</v>
      </c>
    </row>
    <row r="90" spans="1:19">
      <c r="A90" s="858" t="s">
        <v>180</v>
      </c>
      <c r="B90" s="858">
        <v>2021</v>
      </c>
      <c r="C90" s="858" t="s">
        <v>99</v>
      </c>
      <c r="D90" s="217">
        <v>10.636048540000001</v>
      </c>
      <c r="E90" s="217">
        <v>2.0552848020000001</v>
      </c>
      <c r="F90" s="217">
        <v>14.414300020000001</v>
      </c>
      <c r="G90" s="217">
        <f t="shared" si="16"/>
        <v>0.12479275125712698</v>
      </c>
      <c r="H90" s="217">
        <f t="shared" si="17"/>
        <v>0.87520724874287303</v>
      </c>
      <c r="I90" s="888">
        <f t="shared" si="18"/>
        <v>0.72798304218905141</v>
      </c>
      <c r="J90" s="888">
        <f t="shared" si="19"/>
        <v>5.1055532398109484</v>
      </c>
      <c r="K90" s="217">
        <f t="shared" si="20"/>
        <v>0.65518473797014631</v>
      </c>
      <c r="L90" s="217">
        <f t="shared" si="21"/>
        <v>0.80078134640795662</v>
      </c>
      <c r="M90" s="217">
        <f t="shared" si="22"/>
        <v>4.594997915829854</v>
      </c>
      <c r="N90" s="217">
        <f t="shared" si="23"/>
        <v>5.6161085637920438</v>
      </c>
      <c r="O90">
        <v>1</v>
      </c>
      <c r="P90">
        <v>1</v>
      </c>
      <c r="Q90">
        <v>2</v>
      </c>
      <c r="R90">
        <v>2</v>
      </c>
      <c r="S90">
        <v>2</v>
      </c>
    </row>
    <row r="91" spans="1:19">
      <c r="A91" s="858" t="s">
        <v>180</v>
      </c>
      <c r="B91" s="858">
        <v>2021</v>
      </c>
      <c r="C91" s="858" t="s">
        <v>98</v>
      </c>
      <c r="D91" s="217">
        <v>22.954113119999999</v>
      </c>
      <c r="E91" s="217">
        <v>4.3991234769999998</v>
      </c>
      <c r="F91" s="217">
        <v>25.566611479999999</v>
      </c>
      <c r="G91" s="217">
        <f t="shared" si="16"/>
        <v>0.1468051253644411</v>
      </c>
      <c r="H91" s="217">
        <f t="shared" si="17"/>
        <v>0.85319487463555888</v>
      </c>
      <c r="I91" s="888">
        <f t="shared" si="18"/>
        <v>1.0293420227888377</v>
      </c>
      <c r="J91" s="888">
        <f t="shared" si="19"/>
        <v>5.9822798142111644</v>
      </c>
      <c r="K91" s="217">
        <f t="shared" si="20"/>
        <v>0.92640782050995396</v>
      </c>
      <c r="L91" s="217">
        <f t="shared" si="21"/>
        <v>1.1322762250677216</v>
      </c>
      <c r="M91" s="217">
        <f t="shared" si="22"/>
        <v>5.384051832790048</v>
      </c>
      <c r="N91" s="217">
        <f t="shared" si="23"/>
        <v>6.5805077956322817</v>
      </c>
      <c r="O91">
        <v>1</v>
      </c>
      <c r="P91">
        <v>1</v>
      </c>
      <c r="Q91">
        <v>2</v>
      </c>
      <c r="R91">
        <v>2</v>
      </c>
      <c r="S91">
        <v>2</v>
      </c>
    </row>
    <row r="92" spans="1:19">
      <c r="A92" s="858" t="s">
        <v>180</v>
      </c>
      <c r="B92" s="858">
        <v>2021</v>
      </c>
      <c r="C92" s="858" t="s">
        <v>95</v>
      </c>
      <c r="D92" s="217">
        <v>28.759489510000002</v>
      </c>
      <c r="E92" s="217">
        <v>6.4446616390000004</v>
      </c>
      <c r="F92" s="217">
        <v>32.316900889999999</v>
      </c>
      <c r="G92" s="217">
        <f t="shared" si="16"/>
        <v>0.16626423752082586</v>
      </c>
      <c r="H92" s="217">
        <f t="shared" si="17"/>
        <v>0.83373576247917414</v>
      </c>
      <c r="I92" s="888">
        <f t="shared" si="18"/>
        <v>1.6629870441316603</v>
      </c>
      <c r="J92" s="888">
        <f t="shared" si="19"/>
        <v>8.3390859748683361</v>
      </c>
      <c r="K92" s="217">
        <f t="shared" si="20"/>
        <v>1.4966883397184942</v>
      </c>
      <c r="L92" s="217">
        <f t="shared" si="21"/>
        <v>1.8292857485448264</v>
      </c>
      <c r="M92" s="217">
        <f t="shared" si="22"/>
        <v>7.5051773773815027</v>
      </c>
      <c r="N92" s="217">
        <f t="shared" si="23"/>
        <v>9.1729945723551705</v>
      </c>
      <c r="O92">
        <v>1</v>
      </c>
      <c r="P92">
        <v>1</v>
      </c>
      <c r="Q92">
        <v>2</v>
      </c>
      <c r="R92">
        <v>2</v>
      </c>
      <c r="S92">
        <v>2</v>
      </c>
    </row>
    <row r="93" spans="1:19">
      <c r="A93" s="858" t="s">
        <v>180</v>
      </c>
      <c r="B93" s="858">
        <v>2021</v>
      </c>
      <c r="C93" s="858" t="s">
        <v>91</v>
      </c>
      <c r="D93" s="217">
        <v>138.68339990000001</v>
      </c>
      <c r="E93" s="217">
        <v>23.285090050000001</v>
      </c>
      <c r="F93" s="217">
        <v>168.05433719999999</v>
      </c>
      <c r="G93" s="217">
        <f t="shared" si="16"/>
        <v>0.12169520095602775</v>
      </c>
      <c r="H93" s="217">
        <f t="shared" si="17"/>
        <v>0.8783047990439723</v>
      </c>
      <c r="I93" s="888">
        <f t="shared" si="18"/>
        <v>6.4079858299043408</v>
      </c>
      <c r="J93" s="888">
        <f t="shared" si="19"/>
        <v>46.24804152009564</v>
      </c>
      <c r="K93" s="217">
        <f t="shared" si="20"/>
        <v>5.7671872469139069</v>
      </c>
      <c r="L93" s="217">
        <f t="shared" si="21"/>
        <v>7.0487844128947756</v>
      </c>
      <c r="M93" s="217">
        <f t="shared" si="22"/>
        <v>41.62323736808608</v>
      </c>
      <c r="N93" s="217">
        <f t="shared" si="23"/>
        <v>50.872845672105207</v>
      </c>
      <c r="O93">
        <v>1</v>
      </c>
      <c r="P93">
        <v>1</v>
      </c>
      <c r="Q93">
        <v>2</v>
      </c>
      <c r="R93">
        <v>2</v>
      </c>
      <c r="S93">
        <v>2</v>
      </c>
    </row>
    <row r="94" spans="1:19">
      <c r="A94" s="858" t="s">
        <v>180</v>
      </c>
      <c r="B94" s="858">
        <v>2021</v>
      </c>
      <c r="C94" s="858" t="s">
        <v>93</v>
      </c>
      <c r="D94" s="217">
        <v>17.910293410000001</v>
      </c>
      <c r="E94" s="217">
        <v>7.9345653519999999</v>
      </c>
      <c r="F94" s="217">
        <v>17.79103666</v>
      </c>
      <c r="G94" s="217">
        <f t="shared" si="16"/>
        <v>0.30843069671601198</v>
      </c>
      <c r="H94" s="217">
        <f t="shared" si="17"/>
        <v>0.69156930328398802</v>
      </c>
      <c r="I94" s="888">
        <f t="shared" si="18"/>
        <v>2.4104810771655014</v>
      </c>
      <c r="J94" s="888">
        <f t="shared" si="19"/>
        <v>5.4048275248344968</v>
      </c>
      <c r="K94" s="217">
        <f t="shared" si="20"/>
        <v>2.1694329694489514</v>
      </c>
      <c r="L94" s="217">
        <f t="shared" si="21"/>
        <v>2.6515291848820519</v>
      </c>
      <c r="M94" s="217">
        <f t="shared" si="22"/>
        <v>4.8643447723510471</v>
      </c>
      <c r="N94" s="217">
        <f t="shared" si="23"/>
        <v>5.9453102773179474</v>
      </c>
      <c r="O94">
        <v>1</v>
      </c>
      <c r="P94">
        <v>1</v>
      </c>
      <c r="Q94">
        <v>2</v>
      </c>
      <c r="R94">
        <v>2</v>
      </c>
      <c r="S94">
        <v>2</v>
      </c>
    </row>
    <row r="95" spans="1:19">
      <c r="A95" s="858" t="s">
        <v>180</v>
      </c>
      <c r="B95" s="858">
        <v>2021</v>
      </c>
      <c r="C95" s="858" t="s">
        <v>90</v>
      </c>
      <c r="D95" s="217">
        <v>11.319748390000001</v>
      </c>
      <c r="E95" s="217">
        <v>4.7744769639999998</v>
      </c>
      <c r="F95" s="217">
        <v>11.41472343</v>
      </c>
      <c r="G95" s="217">
        <f t="shared" si="16"/>
        <v>0.29491740467734923</v>
      </c>
      <c r="H95" s="217">
        <f t="shared" si="17"/>
        <v>0.70508259532265072</v>
      </c>
      <c r="I95" s="888">
        <f t="shared" si="18"/>
        <v>1.436086147220597</v>
      </c>
      <c r="J95" s="888">
        <f t="shared" si="19"/>
        <v>3.4333658567794032</v>
      </c>
      <c r="K95" s="217">
        <f t="shared" si="20"/>
        <v>1.2924775324985374</v>
      </c>
      <c r="L95" s="217">
        <f t="shared" si="21"/>
        <v>1.5796947619426569</v>
      </c>
      <c r="M95" s="217">
        <f t="shared" si="22"/>
        <v>3.090029271101463</v>
      </c>
      <c r="N95" s="217">
        <f t="shared" si="23"/>
        <v>3.7767024424573439</v>
      </c>
      <c r="O95">
        <v>1</v>
      </c>
      <c r="P95">
        <v>1</v>
      </c>
      <c r="Q95">
        <v>2</v>
      </c>
      <c r="R95">
        <v>2</v>
      </c>
      <c r="S95">
        <v>2</v>
      </c>
    </row>
    <row r="96" spans="1:19">
      <c r="A96" s="858" t="s">
        <v>180</v>
      </c>
      <c r="B96" s="858">
        <v>2021</v>
      </c>
      <c r="C96" s="858" t="s">
        <v>92</v>
      </c>
      <c r="D96" s="217">
        <v>20.84425302</v>
      </c>
      <c r="E96" s="217">
        <v>5.7810060999999999</v>
      </c>
      <c r="F96" s="217">
        <v>23.256855089999998</v>
      </c>
      <c r="G96" s="217">
        <f t="shared" si="16"/>
        <v>0.19908512070409826</v>
      </c>
      <c r="H96" s="217">
        <f t="shared" si="17"/>
        <v>0.80091487929590177</v>
      </c>
      <c r="I96" s="888">
        <f t="shared" si="18"/>
        <v>1.6312254715265357</v>
      </c>
      <c r="J96" s="888">
        <f t="shared" si="19"/>
        <v>6.5623826984734634</v>
      </c>
      <c r="K96" s="217">
        <f t="shared" si="20"/>
        <v>1.4681029243738821</v>
      </c>
      <c r="L96" s="217">
        <f t="shared" si="21"/>
        <v>1.7943480186791894</v>
      </c>
      <c r="M96" s="217">
        <f t="shared" si="22"/>
        <v>5.9061444286261171</v>
      </c>
      <c r="N96" s="217">
        <f t="shared" si="23"/>
        <v>7.2186209683208107</v>
      </c>
      <c r="O96">
        <v>1</v>
      </c>
      <c r="P96">
        <v>1</v>
      </c>
      <c r="Q96">
        <v>2</v>
      </c>
      <c r="R96">
        <v>2</v>
      </c>
      <c r="S96">
        <v>2</v>
      </c>
    </row>
    <row r="97" spans="1:19">
      <c r="A97" s="858" t="s">
        <v>180</v>
      </c>
      <c r="B97" s="858">
        <v>2022</v>
      </c>
      <c r="C97" s="858" t="s">
        <v>99</v>
      </c>
      <c r="D97" s="217">
        <v>13.08068568</v>
      </c>
      <c r="E97" s="217">
        <v>2.5444195930000002</v>
      </c>
      <c r="F97" s="217">
        <v>20.511336790000001</v>
      </c>
      <c r="G97" s="217">
        <f t="shared" si="16"/>
        <v>0.11035940659383918</v>
      </c>
      <c r="H97" s="217">
        <f t="shared" si="17"/>
        <v>0.88964059340616086</v>
      </c>
      <c r="I97" s="888">
        <f t="shared" si="18"/>
        <v>1.1008428835146704</v>
      </c>
      <c r="J97" s="888">
        <f t="shared" si="19"/>
        <v>8.8742278194853306</v>
      </c>
      <c r="K97" s="217">
        <f t="shared" si="20"/>
        <v>0.99075859516320341</v>
      </c>
      <c r="L97" s="217">
        <f t="shared" si="21"/>
        <v>1.2109271718661376</v>
      </c>
      <c r="M97" s="217">
        <f t="shared" si="22"/>
        <v>7.986805037536798</v>
      </c>
      <c r="N97" s="217">
        <f t="shared" si="23"/>
        <v>9.761650601433864</v>
      </c>
      <c r="O97">
        <v>1</v>
      </c>
      <c r="P97">
        <v>1</v>
      </c>
      <c r="Q97">
        <v>2</v>
      </c>
      <c r="R97">
        <v>2</v>
      </c>
      <c r="S97">
        <v>2</v>
      </c>
    </row>
    <row r="98" spans="1:19">
      <c r="A98" s="858" t="s">
        <v>180</v>
      </c>
      <c r="B98" s="858">
        <v>2022</v>
      </c>
      <c r="C98" s="858" t="s">
        <v>98</v>
      </c>
      <c r="D98" s="217">
        <v>25.212539079999999</v>
      </c>
      <c r="E98" s="217">
        <v>5.2280866169999998</v>
      </c>
      <c r="F98" s="217">
        <v>35.846355090000003</v>
      </c>
      <c r="G98" s="217">
        <f t="shared" si="16"/>
        <v>0.12728320580213795</v>
      </c>
      <c r="H98" s="217">
        <f t="shared" si="17"/>
        <v>0.87271679419786208</v>
      </c>
      <c r="I98" s="888">
        <f t="shared" si="18"/>
        <v>2.0189538164859142</v>
      </c>
      <c r="J98" s="888">
        <f t="shared" si="19"/>
        <v>13.842948810514088</v>
      </c>
      <c r="K98" s="217">
        <f t="shared" si="20"/>
        <v>1.8170584348373229</v>
      </c>
      <c r="L98" s="217">
        <f t="shared" si="21"/>
        <v>2.220849198134506</v>
      </c>
      <c r="M98" s="217">
        <f t="shared" si="22"/>
        <v>12.458653929462679</v>
      </c>
      <c r="N98" s="217">
        <f t="shared" si="23"/>
        <v>15.227243691565498</v>
      </c>
      <c r="O98">
        <v>1</v>
      </c>
      <c r="P98">
        <v>1</v>
      </c>
      <c r="Q98">
        <v>2</v>
      </c>
      <c r="R98">
        <v>2</v>
      </c>
      <c r="S98">
        <v>2</v>
      </c>
    </row>
    <row r="99" spans="1:19">
      <c r="A99" s="858" t="s">
        <v>180</v>
      </c>
      <c r="B99" s="858">
        <v>2022</v>
      </c>
      <c r="C99" s="858" t="s">
        <v>95</v>
      </c>
      <c r="D99" s="217">
        <v>32.628676579999997</v>
      </c>
      <c r="E99" s="217">
        <v>7.3373571249999996</v>
      </c>
      <c r="F99" s="217">
        <v>46.393903379999998</v>
      </c>
      <c r="G99" s="217">
        <f t="shared" si="16"/>
        <v>0.1365565790945332</v>
      </c>
      <c r="H99" s="217">
        <f t="shared" si="17"/>
        <v>0.86344342090546677</v>
      </c>
      <c r="I99" s="888">
        <f t="shared" si="18"/>
        <v>2.8816966708532874</v>
      </c>
      <c r="J99" s="888">
        <f t="shared" si="19"/>
        <v>18.220887254146714</v>
      </c>
      <c r="K99" s="217">
        <f t="shared" si="20"/>
        <v>2.5935270037679587</v>
      </c>
      <c r="L99" s="217">
        <f t="shared" si="21"/>
        <v>3.1698663379386165</v>
      </c>
      <c r="M99" s="217">
        <f t="shared" si="22"/>
        <v>16.398798528732044</v>
      </c>
      <c r="N99" s="217">
        <f t="shared" si="23"/>
        <v>20.042975979561387</v>
      </c>
      <c r="O99">
        <v>1</v>
      </c>
      <c r="P99">
        <v>1</v>
      </c>
      <c r="Q99">
        <v>2</v>
      </c>
      <c r="R99">
        <v>2</v>
      </c>
      <c r="S99">
        <v>2</v>
      </c>
    </row>
    <row r="100" spans="1:19">
      <c r="A100" s="858" t="s">
        <v>180</v>
      </c>
      <c r="B100" s="858">
        <v>2022</v>
      </c>
      <c r="C100" s="858" t="s">
        <v>91</v>
      </c>
      <c r="D100" s="217">
        <v>153.51939849999999</v>
      </c>
      <c r="E100" s="217">
        <v>25.664842270000001</v>
      </c>
      <c r="F100" s="217">
        <v>232.3329928</v>
      </c>
      <c r="G100" s="217">
        <f t="shared" si="16"/>
        <v>9.9476967560741786E-2</v>
      </c>
      <c r="H100" s="217">
        <f t="shared" si="17"/>
        <v>0.90052303243925824</v>
      </c>
      <c r="I100" s="888">
        <f t="shared" si="18"/>
        <v>10.393198045470911</v>
      </c>
      <c r="J100" s="888">
        <f t="shared" si="19"/>
        <v>94.085238524529103</v>
      </c>
      <c r="K100" s="217">
        <f t="shared" si="20"/>
        <v>9.3538782409238195</v>
      </c>
      <c r="L100" s="217">
        <f t="shared" si="21"/>
        <v>11.432517850018003</v>
      </c>
      <c r="M100" s="217">
        <f t="shared" si="22"/>
        <v>84.676714672076201</v>
      </c>
      <c r="N100" s="217">
        <f t="shared" si="23"/>
        <v>103.49376237698202</v>
      </c>
      <c r="O100">
        <v>1</v>
      </c>
      <c r="P100">
        <v>1</v>
      </c>
      <c r="Q100">
        <v>2</v>
      </c>
      <c r="R100">
        <v>2</v>
      </c>
      <c r="S100">
        <v>2</v>
      </c>
    </row>
    <row r="101" spans="1:19">
      <c r="A101" s="858" t="s">
        <v>180</v>
      </c>
      <c r="B101" s="858">
        <v>2022</v>
      </c>
      <c r="C101" s="858" t="s">
        <v>93</v>
      </c>
      <c r="D101" s="217">
        <v>20.63470693</v>
      </c>
      <c r="E101" s="217">
        <v>7.2385863779999999</v>
      </c>
      <c r="F101" s="217">
        <v>24.117724599999999</v>
      </c>
      <c r="G101" s="217">
        <f t="shared" si="16"/>
        <v>0.23084942559342161</v>
      </c>
      <c r="H101" s="217">
        <f t="shared" si="17"/>
        <v>0.76915057440657841</v>
      </c>
      <c r="I101" s="888">
        <f t="shared" si="18"/>
        <v>2.4750761359209035</v>
      </c>
      <c r="J101" s="888">
        <f t="shared" si="19"/>
        <v>8.2465279120790953</v>
      </c>
      <c r="K101" s="217">
        <f t="shared" si="20"/>
        <v>2.2275685223288133</v>
      </c>
      <c r="L101" s="217">
        <f t="shared" si="21"/>
        <v>2.7225837495129941</v>
      </c>
      <c r="M101" s="217">
        <f t="shared" si="22"/>
        <v>7.4218751208711859</v>
      </c>
      <c r="N101" s="217">
        <f t="shared" si="23"/>
        <v>9.0711807032870055</v>
      </c>
      <c r="O101">
        <v>1</v>
      </c>
      <c r="P101">
        <v>1</v>
      </c>
      <c r="Q101">
        <v>2</v>
      </c>
      <c r="R101">
        <v>2</v>
      </c>
      <c r="S101">
        <v>2</v>
      </c>
    </row>
    <row r="102" spans="1:19">
      <c r="A102" s="858" t="s">
        <v>180</v>
      </c>
      <c r="B102" s="858">
        <v>2022</v>
      </c>
      <c r="C102" s="858" t="s">
        <v>90</v>
      </c>
      <c r="D102" s="217">
        <v>13.020417070000001</v>
      </c>
      <c r="E102" s="217">
        <v>4.393412573</v>
      </c>
      <c r="F102" s="217">
        <v>15.46486075</v>
      </c>
      <c r="G102" s="217">
        <f t="shared" si="16"/>
        <v>0.22123839779723029</v>
      </c>
      <c r="H102" s="217">
        <f t="shared" si="17"/>
        <v>0.77876160220276969</v>
      </c>
      <c r="I102" s="888">
        <f t="shared" si="18"/>
        <v>1.5127963617814921</v>
      </c>
      <c r="J102" s="888">
        <f t="shared" si="19"/>
        <v>5.3250598912185065</v>
      </c>
      <c r="K102" s="217">
        <f t="shared" si="20"/>
        <v>1.3615167256033429</v>
      </c>
      <c r="L102" s="217">
        <f t="shared" si="21"/>
        <v>1.6640759979596416</v>
      </c>
      <c r="M102" s="217">
        <f t="shared" si="22"/>
        <v>4.7925539020966559</v>
      </c>
      <c r="N102" s="217">
        <f t="shared" si="23"/>
        <v>5.8575658803403581</v>
      </c>
      <c r="O102">
        <v>1</v>
      </c>
      <c r="P102">
        <v>1</v>
      </c>
      <c r="Q102">
        <v>2</v>
      </c>
      <c r="R102">
        <v>2</v>
      </c>
      <c r="S102">
        <v>2</v>
      </c>
    </row>
    <row r="103" spans="1:19">
      <c r="A103" s="858" t="s">
        <v>180</v>
      </c>
      <c r="B103" s="858">
        <v>2022</v>
      </c>
      <c r="C103" s="858" t="s">
        <v>92</v>
      </c>
      <c r="D103" s="217">
        <v>23.736616919999999</v>
      </c>
      <c r="E103" s="217">
        <v>5.709648864</v>
      </c>
      <c r="F103" s="217">
        <v>31.254233500000002</v>
      </c>
      <c r="G103" s="217">
        <f t="shared" si="16"/>
        <v>0.15446561613237797</v>
      </c>
      <c r="H103" s="217">
        <f t="shared" si="17"/>
        <v>0.84553438386762203</v>
      </c>
      <c r="I103" s="888">
        <f t="shared" si="18"/>
        <v>2.0431577065539721</v>
      </c>
      <c r="J103" s="888">
        <f t="shared" si="19"/>
        <v>11.18410773744603</v>
      </c>
      <c r="K103" s="217">
        <f t="shared" si="20"/>
        <v>1.838841935898575</v>
      </c>
      <c r="L103" s="217">
        <f t="shared" si="21"/>
        <v>2.2474734772093696</v>
      </c>
      <c r="M103" s="217">
        <f t="shared" si="22"/>
        <v>10.065696963701427</v>
      </c>
      <c r="N103" s="217">
        <f t="shared" si="23"/>
        <v>12.302518511190634</v>
      </c>
      <c r="O103">
        <v>1</v>
      </c>
      <c r="P103">
        <v>1</v>
      </c>
      <c r="Q103">
        <v>2</v>
      </c>
      <c r="R103">
        <v>2</v>
      </c>
      <c r="S103">
        <v>2</v>
      </c>
    </row>
    <row r="105" spans="1:19">
      <c r="A105" t="s">
        <v>2005</v>
      </c>
    </row>
    <row r="106" spans="1:19" s="1013" customFormat="1">
      <c r="A106" s="1011" t="s">
        <v>1998</v>
      </c>
    </row>
    <row r="107" spans="1:19" s="1013" customFormat="1" ht="15" thickBot="1"/>
    <row r="108" spans="1:19">
      <c r="A108" s="858" t="s">
        <v>1005</v>
      </c>
      <c r="B108" s="858" t="s">
        <v>101</v>
      </c>
      <c r="C108" s="858" t="s">
        <v>102</v>
      </c>
      <c r="D108" t="s">
        <v>245</v>
      </c>
      <c r="E108" t="s">
        <v>1993</v>
      </c>
      <c r="F108" t="s">
        <v>506</v>
      </c>
      <c r="G108" t="s">
        <v>2001</v>
      </c>
      <c r="H108" t="s">
        <v>2002</v>
      </c>
      <c r="I108" s="858" t="s">
        <v>1996</v>
      </c>
      <c r="J108" s="858" t="s">
        <v>2003</v>
      </c>
      <c r="K108" s="858" t="s">
        <v>2016</v>
      </c>
      <c r="L108" s="858" t="s">
        <v>2014</v>
      </c>
      <c r="M108" s="858" t="s">
        <v>2133</v>
      </c>
      <c r="N108" s="858" t="s">
        <v>2134</v>
      </c>
      <c r="O108" s="416" t="s">
        <v>105</v>
      </c>
      <c r="P108" s="417" t="s">
        <v>65</v>
      </c>
      <c r="Q108" s="417" t="s">
        <v>67</v>
      </c>
      <c r="R108" s="417" t="s">
        <v>73</v>
      </c>
      <c r="S108" s="418" t="s">
        <v>79</v>
      </c>
    </row>
    <row r="109" spans="1:19">
      <c r="A109" s="858" t="s">
        <v>182</v>
      </c>
      <c r="B109" s="858">
        <v>2011</v>
      </c>
      <c r="C109" s="858" t="s">
        <v>99</v>
      </c>
      <c r="D109" s="217">
        <v>15.08742638</v>
      </c>
      <c r="E109" s="217">
        <v>154.79480140000001</v>
      </c>
      <c r="F109" s="217">
        <v>31.04052914</v>
      </c>
      <c r="G109" s="217">
        <f t="shared" ref="G109:G140" si="24">E109/(E109+F109)</f>
        <v>0.8329675576231792</v>
      </c>
      <c r="H109" s="217">
        <f t="shared" ref="H109:H140" si="25">1-G109</f>
        <v>0.1670324423768208</v>
      </c>
      <c r="I109" s="888">
        <f t="shared" ref="I109:I140" si="26">E109-(D109*G109)</f>
        <v>142.22746469743188</v>
      </c>
      <c r="J109" s="888">
        <f t="shared" ref="J109:J140" si="27">F109-(D109*H109)</f>
        <v>28.520439462568124</v>
      </c>
      <c r="K109" s="217">
        <f t="shared" ref="K109:K140" si="28">I109*$B$5</f>
        <v>128.0047182276887</v>
      </c>
      <c r="L109" s="217">
        <f t="shared" ref="L109:L140" si="29">I109*$B$4</f>
        <v>156.4502111671751</v>
      </c>
      <c r="M109" s="217">
        <f t="shared" ref="M109:M140" si="30">J109*$B$7</f>
        <v>32.972480062675011</v>
      </c>
      <c r="N109" s="217">
        <f t="shared" ref="N109:N140" si="31">J109*$B$6</f>
        <v>38.944660086136778</v>
      </c>
      <c r="O109">
        <v>1</v>
      </c>
      <c r="P109">
        <v>1</v>
      </c>
      <c r="Q109">
        <v>2</v>
      </c>
      <c r="R109">
        <v>2</v>
      </c>
      <c r="S109">
        <v>2</v>
      </c>
    </row>
    <row r="110" spans="1:19">
      <c r="A110" s="858" t="s">
        <v>182</v>
      </c>
      <c r="B110" s="858">
        <v>2011</v>
      </c>
      <c r="C110" s="858" t="s">
        <v>98</v>
      </c>
      <c r="D110" s="217">
        <v>29.651739729999999</v>
      </c>
      <c r="E110" s="217">
        <v>284.40419350000002</v>
      </c>
      <c r="F110" s="217">
        <v>56.096029889999997</v>
      </c>
      <c r="G110" s="217">
        <f t="shared" si="24"/>
        <v>0.83525405848045775</v>
      </c>
      <c r="H110" s="217">
        <f t="shared" si="25"/>
        <v>0.16474594151954225</v>
      </c>
      <c r="I110" s="888">
        <f t="shared" si="26"/>
        <v>259.63745754951128</v>
      </c>
      <c r="J110" s="888">
        <f t="shared" si="27"/>
        <v>51.211026110488731</v>
      </c>
      <c r="K110" s="217">
        <f t="shared" si="28"/>
        <v>233.67371179456015</v>
      </c>
      <c r="L110" s="217">
        <f t="shared" si="29"/>
        <v>285.60120330446244</v>
      </c>
      <c r="M110" s="217">
        <f t="shared" si="30"/>
        <v>59.205067286336032</v>
      </c>
      <c r="N110" s="217">
        <f t="shared" si="31"/>
        <v>69.928656153872367</v>
      </c>
      <c r="O110">
        <v>1</v>
      </c>
      <c r="P110">
        <v>1</v>
      </c>
      <c r="Q110">
        <v>2</v>
      </c>
      <c r="R110">
        <v>2</v>
      </c>
      <c r="S110">
        <v>2</v>
      </c>
    </row>
    <row r="111" spans="1:19">
      <c r="A111" s="858" t="s">
        <v>182</v>
      </c>
      <c r="B111" s="858">
        <v>2011</v>
      </c>
      <c r="C111" s="858" t="s">
        <v>95</v>
      </c>
      <c r="D111" s="217">
        <v>42.148068649999999</v>
      </c>
      <c r="E111" s="217">
        <v>344.29726210000001</v>
      </c>
      <c r="F111" s="217">
        <v>100.021653</v>
      </c>
      <c r="G111" s="217">
        <f t="shared" si="24"/>
        <v>0.77488769980119176</v>
      </c>
      <c r="H111" s="217">
        <f t="shared" si="25"/>
        <v>0.22511230019880824</v>
      </c>
      <c r="I111" s="888">
        <f t="shared" si="26"/>
        <v>311.63724213273878</v>
      </c>
      <c r="J111" s="888">
        <f t="shared" si="27"/>
        <v>90.533604317261222</v>
      </c>
      <c r="K111" s="217">
        <f t="shared" si="28"/>
        <v>280.47351791946488</v>
      </c>
      <c r="L111" s="217">
        <f t="shared" si="29"/>
        <v>342.80096634601267</v>
      </c>
      <c r="M111" s="217">
        <f t="shared" si="30"/>
        <v>104.66589995118571</v>
      </c>
      <c r="N111" s="217">
        <f t="shared" si="31"/>
        <v>123.62363669522021</v>
      </c>
      <c r="O111">
        <v>1</v>
      </c>
      <c r="P111">
        <v>1</v>
      </c>
      <c r="Q111">
        <v>2</v>
      </c>
      <c r="R111">
        <v>2</v>
      </c>
      <c r="S111">
        <v>2</v>
      </c>
    </row>
    <row r="112" spans="1:19">
      <c r="A112" s="858" t="s">
        <v>182</v>
      </c>
      <c r="B112" s="858">
        <v>2011</v>
      </c>
      <c r="C112" s="858" t="s">
        <v>91</v>
      </c>
      <c r="D112" s="217">
        <v>158.32008310000001</v>
      </c>
      <c r="E112" s="217">
        <v>1556.854681</v>
      </c>
      <c r="F112" s="217">
        <v>265.83068479999997</v>
      </c>
      <c r="G112" s="217">
        <f t="shared" si="24"/>
        <v>0.85415437585228893</v>
      </c>
      <c r="H112" s="217">
        <f t="shared" si="25"/>
        <v>0.14584562414771107</v>
      </c>
      <c r="I112" s="888">
        <f t="shared" si="26"/>
        <v>1421.6248892348369</v>
      </c>
      <c r="J112" s="888">
        <f t="shared" si="27"/>
        <v>242.74039346516298</v>
      </c>
      <c r="K112" s="217">
        <f t="shared" si="28"/>
        <v>1279.4624003113533</v>
      </c>
      <c r="L112" s="217">
        <f t="shared" si="29"/>
        <v>1563.7873781583207</v>
      </c>
      <c r="M112" s="217">
        <f t="shared" si="30"/>
        <v>280.63216888507498</v>
      </c>
      <c r="N112" s="217">
        <f t="shared" si="31"/>
        <v>331.46200727668008</v>
      </c>
      <c r="O112">
        <v>1</v>
      </c>
      <c r="P112">
        <v>1</v>
      </c>
      <c r="Q112">
        <v>2</v>
      </c>
      <c r="R112">
        <v>2</v>
      </c>
      <c r="S112">
        <v>2</v>
      </c>
    </row>
    <row r="113" spans="1:19">
      <c r="A113" s="858" t="s">
        <v>182</v>
      </c>
      <c r="B113" s="858">
        <v>2011</v>
      </c>
      <c r="C113" s="858" t="s">
        <v>93</v>
      </c>
      <c r="D113" s="217">
        <v>33.500468339999998</v>
      </c>
      <c r="E113" s="217">
        <v>193.65664330000001</v>
      </c>
      <c r="F113" s="217">
        <v>75.589643609999996</v>
      </c>
      <c r="G113" s="217">
        <f t="shared" si="24"/>
        <v>0.71925464793775573</v>
      </c>
      <c r="H113" s="217">
        <f t="shared" si="25"/>
        <v>0.28074535206224427</v>
      </c>
      <c r="I113" s="888">
        <f t="shared" si="26"/>
        <v>169.56127573836338</v>
      </c>
      <c r="J113" s="888">
        <f t="shared" si="27"/>
        <v>66.184542831636634</v>
      </c>
      <c r="K113" s="217">
        <f t="shared" si="28"/>
        <v>152.60514816452704</v>
      </c>
      <c r="L113" s="217">
        <f t="shared" si="29"/>
        <v>186.51740331219972</v>
      </c>
      <c r="M113" s="217">
        <f t="shared" si="30"/>
        <v>76.515949967655118</v>
      </c>
      <c r="N113" s="217">
        <f t="shared" si="31"/>
        <v>90.374993236599835</v>
      </c>
      <c r="O113">
        <v>1</v>
      </c>
      <c r="P113">
        <v>1</v>
      </c>
      <c r="Q113">
        <v>2</v>
      </c>
      <c r="R113">
        <v>2</v>
      </c>
      <c r="S113">
        <v>2</v>
      </c>
    </row>
    <row r="114" spans="1:19">
      <c r="A114" s="858" t="s">
        <v>182</v>
      </c>
      <c r="B114" s="858">
        <v>2011</v>
      </c>
      <c r="C114" s="858" t="s">
        <v>90</v>
      </c>
      <c r="D114" s="217">
        <v>20.625658730000001</v>
      </c>
      <c r="E114" s="217">
        <v>125.237415</v>
      </c>
      <c r="F114" s="217">
        <v>45.630431780000002</v>
      </c>
      <c r="G114" s="217">
        <f t="shared" si="24"/>
        <v>0.7329489857810918</v>
      </c>
      <c r="H114" s="217">
        <f t="shared" si="25"/>
        <v>0.2670510142189082</v>
      </c>
      <c r="I114" s="888">
        <f t="shared" si="26"/>
        <v>110.11985935277957</v>
      </c>
      <c r="J114" s="888">
        <f t="shared" si="27"/>
        <v>40.122328697220425</v>
      </c>
      <c r="K114" s="217">
        <f t="shared" si="28"/>
        <v>99.107873417501622</v>
      </c>
      <c r="L114" s="217">
        <f t="shared" si="29"/>
        <v>121.13184528805753</v>
      </c>
      <c r="M114" s="217">
        <f t="shared" si="30"/>
        <v>46.385424206856541</v>
      </c>
      <c r="N114" s="217">
        <f t="shared" si="31"/>
        <v>54.787039836054497</v>
      </c>
      <c r="O114">
        <v>1</v>
      </c>
      <c r="P114">
        <v>1</v>
      </c>
      <c r="Q114">
        <v>2</v>
      </c>
      <c r="R114">
        <v>2</v>
      </c>
      <c r="S114">
        <v>2</v>
      </c>
    </row>
    <row r="115" spans="1:19">
      <c r="A115" s="858" t="s">
        <v>182</v>
      </c>
      <c r="B115" s="858">
        <v>2011</v>
      </c>
      <c r="C115" s="858" t="s">
        <v>92</v>
      </c>
      <c r="D115" s="217">
        <v>30.545550840000001</v>
      </c>
      <c r="E115" s="217">
        <v>265.05502430000001</v>
      </c>
      <c r="F115" s="217">
        <v>55.296749079999998</v>
      </c>
      <c r="G115" s="217">
        <f t="shared" si="24"/>
        <v>0.82738741073111777</v>
      </c>
      <c r="H115" s="217">
        <f t="shared" si="25"/>
        <v>0.17261258926888223</v>
      </c>
      <c r="I115" s="888">
        <f t="shared" si="26"/>
        <v>239.78202008113669</v>
      </c>
      <c r="J115" s="888">
        <f t="shared" si="27"/>
        <v>50.024202458863314</v>
      </c>
      <c r="K115" s="217">
        <f t="shared" si="28"/>
        <v>215.80381807302302</v>
      </c>
      <c r="L115" s="217">
        <f t="shared" si="29"/>
        <v>263.76022208925036</v>
      </c>
      <c r="M115" s="217">
        <f t="shared" si="30"/>
        <v>57.832980462691886</v>
      </c>
      <c r="N115" s="217">
        <f t="shared" si="31"/>
        <v>68.308048457577868</v>
      </c>
      <c r="O115">
        <v>1</v>
      </c>
      <c r="P115">
        <v>1</v>
      </c>
      <c r="Q115">
        <v>2</v>
      </c>
      <c r="R115">
        <v>2</v>
      </c>
      <c r="S115">
        <v>2</v>
      </c>
    </row>
    <row r="116" spans="1:19">
      <c r="A116" s="858" t="s">
        <v>182</v>
      </c>
      <c r="B116" s="858">
        <v>2012</v>
      </c>
      <c r="C116" s="858" t="s">
        <v>99</v>
      </c>
      <c r="D116" s="217">
        <v>14.663942860000001</v>
      </c>
      <c r="E116" s="217">
        <v>118.0618427</v>
      </c>
      <c r="F116" s="217">
        <v>29.262289840000001</v>
      </c>
      <c r="G116" s="217">
        <f t="shared" si="24"/>
        <v>0.80137476911968253</v>
      </c>
      <c r="H116" s="217">
        <f t="shared" si="25"/>
        <v>0.19862523088031747</v>
      </c>
      <c r="I116" s="888">
        <f t="shared" si="26"/>
        <v>106.31052887618328</v>
      </c>
      <c r="J116" s="888">
        <f t="shared" si="27"/>
        <v>26.349660803816718</v>
      </c>
      <c r="K116" s="217">
        <f t="shared" si="28"/>
        <v>95.67947598856496</v>
      </c>
      <c r="L116" s="217">
        <f t="shared" si="29"/>
        <v>116.94158176380162</v>
      </c>
      <c r="M116" s="217">
        <f t="shared" si="30"/>
        <v>30.462842855292511</v>
      </c>
      <c r="N116" s="217">
        <f t="shared" si="31"/>
        <v>35.980461827611734</v>
      </c>
      <c r="O116">
        <v>1</v>
      </c>
      <c r="P116">
        <v>1</v>
      </c>
      <c r="Q116">
        <v>2</v>
      </c>
      <c r="R116">
        <v>2</v>
      </c>
      <c r="S116">
        <v>2</v>
      </c>
    </row>
    <row r="117" spans="1:19">
      <c r="A117" s="858" t="s">
        <v>182</v>
      </c>
      <c r="B117" s="858">
        <v>2012</v>
      </c>
      <c r="C117" s="858" t="s">
        <v>98</v>
      </c>
      <c r="D117" s="217">
        <v>29.374202709999999</v>
      </c>
      <c r="E117" s="217">
        <v>231.35441180000001</v>
      </c>
      <c r="F117" s="217">
        <v>48.807084379999999</v>
      </c>
      <c r="G117" s="217">
        <f t="shared" si="24"/>
        <v>0.82578946412878196</v>
      </c>
      <c r="H117" s="217">
        <f t="shared" si="25"/>
        <v>0.17421053587121804</v>
      </c>
      <c r="I117" s="888">
        <f t="shared" si="26"/>
        <v>207.09750468489889</v>
      </c>
      <c r="J117" s="888">
        <f t="shared" si="27"/>
        <v>43.689788785101115</v>
      </c>
      <c r="K117" s="217">
        <f t="shared" si="28"/>
        <v>186.38775421640901</v>
      </c>
      <c r="L117" s="217">
        <f t="shared" si="29"/>
        <v>227.80725515338881</v>
      </c>
      <c r="M117" s="217">
        <f t="shared" si="30"/>
        <v>50.509764814455401</v>
      </c>
      <c r="N117" s="217">
        <f t="shared" si="31"/>
        <v>59.658406586055577</v>
      </c>
      <c r="O117">
        <v>1</v>
      </c>
      <c r="P117">
        <v>1</v>
      </c>
      <c r="Q117">
        <v>2</v>
      </c>
      <c r="R117">
        <v>2</v>
      </c>
      <c r="S117">
        <v>2</v>
      </c>
    </row>
    <row r="118" spans="1:19">
      <c r="A118" s="858" t="s">
        <v>182</v>
      </c>
      <c r="B118" s="858">
        <v>2012</v>
      </c>
      <c r="C118" s="858" t="s">
        <v>95</v>
      </c>
      <c r="D118" s="217">
        <v>38.307417479999998</v>
      </c>
      <c r="E118" s="217">
        <v>255.0306353</v>
      </c>
      <c r="F118" s="217">
        <v>86.77579772</v>
      </c>
      <c r="G118" s="217">
        <f t="shared" si="24"/>
        <v>0.74612590830049563</v>
      </c>
      <c r="H118" s="217">
        <f t="shared" si="25"/>
        <v>0.25387409169950437</v>
      </c>
      <c r="I118" s="888">
        <f t="shared" si="26"/>
        <v>226.44847863808872</v>
      </c>
      <c r="J118" s="888">
        <f t="shared" si="27"/>
        <v>77.050536901911286</v>
      </c>
      <c r="K118" s="217">
        <f t="shared" si="28"/>
        <v>203.80363077427984</v>
      </c>
      <c r="L118" s="217">
        <f t="shared" si="29"/>
        <v>249.09332650189762</v>
      </c>
      <c r="M118" s="217">
        <f t="shared" si="30"/>
        <v>89.078125712299652</v>
      </c>
      <c r="N118" s="217">
        <f t="shared" si="31"/>
        <v>105.21250813955987</v>
      </c>
      <c r="O118">
        <v>1</v>
      </c>
      <c r="P118">
        <v>1</v>
      </c>
      <c r="Q118">
        <v>2</v>
      </c>
      <c r="R118">
        <v>2</v>
      </c>
      <c r="S118">
        <v>2</v>
      </c>
    </row>
    <row r="119" spans="1:19">
      <c r="A119" s="858" t="s">
        <v>182</v>
      </c>
      <c r="B119" s="858">
        <v>2012</v>
      </c>
      <c r="C119" s="858" t="s">
        <v>91</v>
      </c>
      <c r="D119" s="217">
        <v>166.03043750000001</v>
      </c>
      <c r="E119" s="217">
        <v>1356.107812</v>
      </c>
      <c r="F119" s="217">
        <v>260.2123752</v>
      </c>
      <c r="G119" s="217">
        <f t="shared" si="24"/>
        <v>0.83900938857246243</v>
      </c>
      <c r="H119" s="217">
        <f t="shared" si="25"/>
        <v>0.16099061142753757</v>
      </c>
      <c r="I119" s="888">
        <f t="shared" si="26"/>
        <v>1216.8067161487065</v>
      </c>
      <c r="J119" s="888">
        <f t="shared" si="27"/>
        <v>233.48303355129343</v>
      </c>
      <c r="K119" s="217">
        <f t="shared" si="28"/>
        <v>1095.126044533836</v>
      </c>
      <c r="L119" s="217">
        <f t="shared" si="29"/>
        <v>1338.4873877635773</v>
      </c>
      <c r="M119" s="217">
        <f t="shared" si="30"/>
        <v>269.92973508865038</v>
      </c>
      <c r="N119" s="217">
        <f t="shared" si="31"/>
        <v>318.82108231429123</v>
      </c>
      <c r="O119">
        <v>1</v>
      </c>
      <c r="P119">
        <v>1</v>
      </c>
      <c r="Q119">
        <v>2</v>
      </c>
      <c r="R119">
        <v>2</v>
      </c>
      <c r="S119">
        <v>2</v>
      </c>
    </row>
    <row r="120" spans="1:19">
      <c r="A120" s="858" t="s">
        <v>182</v>
      </c>
      <c r="B120" s="858">
        <v>2012</v>
      </c>
      <c r="C120" s="858" t="s">
        <v>93</v>
      </c>
      <c r="D120" s="217">
        <v>36.246891740000002</v>
      </c>
      <c r="E120" s="217">
        <v>176.59557899999999</v>
      </c>
      <c r="F120" s="217">
        <v>74.639026979999997</v>
      </c>
      <c r="G120" s="217">
        <f t="shared" si="24"/>
        <v>0.70291104329018361</v>
      </c>
      <c r="H120" s="217">
        <f t="shared" si="25"/>
        <v>0.29708895670981639</v>
      </c>
      <c r="I120" s="888">
        <f t="shared" si="26"/>
        <v>151.11723851101024</v>
      </c>
      <c r="J120" s="888">
        <f t="shared" si="27"/>
        <v>63.870475728989732</v>
      </c>
      <c r="K120" s="217">
        <f t="shared" si="28"/>
        <v>136.00551465990921</v>
      </c>
      <c r="L120" s="217">
        <f t="shared" si="29"/>
        <v>166.22896236211128</v>
      </c>
      <c r="M120" s="217">
        <f t="shared" si="30"/>
        <v>73.840656990285041</v>
      </c>
      <c r="N120" s="217">
        <f t="shared" si="31"/>
        <v>87.215134607935482</v>
      </c>
      <c r="O120">
        <v>1</v>
      </c>
      <c r="P120">
        <v>1</v>
      </c>
      <c r="Q120">
        <v>2</v>
      </c>
      <c r="R120">
        <v>2</v>
      </c>
      <c r="S120">
        <v>2</v>
      </c>
    </row>
    <row r="121" spans="1:19">
      <c r="A121" s="858" t="s">
        <v>182</v>
      </c>
      <c r="B121" s="858">
        <v>2012</v>
      </c>
      <c r="C121" s="858" t="s">
        <v>90</v>
      </c>
      <c r="D121" s="217">
        <v>22.32888148</v>
      </c>
      <c r="E121" s="217">
        <v>113.5729643</v>
      </c>
      <c r="F121" s="217">
        <v>44.925511829999998</v>
      </c>
      <c r="G121" s="217">
        <f t="shared" si="24"/>
        <v>0.71655555985817665</v>
      </c>
      <c r="H121" s="217">
        <f t="shared" si="25"/>
        <v>0.28344444014182335</v>
      </c>
      <c r="I121" s="888">
        <f t="shared" si="26"/>
        <v>97.573080130091725</v>
      </c>
      <c r="J121" s="888">
        <f t="shared" si="27"/>
        <v>38.596514519908268</v>
      </c>
      <c r="K121" s="217">
        <f t="shared" si="28"/>
        <v>87.81577211708256</v>
      </c>
      <c r="L121" s="217">
        <f t="shared" si="29"/>
        <v>107.3303881431009</v>
      </c>
      <c r="M121" s="217">
        <f t="shared" si="30"/>
        <v>44.621430436465957</v>
      </c>
      <c r="N121" s="217">
        <f t="shared" si="31"/>
        <v>52.703540576934749</v>
      </c>
      <c r="O121">
        <v>1</v>
      </c>
      <c r="P121">
        <v>1</v>
      </c>
      <c r="Q121">
        <v>2</v>
      </c>
      <c r="R121">
        <v>2</v>
      </c>
      <c r="S121">
        <v>2</v>
      </c>
    </row>
    <row r="122" spans="1:19">
      <c r="A122" s="858" t="s">
        <v>182</v>
      </c>
      <c r="B122" s="858">
        <v>2012</v>
      </c>
      <c r="C122" s="858" t="s">
        <v>92</v>
      </c>
      <c r="D122" s="217">
        <v>33.42803705</v>
      </c>
      <c r="E122" s="217">
        <v>233.94698829999999</v>
      </c>
      <c r="F122" s="217">
        <v>53.02809165</v>
      </c>
      <c r="G122" s="217">
        <f t="shared" si="24"/>
        <v>0.81521708554192518</v>
      </c>
      <c r="H122" s="217">
        <f t="shared" si="25"/>
        <v>0.18478291445807482</v>
      </c>
      <c r="I122" s="888">
        <f t="shared" si="26"/>
        <v>206.6958813607115</v>
      </c>
      <c r="J122" s="888">
        <f t="shared" si="27"/>
        <v>46.851161539288498</v>
      </c>
      <c r="K122" s="217">
        <f t="shared" si="28"/>
        <v>186.02629322464034</v>
      </c>
      <c r="L122" s="217">
        <f t="shared" si="29"/>
        <v>227.36546949678265</v>
      </c>
      <c r="M122" s="217">
        <f t="shared" si="30"/>
        <v>54.164627855571439</v>
      </c>
      <c r="N122" s="217">
        <f t="shared" si="31"/>
        <v>63.975261081898452</v>
      </c>
      <c r="O122">
        <v>1</v>
      </c>
      <c r="P122">
        <v>1</v>
      </c>
      <c r="Q122">
        <v>2</v>
      </c>
      <c r="R122">
        <v>2</v>
      </c>
      <c r="S122">
        <v>2</v>
      </c>
    </row>
    <row r="123" spans="1:19">
      <c r="A123" s="858" t="s">
        <v>182</v>
      </c>
      <c r="B123" s="858">
        <v>2013</v>
      </c>
      <c r="C123" s="858" t="s">
        <v>99</v>
      </c>
      <c r="D123" s="217">
        <v>14.45780019</v>
      </c>
      <c r="E123" s="217">
        <v>124.4614761</v>
      </c>
      <c r="F123" s="217">
        <v>27.701617980000002</v>
      </c>
      <c r="G123" s="217">
        <f t="shared" si="24"/>
        <v>0.81794785294365902</v>
      </c>
      <c r="H123" s="217">
        <f t="shared" si="25"/>
        <v>0.18205214705634098</v>
      </c>
      <c r="I123" s="888">
        <f t="shared" si="26"/>
        <v>112.63574947630107</v>
      </c>
      <c r="J123" s="888">
        <f t="shared" si="27"/>
        <v>25.069544413698928</v>
      </c>
      <c r="K123" s="217">
        <f t="shared" si="28"/>
        <v>101.37217452867097</v>
      </c>
      <c r="L123" s="217">
        <f t="shared" si="29"/>
        <v>123.89932442393119</v>
      </c>
      <c r="M123" s="217">
        <f t="shared" si="30"/>
        <v>28.982900296677332</v>
      </c>
      <c r="N123" s="217">
        <f t="shared" si="31"/>
        <v>34.232462896905894</v>
      </c>
      <c r="O123">
        <v>1</v>
      </c>
      <c r="P123">
        <v>1</v>
      </c>
      <c r="Q123">
        <v>2</v>
      </c>
      <c r="R123">
        <v>2</v>
      </c>
      <c r="S123">
        <v>2</v>
      </c>
    </row>
    <row r="124" spans="1:19">
      <c r="A124" s="858" t="s">
        <v>182</v>
      </c>
      <c r="B124" s="858">
        <v>2013</v>
      </c>
      <c r="C124" s="858" t="s">
        <v>98</v>
      </c>
      <c r="D124" s="217">
        <v>30.312925509999999</v>
      </c>
      <c r="E124" s="217">
        <v>241.3969587</v>
      </c>
      <c r="F124" s="217">
        <v>45.746551240000002</v>
      </c>
      <c r="G124" s="217">
        <f t="shared" si="24"/>
        <v>0.84068401459061726</v>
      </c>
      <c r="H124" s="217">
        <f t="shared" si="25"/>
        <v>0.15931598540938274</v>
      </c>
      <c r="I124" s="888">
        <f t="shared" si="26"/>
        <v>215.91336678826687</v>
      </c>
      <c r="J124" s="888">
        <f t="shared" si="27"/>
        <v>40.917217641733139</v>
      </c>
      <c r="K124" s="217">
        <f t="shared" si="28"/>
        <v>194.32203010944019</v>
      </c>
      <c r="L124" s="217">
        <f t="shared" si="29"/>
        <v>237.50470346709358</v>
      </c>
      <c r="M124" s="217">
        <f t="shared" si="30"/>
        <v>47.304395315607685</v>
      </c>
      <c r="N124" s="217">
        <f t="shared" si="31"/>
        <v>55.872460689786607</v>
      </c>
      <c r="O124">
        <v>1</v>
      </c>
      <c r="P124">
        <v>1</v>
      </c>
      <c r="Q124">
        <v>2</v>
      </c>
      <c r="R124">
        <v>2</v>
      </c>
      <c r="S124">
        <v>2</v>
      </c>
    </row>
    <row r="125" spans="1:19">
      <c r="A125" s="858" t="s">
        <v>182</v>
      </c>
      <c r="B125" s="858">
        <v>2013</v>
      </c>
      <c r="C125" s="858" t="s">
        <v>95</v>
      </c>
      <c r="D125" s="217">
        <v>38.561227850000002</v>
      </c>
      <c r="E125" s="217">
        <v>266.1203342</v>
      </c>
      <c r="F125" s="217">
        <v>82.569682510000007</v>
      </c>
      <c r="G125" s="217">
        <f t="shared" si="24"/>
        <v>0.76320032535180982</v>
      </c>
      <c r="H125" s="217">
        <f t="shared" si="25"/>
        <v>0.23679967464819018</v>
      </c>
      <c r="I125" s="888">
        <f t="shared" si="26"/>
        <v>236.69039255891474</v>
      </c>
      <c r="J125" s="888">
        <f t="shared" si="27"/>
        <v>73.438396301085277</v>
      </c>
      <c r="K125" s="217">
        <f t="shared" si="28"/>
        <v>213.02135330302326</v>
      </c>
      <c r="L125" s="217">
        <f t="shared" si="29"/>
        <v>260.35943181480621</v>
      </c>
      <c r="M125" s="217">
        <f t="shared" si="30"/>
        <v>84.9021299636847</v>
      </c>
      <c r="N125" s="217">
        <f t="shared" si="31"/>
        <v>100.28013014913196</v>
      </c>
      <c r="O125">
        <v>1</v>
      </c>
      <c r="P125">
        <v>1</v>
      </c>
      <c r="Q125">
        <v>2</v>
      </c>
      <c r="R125">
        <v>2</v>
      </c>
      <c r="S125">
        <v>2</v>
      </c>
    </row>
    <row r="126" spans="1:19">
      <c r="A126" s="858" t="s">
        <v>182</v>
      </c>
      <c r="B126" s="858">
        <v>2013</v>
      </c>
      <c r="C126" s="858" t="s">
        <v>91</v>
      </c>
      <c r="D126" s="217">
        <v>174.76059029999999</v>
      </c>
      <c r="E126" s="217">
        <v>1426.866741</v>
      </c>
      <c r="F126" s="217">
        <v>259.79608669999999</v>
      </c>
      <c r="G126" s="217">
        <f t="shared" si="24"/>
        <v>0.84597034900314483</v>
      </c>
      <c r="H126" s="217">
        <f t="shared" si="25"/>
        <v>0.15402965099685517</v>
      </c>
      <c r="I126" s="888">
        <f t="shared" si="26"/>
        <v>1279.0244634319135</v>
      </c>
      <c r="J126" s="888">
        <f t="shared" si="27"/>
        <v>232.87777396808659</v>
      </c>
      <c r="K126" s="217">
        <f t="shared" si="28"/>
        <v>1151.1220170887223</v>
      </c>
      <c r="L126" s="217">
        <f t="shared" si="29"/>
        <v>1406.9269097751051</v>
      </c>
      <c r="M126" s="217">
        <f t="shared" si="30"/>
        <v>269.22999448450491</v>
      </c>
      <c r="N126" s="217">
        <f t="shared" si="31"/>
        <v>317.99460035342224</v>
      </c>
      <c r="O126">
        <v>1</v>
      </c>
      <c r="P126">
        <v>1</v>
      </c>
      <c r="Q126">
        <v>2</v>
      </c>
      <c r="R126">
        <v>2</v>
      </c>
      <c r="S126">
        <v>2</v>
      </c>
    </row>
    <row r="127" spans="1:19">
      <c r="A127" s="858" t="s">
        <v>182</v>
      </c>
      <c r="B127" s="858">
        <v>2013</v>
      </c>
      <c r="C127" s="858" t="s">
        <v>93</v>
      </c>
      <c r="D127" s="217">
        <v>38.966978740000002</v>
      </c>
      <c r="E127" s="217">
        <v>182.33374789999999</v>
      </c>
      <c r="F127" s="217">
        <v>75.803505110000003</v>
      </c>
      <c r="G127" s="217">
        <f t="shared" si="24"/>
        <v>0.70634418617965444</v>
      </c>
      <c r="H127" s="217">
        <f t="shared" si="25"/>
        <v>0.29365581382034556</v>
      </c>
      <c r="I127" s="888">
        <f t="shared" si="26"/>
        <v>154.80964901401478</v>
      </c>
      <c r="J127" s="888">
        <f t="shared" si="27"/>
        <v>64.360625255985198</v>
      </c>
      <c r="K127" s="217">
        <f t="shared" si="28"/>
        <v>139.3286841126133</v>
      </c>
      <c r="L127" s="217">
        <f t="shared" si="29"/>
        <v>170.29061391541626</v>
      </c>
      <c r="M127" s="217">
        <f t="shared" si="30"/>
        <v>74.407318858444498</v>
      </c>
      <c r="N127" s="217">
        <f t="shared" si="31"/>
        <v>87.884433787047797</v>
      </c>
      <c r="O127">
        <v>1</v>
      </c>
      <c r="P127">
        <v>1</v>
      </c>
      <c r="Q127">
        <v>2</v>
      </c>
      <c r="R127">
        <v>2</v>
      </c>
      <c r="S127">
        <v>2</v>
      </c>
    </row>
    <row r="128" spans="1:19">
      <c r="A128" s="858" t="s">
        <v>182</v>
      </c>
      <c r="B128" s="858">
        <v>2013</v>
      </c>
      <c r="C128" s="858" t="s">
        <v>90</v>
      </c>
      <c r="D128" s="217">
        <v>23.959647100000002</v>
      </c>
      <c r="E128" s="217">
        <v>117.31112760000001</v>
      </c>
      <c r="F128" s="217">
        <v>45.564610389999999</v>
      </c>
      <c r="G128" s="217">
        <f t="shared" si="24"/>
        <v>0.72024924674295254</v>
      </c>
      <c r="H128" s="217">
        <f t="shared" si="25"/>
        <v>0.27975075325704746</v>
      </c>
      <c r="I128" s="888">
        <f t="shared" si="26"/>
        <v>100.05420982399804</v>
      </c>
      <c r="J128" s="888">
        <f t="shared" si="27"/>
        <v>38.861881066001963</v>
      </c>
      <c r="K128" s="217">
        <f t="shared" si="28"/>
        <v>90.048788841598238</v>
      </c>
      <c r="L128" s="217">
        <f t="shared" si="29"/>
        <v>110.05963080639785</v>
      </c>
      <c r="M128" s="217">
        <f t="shared" si="30"/>
        <v>44.928220700404871</v>
      </c>
      <c r="N128" s="217">
        <f t="shared" si="31"/>
        <v>53.06589859562569</v>
      </c>
      <c r="O128">
        <v>1</v>
      </c>
      <c r="P128">
        <v>1</v>
      </c>
      <c r="Q128">
        <v>2</v>
      </c>
      <c r="R128">
        <v>2</v>
      </c>
      <c r="S128">
        <v>2</v>
      </c>
    </row>
    <row r="129" spans="1:19">
      <c r="A129" s="858" t="s">
        <v>182</v>
      </c>
      <c r="B129" s="858">
        <v>2013</v>
      </c>
      <c r="C129" s="858" t="s">
        <v>92</v>
      </c>
      <c r="D129" s="217">
        <v>35.318847660000003</v>
      </c>
      <c r="E129" s="217">
        <v>242.25254770000001</v>
      </c>
      <c r="F129" s="217">
        <v>53.420065559999998</v>
      </c>
      <c r="G129" s="217">
        <f t="shared" si="24"/>
        <v>0.8193269746189682</v>
      </c>
      <c r="H129" s="217">
        <f t="shared" si="25"/>
        <v>0.1806730253810318</v>
      </c>
      <c r="I129" s="888">
        <f t="shared" si="26"/>
        <v>213.31486309970398</v>
      </c>
      <c r="J129" s="888">
        <f t="shared" si="27"/>
        <v>47.038902500296018</v>
      </c>
      <c r="K129" s="217">
        <f t="shared" si="28"/>
        <v>191.9833767897336</v>
      </c>
      <c r="L129" s="217">
        <f t="shared" si="29"/>
        <v>234.6463494096744</v>
      </c>
      <c r="M129" s="217">
        <f t="shared" si="30"/>
        <v>54.381675180592232</v>
      </c>
      <c r="N129" s="217">
        <f t="shared" si="31"/>
        <v>64.231621364154222</v>
      </c>
      <c r="O129">
        <v>1</v>
      </c>
      <c r="P129">
        <v>1</v>
      </c>
      <c r="Q129">
        <v>2</v>
      </c>
      <c r="R129">
        <v>2</v>
      </c>
      <c r="S129">
        <v>2</v>
      </c>
    </row>
    <row r="130" spans="1:19">
      <c r="A130" s="858" t="s">
        <v>182</v>
      </c>
      <c r="B130" s="858">
        <v>2014</v>
      </c>
      <c r="C130" s="858" t="s">
        <v>99</v>
      </c>
      <c r="D130" s="217">
        <v>15.16698133</v>
      </c>
      <c r="E130" s="217">
        <v>140.069447</v>
      </c>
      <c r="F130" s="217">
        <v>26.874755109999999</v>
      </c>
      <c r="G130" s="217">
        <f t="shared" si="24"/>
        <v>0.83901953604658797</v>
      </c>
      <c r="H130" s="217">
        <f t="shared" si="25"/>
        <v>0.16098046395341203</v>
      </c>
      <c r="I130" s="888">
        <f t="shared" si="26"/>
        <v>127.34405336127614</v>
      </c>
      <c r="J130" s="888">
        <f t="shared" si="27"/>
        <v>24.433167418723862</v>
      </c>
      <c r="K130" s="217">
        <f t="shared" si="28"/>
        <v>114.60964802514853</v>
      </c>
      <c r="L130" s="217">
        <f t="shared" si="29"/>
        <v>140.07845869740376</v>
      </c>
      <c r="M130" s="217">
        <f t="shared" si="30"/>
        <v>28.24718485278666</v>
      </c>
      <c r="N130" s="217">
        <f t="shared" si="31"/>
        <v>33.363490110267435</v>
      </c>
      <c r="O130">
        <v>1</v>
      </c>
      <c r="P130">
        <v>1</v>
      </c>
      <c r="Q130">
        <v>2</v>
      </c>
      <c r="R130">
        <v>2</v>
      </c>
      <c r="S130">
        <v>2</v>
      </c>
    </row>
    <row r="131" spans="1:19">
      <c r="A131" s="858" t="s">
        <v>182</v>
      </c>
      <c r="B131" s="858">
        <v>2014</v>
      </c>
      <c r="C131" s="858" t="s">
        <v>98</v>
      </c>
      <c r="D131" s="217">
        <v>31.699395190000001</v>
      </c>
      <c r="E131" s="217">
        <v>265.04560600000002</v>
      </c>
      <c r="F131" s="217">
        <v>48.022950489999999</v>
      </c>
      <c r="G131" s="217">
        <f t="shared" si="24"/>
        <v>0.8466056411783599</v>
      </c>
      <c r="H131" s="217">
        <f t="shared" si="25"/>
        <v>0.1533943588216401</v>
      </c>
      <c r="I131" s="888">
        <f t="shared" si="26"/>
        <v>238.20871921020387</v>
      </c>
      <c r="J131" s="888">
        <f t="shared" si="27"/>
        <v>43.16044208979617</v>
      </c>
      <c r="K131" s="217">
        <f t="shared" si="28"/>
        <v>214.3878472891835</v>
      </c>
      <c r="L131" s="217">
        <f t="shared" si="29"/>
        <v>262.02959113122427</v>
      </c>
      <c r="M131" s="217">
        <f t="shared" si="30"/>
        <v>49.89778710001336</v>
      </c>
      <c r="N131" s="217">
        <f t="shared" si="31"/>
        <v>58.935583673616676</v>
      </c>
      <c r="O131">
        <v>1</v>
      </c>
      <c r="P131">
        <v>1</v>
      </c>
      <c r="Q131">
        <v>2</v>
      </c>
      <c r="R131">
        <v>2</v>
      </c>
      <c r="S131">
        <v>2</v>
      </c>
    </row>
    <row r="132" spans="1:19">
      <c r="A132" s="858" t="s">
        <v>182</v>
      </c>
      <c r="B132" s="858">
        <v>2014</v>
      </c>
      <c r="C132" s="858" t="s">
        <v>95</v>
      </c>
      <c r="D132" s="217">
        <v>39.904926369999998</v>
      </c>
      <c r="E132" s="217">
        <v>292.05010800000002</v>
      </c>
      <c r="F132" s="217">
        <v>81.751262609999998</v>
      </c>
      <c r="G132" s="217">
        <f t="shared" si="24"/>
        <v>0.78129758465949029</v>
      </c>
      <c r="H132" s="217">
        <f t="shared" si="25"/>
        <v>0.21870241534050971</v>
      </c>
      <c r="I132" s="888">
        <f t="shared" si="26"/>
        <v>260.87248541110421</v>
      </c>
      <c r="J132" s="888">
        <f t="shared" si="27"/>
        <v>73.0239588288958</v>
      </c>
      <c r="K132" s="217">
        <f t="shared" si="28"/>
        <v>234.78523686999378</v>
      </c>
      <c r="L132" s="217">
        <f t="shared" si="29"/>
        <v>286.95973395221466</v>
      </c>
      <c r="M132" s="217">
        <f t="shared" si="30"/>
        <v>84.42299880208644</v>
      </c>
      <c r="N132" s="217">
        <f t="shared" si="31"/>
        <v>99.714215780857231</v>
      </c>
      <c r="O132">
        <v>1</v>
      </c>
      <c r="P132">
        <v>1</v>
      </c>
      <c r="Q132">
        <v>2</v>
      </c>
      <c r="R132">
        <v>2</v>
      </c>
      <c r="S132">
        <v>2</v>
      </c>
    </row>
    <row r="133" spans="1:19">
      <c r="A133" s="858" t="s">
        <v>182</v>
      </c>
      <c r="B133" s="858">
        <v>2014</v>
      </c>
      <c r="C133" s="858" t="s">
        <v>91</v>
      </c>
      <c r="D133" s="217">
        <v>186.45305920000001</v>
      </c>
      <c r="E133" s="217">
        <v>1561.442695</v>
      </c>
      <c r="F133" s="217">
        <v>259.88775650000002</v>
      </c>
      <c r="G133" s="217">
        <f t="shared" si="24"/>
        <v>0.85730883910387412</v>
      </c>
      <c r="H133" s="217">
        <f t="shared" si="25"/>
        <v>0.14269116089612588</v>
      </c>
      <c r="I133" s="888">
        <f t="shared" si="26"/>
        <v>1401.594839269882</v>
      </c>
      <c r="J133" s="888">
        <f t="shared" si="27"/>
        <v>233.28255303011792</v>
      </c>
      <c r="K133" s="217">
        <f t="shared" si="28"/>
        <v>1261.4353553428939</v>
      </c>
      <c r="L133" s="217">
        <f t="shared" si="29"/>
        <v>1541.7543231968702</v>
      </c>
      <c r="M133" s="217">
        <f t="shared" si="30"/>
        <v>269.69795955811935</v>
      </c>
      <c r="N133" s="217">
        <f t="shared" si="31"/>
        <v>318.54732616262606</v>
      </c>
      <c r="O133">
        <v>1</v>
      </c>
      <c r="P133">
        <v>1</v>
      </c>
      <c r="Q133">
        <v>2</v>
      </c>
      <c r="R133">
        <v>2</v>
      </c>
      <c r="S133">
        <v>2</v>
      </c>
    </row>
    <row r="134" spans="1:19">
      <c r="A134" s="858" t="s">
        <v>182</v>
      </c>
      <c r="B134" s="858">
        <v>2014</v>
      </c>
      <c r="C134" s="858" t="s">
        <v>93</v>
      </c>
      <c r="D134" s="217">
        <v>39.652465650000003</v>
      </c>
      <c r="E134" s="217">
        <v>196.34233850000001</v>
      </c>
      <c r="F134" s="217">
        <v>82.260608050000002</v>
      </c>
      <c r="G134" s="217">
        <f t="shared" si="24"/>
        <v>0.7047389158347005</v>
      </c>
      <c r="H134" s="217">
        <f t="shared" si="25"/>
        <v>0.2952610841652995</v>
      </c>
      <c r="I134" s="888">
        <f t="shared" si="26"/>
        <v>168.39770284764631</v>
      </c>
      <c r="J134" s="888">
        <f t="shared" si="27"/>
        <v>70.552778052353702</v>
      </c>
      <c r="K134" s="217">
        <f t="shared" si="28"/>
        <v>151.55793256288169</v>
      </c>
      <c r="L134" s="217">
        <f t="shared" si="29"/>
        <v>185.23747313241097</v>
      </c>
      <c r="M134" s="217">
        <f t="shared" si="30"/>
        <v>81.566066706326126</v>
      </c>
      <c r="N134" s="217">
        <f t="shared" si="31"/>
        <v>96.33981843048899</v>
      </c>
      <c r="O134">
        <v>1</v>
      </c>
      <c r="P134">
        <v>1</v>
      </c>
      <c r="Q134">
        <v>2</v>
      </c>
      <c r="R134">
        <v>2</v>
      </c>
      <c r="S134">
        <v>2</v>
      </c>
    </row>
    <row r="135" spans="1:19">
      <c r="A135" s="858" t="s">
        <v>182</v>
      </c>
      <c r="B135" s="858">
        <v>2014</v>
      </c>
      <c r="C135" s="858" t="s">
        <v>90</v>
      </c>
      <c r="D135" s="217">
        <v>24.42741929</v>
      </c>
      <c r="E135" s="217">
        <v>126.4339274</v>
      </c>
      <c r="F135" s="217">
        <v>49.461362649999998</v>
      </c>
      <c r="G135" s="217">
        <f t="shared" si="24"/>
        <v>0.71880223378386021</v>
      </c>
      <c r="H135" s="217">
        <f t="shared" si="25"/>
        <v>0.28119776621613979</v>
      </c>
      <c r="I135" s="888">
        <f t="shared" si="26"/>
        <v>108.87544384877305</v>
      </c>
      <c r="J135" s="888">
        <f t="shared" si="27"/>
        <v>42.592426911226951</v>
      </c>
      <c r="K135" s="217">
        <f t="shared" si="28"/>
        <v>97.987899463895744</v>
      </c>
      <c r="L135" s="217">
        <f t="shared" si="29"/>
        <v>119.76298823365036</v>
      </c>
      <c r="M135" s="217">
        <f t="shared" si="30"/>
        <v>49.241104752069482</v>
      </c>
      <c r="N135" s="217">
        <f t="shared" si="31"/>
        <v>58.159958947280408</v>
      </c>
      <c r="O135">
        <v>1</v>
      </c>
      <c r="P135">
        <v>1</v>
      </c>
      <c r="Q135">
        <v>2</v>
      </c>
      <c r="R135">
        <v>2</v>
      </c>
      <c r="S135">
        <v>2</v>
      </c>
    </row>
    <row r="136" spans="1:19">
      <c r="A136" s="858" t="s">
        <v>182</v>
      </c>
      <c r="B136" s="858">
        <v>2014</v>
      </c>
      <c r="C136" s="858" t="s">
        <v>92</v>
      </c>
      <c r="D136" s="217">
        <v>36.643188850000001</v>
      </c>
      <c r="E136" s="217">
        <v>261.37115139999997</v>
      </c>
      <c r="F136" s="217">
        <v>57.937369779999997</v>
      </c>
      <c r="G136" s="217">
        <f t="shared" si="24"/>
        <v>0.81855363719736229</v>
      </c>
      <c r="H136" s="217">
        <f t="shared" si="25"/>
        <v>0.18144636280263771</v>
      </c>
      <c r="I136" s="888">
        <f t="shared" si="26"/>
        <v>231.37673588832263</v>
      </c>
      <c r="J136" s="888">
        <f t="shared" si="27"/>
        <v>51.288596441677328</v>
      </c>
      <c r="K136" s="217">
        <f t="shared" si="28"/>
        <v>208.23906229949037</v>
      </c>
      <c r="L136" s="217">
        <f t="shared" si="29"/>
        <v>254.51440947715491</v>
      </c>
      <c r="M136" s="217">
        <f t="shared" si="30"/>
        <v>59.294746346223164</v>
      </c>
      <c r="N136" s="217">
        <f t="shared" si="31"/>
        <v>70.034578441110398</v>
      </c>
      <c r="O136">
        <v>1</v>
      </c>
      <c r="P136">
        <v>1</v>
      </c>
      <c r="Q136">
        <v>2</v>
      </c>
      <c r="R136">
        <v>2</v>
      </c>
      <c r="S136">
        <v>2</v>
      </c>
    </row>
    <row r="137" spans="1:19">
      <c r="A137" s="858" t="s">
        <v>182</v>
      </c>
      <c r="B137" s="858">
        <v>2015</v>
      </c>
      <c r="C137" s="858" t="s">
        <v>99</v>
      </c>
      <c r="D137" s="217">
        <v>15.266342310000001</v>
      </c>
      <c r="E137" s="217">
        <v>131.8081186</v>
      </c>
      <c r="F137" s="217">
        <v>24.36088462</v>
      </c>
      <c r="G137" s="217">
        <f t="shared" si="24"/>
        <v>0.8440094761590935</v>
      </c>
      <c r="H137" s="217">
        <f t="shared" si="25"/>
        <v>0.1559905238409065</v>
      </c>
      <c r="I137" s="888">
        <f t="shared" si="26"/>
        <v>118.9231810240715</v>
      </c>
      <c r="J137" s="888">
        <f t="shared" si="27"/>
        <v>21.979479885928505</v>
      </c>
      <c r="K137" s="217">
        <f t="shared" si="28"/>
        <v>107.03086292166435</v>
      </c>
      <c r="L137" s="217">
        <f t="shared" si="29"/>
        <v>130.81549912647867</v>
      </c>
      <c r="M137" s="217">
        <f t="shared" si="30"/>
        <v>25.410476696121947</v>
      </c>
      <c r="N137" s="217">
        <f t="shared" si="31"/>
        <v>30.012979784235377</v>
      </c>
      <c r="O137">
        <v>1</v>
      </c>
      <c r="P137">
        <v>1</v>
      </c>
      <c r="Q137">
        <v>2</v>
      </c>
      <c r="R137">
        <v>2</v>
      </c>
      <c r="S137">
        <v>2</v>
      </c>
    </row>
    <row r="138" spans="1:19">
      <c r="A138" s="858" t="s">
        <v>182</v>
      </c>
      <c r="B138" s="858">
        <v>2015</v>
      </c>
      <c r="C138" s="858" t="s">
        <v>98</v>
      </c>
      <c r="D138" s="217">
        <v>32.127243960000001</v>
      </c>
      <c r="E138" s="217">
        <v>243.84429309999999</v>
      </c>
      <c r="F138" s="217">
        <v>43.957239389999998</v>
      </c>
      <c r="G138" s="217">
        <f t="shared" si="24"/>
        <v>0.84726544362119627</v>
      </c>
      <c r="H138" s="217">
        <f t="shared" si="25"/>
        <v>0.15273455637880373</v>
      </c>
      <c r="I138" s="888">
        <f t="shared" si="26"/>
        <v>216.62398949390419</v>
      </c>
      <c r="J138" s="888">
        <f t="shared" si="27"/>
        <v>39.050299036095794</v>
      </c>
      <c r="K138" s="217">
        <f t="shared" si="28"/>
        <v>194.96159054451377</v>
      </c>
      <c r="L138" s="217">
        <f t="shared" si="29"/>
        <v>238.28638844329464</v>
      </c>
      <c r="M138" s="217">
        <f t="shared" si="30"/>
        <v>45.146050715630352</v>
      </c>
      <c r="N138" s="217">
        <f t="shared" si="31"/>
        <v>53.323183333788812</v>
      </c>
      <c r="O138">
        <v>1</v>
      </c>
      <c r="P138">
        <v>1</v>
      </c>
      <c r="Q138">
        <v>2</v>
      </c>
      <c r="R138">
        <v>2</v>
      </c>
      <c r="S138">
        <v>2</v>
      </c>
    </row>
    <row r="139" spans="1:19">
      <c r="A139" s="858" t="s">
        <v>182</v>
      </c>
      <c r="B139" s="858">
        <v>2015</v>
      </c>
      <c r="C139" s="858" t="s">
        <v>95</v>
      </c>
      <c r="D139" s="217">
        <v>40.49554724</v>
      </c>
      <c r="E139" s="217">
        <v>277.75861909999998</v>
      </c>
      <c r="F139" s="217">
        <v>75.043678139999997</v>
      </c>
      <c r="G139" s="217">
        <f t="shared" si="24"/>
        <v>0.78729254676890548</v>
      </c>
      <c r="H139" s="217">
        <f t="shared" si="25"/>
        <v>0.21270745323109452</v>
      </c>
      <c r="I139" s="888">
        <f t="shared" si="26"/>
        <v>245.87677658061986</v>
      </c>
      <c r="J139" s="888">
        <f t="shared" si="27"/>
        <v>66.429973419380119</v>
      </c>
      <c r="K139" s="217">
        <f t="shared" si="28"/>
        <v>221.28909892255788</v>
      </c>
      <c r="L139" s="217">
        <f t="shared" si="29"/>
        <v>270.46445423868187</v>
      </c>
      <c r="M139" s="217">
        <f t="shared" si="30"/>
        <v>76.799692270145357</v>
      </c>
      <c r="N139" s="217">
        <f t="shared" si="31"/>
        <v>90.710128704163566</v>
      </c>
      <c r="O139">
        <v>1</v>
      </c>
      <c r="P139">
        <v>1</v>
      </c>
      <c r="Q139">
        <v>2</v>
      </c>
      <c r="R139">
        <v>2</v>
      </c>
      <c r="S139">
        <v>2</v>
      </c>
    </row>
    <row r="140" spans="1:19">
      <c r="A140" s="858" t="s">
        <v>182</v>
      </c>
      <c r="B140" s="858">
        <v>2015</v>
      </c>
      <c r="C140" s="858" t="s">
        <v>91</v>
      </c>
      <c r="D140" s="217">
        <v>189.95740549999999</v>
      </c>
      <c r="E140" s="217">
        <v>1494.6702990000001</v>
      </c>
      <c r="F140" s="217">
        <v>235.98844209999999</v>
      </c>
      <c r="G140" s="217">
        <f t="shared" si="24"/>
        <v>0.86364241748202386</v>
      </c>
      <c r="H140" s="217">
        <f t="shared" si="25"/>
        <v>0.13635758251797614</v>
      </c>
      <c r="I140" s="888">
        <f t="shared" si="26"/>
        <v>1330.6150260953671</v>
      </c>
      <c r="J140" s="888">
        <f t="shared" si="27"/>
        <v>210.08630950463308</v>
      </c>
      <c r="K140" s="217">
        <f t="shared" si="28"/>
        <v>1197.5535234858303</v>
      </c>
      <c r="L140" s="217">
        <f t="shared" si="29"/>
        <v>1463.6765287049038</v>
      </c>
      <c r="M140" s="217">
        <f t="shared" si="30"/>
        <v>242.88078241830632</v>
      </c>
      <c r="N140" s="217">
        <f t="shared" si="31"/>
        <v>286.87285562857647</v>
      </c>
      <c r="O140">
        <v>1</v>
      </c>
      <c r="P140">
        <v>1</v>
      </c>
      <c r="Q140">
        <v>2</v>
      </c>
      <c r="R140">
        <v>2</v>
      </c>
      <c r="S140">
        <v>2</v>
      </c>
    </row>
    <row r="141" spans="1:19">
      <c r="A141" s="858" t="s">
        <v>182</v>
      </c>
      <c r="B141" s="858">
        <v>2015</v>
      </c>
      <c r="C141" s="858" t="s">
        <v>93</v>
      </c>
      <c r="D141" s="217">
        <v>38.770970310000003</v>
      </c>
      <c r="E141" s="217">
        <v>186.7543919</v>
      </c>
      <c r="F141" s="217">
        <v>78.899163889999997</v>
      </c>
      <c r="G141" s="217">
        <f t="shared" ref="G141:G172" si="32">E141/(E141+F141)</f>
        <v>0.70299978234671157</v>
      </c>
      <c r="H141" s="217">
        <f t="shared" ref="H141:H172" si="33">1-G141</f>
        <v>0.29700021765328843</v>
      </c>
      <c r="I141" s="888">
        <f t="shared" ref="I141:I172" si="34">E141-(D141*G141)</f>
        <v>159.49840821069918</v>
      </c>
      <c r="J141" s="888">
        <f t="shared" ref="J141:J172" si="35">F141-(D141*H141)</f>
        <v>67.384177269300807</v>
      </c>
      <c r="K141" s="217">
        <f t="shared" ref="K141:K172" si="36">I141*$B$5</f>
        <v>143.54856738962926</v>
      </c>
      <c r="L141" s="217">
        <f t="shared" ref="L141:L172" si="37">I141*$B$4</f>
        <v>175.44824903176911</v>
      </c>
      <c r="M141" s="217">
        <f t="shared" ref="M141:M172" si="38">J141*$B$7</f>
        <v>77.902847341038665</v>
      </c>
      <c r="N141" s="217">
        <f t="shared" ref="N141:N172" si="39">J141*$B$6</f>
        <v>92.013094061230262</v>
      </c>
      <c r="O141">
        <v>1</v>
      </c>
      <c r="P141">
        <v>1</v>
      </c>
      <c r="Q141">
        <v>2</v>
      </c>
      <c r="R141">
        <v>2</v>
      </c>
      <c r="S141">
        <v>2</v>
      </c>
    </row>
    <row r="142" spans="1:19">
      <c r="A142" s="858" t="s">
        <v>182</v>
      </c>
      <c r="B142" s="858">
        <v>2015</v>
      </c>
      <c r="C142" s="858" t="s">
        <v>90</v>
      </c>
      <c r="D142" s="217">
        <v>23.924247860000001</v>
      </c>
      <c r="E142" s="217">
        <v>119.7308529</v>
      </c>
      <c r="F142" s="217">
        <v>47.412957749999997</v>
      </c>
      <c r="G142" s="217">
        <f t="shared" si="32"/>
        <v>0.71633434965005682</v>
      </c>
      <c r="H142" s="217">
        <f t="shared" si="33"/>
        <v>0.28366565034994318</v>
      </c>
      <c r="I142" s="888">
        <f t="shared" si="34"/>
        <v>102.59309236834014</v>
      </c>
      <c r="J142" s="888">
        <f t="shared" si="35"/>
        <v>40.62647042165986</v>
      </c>
      <c r="K142" s="217">
        <f t="shared" si="36"/>
        <v>92.333783131506124</v>
      </c>
      <c r="L142" s="217">
        <f t="shared" si="37"/>
        <v>112.85240160517417</v>
      </c>
      <c r="M142" s="217">
        <f t="shared" si="38"/>
        <v>46.968262454480971</v>
      </c>
      <c r="N142" s="217">
        <f t="shared" si="39"/>
        <v>55.475445360776547</v>
      </c>
      <c r="O142">
        <v>1</v>
      </c>
      <c r="P142">
        <v>1</v>
      </c>
      <c r="Q142">
        <v>2</v>
      </c>
      <c r="R142">
        <v>2</v>
      </c>
      <c r="S142">
        <v>2</v>
      </c>
    </row>
    <row r="143" spans="1:19">
      <c r="A143" s="858" t="s">
        <v>182</v>
      </c>
      <c r="B143" s="858">
        <v>2015</v>
      </c>
      <c r="C143" s="858" t="s">
        <v>92</v>
      </c>
      <c r="D143" s="217">
        <v>36.435097800000001</v>
      </c>
      <c r="E143" s="217">
        <v>241.73989510000001</v>
      </c>
      <c r="F143" s="217">
        <v>55.302156859999997</v>
      </c>
      <c r="G143" s="217">
        <f t="shared" si="32"/>
        <v>0.81382381216701594</v>
      </c>
      <c r="H143" s="217">
        <f t="shared" si="33"/>
        <v>0.18617618783298406</v>
      </c>
      <c r="I143" s="888">
        <f t="shared" si="34"/>
        <v>212.08814491172595</v>
      </c>
      <c r="J143" s="888">
        <f t="shared" si="35"/>
        <v>48.518809248274053</v>
      </c>
      <c r="K143" s="217">
        <f t="shared" si="36"/>
        <v>190.87933042055334</v>
      </c>
      <c r="L143" s="217">
        <f t="shared" si="37"/>
        <v>233.29695940289855</v>
      </c>
      <c r="M143" s="217">
        <f t="shared" si="38"/>
        <v>56.09259537192964</v>
      </c>
      <c r="N143" s="217">
        <f t="shared" si="39"/>
        <v>66.252434028518223</v>
      </c>
      <c r="O143">
        <v>1</v>
      </c>
      <c r="P143">
        <v>1</v>
      </c>
      <c r="Q143">
        <v>2</v>
      </c>
      <c r="R143">
        <v>2</v>
      </c>
      <c r="S143">
        <v>2</v>
      </c>
    </row>
    <row r="144" spans="1:19">
      <c r="A144" s="858" t="s">
        <v>182</v>
      </c>
      <c r="B144" s="858">
        <v>2016</v>
      </c>
      <c r="C144" s="858" t="s">
        <v>99</v>
      </c>
      <c r="D144" s="217">
        <v>16.234604390000001</v>
      </c>
      <c r="E144" s="217">
        <v>137.5872952</v>
      </c>
      <c r="F144" s="217">
        <v>27.785029609999999</v>
      </c>
      <c r="G144" s="217">
        <f t="shared" si="32"/>
        <v>0.83198500933017139</v>
      </c>
      <c r="H144" s="217">
        <f t="shared" si="33"/>
        <v>0.16801499066982861</v>
      </c>
      <c r="I144" s="888">
        <f t="shared" si="34"/>
        <v>124.08034771511421</v>
      </c>
      <c r="J144" s="888">
        <f t="shared" si="35"/>
        <v>25.05737270488579</v>
      </c>
      <c r="K144" s="217">
        <f t="shared" si="36"/>
        <v>111.67231294360279</v>
      </c>
      <c r="L144" s="217">
        <f t="shared" si="37"/>
        <v>136.48838248662565</v>
      </c>
      <c r="M144" s="217">
        <f t="shared" si="38"/>
        <v>28.968828584118466</v>
      </c>
      <c r="N144" s="217">
        <f t="shared" si="39"/>
        <v>34.215842428521547</v>
      </c>
      <c r="O144">
        <v>1</v>
      </c>
      <c r="P144">
        <v>1</v>
      </c>
      <c r="Q144">
        <v>2</v>
      </c>
      <c r="R144">
        <v>2</v>
      </c>
      <c r="S144">
        <v>2</v>
      </c>
    </row>
    <row r="145" spans="1:19">
      <c r="A145" s="858" t="s">
        <v>182</v>
      </c>
      <c r="B145" s="858">
        <v>2016</v>
      </c>
      <c r="C145" s="858" t="s">
        <v>98</v>
      </c>
      <c r="D145" s="217">
        <v>33.777355710000002</v>
      </c>
      <c r="E145" s="217">
        <v>246.2700877</v>
      </c>
      <c r="F145" s="217">
        <v>43.456294489999998</v>
      </c>
      <c r="G145" s="217">
        <f t="shared" si="32"/>
        <v>0.85000919087340232</v>
      </c>
      <c r="H145" s="217">
        <f t="shared" si="33"/>
        <v>0.14999080912659768</v>
      </c>
      <c r="I145" s="888">
        <f t="shared" si="34"/>
        <v>217.55902490309981</v>
      </c>
      <c r="J145" s="888">
        <f t="shared" si="35"/>
        <v>38.39000157690019</v>
      </c>
      <c r="K145" s="217">
        <f t="shared" si="36"/>
        <v>195.80312241278983</v>
      </c>
      <c r="L145" s="217">
        <f t="shared" si="37"/>
        <v>239.31492739340982</v>
      </c>
      <c r="M145" s="217">
        <f t="shared" si="38"/>
        <v>44.382680823054315</v>
      </c>
      <c r="N145" s="217">
        <f t="shared" si="39"/>
        <v>52.421547153257215</v>
      </c>
      <c r="O145">
        <v>1</v>
      </c>
      <c r="P145">
        <v>1</v>
      </c>
      <c r="Q145">
        <v>2</v>
      </c>
      <c r="R145">
        <v>2</v>
      </c>
      <c r="S145">
        <v>2</v>
      </c>
    </row>
    <row r="146" spans="1:19">
      <c r="A146" s="858" t="s">
        <v>182</v>
      </c>
      <c r="B146" s="858">
        <v>2016</v>
      </c>
      <c r="C146" s="858" t="s">
        <v>95</v>
      </c>
      <c r="D146" s="217">
        <v>42.12284064</v>
      </c>
      <c r="E146" s="217">
        <v>289.55312179999999</v>
      </c>
      <c r="F146" s="217">
        <v>74.257375949999997</v>
      </c>
      <c r="G146" s="217">
        <f t="shared" si="32"/>
        <v>0.79588995807089791</v>
      </c>
      <c r="H146" s="217">
        <f t="shared" si="33"/>
        <v>0.20411004192910209</v>
      </c>
      <c r="I146" s="888">
        <f t="shared" si="34"/>
        <v>256.02797592920325</v>
      </c>
      <c r="J146" s="888">
        <f t="shared" si="35"/>
        <v>65.65968118079671</v>
      </c>
      <c r="K146" s="217">
        <f t="shared" si="36"/>
        <v>230.42517833628293</v>
      </c>
      <c r="L146" s="217">
        <f t="shared" si="37"/>
        <v>281.6307735221236</v>
      </c>
      <c r="M146" s="217">
        <f t="shared" si="38"/>
        <v>75.90915741311909</v>
      </c>
      <c r="N146" s="217">
        <f t="shared" si="39"/>
        <v>89.658294652377919</v>
      </c>
      <c r="O146">
        <v>1</v>
      </c>
      <c r="P146">
        <v>1</v>
      </c>
      <c r="Q146">
        <v>2</v>
      </c>
      <c r="R146">
        <v>2</v>
      </c>
      <c r="S146">
        <v>2</v>
      </c>
    </row>
    <row r="147" spans="1:19">
      <c r="A147" s="858" t="s">
        <v>182</v>
      </c>
      <c r="B147" s="858">
        <v>2016</v>
      </c>
      <c r="C147" s="858" t="s">
        <v>91</v>
      </c>
      <c r="D147" s="217">
        <v>200.48810539999999</v>
      </c>
      <c r="E147" s="217">
        <v>1549.222867</v>
      </c>
      <c r="F147" s="217">
        <v>247.1067505</v>
      </c>
      <c r="G147" s="217">
        <f t="shared" si="32"/>
        <v>0.86243796901600656</v>
      </c>
      <c r="H147" s="217">
        <f t="shared" si="33"/>
        <v>0.13756203098399344</v>
      </c>
      <c r="I147" s="888">
        <f t="shared" si="34"/>
        <v>1376.3143125669569</v>
      </c>
      <c r="J147" s="888">
        <f t="shared" si="35"/>
        <v>219.52719953304307</v>
      </c>
      <c r="K147" s="217">
        <f t="shared" si="36"/>
        <v>1238.6828813102613</v>
      </c>
      <c r="L147" s="217">
        <f t="shared" si="37"/>
        <v>1513.9457438236527</v>
      </c>
      <c r="M147" s="217">
        <f t="shared" si="38"/>
        <v>253.79539538015112</v>
      </c>
      <c r="N147" s="217">
        <f t="shared" si="39"/>
        <v>299.76439096237033</v>
      </c>
      <c r="O147">
        <v>1</v>
      </c>
      <c r="P147">
        <v>1</v>
      </c>
      <c r="Q147">
        <v>2</v>
      </c>
      <c r="R147">
        <v>2</v>
      </c>
      <c r="S147">
        <v>2</v>
      </c>
    </row>
    <row r="148" spans="1:19">
      <c r="A148" s="858" t="s">
        <v>182</v>
      </c>
      <c r="B148" s="858">
        <v>2016</v>
      </c>
      <c r="C148" s="858" t="s">
        <v>93</v>
      </c>
      <c r="D148" s="217">
        <v>38.525073329999998</v>
      </c>
      <c r="E148" s="217">
        <v>184.22361179999999</v>
      </c>
      <c r="F148" s="217">
        <v>78.473458320000006</v>
      </c>
      <c r="G148" s="217">
        <f t="shared" si="32"/>
        <v>0.70127775584191587</v>
      </c>
      <c r="H148" s="217">
        <f t="shared" si="33"/>
        <v>0.29872224415808413</v>
      </c>
      <c r="I148" s="888">
        <f t="shared" si="34"/>
        <v>157.20683483149236</v>
      </c>
      <c r="J148" s="888">
        <f t="shared" si="35"/>
        <v>66.96516195850765</v>
      </c>
      <c r="K148" s="217">
        <f t="shared" si="36"/>
        <v>141.48615134834313</v>
      </c>
      <c r="L148" s="217">
        <f t="shared" si="37"/>
        <v>172.92751831464162</v>
      </c>
      <c r="M148" s="217">
        <f t="shared" si="38"/>
        <v>77.418423740230708</v>
      </c>
      <c r="N148" s="217">
        <f t="shared" si="39"/>
        <v>91.440928654342201</v>
      </c>
      <c r="O148">
        <v>1</v>
      </c>
      <c r="P148">
        <v>1</v>
      </c>
      <c r="Q148">
        <v>2</v>
      </c>
      <c r="R148">
        <v>2</v>
      </c>
      <c r="S148">
        <v>2</v>
      </c>
    </row>
    <row r="149" spans="1:19">
      <c r="A149" s="858" t="s">
        <v>182</v>
      </c>
      <c r="B149" s="858">
        <v>2016</v>
      </c>
      <c r="C149" s="858" t="s">
        <v>90</v>
      </c>
      <c r="D149" s="217">
        <v>23.87659661</v>
      </c>
      <c r="E149" s="217">
        <v>118.13123659999999</v>
      </c>
      <c r="F149" s="217">
        <v>47.143342420000003</v>
      </c>
      <c r="G149" s="217">
        <f t="shared" si="32"/>
        <v>0.71475744969651289</v>
      </c>
      <c r="H149" s="217">
        <f t="shared" si="33"/>
        <v>0.28524255030348711</v>
      </c>
      <c r="I149" s="888">
        <f t="shared" si="34"/>
        <v>101.06526129960399</v>
      </c>
      <c r="J149" s="888">
        <f t="shared" si="35"/>
        <v>40.332721110396008</v>
      </c>
      <c r="K149" s="217">
        <f t="shared" si="36"/>
        <v>90.958735169643589</v>
      </c>
      <c r="L149" s="217">
        <f t="shared" si="37"/>
        <v>111.1717874295644</v>
      </c>
      <c r="M149" s="217">
        <f t="shared" si="38"/>
        <v>46.628658875728831</v>
      </c>
      <c r="N149" s="217">
        <f t="shared" si="39"/>
        <v>55.074330676245758</v>
      </c>
      <c r="O149">
        <v>1</v>
      </c>
      <c r="P149">
        <v>1</v>
      </c>
      <c r="Q149">
        <v>2</v>
      </c>
      <c r="R149">
        <v>2</v>
      </c>
      <c r="S149">
        <v>2</v>
      </c>
    </row>
    <row r="150" spans="1:19">
      <c r="A150" s="858" t="s">
        <v>182</v>
      </c>
      <c r="B150" s="858">
        <v>2016</v>
      </c>
      <c r="C150" s="858" t="s">
        <v>92</v>
      </c>
      <c r="D150" s="217">
        <v>37.7666495</v>
      </c>
      <c r="E150" s="217">
        <v>239.04981459999999</v>
      </c>
      <c r="F150" s="217">
        <v>54.729206179999998</v>
      </c>
      <c r="G150" s="217">
        <f t="shared" si="32"/>
        <v>0.81370621348423433</v>
      </c>
      <c r="H150" s="217">
        <f t="shared" si="33"/>
        <v>0.18629378651576567</v>
      </c>
      <c r="I150" s="888">
        <f t="shared" si="34"/>
        <v>208.31885723936875</v>
      </c>
      <c r="J150" s="888">
        <f t="shared" si="35"/>
        <v>47.69351404063125</v>
      </c>
      <c r="K150" s="217">
        <f t="shared" si="36"/>
        <v>187.48697151543189</v>
      </c>
      <c r="L150" s="217">
        <f t="shared" si="37"/>
        <v>229.15074296330565</v>
      </c>
      <c r="M150" s="217">
        <f t="shared" si="38"/>
        <v>55.138471582373796</v>
      </c>
      <c r="N150" s="217">
        <f t="shared" si="39"/>
        <v>65.125493422481981</v>
      </c>
      <c r="O150">
        <v>1</v>
      </c>
      <c r="P150">
        <v>1</v>
      </c>
      <c r="Q150">
        <v>2</v>
      </c>
      <c r="R150">
        <v>2</v>
      </c>
      <c r="S150">
        <v>2</v>
      </c>
    </row>
    <row r="151" spans="1:19">
      <c r="A151" s="858" t="s">
        <v>182</v>
      </c>
      <c r="B151" s="858">
        <v>2017</v>
      </c>
      <c r="C151" s="858" t="s">
        <v>99</v>
      </c>
      <c r="D151" s="217">
        <v>18.906032490000001</v>
      </c>
      <c r="E151" s="217">
        <v>146.54516190000001</v>
      </c>
      <c r="F151" s="217">
        <v>23.38092627</v>
      </c>
      <c r="G151" s="217">
        <f t="shared" si="32"/>
        <v>0.86240531679509447</v>
      </c>
      <c r="H151" s="217">
        <f t="shared" si="33"/>
        <v>0.13759468320490553</v>
      </c>
      <c r="I151" s="888">
        <f t="shared" si="34"/>
        <v>130.24049896112322</v>
      </c>
      <c r="J151" s="888">
        <f t="shared" si="35"/>
        <v>20.779556718876798</v>
      </c>
      <c r="K151" s="217">
        <f t="shared" si="36"/>
        <v>117.21644906501091</v>
      </c>
      <c r="L151" s="217">
        <f t="shared" si="37"/>
        <v>143.26454885723555</v>
      </c>
      <c r="M151" s="217">
        <f t="shared" si="38"/>
        <v>24.023245522693468</v>
      </c>
      <c r="N151" s="217">
        <f t="shared" si="39"/>
        <v>28.374484699626269</v>
      </c>
      <c r="O151">
        <v>1</v>
      </c>
      <c r="P151">
        <v>1</v>
      </c>
      <c r="Q151">
        <v>2</v>
      </c>
      <c r="R151">
        <v>2</v>
      </c>
      <c r="S151">
        <v>2</v>
      </c>
    </row>
    <row r="152" spans="1:19">
      <c r="A152" s="858" t="s">
        <v>182</v>
      </c>
      <c r="B152" s="858">
        <v>2017</v>
      </c>
      <c r="C152" s="858" t="s">
        <v>98</v>
      </c>
      <c r="D152" s="217">
        <v>37.261862579999999</v>
      </c>
      <c r="E152" s="217">
        <v>260.23631660000001</v>
      </c>
      <c r="F152" s="217">
        <v>42.353492520000003</v>
      </c>
      <c r="G152" s="217">
        <f t="shared" si="32"/>
        <v>0.86003001012104929</v>
      </c>
      <c r="H152" s="217">
        <f t="shared" si="33"/>
        <v>0.13996998987895071</v>
      </c>
      <c r="I152" s="888">
        <f t="shared" si="34"/>
        <v>228.18999654819345</v>
      </c>
      <c r="J152" s="888">
        <f t="shared" si="35"/>
        <v>37.137949991806551</v>
      </c>
      <c r="K152" s="217">
        <f t="shared" si="36"/>
        <v>205.3709968933741</v>
      </c>
      <c r="L152" s="217">
        <f t="shared" si="37"/>
        <v>251.00899620301283</v>
      </c>
      <c r="M152" s="217">
        <f t="shared" si="38"/>
        <v>42.935183985527559</v>
      </c>
      <c r="N152" s="217">
        <f t="shared" si="39"/>
        <v>50.711870713811848</v>
      </c>
      <c r="O152">
        <v>1</v>
      </c>
      <c r="P152">
        <v>1</v>
      </c>
      <c r="Q152">
        <v>2</v>
      </c>
      <c r="R152">
        <v>2</v>
      </c>
      <c r="S152">
        <v>2</v>
      </c>
    </row>
    <row r="153" spans="1:19">
      <c r="A153" s="858" t="s">
        <v>182</v>
      </c>
      <c r="B153" s="858">
        <v>2017</v>
      </c>
      <c r="C153" s="858" t="s">
        <v>95</v>
      </c>
      <c r="D153" s="217">
        <v>46.811498020000002</v>
      </c>
      <c r="E153" s="217">
        <v>306.63556069999998</v>
      </c>
      <c r="F153" s="217">
        <v>70.152138170000001</v>
      </c>
      <c r="G153" s="217">
        <f t="shared" si="32"/>
        <v>0.81381521111122046</v>
      </c>
      <c r="H153" s="217">
        <f t="shared" si="33"/>
        <v>0.18618478888877954</v>
      </c>
      <c r="I153" s="888">
        <f t="shared" si="34"/>
        <v>268.53965155642118</v>
      </c>
      <c r="J153" s="888">
        <f t="shared" si="35"/>
        <v>61.436549293578778</v>
      </c>
      <c r="K153" s="217">
        <f t="shared" si="36"/>
        <v>241.68568640077908</v>
      </c>
      <c r="L153" s="217">
        <f t="shared" si="37"/>
        <v>295.39361671206331</v>
      </c>
      <c r="M153" s="217">
        <f t="shared" si="38"/>
        <v>71.026794638306427</v>
      </c>
      <c r="N153" s="217">
        <f t="shared" si="39"/>
        <v>83.891608060381827</v>
      </c>
      <c r="O153">
        <v>1</v>
      </c>
      <c r="P153">
        <v>1</v>
      </c>
      <c r="Q153">
        <v>2</v>
      </c>
      <c r="R153">
        <v>2</v>
      </c>
      <c r="S153">
        <v>2</v>
      </c>
    </row>
    <row r="154" spans="1:19">
      <c r="A154" s="858" t="s">
        <v>182</v>
      </c>
      <c r="B154" s="858">
        <v>2017</v>
      </c>
      <c r="C154" s="858" t="s">
        <v>91</v>
      </c>
      <c r="D154" s="217">
        <v>224.15497980000001</v>
      </c>
      <c r="E154" s="217">
        <v>1622.2447179999999</v>
      </c>
      <c r="F154" s="217">
        <v>238.94343169999999</v>
      </c>
      <c r="G154" s="217">
        <f t="shared" si="32"/>
        <v>0.87161779869568012</v>
      </c>
      <c r="H154" s="217">
        <f t="shared" si="33"/>
        <v>0.12838220130431988</v>
      </c>
      <c r="I154" s="888">
        <f t="shared" si="34"/>
        <v>1426.8672479400493</v>
      </c>
      <c r="J154" s="888">
        <f t="shared" si="35"/>
        <v>210.16592195995062</v>
      </c>
      <c r="K154" s="217">
        <f t="shared" si="36"/>
        <v>1284.1805231460444</v>
      </c>
      <c r="L154" s="217">
        <f t="shared" si="37"/>
        <v>1569.5539727340545</v>
      </c>
      <c r="M154" s="217">
        <f t="shared" si="38"/>
        <v>242.97282237789895</v>
      </c>
      <c r="N154" s="217">
        <f t="shared" si="39"/>
        <v>286.98156643631262</v>
      </c>
      <c r="O154">
        <v>1</v>
      </c>
      <c r="P154">
        <v>1</v>
      </c>
      <c r="Q154">
        <v>2</v>
      </c>
      <c r="R154">
        <v>2</v>
      </c>
      <c r="S154">
        <v>2</v>
      </c>
    </row>
    <row r="155" spans="1:19">
      <c r="A155" s="858" t="s">
        <v>182</v>
      </c>
      <c r="B155" s="858">
        <v>2017</v>
      </c>
      <c r="C155" s="858" t="s">
        <v>93</v>
      </c>
      <c r="D155" s="217">
        <v>41.29029972</v>
      </c>
      <c r="E155" s="217">
        <v>192.92456290000001</v>
      </c>
      <c r="F155" s="217">
        <v>81.246074590000006</v>
      </c>
      <c r="G155" s="217">
        <f t="shared" si="32"/>
        <v>0.70366602589614169</v>
      </c>
      <c r="H155" s="217">
        <f t="shared" si="33"/>
        <v>0.29633397410385831</v>
      </c>
      <c r="I155" s="888">
        <f t="shared" si="34"/>
        <v>163.86998178796705</v>
      </c>
      <c r="J155" s="888">
        <f t="shared" si="35"/>
        <v>69.010355982032976</v>
      </c>
      <c r="K155" s="217">
        <f t="shared" si="36"/>
        <v>147.48298360917036</v>
      </c>
      <c r="L155" s="217">
        <f t="shared" si="37"/>
        <v>180.25697996676377</v>
      </c>
      <c r="M155" s="217">
        <f t="shared" si="38"/>
        <v>79.78287255082833</v>
      </c>
      <c r="N155" s="217">
        <f t="shared" si="39"/>
        <v>94.233641093466034</v>
      </c>
      <c r="O155">
        <v>1</v>
      </c>
      <c r="P155">
        <v>1</v>
      </c>
      <c r="Q155">
        <v>2</v>
      </c>
      <c r="R155">
        <v>2</v>
      </c>
      <c r="S155">
        <v>2</v>
      </c>
    </row>
    <row r="156" spans="1:19">
      <c r="A156" s="858" t="s">
        <v>182</v>
      </c>
      <c r="B156" s="858">
        <v>2017</v>
      </c>
      <c r="C156" s="858" t="s">
        <v>90</v>
      </c>
      <c r="D156" s="217">
        <v>25.616429409999999</v>
      </c>
      <c r="E156" s="217">
        <v>123.8197894</v>
      </c>
      <c r="F156" s="217">
        <v>48.797540339999998</v>
      </c>
      <c r="G156" s="217">
        <f t="shared" si="32"/>
        <v>0.71730798748016833</v>
      </c>
      <c r="H156" s="217">
        <f t="shared" si="33"/>
        <v>0.28269201251983167</v>
      </c>
      <c r="I156" s="888">
        <f t="shared" si="34"/>
        <v>105.44491997348511</v>
      </c>
      <c r="J156" s="888">
        <f t="shared" si="35"/>
        <v>41.555980356514894</v>
      </c>
      <c r="K156" s="217">
        <f t="shared" si="36"/>
        <v>94.900427976136598</v>
      </c>
      <c r="L156" s="217">
        <f t="shared" si="37"/>
        <v>115.98941197083363</v>
      </c>
      <c r="M156" s="217">
        <f t="shared" si="38"/>
        <v>48.042868890166872</v>
      </c>
      <c r="N156" s="217">
        <f t="shared" si="39"/>
        <v>56.744691176821092</v>
      </c>
      <c r="O156">
        <v>1</v>
      </c>
      <c r="P156">
        <v>1</v>
      </c>
      <c r="Q156">
        <v>2</v>
      </c>
      <c r="R156">
        <v>2</v>
      </c>
      <c r="S156">
        <v>2</v>
      </c>
    </row>
    <row r="157" spans="1:19">
      <c r="A157" s="858" t="s">
        <v>182</v>
      </c>
      <c r="B157" s="858">
        <v>2017</v>
      </c>
      <c r="C157" s="858" t="s">
        <v>92</v>
      </c>
      <c r="D157" s="217">
        <v>40.789824590000002</v>
      </c>
      <c r="E157" s="217">
        <v>251.82953259999999</v>
      </c>
      <c r="F157" s="217">
        <v>56.795327690000001</v>
      </c>
      <c r="G157" s="217">
        <f t="shared" si="32"/>
        <v>0.81597293349397659</v>
      </c>
      <c r="H157" s="217">
        <f t="shared" si="33"/>
        <v>0.18402706650602341</v>
      </c>
      <c r="I157" s="888">
        <f t="shared" si="34"/>
        <v>218.54613977259294</v>
      </c>
      <c r="J157" s="888">
        <f t="shared" si="35"/>
        <v>49.28889592740704</v>
      </c>
      <c r="K157" s="217">
        <f t="shared" si="36"/>
        <v>196.69152579533366</v>
      </c>
      <c r="L157" s="217">
        <f t="shared" si="37"/>
        <v>240.40075374985224</v>
      </c>
      <c r="M157" s="217">
        <f t="shared" si="38"/>
        <v>56.982892581675287</v>
      </c>
      <c r="N157" s="217">
        <f t="shared" si="39"/>
        <v>67.303987388874319</v>
      </c>
      <c r="O157">
        <v>1</v>
      </c>
      <c r="P157">
        <v>1</v>
      </c>
      <c r="Q157">
        <v>2</v>
      </c>
      <c r="R157">
        <v>2</v>
      </c>
      <c r="S157">
        <v>2</v>
      </c>
    </row>
    <row r="158" spans="1:19">
      <c r="A158" s="858" t="s">
        <v>182</v>
      </c>
      <c r="B158" s="858">
        <v>2018</v>
      </c>
      <c r="C158" s="858" t="s">
        <v>99</v>
      </c>
      <c r="D158" s="217">
        <v>20.34741696</v>
      </c>
      <c r="E158" s="217">
        <v>161.0247147</v>
      </c>
      <c r="F158" s="217">
        <v>26.51174121</v>
      </c>
      <c r="G158" s="217">
        <f t="shared" si="32"/>
        <v>0.85863153336584774</v>
      </c>
      <c r="H158" s="217">
        <f t="shared" si="33"/>
        <v>0.14136846663415226</v>
      </c>
      <c r="I158" s="888">
        <f t="shared" si="34"/>
        <v>143.55378087560095</v>
      </c>
      <c r="J158" s="888">
        <f t="shared" si="35"/>
        <v>23.635258074399058</v>
      </c>
      <c r="K158" s="217">
        <f t="shared" si="36"/>
        <v>129.19840278804085</v>
      </c>
      <c r="L158" s="217">
        <f t="shared" si="37"/>
        <v>157.90915896316105</v>
      </c>
      <c r="M158" s="217">
        <f t="shared" si="38"/>
        <v>27.324721859812755</v>
      </c>
      <c r="N158" s="217">
        <f t="shared" si="39"/>
        <v>32.273944900591914</v>
      </c>
      <c r="O158">
        <v>1</v>
      </c>
      <c r="P158">
        <v>1</v>
      </c>
      <c r="Q158">
        <v>2</v>
      </c>
      <c r="R158">
        <v>2</v>
      </c>
      <c r="S158">
        <v>2</v>
      </c>
    </row>
    <row r="159" spans="1:19">
      <c r="A159" s="858" t="s">
        <v>182</v>
      </c>
      <c r="B159" s="858">
        <v>2018</v>
      </c>
      <c r="C159" s="858" t="s">
        <v>98</v>
      </c>
      <c r="D159" s="217">
        <v>39.006620980000001</v>
      </c>
      <c r="E159" s="217">
        <v>293.47975259999998</v>
      </c>
      <c r="F159" s="217">
        <v>55.930038760000002</v>
      </c>
      <c r="G159" s="217">
        <f t="shared" si="32"/>
        <v>0.83992996148646903</v>
      </c>
      <c r="H159" s="217">
        <f t="shared" si="33"/>
        <v>0.16007003851353097</v>
      </c>
      <c r="I159" s="888">
        <f t="shared" si="34"/>
        <v>260.71692294255126</v>
      </c>
      <c r="J159" s="888">
        <f t="shared" si="35"/>
        <v>49.686247437448699</v>
      </c>
      <c r="K159" s="217">
        <f t="shared" si="36"/>
        <v>234.64523064829615</v>
      </c>
      <c r="L159" s="217">
        <f t="shared" si="37"/>
        <v>286.78861523680644</v>
      </c>
      <c r="M159" s="217">
        <f t="shared" si="38"/>
        <v>57.442270662434446</v>
      </c>
      <c r="N159" s="217">
        <f t="shared" si="39"/>
        <v>67.846570875836207</v>
      </c>
      <c r="O159">
        <v>1</v>
      </c>
      <c r="P159">
        <v>1</v>
      </c>
      <c r="Q159">
        <v>2</v>
      </c>
      <c r="R159">
        <v>2</v>
      </c>
      <c r="S159">
        <v>2</v>
      </c>
    </row>
    <row r="160" spans="1:19">
      <c r="A160" s="858" t="s">
        <v>182</v>
      </c>
      <c r="B160" s="858">
        <v>2018</v>
      </c>
      <c r="C160" s="858" t="s">
        <v>95</v>
      </c>
      <c r="D160" s="217">
        <v>49.497955679999997</v>
      </c>
      <c r="E160" s="217">
        <v>342.97569970000001</v>
      </c>
      <c r="F160" s="217">
        <v>78.308205540000003</v>
      </c>
      <c r="G160" s="217">
        <f t="shared" si="32"/>
        <v>0.8141201110083025</v>
      </c>
      <c r="H160" s="217">
        <f t="shared" si="33"/>
        <v>0.1858798889916975</v>
      </c>
      <c r="I160" s="888">
        <f t="shared" si="34"/>
        <v>302.67841852711439</v>
      </c>
      <c r="J160" s="888">
        <f t="shared" si="35"/>
        <v>69.107531032885646</v>
      </c>
      <c r="K160" s="217">
        <f t="shared" si="36"/>
        <v>272.41057667440293</v>
      </c>
      <c r="L160" s="217">
        <f t="shared" si="37"/>
        <v>332.94626037982584</v>
      </c>
      <c r="M160" s="217">
        <f t="shared" si="38"/>
        <v>79.895216627119098</v>
      </c>
      <c r="N160" s="217">
        <f t="shared" si="39"/>
        <v>94.36633362540536</v>
      </c>
      <c r="O160">
        <v>1</v>
      </c>
      <c r="P160">
        <v>1</v>
      </c>
      <c r="Q160">
        <v>2</v>
      </c>
      <c r="R160">
        <v>2</v>
      </c>
      <c r="S160">
        <v>2</v>
      </c>
    </row>
    <row r="161" spans="1:19">
      <c r="A161" s="858" t="s">
        <v>182</v>
      </c>
      <c r="B161" s="858">
        <v>2018</v>
      </c>
      <c r="C161" s="858" t="s">
        <v>91</v>
      </c>
      <c r="D161" s="217">
        <v>234.15257550000001</v>
      </c>
      <c r="E161" s="217">
        <v>1783.0252840000001</v>
      </c>
      <c r="F161" s="217">
        <v>283.21900970000002</v>
      </c>
      <c r="G161" s="217">
        <f t="shared" si="32"/>
        <v>0.86293053025552802</v>
      </c>
      <c r="H161" s="217">
        <f t="shared" si="33"/>
        <v>0.13706946974447198</v>
      </c>
      <c r="I161" s="888">
        <f t="shared" si="34"/>
        <v>1580.9678778630876</v>
      </c>
      <c r="J161" s="888">
        <f t="shared" si="35"/>
        <v>251.12384033691256</v>
      </c>
      <c r="K161" s="217">
        <f t="shared" si="36"/>
        <v>1422.8710900767787</v>
      </c>
      <c r="L161" s="217">
        <f t="shared" si="37"/>
        <v>1739.0646656493964</v>
      </c>
      <c r="M161" s="217">
        <f t="shared" si="38"/>
        <v>290.32427181350465</v>
      </c>
      <c r="N161" s="217">
        <f t="shared" si="39"/>
        <v>342.90960398005416</v>
      </c>
      <c r="O161">
        <v>1</v>
      </c>
      <c r="P161">
        <v>1</v>
      </c>
      <c r="Q161">
        <v>2</v>
      </c>
      <c r="R161">
        <v>2</v>
      </c>
      <c r="S161">
        <v>2</v>
      </c>
    </row>
    <row r="162" spans="1:19">
      <c r="A162" s="858" t="s">
        <v>182</v>
      </c>
      <c r="B162" s="858">
        <v>2018</v>
      </c>
      <c r="C162" s="858" t="s">
        <v>93</v>
      </c>
      <c r="D162" s="217">
        <v>41.859534510000003</v>
      </c>
      <c r="E162" s="217">
        <v>203.49220629999999</v>
      </c>
      <c r="F162" s="217">
        <v>79.282362890000002</v>
      </c>
      <c r="G162" s="217">
        <f t="shared" si="32"/>
        <v>0.71962696957826822</v>
      </c>
      <c r="H162" s="217">
        <f t="shared" si="33"/>
        <v>0.28037303042173178</v>
      </c>
      <c r="I162" s="888">
        <f t="shared" si="34"/>
        <v>173.36895633261176</v>
      </c>
      <c r="J162" s="888">
        <f t="shared" si="35"/>
        <v>67.546078347388232</v>
      </c>
      <c r="K162" s="217">
        <f t="shared" si="36"/>
        <v>156.03206069935058</v>
      </c>
      <c r="L162" s="217">
        <f t="shared" si="37"/>
        <v>190.70585196587294</v>
      </c>
      <c r="M162" s="217">
        <f t="shared" si="38"/>
        <v>78.090021177415537</v>
      </c>
      <c r="N162" s="217">
        <f t="shared" si="39"/>
        <v>92.23416998335864</v>
      </c>
      <c r="O162">
        <v>1</v>
      </c>
      <c r="P162">
        <v>1</v>
      </c>
      <c r="Q162">
        <v>2</v>
      </c>
      <c r="R162">
        <v>2</v>
      </c>
      <c r="S162">
        <v>2</v>
      </c>
    </row>
    <row r="163" spans="1:19">
      <c r="A163" s="858" t="s">
        <v>182</v>
      </c>
      <c r="B163" s="858">
        <v>2018</v>
      </c>
      <c r="C163" s="858" t="s">
        <v>90</v>
      </c>
      <c r="D163" s="217">
        <v>26.01216342</v>
      </c>
      <c r="E163" s="217">
        <v>131.25836409999999</v>
      </c>
      <c r="F163" s="217">
        <v>48.496302700000001</v>
      </c>
      <c r="G163" s="217">
        <f t="shared" si="32"/>
        <v>0.73020838032562274</v>
      </c>
      <c r="H163" s="217">
        <f t="shared" si="33"/>
        <v>0.26979161967437726</v>
      </c>
      <c r="I163" s="888">
        <f t="shared" si="34"/>
        <v>112.26406438031638</v>
      </c>
      <c r="J163" s="888">
        <f t="shared" si="35"/>
        <v>41.478438999683611</v>
      </c>
      <c r="K163" s="217">
        <f t="shared" si="36"/>
        <v>101.03765794228475</v>
      </c>
      <c r="L163" s="217">
        <f t="shared" si="37"/>
        <v>123.49047081834803</v>
      </c>
      <c r="M163" s="217">
        <f t="shared" si="38"/>
        <v>47.953223327534225</v>
      </c>
      <c r="N163" s="217">
        <f t="shared" si="39"/>
        <v>56.638808454067977</v>
      </c>
      <c r="O163">
        <v>1</v>
      </c>
      <c r="P163">
        <v>1</v>
      </c>
      <c r="Q163">
        <v>2</v>
      </c>
      <c r="R163">
        <v>2</v>
      </c>
      <c r="S163">
        <v>2</v>
      </c>
    </row>
    <row r="164" spans="1:19">
      <c r="A164" s="858" t="s">
        <v>182</v>
      </c>
      <c r="B164" s="858">
        <v>2018</v>
      </c>
      <c r="C164" s="858" t="s">
        <v>92</v>
      </c>
      <c r="D164" s="217">
        <v>41.947802209999999</v>
      </c>
      <c r="E164" s="217">
        <v>274.23873450000002</v>
      </c>
      <c r="F164" s="217">
        <v>67.986951129999994</v>
      </c>
      <c r="G164" s="217">
        <f t="shared" si="32"/>
        <v>0.80133884163357438</v>
      </c>
      <c r="H164" s="217">
        <f t="shared" si="33"/>
        <v>0.19866115836642562</v>
      </c>
      <c r="I164" s="888">
        <f t="shared" si="34"/>
        <v>240.62433126796432</v>
      </c>
      <c r="J164" s="888">
        <f t="shared" si="35"/>
        <v>59.653552152035687</v>
      </c>
      <c r="K164" s="217">
        <f t="shared" si="36"/>
        <v>216.56189814116789</v>
      </c>
      <c r="L164" s="217">
        <f t="shared" si="37"/>
        <v>264.68676439476076</v>
      </c>
      <c r="M164" s="217">
        <f t="shared" si="38"/>
        <v>68.965471642968467</v>
      </c>
      <c r="N164" s="217">
        <f t="shared" si="39"/>
        <v>81.456925463604733</v>
      </c>
      <c r="O164">
        <v>1</v>
      </c>
      <c r="P164">
        <v>1</v>
      </c>
      <c r="Q164">
        <v>2</v>
      </c>
      <c r="R164">
        <v>2</v>
      </c>
      <c r="S164">
        <v>2</v>
      </c>
    </row>
    <row r="165" spans="1:19">
      <c r="A165" s="858" t="s">
        <v>182</v>
      </c>
      <c r="B165" s="858">
        <v>2019</v>
      </c>
      <c r="C165" s="858" t="s">
        <v>99</v>
      </c>
      <c r="D165" s="217">
        <v>20.141551740000001</v>
      </c>
      <c r="E165" s="217">
        <v>155.87614210000001</v>
      </c>
      <c r="F165" s="217">
        <v>26.027143410000001</v>
      </c>
      <c r="G165" s="217">
        <f t="shared" si="32"/>
        <v>0.85691768382837052</v>
      </c>
      <c r="H165" s="217">
        <f t="shared" si="33"/>
        <v>0.14308231617162948</v>
      </c>
      <c r="I165" s="888">
        <f t="shared" si="34"/>
        <v>138.61649023424991</v>
      </c>
      <c r="J165" s="888">
        <f t="shared" si="35"/>
        <v>23.145243535750087</v>
      </c>
      <c r="K165" s="217">
        <f t="shared" si="36"/>
        <v>124.75484121082492</v>
      </c>
      <c r="L165" s="217">
        <f t="shared" si="37"/>
        <v>152.47813925767491</v>
      </c>
      <c r="M165" s="217">
        <f t="shared" si="38"/>
        <v>26.758216051680677</v>
      </c>
      <c r="N165" s="217">
        <f t="shared" si="39"/>
        <v>31.604830048066749</v>
      </c>
      <c r="O165">
        <v>1</v>
      </c>
      <c r="P165">
        <v>1</v>
      </c>
      <c r="Q165">
        <v>2</v>
      </c>
      <c r="R165">
        <v>2</v>
      </c>
      <c r="S165">
        <v>2</v>
      </c>
    </row>
    <row r="166" spans="1:19">
      <c r="A166" s="858" t="s">
        <v>182</v>
      </c>
      <c r="B166" s="858">
        <v>2019</v>
      </c>
      <c r="C166" s="858" t="s">
        <v>98</v>
      </c>
      <c r="D166" s="217">
        <v>38.80830675</v>
      </c>
      <c r="E166" s="217">
        <v>288.93796630000003</v>
      </c>
      <c r="F166" s="217">
        <v>49.788382460000001</v>
      </c>
      <c r="G166" s="217">
        <f t="shared" si="32"/>
        <v>0.85301296269905214</v>
      </c>
      <c r="H166" s="217">
        <f t="shared" si="33"/>
        <v>0.14698703730094786</v>
      </c>
      <c r="I166" s="888">
        <f t="shared" si="34"/>
        <v>255.8339775818489</v>
      </c>
      <c r="J166" s="888">
        <f t="shared" si="35"/>
        <v>44.084064428151123</v>
      </c>
      <c r="K166" s="217">
        <f t="shared" si="36"/>
        <v>230.25057982366403</v>
      </c>
      <c r="L166" s="217">
        <f t="shared" si="37"/>
        <v>281.4173753400338</v>
      </c>
      <c r="M166" s="217">
        <f t="shared" si="38"/>
        <v>50.96558688538552</v>
      </c>
      <c r="N166" s="217">
        <f t="shared" si="39"/>
        <v>60.196789976640368</v>
      </c>
      <c r="O166">
        <v>1</v>
      </c>
      <c r="P166">
        <v>1</v>
      </c>
      <c r="Q166">
        <v>2</v>
      </c>
      <c r="R166">
        <v>2</v>
      </c>
      <c r="S166">
        <v>2</v>
      </c>
    </row>
    <row r="167" spans="1:19">
      <c r="A167" s="858" t="s">
        <v>182</v>
      </c>
      <c r="B167" s="858">
        <v>2019</v>
      </c>
      <c r="C167" s="858" t="s">
        <v>95</v>
      </c>
      <c r="D167" s="217">
        <v>50.368933990000002</v>
      </c>
      <c r="E167" s="217">
        <v>335.67807049999999</v>
      </c>
      <c r="F167" s="217">
        <v>70.26573295</v>
      </c>
      <c r="G167" s="217">
        <f t="shared" si="32"/>
        <v>0.82690773364975223</v>
      </c>
      <c r="H167" s="217">
        <f t="shared" si="33"/>
        <v>0.17309226635024777</v>
      </c>
      <c r="I167" s="888">
        <f t="shared" si="34"/>
        <v>294.02760944797512</v>
      </c>
      <c r="J167" s="888">
        <f t="shared" si="35"/>
        <v>61.547260012024871</v>
      </c>
      <c r="K167" s="217">
        <f t="shared" si="36"/>
        <v>264.62484850317765</v>
      </c>
      <c r="L167" s="217">
        <f t="shared" si="37"/>
        <v>323.43037039277266</v>
      </c>
      <c r="M167" s="217">
        <f t="shared" si="38"/>
        <v>71.154787299901955</v>
      </c>
      <c r="N167" s="217">
        <f t="shared" si="39"/>
        <v>84.042783546419969</v>
      </c>
      <c r="O167">
        <v>1</v>
      </c>
      <c r="P167">
        <v>1</v>
      </c>
      <c r="Q167">
        <v>2</v>
      </c>
      <c r="R167">
        <v>2</v>
      </c>
      <c r="S167">
        <v>2</v>
      </c>
    </row>
    <row r="168" spans="1:19">
      <c r="A168" s="858" t="s">
        <v>182</v>
      </c>
      <c r="B168" s="858">
        <v>2019</v>
      </c>
      <c r="C168" s="858" t="s">
        <v>91</v>
      </c>
      <c r="D168" s="217">
        <v>240.1005778</v>
      </c>
      <c r="E168" s="217">
        <v>1748.7172250000001</v>
      </c>
      <c r="F168" s="217">
        <v>243.64697889999999</v>
      </c>
      <c r="G168" s="217">
        <f t="shared" si="32"/>
        <v>0.87770961834032779</v>
      </c>
      <c r="H168" s="217">
        <f t="shared" si="33"/>
        <v>0.12229038165967221</v>
      </c>
      <c r="I168" s="888">
        <f t="shared" si="34"/>
        <v>1537.97863849587</v>
      </c>
      <c r="J168" s="888">
        <f t="shared" si="35"/>
        <v>214.28498760413018</v>
      </c>
      <c r="K168" s="217">
        <f t="shared" si="36"/>
        <v>1384.180774646283</v>
      </c>
      <c r="L168" s="217">
        <f t="shared" si="37"/>
        <v>1691.7765023454572</v>
      </c>
      <c r="M168" s="217">
        <f t="shared" si="38"/>
        <v>247.73487416913494</v>
      </c>
      <c r="N168" s="217">
        <f t="shared" si="39"/>
        <v>292.60615057343978</v>
      </c>
      <c r="O168">
        <v>1</v>
      </c>
      <c r="P168">
        <v>1</v>
      </c>
      <c r="Q168">
        <v>2</v>
      </c>
      <c r="R168">
        <v>2</v>
      </c>
      <c r="S168">
        <v>2</v>
      </c>
    </row>
    <row r="169" spans="1:19">
      <c r="A169" s="858" t="s">
        <v>182</v>
      </c>
      <c r="B169" s="858">
        <v>2019</v>
      </c>
      <c r="C169" s="858" t="s">
        <v>93</v>
      </c>
      <c r="D169" s="217">
        <v>40.804138590000001</v>
      </c>
      <c r="E169" s="217">
        <v>201.41097139999999</v>
      </c>
      <c r="F169" s="217">
        <v>70.057544350000001</v>
      </c>
      <c r="G169" s="217">
        <f t="shared" si="32"/>
        <v>0.74193123590612919</v>
      </c>
      <c r="H169" s="217">
        <f t="shared" si="33"/>
        <v>0.25806876409387081</v>
      </c>
      <c r="I169" s="888">
        <f t="shared" si="34"/>
        <v>171.13710642583632</v>
      </c>
      <c r="J169" s="888">
        <f t="shared" si="35"/>
        <v>59.527270734163679</v>
      </c>
      <c r="K169" s="217">
        <f t="shared" si="36"/>
        <v>154.02339578325268</v>
      </c>
      <c r="L169" s="217">
        <f t="shared" si="37"/>
        <v>188.25081706841996</v>
      </c>
      <c r="M169" s="217">
        <f t="shared" si="38"/>
        <v>68.819477695766636</v>
      </c>
      <c r="N169" s="217">
        <f t="shared" si="39"/>
        <v>81.284488187500514</v>
      </c>
      <c r="O169">
        <v>1</v>
      </c>
      <c r="P169">
        <v>1</v>
      </c>
      <c r="Q169">
        <v>2</v>
      </c>
      <c r="R169">
        <v>2</v>
      </c>
      <c r="S169">
        <v>2</v>
      </c>
    </row>
    <row r="170" spans="1:19">
      <c r="A170" s="858" t="s">
        <v>182</v>
      </c>
      <c r="B170" s="858">
        <v>2019</v>
      </c>
      <c r="C170" s="858" t="s">
        <v>90</v>
      </c>
      <c r="D170" s="217">
        <v>25.378519359999999</v>
      </c>
      <c r="E170" s="217">
        <v>129.74280759999999</v>
      </c>
      <c r="F170" s="217">
        <v>42.659404639999998</v>
      </c>
      <c r="G170" s="217">
        <f t="shared" si="32"/>
        <v>0.75255883271025481</v>
      </c>
      <c r="H170" s="217">
        <f t="shared" si="33"/>
        <v>0.24744116728974519</v>
      </c>
      <c r="I170" s="888">
        <f t="shared" si="34"/>
        <v>110.64397869452378</v>
      </c>
      <c r="J170" s="888">
        <f t="shared" si="35"/>
        <v>36.379714185476203</v>
      </c>
      <c r="K170" s="217">
        <f t="shared" si="36"/>
        <v>99.579580825071403</v>
      </c>
      <c r="L170" s="217">
        <f t="shared" si="37"/>
        <v>121.70837656397617</v>
      </c>
      <c r="M170" s="217">
        <f t="shared" si="38"/>
        <v>42.058587569829044</v>
      </c>
      <c r="N170" s="217">
        <f t="shared" si="39"/>
        <v>49.676499720267763</v>
      </c>
      <c r="O170">
        <v>1</v>
      </c>
      <c r="P170">
        <v>1</v>
      </c>
      <c r="Q170">
        <v>2</v>
      </c>
      <c r="R170">
        <v>2</v>
      </c>
      <c r="S170">
        <v>2</v>
      </c>
    </row>
    <row r="171" spans="1:19">
      <c r="A171" s="858" t="s">
        <v>182</v>
      </c>
      <c r="B171" s="858">
        <v>2019</v>
      </c>
      <c r="C171" s="858" t="s">
        <v>92</v>
      </c>
      <c r="D171" s="217">
        <v>41.308844239999999</v>
      </c>
      <c r="E171" s="217">
        <v>268.35933929999999</v>
      </c>
      <c r="F171" s="217">
        <v>56.18741558</v>
      </c>
      <c r="G171" s="217">
        <f t="shared" si="32"/>
        <v>0.82687420306890735</v>
      </c>
      <c r="H171" s="217">
        <f t="shared" si="33"/>
        <v>0.17312579693109265</v>
      </c>
      <c r="I171" s="888">
        <f t="shared" si="34"/>
        <v>234.20212163935236</v>
      </c>
      <c r="J171" s="888">
        <f t="shared" si="35"/>
        <v>49.035789000647625</v>
      </c>
      <c r="K171" s="217">
        <f t="shared" si="36"/>
        <v>210.78190947541714</v>
      </c>
      <c r="L171" s="217">
        <f t="shared" si="37"/>
        <v>257.62233380328763</v>
      </c>
      <c r="M171" s="217">
        <f t="shared" si="38"/>
        <v>56.690275663648727</v>
      </c>
      <c r="N171" s="217">
        <f t="shared" si="39"/>
        <v>66.958369880384339</v>
      </c>
      <c r="O171">
        <v>1</v>
      </c>
      <c r="P171">
        <v>1</v>
      </c>
      <c r="Q171">
        <v>2</v>
      </c>
      <c r="R171">
        <v>2</v>
      </c>
      <c r="S171">
        <v>2</v>
      </c>
    </row>
    <row r="172" spans="1:19">
      <c r="A172" s="858" t="s">
        <v>182</v>
      </c>
      <c r="B172" s="858">
        <v>2020</v>
      </c>
      <c r="C172" s="858" t="s">
        <v>99</v>
      </c>
      <c r="D172" s="217">
        <v>17.842395379999999</v>
      </c>
      <c r="E172" s="217">
        <v>129.21013379999999</v>
      </c>
      <c r="F172" s="217">
        <v>19.924269160000001</v>
      </c>
      <c r="G172" s="217">
        <f t="shared" si="32"/>
        <v>0.8664005838723613</v>
      </c>
      <c r="H172" s="217">
        <f t="shared" si="33"/>
        <v>0.1335994161276387</v>
      </c>
      <c r="I172" s="888">
        <f t="shared" si="34"/>
        <v>113.75147202508647</v>
      </c>
      <c r="J172" s="888">
        <f t="shared" si="35"/>
        <v>17.540535554913525</v>
      </c>
      <c r="K172" s="217">
        <f t="shared" si="36"/>
        <v>102.37632482257783</v>
      </c>
      <c r="L172" s="217">
        <f t="shared" si="37"/>
        <v>125.12661922759513</v>
      </c>
      <c r="M172" s="217">
        <f t="shared" si="38"/>
        <v>20.278613155035529</v>
      </c>
      <c r="N172" s="217">
        <f t="shared" si="39"/>
        <v>23.951601300234422</v>
      </c>
      <c r="O172">
        <v>1</v>
      </c>
      <c r="P172">
        <v>1</v>
      </c>
      <c r="Q172">
        <v>2</v>
      </c>
      <c r="R172">
        <v>2</v>
      </c>
      <c r="S172">
        <v>2</v>
      </c>
    </row>
    <row r="173" spans="1:19">
      <c r="A173" s="858" t="s">
        <v>182</v>
      </c>
      <c r="B173" s="858">
        <v>2020</v>
      </c>
      <c r="C173" s="858" t="s">
        <v>98</v>
      </c>
      <c r="D173" s="217">
        <v>32.47687913</v>
      </c>
      <c r="E173" s="217">
        <v>229.5904032</v>
      </c>
      <c r="F173" s="217">
        <v>38.413641740000003</v>
      </c>
      <c r="G173" s="217">
        <f t="shared" ref="G173:G192" si="40">E173/(E173+F173)</f>
        <v>0.85666767921879716</v>
      </c>
      <c r="H173" s="217">
        <f t="shared" ref="H173:H192" si="41">1-G173</f>
        <v>0.14333232078120284</v>
      </c>
      <c r="I173" s="888">
        <f t="shared" ref="I173:I192" si="42">E173-(D173*G173)</f>
        <v>201.76851052743351</v>
      </c>
      <c r="J173" s="888">
        <f t="shared" ref="J173:J192" si="43">F173-(D173*H173)</f>
        <v>33.758655282566494</v>
      </c>
      <c r="K173" s="217">
        <f t="shared" ref="K173:K192" si="44">I173*$B$5</f>
        <v>181.59165947469015</v>
      </c>
      <c r="L173" s="217">
        <f t="shared" ref="L173:L192" si="45">I173*$B$4</f>
        <v>221.94536158017686</v>
      </c>
      <c r="M173" s="217">
        <f t="shared" ref="M173:M192" si="46">J173*$B$7</f>
        <v>39.028381372175126</v>
      </c>
      <c r="N173" s="217">
        <f t="shared" ref="N173:N192" si="47">J173*$B$6</f>
        <v>46.097443788344556</v>
      </c>
      <c r="O173">
        <v>1</v>
      </c>
      <c r="P173">
        <v>1</v>
      </c>
      <c r="Q173">
        <v>2</v>
      </c>
      <c r="R173">
        <v>2</v>
      </c>
      <c r="S173">
        <v>2</v>
      </c>
    </row>
    <row r="174" spans="1:19">
      <c r="A174" s="858" t="s">
        <v>182</v>
      </c>
      <c r="B174" s="858">
        <v>2020</v>
      </c>
      <c r="C174" s="858" t="s">
        <v>95</v>
      </c>
      <c r="D174" s="217">
        <v>42.461037429999998</v>
      </c>
      <c r="E174" s="217">
        <v>272.27944339999999</v>
      </c>
      <c r="F174" s="217">
        <v>58.957623409999997</v>
      </c>
      <c r="G174" s="217">
        <f t="shared" si="40"/>
        <v>0.822007772325135</v>
      </c>
      <c r="H174" s="217">
        <f t="shared" si="41"/>
        <v>0.177992227674865</v>
      </c>
      <c r="I174" s="888">
        <f t="shared" si="42"/>
        <v>237.37614061155153</v>
      </c>
      <c r="J174" s="888">
        <f t="shared" si="43"/>
        <v>51.39988876844847</v>
      </c>
      <c r="K174" s="217">
        <f t="shared" si="44"/>
        <v>213.63852655039639</v>
      </c>
      <c r="L174" s="217">
        <f t="shared" si="45"/>
        <v>261.1137546727067</v>
      </c>
      <c r="M174" s="217">
        <f t="shared" si="46"/>
        <v>59.423411405203282</v>
      </c>
      <c r="N174" s="217">
        <f t="shared" si="47"/>
        <v>70.186548113316391</v>
      </c>
      <c r="O174">
        <v>1</v>
      </c>
      <c r="P174">
        <v>1</v>
      </c>
      <c r="Q174">
        <v>2</v>
      </c>
      <c r="R174">
        <v>2</v>
      </c>
      <c r="S174">
        <v>2</v>
      </c>
    </row>
    <row r="175" spans="1:19">
      <c r="A175" s="858" t="s">
        <v>182</v>
      </c>
      <c r="B175" s="858">
        <v>2020</v>
      </c>
      <c r="C175" s="858" t="s">
        <v>91</v>
      </c>
      <c r="D175" s="217">
        <v>202.34762549999999</v>
      </c>
      <c r="E175" s="217">
        <v>1396.1442360000001</v>
      </c>
      <c r="F175" s="217">
        <v>185.48484550000001</v>
      </c>
      <c r="G175" s="217">
        <f t="shared" si="40"/>
        <v>0.88272544576375123</v>
      </c>
      <c r="H175" s="217">
        <f t="shared" si="41"/>
        <v>0.11727455423624877</v>
      </c>
      <c r="I175" s="888">
        <f t="shared" si="42"/>
        <v>1217.5268380812761</v>
      </c>
      <c r="J175" s="888">
        <f t="shared" si="43"/>
        <v>161.75461791872411</v>
      </c>
      <c r="K175" s="217">
        <f t="shared" si="44"/>
        <v>1095.7741542731485</v>
      </c>
      <c r="L175" s="217">
        <f t="shared" si="45"/>
        <v>1339.2795218894039</v>
      </c>
      <c r="M175" s="217">
        <f t="shared" si="46"/>
        <v>187.00451377583695</v>
      </c>
      <c r="N175" s="217">
        <f t="shared" si="47"/>
        <v>220.87593076801778</v>
      </c>
      <c r="O175">
        <v>1</v>
      </c>
      <c r="P175">
        <v>1</v>
      </c>
      <c r="Q175">
        <v>2</v>
      </c>
      <c r="R175">
        <v>2</v>
      </c>
      <c r="S175">
        <v>2</v>
      </c>
    </row>
    <row r="176" spans="1:19">
      <c r="A176" s="858" t="s">
        <v>182</v>
      </c>
      <c r="B176" s="858">
        <v>2020</v>
      </c>
      <c r="C176" s="858" t="s">
        <v>93</v>
      </c>
      <c r="D176" s="217">
        <v>33.571129030000002</v>
      </c>
      <c r="E176" s="217">
        <v>162.02162820000001</v>
      </c>
      <c r="F176" s="217">
        <v>55.392530999999998</v>
      </c>
      <c r="G176" s="217">
        <f t="shared" si="40"/>
        <v>0.74522114289233476</v>
      </c>
      <c r="H176" s="217">
        <f t="shared" si="41"/>
        <v>0.25477885710766524</v>
      </c>
      <c r="I176" s="888">
        <f t="shared" si="42"/>
        <v>137.00371305607737</v>
      </c>
      <c r="J176" s="888">
        <f t="shared" si="43"/>
        <v>46.839317113922633</v>
      </c>
      <c r="K176" s="217">
        <f t="shared" si="44"/>
        <v>123.30334175046964</v>
      </c>
      <c r="L176" s="217">
        <f t="shared" si="45"/>
        <v>150.70408436168512</v>
      </c>
      <c r="M176" s="217">
        <f t="shared" si="46"/>
        <v>54.150934515405964</v>
      </c>
      <c r="N176" s="217">
        <f t="shared" si="47"/>
        <v>63.959087519061363</v>
      </c>
      <c r="O176">
        <v>1</v>
      </c>
      <c r="P176">
        <v>1</v>
      </c>
      <c r="Q176">
        <v>2</v>
      </c>
      <c r="R176">
        <v>2</v>
      </c>
      <c r="S176">
        <v>2</v>
      </c>
    </row>
    <row r="177" spans="1:19">
      <c r="A177" s="858" t="s">
        <v>182</v>
      </c>
      <c r="B177" s="858">
        <v>2020</v>
      </c>
      <c r="C177" s="858" t="s">
        <v>90</v>
      </c>
      <c r="D177" s="217">
        <v>20.90774789</v>
      </c>
      <c r="E177" s="217">
        <v>104.0268602</v>
      </c>
      <c r="F177" s="217">
        <v>33.661366200000003</v>
      </c>
      <c r="G177" s="217">
        <f t="shared" si="40"/>
        <v>0.75552473090756578</v>
      </c>
      <c r="H177" s="217">
        <f t="shared" si="41"/>
        <v>0.24447526909243422</v>
      </c>
      <c r="I177" s="888">
        <f t="shared" si="42"/>
        <v>88.230539601524526</v>
      </c>
      <c r="J177" s="888">
        <f t="shared" si="43"/>
        <v>28.549938908475479</v>
      </c>
      <c r="K177" s="217">
        <f t="shared" si="44"/>
        <v>79.407485641372077</v>
      </c>
      <c r="L177" s="217">
        <f t="shared" si="45"/>
        <v>97.05359356167699</v>
      </c>
      <c r="M177" s="217">
        <f t="shared" si="46"/>
        <v>33.006584372088504</v>
      </c>
      <c r="N177" s="217">
        <f t="shared" si="47"/>
        <v>38.984941579523273</v>
      </c>
      <c r="O177">
        <v>1</v>
      </c>
      <c r="P177">
        <v>1</v>
      </c>
      <c r="Q177">
        <v>2</v>
      </c>
      <c r="R177">
        <v>2</v>
      </c>
      <c r="S177">
        <v>2</v>
      </c>
    </row>
    <row r="178" spans="1:19" ht="15" thickBot="1">
      <c r="A178" s="858" t="s">
        <v>182</v>
      </c>
      <c r="B178" s="858">
        <v>2020</v>
      </c>
      <c r="C178" s="858" t="s">
        <v>92</v>
      </c>
      <c r="D178" s="217">
        <v>34.482912949999999</v>
      </c>
      <c r="E178" s="217">
        <v>210.72664739999999</v>
      </c>
      <c r="F178" s="217">
        <v>43.925173090000001</v>
      </c>
      <c r="G178" s="217">
        <f t="shared" si="40"/>
        <v>0.82750889820665974</v>
      </c>
      <c r="H178" s="217">
        <f t="shared" si="41"/>
        <v>0.17249110179334026</v>
      </c>
      <c r="I178" s="888">
        <f t="shared" si="42"/>
        <v>182.19173009778933</v>
      </c>
      <c r="J178" s="888">
        <f t="shared" si="43"/>
        <v>37.97717744221066</v>
      </c>
      <c r="K178" s="217">
        <f t="shared" si="44"/>
        <v>163.9725570880104</v>
      </c>
      <c r="L178" s="217">
        <f t="shared" si="45"/>
        <v>200.41090310756829</v>
      </c>
      <c r="M178" s="217">
        <f t="shared" si="46"/>
        <v>43.905414840939748</v>
      </c>
      <c r="N178" s="217">
        <f t="shared" si="47"/>
        <v>51.857835797338666</v>
      </c>
      <c r="O178">
        <v>1</v>
      </c>
      <c r="P178">
        <v>1</v>
      </c>
      <c r="Q178">
        <v>2</v>
      </c>
      <c r="R178">
        <v>2</v>
      </c>
      <c r="S178">
        <v>2</v>
      </c>
    </row>
    <row r="179" spans="1:19">
      <c r="A179" s="880" t="s">
        <v>182</v>
      </c>
      <c r="B179" s="881">
        <v>2021</v>
      </c>
      <c r="C179" s="881" t="s">
        <v>99</v>
      </c>
      <c r="D179" s="889">
        <v>17.95401275</v>
      </c>
      <c r="E179" s="889">
        <v>141.63028159999999</v>
      </c>
      <c r="F179" s="889">
        <v>20.194568220000001</v>
      </c>
      <c r="G179" s="889">
        <f t="shared" si="40"/>
        <v>0.8752072488096686</v>
      </c>
      <c r="H179" s="889">
        <f t="shared" si="41"/>
        <v>0.1247927511903314</v>
      </c>
      <c r="I179" s="890">
        <f t="shared" si="42"/>
        <v>125.91679949597878</v>
      </c>
      <c r="J179" s="890">
        <f t="shared" si="43"/>
        <v>17.954037574021214</v>
      </c>
      <c r="K179" s="889">
        <f t="shared" si="44"/>
        <v>113.3251195463809</v>
      </c>
      <c r="L179" s="889">
        <f t="shared" si="45"/>
        <v>138.50847944557665</v>
      </c>
      <c r="M179" s="889">
        <f t="shared" si="46"/>
        <v>20.756662839325926</v>
      </c>
      <c r="N179" s="889">
        <f t="shared" si="47"/>
        <v>24.51623830732597</v>
      </c>
      <c r="O179" s="882">
        <v>1</v>
      </c>
      <c r="P179" s="882">
        <v>1</v>
      </c>
      <c r="Q179" s="882">
        <v>2</v>
      </c>
      <c r="R179" s="882">
        <v>2</v>
      </c>
      <c r="S179" s="883">
        <v>2</v>
      </c>
    </row>
    <row r="180" spans="1:19">
      <c r="A180" s="437" t="s">
        <v>182</v>
      </c>
      <c r="B180" s="858">
        <v>2021</v>
      </c>
      <c r="C180" s="858" t="s">
        <v>98</v>
      </c>
      <c r="D180" s="217">
        <v>33.86508645</v>
      </c>
      <c r="E180" s="217">
        <v>241.6899727</v>
      </c>
      <c r="F180" s="217">
        <v>41.586427440000001</v>
      </c>
      <c r="G180" s="217">
        <f t="shared" si="40"/>
        <v>0.85319487461910948</v>
      </c>
      <c r="H180" s="217">
        <f t="shared" si="41"/>
        <v>0.14680512538089052</v>
      </c>
      <c r="I180" s="888">
        <f t="shared" si="42"/>
        <v>212.79645451232693</v>
      </c>
      <c r="J180" s="888">
        <f t="shared" si="43"/>
        <v>36.614859177673054</v>
      </c>
      <c r="K180" s="217">
        <f t="shared" si="44"/>
        <v>191.51680906109425</v>
      </c>
      <c r="L180" s="217">
        <f t="shared" si="45"/>
        <v>234.07609996355964</v>
      </c>
      <c r="M180" s="217">
        <f t="shared" si="46"/>
        <v>42.330438695307819</v>
      </c>
      <c r="N180" s="217">
        <f t="shared" si="47"/>
        <v>49.997590207112559</v>
      </c>
      <c r="O180">
        <v>1</v>
      </c>
      <c r="P180">
        <v>1</v>
      </c>
      <c r="Q180">
        <v>2</v>
      </c>
      <c r="R180">
        <v>2</v>
      </c>
      <c r="S180" s="884">
        <v>2</v>
      </c>
    </row>
    <row r="181" spans="1:19">
      <c r="A181" s="437" t="s">
        <v>182</v>
      </c>
      <c r="B181" s="858">
        <v>2021</v>
      </c>
      <c r="C181" s="858" t="s">
        <v>95</v>
      </c>
      <c r="D181" s="217">
        <v>43.140427270000004</v>
      </c>
      <c r="E181" s="217">
        <v>297.53292690000001</v>
      </c>
      <c r="F181" s="217">
        <v>59.334248870000003</v>
      </c>
      <c r="G181" s="217">
        <f t="shared" si="40"/>
        <v>0.83373576249489312</v>
      </c>
      <c r="H181" s="217">
        <f t="shared" si="41"/>
        <v>0.16626423750510688</v>
      </c>
      <c r="I181" s="888">
        <f t="shared" si="42"/>
        <v>261.5652098756911</v>
      </c>
      <c r="J181" s="888">
        <f t="shared" si="43"/>
        <v>52.161538624308932</v>
      </c>
      <c r="K181" s="217">
        <f t="shared" si="44"/>
        <v>235.40868888812199</v>
      </c>
      <c r="L181" s="217">
        <f t="shared" si="45"/>
        <v>287.72173086326023</v>
      </c>
      <c r="M181" s="217">
        <f t="shared" si="46"/>
        <v>60.303954803563563</v>
      </c>
      <c r="N181" s="217">
        <f t="shared" si="47"/>
        <v>71.226580991493861</v>
      </c>
      <c r="O181">
        <v>1</v>
      </c>
      <c r="P181">
        <v>1</v>
      </c>
      <c r="Q181">
        <v>2</v>
      </c>
      <c r="R181">
        <v>2</v>
      </c>
      <c r="S181" s="884">
        <v>2</v>
      </c>
    </row>
    <row r="182" spans="1:19">
      <c r="A182" s="437" t="s">
        <v>182</v>
      </c>
      <c r="B182" s="858">
        <v>2021</v>
      </c>
      <c r="C182" s="858" t="s">
        <v>91</v>
      </c>
      <c r="D182" s="217">
        <v>201.32608949999999</v>
      </c>
      <c r="E182" s="217">
        <v>1495.4943780000001</v>
      </c>
      <c r="F182" s="217">
        <v>207.21108319999999</v>
      </c>
      <c r="G182" s="217">
        <f t="shared" si="40"/>
        <v>0.87830479908488357</v>
      </c>
      <c r="H182" s="217">
        <f t="shared" si="41"/>
        <v>0.12169520091511643</v>
      </c>
      <c r="I182" s="888">
        <f t="shared" si="42"/>
        <v>1318.6687074111574</v>
      </c>
      <c r="J182" s="888">
        <f t="shared" si="43"/>
        <v>182.71066428884279</v>
      </c>
      <c r="K182" s="217">
        <f t="shared" si="44"/>
        <v>1186.8018366700417</v>
      </c>
      <c r="L182" s="217">
        <f t="shared" si="45"/>
        <v>1450.5355781522733</v>
      </c>
      <c r="M182" s="217">
        <f t="shared" si="46"/>
        <v>211.23179898433116</v>
      </c>
      <c r="N182" s="217">
        <f t="shared" si="47"/>
        <v>249.49141208641487</v>
      </c>
      <c r="O182">
        <v>1</v>
      </c>
      <c r="P182">
        <v>1</v>
      </c>
      <c r="Q182">
        <v>2</v>
      </c>
      <c r="R182">
        <v>2</v>
      </c>
      <c r="S182" s="884">
        <v>2</v>
      </c>
    </row>
    <row r="183" spans="1:19">
      <c r="A183" s="437" t="s">
        <v>182</v>
      </c>
      <c r="B183" s="858">
        <v>2021</v>
      </c>
      <c r="C183" s="858" t="s">
        <v>93</v>
      </c>
      <c r="D183" s="217">
        <v>29.856437889999999</v>
      </c>
      <c r="E183" s="217">
        <v>155.6368913</v>
      </c>
      <c r="F183" s="217">
        <v>69.411980229999998</v>
      </c>
      <c r="G183" s="217">
        <f t="shared" si="40"/>
        <v>0.69156930333353361</v>
      </c>
      <c r="H183" s="217">
        <f t="shared" si="41"/>
        <v>0.30843069666646639</v>
      </c>
      <c r="I183" s="888">
        <f t="shared" si="42"/>
        <v>134.9890953483918</v>
      </c>
      <c r="J183" s="888">
        <f t="shared" si="43"/>
        <v>60.203338291608212</v>
      </c>
      <c r="K183" s="217">
        <f t="shared" si="44"/>
        <v>121.49018581355263</v>
      </c>
      <c r="L183" s="217">
        <f t="shared" si="45"/>
        <v>148.48800488323099</v>
      </c>
      <c r="M183" s="217">
        <f t="shared" si="46"/>
        <v>69.601079398928263</v>
      </c>
      <c r="N183" s="217">
        <f t="shared" si="47"/>
        <v>82.207658437191029</v>
      </c>
      <c r="O183">
        <v>1</v>
      </c>
      <c r="P183">
        <v>1</v>
      </c>
      <c r="Q183">
        <v>2</v>
      </c>
      <c r="R183">
        <v>2</v>
      </c>
      <c r="S183" s="884">
        <v>2</v>
      </c>
    </row>
    <row r="184" spans="1:19">
      <c r="A184" s="437" t="s">
        <v>182</v>
      </c>
      <c r="B184" s="858">
        <v>2021</v>
      </c>
      <c r="C184" s="858" t="s">
        <v>90</v>
      </c>
      <c r="D184" s="217">
        <v>18.687069520000001</v>
      </c>
      <c r="E184" s="217">
        <v>100.28163069999999</v>
      </c>
      <c r="F184" s="217">
        <v>41.945154309999999</v>
      </c>
      <c r="G184" s="217">
        <f t="shared" si="40"/>
        <v>0.70508259532794171</v>
      </c>
      <c r="H184" s="217">
        <f t="shared" si="41"/>
        <v>0.29491740467205829</v>
      </c>
      <c r="I184" s="888">
        <f t="shared" si="42"/>
        <v>87.105703223764721</v>
      </c>
      <c r="J184" s="888">
        <f t="shared" si="43"/>
        <v>36.434012266235271</v>
      </c>
      <c r="K184" s="217">
        <f t="shared" si="44"/>
        <v>78.395132901388251</v>
      </c>
      <c r="L184" s="217">
        <f t="shared" si="45"/>
        <v>95.816273546141204</v>
      </c>
      <c r="M184" s="217">
        <f t="shared" si="46"/>
        <v>42.121361580994602</v>
      </c>
      <c r="N184" s="217">
        <f t="shared" si="47"/>
        <v>49.750643749544267</v>
      </c>
      <c r="O184">
        <v>1</v>
      </c>
      <c r="P184">
        <v>1</v>
      </c>
      <c r="Q184">
        <v>2</v>
      </c>
      <c r="R184">
        <v>2</v>
      </c>
      <c r="S184" s="884">
        <v>2</v>
      </c>
    </row>
    <row r="185" spans="1:19" ht="15" thickBot="1">
      <c r="A185" s="885" t="s">
        <v>182</v>
      </c>
      <c r="B185" s="886">
        <v>2021</v>
      </c>
      <c r="C185" s="886" t="s">
        <v>92</v>
      </c>
      <c r="D185" s="891">
        <v>31.52266663</v>
      </c>
      <c r="E185" s="891">
        <v>207.02088499999999</v>
      </c>
      <c r="F185" s="891">
        <v>51.45962316</v>
      </c>
      <c r="G185" s="891">
        <f t="shared" si="40"/>
        <v>0.80091487932178473</v>
      </c>
      <c r="H185" s="891">
        <f t="shared" si="41"/>
        <v>0.19908512067821527</v>
      </c>
      <c r="I185" s="892">
        <f t="shared" si="42"/>
        <v>181.7739122601327</v>
      </c>
      <c r="J185" s="892">
        <f t="shared" si="43"/>
        <v>45.183929269867299</v>
      </c>
      <c r="K185" s="891">
        <f t="shared" si="44"/>
        <v>163.59652103411943</v>
      </c>
      <c r="L185" s="891">
        <f t="shared" si="45"/>
        <v>199.951303486146</v>
      </c>
      <c r="M185" s="891">
        <f t="shared" si="46"/>
        <v>52.237140628893592</v>
      </c>
      <c r="N185" s="891">
        <f t="shared" si="47"/>
        <v>61.698655418003803</v>
      </c>
      <c r="O185" s="501">
        <v>1</v>
      </c>
      <c r="P185" s="501">
        <v>1</v>
      </c>
      <c r="Q185" s="501">
        <v>2</v>
      </c>
      <c r="R185" s="501">
        <v>2</v>
      </c>
      <c r="S185" s="887">
        <v>2</v>
      </c>
    </row>
    <row r="186" spans="1:19">
      <c r="A186" s="858" t="s">
        <v>182</v>
      </c>
      <c r="B186" s="858">
        <v>2022</v>
      </c>
      <c r="C186" s="858" t="s">
        <v>99</v>
      </c>
      <c r="D186" s="217">
        <v>19.94769054</v>
      </c>
      <c r="E186" s="217">
        <v>174.44249690000001</v>
      </c>
      <c r="F186" s="217">
        <v>21.639491939999999</v>
      </c>
      <c r="G186" s="217">
        <f t="shared" si="40"/>
        <v>0.88964059336598478</v>
      </c>
      <c r="H186" s="217">
        <f t="shared" si="41"/>
        <v>0.11035940663401522</v>
      </c>
      <c r="I186" s="888">
        <f t="shared" si="42"/>
        <v>156.69622165171336</v>
      </c>
      <c r="J186" s="888">
        <f t="shared" si="43"/>
        <v>19.438076648286639</v>
      </c>
      <c r="K186" s="217">
        <f t="shared" si="44"/>
        <v>141.02659948654204</v>
      </c>
      <c r="L186" s="217">
        <f t="shared" si="45"/>
        <v>172.36584381688471</v>
      </c>
      <c r="M186" s="217">
        <f t="shared" si="46"/>
        <v>22.472360413084186</v>
      </c>
      <c r="N186" s="217">
        <f t="shared" si="47"/>
        <v>26.542693663235408</v>
      </c>
      <c r="O186">
        <v>1</v>
      </c>
      <c r="P186">
        <v>1</v>
      </c>
      <c r="Q186">
        <v>2</v>
      </c>
      <c r="R186">
        <v>2</v>
      </c>
      <c r="S186">
        <v>2</v>
      </c>
    </row>
    <row r="187" spans="1:19">
      <c r="A187" s="858" t="s">
        <v>182</v>
      </c>
      <c r="B187" s="858">
        <v>2022</v>
      </c>
      <c r="C187" s="858" t="s">
        <v>98</v>
      </c>
      <c r="D187" s="217">
        <v>35.970946230000003</v>
      </c>
      <c r="E187" s="217">
        <v>302.07964800000002</v>
      </c>
      <c r="F187" s="217">
        <v>44.057437950000001</v>
      </c>
      <c r="G187" s="217">
        <f t="shared" si="40"/>
        <v>0.87271679418840387</v>
      </c>
      <c r="H187" s="217">
        <f t="shared" si="41"/>
        <v>0.12728320581159613</v>
      </c>
      <c r="I187" s="888">
        <f t="shared" si="42"/>
        <v>270.68719912223094</v>
      </c>
      <c r="J187" s="888">
        <f t="shared" si="43"/>
        <v>39.478940597769054</v>
      </c>
      <c r="K187" s="217">
        <f t="shared" si="44"/>
        <v>243.61847921000785</v>
      </c>
      <c r="L187" s="217">
        <f t="shared" si="45"/>
        <v>297.75591903445405</v>
      </c>
      <c r="M187" s="217">
        <f t="shared" si="46"/>
        <v>45.641603225080807</v>
      </c>
      <c r="N187" s="217">
        <f t="shared" si="47"/>
        <v>53.908493386253646</v>
      </c>
      <c r="O187">
        <v>1</v>
      </c>
      <c r="P187">
        <v>1</v>
      </c>
      <c r="Q187">
        <v>2</v>
      </c>
      <c r="R187">
        <v>2</v>
      </c>
      <c r="S187">
        <v>2</v>
      </c>
    </row>
    <row r="188" spans="1:19">
      <c r="A188" s="858" t="s">
        <v>182</v>
      </c>
      <c r="B188" s="858">
        <v>2022</v>
      </c>
      <c r="C188" s="858" t="s">
        <v>95</v>
      </c>
      <c r="D188" s="217">
        <v>47.72522077</v>
      </c>
      <c r="E188" s="217">
        <v>365.93415850000002</v>
      </c>
      <c r="F188" s="217">
        <v>57.873759470000003</v>
      </c>
      <c r="G188" s="217">
        <f t="shared" si="40"/>
        <v>0.86344342090820336</v>
      </c>
      <c r="H188" s="217">
        <f t="shared" si="41"/>
        <v>0.13655657909179664</v>
      </c>
      <c r="I188" s="888">
        <f t="shared" si="42"/>
        <v>324.72613061475198</v>
      </c>
      <c r="J188" s="888">
        <f t="shared" si="43"/>
        <v>51.356566585248046</v>
      </c>
      <c r="K188" s="217">
        <f t="shared" si="44"/>
        <v>292.25351755327677</v>
      </c>
      <c r="L188" s="217">
        <f t="shared" si="45"/>
        <v>357.1987436762272</v>
      </c>
      <c r="M188" s="217">
        <f t="shared" si="46"/>
        <v>59.373326629205273</v>
      </c>
      <c r="N188" s="217">
        <f t="shared" si="47"/>
        <v>70.127391672156222</v>
      </c>
      <c r="O188">
        <v>1</v>
      </c>
      <c r="P188">
        <v>1</v>
      </c>
      <c r="Q188">
        <v>2</v>
      </c>
      <c r="R188">
        <v>2</v>
      </c>
      <c r="S188">
        <v>2</v>
      </c>
    </row>
    <row r="189" spans="1:19">
      <c r="A189" s="858" t="s">
        <v>182</v>
      </c>
      <c r="B189" s="858">
        <v>2022</v>
      </c>
      <c r="C189" s="858" t="s">
        <v>91</v>
      </c>
      <c r="D189" s="217">
        <v>211.9039769</v>
      </c>
      <c r="E189" s="217">
        <v>1835.666939</v>
      </c>
      <c r="F189" s="217">
        <v>202.7783565</v>
      </c>
      <c r="G189" s="217">
        <f t="shared" si="40"/>
        <v>0.90052303245633014</v>
      </c>
      <c r="H189" s="217">
        <f t="shared" si="41"/>
        <v>9.9476967543669859E-2</v>
      </c>
      <c r="I189" s="888">
        <f t="shared" si="42"/>
        <v>1644.8425271324559</v>
      </c>
      <c r="J189" s="888">
        <f t="shared" si="43"/>
        <v>181.69879146754414</v>
      </c>
      <c r="K189" s="217">
        <f t="shared" si="44"/>
        <v>1480.3582744192104</v>
      </c>
      <c r="L189" s="217">
        <f t="shared" si="45"/>
        <v>1809.3267798457016</v>
      </c>
      <c r="M189" s="217">
        <f t="shared" si="46"/>
        <v>210.0619728156278</v>
      </c>
      <c r="N189" s="217">
        <f t="shared" si="47"/>
        <v>248.10969974893155</v>
      </c>
      <c r="O189">
        <v>1</v>
      </c>
      <c r="P189">
        <v>1</v>
      </c>
      <c r="Q189">
        <v>2</v>
      </c>
      <c r="R189">
        <v>2</v>
      </c>
      <c r="S189">
        <v>2</v>
      </c>
    </row>
    <row r="190" spans="1:19">
      <c r="A190" s="858" t="s">
        <v>182</v>
      </c>
      <c r="B190" s="858">
        <v>2022</v>
      </c>
      <c r="C190" s="858" t="s">
        <v>93</v>
      </c>
      <c r="D190" s="217">
        <v>32.360505860000004</v>
      </c>
      <c r="E190" s="217">
        <v>201.54410580000001</v>
      </c>
      <c r="F190" s="217">
        <v>60.490549710000003</v>
      </c>
      <c r="G190" s="217">
        <f t="shared" si="40"/>
        <v>0.76915057440678303</v>
      </c>
      <c r="H190" s="217">
        <f t="shared" si="41"/>
        <v>0.23084942559321697</v>
      </c>
      <c r="I190" s="888">
        <f t="shared" si="42"/>
        <v>176.65400412968694</v>
      </c>
      <c r="J190" s="888">
        <f t="shared" si="43"/>
        <v>53.020145520313072</v>
      </c>
      <c r="K190" s="217">
        <f t="shared" si="44"/>
        <v>158.98860371671825</v>
      </c>
      <c r="L190" s="217">
        <f t="shared" si="45"/>
        <v>194.31940454265566</v>
      </c>
      <c r="M190" s="217">
        <f t="shared" si="46"/>
        <v>61.29659023603395</v>
      </c>
      <c r="N190" s="217">
        <f t="shared" si="47"/>
        <v>72.399008707987505</v>
      </c>
      <c r="O190">
        <v>1</v>
      </c>
      <c r="P190">
        <v>1</v>
      </c>
      <c r="Q190">
        <v>2</v>
      </c>
      <c r="R190">
        <v>2</v>
      </c>
      <c r="S190">
        <v>2</v>
      </c>
    </row>
    <row r="191" spans="1:19">
      <c r="A191" s="858" t="s">
        <v>182</v>
      </c>
      <c r="B191" s="858">
        <v>2022</v>
      </c>
      <c r="C191" s="858" t="s">
        <v>90</v>
      </c>
      <c r="D191" s="217">
        <v>20.240468360000001</v>
      </c>
      <c r="E191" s="217">
        <v>129.88248110000001</v>
      </c>
      <c r="F191" s="217">
        <v>36.89831642</v>
      </c>
      <c r="G191" s="217">
        <f t="shared" si="40"/>
        <v>0.7787616022427567</v>
      </c>
      <c r="H191" s="217">
        <f t="shared" si="41"/>
        <v>0.2212383977572433</v>
      </c>
      <c r="I191" s="888">
        <f t="shared" si="42"/>
        <v>114.11998152982258</v>
      </c>
      <c r="J191" s="888">
        <f t="shared" si="43"/>
        <v>32.420347630177424</v>
      </c>
      <c r="K191" s="217">
        <f t="shared" si="44"/>
        <v>102.70798337684033</v>
      </c>
      <c r="L191" s="217">
        <f t="shared" si="45"/>
        <v>125.53197968280485</v>
      </c>
      <c r="M191" s="217">
        <f t="shared" si="46"/>
        <v>37.481163895248123</v>
      </c>
      <c r="N191" s="217">
        <f t="shared" si="47"/>
        <v>44.269984689007281</v>
      </c>
      <c r="O191">
        <v>1</v>
      </c>
      <c r="P191">
        <v>1</v>
      </c>
      <c r="Q191">
        <v>2</v>
      </c>
      <c r="R191">
        <v>2</v>
      </c>
      <c r="S191">
        <v>2</v>
      </c>
    </row>
    <row r="192" spans="1:19">
      <c r="A192" s="858" t="s">
        <v>182</v>
      </c>
      <c r="B192" s="858">
        <v>2022</v>
      </c>
      <c r="C192" s="858" t="s">
        <v>92</v>
      </c>
      <c r="D192" s="217">
        <v>33.983690789999997</v>
      </c>
      <c r="E192" s="217">
        <v>268.60700700000001</v>
      </c>
      <c r="F192" s="217">
        <v>49.070206519999999</v>
      </c>
      <c r="G192" s="217">
        <f t="shared" si="40"/>
        <v>0.84553438386001623</v>
      </c>
      <c r="H192" s="217">
        <f t="shared" si="41"/>
        <v>0.15446561613998377</v>
      </c>
      <c r="I192" s="888">
        <f t="shared" si="42"/>
        <v>239.87262794658807</v>
      </c>
      <c r="J192" s="888">
        <f t="shared" si="43"/>
        <v>43.820894783411958</v>
      </c>
      <c r="K192" s="217">
        <f t="shared" si="44"/>
        <v>215.88536515192928</v>
      </c>
      <c r="L192" s="217">
        <f t="shared" si="45"/>
        <v>263.85989074124689</v>
      </c>
      <c r="M192" s="217">
        <f t="shared" si="46"/>
        <v>50.661336459102571</v>
      </c>
      <c r="N192" s="217">
        <f t="shared" si="47"/>
        <v>59.837431826749039</v>
      </c>
      <c r="O192">
        <v>1</v>
      </c>
      <c r="P192">
        <v>1</v>
      </c>
      <c r="Q192">
        <v>2</v>
      </c>
      <c r="R192">
        <v>2</v>
      </c>
      <c r="S192">
        <v>2</v>
      </c>
    </row>
    <row r="194" spans="1:9" s="1018" customFormat="1">
      <c r="A194" s="1008" t="s">
        <v>2192</v>
      </c>
    </row>
    <row r="195" spans="1:9" s="1018" customFormat="1"/>
    <row r="196" spans="1:9">
      <c r="A196" s="858" t="s">
        <v>1005</v>
      </c>
      <c r="B196" s="858" t="s">
        <v>101</v>
      </c>
      <c r="C196" s="858" t="s">
        <v>102</v>
      </c>
      <c r="D196" s="918" t="s">
        <v>2194</v>
      </c>
      <c r="E196" s="862" t="s">
        <v>2195</v>
      </c>
      <c r="F196" s="918" t="s">
        <v>2196</v>
      </c>
      <c r="G196" s="918" t="s">
        <v>2197</v>
      </c>
      <c r="H196" s="862" t="s">
        <v>2198</v>
      </c>
      <c r="I196" s="862" t="s">
        <v>2199</v>
      </c>
    </row>
    <row r="197" spans="1:9">
      <c r="A197" s="858" t="s">
        <v>2193</v>
      </c>
      <c r="B197" s="858">
        <f t="shared" ref="B197:C216" si="48">B109</f>
        <v>2011</v>
      </c>
      <c r="C197" s="858" t="str">
        <f t="shared" si="48"/>
        <v>Acryl</v>
      </c>
      <c r="D197" s="919">
        <f t="shared" ref="D197:D228" si="49">E109</f>
        <v>154.79480140000001</v>
      </c>
      <c r="E197" s="920">
        <f t="shared" ref="E197:E228" si="50">F20</f>
        <v>14.88017883</v>
      </c>
      <c r="F197" s="919">
        <f t="shared" ref="F197:F228" si="51">D197*$B$7</f>
        <v>178.95826989854004</v>
      </c>
      <c r="G197" s="919">
        <f t="shared" ref="G197:G228" si="52">D197*$B$6</f>
        <v>211.37230131170003</v>
      </c>
      <c r="H197" s="920">
        <f t="shared" ref="H197:H228" si="53">E197*$B$7</f>
        <v>17.202974745363001</v>
      </c>
      <c r="I197" s="920">
        <f t="shared" ref="I197:I228" si="54">E197*$B$6</f>
        <v>20.318884192365001</v>
      </c>
    </row>
    <row r="198" spans="1:9">
      <c r="A198" s="858" t="s">
        <v>2193</v>
      </c>
      <c r="B198" s="858">
        <f t="shared" si="48"/>
        <v>2011</v>
      </c>
      <c r="C198" s="858" t="str">
        <f t="shared" si="48"/>
        <v>OTHER</v>
      </c>
      <c r="D198" s="919">
        <f t="shared" si="49"/>
        <v>284.40419350000002</v>
      </c>
      <c r="E198" s="920">
        <f t="shared" si="50"/>
        <v>26.8794705</v>
      </c>
      <c r="F198" s="919">
        <f t="shared" si="51"/>
        <v>328.79968810535007</v>
      </c>
      <c r="G198" s="919">
        <f t="shared" si="52"/>
        <v>388.35392622425007</v>
      </c>
      <c r="H198" s="920">
        <f t="shared" si="53"/>
        <v>31.075355845050005</v>
      </c>
      <c r="I198" s="920">
        <f t="shared" si="54"/>
        <v>36.703916967750004</v>
      </c>
    </row>
    <row r="199" spans="1:9">
      <c r="A199" s="858" t="s">
        <v>2193</v>
      </c>
      <c r="B199" s="858">
        <f t="shared" si="48"/>
        <v>2011</v>
      </c>
      <c r="C199" s="858" t="str">
        <f t="shared" si="48"/>
        <v>PA</v>
      </c>
      <c r="D199" s="919">
        <f t="shared" si="49"/>
        <v>344.29726210000001</v>
      </c>
      <c r="E199" s="920">
        <f t="shared" si="50"/>
        <v>35.543951159999999</v>
      </c>
      <c r="F199" s="919">
        <f t="shared" si="51"/>
        <v>398.04206471381008</v>
      </c>
      <c r="G199" s="919">
        <f t="shared" si="52"/>
        <v>470.13791139755006</v>
      </c>
      <c r="H199" s="920">
        <f t="shared" si="53"/>
        <v>41.092361936076003</v>
      </c>
      <c r="I199" s="920">
        <f t="shared" si="54"/>
        <v>48.535265308980001</v>
      </c>
    </row>
    <row r="200" spans="1:9">
      <c r="A200" s="858" t="s">
        <v>2193</v>
      </c>
      <c r="B200" s="858">
        <f t="shared" si="48"/>
        <v>2011</v>
      </c>
      <c r="C200" s="858" t="str">
        <f t="shared" si="48"/>
        <v>PET</v>
      </c>
      <c r="D200" s="919">
        <f t="shared" si="49"/>
        <v>1556.854681</v>
      </c>
      <c r="E200" s="920">
        <f t="shared" si="50"/>
        <v>165.93556570000001</v>
      </c>
      <c r="F200" s="919">
        <f t="shared" si="51"/>
        <v>1799.8796967041003</v>
      </c>
      <c r="G200" s="919">
        <f t="shared" si="52"/>
        <v>2125.8850669055005</v>
      </c>
      <c r="H200" s="920">
        <f t="shared" si="53"/>
        <v>191.83810750577004</v>
      </c>
      <c r="I200" s="920">
        <f t="shared" si="54"/>
        <v>226.58501496335003</v>
      </c>
    </row>
    <row r="201" spans="1:9">
      <c r="A201" s="858" t="s">
        <v>2193</v>
      </c>
      <c r="B201" s="858">
        <f t="shared" si="48"/>
        <v>2011</v>
      </c>
      <c r="C201" s="858" t="str">
        <f t="shared" si="48"/>
        <v>PUR</v>
      </c>
      <c r="D201" s="919">
        <f t="shared" si="49"/>
        <v>193.65664330000001</v>
      </c>
      <c r="E201" s="920">
        <f t="shared" si="50"/>
        <v>18.855066050000001</v>
      </c>
      <c r="F201" s="919">
        <f t="shared" si="51"/>
        <v>223.88644531913005</v>
      </c>
      <c r="G201" s="919">
        <f t="shared" si="52"/>
        <v>264.43814642615007</v>
      </c>
      <c r="H201" s="920">
        <f t="shared" si="53"/>
        <v>21.798341860405003</v>
      </c>
      <c r="I201" s="920">
        <f t="shared" si="54"/>
        <v>25.746592691275005</v>
      </c>
    </row>
    <row r="202" spans="1:9">
      <c r="A202" s="858" t="s">
        <v>2193</v>
      </c>
      <c r="B202" s="858">
        <f t="shared" si="48"/>
        <v>2011</v>
      </c>
      <c r="C202" s="858" t="str">
        <f t="shared" si="48"/>
        <v>PVC</v>
      </c>
      <c r="D202" s="919">
        <f t="shared" si="49"/>
        <v>125.237415</v>
      </c>
      <c r="E202" s="920">
        <f t="shared" si="50"/>
        <v>12.144934279999999</v>
      </c>
      <c r="F202" s="919">
        <f t="shared" si="51"/>
        <v>144.78697548150001</v>
      </c>
      <c r="G202" s="919">
        <f t="shared" si="52"/>
        <v>171.01169018250002</v>
      </c>
      <c r="H202" s="920">
        <f t="shared" si="53"/>
        <v>14.040758521108001</v>
      </c>
      <c r="I202" s="920">
        <f t="shared" si="54"/>
        <v>16.583907759340001</v>
      </c>
    </row>
    <row r="203" spans="1:9">
      <c r="A203" s="858" t="s">
        <v>2193</v>
      </c>
      <c r="B203" s="858">
        <f t="shared" si="48"/>
        <v>2011</v>
      </c>
      <c r="C203" s="858" t="str">
        <f t="shared" si="48"/>
        <v>RUBBER</v>
      </c>
      <c r="D203" s="919">
        <f t="shared" si="49"/>
        <v>265.05502430000001</v>
      </c>
      <c r="E203" s="920">
        <f t="shared" si="50"/>
        <v>25.408375240000002</v>
      </c>
      <c r="F203" s="919">
        <f t="shared" si="51"/>
        <v>306.43011359323003</v>
      </c>
      <c r="G203" s="919">
        <f t="shared" si="52"/>
        <v>361.93263568165008</v>
      </c>
      <c r="H203" s="920">
        <f t="shared" si="53"/>
        <v>29.374622614964004</v>
      </c>
      <c r="I203" s="920">
        <f t="shared" si="54"/>
        <v>34.695136390220007</v>
      </c>
    </row>
    <row r="204" spans="1:9">
      <c r="A204" s="858" t="s">
        <v>2193</v>
      </c>
      <c r="B204" s="858">
        <f t="shared" si="48"/>
        <v>2012</v>
      </c>
      <c r="C204" s="858" t="str">
        <f t="shared" si="48"/>
        <v>Acryl</v>
      </c>
      <c r="D204" s="919">
        <f t="shared" si="49"/>
        <v>118.0618427</v>
      </c>
      <c r="E204" s="920">
        <f t="shared" si="50"/>
        <v>11.6254262</v>
      </c>
      <c r="F204" s="919">
        <f t="shared" si="51"/>
        <v>136.49129634547</v>
      </c>
      <c r="G204" s="919">
        <f t="shared" si="52"/>
        <v>161.21344620685002</v>
      </c>
      <c r="H204" s="920">
        <f t="shared" si="53"/>
        <v>13.440155229820002</v>
      </c>
      <c r="I204" s="920">
        <f t="shared" si="54"/>
        <v>15.874519476100001</v>
      </c>
    </row>
    <row r="205" spans="1:9">
      <c r="A205" s="858" t="s">
        <v>2193</v>
      </c>
      <c r="B205" s="858">
        <f t="shared" si="48"/>
        <v>2012</v>
      </c>
      <c r="C205" s="858" t="str">
        <f t="shared" si="48"/>
        <v>OTHER</v>
      </c>
      <c r="D205" s="919">
        <f t="shared" si="49"/>
        <v>231.35441180000001</v>
      </c>
      <c r="E205" s="920">
        <f t="shared" si="50"/>
        <v>22.082020279999998</v>
      </c>
      <c r="F205" s="919">
        <f t="shared" si="51"/>
        <v>267.46883548198002</v>
      </c>
      <c r="G205" s="919">
        <f t="shared" si="52"/>
        <v>315.91444931290005</v>
      </c>
      <c r="H205" s="920">
        <f t="shared" si="53"/>
        <v>25.529023645708001</v>
      </c>
      <c r="I205" s="920">
        <f t="shared" si="54"/>
        <v>30.152998692340002</v>
      </c>
    </row>
    <row r="206" spans="1:9">
      <c r="A206" s="858" t="s">
        <v>2193</v>
      </c>
      <c r="B206" s="858">
        <f t="shared" si="48"/>
        <v>2012</v>
      </c>
      <c r="C206" s="858" t="str">
        <f t="shared" si="48"/>
        <v>PA</v>
      </c>
      <c r="D206" s="919">
        <f t="shared" si="49"/>
        <v>255.0306353</v>
      </c>
      <c r="E206" s="920">
        <f t="shared" si="50"/>
        <v>25.704587830000001</v>
      </c>
      <c r="F206" s="919">
        <f t="shared" si="51"/>
        <v>294.84091747033006</v>
      </c>
      <c r="G206" s="919">
        <f t="shared" si="52"/>
        <v>348.24433250215003</v>
      </c>
      <c r="H206" s="920">
        <f t="shared" si="53"/>
        <v>29.717073990263003</v>
      </c>
      <c r="I206" s="920">
        <f t="shared" si="54"/>
        <v>35.099614681865006</v>
      </c>
    </row>
    <row r="207" spans="1:9">
      <c r="A207" s="858" t="s">
        <v>2193</v>
      </c>
      <c r="B207" s="858">
        <f t="shared" si="48"/>
        <v>2012</v>
      </c>
      <c r="C207" s="858" t="str">
        <f t="shared" si="48"/>
        <v>PET</v>
      </c>
      <c r="D207" s="919">
        <f t="shared" si="49"/>
        <v>1356.107812</v>
      </c>
      <c r="E207" s="920">
        <f t="shared" si="50"/>
        <v>151.22031179999999</v>
      </c>
      <c r="F207" s="919">
        <f t="shared" si="51"/>
        <v>1567.7962414532001</v>
      </c>
      <c r="G207" s="919">
        <f t="shared" si="52"/>
        <v>1851.7652172860003</v>
      </c>
      <c r="H207" s="920">
        <f t="shared" si="53"/>
        <v>174.82580247198001</v>
      </c>
      <c r="I207" s="920">
        <f t="shared" si="54"/>
        <v>206.49133576290001</v>
      </c>
    </row>
    <row r="208" spans="1:9">
      <c r="A208" s="858" t="s">
        <v>2193</v>
      </c>
      <c r="B208" s="858">
        <f t="shared" si="48"/>
        <v>2012</v>
      </c>
      <c r="C208" s="858" t="str">
        <f t="shared" si="48"/>
        <v>PUR</v>
      </c>
      <c r="D208" s="919">
        <f t="shared" si="49"/>
        <v>176.59557899999999</v>
      </c>
      <c r="E208" s="920">
        <f t="shared" si="50"/>
        <v>16.410014790000002</v>
      </c>
      <c r="F208" s="919">
        <f t="shared" si="51"/>
        <v>204.16214888190001</v>
      </c>
      <c r="G208" s="919">
        <f t="shared" si="52"/>
        <v>241.1412631245</v>
      </c>
      <c r="H208" s="920">
        <f t="shared" si="53"/>
        <v>18.971618098719006</v>
      </c>
      <c r="I208" s="920">
        <f t="shared" si="54"/>
        <v>22.407875195745007</v>
      </c>
    </row>
    <row r="209" spans="1:9">
      <c r="A209" s="858" t="s">
        <v>2193</v>
      </c>
      <c r="B209" s="858">
        <f t="shared" si="48"/>
        <v>2012</v>
      </c>
      <c r="C209" s="858" t="str">
        <f t="shared" si="48"/>
        <v>PVC</v>
      </c>
      <c r="D209" s="919">
        <f t="shared" si="49"/>
        <v>113.5729643</v>
      </c>
      <c r="E209" s="920">
        <f t="shared" si="50"/>
        <v>10.55823487</v>
      </c>
      <c r="F209" s="919">
        <f t="shared" si="51"/>
        <v>131.30170402723002</v>
      </c>
      <c r="G209" s="919">
        <f t="shared" si="52"/>
        <v>155.08388275165001</v>
      </c>
      <c r="H209" s="920">
        <f t="shared" si="53"/>
        <v>12.206375333207001</v>
      </c>
      <c r="I209" s="920">
        <f t="shared" si="54"/>
        <v>14.417269714985002</v>
      </c>
    </row>
    <row r="210" spans="1:9">
      <c r="A210" s="858" t="s">
        <v>2193</v>
      </c>
      <c r="B210" s="858">
        <f t="shared" si="48"/>
        <v>2012</v>
      </c>
      <c r="C210" s="858" t="str">
        <f t="shared" si="48"/>
        <v>RUBBER</v>
      </c>
      <c r="D210" s="919">
        <f t="shared" si="49"/>
        <v>233.94698829999999</v>
      </c>
      <c r="E210" s="920">
        <f t="shared" si="50"/>
        <v>22.08549344</v>
      </c>
      <c r="F210" s="919">
        <f t="shared" si="51"/>
        <v>270.46611317362999</v>
      </c>
      <c r="G210" s="919">
        <f t="shared" si="52"/>
        <v>319.45461252365004</v>
      </c>
      <c r="H210" s="920">
        <f t="shared" si="53"/>
        <v>25.533038965984005</v>
      </c>
      <c r="I210" s="920">
        <f t="shared" si="54"/>
        <v>30.157741292320004</v>
      </c>
    </row>
    <row r="211" spans="1:9">
      <c r="A211" s="858" t="s">
        <v>2193</v>
      </c>
      <c r="B211" s="858">
        <f t="shared" si="48"/>
        <v>2013</v>
      </c>
      <c r="C211" s="858" t="str">
        <f t="shared" si="48"/>
        <v>Acryl</v>
      </c>
      <c r="D211" s="919">
        <f t="shared" si="49"/>
        <v>124.4614761</v>
      </c>
      <c r="E211" s="920">
        <f t="shared" si="50"/>
        <v>13.75505044</v>
      </c>
      <c r="F211" s="919">
        <f t="shared" si="51"/>
        <v>143.88991251921001</v>
      </c>
      <c r="G211" s="919">
        <f t="shared" si="52"/>
        <v>169.95214561455001</v>
      </c>
      <c r="H211" s="920">
        <f t="shared" si="53"/>
        <v>15.902213813684002</v>
      </c>
      <c r="I211" s="920">
        <f t="shared" si="54"/>
        <v>18.782521375820004</v>
      </c>
    </row>
    <row r="212" spans="1:9">
      <c r="A212" s="858" t="s">
        <v>2193</v>
      </c>
      <c r="B212" s="858">
        <f t="shared" si="48"/>
        <v>2013</v>
      </c>
      <c r="C212" s="858" t="str">
        <f t="shared" si="48"/>
        <v>OTHER</v>
      </c>
      <c r="D212" s="919">
        <f t="shared" si="49"/>
        <v>241.3969587</v>
      </c>
      <c r="E212" s="920">
        <f t="shared" si="50"/>
        <v>26.373243429999999</v>
      </c>
      <c r="F212" s="919">
        <f t="shared" si="51"/>
        <v>279.07902395307002</v>
      </c>
      <c r="G212" s="919">
        <f t="shared" si="52"/>
        <v>329.62754710485001</v>
      </c>
      <c r="H212" s="920">
        <f t="shared" si="53"/>
        <v>30.490106729423001</v>
      </c>
      <c r="I212" s="920">
        <f t="shared" si="54"/>
        <v>36.012663903665</v>
      </c>
    </row>
    <row r="213" spans="1:9">
      <c r="A213" s="858" t="s">
        <v>2193</v>
      </c>
      <c r="B213" s="858">
        <f t="shared" si="48"/>
        <v>2013</v>
      </c>
      <c r="C213" s="858" t="str">
        <f t="shared" si="48"/>
        <v>PA</v>
      </c>
      <c r="D213" s="919">
        <f t="shared" si="49"/>
        <v>266.1203342</v>
      </c>
      <c r="E213" s="920">
        <f t="shared" si="50"/>
        <v>29.860490800000001</v>
      </c>
      <c r="F213" s="919">
        <f t="shared" si="51"/>
        <v>307.66171836862003</v>
      </c>
      <c r="G213" s="919">
        <f t="shared" si="52"/>
        <v>363.38731635010004</v>
      </c>
      <c r="H213" s="920">
        <f t="shared" si="53"/>
        <v>34.521713413880008</v>
      </c>
      <c r="I213" s="920">
        <f t="shared" si="54"/>
        <v>40.774500187400008</v>
      </c>
    </row>
    <row r="214" spans="1:9">
      <c r="A214" s="858" t="s">
        <v>2193</v>
      </c>
      <c r="B214" s="858">
        <f t="shared" si="48"/>
        <v>2013</v>
      </c>
      <c r="C214" s="858" t="str">
        <f t="shared" si="48"/>
        <v>PET</v>
      </c>
      <c r="D214" s="919">
        <f t="shared" si="49"/>
        <v>1426.866741</v>
      </c>
      <c r="E214" s="920">
        <f t="shared" si="50"/>
        <v>176.01498960000001</v>
      </c>
      <c r="F214" s="919">
        <f t="shared" si="51"/>
        <v>1649.6006392701001</v>
      </c>
      <c r="G214" s="919">
        <f t="shared" si="52"/>
        <v>1948.3865348355002</v>
      </c>
      <c r="H214" s="920">
        <f t="shared" si="53"/>
        <v>203.49092947656004</v>
      </c>
      <c r="I214" s="920">
        <f t="shared" si="54"/>
        <v>240.34846829880004</v>
      </c>
    </row>
    <row r="215" spans="1:9">
      <c r="A215" s="858" t="s">
        <v>2193</v>
      </c>
      <c r="B215" s="858">
        <f t="shared" si="48"/>
        <v>2013</v>
      </c>
      <c r="C215" s="858" t="str">
        <f t="shared" si="48"/>
        <v>PUR</v>
      </c>
      <c r="D215" s="919">
        <f t="shared" si="49"/>
        <v>182.33374789999999</v>
      </c>
      <c r="E215" s="920">
        <f t="shared" si="50"/>
        <v>17.78924628</v>
      </c>
      <c r="F215" s="919">
        <f t="shared" si="51"/>
        <v>210.79604594719001</v>
      </c>
      <c r="G215" s="919">
        <f t="shared" si="52"/>
        <v>248.97673275745001</v>
      </c>
      <c r="H215" s="920">
        <f t="shared" si="53"/>
        <v>20.566147624308002</v>
      </c>
      <c r="I215" s="920">
        <f t="shared" si="54"/>
        <v>24.291215795340005</v>
      </c>
    </row>
    <row r="216" spans="1:9">
      <c r="A216" s="858" t="s">
        <v>2193</v>
      </c>
      <c r="B216" s="858">
        <f t="shared" si="48"/>
        <v>2013</v>
      </c>
      <c r="C216" s="858" t="str">
        <f t="shared" si="48"/>
        <v>PVC</v>
      </c>
      <c r="D216" s="919">
        <f t="shared" si="49"/>
        <v>117.31112760000001</v>
      </c>
      <c r="E216" s="920">
        <f t="shared" si="50"/>
        <v>11.52437542</v>
      </c>
      <c r="F216" s="919">
        <f t="shared" si="51"/>
        <v>135.62339461836001</v>
      </c>
      <c r="G216" s="919">
        <f t="shared" si="52"/>
        <v>160.18834473780004</v>
      </c>
      <c r="H216" s="920">
        <f t="shared" si="53"/>
        <v>13.323330423062002</v>
      </c>
      <c r="I216" s="920">
        <f t="shared" si="54"/>
        <v>15.736534636010003</v>
      </c>
    </row>
    <row r="217" spans="1:9">
      <c r="A217" s="858" t="s">
        <v>2193</v>
      </c>
      <c r="B217" s="858">
        <f t="shared" ref="B217:C236" si="55">B129</f>
        <v>2013</v>
      </c>
      <c r="C217" s="858" t="str">
        <f t="shared" si="55"/>
        <v>RUBBER</v>
      </c>
      <c r="D217" s="919">
        <f t="shared" si="49"/>
        <v>242.25254770000001</v>
      </c>
      <c r="E217" s="920">
        <f t="shared" si="50"/>
        <v>25.210982940000001</v>
      </c>
      <c r="F217" s="919">
        <f t="shared" si="51"/>
        <v>280.06817039597001</v>
      </c>
      <c r="G217" s="919">
        <f t="shared" si="52"/>
        <v>330.79585388435004</v>
      </c>
      <c r="H217" s="920">
        <f t="shared" si="53"/>
        <v>29.146417376934004</v>
      </c>
      <c r="I217" s="920">
        <f t="shared" si="54"/>
        <v>34.425597204570003</v>
      </c>
    </row>
    <row r="218" spans="1:9">
      <c r="A218" s="858" t="s">
        <v>2193</v>
      </c>
      <c r="B218" s="858">
        <f t="shared" si="55"/>
        <v>2014</v>
      </c>
      <c r="C218" s="858" t="str">
        <f t="shared" si="55"/>
        <v>Acryl</v>
      </c>
      <c r="D218" s="919">
        <f t="shared" si="49"/>
        <v>140.069447</v>
      </c>
      <c r="E218" s="920">
        <f t="shared" si="50"/>
        <v>17.677083199999998</v>
      </c>
      <c r="F218" s="919">
        <f t="shared" si="51"/>
        <v>161.93428767670002</v>
      </c>
      <c r="G218" s="919">
        <f t="shared" si="52"/>
        <v>191.26482987850002</v>
      </c>
      <c r="H218" s="920">
        <f t="shared" si="53"/>
        <v>20.43647588752</v>
      </c>
      <c r="I218" s="920">
        <f t="shared" si="54"/>
        <v>24.138057109600002</v>
      </c>
    </row>
    <row r="219" spans="1:9">
      <c r="A219" s="858" t="s">
        <v>2193</v>
      </c>
      <c r="B219" s="858">
        <f t="shared" si="55"/>
        <v>2014</v>
      </c>
      <c r="C219" s="858" t="str">
        <f t="shared" si="55"/>
        <v>OTHER</v>
      </c>
      <c r="D219" s="919">
        <f t="shared" si="49"/>
        <v>265.04560600000002</v>
      </c>
      <c r="E219" s="920">
        <f t="shared" si="50"/>
        <v>31.737233310000001</v>
      </c>
      <c r="F219" s="919">
        <f t="shared" si="51"/>
        <v>306.41922509660003</v>
      </c>
      <c r="G219" s="919">
        <f t="shared" si="52"/>
        <v>361.91977499300009</v>
      </c>
      <c r="H219" s="920">
        <f t="shared" si="53"/>
        <v>36.691415429691006</v>
      </c>
      <c r="I219" s="920">
        <f t="shared" si="54"/>
        <v>43.337192084805004</v>
      </c>
    </row>
    <row r="220" spans="1:9">
      <c r="A220" s="858" t="s">
        <v>2193</v>
      </c>
      <c r="B220" s="858">
        <f t="shared" si="55"/>
        <v>2014</v>
      </c>
      <c r="C220" s="858" t="str">
        <f t="shared" si="55"/>
        <v>PA</v>
      </c>
      <c r="D220" s="919">
        <f t="shared" si="49"/>
        <v>292.05010800000002</v>
      </c>
      <c r="E220" s="920">
        <f t="shared" si="50"/>
        <v>37.394253259999999</v>
      </c>
      <c r="F220" s="919">
        <f t="shared" si="51"/>
        <v>337.63912985880006</v>
      </c>
      <c r="G220" s="919">
        <f t="shared" si="52"/>
        <v>398.7944224740001</v>
      </c>
      <c r="H220" s="920">
        <f t="shared" si="53"/>
        <v>43.231496193886002</v>
      </c>
      <c r="I220" s="920">
        <f t="shared" si="54"/>
        <v>51.061852826530007</v>
      </c>
    </row>
    <row r="221" spans="1:9">
      <c r="A221" s="858" t="s">
        <v>2193</v>
      </c>
      <c r="B221" s="858">
        <f t="shared" si="55"/>
        <v>2014</v>
      </c>
      <c r="C221" s="858" t="str">
        <f t="shared" si="55"/>
        <v>PET</v>
      </c>
      <c r="D221" s="919">
        <f t="shared" si="49"/>
        <v>1561.442695</v>
      </c>
      <c r="E221" s="920">
        <f t="shared" si="50"/>
        <v>216.2397374</v>
      </c>
      <c r="F221" s="919">
        <f t="shared" si="51"/>
        <v>1805.1838996895001</v>
      </c>
      <c r="G221" s="919">
        <f t="shared" si="52"/>
        <v>2132.1500000225001</v>
      </c>
      <c r="H221" s="920">
        <f t="shared" si="53"/>
        <v>249.99476040814002</v>
      </c>
      <c r="I221" s="920">
        <f t="shared" si="54"/>
        <v>295.2753614197</v>
      </c>
    </row>
    <row r="222" spans="1:9">
      <c r="A222" s="858" t="s">
        <v>2193</v>
      </c>
      <c r="B222" s="858">
        <f t="shared" si="55"/>
        <v>2014</v>
      </c>
      <c r="C222" s="858" t="str">
        <f t="shared" si="55"/>
        <v>PUR</v>
      </c>
      <c r="D222" s="919">
        <f t="shared" si="49"/>
        <v>196.34233850000001</v>
      </c>
      <c r="E222" s="920">
        <f t="shared" si="50"/>
        <v>19.173431069999999</v>
      </c>
      <c r="F222" s="919">
        <f t="shared" si="51"/>
        <v>226.99137753985005</v>
      </c>
      <c r="G222" s="919">
        <f t="shared" si="52"/>
        <v>268.10546322175003</v>
      </c>
      <c r="H222" s="920">
        <f t="shared" si="53"/>
        <v>22.166403660027001</v>
      </c>
      <c r="I222" s="920">
        <f t="shared" si="54"/>
        <v>26.181320126085001</v>
      </c>
    </row>
    <row r="223" spans="1:9">
      <c r="A223" s="858" t="s">
        <v>2193</v>
      </c>
      <c r="B223" s="858">
        <f t="shared" si="55"/>
        <v>2014</v>
      </c>
      <c r="C223" s="858" t="str">
        <f t="shared" si="55"/>
        <v>PVC</v>
      </c>
      <c r="D223" s="919">
        <f t="shared" si="49"/>
        <v>126.4339274</v>
      </c>
      <c r="E223" s="920">
        <f t="shared" si="50"/>
        <v>12.48289201</v>
      </c>
      <c r="F223" s="919">
        <f t="shared" si="51"/>
        <v>146.17026346714002</v>
      </c>
      <c r="G223" s="919">
        <f t="shared" si="52"/>
        <v>172.64552786470003</v>
      </c>
      <c r="H223" s="920">
        <f t="shared" si="53"/>
        <v>14.431471452761002</v>
      </c>
      <c r="I223" s="920">
        <f t="shared" si="54"/>
        <v>17.045389039655003</v>
      </c>
    </row>
    <row r="224" spans="1:9">
      <c r="A224" s="858" t="s">
        <v>2193</v>
      </c>
      <c r="B224" s="858">
        <f t="shared" si="55"/>
        <v>2014</v>
      </c>
      <c r="C224" s="858" t="str">
        <f t="shared" si="55"/>
        <v>RUBBER</v>
      </c>
      <c r="D224" s="919">
        <f t="shared" si="49"/>
        <v>261.37115139999997</v>
      </c>
      <c r="E224" s="920">
        <f t="shared" si="50"/>
        <v>28.080355740000002</v>
      </c>
      <c r="F224" s="919">
        <f t="shared" si="51"/>
        <v>302.17118813354</v>
      </c>
      <c r="G224" s="919">
        <f t="shared" si="52"/>
        <v>356.90230723669998</v>
      </c>
      <c r="H224" s="920">
        <f t="shared" si="53"/>
        <v>32.463699271014008</v>
      </c>
      <c r="I224" s="920">
        <f t="shared" si="54"/>
        <v>38.34372576297001</v>
      </c>
    </row>
    <row r="225" spans="1:9">
      <c r="A225" s="858" t="s">
        <v>2193</v>
      </c>
      <c r="B225" s="858">
        <f t="shared" si="55"/>
        <v>2015</v>
      </c>
      <c r="C225" s="858" t="str">
        <f t="shared" si="55"/>
        <v>Acryl</v>
      </c>
      <c r="D225" s="919">
        <f t="shared" si="49"/>
        <v>131.8081186</v>
      </c>
      <c r="E225" s="920">
        <f t="shared" si="50"/>
        <v>15.481102010000001</v>
      </c>
      <c r="F225" s="919">
        <f t="shared" si="51"/>
        <v>152.38336591346001</v>
      </c>
      <c r="G225" s="919">
        <f t="shared" si="52"/>
        <v>179.98398594830002</v>
      </c>
      <c r="H225" s="920">
        <f t="shared" si="53"/>
        <v>17.897702033761004</v>
      </c>
      <c r="I225" s="920">
        <f t="shared" si="54"/>
        <v>21.139444794655002</v>
      </c>
    </row>
    <row r="226" spans="1:9">
      <c r="A226" s="858" t="s">
        <v>2193</v>
      </c>
      <c r="B226" s="858">
        <f t="shared" si="55"/>
        <v>2015</v>
      </c>
      <c r="C226" s="858" t="str">
        <f t="shared" si="55"/>
        <v>OTHER</v>
      </c>
      <c r="D226" s="919">
        <f t="shared" si="49"/>
        <v>243.84429309999999</v>
      </c>
      <c r="E226" s="920">
        <f t="shared" si="50"/>
        <v>28.91984428</v>
      </c>
      <c r="F226" s="919">
        <f t="shared" si="51"/>
        <v>281.90838725291002</v>
      </c>
      <c r="G226" s="919">
        <f t="shared" si="52"/>
        <v>332.96938222804999</v>
      </c>
      <c r="H226" s="920">
        <f t="shared" si="53"/>
        <v>33.434231972108002</v>
      </c>
      <c r="I226" s="920">
        <f t="shared" si="54"/>
        <v>39.490047364340001</v>
      </c>
    </row>
    <row r="227" spans="1:9">
      <c r="A227" s="858" t="s">
        <v>2193</v>
      </c>
      <c r="B227" s="858">
        <f t="shared" si="55"/>
        <v>2015</v>
      </c>
      <c r="C227" s="858" t="str">
        <f t="shared" si="55"/>
        <v>PA</v>
      </c>
      <c r="D227" s="919">
        <f t="shared" si="49"/>
        <v>277.75861909999998</v>
      </c>
      <c r="E227" s="920">
        <f t="shared" si="50"/>
        <v>34.434036740000003</v>
      </c>
      <c r="F227" s="919">
        <f t="shared" si="51"/>
        <v>321.11673954151001</v>
      </c>
      <c r="G227" s="919">
        <f t="shared" si="52"/>
        <v>379.27939438105</v>
      </c>
      <c r="H227" s="920">
        <f t="shared" si="53"/>
        <v>39.809189875114008</v>
      </c>
      <c r="I227" s="920">
        <f t="shared" si="54"/>
        <v>47.019677168470011</v>
      </c>
    </row>
    <row r="228" spans="1:9">
      <c r="A228" s="858" t="s">
        <v>2193</v>
      </c>
      <c r="B228" s="858">
        <f t="shared" si="55"/>
        <v>2015</v>
      </c>
      <c r="C228" s="858" t="str">
        <f t="shared" si="55"/>
        <v>PET</v>
      </c>
      <c r="D228" s="919">
        <f t="shared" si="49"/>
        <v>1494.6702990000001</v>
      </c>
      <c r="E228" s="920">
        <f t="shared" si="50"/>
        <v>198.16315019999999</v>
      </c>
      <c r="F228" s="919">
        <f t="shared" si="51"/>
        <v>1727.9883326739002</v>
      </c>
      <c r="G228" s="919">
        <f t="shared" si="52"/>
        <v>2040.9722932845004</v>
      </c>
      <c r="H228" s="920">
        <f t="shared" si="53"/>
        <v>229.09641794622001</v>
      </c>
      <c r="I228" s="920">
        <f t="shared" si="54"/>
        <v>270.5917815981</v>
      </c>
    </row>
    <row r="229" spans="1:9">
      <c r="A229" s="858" t="s">
        <v>2193</v>
      </c>
      <c r="B229" s="858">
        <f t="shared" si="55"/>
        <v>2015</v>
      </c>
      <c r="C229" s="858" t="str">
        <f t="shared" si="55"/>
        <v>PUR</v>
      </c>
      <c r="D229" s="919">
        <f t="shared" ref="D229:D260" si="56">E141</f>
        <v>186.7543919</v>
      </c>
      <c r="E229" s="920">
        <f t="shared" ref="E229:E260" si="57">F52</f>
        <v>18.440981300000001</v>
      </c>
      <c r="F229" s="919">
        <f t="shared" ref="F229:F260" si="58">D229*$B$7</f>
        <v>215.90675247559003</v>
      </c>
      <c r="G229" s="919">
        <f t="shared" ref="G229:G260" si="59">D229*$B$6</f>
        <v>255.01312213945002</v>
      </c>
      <c r="H229" s="920">
        <f t="shared" ref="H229:H260" si="60">E229*$B$7</f>
        <v>21.319618480930004</v>
      </c>
      <c r="I229" s="920">
        <f t="shared" ref="I229:I260" si="61">E229*$B$6</f>
        <v>25.181159965150005</v>
      </c>
    </row>
    <row r="230" spans="1:9">
      <c r="A230" s="858" t="s">
        <v>2193</v>
      </c>
      <c r="B230" s="858">
        <f t="shared" si="55"/>
        <v>2015</v>
      </c>
      <c r="C230" s="858" t="str">
        <f t="shared" si="55"/>
        <v>PVC</v>
      </c>
      <c r="D230" s="919">
        <f t="shared" si="56"/>
        <v>119.7308529</v>
      </c>
      <c r="E230" s="920">
        <f t="shared" si="57"/>
        <v>11.950123169999999</v>
      </c>
      <c r="F230" s="919">
        <f t="shared" si="58"/>
        <v>138.42083903769003</v>
      </c>
      <c r="G230" s="919">
        <f t="shared" si="59"/>
        <v>163.49247963495003</v>
      </c>
      <c r="H230" s="920">
        <f t="shared" si="60"/>
        <v>13.815537396837001</v>
      </c>
      <c r="I230" s="920">
        <f t="shared" si="61"/>
        <v>16.317893188635001</v>
      </c>
    </row>
    <row r="231" spans="1:9">
      <c r="A231" s="858" t="s">
        <v>2193</v>
      </c>
      <c r="B231" s="858">
        <f t="shared" si="55"/>
        <v>2015</v>
      </c>
      <c r="C231" s="858" t="str">
        <f t="shared" si="55"/>
        <v>RUBBER</v>
      </c>
      <c r="D231" s="919">
        <f t="shared" si="56"/>
        <v>241.73989510000001</v>
      </c>
      <c r="E231" s="920">
        <f t="shared" si="57"/>
        <v>26.29816748</v>
      </c>
      <c r="F231" s="919">
        <f t="shared" si="58"/>
        <v>279.47549272511003</v>
      </c>
      <c r="G231" s="919">
        <f t="shared" si="59"/>
        <v>330.09582675905006</v>
      </c>
      <c r="H231" s="920">
        <f t="shared" si="60"/>
        <v>30.403311423628004</v>
      </c>
      <c r="I231" s="920">
        <f t="shared" si="61"/>
        <v>35.910147693940004</v>
      </c>
    </row>
    <row r="232" spans="1:9">
      <c r="A232" s="858" t="s">
        <v>2193</v>
      </c>
      <c r="B232" s="858">
        <f t="shared" si="55"/>
        <v>2016</v>
      </c>
      <c r="C232" s="858" t="str">
        <f t="shared" si="55"/>
        <v>Acryl</v>
      </c>
      <c r="D232" s="919">
        <f t="shared" si="56"/>
        <v>137.5872952</v>
      </c>
      <c r="E232" s="920">
        <f t="shared" si="57"/>
        <v>16.501961649999998</v>
      </c>
      <c r="F232" s="919">
        <f t="shared" si="58"/>
        <v>159.06467198072002</v>
      </c>
      <c r="G232" s="919">
        <f t="shared" si="59"/>
        <v>187.87545159560003</v>
      </c>
      <c r="H232" s="920">
        <f t="shared" si="60"/>
        <v>19.077917863565002</v>
      </c>
      <c r="I232" s="920">
        <f t="shared" si="61"/>
        <v>22.533428633075001</v>
      </c>
    </row>
    <row r="233" spans="1:9">
      <c r="A233" s="858" t="s">
        <v>2193</v>
      </c>
      <c r="B233" s="858">
        <f t="shared" si="55"/>
        <v>2016</v>
      </c>
      <c r="C233" s="858" t="str">
        <f t="shared" si="55"/>
        <v>OTHER</v>
      </c>
      <c r="D233" s="919">
        <f t="shared" si="56"/>
        <v>246.2700877</v>
      </c>
      <c r="E233" s="920">
        <f t="shared" si="57"/>
        <v>32.143780939999999</v>
      </c>
      <c r="F233" s="919">
        <f t="shared" si="58"/>
        <v>284.71284838997002</v>
      </c>
      <c r="G233" s="919">
        <f t="shared" si="59"/>
        <v>336.28180475435005</v>
      </c>
      <c r="H233" s="920">
        <f t="shared" si="60"/>
        <v>37.161425144734004</v>
      </c>
      <c r="I233" s="920">
        <f t="shared" si="61"/>
        <v>43.892332873570005</v>
      </c>
    </row>
    <row r="234" spans="1:9">
      <c r="A234" s="858" t="s">
        <v>2193</v>
      </c>
      <c r="B234" s="858">
        <f t="shared" si="55"/>
        <v>2016</v>
      </c>
      <c r="C234" s="858" t="str">
        <f t="shared" si="55"/>
        <v>PA</v>
      </c>
      <c r="D234" s="919">
        <f t="shared" si="56"/>
        <v>289.55312179999999</v>
      </c>
      <c r="E234" s="920">
        <f t="shared" si="57"/>
        <v>39.27596527</v>
      </c>
      <c r="F234" s="919">
        <f t="shared" si="58"/>
        <v>334.75236411298005</v>
      </c>
      <c r="G234" s="919">
        <f t="shared" si="59"/>
        <v>395.38478781790002</v>
      </c>
      <c r="H234" s="920">
        <f t="shared" si="60"/>
        <v>45.406943448647006</v>
      </c>
      <c r="I234" s="920">
        <f t="shared" si="61"/>
        <v>53.631330576185007</v>
      </c>
    </row>
    <row r="235" spans="1:9">
      <c r="A235" s="858" t="s">
        <v>2193</v>
      </c>
      <c r="B235" s="858">
        <f t="shared" si="55"/>
        <v>2016</v>
      </c>
      <c r="C235" s="858" t="str">
        <f t="shared" si="55"/>
        <v>PET</v>
      </c>
      <c r="D235" s="919">
        <f t="shared" si="56"/>
        <v>1549.222867</v>
      </c>
      <c r="E235" s="920">
        <f t="shared" si="57"/>
        <v>221.56452039999999</v>
      </c>
      <c r="F235" s="919">
        <f t="shared" si="58"/>
        <v>1791.0565565387001</v>
      </c>
      <c r="G235" s="919">
        <f t="shared" si="59"/>
        <v>2115.4638248885003</v>
      </c>
      <c r="H235" s="920">
        <f t="shared" si="60"/>
        <v>256.15074203444004</v>
      </c>
      <c r="I235" s="920">
        <f t="shared" si="61"/>
        <v>302.5463526062</v>
      </c>
    </row>
    <row r="236" spans="1:9">
      <c r="A236" s="858" t="s">
        <v>2193</v>
      </c>
      <c r="B236" s="858">
        <f t="shared" si="55"/>
        <v>2016</v>
      </c>
      <c r="C236" s="858" t="str">
        <f t="shared" si="55"/>
        <v>PUR</v>
      </c>
      <c r="D236" s="919">
        <f t="shared" si="56"/>
        <v>184.22361179999999</v>
      </c>
      <c r="E236" s="920">
        <f t="shared" si="57"/>
        <v>20.21475659</v>
      </c>
      <c r="F236" s="919">
        <f t="shared" si="58"/>
        <v>212.98091760198</v>
      </c>
      <c r="G236" s="919">
        <f t="shared" si="59"/>
        <v>251.5573419129</v>
      </c>
      <c r="H236" s="920">
        <f t="shared" si="60"/>
        <v>23.370280093699002</v>
      </c>
      <c r="I236" s="920">
        <f t="shared" si="61"/>
        <v>27.603250123645005</v>
      </c>
    </row>
    <row r="237" spans="1:9">
      <c r="A237" s="858" t="s">
        <v>2193</v>
      </c>
      <c r="B237" s="858">
        <f t="shared" ref="B237:C256" si="62">B149</f>
        <v>2016</v>
      </c>
      <c r="C237" s="858" t="str">
        <f t="shared" si="62"/>
        <v>PVC</v>
      </c>
      <c r="D237" s="919">
        <f t="shared" si="56"/>
        <v>118.13123659999999</v>
      </c>
      <c r="E237" s="920">
        <f t="shared" si="57"/>
        <v>13.063414059999999</v>
      </c>
      <c r="F237" s="919">
        <f t="shared" si="58"/>
        <v>136.57152263326</v>
      </c>
      <c r="G237" s="919">
        <f t="shared" si="59"/>
        <v>161.30820357730002</v>
      </c>
      <c r="H237" s="920">
        <f t="shared" si="60"/>
        <v>15.102612994766002</v>
      </c>
      <c r="I237" s="920">
        <f t="shared" si="61"/>
        <v>17.838091898930003</v>
      </c>
    </row>
    <row r="238" spans="1:9">
      <c r="A238" s="858" t="s">
        <v>2193</v>
      </c>
      <c r="B238" s="858">
        <f t="shared" si="62"/>
        <v>2016</v>
      </c>
      <c r="C238" s="858" t="str">
        <f t="shared" si="62"/>
        <v>RUBBER</v>
      </c>
      <c r="D238" s="919">
        <f t="shared" si="56"/>
        <v>239.04981459999999</v>
      </c>
      <c r="E238" s="920">
        <f t="shared" si="57"/>
        <v>28.164366950000002</v>
      </c>
      <c r="F238" s="919">
        <f t="shared" si="58"/>
        <v>276.36549065906001</v>
      </c>
      <c r="G238" s="919">
        <f t="shared" si="59"/>
        <v>326.42252183630001</v>
      </c>
      <c r="H238" s="920">
        <f t="shared" si="60"/>
        <v>32.560824630895006</v>
      </c>
      <c r="I238" s="920">
        <f t="shared" si="61"/>
        <v>38.458443070225009</v>
      </c>
    </row>
    <row r="239" spans="1:9">
      <c r="A239" s="858" t="s">
        <v>2193</v>
      </c>
      <c r="B239" s="858">
        <f t="shared" si="62"/>
        <v>2017</v>
      </c>
      <c r="C239" s="858" t="str">
        <f t="shared" si="62"/>
        <v>Acryl</v>
      </c>
      <c r="D239" s="919">
        <f t="shared" si="56"/>
        <v>146.54516190000001</v>
      </c>
      <c r="E239" s="920">
        <f t="shared" si="57"/>
        <v>17.034923070000001</v>
      </c>
      <c r="F239" s="919">
        <f t="shared" si="58"/>
        <v>169.42086167259004</v>
      </c>
      <c r="G239" s="919">
        <f t="shared" si="59"/>
        <v>200.10741857445004</v>
      </c>
      <c r="H239" s="920">
        <f t="shared" si="60"/>
        <v>19.694074561227005</v>
      </c>
      <c r="I239" s="920">
        <f t="shared" si="61"/>
        <v>23.261187452085004</v>
      </c>
    </row>
    <row r="240" spans="1:9">
      <c r="A240" s="858" t="s">
        <v>2193</v>
      </c>
      <c r="B240" s="858">
        <f t="shared" si="62"/>
        <v>2017</v>
      </c>
      <c r="C240" s="858" t="str">
        <f t="shared" si="62"/>
        <v>OTHER</v>
      </c>
      <c r="D240" s="919">
        <f t="shared" si="56"/>
        <v>260.23631660000001</v>
      </c>
      <c r="E240" s="920">
        <f t="shared" si="57"/>
        <v>32.198553560000001</v>
      </c>
      <c r="F240" s="919">
        <f t="shared" si="58"/>
        <v>300.85920562126006</v>
      </c>
      <c r="G240" s="919">
        <f t="shared" si="59"/>
        <v>355.35269031730007</v>
      </c>
      <c r="H240" s="920">
        <f t="shared" si="60"/>
        <v>37.224747770716007</v>
      </c>
      <c r="I240" s="920">
        <f t="shared" si="61"/>
        <v>43.967124886180002</v>
      </c>
    </row>
    <row r="241" spans="1:9">
      <c r="A241" s="858" t="s">
        <v>2193</v>
      </c>
      <c r="B241" s="858">
        <f t="shared" si="62"/>
        <v>2017</v>
      </c>
      <c r="C241" s="858" t="str">
        <f t="shared" si="62"/>
        <v>PA</v>
      </c>
      <c r="D241" s="919">
        <f t="shared" si="56"/>
        <v>306.63556069999998</v>
      </c>
      <c r="E241" s="920">
        <f t="shared" si="57"/>
        <v>39.039347990000003</v>
      </c>
      <c r="F241" s="919">
        <f t="shared" si="58"/>
        <v>354.50137172527002</v>
      </c>
      <c r="G241" s="919">
        <f t="shared" si="59"/>
        <v>418.71085813585</v>
      </c>
      <c r="H241" s="920">
        <f t="shared" si="60"/>
        <v>45.133390211239011</v>
      </c>
      <c r="I241" s="920">
        <f t="shared" si="61"/>
        <v>53.308229680345008</v>
      </c>
    </row>
    <row r="242" spans="1:9">
      <c r="A242" s="858" t="s">
        <v>2193</v>
      </c>
      <c r="B242" s="858">
        <f t="shared" si="62"/>
        <v>2017</v>
      </c>
      <c r="C242" s="858" t="str">
        <f t="shared" si="62"/>
        <v>PET</v>
      </c>
      <c r="D242" s="919">
        <f t="shared" si="56"/>
        <v>1622.2447179999999</v>
      </c>
      <c r="E242" s="920">
        <f t="shared" si="57"/>
        <v>211.95836850000001</v>
      </c>
      <c r="F242" s="919">
        <f t="shared" si="58"/>
        <v>1875.4771184798001</v>
      </c>
      <c r="G242" s="919">
        <f t="shared" si="59"/>
        <v>2215.175162429</v>
      </c>
      <c r="H242" s="920">
        <f t="shared" si="60"/>
        <v>245.04506982285002</v>
      </c>
      <c r="I242" s="920">
        <f t="shared" si="61"/>
        <v>289.42915218675006</v>
      </c>
    </row>
    <row r="243" spans="1:9">
      <c r="A243" s="858" t="s">
        <v>2193</v>
      </c>
      <c r="B243" s="858">
        <f t="shared" si="62"/>
        <v>2017</v>
      </c>
      <c r="C243" s="858" t="str">
        <f t="shared" si="62"/>
        <v>PUR</v>
      </c>
      <c r="D243" s="919">
        <f t="shared" si="56"/>
        <v>192.92456290000001</v>
      </c>
      <c r="E243" s="920">
        <f t="shared" si="57"/>
        <v>20.151662380000001</v>
      </c>
      <c r="F243" s="919">
        <f t="shared" si="58"/>
        <v>223.04008716869004</v>
      </c>
      <c r="G243" s="919">
        <f t="shared" si="59"/>
        <v>263.43849063995003</v>
      </c>
      <c r="H243" s="920">
        <f t="shared" si="60"/>
        <v>23.297336877518003</v>
      </c>
      <c r="I243" s="920">
        <f t="shared" si="61"/>
        <v>27.517094979890004</v>
      </c>
    </row>
    <row r="244" spans="1:9">
      <c r="A244" s="858" t="s">
        <v>2193</v>
      </c>
      <c r="B244" s="858">
        <f t="shared" si="62"/>
        <v>2017</v>
      </c>
      <c r="C244" s="858" t="str">
        <f t="shared" si="62"/>
        <v>PVC</v>
      </c>
      <c r="D244" s="919">
        <f t="shared" si="56"/>
        <v>123.8197894</v>
      </c>
      <c r="E244" s="920">
        <f t="shared" si="57"/>
        <v>13.02140958</v>
      </c>
      <c r="F244" s="919">
        <f t="shared" si="58"/>
        <v>143.14805852534002</v>
      </c>
      <c r="G244" s="919">
        <f t="shared" si="59"/>
        <v>169.07592242570001</v>
      </c>
      <c r="H244" s="920">
        <f t="shared" si="60"/>
        <v>15.054051615438002</v>
      </c>
      <c r="I244" s="920">
        <f t="shared" si="61"/>
        <v>17.780734781490004</v>
      </c>
    </row>
    <row r="245" spans="1:9">
      <c r="A245" s="858" t="s">
        <v>2193</v>
      </c>
      <c r="B245" s="858">
        <f t="shared" si="62"/>
        <v>2017</v>
      </c>
      <c r="C245" s="858" t="str">
        <f t="shared" si="62"/>
        <v>RUBBER</v>
      </c>
      <c r="D245" s="919">
        <f t="shared" si="56"/>
        <v>251.82953259999999</v>
      </c>
      <c r="E245" s="920">
        <f t="shared" si="57"/>
        <v>27.853160039999999</v>
      </c>
      <c r="F245" s="919">
        <f t="shared" si="58"/>
        <v>291.14012263886002</v>
      </c>
      <c r="G245" s="919">
        <f t="shared" si="59"/>
        <v>343.87322676530005</v>
      </c>
      <c r="H245" s="920">
        <f t="shared" si="60"/>
        <v>32.201038322244003</v>
      </c>
      <c r="I245" s="920">
        <f t="shared" si="61"/>
        <v>38.033490034620002</v>
      </c>
    </row>
    <row r="246" spans="1:9">
      <c r="A246" s="858" t="s">
        <v>2193</v>
      </c>
      <c r="B246" s="858">
        <f t="shared" si="62"/>
        <v>2018</v>
      </c>
      <c r="C246" s="858" t="str">
        <f t="shared" si="62"/>
        <v>Acryl</v>
      </c>
      <c r="D246" s="919">
        <f t="shared" si="56"/>
        <v>161.0247147</v>
      </c>
      <c r="E246" s="920">
        <f t="shared" si="57"/>
        <v>18.794389389999999</v>
      </c>
      <c r="F246" s="919">
        <f t="shared" si="58"/>
        <v>186.16067266467002</v>
      </c>
      <c r="G246" s="919">
        <f t="shared" si="59"/>
        <v>219.87924792285003</v>
      </c>
      <c r="H246" s="920">
        <f t="shared" si="60"/>
        <v>21.728193573779002</v>
      </c>
      <c r="I246" s="920">
        <f t="shared" si="61"/>
        <v>25.663738712045003</v>
      </c>
    </row>
    <row r="247" spans="1:9">
      <c r="A247" s="858" t="s">
        <v>2193</v>
      </c>
      <c r="B247" s="858">
        <f t="shared" si="62"/>
        <v>2018</v>
      </c>
      <c r="C247" s="858" t="str">
        <f t="shared" si="62"/>
        <v>OTHER</v>
      </c>
      <c r="D247" s="919">
        <f t="shared" si="56"/>
        <v>293.47975259999998</v>
      </c>
      <c r="E247" s="920">
        <f t="shared" si="57"/>
        <v>34.900696930000002</v>
      </c>
      <c r="F247" s="919">
        <f t="shared" si="58"/>
        <v>339.29194198086003</v>
      </c>
      <c r="G247" s="919">
        <f t="shared" si="59"/>
        <v>400.74660217530004</v>
      </c>
      <c r="H247" s="920">
        <f t="shared" si="60"/>
        <v>40.348695720773009</v>
      </c>
      <c r="I247" s="920">
        <f t="shared" si="61"/>
        <v>47.656901657915007</v>
      </c>
    </row>
    <row r="248" spans="1:9">
      <c r="A248" s="858" t="s">
        <v>2193</v>
      </c>
      <c r="B248" s="858">
        <f t="shared" si="62"/>
        <v>2018</v>
      </c>
      <c r="C248" s="858" t="str">
        <f t="shared" si="62"/>
        <v>PA</v>
      </c>
      <c r="D248" s="919">
        <f t="shared" si="56"/>
        <v>342.97569970000001</v>
      </c>
      <c r="E248" s="920">
        <f t="shared" si="57"/>
        <v>43.979649270000003</v>
      </c>
      <c r="F248" s="919">
        <f t="shared" si="58"/>
        <v>396.51420642317004</v>
      </c>
      <c r="G248" s="919">
        <f t="shared" si="59"/>
        <v>468.33331794035007</v>
      </c>
      <c r="H248" s="920">
        <f t="shared" si="60"/>
        <v>50.844872521047009</v>
      </c>
      <c r="I248" s="920">
        <f t="shared" si="61"/>
        <v>60.054211078185013</v>
      </c>
    </row>
    <row r="249" spans="1:9">
      <c r="A249" s="858" t="s">
        <v>2193</v>
      </c>
      <c r="B249" s="858">
        <f t="shared" si="62"/>
        <v>2018</v>
      </c>
      <c r="C249" s="858" t="str">
        <f t="shared" si="62"/>
        <v>PET</v>
      </c>
      <c r="D249" s="919">
        <f t="shared" si="56"/>
        <v>1783.0252840000001</v>
      </c>
      <c r="E249" s="920">
        <f t="shared" si="57"/>
        <v>235.69731569999999</v>
      </c>
      <c r="F249" s="919">
        <f t="shared" si="58"/>
        <v>2061.3555308324003</v>
      </c>
      <c r="G249" s="919">
        <f t="shared" si="59"/>
        <v>2434.7210253020003</v>
      </c>
      <c r="H249" s="920">
        <f t="shared" si="60"/>
        <v>272.48966668077003</v>
      </c>
      <c r="I249" s="920">
        <f t="shared" si="61"/>
        <v>321.84468458835005</v>
      </c>
    </row>
    <row r="250" spans="1:9">
      <c r="A250" s="858" t="s">
        <v>2193</v>
      </c>
      <c r="B250" s="858">
        <f t="shared" si="62"/>
        <v>2018</v>
      </c>
      <c r="C250" s="858" t="str">
        <f t="shared" si="62"/>
        <v>PUR</v>
      </c>
      <c r="D250" s="919">
        <f t="shared" si="56"/>
        <v>203.49220629999999</v>
      </c>
      <c r="E250" s="920">
        <f t="shared" si="57"/>
        <v>21.463345409999999</v>
      </c>
      <c r="F250" s="919">
        <f t="shared" si="58"/>
        <v>235.25733970343001</v>
      </c>
      <c r="G250" s="919">
        <f t="shared" si="59"/>
        <v>277.86860770265002</v>
      </c>
      <c r="H250" s="920">
        <f t="shared" si="60"/>
        <v>24.813773628501</v>
      </c>
      <c r="I250" s="920">
        <f t="shared" si="61"/>
        <v>29.308198157355001</v>
      </c>
    </row>
    <row r="251" spans="1:9">
      <c r="A251" s="858" t="s">
        <v>2193</v>
      </c>
      <c r="B251" s="858">
        <f t="shared" si="62"/>
        <v>2018</v>
      </c>
      <c r="C251" s="858" t="str">
        <f t="shared" si="62"/>
        <v>PVC</v>
      </c>
      <c r="D251" s="919">
        <f t="shared" si="56"/>
        <v>131.25836409999999</v>
      </c>
      <c r="E251" s="920">
        <f t="shared" si="57"/>
        <v>13.861956660000001</v>
      </c>
      <c r="F251" s="919">
        <f t="shared" si="58"/>
        <v>151.74779473601001</v>
      </c>
      <c r="G251" s="919">
        <f t="shared" si="59"/>
        <v>179.23329617855001</v>
      </c>
      <c r="H251" s="920">
        <f t="shared" si="60"/>
        <v>16.025808094626001</v>
      </c>
      <c r="I251" s="920">
        <f t="shared" si="61"/>
        <v>18.928501819230004</v>
      </c>
    </row>
    <row r="252" spans="1:9">
      <c r="A252" s="858" t="s">
        <v>2193</v>
      </c>
      <c r="B252" s="858">
        <f t="shared" si="62"/>
        <v>2018</v>
      </c>
      <c r="C252" s="858" t="str">
        <f t="shared" si="62"/>
        <v>RUBBER</v>
      </c>
      <c r="D252" s="919">
        <f t="shared" si="56"/>
        <v>274.23873450000002</v>
      </c>
      <c r="E252" s="920">
        <f t="shared" si="57"/>
        <v>29.43337764</v>
      </c>
      <c r="F252" s="919">
        <f t="shared" si="58"/>
        <v>317.04740095545009</v>
      </c>
      <c r="G252" s="919">
        <f t="shared" si="59"/>
        <v>374.47299195975006</v>
      </c>
      <c r="H252" s="920">
        <f t="shared" si="60"/>
        <v>34.027927889604001</v>
      </c>
      <c r="I252" s="920">
        <f t="shared" si="61"/>
        <v>40.191277167420004</v>
      </c>
    </row>
    <row r="253" spans="1:9">
      <c r="A253" s="858" t="s">
        <v>2193</v>
      </c>
      <c r="B253" s="858">
        <f t="shared" si="62"/>
        <v>2019</v>
      </c>
      <c r="C253" s="858" t="str">
        <f t="shared" si="62"/>
        <v>Acryl</v>
      </c>
      <c r="D253" s="919">
        <f t="shared" si="56"/>
        <v>155.87614210000001</v>
      </c>
      <c r="E253" s="920">
        <f t="shared" si="57"/>
        <v>17.54854632</v>
      </c>
      <c r="F253" s="919">
        <f t="shared" si="58"/>
        <v>180.20840788181002</v>
      </c>
      <c r="G253" s="919">
        <f t="shared" si="59"/>
        <v>212.84887203755005</v>
      </c>
      <c r="H253" s="920">
        <f t="shared" si="60"/>
        <v>20.287874400552003</v>
      </c>
      <c r="I253" s="920">
        <f t="shared" si="61"/>
        <v>23.962539999960004</v>
      </c>
    </row>
    <row r="254" spans="1:9">
      <c r="A254" s="858" t="s">
        <v>2193</v>
      </c>
      <c r="B254" s="858">
        <f t="shared" si="62"/>
        <v>2019</v>
      </c>
      <c r="C254" s="858" t="str">
        <f t="shared" si="62"/>
        <v>OTHER</v>
      </c>
      <c r="D254" s="919">
        <f t="shared" si="56"/>
        <v>288.93796630000003</v>
      </c>
      <c r="E254" s="920">
        <f t="shared" si="57"/>
        <v>33.598762309999998</v>
      </c>
      <c r="F254" s="919">
        <f t="shared" si="58"/>
        <v>334.04118283943006</v>
      </c>
      <c r="G254" s="919">
        <f t="shared" si="59"/>
        <v>394.54479298265011</v>
      </c>
      <c r="H254" s="920">
        <f t="shared" si="60"/>
        <v>38.843529106590999</v>
      </c>
      <c r="I254" s="920">
        <f t="shared" si="61"/>
        <v>45.879109934304999</v>
      </c>
    </row>
    <row r="255" spans="1:9">
      <c r="A255" s="858" t="s">
        <v>2193</v>
      </c>
      <c r="B255" s="858">
        <f t="shared" si="62"/>
        <v>2019</v>
      </c>
      <c r="C255" s="858" t="str">
        <f t="shared" si="62"/>
        <v>PA</v>
      </c>
      <c r="D255" s="919">
        <f t="shared" si="56"/>
        <v>335.67807049999999</v>
      </c>
      <c r="E255" s="920">
        <f t="shared" si="57"/>
        <v>42.516774699999999</v>
      </c>
      <c r="F255" s="919">
        <f t="shared" si="58"/>
        <v>388.07741730505001</v>
      </c>
      <c r="G255" s="919">
        <f t="shared" si="59"/>
        <v>458.36840526775006</v>
      </c>
      <c r="H255" s="920">
        <f t="shared" si="60"/>
        <v>49.153643230670006</v>
      </c>
      <c r="I255" s="920">
        <f t="shared" si="61"/>
        <v>58.056655852850007</v>
      </c>
    </row>
    <row r="256" spans="1:9">
      <c r="A256" s="858" t="s">
        <v>2193</v>
      </c>
      <c r="B256" s="858">
        <f t="shared" si="62"/>
        <v>2019</v>
      </c>
      <c r="C256" s="858" t="str">
        <f t="shared" si="62"/>
        <v>PET</v>
      </c>
      <c r="D256" s="919">
        <f t="shared" si="56"/>
        <v>1748.7172250000001</v>
      </c>
      <c r="E256" s="920">
        <f t="shared" si="57"/>
        <v>226.81486559999999</v>
      </c>
      <c r="F256" s="919">
        <f t="shared" si="58"/>
        <v>2021.6919838225003</v>
      </c>
      <c r="G256" s="919">
        <f t="shared" si="59"/>
        <v>2387.8733707375004</v>
      </c>
      <c r="H256" s="920">
        <f t="shared" si="60"/>
        <v>262.22066612015999</v>
      </c>
      <c r="I256" s="920">
        <f t="shared" si="61"/>
        <v>309.71569897680001</v>
      </c>
    </row>
    <row r="257" spans="1:9">
      <c r="A257" s="858" t="s">
        <v>2193</v>
      </c>
      <c r="B257" s="858">
        <f t="shared" ref="B257:C276" si="63">B169</f>
        <v>2019</v>
      </c>
      <c r="C257" s="858" t="str">
        <f t="shared" si="63"/>
        <v>PUR</v>
      </c>
      <c r="D257" s="919">
        <f t="shared" si="56"/>
        <v>201.41097139999999</v>
      </c>
      <c r="E257" s="920">
        <f t="shared" si="57"/>
        <v>21.224926079999999</v>
      </c>
      <c r="F257" s="919">
        <f t="shared" si="58"/>
        <v>232.85122403554001</v>
      </c>
      <c r="G257" s="919">
        <f t="shared" si="59"/>
        <v>275.02668144670002</v>
      </c>
      <c r="H257" s="920">
        <f t="shared" si="60"/>
        <v>24.538137041088003</v>
      </c>
      <c r="I257" s="920">
        <f t="shared" si="61"/>
        <v>28.982636562240003</v>
      </c>
    </row>
    <row r="258" spans="1:9">
      <c r="A258" s="858" t="s">
        <v>2193</v>
      </c>
      <c r="B258" s="858">
        <f t="shared" si="63"/>
        <v>2019</v>
      </c>
      <c r="C258" s="858" t="str">
        <f t="shared" si="63"/>
        <v>PVC</v>
      </c>
      <c r="D258" s="919">
        <f t="shared" si="56"/>
        <v>129.74280759999999</v>
      </c>
      <c r="E258" s="920">
        <f t="shared" si="57"/>
        <v>13.66375494</v>
      </c>
      <c r="F258" s="919">
        <f t="shared" si="58"/>
        <v>149.99565986636</v>
      </c>
      <c r="G258" s="919">
        <f t="shared" si="59"/>
        <v>177.16380377780001</v>
      </c>
      <c r="H258" s="920">
        <f t="shared" si="60"/>
        <v>15.796667086134002</v>
      </c>
      <c r="I258" s="920">
        <f t="shared" si="61"/>
        <v>18.657857370570003</v>
      </c>
    </row>
    <row r="259" spans="1:9">
      <c r="A259" s="858" t="s">
        <v>2193</v>
      </c>
      <c r="B259" s="858">
        <f t="shared" si="63"/>
        <v>2019</v>
      </c>
      <c r="C259" s="858" t="str">
        <f t="shared" si="63"/>
        <v>RUBBER</v>
      </c>
      <c r="D259" s="919">
        <f t="shared" si="56"/>
        <v>268.35933929999999</v>
      </c>
      <c r="E259" s="920">
        <f t="shared" si="57"/>
        <v>28.398745170000002</v>
      </c>
      <c r="F259" s="919">
        <f t="shared" si="58"/>
        <v>310.25023216472999</v>
      </c>
      <c r="G259" s="919">
        <f t="shared" si="59"/>
        <v>366.44467781415</v>
      </c>
      <c r="H259" s="920">
        <f t="shared" si="60"/>
        <v>32.831789291037005</v>
      </c>
      <c r="I259" s="920">
        <f t="shared" si="61"/>
        <v>38.778486529635003</v>
      </c>
    </row>
    <row r="260" spans="1:9">
      <c r="A260" s="858" t="s">
        <v>2193</v>
      </c>
      <c r="B260" s="858">
        <f t="shared" si="63"/>
        <v>2020</v>
      </c>
      <c r="C260" s="858" t="str">
        <f t="shared" si="63"/>
        <v>Acryl</v>
      </c>
      <c r="D260" s="919">
        <f t="shared" si="56"/>
        <v>129.21013379999999</v>
      </c>
      <c r="E260" s="920">
        <f t="shared" si="57"/>
        <v>12.13324772</v>
      </c>
      <c r="F260" s="919">
        <f t="shared" si="58"/>
        <v>149.37983568618</v>
      </c>
      <c r="G260" s="919">
        <f t="shared" si="59"/>
        <v>176.43643770390003</v>
      </c>
      <c r="H260" s="920">
        <f t="shared" si="60"/>
        <v>14.027247689092002</v>
      </c>
      <c r="I260" s="920">
        <f t="shared" si="61"/>
        <v>16.567949761660003</v>
      </c>
    </row>
    <row r="261" spans="1:9">
      <c r="A261" s="858" t="s">
        <v>2193</v>
      </c>
      <c r="B261" s="858">
        <f t="shared" si="63"/>
        <v>2020</v>
      </c>
      <c r="C261" s="858" t="str">
        <f t="shared" si="63"/>
        <v>OTHER</v>
      </c>
      <c r="D261" s="919">
        <f t="shared" ref="D261:D280" si="64">E173</f>
        <v>229.5904032</v>
      </c>
      <c r="E261" s="920">
        <f t="shared" ref="E261:E280" si="65">F84</f>
        <v>22.93146647</v>
      </c>
      <c r="F261" s="919">
        <f t="shared" ref="F261:F280" si="66">D261*$B$7</f>
        <v>265.42946513952</v>
      </c>
      <c r="G261" s="919">
        <f t="shared" ref="G261:G280" si="67">D261*$B$6</f>
        <v>313.50569556960005</v>
      </c>
      <c r="H261" s="920">
        <f t="shared" ref="H261:H280" si="68">E261*$B$7</f>
        <v>26.511068385967004</v>
      </c>
      <c r="I261" s="920">
        <f t="shared" ref="I261:I280" si="69">E261*$B$6</f>
        <v>31.312917464785002</v>
      </c>
    </row>
    <row r="262" spans="1:9">
      <c r="A262" s="858" t="s">
        <v>2193</v>
      </c>
      <c r="B262" s="858">
        <f t="shared" si="63"/>
        <v>2020</v>
      </c>
      <c r="C262" s="858" t="str">
        <f t="shared" si="63"/>
        <v>PA</v>
      </c>
      <c r="D262" s="919">
        <f t="shared" si="64"/>
        <v>272.27944339999999</v>
      </c>
      <c r="E262" s="920">
        <f t="shared" si="65"/>
        <v>27.473770129999998</v>
      </c>
      <c r="F262" s="919">
        <f t="shared" si="66"/>
        <v>314.78226451474001</v>
      </c>
      <c r="G262" s="919">
        <f t="shared" si="67"/>
        <v>371.79757996270001</v>
      </c>
      <c r="H262" s="920">
        <f t="shared" si="68"/>
        <v>31.762425647293</v>
      </c>
      <c r="I262" s="920">
        <f t="shared" si="69"/>
        <v>37.515433112515005</v>
      </c>
    </row>
    <row r="263" spans="1:9">
      <c r="A263" s="858" t="s">
        <v>2193</v>
      </c>
      <c r="B263" s="858">
        <f t="shared" si="63"/>
        <v>2020</v>
      </c>
      <c r="C263" s="858" t="str">
        <f t="shared" si="63"/>
        <v>PET</v>
      </c>
      <c r="D263" s="919">
        <f t="shared" si="64"/>
        <v>1396.1442360000001</v>
      </c>
      <c r="E263" s="920">
        <f t="shared" si="65"/>
        <v>146.75291419999999</v>
      </c>
      <c r="F263" s="919">
        <f t="shared" si="66"/>
        <v>1614.0823512396003</v>
      </c>
      <c r="G263" s="919">
        <f t="shared" si="67"/>
        <v>1906.4349542580003</v>
      </c>
      <c r="H263" s="920">
        <f t="shared" si="68"/>
        <v>169.66104410662001</v>
      </c>
      <c r="I263" s="920">
        <f t="shared" si="69"/>
        <v>200.39110434010001</v>
      </c>
    </row>
    <row r="264" spans="1:9">
      <c r="A264" s="858" t="s">
        <v>2193</v>
      </c>
      <c r="B264" s="858">
        <f t="shared" si="63"/>
        <v>2020</v>
      </c>
      <c r="C264" s="858" t="str">
        <f t="shared" si="63"/>
        <v>PUR</v>
      </c>
      <c r="D264" s="919">
        <f t="shared" si="64"/>
        <v>162.02162820000001</v>
      </c>
      <c r="E264" s="920">
        <f t="shared" si="65"/>
        <v>17.326536180000002</v>
      </c>
      <c r="F264" s="919">
        <f t="shared" si="66"/>
        <v>187.31320436202003</v>
      </c>
      <c r="G264" s="919">
        <f t="shared" si="67"/>
        <v>221.24053330710004</v>
      </c>
      <c r="H264" s="920">
        <f t="shared" si="68"/>
        <v>20.031208477698005</v>
      </c>
      <c r="I264" s="920">
        <f t="shared" si="69"/>
        <v>23.659385153790005</v>
      </c>
    </row>
    <row r="265" spans="1:9">
      <c r="A265" s="858" t="s">
        <v>2193</v>
      </c>
      <c r="B265" s="858">
        <f t="shared" si="63"/>
        <v>2020</v>
      </c>
      <c r="C265" s="858" t="str">
        <f t="shared" si="63"/>
        <v>PVC</v>
      </c>
      <c r="D265" s="919">
        <f t="shared" si="64"/>
        <v>104.0268602</v>
      </c>
      <c r="E265" s="920">
        <f t="shared" si="65"/>
        <v>11.06819829</v>
      </c>
      <c r="F265" s="919">
        <f t="shared" si="66"/>
        <v>120.26545307722002</v>
      </c>
      <c r="G265" s="919">
        <f t="shared" si="67"/>
        <v>142.04867760310003</v>
      </c>
      <c r="H265" s="920">
        <f t="shared" si="68"/>
        <v>12.795944043069001</v>
      </c>
      <c r="I265" s="920">
        <f t="shared" si="69"/>
        <v>15.113624764995002</v>
      </c>
    </row>
    <row r="266" spans="1:9">
      <c r="A266" s="858" t="s">
        <v>2193</v>
      </c>
      <c r="B266" s="858">
        <f t="shared" si="63"/>
        <v>2020</v>
      </c>
      <c r="C266" s="858" t="str">
        <f t="shared" si="63"/>
        <v>RUBBER</v>
      </c>
      <c r="D266" s="919">
        <f t="shared" si="64"/>
        <v>210.72664739999999</v>
      </c>
      <c r="E266" s="920">
        <f t="shared" si="65"/>
        <v>21.841717490000001</v>
      </c>
      <c r="F266" s="919">
        <f t="shared" si="66"/>
        <v>243.62107705914002</v>
      </c>
      <c r="G266" s="919">
        <f t="shared" si="67"/>
        <v>287.74723702470004</v>
      </c>
      <c r="H266" s="920">
        <f t="shared" si="68"/>
        <v>25.251209590189003</v>
      </c>
      <c r="I266" s="920">
        <f t="shared" si="69"/>
        <v>29.824865232595005</v>
      </c>
    </row>
    <row r="267" spans="1:9">
      <c r="A267" s="858" t="s">
        <v>2193</v>
      </c>
      <c r="B267" s="858">
        <f t="shared" si="63"/>
        <v>2021</v>
      </c>
      <c r="C267" s="858" t="str">
        <f t="shared" si="63"/>
        <v>Acryl</v>
      </c>
      <c r="D267" s="919">
        <f t="shared" si="64"/>
        <v>141.63028159999999</v>
      </c>
      <c r="E267" s="920">
        <f t="shared" si="65"/>
        <v>14.414300020000001</v>
      </c>
      <c r="F267" s="919">
        <f t="shared" si="66"/>
        <v>163.73876855776001</v>
      </c>
      <c r="G267" s="919">
        <f t="shared" si="67"/>
        <v>193.39614952479999</v>
      </c>
      <c r="H267" s="920">
        <f t="shared" si="68"/>
        <v>16.664372253122004</v>
      </c>
      <c r="I267" s="920">
        <f t="shared" si="69"/>
        <v>19.682726677310004</v>
      </c>
    </row>
    <row r="268" spans="1:9">
      <c r="A268" s="858" t="s">
        <v>2193</v>
      </c>
      <c r="B268" s="858">
        <f t="shared" si="63"/>
        <v>2021</v>
      </c>
      <c r="C268" s="858" t="str">
        <f t="shared" si="63"/>
        <v>OTHER</v>
      </c>
      <c r="D268" s="919">
        <f t="shared" si="64"/>
        <v>241.6899727</v>
      </c>
      <c r="E268" s="920">
        <f t="shared" si="65"/>
        <v>25.566611479999999</v>
      </c>
      <c r="F268" s="919">
        <f t="shared" si="66"/>
        <v>279.41777743847001</v>
      </c>
      <c r="G268" s="919">
        <f t="shared" si="67"/>
        <v>330.02765772185006</v>
      </c>
      <c r="H268" s="920">
        <f t="shared" si="68"/>
        <v>29.557559532028002</v>
      </c>
      <c r="I268" s="920">
        <f t="shared" si="69"/>
        <v>34.911207975940002</v>
      </c>
    </row>
    <row r="269" spans="1:9">
      <c r="A269" s="858" t="s">
        <v>2193</v>
      </c>
      <c r="B269" s="858">
        <f t="shared" si="63"/>
        <v>2021</v>
      </c>
      <c r="C269" s="858" t="str">
        <f t="shared" si="63"/>
        <v>PA</v>
      </c>
      <c r="D269" s="919">
        <f t="shared" si="64"/>
        <v>297.53292690000001</v>
      </c>
      <c r="E269" s="920">
        <f t="shared" si="65"/>
        <v>32.316900889999999</v>
      </c>
      <c r="F269" s="919">
        <f t="shared" si="66"/>
        <v>343.97781678909007</v>
      </c>
      <c r="G269" s="919">
        <f t="shared" si="67"/>
        <v>406.28121168195008</v>
      </c>
      <c r="H269" s="920">
        <f t="shared" si="68"/>
        <v>37.361569118929005</v>
      </c>
      <c r="I269" s="920">
        <f t="shared" si="69"/>
        <v>44.128728165295001</v>
      </c>
    </row>
    <row r="270" spans="1:9">
      <c r="A270" s="858" t="s">
        <v>2193</v>
      </c>
      <c r="B270" s="858">
        <f t="shared" si="63"/>
        <v>2021</v>
      </c>
      <c r="C270" s="858" t="str">
        <f t="shared" si="63"/>
        <v>PET</v>
      </c>
      <c r="D270" s="919">
        <f t="shared" si="64"/>
        <v>1495.4943780000001</v>
      </c>
      <c r="E270" s="920">
        <f t="shared" si="65"/>
        <v>168.05433719999999</v>
      </c>
      <c r="F270" s="919">
        <f t="shared" si="66"/>
        <v>1728.9410504058003</v>
      </c>
      <c r="G270" s="919">
        <f t="shared" si="67"/>
        <v>2042.0975731590004</v>
      </c>
      <c r="H270" s="920">
        <f t="shared" si="68"/>
        <v>194.28761923692002</v>
      </c>
      <c r="I270" s="920">
        <f t="shared" si="69"/>
        <v>229.47819744660001</v>
      </c>
    </row>
    <row r="271" spans="1:9">
      <c r="A271" s="858" t="s">
        <v>2193</v>
      </c>
      <c r="B271" s="858">
        <f t="shared" si="63"/>
        <v>2021</v>
      </c>
      <c r="C271" s="858" t="str">
        <f t="shared" si="63"/>
        <v>PUR</v>
      </c>
      <c r="D271" s="919">
        <f t="shared" si="64"/>
        <v>155.6368913</v>
      </c>
      <c r="E271" s="920">
        <f t="shared" si="65"/>
        <v>17.79103666</v>
      </c>
      <c r="F271" s="919">
        <f t="shared" si="66"/>
        <v>179.93181003193001</v>
      </c>
      <c r="G271" s="919">
        <f t="shared" si="67"/>
        <v>212.52217507015004</v>
      </c>
      <c r="H271" s="920">
        <f t="shared" si="68"/>
        <v>20.568217482626</v>
      </c>
      <c r="I271" s="920">
        <f t="shared" si="69"/>
        <v>24.293660559230002</v>
      </c>
    </row>
    <row r="272" spans="1:9">
      <c r="A272" s="858" t="s">
        <v>2193</v>
      </c>
      <c r="B272" s="858">
        <f t="shared" si="63"/>
        <v>2021</v>
      </c>
      <c r="C272" s="858" t="str">
        <f t="shared" si="63"/>
        <v>PVC</v>
      </c>
      <c r="D272" s="919">
        <f t="shared" si="64"/>
        <v>100.28163069999999</v>
      </c>
      <c r="E272" s="920">
        <f t="shared" si="65"/>
        <v>11.41472343</v>
      </c>
      <c r="F272" s="919">
        <f t="shared" si="66"/>
        <v>115.93559325227001</v>
      </c>
      <c r="G272" s="919">
        <f t="shared" si="67"/>
        <v>136.93456672085</v>
      </c>
      <c r="H272" s="920">
        <f t="shared" si="68"/>
        <v>13.196561757423002</v>
      </c>
      <c r="I272" s="920">
        <f t="shared" si="69"/>
        <v>15.586804843665002</v>
      </c>
    </row>
    <row r="273" spans="1:11">
      <c r="A273" s="858" t="s">
        <v>2193</v>
      </c>
      <c r="B273" s="858">
        <f t="shared" si="63"/>
        <v>2021</v>
      </c>
      <c r="C273" s="858" t="str">
        <f t="shared" si="63"/>
        <v>RUBBER</v>
      </c>
      <c r="D273" s="919">
        <f t="shared" si="64"/>
        <v>207.02088499999999</v>
      </c>
      <c r="E273" s="920">
        <f t="shared" si="65"/>
        <v>23.256855089999998</v>
      </c>
      <c r="F273" s="919">
        <f t="shared" si="66"/>
        <v>239.33684514850003</v>
      </c>
      <c r="G273" s="919">
        <f t="shared" si="67"/>
        <v>282.68701846750002</v>
      </c>
      <c r="H273" s="920">
        <f t="shared" si="68"/>
        <v>26.887250169549002</v>
      </c>
      <c r="I273" s="920">
        <f t="shared" si="69"/>
        <v>31.757235625395001</v>
      </c>
    </row>
    <row r="274" spans="1:11">
      <c r="A274" s="858" t="s">
        <v>2193</v>
      </c>
      <c r="B274" s="858">
        <f t="shared" si="63"/>
        <v>2022</v>
      </c>
      <c r="C274" s="858" t="str">
        <f t="shared" si="63"/>
        <v>Acryl</v>
      </c>
      <c r="D274" s="919">
        <f t="shared" si="64"/>
        <v>174.44249690000001</v>
      </c>
      <c r="E274" s="920">
        <f t="shared" si="65"/>
        <v>20.511336790000001</v>
      </c>
      <c r="F274" s="919">
        <f t="shared" si="66"/>
        <v>201.67297066609004</v>
      </c>
      <c r="G274" s="919">
        <f t="shared" si="67"/>
        <v>238.20122951695004</v>
      </c>
      <c r="H274" s="920">
        <f t="shared" si="68"/>
        <v>23.713156462919006</v>
      </c>
      <c r="I274" s="920">
        <f t="shared" si="69"/>
        <v>28.008230386745005</v>
      </c>
    </row>
    <row r="275" spans="1:11">
      <c r="A275" s="858" t="s">
        <v>2193</v>
      </c>
      <c r="B275" s="858">
        <f t="shared" si="63"/>
        <v>2022</v>
      </c>
      <c r="C275" s="858" t="str">
        <f t="shared" si="63"/>
        <v>OTHER</v>
      </c>
      <c r="D275" s="919">
        <f t="shared" si="64"/>
        <v>302.07964800000002</v>
      </c>
      <c r="E275" s="920">
        <f t="shared" si="65"/>
        <v>35.846355090000003</v>
      </c>
      <c r="F275" s="919">
        <f t="shared" si="66"/>
        <v>349.23428105280004</v>
      </c>
      <c r="G275" s="919">
        <f t="shared" si="67"/>
        <v>412.48975934400005</v>
      </c>
      <c r="H275" s="920">
        <f t="shared" si="68"/>
        <v>41.441971119549009</v>
      </c>
      <c r="I275" s="920">
        <f t="shared" si="69"/>
        <v>48.94819787539501</v>
      </c>
    </row>
    <row r="276" spans="1:11">
      <c r="A276" s="858" t="s">
        <v>2193</v>
      </c>
      <c r="B276" s="858">
        <f t="shared" si="63"/>
        <v>2022</v>
      </c>
      <c r="C276" s="858" t="str">
        <f t="shared" si="63"/>
        <v>PA</v>
      </c>
      <c r="D276" s="919">
        <f t="shared" si="64"/>
        <v>365.93415850000002</v>
      </c>
      <c r="E276" s="920">
        <f t="shared" si="65"/>
        <v>46.393903379999998</v>
      </c>
      <c r="F276" s="919">
        <f t="shared" si="66"/>
        <v>423.0564806418501</v>
      </c>
      <c r="G276" s="919">
        <f t="shared" si="67"/>
        <v>499.68309343175008</v>
      </c>
      <c r="H276" s="920">
        <f t="shared" si="68"/>
        <v>53.635991697618003</v>
      </c>
      <c r="I276" s="920">
        <f t="shared" si="69"/>
        <v>63.350875065390007</v>
      </c>
    </row>
    <row r="277" spans="1:11">
      <c r="A277" s="858" t="s">
        <v>2193</v>
      </c>
      <c r="B277" s="858">
        <f t="shared" ref="B277:C280" si="70">B189</f>
        <v>2022</v>
      </c>
      <c r="C277" s="858" t="str">
        <f t="shared" si="70"/>
        <v>PET</v>
      </c>
      <c r="D277" s="919">
        <f t="shared" si="64"/>
        <v>1835.666939</v>
      </c>
      <c r="E277" s="920">
        <f t="shared" si="65"/>
        <v>232.3329928</v>
      </c>
      <c r="F277" s="919">
        <f t="shared" si="66"/>
        <v>2122.2145481779003</v>
      </c>
      <c r="G277" s="919">
        <f t="shared" si="67"/>
        <v>2506.6032052045002</v>
      </c>
      <c r="H277" s="920">
        <f t="shared" si="68"/>
        <v>268.60017297608005</v>
      </c>
      <c r="I277" s="920">
        <f t="shared" si="69"/>
        <v>317.25070166840004</v>
      </c>
    </row>
    <row r="278" spans="1:11">
      <c r="A278" s="858" t="s">
        <v>2193</v>
      </c>
      <c r="B278" s="858">
        <f t="shared" si="70"/>
        <v>2022</v>
      </c>
      <c r="C278" s="858" t="str">
        <f t="shared" si="70"/>
        <v>PUR</v>
      </c>
      <c r="D278" s="919">
        <f t="shared" si="64"/>
        <v>201.54410580000001</v>
      </c>
      <c r="E278" s="920">
        <f t="shared" si="65"/>
        <v>24.117724599999999</v>
      </c>
      <c r="F278" s="919">
        <f t="shared" si="66"/>
        <v>233.00514071538004</v>
      </c>
      <c r="G278" s="919">
        <f t="shared" si="67"/>
        <v>275.20847646990006</v>
      </c>
      <c r="H278" s="920">
        <f t="shared" si="68"/>
        <v>27.882501410060001</v>
      </c>
      <c r="I278" s="920">
        <f t="shared" si="69"/>
        <v>32.932752941300002</v>
      </c>
    </row>
    <row r="279" spans="1:11">
      <c r="A279" s="858" t="s">
        <v>2193</v>
      </c>
      <c r="B279" s="858">
        <f t="shared" si="70"/>
        <v>2022</v>
      </c>
      <c r="C279" s="858" t="str">
        <f t="shared" si="70"/>
        <v>PVC</v>
      </c>
      <c r="D279" s="919">
        <f t="shared" si="64"/>
        <v>129.88248110000001</v>
      </c>
      <c r="E279" s="920">
        <f t="shared" si="65"/>
        <v>15.46486075</v>
      </c>
      <c r="F279" s="919">
        <f t="shared" si="66"/>
        <v>150.15713639971003</v>
      </c>
      <c r="G279" s="919">
        <f t="shared" si="67"/>
        <v>177.35452794205003</v>
      </c>
      <c r="H279" s="920">
        <f t="shared" si="68"/>
        <v>17.878925513075</v>
      </c>
      <c r="I279" s="920">
        <f t="shared" si="69"/>
        <v>21.117267354125001</v>
      </c>
    </row>
    <row r="280" spans="1:11">
      <c r="A280" s="858" t="s">
        <v>2193</v>
      </c>
      <c r="B280" s="858">
        <f t="shared" si="70"/>
        <v>2022</v>
      </c>
      <c r="C280" s="858" t="str">
        <f t="shared" si="70"/>
        <v>RUBBER</v>
      </c>
      <c r="D280" s="919">
        <f t="shared" si="64"/>
        <v>268.60700700000001</v>
      </c>
      <c r="E280" s="920">
        <f t="shared" si="65"/>
        <v>31.254233500000002</v>
      </c>
      <c r="F280" s="919">
        <f t="shared" si="66"/>
        <v>310.53656079270007</v>
      </c>
      <c r="G280" s="919">
        <f t="shared" si="67"/>
        <v>366.78286805850007</v>
      </c>
      <c r="H280" s="920">
        <f t="shared" si="68"/>
        <v>36.133019349350008</v>
      </c>
      <c r="I280" s="920">
        <f t="shared" si="69"/>
        <v>42.677655844250005</v>
      </c>
    </row>
    <row r="282" spans="1:11" s="1017" customFormat="1">
      <c r="A282" s="1014" t="s">
        <v>2137</v>
      </c>
    </row>
    <row r="283" spans="1:11" s="1017" customFormat="1" ht="15" thickBot="1"/>
    <row r="284" spans="1:11">
      <c r="A284" s="65" t="s">
        <v>100</v>
      </c>
      <c r="B284" s="65" t="s">
        <v>101</v>
      </c>
      <c r="C284" s="108" t="s">
        <v>102</v>
      </c>
      <c r="D284" s="804" t="s">
        <v>103</v>
      </c>
      <c r="E284" s="108" t="s">
        <v>104</v>
      </c>
      <c r="F284" s="111" t="s">
        <v>105</v>
      </c>
      <c r="G284" s="112" t="s">
        <v>65</v>
      </c>
      <c r="H284" s="112" t="s">
        <v>67</v>
      </c>
      <c r="I284" s="112" t="s">
        <v>73</v>
      </c>
      <c r="J284" s="113" t="s">
        <v>79</v>
      </c>
      <c r="K284" s="419" t="s">
        <v>106</v>
      </c>
    </row>
    <row r="285" spans="1:11">
      <c r="A285" t="s">
        <v>2136</v>
      </c>
      <c r="B285">
        <v>2011</v>
      </c>
      <c r="C285" t="s">
        <v>92</v>
      </c>
      <c r="D285" s="217">
        <f>M115*(1-$B$9)</f>
        <v>54.941331439557288</v>
      </c>
      <c r="E285" s="7" t="s">
        <v>2019</v>
      </c>
      <c r="F285">
        <f t="shared" ref="F285:F308" si="71">O109</f>
        <v>1</v>
      </c>
      <c r="G285">
        <f t="shared" ref="G285:G308" si="72">P109</f>
        <v>1</v>
      </c>
      <c r="H285">
        <f t="shared" ref="H285:H308" si="73">Q109</f>
        <v>2</v>
      </c>
      <c r="I285">
        <f t="shared" ref="I285:I308" si="74">R109</f>
        <v>2</v>
      </c>
      <c r="J285">
        <f t="shared" ref="J285:J308" si="75">S109</f>
        <v>2</v>
      </c>
    </row>
    <row r="286" spans="1:11">
      <c r="A286" t="s">
        <v>2136</v>
      </c>
      <c r="B286">
        <v>2012</v>
      </c>
      <c r="C286" t="s">
        <v>92</v>
      </c>
      <c r="D286" s="217">
        <f>M122*(1-$B$9)</f>
        <v>51.456396462792867</v>
      </c>
      <c r="E286" s="7" t="s">
        <v>2019</v>
      </c>
      <c r="F286">
        <f t="shared" si="71"/>
        <v>1</v>
      </c>
      <c r="G286">
        <f t="shared" si="72"/>
        <v>1</v>
      </c>
      <c r="H286">
        <f t="shared" si="73"/>
        <v>2</v>
      </c>
      <c r="I286">
        <f t="shared" si="74"/>
        <v>2</v>
      </c>
      <c r="J286">
        <f t="shared" si="75"/>
        <v>2</v>
      </c>
    </row>
    <row r="287" spans="1:11">
      <c r="A287" t="s">
        <v>2136</v>
      </c>
      <c r="B287">
        <v>2013</v>
      </c>
      <c r="C287" t="s">
        <v>92</v>
      </c>
      <c r="D287" s="217">
        <f>M129*(1-$B$9)</f>
        <v>51.662591421562617</v>
      </c>
      <c r="E287" s="7" t="s">
        <v>2019</v>
      </c>
      <c r="F287">
        <f t="shared" si="71"/>
        <v>1</v>
      </c>
      <c r="G287">
        <f t="shared" si="72"/>
        <v>1</v>
      </c>
      <c r="H287">
        <f t="shared" si="73"/>
        <v>2</v>
      </c>
      <c r="I287">
        <f t="shared" si="74"/>
        <v>2</v>
      </c>
      <c r="J287">
        <f t="shared" si="75"/>
        <v>2</v>
      </c>
    </row>
    <row r="288" spans="1:11">
      <c r="A288" t="s">
        <v>2136</v>
      </c>
      <c r="B288">
        <v>2014</v>
      </c>
      <c r="C288" t="s">
        <v>92</v>
      </c>
      <c r="D288" s="217">
        <f>M136*(1-$B$9)</f>
        <v>56.330009028912002</v>
      </c>
      <c r="E288" s="7" t="s">
        <v>2019</v>
      </c>
      <c r="F288">
        <f t="shared" si="71"/>
        <v>1</v>
      </c>
      <c r="G288">
        <f t="shared" si="72"/>
        <v>1</v>
      </c>
      <c r="H288">
        <f t="shared" si="73"/>
        <v>2</v>
      </c>
      <c r="I288">
        <f t="shared" si="74"/>
        <v>2</v>
      </c>
      <c r="J288">
        <f t="shared" si="75"/>
        <v>2</v>
      </c>
    </row>
    <row r="289" spans="1:10">
      <c r="A289" t="s">
        <v>2136</v>
      </c>
      <c r="B289">
        <v>2015</v>
      </c>
      <c r="C289" t="s">
        <v>92</v>
      </c>
      <c r="D289" s="217">
        <f>M143*(1-$B$9)</f>
        <v>53.287965603333156</v>
      </c>
      <c r="E289" s="7" t="s">
        <v>2019</v>
      </c>
      <c r="F289">
        <f t="shared" si="71"/>
        <v>1</v>
      </c>
      <c r="G289">
        <f t="shared" si="72"/>
        <v>1</v>
      </c>
      <c r="H289">
        <f t="shared" si="73"/>
        <v>2</v>
      </c>
      <c r="I289">
        <f t="shared" si="74"/>
        <v>2</v>
      </c>
      <c r="J289">
        <f t="shared" si="75"/>
        <v>2</v>
      </c>
    </row>
    <row r="290" spans="1:10">
      <c r="A290" t="s">
        <v>2136</v>
      </c>
      <c r="B290">
        <v>2016</v>
      </c>
      <c r="C290" t="s">
        <v>92</v>
      </c>
      <c r="D290" s="217">
        <f>M150*(1-$B$9)</f>
        <v>52.381548003255105</v>
      </c>
      <c r="E290" s="7" t="s">
        <v>2019</v>
      </c>
      <c r="F290">
        <f t="shared" si="71"/>
        <v>1</v>
      </c>
      <c r="G290">
        <f t="shared" si="72"/>
        <v>1</v>
      </c>
      <c r="H290">
        <f t="shared" si="73"/>
        <v>2</v>
      </c>
      <c r="I290">
        <f t="shared" si="74"/>
        <v>2</v>
      </c>
      <c r="J290">
        <f t="shared" si="75"/>
        <v>2</v>
      </c>
    </row>
    <row r="291" spans="1:10">
      <c r="A291" t="s">
        <v>2136</v>
      </c>
      <c r="B291">
        <v>2017</v>
      </c>
      <c r="C291" t="s">
        <v>92</v>
      </c>
      <c r="D291" s="217">
        <f>M157*(1-$B$9)</f>
        <v>54.13374795259152</v>
      </c>
      <c r="E291" s="7" t="s">
        <v>2019</v>
      </c>
      <c r="F291">
        <f t="shared" si="71"/>
        <v>1</v>
      </c>
      <c r="G291">
        <f t="shared" si="72"/>
        <v>1</v>
      </c>
      <c r="H291">
        <f t="shared" si="73"/>
        <v>2</v>
      </c>
      <c r="I291">
        <f t="shared" si="74"/>
        <v>2</v>
      </c>
      <c r="J291">
        <f t="shared" si="75"/>
        <v>2</v>
      </c>
    </row>
    <row r="292" spans="1:10">
      <c r="A292" t="s">
        <v>2136</v>
      </c>
      <c r="B292">
        <v>2018</v>
      </c>
      <c r="C292" t="s">
        <v>92</v>
      </c>
      <c r="D292" s="217">
        <f>M164*(1-$B$9)</f>
        <v>65.517198060820036</v>
      </c>
      <c r="E292" s="7" t="s">
        <v>2019</v>
      </c>
      <c r="F292">
        <f t="shared" si="71"/>
        <v>1</v>
      </c>
      <c r="G292">
        <f t="shared" si="72"/>
        <v>1</v>
      </c>
      <c r="H292">
        <f t="shared" si="73"/>
        <v>2</v>
      </c>
      <c r="I292">
        <f t="shared" si="74"/>
        <v>2</v>
      </c>
      <c r="J292">
        <f t="shared" si="75"/>
        <v>2</v>
      </c>
    </row>
    <row r="293" spans="1:10">
      <c r="A293" t="s">
        <v>2136</v>
      </c>
      <c r="B293">
        <v>2019</v>
      </c>
      <c r="C293" t="s">
        <v>92</v>
      </c>
      <c r="D293" s="217">
        <f>M171*(1-$B$9)</f>
        <v>53.855761880466289</v>
      </c>
      <c r="E293" s="7" t="s">
        <v>2019</v>
      </c>
      <c r="F293">
        <f t="shared" si="71"/>
        <v>1</v>
      </c>
      <c r="G293">
        <f t="shared" si="72"/>
        <v>1</v>
      </c>
      <c r="H293">
        <f t="shared" si="73"/>
        <v>2</v>
      </c>
      <c r="I293">
        <f t="shared" si="74"/>
        <v>2</v>
      </c>
      <c r="J293">
        <f t="shared" si="75"/>
        <v>2</v>
      </c>
    </row>
    <row r="294" spans="1:10">
      <c r="A294" t="s">
        <v>2136</v>
      </c>
      <c r="B294">
        <v>2020</v>
      </c>
      <c r="C294" t="s">
        <v>92</v>
      </c>
      <c r="D294" s="217">
        <f>M178*(1-$B$9)</f>
        <v>41.710144098892762</v>
      </c>
      <c r="E294" s="7" t="s">
        <v>2019</v>
      </c>
      <c r="F294">
        <f t="shared" si="71"/>
        <v>1</v>
      </c>
      <c r="G294">
        <f t="shared" si="72"/>
        <v>1</v>
      </c>
      <c r="H294">
        <f t="shared" si="73"/>
        <v>2</v>
      </c>
      <c r="I294">
        <f t="shared" si="74"/>
        <v>2</v>
      </c>
      <c r="J294">
        <f t="shared" si="75"/>
        <v>2</v>
      </c>
    </row>
    <row r="295" spans="1:10">
      <c r="A295" t="s">
        <v>2136</v>
      </c>
      <c r="B295">
        <v>2021</v>
      </c>
      <c r="C295" t="s">
        <v>92</v>
      </c>
      <c r="D295" s="217">
        <f>M185*(1-$B$9)</f>
        <v>49.625283597448913</v>
      </c>
      <c r="E295" s="7" t="s">
        <v>2019</v>
      </c>
      <c r="F295">
        <f t="shared" si="71"/>
        <v>1</v>
      </c>
      <c r="G295">
        <f t="shared" si="72"/>
        <v>1</v>
      </c>
      <c r="H295">
        <f t="shared" si="73"/>
        <v>2</v>
      </c>
      <c r="I295">
        <f t="shared" si="74"/>
        <v>2</v>
      </c>
      <c r="J295">
        <f t="shared" si="75"/>
        <v>2</v>
      </c>
    </row>
    <row r="296" spans="1:10">
      <c r="A296" t="s">
        <v>2136</v>
      </c>
      <c r="B296">
        <v>2022</v>
      </c>
      <c r="C296" t="s">
        <v>92</v>
      </c>
      <c r="D296" s="217">
        <f>M192*(1-$B$9)</f>
        <v>48.128269636147444</v>
      </c>
      <c r="E296" s="7" t="s">
        <v>2019</v>
      </c>
      <c r="F296">
        <f t="shared" si="71"/>
        <v>1</v>
      </c>
      <c r="G296">
        <f t="shared" si="72"/>
        <v>1</v>
      </c>
      <c r="H296">
        <f t="shared" si="73"/>
        <v>2</v>
      </c>
      <c r="I296">
        <f t="shared" si="74"/>
        <v>2</v>
      </c>
      <c r="J296">
        <f t="shared" si="75"/>
        <v>2</v>
      </c>
    </row>
    <row r="297" spans="1:10">
      <c r="A297" t="s">
        <v>2136</v>
      </c>
      <c r="B297">
        <v>2011</v>
      </c>
      <c r="C297" t="s">
        <v>92</v>
      </c>
      <c r="D297" s="217">
        <f>N115*(1-$B$9)</f>
        <v>64.89264603469897</v>
      </c>
      <c r="E297" t="s">
        <v>2020</v>
      </c>
      <c r="F297">
        <f t="shared" si="71"/>
        <v>1</v>
      </c>
      <c r="G297">
        <f t="shared" si="72"/>
        <v>1</v>
      </c>
      <c r="H297">
        <f t="shared" si="73"/>
        <v>2</v>
      </c>
      <c r="I297">
        <f t="shared" si="74"/>
        <v>2</v>
      </c>
      <c r="J297">
        <f t="shared" si="75"/>
        <v>2</v>
      </c>
    </row>
    <row r="298" spans="1:10">
      <c r="A298" t="s">
        <v>2136</v>
      </c>
      <c r="B298">
        <v>2012</v>
      </c>
      <c r="C298" t="s">
        <v>92</v>
      </c>
      <c r="D298" s="217">
        <f>N122*(1-$B$9)</f>
        <v>60.776498027803527</v>
      </c>
      <c r="E298" t="s">
        <v>2020</v>
      </c>
      <c r="F298">
        <f t="shared" si="71"/>
        <v>1</v>
      </c>
      <c r="G298">
        <f t="shared" si="72"/>
        <v>1</v>
      </c>
      <c r="H298">
        <f t="shared" si="73"/>
        <v>2</v>
      </c>
      <c r="I298">
        <f t="shared" si="74"/>
        <v>2</v>
      </c>
      <c r="J298">
        <f t="shared" si="75"/>
        <v>2</v>
      </c>
    </row>
    <row r="299" spans="1:10">
      <c r="A299" t="s">
        <v>2136</v>
      </c>
      <c r="B299">
        <v>2013</v>
      </c>
      <c r="C299" t="s">
        <v>92</v>
      </c>
      <c r="D299" s="217">
        <f>N129*(1-$B$9)</f>
        <v>61.020040295946508</v>
      </c>
      <c r="E299" t="s">
        <v>2020</v>
      </c>
      <c r="F299">
        <f t="shared" si="71"/>
        <v>1</v>
      </c>
      <c r="G299">
        <f t="shared" si="72"/>
        <v>1</v>
      </c>
      <c r="H299">
        <f t="shared" si="73"/>
        <v>2</v>
      </c>
      <c r="I299">
        <f t="shared" si="74"/>
        <v>2</v>
      </c>
      <c r="J299">
        <f t="shared" si="75"/>
        <v>2</v>
      </c>
    </row>
    <row r="300" spans="1:10">
      <c r="A300" t="s">
        <v>2136</v>
      </c>
      <c r="B300">
        <v>2014</v>
      </c>
      <c r="C300" t="s">
        <v>92</v>
      </c>
      <c r="D300" s="217">
        <f>N136*(1-$B$9)</f>
        <v>66.532849519054878</v>
      </c>
      <c r="E300" t="s">
        <v>2020</v>
      </c>
      <c r="F300">
        <f t="shared" si="71"/>
        <v>1</v>
      </c>
      <c r="G300">
        <f t="shared" si="72"/>
        <v>1</v>
      </c>
      <c r="H300">
        <f t="shared" si="73"/>
        <v>2</v>
      </c>
      <c r="I300">
        <f t="shared" si="74"/>
        <v>2</v>
      </c>
      <c r="J300">
        <f t="shared" si="75"/>
        <v>2</v>
      </c>
    </row>
    <row r="301" spans="1:10">
      <c r="A301" t="s">
        <v>2136</v>
      </c>
      <c r="B301">
        <v>2015</v>
      </c>
      <c r="C301" t="s">
        <v>92</v>
      </c>
      <c r="D301" s="217">
        <f>N143*(1-$B$9)</f>
        <v>62.939812327092312</v>
      </c>
      <c r="E301" t="s">
        <v>2020</v>
      </c>
      <c r="F301">
        <f t="shared" si="71"/>
        <v>1</v>
      </c>
      <c r="G301">
        <f t="shared" si="72"/>
        <v>1</v>
      </c>
      <c r="H301">
        <f t="shared" si="73"/>
        <v>2</v>
      </c>
      <c r="I301">
        <f t="shared" si="74"/>
        <v>2</v>
      </c>
      <c r="J301">
        <f t="shared" si="75"/>
        <v>2</v>
      </c>
    </row>
    <row r="302" spans="1:10">
      <c r="A302" t="s">
        <v>2136</v>
      </c>
      <c r="B302">
        <v>2016</v>
      </c>
      <c r="C302" t="s">
        <v>92</v>
      </c>
      <c r="D302" s="217">
        <f>N150*(1-$B$9)</f>
        <v>61.869218751357877</v>
      </c>
      <c r="E302" t="s">
        <v>2020</v>
      </c>
      <c r="F302">
        <f t="shared" si="71"/>
        <v>1</v>
      </c>
      <c r="G302">
        <f t="shared" si="72"/>
        <v>1</v>
      </c>
      <c r="H302">
        <f t="shared" si="73"/>
        <v>2</v>
      </c>
      <c r="I302">
        <f t="shared" si="74"/>
        <v>2</v>
      </c>
      <c r="J302">
        <f t="shared" si="75"/>
        <v>2</v>
      </c>
    </row>
    <row r="303" spans="1:10">
      <c r="A303" t="s">
        <v>2136</v>
      </c>
      <c r="B303">
        <v>2017</v>
      </c>
      <c r="C303" t="s">
        <v>92</v>
      </c>
      <c r="D303" s="217">
        <f>N157*(1-$B$9)</f>
        <v>63.938788019430596</v>
      </c>
      <c r="E303" t="s">
        <v>2020</v>
      </c>
      <c r="F303">
        <f t="shared" si="71"/>
        <v>1</v>
      </c>
      <c r="G303">
        <f t="shared" si="72"/>
        <v>1</v>
      </c>
      <c r="H303">
        <f t="shared" si="73"/>
        <v>2</v>
      </c>
      <c r="I303">
        <f t="shared" si="74"/>
        <v>2</v>
      </c>
      <c r="J303">
        <f t="shared" si="75"/>
        <v>2</v>
      </c>
    </row>
    <row r="304" spans="1:10">
      <c r="A304" t="s">
        <v>2136</v>
      </c>
      <c r="B304">
        <v>2018</v>
      </c>
      <c r="C304" t="s">
        <v>92</v>
      </c>
      <c r="D304" s="217">
        <f>N164*(1-$B$9)</f>
        <v>77.384079190424487</v>
      </c>
      <c r="E304" t="s">
        <v>2020</v>
      </c>
      <c r="F304">
        <f t="shared" si="71"/>
        <v>1</v>
      </c>
      <c r="G304">
        <f t="shared" si="72"/>
        <v>1</v>
      </c>
      <c r="H304">
        <f t="shared" si="73"/>
        <v>2</v>
      </c>
      <c r="I304">
        <f t="shared" si="74"/>
        <v>2</v>
      </c>
      <c r="J304">
        <f t="shared" si="75"/>
        <v>2</v>
      </c>
    </row>
    <row r="305" spans="1:10">
      <c r="A305" t="s">
        <v>2136</v>
      </c>
      <c r="B305">
        <v>2019</v>
      </c>
      <c r="C305" t="s">
        <v>92</v>
      </c>
      <c r="D305" s="217">
        <f>N171*(1-$B$9)</f>
        <v>63.610451386365121</v>
      </c>
      <c r="E305" t="s">
        <v>2020</v>
      </c>
      <c r="F305">
        <f t="shared" si="71"/>
        <v>1</v>
      </c>
      <c r="G305">
        <f t="shared" si="72"/>
        <v>1</v>
      </c>
      <c r="H305">
        <f t="shared" si="73"/>
        <v>2</v>
      </c>
      <c r="I305">
        <f t="shared" si="74"/>
        <v>2</v>
      </c>
      <c r="J305">
        <f t="shared" si="75"/>
        <v>2</v>
      </c>
    </row>
    <row r="306" spans="1:10">
      <c r="A306" t="s">
        <v>2136</v>
      </c>
      <c r="B306">
        <v>2020</v>
      </c>
      <c r="C306" t="s">
        <v>92</v>
      </c>
      <c r="D306" s="217">
        <f>N178*(1-$B$9)</f>
        <v>49.264944007471733</v>
      </c>
      <c r="E306" t="s">
        <v>2020</v>
      </c>
      <c r="F306">
        <f t="shared" si="71"/>
        <v>1</v>
      </c>
      <c r="G306">
        <f t="shared" si="72"/>
        <v>1</v>
      </c>
      <c r="H306">
        <f t="shared" si="73"/>
        <v>2</v>
      </c>
      <c r="I306">
        <f t="shared" si="74"/>
        <v>2</v>
      </c>
      <c r="J306">
        <f t="shared" si="75"/>
        <v>2</v>
      </c>
    </row>
    <row r="307" spans="1:10">
      <c r="A307" t="s">
        <v>2136</v>
      </c>
      <c r="B307">
        <v>2021</v>
      </c>
      <c r="C307" t="s">
        <v>92</v>
      </c>
      <c r="D307" s="217">
        <f>N185*(1-$B$9)</f>
        <v>58.613722647103607</v>
      </c>
      <c r="E307" t="s">
        <v>2020</v>
      </c>
      <c r="F307">
        <f t="shared" si="71"/>
        <v>1</v>
      </c>
      <c r="G307">
        <f t="shared" si="72"/>
        <v>1</v>
      </c>
      <c r="H307">
        <f t="shared" si="73"/>
        <v>2</v>
      </c>
      <c r="I307">
        <f t="shared" si="74"/>
        <v>2</v>
      </c>
      <c r="J307">
        <f t="shared" si="75"/>
        <v>2</v>
      </c>
    </row>
    <row r="308" spans="1:10">
      <c r="A308" t="s">
        <v>2136</v>
      </c>
      <c r="B308">
        <v>2022</v>
      </c>
      <c r="C308" t="s">
        <v>92</v>
      </c>
      <c r="D308" s="217">
        <f>N192*(1-$B$9)</f>
        <v>56.845560235411583</v>
      </c>
      <c r="E308" t="s">
        <v>2020</v>
      </c>
      <c r="F308">
        <f t="shared" si="71"/>
        <v>1</v>
      </c>
      <c r="G308">
        <f t="shared" si="72"/>
        <v>1</v>
      </c>
      <c r="H308">
        <f t="shared" si="73"/>
        <v>2</v>
      </c>
      <c r="I308">
        <f t="shared" si="74"/>
        <v>2</v>
      </c>
      <c r="J308">
        <f t="shared" si="75"/>
        <v>2</v>
      </c>
    </row>
    <row r="309" spans="1:10">
      <c r="A309" t="s">
        <v>2135</v>
      </c>
      <c r="B309">
        <v>2011</v>
      </c>
      <c r="C309" t="s">
        <v>99</v>
      </c>
      <c r="D309" s="217">
        <f>M109*(1-$B$9)</f>
        <v>31.32385605954126</v>
      </c>
      <c r="E309" s="7" t="s">
        <v>2019</v>
      </c>
      <c r="F309">
        <f t="shared" ref="F309:F332" si="76">O109</f>
        <v>1</v>
      </c>
      <c r="G309">
        <f t="shared" ref="G309:G332" si="77">P109</f>
        <v>1</v>
      </c>
      <c r="H309">
        <f t="shared" ref="H309:H332" si="78">Q109</f>
        <v>2</v>
      </c>
      <c r="I309">
        <f t="shared" ref="I309:I332" si="79">R109</f>
        <v>2</v>
      </c>
      <c r="J309">
        <f t="shared" ref="J309:J332" si="80">S109</f>
        <v>2</v>
      </c>
    </row>
    <row r="310" spans="1:10">
      <c r="A310" t="s">
        <v>2135</v>
      </c>
      <c r="B310">
        <v>2012</v>
      </c>
      <c r="C310" t="s">
        <v>99</v>
      </c>
      <c r="D310">
        <f>M116*(1-$B$9)</f>
        <v>28.939700712527884</v>
      </c>
      <c r="E310" s="7" t="s">
        <v>2019</v>
      </c>
      <c r="F310">
        <f t="shared" si="76"/>
        <v>1</v>
      </c>
      <c r="G310">
        <f t="shared" si="77"/>
        <v>1</v>
      </c>
      <c r="H310">
        <f t="shared" si="78"/>
        <v>2</v>
      </c>
      <c r="I310">
        <f t="shared" si="79"/>
        <v>2</v>
      </c>
      <c r="J310">
        <f t="shared" si="80"/>
        <v>2</v>
      </c>
    </row>
    <row r="311" spans="1:10">
      <c r="A311" t="s">
        <v>2135</v>
      </c>
      <c r="B311">
        <v>2013</v>
      </c>
      <c r="C311" t="s">
        <v>99</v>
      </c>
      <c r="D311">
        <f>M123*(1-$B$9)</f>
        <v>27.533755281843465</v>
      </c>
      <c r="E311" s="7" t="s">
        <v>2019</v>
      </c>
      <c r="F311">
        <f t="shared" si="76"/>
        <v>1</v>
      </c>
      <c r="G311">
        <f t="shared" si="77"/>
        <v>1</v>
      </c>
      <c r="H311">
        <f t="shared" si="78"/>
        <v>2</v>
      </c>
      <c r="I311">
        <f t="shared" si="79"/>
        <v>2</v>
      </c>
      <c r="J311">
        <f t="shared" si="80"/>
        <v>2</v>
      </c>
    </row>
    <row r="312" spans="1:10">
      <c r="A312" t="s">
        <v>2135</v>
      </c>
      <c r="B312">
        <v>2014</v>
      </c>
      <c r="C312" t="s">
        <v>99</v>
      </c>
      <c r="D312">
        <f>M130*(1-$B$9)</f>
        <v>26.834825610147327</v>
      </c>
      <c r="E312" s="7" t="s">
        <v>2019</v>
      </c>
      <c r="F312">
        <f t="shared" si="76"/>
        <v>1</v>
      </c>
      <c r="G312">
        <f t="shared" si="77"/>
        <v>1</v>
      </c>
      <c r="H312">
        <f t="shared" si="78"/>
        <v>2</v>
      </c>
      <c r="I312">
        <f t="shared" si="79"/>
        <v>2</v>
      </c>
      <c r="J312">
        <f t="shared" si="80"/>
        <v>2</v>
      </c>
    </row>
    <row r="313" spans="1:10">
      <c r="A313" t="s">
        <v>2135</v>
      </c>
      <c r="B313">
        <v>2015</v>
      </c>
      <c r="C313" t="s">
        <v>99</v>
      </c>
      <c r="D313">
        <f>M137*(1-$B$9)</f>
        <v>24.139952861315848</v>
      </c>
      <c r="E313" s="7" t="s">
        <v>2019</v>
      </c>
      <c r="F313">
        <f t="shared" si="76"/>
        <v>1</v>
      </c>
      <c r="G313">
        <f t="shared" si="77"/>
        <v>1</v>
      </c>
      <c r="H313">
        <f t="shared" si="78"/>
        <v>2</v>
      </c>
      <c r="I313">
        <f t="shared" si="79"/>
        <v>2</v>
      </c>
      <c r="J313">
        <f t="shared" si="80"/>
        <v>2</v>
      </c>
    </row>
    <row r="314" spans="1:10">
      <c r="A314" t="s">
        <v>2135</v>
      </c>
      <c r="B314">
        <v>2016</v>
      </c>
      <c r="C314" t="s">
        <v>99</v>
      </c>
      <c r="D314">
        <f>M144*(1-$B$9)</f>
        <v>27.520387154912541</v>
      </c>
      <c r="E314" s="7" t="s">
        <v>2019</v>
      </c>
      <c r="F314">
        <f t="shared" si="76"/>
        <v>1</v>
      </c>
      <c r="G314">
        <f t="shared" si="77"/>
        <v>1</v>
      </c>
      <c r="H314">
        <f t="shared" si="78"/>
        <v>2</v>
      </c>
      <c r="I314">
        <f t="shared" si="79"/>
        <v>2</v>
      </c>
      <c r="J314">
        <f t="shared" si="80"/>
        <v>2</v>
      </c>
    </row>
    <row r="315" spans="1:10">
      <c r="A315" t="s">
        <v>2135</v>
      </c>
      <c r="B315">
        <v>2017</v>
      </c>
      <c r="C315" t="s">
        <v>99</v>
      </c>
      <c r="D315">
        <f>M151*(1-$B$9)</f>
        <v>22.822083246558794</v>
      </c>
      <c r="E315" s="7" t="s">
        <v>2019</v>
      </c>
      <c r="F315">
        <f t="shared" si="76"/>
        <v>1</v>
      </c>
      <c r="G315">
        <f t="shared" si="77"/>
        <v>1</v>
      </c>
      <c r="H315">
        <f t="shared" si="78"/>
        <v>2</v>
      </c>
      <c r="I315">
        <f t="shared" si="79"/>
        <v>2</v>
      </c>
      <c r="J315">
        <f t="shared" si="80"/>
        <v>2</v>
      </c>
    </row>
    <row r="316" spans="1:10">
      <c r="A316" t="s">
        <v>2135</v>
      </c>
      <c r="B316">
        <v>2018</v>
      </c>
      <c r="C316" t="s">
        <v>99</v>
      </c>
      <c r="D316">
        <f>M158*(1-$B$9)</f>
        <v>25.958485766822115</v>
      </c>
      <c r="E316" s="7" t="s">
        <v>2019</v>
      </c>
      <c r="F316">
        <f t="shared" si="76"/>
        <v>1</v>
      </c>
      <c r="G316">
        <f t="shared" si="77"/>
        <v>1</v>
      </c>
      <c r="H316">
        <f t="shared" si="78"/>
        <v>2</v>
      </c>
      <c r="I316">
        <f t="shared" si="79"/>
        <v>2</v>
      </c>
      <c r="J316">
        <f t="shared" si="80"/>
        <v>2</v>
      </c>
    </row>
    <row r="317" spans="1:10">
      <c r="A317" t="s">
        <v>2135</v>
      </c>
      <c r="B317">
        <v>2019</v>
      </c>
      <c r="C317" t="s">
        <v>99</v>
      </c>
      <c r="D317">
        <f>M165*(1-$B$9)</f>
        <v>25.420305249096643</v>
      </c>
      <c r="E317" s="7" t="s">
        <v>2019</v>
      </c>
      <c r="F317">
        <f t="shared" si="76"/>
        <v>1</v>
      </c>
      <c r="G317">
        <f t="shared" si="77"/>
        <v>1</v>
      </c>
      <c r="H317">
        <f t="shared" si="78"/>
        <v>2</v>
      </c>
      <c r="I317">
        <f t="shared" si="79"/>
        <v>2</v>
      </c>
      <c r="J317">
        <f t="shared" si="80"/>
        <v>2</v>
      </c>
    </row>
    <row r="318" spans="1:10">
      <c r="A318" t="s">
        <v>2135</v>
      </c>
      <c r="B318">
        <v>2020</v>
      </c>
      <c r="C318" t="s">
        <v>99</v>
      </c>
      <c r="D318">
        <f>M172*(1-$B$9)</f>
        <v>19.264682497283751</v>
      </c>
      <c r="E318" s="7" t="s">
        <v>2019</v>
      </c>
      <c r="F318">
        <f t="shared" si="76"/>
        <v>1</v>
      </c>
      <c r="G318">
        <f t="shared" si="77"/>
        <v>1</v>
      </c>
      <c r="H318">
        <f t="shared" si="78"/>
        <v>2</v>
      </c>
      <c r="I318">
        <f t="shared" si="79"/>
        <v>2</v>
      </c>
      <c r="J318">
        <f t="shared" si="80"/>
        <v>2</v>
      </c>
    </row>
    <row r="319" spans="1:10">
      <c r="A319" t="s">
        <v>2135</v>
      </c>
      <c r="B319">
        <v>2021</v>
      </c>
      <c r="C319" t="s">
        <v>99</v>
      </c>
      <c r="D319">
        <f>M179*(1-$B$9)</f>
        <v>19.718829697359631</v>
      </c>
      <c r="E319" s="7" t="s">
        <v>2019</v>
      </c>
      <c r="F319">
        <f t="shared" si="76"/>
        <v>1</v>
      </c>
      <c r="G319">
        <f t="shared" si="77"/>
        <v>1</v>
      </c>
      <c r="H319">
        <f t="shared" si="78"/>
        <v>2</v>
      </c>
      <c r="I319">
        <f t="shared" si="79"/>
        <v>2</v>
      </c>
      <c r="J319">
        <f t="shared" si="80"/>
        <v>2</v>
      </c>
    </row>
    <row r="320" spans="1:10">
      <c r="A320" t="s">
        <v>2135</v>
      </c>
      <c r="B320">
        <v>2022</v>
      </c>
      <c r="C320" t="s">
        <v>99</v>
      </c>
      <c r="D320">
        <f>M186*(1-$B$9)</f>
        <v>21.348742392429976</v>
      </c>
      <c r="E320" s="7" t="s">
        <v>2019</v>
      </c>
      <c r="F320">
        <f t="shared" si="76"/>
        <v>1</v>
      </c>
      <c r="G320">
        <f t="shared" si="77"/>
        <v>1</v>
      </c>
      <c r="H320">
        <f t="shared" si="78"/>
        <v>2</v>
      </c>
      <c r="I320">
        <f t="shared" si="79"/>
        <v>2</v>
      </c>
      <c r="J320">
        <f t="shared" si="80"/>
        <v>2</v>
      </c>
    </row>
    <row r="321" spans="1:30">
      <c r="A321" t="s">
        <v>2135</v>
      </c>
      <c r="B321">
        <v>2011</v>
      </c>
      <c r="C321" t="s">
        <v>99</v>
      </c>
      <c r="D321">
        <f>N109*(1-$B$9)</f>
        <v>36.99742708182994</v>
      </c>
      <c r="E321" t="s">
        <v>2020</v>
      </c>
      <c r="F321">
        <f t="shared" si="76"/>
        <v>1</v>
      </c>
      <c r="G321">
        <f t="shared" si="77"/>
        <v>1</v>
      </c>
      <c r="H321">
        <f t="shared" si="78"/>
        <v>2</v>
      </c>
      <c r="I321">
        <f t="shared" si="79"/>
        <v>2</v>
      </c>
      <c r="J321">
        <f t="shared" si="80"/>
        <v>2</v>
      </c>
    </row>
    <row r="322" spans="1:30">
      <c r="A322" t="s">
        <v>2135</v>
      </c>
      <c r="B322">
        <v>2012</v>
      </c>
      <c r="C322" t="s">
        <v>99</v>
      </c>
      <c r="D322">
        <f>N116*(1-$B$9)</f>
        <v>34.181438736231144</v>
      </c>
      <c r="E322" t="s">
        <v>2020</v>
      </c>
      <c r="F322">
        <f t="shared" si="76"/>
        <v>1</v>
      </c>
      <c r="G322">
        <f t="shared" si="77"/>
        <v>1</v>
      </c>
      <c r="H322">
        <f t="shared" si="78"/>
        <v>2</v>
      </c>
      <c r="I322">
        <f t="shared" si="79"/>
        <v>2</v>
      </c>
      <c r="J322">
        <f t="shared" si="80"/>
        <v>2</v>
      </c>
    </row>
    <row r="323" spans="1:30">
      <c r="A323" t="s">
        <v>2135</v>
      </c>
      <c r="B323">
        <v>2013</v>
      </c>
      <c r="C323" t="s">
        <v>99</v>
      </c>
      <c r="D323">
        <f>N123*(1-$B$9)</f>
        <v>32.520839752060596</v>
      </c>
      <c r="E323" t="s">
        <v>2020</v>
      </c>
      <c r="F323">
        <f t="shared" si="76"/>
        <v>1</v>
      </c>
      <c r="G323">
        <f t="shared" si="77"/>
        <v>1</v>
      </c>
      <c r="H323">
        <f t="shared" si="78"/>
        <v>2</v>
      </c>
      <c r="I323">
        <f t="shared" si="79"/>
        <v>2</v>
      </c>
      <c r="J323">
        <f t="shared" si="80"/>
        <v>2</v>
      </c>
    </row>
    <row r="324" spans="1:30">
      <c r="A324" t="s">
        <v>2135</v>
      </c>
      <c r="B324">
        <v>2014</v>
      </c>
      <c r="C324" t="s">
        <v>99</v>
      </c>
      <c r="D324">
        <f>N130*(1-$B$9)</f>
        <v>31.695315604754061</v>
      </c>
      <c r="E324" t="s">
        <v>2020</v>
      </c>
      <c r="F324">
        <f t="shared" si="76"/>
        <v>1</v>
      </c>
      <c r="G324">
        <f t="shared" si="77"/>
        <v>1</v>
      </c>
      <c r="H324">
        <f t="shared" si="78"/>
        <v>2</v>
      </c>
      <c r="I324">
        <f t="shared" si="79"/>
        <v>2</v>
      </c>
      <c r="J324">
        <f t="shared" si="80"/>
        <v>2</v>
      </c>
    </row>
    <row r="325" spans="1:30">
      <c r="A325" t="s">
        <v>2135</v>
      </c>
      <c r="B325">
        <v>2015</v>
      </c>
      <c r="C325" t="s">
        <v>99</v>
      </c>
      <c r="D325">
        <f>N137*(1-$B$9)</f>
        <v>28.512330795023608</v>
      </c>
      <c r="E325" t="s">
        <v>2020</v>
      </c>
      <c r="F325">
        <f t="shared" si="76"/>
        <v>1</v>
      </c>
      <c r="G325">
        <f t="shared" si="77"/>
        <v>1</v>
      </c>
      <c r="H325">
        <f t="shared" si="78"/>
        <v>2</v>
      </c>
      <c r="I325">
        <f t="shared" si="79"/>
        <v>2</v>
      </c>
      <c r="J325">
        <f t="shared" si="80"/>
        <v>2</v>
      </c>
    </row>
    <row r="326" spans="1:30">
      <c r="A326" t="s">
        <v>2135</v>
      </c>
      <c r="B326">
        <v>2016</v>
      </c>
      <c r="C326" t="s">
        <v>99</v>
      </c>
      <c r="D326">
        <f>N144*(1-$B$9)</f>
        <v>32.505050307095466</v>
      </c>
      <c r="E326" t="s">
        <v>2020</v>
      </c>
      <c r="F326">
        <f t="shared" si="76"/>
        <v>1</v>
      </c>
      <c r="G326">
        <f t="shared" si="77"/>
        <v>1</v>
      </c>
      <c r="H326">
        <f t="shared" si="78"/>
        <v>2</v>
      </c>
      <c r="I326">
        <f t="shared" si="79"/>
        <v>2</v>
      </c>
      <c r="J326">
        <f t="shared" si="80"/>
        <v>2</v>
      </c>
    </row>
    <row r="327" spans="1:30">
      <c r="A327" t="s">
        <v>2135</v>
      </c>
      <c r="B327">
        <v>2017</v>
      </c>
      <c r="C327" t="s">
        <v>99</v>
      </c>
      <c r="D327">
        <f>N151*(1-$B$9)</f>
        <v>26.955760464644953</v>
      </c>
      <c r="E327" t="s">
        <v>2020</v>
      </c>
      <c r="F327">
        <f t="shared" si="76"/>
        <v>1</v>
      </c>
      <c r="G327">
        <f t="shared" si="77"/>
        <v>1</v>
      </c>
      <c r="H327">
        <f t="shared" si="78"/>
        <v>2</v>
      </c>
      <c r="I327">
        <f t="shared" si="79"/>
        <v>2</v>
      </c>
      <c r="J327">
        <f t="shared" si="80"/>
        <v>2</v>
      </c>
    </row>
    <row r="328" spans="1:30">
      <c r="A328" t="s">
        <v>2135</v>
      </c>
      <c r="B328">
        <v>2018</v>
      </c>
      <c r="C328" t="s">
        <v>99</v>
      </c>
      <c r="D328">
        <f>N158*(1-$B$9)</f>
        <v>30.660247655562316</v>
      </c>
      <c r="E328" t="s">
        <v>2020</v>
      </c>
      <c r="F328">
        <f t="shared" si="76"/>
        <v>1</v>
      </c>
      <c r="G328">
        <f t="shared" si="77"/>
        <v>1</v>
      </c>
      <c r="H328">
        <f t="shared" si="78"/>
        <v>2</v>
      </c>
      <c r="I328">
        <f t="shared" si="79"/>
        <v>2</v>
      </c>
      <c r="J328">
        <f t="shared" si="80"/>
        <v>2</v>
      </c>
    </row>
    <row r="329" spans="1:30">
      <c r="A329" t="s">
        <v>2135</v>
      </c>
      <c r="B329">
        <v>2019</v>
      </c>
      <c r="C329" t="s">
        <v>99</v>
      </c>
      <c r="D329">
        <f>N165*(1-$B$9)</f>
        <v>30.024588545663409</v>
      </c>
      <c r="E329" t="s">
        <v>2020</v>
      </c>
      <c r="F329">
        <f t="shared" si="76"/>
        <v>1</v>
      </c>
      <c r="G329">
        <f t="shared" si="77"/>
        <v>1</v>
      </c>
      <c r="H329">
        <f t="shared" si="78"/>
        <v>2</v>
      </c>
      <c r="I329">
        <f t="shared" si="79"/>
        <v>2</v>
      </c>
      <c r="J329">
        <f t="shared" si="80"/>
        <v>2</v>
      </c>
    </row>
    <row r="330" spans="1:30">
      <c r="A330" t="s">
        <v>2135</v>
      </c>
      <c r="B330">
        <v>2020</v>
      </c>
      <c r="C330" t="s">
        <v>99</v>
      </c>
      <c r="D330">
        <f>N172*(1-$B$9)</f>
        <v>22.754021235222702</v>
      </c>
      <c r="E330" t="s">
        <v>2020</v>
      </c>
      <c r="F330">
        <f t="shared" si="76"/>
        <v>1</v>
      </c>
      <c r="G330">
        <f t="shared" si="77"/>
        <v>1</v>
      </c>
      <c r="H330">
        <f t="shared" si="78"/>
        <v>2</v>
      </c>
      <c r="I330">
        <f t="shared" si="79"/>
        <v>2</v>
      </c>
      <c r="J330">
        <f t="shared" si="80"/>
        <v>2</v>
      </c>
    </row>
    <row r="331" spans="1:30">
      <c r="A331" t="s">
        <v>2135</v>
      </c>
      <c r="B331">
        <v>2021</v>
      </c>
      <c r="C331" t="s">
        <v>99</v>
      </c>
      <c r="D331">
        <f>N179*(1-$B$9)</f>
        <v>23.29042639195967</v>
      </c>
      <c r="E331" t="s">
        <v>2020</v>
      </c>
      <c r="F331">
        <f t="shared" si="76"/>
        <v>1</v>
      </c>
      <c r="G331">
        <f t="shared" si="77"/>
        <v>1</v>
      </c>
      <c r="H331">
        <f t="shared" si="78"/>
        <v>2</v>
      </c>
      <c r="I331">
        <f t="shared" si="79"/>
        <v>2</v>
      </c>
      <c r="J331">
        <f t="shared" si="80"/>
        <v>2</v>
      </c>
    </row>
    <row r="332" spans="1:30">
      <c r="A332" t="s">
        <v>2135</v>
      </c>
      <c r="B332">
        <v>2022</v>
      </c>
      <c r="C332" t="s">
        <v>99</v>
      </c>
      <c r="D332">
        <f>N186*(1-$B$9)</f>
        <v>25.215558980073638</v>
      </c>
      <c r="E332" t="s">
        <v>2020</v>
      </c>
      <c r="F332">
        <f t="shared" si="76"/>
        <v>1</v>
      </c>
      <c r="G332">
        <f t="shared" si="77"/>
        <v>1</v>
      </c>
      <c r="H332">
        <f t="shared" si="78"/>
        <v>2</v>
      </c>
      <c r="I332">
        <f t="shared" si="79"/>
        <v>2</v>
      </c>
      <c r="J332">
        <f t="shared" si="80"/>
        <v>2</v>
      </c>
    </row>
    <row r="334" spans="1:30" s="1016" customFormat="1">
      <c r="A334" s="1008" t="s">
        <v>2138</v>
      </c>
    </row>
    <row r="335" spans="1:30" s="1016" customFormat="1" ht="15" thickBot="1"/>
    <row r="336" spans="1:30" ht="15" thickBot="1">
      <c r="A336" s="65" t="s">
        <v>129</v>
      </c>
      <c r="B336" s="107" t="s">
        <v>130</v>
      </c>
      <c r="C336" s="108" t="s">
        <v>131</v>
      </c>
      <c r="D336" s="109" t="s">
        <v>102</v>
      </c>
      <c r="E336" s="226" t="s">
        <v>132</v>
      </c>
      <c r="F336" s="108" t="s">
        <v>133</v>
      </c>
      <c r="G336" s="110" t="s">
        <v>104</v>
      </c>
      <c r="H336" s="111" t="s">
        <v>134</v>
      </c>
      <c r="I336" s="112" t="s">
        <v>135</v>
      </c>
      <c r="J336" s="112" t="s">
        <v>65</v>
      </c>
      <c r="K336" s="112" t="s">
        <v>67</v>
      </c>
      <c r="L336" s="112" t="s">
        <v>73</v>
      </c>
      <c r="M336" s="113" t="s">
        <v>79</v>
      </c>
      <c r="O336" s="107" t="s">
        <v>101</v>
      </c>
      <c r="P336" s="641" t="s">
        <v>506</v>
      </c>
      <c r="Q336" s="108" t="s">
        <v>102</v>
      </c>
      <c r="R336" s="641" t="s">
        <v>507</v>
      </c>
      <c r="S336" s="641" t="s">
        <v>245</v>
      </c>
      <c r="T336" s="641" t="s">
        <v>508</v>
      </c>
      <c r="U336" s="641" t="s">
        <v>509</v>
      </c>
      <c r="V336" s="641" t="s">
        <v>510</v>
      </c>
      <c r="W336" s="110" t="s">
        <v>104</v>
      </c>
      <c r="X336" s="45" t="s">
        <v>105</v>
      </c>
      <c r="Y336" s="46" t="s">
        <v>65</v>
      </c>
      <c r="Z336" s="46" t="s">
        <v>67</v>
      </c>
      <c r="AA336" s="46" t="s">
        <v>73</v>
      </c>
      <c r="AB336" s="47" t="s">
        <v>79</v>
      </c>
      <c r="AC336" s="50" t="s">
        <v>106</v>
      </c>
      <c r="AD336" s="49" t="s">
        <v>123</v>
      </c>
    </row>
    <row r="337" spans="1:30">
      <c r="A337" t="s">
        <v>256</v>
      </c>
      <c r="B337" t="s">
        <v>2130</v>
      </c>
      <c r="C337" t="s">
        <v>182</v>
      </c>
      <c r="D337" t="str">
        <f>C180</f>
        <v>OTHER</v>
      </c>
      <c r="E337" s="537">
        <f>M180/Pellets!V252</f>
        <v>3.8693271202292338E-3</v>
      </c>
      <c r="F337">
        <v>2</v>
      </c>
      <c r="G337" s="7" t="s">
        <v>2019</v>
      </c>
      <c r="I337">
        <f t="shared" ref="I337:M341" si="81">O180</f>
        <v>1</v>
      </c>
      <c r="J337">
        <f t="shared" si="81"/>
        <v>1</v>
      </c>
      <c r="K337">
        <f t="shared" si="81"/>
        <v>2</v>
      </c>
      <c r="L337">
        <f t="shared" si="81"/>
        <v>2</v>
      </c>
      <c r="M337">
        <f t="shared" si="81"/>
        <v>2</v>
      </c>
      <c r="O337">
        <v>2021</v>
      </c>
      <c r="P337">
        <v>13666</v>
      </c>
      <c r="Q337" t="s">
        <v>85</v>
      </c>
      <c r="R337">
        <v>2883</v>
      </c>
      <c r="S337">
        <v>2568</v>
      </c>
      <c r="T337">
        <v>13981</v>
      </c>
      <c r="U337">
        <v>0.15517553930751099</v>
      </c>
      <c r="V337">
        <v>0.84482446069248895</v>
      </c>
      <c r="W337" t="s">
        <v>126</v>
      </c>
      <c r="X337">
        <v>1</v>
      </c>
      <c r="Y337">
        <v>1</v>
      </c>
      <c r="Z337">
        <v>1</v>
      </c>
      <c r="AA337">
        <v>2</v>
      </c>
      <c r="AB337">
        <v>2</v>
      </c>
      <c r="AC337">
        <v>0.35859414261160716</v>
      </c>
      <c r="AD337" t="s">
        <v>111</v>
      </c>
    </row>
    <row r="338" spans="1:30">
      <c r="A338" t="s">
        <v>256</v>
      </c>
      <c r="B338" t="s">
        <v>2130</v>
      </c>
      <c r="C338" t="s">
        <v>182</v>
      </c>
      <c r="D338" t="str">
        <f>C181</f>
        <v>PA</v>
      </c>
      <c r="E338" s="537">
        <f>M181/Pellets!V250</f>
        <v>3.3558127325299704E-2</v>
      </c>
      <c r="F338">
        <v>2</v>
      </c>
      <c r="G338" s="7" t="s">
        <v>2019</v>
      </c>
      <c r="I338">
        <f t="shared" si="81"/>
        <v>1</v>
      </c>
      <c r="J338">
        <f t="shared" si="81"/>
        <v>1</v>
      </c>
      <c r="K338">
        <f t="shared" si="81"/>
        <v>2</v>
      </c>
      <c r="L338">
        <f t="shared" si="81"/>
        <v>2</v>
      </c>
      <c r="M338">
        <f t="shared" si="81"/>
        <v>2</v>
      </c>
      <c r="O338">
        <v>2021</v>
      </c>
      <c r="P338">
        <v>6722</v>
      </c>
      <c r="Q338" t="s">
        <v>86</v>
      </c>
      <c r="R338">
        <v>1213</v>
      </c>
      <c r="S338">
        <v>1136</v>
      </c>
      <c r="T338">
        <v>6799</v>
      </c>
      <c r="U338">
        <v>0.14316320100819149</v>
      </c>
      <c r="V338">
        <v>0.85683679899180842</v>
      </c>
      <c r="W338" t="s">
        <v>126</v>
      </c>
      <c r="X338">
        <v>1</v>
      </c>
      <c r="Y338">
        <v>1</v>
      </c>
      <c r="Z338">
        <v>1</v>
      </c>
      <c r="AA338">
        <v>2</v>
      </c>
      <c r="AB338">
        <v>2</v>
      </c>
      <c r="AC338">
        <v>0.35859414261160716</v>
      </c>
      <c r="AD338" t="s">
        <v>111</v>
      </c>
    </row>
    <row r="339" spans="1:30">
      <c r="A339" t="s">
        <v>256</v>
      </c>
      <c r="B339" t="s">
        <v>2130</v>
      </c>
      <c r="C339" t="s">
        <v>182</v>
      </c>
      <c r="D339" t="str">
        <f>C182</f>
        <v>PET</v>
      </c>
      <c r="E339" s="537">
        <f>M182/Pellets!V246</f>
        <v>6.6909027236088423E-2</v>
      </c>
      <c r="F339">
        <v>2</v>
      </c>
      <c r="G339" s="7" t="s">
        <v>2019</v>
      </c>
      <c r="I339">
        <f t="shared" si="81"/>
        <v>1</v>
      </c>
      <c r="J339">
        <f t="shared" si="81"/>
        <v>1</v>
      </c>
      <c r="K339">
        <f t="shared" si="81"/>
        <v>2</v>
      </c>
      <c r="L339">
        <f t="shared" si="81"/>
        <v>2</v>
      </c>
      <c r="M339">
        <f t="shared" si="81"/>
        <v>2</v>
      </c>
      <c r="O339">
        <v>2021</v>
      </c>
      <c r="P339">
        <v>9482</v>
      </c>
      <c r="Q339" t="s">
        <v>87</v>
      </c>
      <c r="R339">
        <v>617</v>
      </c>
      <c r="S339">
        <v>998</v>
      </c>
      <c r="T339">
        <v>9101</v>
      </c>
      <c r="U339">
        <v>9.8821665511436771E-2</v>
      </c>
      <c r="V339">
        <v>0.90117833448856322</v>
      </c>
      <c r="W339" t="s">
        <v>126</v>
      </c>
      <c r="X339">
        <v>1</v>
      </c>
      <c r="Y339">
        <v>1</v>
      </c>
      <c r="Z339">
        <v>1</v>
      </c>
      <c r="AA339">
        <v>2</v>
      </c>
      <c r="AB339">
        <v>2</v>
      </c>
      <c r="AC339">
        <v>0.35859414261160716</v>
      </c>
      <c r="AD339" t="s">
        <v>111</v>
      </c>
    </row>
    <row r="340" spans="1:30">
      <c r="A340" t="s">
        <v>256</v>
      </c>
      <c r="B340" t="s">
        <v>2130</v>
      </c>
      <c r="C340" t="s">
        <v>182</v>
      </c>
      <c r="D340" t="str">
        <f>C183</f>
        <v>PUR</v>
      </c>
      <c r="E340" s="537">
        <f>M183/Pellets!V251</f>
        <v>2.2222566857895358E-2</v>
      </c>
      <c r="F340">
        <v>2</v>
      </c>
      <c r="G340" s="7" t="s">
        <v>2019</v>
      </c>
      <c r="I340">
        <f t="shared" si="81"/>
        <v>1</v>
      </c>
      <c r="J340">
        <f t="shared" si="81"/>
        <v>1</v>
      </c>
      <c r="K340">
        <f t="shared" si="81"/>
        <v>2</v>
      </c>
      <c r="L340">
        <f t="shared" si="81"/>
        <v>2</v>
      </c>
      <c r="M340">
        <f t="shared" si="81"/>
        <v>2</v>
      </c>
      <c r="O340">
        <v>2021</v>
      </c>
      <c r="P340">
        <v>2057</v>
      </c>
      <c r="Q340" t="s">
        <v>88</v>
      </c>
      <c r="R340">
        <v>117</v>
      </c>
      <c r="S340">
        <v>353</v>
      </c>
      <c r="T340">
        <v>1821</v>
      </c>
      <c r="U340">
        <v>0.16237350505979761</v>
      </c>
      <c r="V340">
        <v>0.83762649494020236</v>
      </c>
      <c r="W340" t="s">
        <v>126</v>
      </c>
      <c r="X340">
        <v>1</v>
      </c>
      <c r="Y340">
        <v>1</v>
      </c>
      <c r="Z340">
        <v>1</v>
      </c>
      <c r="AA340">
        <v>2</v>
      </c>
      <c r="AB340">
        <v>2</v>
      </c>
      <c r="AC340">
        <v>0.35859414261160716</v>
      </c>
      <c r="AD340" t="s">
        <v>111</v>
      </c>
    </row>
    <row r="341" spans="1:30">
      <c r="A341" t="s">
        <v>256</v>
      </c>
      <c r="B341" t="s">
        <v>2130</v>
      </c>
      <c r="C341" t="s">
        <v>182</v>
      </c>
      <c r="D341" t="str">
        <f>C184</f>
        <v>PVC</v>
      </c>
      <c r="E341" s="537">
        <f>M184/Pellets!V245</f>
        <v>6.0053267152829484E-3</v>
      </c>
      <c r="F341">
        <v>2</v>
      </c>
      <c r="G341" s="7" t="s">
        <v>2019</v>
      </c>
      <c r="I341">
        <f t="shared" si="81"/>
        <v>1</v>
      </c>
      <c r="J341">
        <f t="shared" si="81"/>
        <v>1</v>
      </c>
      <c r="K341">
        <f t="shared" si="81"/>
        <v>2</v>
      </c>
      <c r="L341">
        <f t="shared" si="81"/>
        <v>2</v>
      </c>
      <c r="M341">
        <f t="shared" si="81"/>
        <v>2</v>
      </c>
      <c r="O341">
        <v>2021</v>
      </c>
      <c r="P341">
        <v>1923</v>
      </c>
      <c r="Q341" t="s">
        <v>89</v>
      </c>
      <c r="R341">
        <v>180</v>
      </c>
      <c r="S341">
        <v>78</v>
      </c>
      <c r="T341">
        <v>2025</v>
      </c>
      <c r="U341">
        <v>3.7089871611982878E-2</v>
      </c>
      <c r="V341">
        <v>0.96291012838801715</v>
      </c>
      <c r="W341" t="s">
        <v>126</v>
      </c>
      <c r="X341">
        <v>1</v>
      </c>
      <c r="Y341">
        <v>1</v>
      </c>
      <c r="Z341">
        <v>1</v>
      </c>
      <c r="AA341">
        <v>2</v>
      </c>
      <c r="AB341">
        <v>2</v>
      </c>
      <c r="AC341">
        <v>0.35859414261160716</v>
      </c>
      <c r="AD341" t="s">
        <v>111</v>
      </c>
    </row>
    <row r="342" spans="1:30">
      <c r="A342" t="s">
        <v>256</v>
      </c>
      <c r="B342" t="s">
        <v>2130</v>
      </c>
      <c r="C342" t="s">
        <v>182</v>
      </c>
      <c r="D342" t="str">
        <f>C180</f>
        <v>OTHER</v>
      </c>
      <c r="E342" s="537">
        <f>N180/Pellets!V252</f>
        <v>4.5701636386757368E-3</v>
      </c>
      <c r="F342">
        <v>2</v>
      </c>
      <c r="G342" t="s">
        <v>2020</v>
      </c>
      <c r="I342">
        <f t="shared" ref="I342:M346" si="82">O187</f>
        <v>1</v>
      </c>
      <c r="J342">
        <f t="shared" si="82"/>
        <v>1</v>
      </c>
      <c r="K342">
        <f t="shared" si="82"/>
        <v>2</v>
      </c>
      <c r="L342">
        <f t="shared" si="82"/>
        <v>2</v>
      </c>
      <c r="M342">
        <f t="shared" si="82"/>
        <v>2</v>
      </c>
      <c r="O342">
        <v>2021</v>
      </c>
      <c r="P342">
        <v>7971</v>
      </c>
      <c r="Q342" t="s">
        <v>90</v>
      </c>
      <c r="R342">
        <v>508</v>
      </c>
      <c r="S342">
        <v>1465</v>
      </c>
      <c r="T342">
        <v>7014</v>
      </c>
      <c r="U342">
        <v>0.17277980893973349</v>
      </c>
      <c r="V342">
        <v>0.82722019106026656</v>
      </c>
      <c r="W342" t="s">
        <v>126</v>
      </c>
      <c r="X342">
        <v>1</v>
      </c>
      <c r="Y342">
        <v>1</v>
      </c>
      <c r="Z342">
        <v>1</v>
      </c>
      <c r="AA342">
        <v>2</v>
      </c>
      <c r="AB342">
        <v>2</v>
      </c>
      <c r="AC342">
        <v>0.35859414261160716</v>
      </c>
      <c r="AD342" t="s">
        <v>111</v>
      </c>
    </row>
    <row r="343" spans="1:30">
      <c r="A343" t="s">
        <v>256</v>
      </c>
      <c r="B343" t="s">
        <v>2130</v>
      </c>
      <c r="C343" t="s">
        <v>182</v>
      </c>
      <c r="D343" t="str">
        <f>C181</f>
        <v>PA</v>
      </c>
      <c r="E343" s="537">
        <f>N181/Pellets!V250</f>
        <v>3.9636383412072262E-2</v>
      </c>
      <c r="F343">
        <v>2</v>
      </c>
      <c r="G343" t="s">
        <v>2020</v>
      </c>
      <c r="I343">
        <f t="shared" si="82"/>
        <v>1</v>
      </c>
      <c r="J343">
        <f t="shared" si="82"/>
        <v>1</v>
      </c>
      <c r="K343">
        <f t="shared" si="82"/>
        <v>2</v>
      </c>
      <c r="L343">
        <f t="shared" si="82"/>
        <v>2</v>
      </c>
      <c r="M343">
        <f t="shared" si="82"/>
        <v>2</v>
      </c>
      <c r="O343">
        <v>2021</v>
      </c>
      <c r="P343">
        <v>2802</v>
      </c>
      <c r="Q343" t="s">
        <v>91</v>
      </c>
      <c r="R343">
        <v>824</v>
      </c>
      <c r="S343">
        <v>469</v>
      </c>
      <c r="T343">
        <v>3157</v>
      </c>
      <c r="U343">
        <v>0.12934362934362931</v>
      </c>
      <c r="V343">
        <v>0.87065637065637069</v>
      </c>
      <c r="W343" t="s">
        <v>126</v>
      </c>
      <c r="X343">
        <v>1</v>
      </c>
      <c r="Y343">
        <v>1</v>
      </c>
      <c r="Z343">
        <v>1</v>
      </c>
      <c r="AA343">
        <v>2</v>
      </c>
      <c r="AB343">
        <v>2</v>
      </c>
      <c r="AC343">
        <v>0.35859414261160716</v>
      </c>
      <c r="AD343" t="s">
        <v>111</v>
      </c>
    </row>
    <row r="344" spans="1:30">
      <c r="A344" t="s">
        <v>256</v>
      </c>
      <c r="B344" t="s">
        <v>2130</v>
      </c>
      <c r="C344" t="s">
        <v>182</v>
      </c>
      <c r="D344" t="str">
        <f>C182</f>
        <v>PET</v>
      </c>
      <c r="E344" s="537">
        <f>N182/Pellets!V246</f>
        <v>7.9028005095475098E-2</v>
      </c>
      <c r="F344">
        <v>2</v>
      </c>
      <c r="G344" t="s">
        <v>2020</v>
      </c>
      <c r="I344">
        <f t="shared" si="82"/>
        <v>1</v>
      </c>
      <c r="J344">
        <f t="shared" si="82"/>
        <v>1</v>
      </c>
      <c r="K344">
        <f t="shared" si="82"/>
        <v>2</v>
      </c>
      <c r="L344">
        <f t="shared" si="82"/>
        <v>2</v>
      </c>
      <c r="M344">
        <f t="shared" si="82"/>
        <v>2</v>
      </c>
      <c r="O344">
        <v>2021</v>
      </c>
      <c r="P344">
        <v>710</v>
      </c>
      <c r="Q344" t="s">
        <v>94</v>
      </c>
      <c r="R344">
        <v>228</v>
      </c>
      <c r="S344">
        <v>267</v>
      </c>
      <c r="T344">
        <v>671</v>
      </c>
      <c r="U344">
        <v>0.28464818763326227</v>
      </c>
      <c r="V344">
        <v>0.71535181236673773</v>
      </c>
      <c r="W344" t="s">
        <v>126</v>
      </c>
      <c r="X344">
        <v>1</v>
      </c>
      <c r="Y344">
        <v>1</v>
      </c>
      <c r="Z344">
        <v>1</v>
      </c>
      <c r="AA344">
        <v>2</v>
      </c>
      <c r="AB344">
        <v>2</v>
      </c>
      <c r="AC344">
        <v>0.35859414261160716</v>
      </c>
      <c r="AD344" t="s">
        <v>111</v>
      </c>
    </row>
    <row r="345" spans="1:30">
      <c r="A345" t="s">
        <v>256</v>
      </c>
      <c r="B345" t="s">
        <v>2130</v>
      </c>
      <c r="C345" t="s">
        <v>182</v>
      </c>
      <c r="D345" t="str">
        <f>C183</f>
        <v>PUR</v>
      </c>
      <c r="E345" s="537">
        <f>N183/Pellets!V251</f>
        <v>2.6247655950571849E-2</v>
      </c>
      <c r="F345">
        <v>2</v>
      </c>
      <c r="G345" t="s">
        <v>2020</v>
      </c>
      <c r="I345">
        <f t="shared" si="82"/>
        <v>1</v>
      </c>
      <c r="J345">
        <f t="shared" si="82"/>
        <v>1</v>
      </c>
      <c r="K345">
        <f t="shared" si="82"/>
        <v>2</v>
      </c>
      <c r="L345">
        <f t="shared" si="82"/>
        <v>2</v>
      </c>
      <c r="M345">
        <f t="shared" si="82"/>
        <v>2</v>
      </c>
      <c r="O345">
        <v>2021</v>
      </c>
      <c r="P345">
        <v>1323</v>
      </c>
      <c r="Q345" t="s">
        <v>96</v>
      </c>
      <c r="R345">
        <v>103</v>
      </c>
      <c r="S345">
        <v>280</v>
      </c>
      <c r="T345">
        <v>1146</v>
      </c>
      <c r="U345">
        <v>0.19635343618513321</v>
      </c>
      <c r="V345">
        <v>0.80364656381486677</v>
      </c>
      <c r="W345" t="s">
        <v>126</v>
      </c>
      <c r="X345">
        <v>1</v>
      </c>
      <c r="Y345">
        <v>1</v>
      </c>
      <c r="Z345">
        <v>1</v>
      </c>
      <c r="AA345">
        <v>2</v>
      </c>
      <c r="AB345">
        <v>2</v>
      </c>
      <c r="AC345">
        <v>0.35859414261160716</v>
      </c>
      <c r="AD345" t="s">
        <v>111</v>
      </c>
    </row>
    <row r="346" spans="1:30">
      <c r="A346" t="s">
        <v>256</v>
      </c>
      <c r="B346" t="s">
        <v>2130</v>
      </c>
      <c r="C346" t="s">
        <v>182</v>
      </c>
      <c r="D346" t="str">
        <f>C184</f>
        <v>PVC</v>
      </c>
      <c r="E346" s="537">
        <f>N184/Pellets!V245</f>
        <v>7.0930487239156351E-3</v>
      </c>
      <c r="F346">
        <v>2</v>
      </c>
      <c r="G346" t="s">
        <v>2020</v>
      </c>
      <c r="I346">
        <f t="shared" si="82"/>
        <v>1</v>
      </c>
      <c r="J346">
        <f t="shared" si="82"/>
        <v>1</v>
      </c>
      <c r="K346">
        <f t="shared" si="82"/>
        <v>2</v>
      </c>
      <c r="L346">
        <f t="shared" si="82"/>
        <v>2</v>
      </c>
      <c r="M346">
        <f t="shared" si="82"/>
        <v>2</v>
      </c>
      <c r="O346">
        <v>2021</v>
      </c>
      <c r="P346">
        <v>2546</v>
      </c>
      <c r="Q346" t="s">
        <v>97</v>
      </c>
      <c r="R346">
        <v>408</v>
      </c>
      <c r="S346">
        <v>1133</v>
      </c>
      <c r="T346">
        <v>1821</v>
      </c>
      <c r="U346">
        <v>0.38354773188896413</v>
      </c>
      <c r="V346">
        <v>0.61645226811103582</v>
      </c>
      <c r="W346" t="s">
        <v>126</v>
      </c>
      <c r="X346">
        <v>1</v>
      </c>
      <c r="Y346">
        <v>1</v>
      </c>
      <c r="Z346">
        <v>1</v>
      </c>
      <c r="AA346">
        <v>2</v>
      </c>
      <c r="AB346">
        <v>2</v>
      </c>
      <c r="AC346">
        <v>0.35859414261160716</v>
      </c>
      <c r="AD346" t="s">
        <v>111</v>
      </c>
    </row>
    <row r="347" spans="1:30">
      <c r="O347">
        <v>2021</v>
      </c>
      <c r="P347">
        <v>2149</v>
      </c>
      <c r="Q347" t="s">
        <v>95</v>
      </c>
      <c r="R347">
        <v>317</v>
      </c>
      <c r="S347">
        <v>669</v>
      </c>
      <c r="T347">
        <v>1797</v>
      </c>
      <c r="U347">
        <v>0.27128953771289538</v>
      </c>
      <c r="V347">
        <v>0.72871046228710457</v>
      </c>
      <c r="W347" t="s">
        <v>126</v>
      </c>
      <c r="X347">
        <v>1</v>
      </c>
      <c r="Y347">
        <v>1</v>
      </c>
      <c r="Z347">
        <v>1</v>
      </c>
      <c r="AA347">
        <v>2</v>
      </c>
      <c r="AB347">
        <v>2</v>
      </c>
      <c r="AC347">
        <v>0.35859414261160716</v>
      </c>
      <c r="AD347" t="s">
        <v>111</v>
      </c>
    </row>
    <row r="348" spans="1:30" s="1014" customFormat="1">
      <c r="A348" s="1014" t="s">
        <v>2028</v>
      </c>
    </row>
    <row r="349" spans="1:30" s="1014" customFormat="1" ht="15" thickBot="1"/>
    <row r="350" spans="1:30">
      <c r="A350" s="65" t="s">
        <v>129</v>
      </c>
      <c r="B350" s="107" t="s">
        <v>130</v>
      </c>
      <c r="C350" s="108" t="s">
        <v>131</v>
      </c>
      <c r="D350" s="109" t="s">
        <v>102</v>
      </c>
      <c r="E350" s="226" t="s">
        <v>132</v>
      </c>
      <c r="F350" s="108" t="s">
        <v>133</v>
      </c>
      <c r="G350" s="110" t="s">
        <v>104</v>
      </c>
      <c r="H350" s="111" t="s">
        <v>134</v>
      </c>
      <c r="I350" s="112" t="s">
        <v>135</v>
      </c>
      <c r="J350" s="112" t="s">
        <v>65</v>
      </c>
      <c r="K350" s="112" t="s">
        <v>67</v>
      </c>
      <c r="L350" s="112" t="s">
        <v>73</v>
      </c>
      <c r="M350" s="113" t="s">
        <v>79</v>
      </c>
    </row>
    <row r="351" spans="1:30">
      <c r="A351" t="s">
        <v>108</v>
      </c>
      <c r="B351" t="s">
        <v>2029</v>
      </c>
      <c r="C351" t="s">
        <v>180</v>
      </c>
      <c r="D351" t="s">
        <v>99</v>
      </c>
      <c r="E351" s="217">
        <v>0.17880344000000001</v>
      </c>
      <c r="F351">
        <v>1</v>
      </c>
      <c r="G351" t="s">
        <v>2030</v>
      </c>
      <c r="H351">
        <v>2</v>
      </c>
      <c r="J351">
        <v>2</v>
      </c>
      <c r="K351">
        <v>1</v>
      </c>
      <c r="L351">
        <v>2</v>
      </c>
      <c r="M351">
        <v>2</v>
      </c>
    </row>
    <row r="352" spans="1:30">
      <c r="A352" t="s">
        <v>108</v>
      </c>
      <c r="B352" t="s">
        <v>2029</v>
      </c>
      <c r="C352" t="s">
        <v>180</v>
      </c>
      <c r="D352" t="s">
        <v>98</v>
      </c>
      <c r="E352" s="217">
        <v>1.463661E-3</v>
      </c>
      <c r="F352">
        <v>1</v>
      </c>
      <c r="G352" t="s">
        <v>2030</v>
      </c>
      <c r="H352">
        <v>2</v>
      </c>
      <c r="J352">
        <v>2</v>
      </c>
      <c r="K352">
        <v>1</v>
      </c>
      <c r="L352">
        <v>2</v>
      </c>
      <c r="M352">
        <v>2</v>
      </c>
    </row>
    <row r="353" spans="1:13">
      <c r="A353" t="s">
        <v>108</v>
      </c>
      <c r="B353" t="s">
        <v>2029</v>
      </c>
      <c r="C353" t="s">
        <v>180</v>
      </c>
      <c r="D353" t="s">
        <v>95</v>
      </c>
      <c r="E353" s="217">
        <v>1.9180867000000001E-2</v>
      </c>
      <c r="F353">
        <v>1</v>
      </c>
      <c r="G353" t="s">
        <v>2030</v>
      </c>
      <c r="H353">
        <v>2</v>
      </c>
      <c r="J353">
        <v>2</v>
      </c>
      <c r="K353">
        <v>1</v>
      </c>
      <c r="L353">
        <v>2</v>
      </c>
      <c r="M353">
        <v>2</v>
      </c>
    </row>
    <row r="354" spans="1:13">
      <c r="A354" t="s">
        <v>108</v>
      </c>
      <c r="B354" t="s">
        <v>2029</v>
      </c>
      <c r="C354" t="s">
        <v>180</v>
      </c>
      <c r="D354" t="s">
        <v>91</v>
      </c>
      <c r="E354" s="217">
        <v>3.0492526999999998E-2</v>
      </c>
      <c r="F354">
        <v>1</v>
      </c>
      <c r="G354" t="s">
        <v>2030</v>
      </c>
      <c r="H354">
        <v>2</v>
      </c>
      <c r="J354">
        <v>2</v>
      </c>
      <c r="K354">
        <v>1</v>
      </c>
      <c r="L354">
        <v>2</v>
      </c>
      <c r="M354">
        <v>2</v>
      </c>
    </row>
    <row r="355" spans="1:13">
      <c r="A355" t="s">
        <v>108</v>
      </c>
      <c r="B355" t="s">
        <v>2031</v>
      </c>
      <c r="C355" t="s">
        <v>180</v>
      </c>
      <c r="D355" t="s">
        <v>98</v>
      </c>
      <c r="E355" s="217">
        <v>1.5850409999999999E-2</v>
      </c>
      <c r="F355">
        <v>1</v>
      </c>
      <c r="G355" t="s">
        <v>2030</v>
      </c>
      <c r="H355">
        <v>2</v>
      </c>
      <c r="J355">
        <v>2</v>
      </c>
      <c r="K355">
        <v>1</v>
      </c>
      <c r="L355">
        <v>2</v>
      </c>
      <c r="M355">
        <v>2</v>
      </c>
    </row>
    <row r="356" spans="1:13">
      <c r="A356" t="s">
        <v>108</v>
      </c>
      <c r="B356" t="s">
        <v>2031</v>
      </c>
      <c r="C356" t="s">
        <v>180</v>
      </c>
      <c r="D356" t="s">
        <v>95</v>
      </c>
      <c r="E356" s="217">
        <v>3.6350166000000003E-2</v>
      </c>
      <c r="F356">
        <v>1</v>
      </c>
      <c r="G356" t="s">
        <v>2030</v>
      </c>
      <c r="H356">
        <v>2</v>
      </c>
      <c r="J356">
        <v>2</v>
      </c>
      <c r="K356">
        <v>1</v>
      </c>
      <c r="L356">
        <v>2</v>
      </c>
      <c r="M356">
        <v>2</v>
      </c>
    </row>
    <row r="357" spans="1:13">
      <c r="A357" t="s">
        <v>108</v>
      </c>
      <c r="B357" t="s">
        <v>2031</v>
      </c>
      <c r="C357" t="s">
        <v>180</v>
      </c>
      <c r="D357" t="s">
        <v>91</v>
      </c>
      <c r="E357" s="217">
        <v>4.0375331E-2</v>
      </c>
      <c r="F357">
        <v>1</v>
      </c>
      <c r="G357" t="s">
        <v>2030</v>
      </c>
      <c r="H357">
        <v>2</v>
      </c>
      <c r="J357">
        <v>2</v>
      </c>
      <c r="K357">
        <v>1</v>
      </c>
      <c r="L357">
        <v>2</v>
      </c>
      <c r="M357">
        <v>2</v>
      </c>
    </row>
    <row r="358" spans="1:13">
      <c r="A358" t="s">
        <v>108</v>
      </c>
      <c r="B358" t="s">
        <v>2031</v>
      </c>
      <c r="C358" t="s">
        <v>180</v>
      </c>
      <c r="D358" t="s">
        <v>93</v>
      </c>
      <c r="E358" s="217">
        <v>0.49830867699999998</v>
      </c>
      <c r="F358">
        <v>1</v>
      </c>
      <c r="G358" t="s">
        <v>2030</v>
      </c>
      <c r="H358">
        <v>2</v>
      </c>
      <c r="J358">
        <v>2</v>
      </c>
      <c r="K358">
        <v>1</v>
      </c>
      <c r="L358">
        <v>2</v>
      </c>
      <c r="M358">
        <v>2</v>
      </c>
    </row>
    <row r="359" spans="1:13">
      <c r="A359" t="s">
        <v>108</v>
      </c>
      <c r="B359" t="s">
        <v>2031</v>
      </c>
      <c r="C359" t="s">
        <v>180</v>
      </c>
      <c r="D359" t="s">
        <v>90</v>
      </c>
      <c r="E359" s="217">
        <v>0.45898524299999999</v>
      </c>
      <c r="F359">
        <v>1</v>
      </c>
      <c r="G359" t="s">
        <v>2030</v>
      </c>
      <c r="H359">
        <v>2</v>
      </c>
      <c r="J359">
        <v>2</v>
      </c>
      <c r="K359">
        <v>1</v>
      </c>
      <c r="L359">
        <v>2</v>
      </c>
      <c r="M359">
        <v>2</v>
      </c>
    </row>
    <row r="360" spans="1:13">
      <c r="A360" t="s">
        <v>108</v>
      </c>
      <c r="B360" t="s">
        <v>2031</v>
      </c>
      <c r="C360" t="s">
        <v>180</v>
      </c>
      <c r="D360" t="s">
        <v>92</v>
      </c>
      <c r="E360" s="217">
        <v>0.19374356000000001</v>
      </c>
      <c r="F360">
        <v>1</v>
      </c>
      <c r="G360" t="s">
        <v>2030</v>
      </c>
      <c r="H360">
        <v>2</v>
      </c>
      <c r="J360">
        <v>2</v>
      </c>
      <c r="K360">
        <v>1</v>
      </c>
      <c r="L360">
        <v>2</v>
      </c>
      <c r="M360">
        <v>2</v>
      </c>
    </row>
    <row r="361" spans="1:13">
      <c r="A361" t="s">
        <v>108</v>
      </c>
      <c r="B361" t="s">
        <v>2032</v>
      </c>
      <c r="C361" t="s">
        <v>180</v>
      </c>
      <c r="D361" t="s">
        <v>98</v>
      </c>
      <c r="E361" s="217">
        <v>0.26250200600000001</v>
      </c>
      <c r="F361">
        <v>1</v>
      </c>
      <c r="G361" t="s">
        <v>2030</v>
      </c>
      <c r="H361">
        <v>2</v>
      </c>
      <c r="J361">
        <v>2</v>
      </c>
      <c r="K361">
        <v>1</v>
      </c>
      <c r="L361">
        <v>2</v>
      </c>
      <c r="M361">
        <v>2</v>
      </c>
    </row>
    <row r="362" spans="1:13">
      <c r="A362" t="s">
        <v>108</v>
      </c>
      <c r="B362" t="s">
        <v>2032</v>
      </c>
      <c r="C362" t="s">
        <v>180</v>
      </c>
      <c r="D362" t="s">
        <v>95</v>
      </c>
      <c r="E362" s="217">
        <v>7.8522105999999994E-2</v>
      </c>
      <c r="F362">
        <v>1</v>
      </c>
      <c r="G362" t="s">
        <v>2030</v>
      </c>
      <c r="H362">
        <v>2</v>
      </c>
      <c r="J362">
        <v>2</v>
      </c>
      <c r="K362">
        <v>1</v>
      </c>
      <c r="L362">
        <v>2</v>
      </c>
      <c r="M362">
        <v>2</v>
      </c>
    </row>
    <row r="363" spans="1:13">
      <c r="A363" t="s">
        <v>108</v>
      </c>
      <c r="B363" t="s">
        <v>2032</v>
      </c>
      <c r="C363" t="s">
        <v>180</v>
      </c>
      <c r="D363" t="s">
        <v>91</v>
      </c>
      <c r="E363" s="217">
        <v>0.16171503700000001</v>
      </c>
      <c r="F363">
        <v>1</v>
      </c>
      <c r="G363" t="s">
        <v>2030</v>
      </c>
      <c r="H363">
        <v>2</v>
      </c>
      <c r="J363">
        <v>2</v>
      </c>
      <c r="K363">
        <v>1</v>
      </c>
      <c r="L363">
        <v>2</v>
      </c>
      <c r="M363">
        <v>2</v>
      </c>
    </row>
    <row r="364" spans="1:13">
      <c r="A364" t="s">
        <v>108</v>
      </c>
      <c r="B364" t="s">
        <v>2032</v>
      </c>
      <c r="C364" t="s">
        <v>180</v>
      </c>
      <c r="D364" t="s">
        <v>93</v>
      </c>
      <c r="E364" s="217">
        <v>0.40365957699999999</v>
      </c>
      <c r="F364">
        <v>1</v>
      </c>
      <c r="G364" t="s">
        <v>2030</v>
      </c>
      <c r="H364">
        <v>2</v>
      </c>
      <c r="J364">
        <v>2</v>
      </c>
      <c r="K364">
        <v>1</v>
      </c>
      <c r="L364">
        <v>2</v>
      </c>
      <c r="M364">
        <v>2</v>
      </c>
    </row>
    <row r="365" spans="1:13">
      <c r="A365" t="s">
        <v>108</v>
      </c>
      <c r="B365" t="s">
        <v>2032</v>
      </c>
      <c r="C365" t="s">
        <v>180</v>
      </c>
      <c r="D365" t="s">
        <v>90</v>
      </c>
      <c r="E365" s="217">
        <v>0.424920301</v>
      </c>
      <c r="F365">
        <v>1</v>
      </c>
      <c r="G365" t="s">
        <v>2030</v>
      </c>
      <c r="H365">
        <v>2</v>
      </c>
      <c r="J365">
        <v>2</v>
      </c>
      <c r="K365">
        <v>1</v>
      </c>
      <c r="L365">
        <v>2</v>
      </c>
      <c r="M365">
        <v>2</v>
      </c>
    </row>
    <row r="366" spans="1:13">
      <c r="A366" t="s">
        <v>108</v>
      </c>
      <c r="B366" t="s">
        <v>2032</v>
      </c>
      <c r="C366" t="s">
        <v>180</v>
      </c>
      <c r="D366" t="s">
        <v>92</v>
      </c>
      <c r="E366" s="217">
        <v>0.608751602</v>
      </c>
      <c r="F366">
        <v>1</v>
      </c>
      <c r="G366" t="s">
        <v>2030</v>
      </c>
      <c r="H366">
        <v>2</v>
      </c>
      <c r="J366">
        <v>2</v>
      </c>
      <c r="K366">
        <v>1</v>
      </c>
      <c r="L366">
        <v>2</v>
      </c>
      <c r="M366">
        <v>2</v>
      </c>
    </row>
    <row r="367" spans="1:13">
      <c r="A367" t="s">
        <v>108</v>
      </c>
      <c r="B367" t="s">
        <v>2151</v>
      </c>
      <c r="C367" t="s">
        <v>180</v>
      </c>
      <c r="D367" t="s">
        <v>99</v>
      </c>
      <c r="E367" s="217">
        <v>0</v>
      </c>
      <c r="F367">
        <v>1</v>
      </c>
      <c r="G367" t="s">
        <v>2030</v>
      </c>
      <c r="H367">
        <v>2</v>
      </c>
      <c r="J367">
        <v>2</v>
      </c>
      <c r="K367">
        <v>1</v>
      </c>
      <c r="L367">
        <v>2</v>
      </c>
      <c r="M367">
        <v>2</v>
      </c>
    </row>
    <row r="368" spans="1:13">
      <c r="A368" t="s">
        <v>108</v>
      </c>
      <c r="B368" t="s">
        <v>2151</v>
      </c>
      <c r="C368" t="s">
        <v>180</v>
      </c>
      <c r="D368" t="s">
        <v>98</v>
      </c>
      <c r="E368" s="217">
        <v>1.459066E-3</v>
      </c>
      <c r="F368">
        <v>1</v>
      </c>
      <c r="G368" t="s">
        <v>2030</v>
      </c>
      <c r="H368">
        <v>2</v>
      </c>
      <c r="J368">
        <v>2</v>
      </c>
      <c r="K368">
        <v>1</v>
      </c>
      <c r="L368">
        <v>2</v>
      </c>
      <c r="M368">
        <v>2</v>
      </c>
    </row>
    <row r="369" spans="1:13">
      <c r="A369" t="s">
        <v>108</v>
      </c>
      <c r="B369" t="s">
        <v>2151</v>
      </c>
      <c r="C369" t="s">
        <v>180</v>
      </c>
      <c r="D369" t="s">
        <v>95</v>
      </c>
      <c r="E369" s="217">
        <v>2.6768923999999999E-2</v>
      </c>
      <c r="F369">
        <v>1</v>
      </c>
      <c r="G369" t="s">
        <v>2030</v>
      </c>
      <c r="H369">
        <v>2</v>
      </c>
      <c r="J369">
        <v>2</v>
      </c>
      <c r="K369">
        <v>1</v>
      </c>
      <c r="L369">
        <v>2</v>
      </c>
      <c r="M369">
        <v>2</v>
      </c>
    </row>
    <row r="370" spans="1:13">
      <c r="A370" t="s">
        <v>108</v>
      </c>
      <c r="B370" t="s">
        <v>2151</v>
      </c>
      <c r="C370" t="s">
        <v>180</v>
      </c>
      <c r="D370" t="s">
        <v>91</v>
      </c>
      <c r="E370" s="217">
        <v>3.7166411000000003E-2</v>
      </c>
      <c r="F370">
        <v>1</v>
      </c>
      <c r="G370" t="s">
        <v>2030</v>
      </c>
      <c r="H370">
        <v>2</v>
      </c>
      <c r="J370">
        <v>2</v>
      </c>
      <c r="K370">
        <v>1</v>
      </c>
      <c r="L370">
        <v>2</v>
      </c>
      <c r="M370">
        <v>2</v>
      </c>
    </row>
    <row r="371" spans="1:13">
      <c r="A371" t="s">
        <v>108</v>
      </c>
      <c r="B371" t="s">
        <v>2152</v>
      </c>
      <c r="C371" t="s">
        <v>180</v>
      </c>
      <c r="D371" t="s">
        <v>99</v>
      </c>
      <c r="E371" s="217">
        <v>0.54133729500000005</v>
      </c>
      <c r="F371">
        <v>1</v>
      </c>
      <c r="G371" t="s">
        <v>2030</v>
      </c>
      <c r="H371">
        <v>2</v>
      </c>
      <c r="J371">
        <v>2</v>
      </c>
      <c r="K371">
        <v>1</v>
      </c>
      <c r="L371">
        <v>2</v>
      </c>
      <c r="M371">
        <v>2</v>
      </c>
    </row>
    <row r="372" spans="1:13">
      <c r="A372" t="s">
        <v>108</v>
      </c>
      <c r="B372" t="s">
        <v>2152</v>
      </c>
      <c r="C372" t="s">
        <v>180</v>
      </c>
      <c r="D372" t="s">
        <v>98</v>
      </c>
      <c r="E372" s="217">
        <v>6.4455466000000003E-2</v>
      </c>
      <c r="F372">
        <v>1</v>
      </c>
      <c r="G372" t="s">
        <v>2030</v>
      </c>
      <c r="H372">
        <v>2</v>
      </c>
      <c r="J372">
        <v>2</v>
      </c>
      <c r="K372">
        <v>1</v>
      </c>
      <c r="L372">
        <v>2</v>
      </c>
      <c r="M372">
        <v>2</v>
      </c>
    </row>
    <row r="373" spans="1:13">
      <c r="A373" t="s">
        <v>108</v>
      </c>
      <c r="B373" t="s">
        <v>2152</v>
      </c>
      <c r="C373" t="s">
        <v>180</v>
      </c>
      <c r="D373" t="s">
        <v>95</v>
      </c>
      <c r="E373" s="217">
        <v>0.31675163699999997</v>
      </c>
      <c r="F373">
        <v>1</v>
      </c>
      <c r="G373" t="s">
        <v>2030</v>
      </c>
      <c r="H373">
        <v>2</v>
      </c>
      <c r="J373">
        <v>2</v>
      </c>
      <c r="K373">
        <v>1</v>
      </c>
      <c r="L373">
        <v>2</v>
      </c>
      <c r="M373">
        <v>2</v>
      </c>
    </row>
    <row r="374" spans="1:13">
      <c r="A374" t="s">
        <v>108</v>
      </c>
      <c r="B374" t="s">
        <v>2152</v>
      </c>
      <c r="C374" t="s">
        <v>180</v>
      </c>
      <c r="D374" t="s">
        <v>91</v>
      </c>
      <c r="E374" s="217">
        <v>0.17649963399999999</v>
      </c>
      <c r="F374">
        <v>1</v>
      </c>
      <c r="G374" t="s">
        <v>2030</v>
      </c>
      <c r="H374">
        <v>2</v>
      </c>
      <c r="J374">
        <v>2</v>
      </c>
      <c r="K374">
        <v>1</v>
      </c>
      <c r="L374">
        <v>2</v>
      </c>
      <c r="M374">
        <v>2</v>
      </c>
    </row>
    <row r="375" spans="1:13">
      <c r="A375" t="s">
        <v>108</v>
      </c>
      <c r="B375" t="s">
        <v>2153</v>
      </c>
      <c r="C375" t="s">
        <v>180</v>
      </c>
      <c r="D375" t="s">
        <v>99</v>
      </c>
      <c r="E375" s="217">
        <v>8.7360879999999995E-3</v>
      </c>
      <c r="F375">
        <v>1</v>
      </c>
      <c r="G375" t="s">
        <v>2030</v>
      </c>
      <c r="H375">
        <v>2</v>
      </c>
      <c r="J375">
        <v>2</v>
      </c>
      <c r="K375">
        <v>1</v>
      </c>
      <c r="L375">
        <v>2</v>
      </c>
      <c r="M375">
        <v>2</v>
      </c>
    </row>
    <row r="376" spans="1:13">
      <c r="A376" t="s">
        <v>108</v>
      </c>
      <c r="B376" t="s">
        <v>2153</v>
      </c>
      <c r="C376" t="s">
        <v>180</v>
      </c>
      <c r="D376" t="s">
        <v>98</v>
      </c>
      <c r="E376" s="217">
        <v>6.351471E-3</v>
      </c>
      <c r="F376">
        <v>1</v>
      </c>
      <c r="G376" t="s">
        <v>2030</v>
      </c>
      <c r="H376">
        <v>2</v>
      </c>
      <c r="J376">
        <v>2</v>
      </c>
      <c r="K376">
        <v>1</v>
      </c>
      <c r="L376">
        <v>2</v>
      </c>
      <c r="M376">
        <v>2</v>
      </c>
    </row>
    <row r="377" spans="1:13">
      <c r="A377" t="s">
        <v>108</v>
      </c>
      <c r="B377" t="s">
        <v>2153</v>
      </c>
      <c r="C377" t="s">
        <v>180</v>
      </c>
      <c r="D377" t="s">
        <v>95</v>
      </c>
      <c r="E377" s="217">
        <v>1.6600953000000002E-2</v>
      </c>
      <c r="F377">
        <v>1</v>
      </c>
      <c r="G377" t="s">
        <v>2030</v>
      </c>
      <c r="H377">
        <v>2</v>
      </c>
      <c r="J377">
        <v>2</v>
      </c>
      <c r="K377">
        <v>1</v>
      </c>
      <c r="L377">
        <v>2</v>
      </c>
      <c r="M377">
        <v>2</v>
      </c>
    </row>
    <row r="378" spans="1:13">
      <c r="A378" t="s">
        <v>108</v>
      </c>
      <c r="B378" t="s">
        <v>2153</v>
      </c>
      <c r="C378" t="s">
        <v>180</v>
      </c>
      <c r="D378" t="s">
        <v>91</v>
      </c>
      <c r="E378" s="217">
        <v>2.3272089999999998E-3</v>
      </c>
      <c r="F378">
        <v>1</v>
      </c>
      <c r="G378" t="s">
        <v>2030</v>
      </c>
      <c r="H378">
        <v>2</v>
      </c>
      <c r="J378">
        <v>2</v>
      </c>
      <c r="K378">
        <v>1</v>
      </c>
      <c r="L378">
        <v>2</v>
      </c>
      <c r="M378">
        <v>2</v>
      </c>
    </row>
    <row r="379" spans="1:13">
      <c r="A379" t="s">
        <v>108</v>
      </c>
      <c r="B379" t="s">
        <v>2033</v>
      </c>
      <c r="C379" t="s">
        <v>180</v>
      </c>
      <c r="D379" t="s">
        <v>98</v>
      </c>
      <c r="E379" s="217">
        <v>0.26504994500000001</v>
      </c>
      <c r="F379">
        <v>1</v>
      </c>
      <c r="G379" t="s">
        <v>2030</v>
      </c>
      <c r="H379">
        <v>2</v>
      </c>
      <c r="J379">
        <v>2</v>
      </c>
      <c r="K379">
        <v>1</v>
      </c>
      <c r="L379">
        <v>2</v>
      </c>
      <c r="M379">
        <v>2</v>
      </c>
    </row>
    <row r="380" spans="1:13">
      <c r="A380" t="s">
        <v>108</v>
      </c>
      <c r="B380" t="s">
        <v>2033</v>
      </c>
      <c r="C380" t="s">
        <v>180</v>
      </c>
      <c r="D380" t="s">
        <v>95</v>
      </c>
      <c r="E380" s="217">
        <v>0</v>
      </c>
      <c r="F380">
        <v>1</v>
      </c>
      <c r="G380" t="s">
        <v>2030</v>
      </c>
      <c r="H380">
        <v>2</v>
      </c>
      <c r="J380">
        <v>2</v>
      </c>
      <c r="K380">
        <v>1</v>
      </c>
      <c r="L380">
        <v>2</v>
      </c>
      <c r="M380">
        <v>2</v>
      </c>
    </row>
    <row r="381" spans="1:13">
      <c r="A381" t="s">
        <v>108</v>
      </c>
      <c r="B381" t="s">
        <v>2033</v>
      </c>
      <c r="C381" t="s">
        <v>180</v>
      </c>
      <c r="D381" t="s">
        <v>91</v>
      </c>
      <c r="E381" s="217">
        <v>4.9643730000000002E-3</v>
      </c>
      <c r="F381">
        <v>1</v>
      </c>
      <c r="G381" t="s">
        <v>2030</v>
      </c>
      <c r="H381">
        <v>2</v>
      </c>
      <c r="J381">
        <v>2</v>
      </c>
      <c r="K381">
        <v>1</v>
      </c>
      <c r="L381">
        <v>2</v>
      </c>
      <c r="M381">
        <v>2</v>
      </c>
    </row>
    <row r="382" spans="1:13">
      <c r="A382" t="s">
        <v>108</v>
      </c>
      <c r="B382" t="s">
        <v>2033</v>
      </c>
      <c r="C382" t="s">
        <v>180</v>
      </c>
      <c r="D382" t="s">
        <v>93</v>
      </c>
      <c r="E382" s="217">
        <v>9.8031746000000003E-2</v>
      </c>
      <c r="F382">
        <v>1</v>
      </c>
      <c r="G382" t="s">
        <v>2030</v>
      </c>
      <c r="H382">
        <v>2</v>
      </c>
      <c r="J382">
        <v>2</v>
      </c>
      <c r="K382">
        <v>1</v>
      </c>
      <c r="L382">
        <v>2</v>
      </c>
      <c r="M382">
        <v>2</v>
      </c>
    </row>
    <row r="383" spans="1:13">
      <c r="A383" t="s">
        <v>108</v>
      </c>
      <c r="B383" t="s">
        <v>2033</v>
      </c>
      <c r="C383" t="s">
        <v>180</v>
      </c>
      <c r="D383" t="s">
        <v>90</v>
      </c>
      <c r="E383" s="217">
        <v>0.116094456</v>
      </c>
      <c r="F383">
        <v>1</v>
      </c>
      <c r="G383" t="s">
        <v>2030</v>
      </c>
      <c r="H383">
        <v>2</v>
      </c>
      <c r="J383">
        <v>2</v>
      </c>
      <c r="K383">
        <v>1</v>
      </c>
      <c r="L383">
        <v>2</v>
      </c>
      <c r="M383">
        <v>2</v>
      </c>
    </row>
    <row r="384" spans="1:13">
      <c r="A384" t="s">
        <v>108</v>
      </c>
      <c r="B384" t="s">
        <v>2033</v>
      </c>
      <c r="C384" t="s">
        <v>180</v>
      </c>
      <c r="D384" t="s">
        <v>92</v>
      </c>
      <c r="E384" s="217">
        <v>0.19750483799999999</v>
      </c>
      <c r="F384">
        <v>1</v>
      </c>
      <c r="G384" t="s">
        <v>2030</v>
      </c>
      <c r="H384">
        <v>2</v>
      </c>
      <c r="J384">
        <v>2</v>
      </c>
      <c r="K384">
        <v>1</v>
      </c>
      <c r="L384">
        <v>2</v>
      </c>
      <c r="M384">
        <v>2</v>
      </c>
    </row>
    <row r="385" spans="1:13">
      <c r="A385" t="s">
        <v>108</v>
      </c>
      <c r="B385" t="s">
        <v>2154</v>
      </c>
      <c r="C385" t="s">
        <v>180</v>
      </c>
      <c r="D385" t="s">
        <v>99</v>
      </c>
      <c r="E385" s="217">
        <v>0</v>
      </c>
      <c r="F385">
        <v>1</v>
      </c>
      <c r="G385" t="s">
        <v>2030</v>
      </c>
      <c r="H385">
        <v>2</v>
      </c>
      <c r="J385">
        <v>2</v>
      </c>
      <c r="K385">
        <v>1</v>
      </c>
      <c r="L385">
        <v>2</v>
      </c>
      <c r="M385">
        <v>2</v>
      </c>
    </row>
    <row r="386" spans="1:13">
      <c r="A386" t="s">
        <v>108</v>
      </c>
      <c r="B386" t="s">
        <v>2154</v>
      </c>
      <c r="C386" t="s">
        <v>180</v>
      </c>
      <c r="D386" t="s">
        <v>98</v>
      </c>
      <c r="E386" s="217">
        <v>0.233365723</v>
      </c>
      <c r="F386">
        <v>1</v>
      </c>
      <c r="G386" t="s">
        <v>2030</v>
      </c>
      <c r="H386">
        <v>2</v>
      </c>
      <c r="J386">
        <v>2</v>
      </c>
      <c r="K386">
        <v>1</v>
      </c>
      <c r="L386">
        <v>2</v>
      </c>
      <c r="M386">
        <v>2</v>
      </c>
    </row>
    <row r="387" spans="1:13">
      <c r="A387" t="s">
        <v>108</v>
      </c>
      <c r="B387" t="s">
        <v>2154</v>
      </c>
      <c r="C387" t="s">
        <v>180</v>
      </c>
      <c r="D387" t="s">
        <v>95</v>
      </c>
      <c r="E387" s="217">
        <v>0.28597607800000002</v>
      </c>
      <c r="F387">
        <v>1</v>
      </c>
      <c r="G387" t="s">
        <v>2030</v>
      </c>
      <c r="H387">
        <v>2</v>
      </c>
      <c r="J387">
        <v>2</v>
      </c>
      <c r="K387">
        <v>1</v>
      </c>
      <c r="L387">
        <v>2</v>
      </c>
      <c r="M387">
        <v>2</v>
      </c>
    </row>
    <row r="388" spans="1:13">
      <c r="A388" t="s">
        <v>108</v>
      </c>
      <c r="B388" t="s">
        <v>2154</v>
      </c>
      <c r="C388" t="s">
        <v>180</v>
      </c>
      <c r="D388" t="s">
        <v>91</v>
      </c>
      <c r="E388" s="217">
        <v>0.29155097099999999</v>
      </c>
      <c r="F388">
        <v>1</v>
      </c>
      <c r="G388" t="s">
        <v>2030</v>
      </c>
      <c r="H388">
        <v>2</v>
      </c>
      <c r="J388">
        <v>2</v>
      </c>
      <c r="K388">
        <v>1</v>
      </c>
      <c r="L388">
        <v>2</v>
      </c>
      <c r="M388">
        <v>2</v>
      </c>
    </row>
    <row r="389" spans="1:13">
      <c r="A389" t="s">
        <v>108</v>
      </c>
      <c r="B389" t="s">
        <v>2155</v>
      </c>
      <c r="C389" t="s">
        <v>180</v>
      </c>
      <c r="D389" t="s">
        <v>99</v>
      </c>
      <c r="E389" s="217">
        <v>0</v>
      </c>
      <c r="F389">
        <v>1</v>
      </c>
      <c r="G389" t="s">
        <v>2030</v>
      </c>
      <c r="H389">
        <v>2</v>
      </c>
      <c r="J389">
        <v>2</v>
      </c>
      <c r="K389">
        <v>1</v>
      </c>
      <c r="L389">
        <v>2</v>
      </c>
      <c r="M389">
        <v>2</v>
      </c>
    </row>
    <row r="390" spans="1:13">
      <c r="A390" t="s">
        <v>108</v>
      </c>
      <c r="B390" t="s">
        <v>2155</v>
      </c>
      <c r="C390" t="s">
        <v>180</v>
      </c>
      <c r="D390" t="s">
        <v>98</v>
      </c>
      <c r="E390" s="217">
        <v>2.2136009999999999E-3</v>
      </c>
      <c r="F390">
        <v>1</v>
      </c>
      <c r="G390" t="s">
        <v>2030</v>
      </c>
      <c r="H390">
        <v>2</v>
      </c>
      <c r="J390">
        <v>2</v>
      </c>
      <c r="K390">
        <v>1</v>
      </c>
      <c r="L390">
        <v>2</v>
      </c>
      <c r="M390">
        <v>2</v>
      </c>
    </row>
    <row r="391" spans="1:13">
      <c r="A391" t="s">
        <v>108</v>
      </c>
      <c r="B391" t="s">
        <v>2155</v>
      </c>
      <c r="C391" t="s">
        <v>180</v>
      </c>
      <c r="D391" t="s">
        <v>95</v>
      </c>
      <c r="E391" s="217">
        <v>0</v>
      </c>
      <c r="F391">
        <v>1</v>
      </c>
      <c r="G391" t="s">
        <v>2030</v>
      </c>
      <c r="H391">
        <v>2</v>
      </c>
      <c r="J391">
        <v>2</v>
      </c>
      <c r="K391">
        <v>1</v>
      </c>
      <c r="L391">
        <v>2</v>
      </c>
      <c r="M391">
        <v>2</v>
      </c>
    </row>
    <row r="392" spans="1:13">
      <c r="A392" t="s">
        <v>108</v>
      </c>
      <c r="B392" t="s">
        <v>2155</v>
      </c>
      <c r="C392" t="s">
        <v>180</v>
      </c>
      <c r="D392" t="s">
        <v>91</v>
      </c>
      <c r="E392" s="217">
        <v>3.4977240999999999E-2</v>
      </c>
      <c r="F392">
        <v>1</v>
      </c>
      <c r="G392" t="s">
        <v>2030</v>
      </c>
      <c r="H392">
        <v>2</v>
      </c>
      <c r="J392">
        <v>2</v>
      </c>
      <c r="K392">
        <v>1</v>
      </c>
      <c r="L392">
        <v>2</v>
      </c>
      <c r="M392">
        <v>2</v>
      </c>
    </row>
    <row r="393" spans="1:13">
      <c r="A393" t="s">
        <v>108</v>
      </c>
      <c r="B393" t="s">
        <v>2156</v>
      </c>
      <c r="C393" t="s">
        <v>180</v>
      </c>
      <c r="D393" t="s">
        <v>99</v>
      </c>
      <c r="E393" s="217">
        <v>0.27112317699999999</v>
      </c>
      <c r="F393">
        <v>1</v>
      </c>
      <c r="G393" t="s">
        <v>2030</v>
      </c>
      <c r="H393">
        <v>2</v>
      </c>
      <c r="J393">
        <v>2</v>
      </c>
      <c r="K393">
        <v>1</v>
      </c>
      <c r="L393">
        <v>2</v>
      </c>
      <c r="M393">
        <v>2</v>
      </c>
    </row>
    <row r="394" spans="1:13">
      <c r="A394" t="s">
        <v>108</v>
      </c>
      <c r="B394" t="s">
        <v>2156</v>
      </c>
      <c r="C394" t="s">
        <v>180</v>
      </c>
      <c r="D394" t="s">
        <v>98</v>
      </c>
      <c r="E394" s="217">
        <v>3.0437175E-2</v>
      </c>
      <c r="F394">
        <v>1</v>
      </c>
      <c r="G394" t="s">
        <v>2030</v>
      </c>
      <c r="H394">
        <v>2</v>
      </c>
      <c r="J394">
        <v>2</v>
      </c>
      <c r="K394">
        <v>1</v>
      </c>
      <c r="L394">
        <v>2</v>
      </c>
      <c r="M394">
        <v>2</v>
      </c>
    </row>
    <row r="395" spans="1:13">
      <c r="A395" t="s">
        <v>108</v>
      </c>
      <c r="B395" t="s">
        <v>2156</v>
      </c>
      <c r="C395" t="s">
        <v>180</v>
      </c>
      <c r="D395" t="s">
        <v>95</v>
      </c>
      <c r="E395" s="217">
        <v>4.6534921E-2</v>
      </c>
      <c r="F395">
        <v>1</v>
      </c>
      <c r="G395" t="s">
        <v>2030</v>
      </c>
      <c r="H395">
        <v>2</v>
      </c>
      <c r="J395">
        <v>2</v>
      </c>
      <c r="K395">
        <v>1</v>
      </c>
      <c r="L395">
        <v>2</v>
      </c>
      <c r="M395">
        <v>2</v>
      </c>
    </row>
    <row r="396" spans="1:13">
      <c r="A396" t="s">
        <v>108</v>
      </c>
      <c r="B396" t="s">
        <v>2156</v>
      </c>
      <c r="C396" t="s">
        <v>180</v>
      </c>
      <c r="D396" t="s">
        <v>91</v>
      </c>
      <c r="E396" s="217">
        <v>0.129381212</v>
      </c>
      <c r="F396">
        <v>1</v>
      </c>
      <c r="G396" t="s">
        <v>2030</v>
      </c>
      <c r="H396">
        <v>2</v>
      </c>
      <c r="J396">
        <v>2</v>
      </c>
      <c r="K396">
        <v>1</v>
      </c>
      <c r="L396">
        <v>2</v>
      </c>
      <c r="M396">
        <v>2</v>
      </c>
    </row>
    <row r="397" spans="1:13">
      <c r="A397" t="s">
        <v>108</v>
      </c>
      <c r="B397" t="s">
        <v>2034</v>
      </c>
      <c r="C397" t="s">
        <v>180</v>
      </c>
      <c r="D397" t="s">
        <v>99</v>
      </c>
      <c r="E397" s="217">
        <v>0</v>
      </c>
      <c r="F397">
        <v>1</v>
      </c>
      <c r="G397" t="s">
        <v>2030</v>
      </c>
      <c r="H397">
        <v>2</v>
      </c>
      <c r="J397">
        <v>2</v>
      </c>
      <c r="K397">
        <v>1</v>
      </c>
      <c r="L397">
        <v>2</v>
      </c>
      <c r="M397">
        <v>2</v>
      </c>
    </row>
    <row r="398" spans="1:13">
      <c r="A398" t="s">
        <v>108</v>
      </c>
      <c r="B398" t="s">
        <v>2034</v>
      </c>
      <c r="C398" t="s">
        <v>180</v>
      </c>
      <c r="D398" t="s">
        <v>98</v>
      </c>
      <c r="E398" s="217">
        <v>9.6564359999999991E-3</v>
      </c>
      <c r="F398">
        <v>1</v>
      </c>
      <c r="G398" t="s">
        <v>2030</v>
      </c>
      <c r="H398">
        <v>2</v>
      </c>
      <c r="J398">
        <v>2</v>
      </c>
      <c r="K398">
        <v>1</v>
      </c>
      <c r="L398">
        <v>2</v>
      </c>
      <c r="M398">
        <v>2</v>
      </c>
    </row>
    <row r="399" spans="1:13">
      <c r="A399" t="s">
        <v>108</v>
      </c>
      <c r="B399" t="s">
        <v>2034</v>
      </c>
      <c r="C399" t="s">
        <v>180</v>
      </c>
      <c r="D399" t="s">
        <v>95</v>
      </c>
      <c r="E399" s="217">
        <v>4.1219467000000003E-2</v>
      </c>
      <c r="F399">
        <v>1</v>
      </c>
      <c r="G399" t="s">
        <v>2030</v>
      </c>
      <c r="H399">
        <v>2</v>
      </c>
      <c r="J399">
        <v>2</v>
      </c>
      <c r="K399">
        <v>1</v>
      </c>
      <c r="L399">
        <v>2</v>
      </c>
      <c r="M399">
        <v>2</v>
      </c>
    </row>
    <row r="400" spans="1:13">
      <c r="A400" t="s">
        <v>108</v>
      </c>
      <c r="B400" t="s">
        <v>2034</v>
      </c>
      <c r="C400" t="s">
        <v>180</v>
      </c>
      <c r="D400" t="s">
        <v>91</v>
      </c>
      <c r="E400" s="217">
        <v>6.6880289999999998E-3</v>
      </c>
      <c r="F400">
        <v>1</v>
      </c>
      <c r="G400" t="s">
        <v>2030</v>
      </c>
      <c r="H400">
        <v>2</v>
      </c>
      <c r="J400">
        <v>2</v>
      </c>
      <c r="K400">
        <v>1</v>
      </c>
      <c r="L400">
        <v>2</v>
      </c>
      <c r="M400">
        <v>2</v>
      </c>
    </row>
    <row r="401" spans="1:13">
      <c r="A401" t="s">
        <v>108</v>
      </c>
      <c r="B401" t="s">
        <v>2035</v>
      </c>
      <c r="C401" t="s">
        <v>180</v>
      </c>
      <c r="D401" t="s">
        <v>99</v>
      </c>
      <c r="E401" s="217">
        <v>0</v>
      </c>
      <c r="F401">
        <v>1</v>
      </c>
      <c r="G401" t="s">
        <v>2030</v>
      </c>
      <c r="H401">
        <v>2</v>
      </c>
      <c r="J401">
        <v>2</v>
      </c>
      <c r="K401">
        <v>1</v>
      </c>
      <c r="L401">
        <v>2</v>
      </c>
      <c r="M401">
        <v>2</v>
      </c>
    </row>
    <row r="402" spans="1:13">
      <c r="A402" t="s">
        <v>108</v>
      </c>
      <c r="B402" t="s">
        <v>2035</v>
      </c>
      <c r="C402" t="s">
        <v>180</v>
      </c>
      <c r="D402" t="s">
        <v>98</v>
      </c>
      <c r="E402" s="217">
        <v>4.4756049999999997E-3</v>
      </c>
      <c r="F402">
        <v>1</v>
      </c>
      <c r="G402" t="s">
        <v>2030</v>
      </c>
      <c r="H402">
        <v>2</v>
      </c>
      <c r="J402">
        <v>2</v>
      </c>
      <c r="K402">
        <v>1</v>
      </c>
      <c r="L402">
        <v>2</v>
      </c>
      <c r="M402">
        <v>2</v>
      </c>
    </row>
    <row r="403" spans="1:13">
      <c r="A403" t="s">
        <v>108</v>
      </c>
      <c r="B403" t="s">
        <v>2035</v>
      </c>
      <c r="C403" t="s">
        <v>180</v>
      </c>
      <c r="D403" t="s">
        <v>95</v>
      </c>
      <c r="E403" s="217">
        <v>0</v>
      </c>
      <c r="F403">
        <v>1</v>
      </c>
      <c r="G403" t="s">
        <v>2030</v>
      </c>
      <c r="H403">
        <v>2</v>
      </c>
      <c r="J403">
        <v>2</v>
      </c>
      <c r="K403">
        <v>1</v>
      </c>
      <c r="L403">
        <v>2</v>
      </c>
      <c r="M403">
        <v>2</v>
      </c>
    </row>
    <row r="404" spans="1:13">
      <c r="A404" t="s">
        <v>108</v>
      </c>
      <c r="B404" t="s">
        <v>2035</v>
      </c>
      <c r="C404" t="s">
        <v>180</v>
      </c>
      <c r="D404" t="s">
        <v>91</v>
      </c>
      <c r="E404" s="217">
        <v>7.1864432000000006E-2</v>
      </c>
      <c r="F404">
        <v>1</v>
      </c>
      <c r="G404" t="s">
        <v>2030</v>
      </c>
      <c r="H404">
        <v>2</v>
      </c>
      <c r="J404">
        <v>2</v>
      </c>
      <c r="K404">
        <v>1</v>
      </c>
      <c r="L404">
        <v>2</v>
      </c>
      <c r="M404">
        <v>2</v>
      </c>
    </row>
    <row r="405" spans="1:13">
      <c r="A405" t="s">
        <v>108</v>
      </c>
      <c r="B405" t="s">
        <v>2036</v>
      </c>
      <c r="C405" t="s">
        <v>180</v>
      </c>
      <c r="D405" t="s">
        <v>99</v>
      </c>
      <c r="E405" s="217">
        <v>0</v>
      </c>
      <c r="F405">
        <v>1</v>
      </c>
      <c r="G405" t="s">
        <v>2030</v>
      </c>
      <c r="H405">
        <v>2</v>
      </c>
      <c r="J405">
        <v>2</v>
      </c>
      <c r="K405">
        <v>1</v>
      </c>
      <c r="L405">
        <v>2</v>
      </c>
      <c r="M405">
        <v>2</v>
      </c>
    </row>
    <row r="406" spans="1:13">
      <c r="A406" t="s">
        <v>108</v>
      </c>
      <c r="B406" t="s">
        <v>2036</v>
      </c>
      <c r="C406" t="s">
        <v>180</v>
      </c>
      <c r="D406" t="s">
        <v>98</v>
      </c>
      <c r="E406" s="217">
        <v>0.102719435</v>
      </c>
      <c r="F406">
        <v>1</v>
      </c>
      <c r="G406" t="s">
        <v>2030</v>
      </c>
      <c r="H406">
        <v>2</v>
      </c>
      <c r="J406">
        <v>2</v>
      </c>
      <c r="K406">
        <v>1</v>
      </c>
      <c r="L406">
        <v>2</v>
      </c>
      <c r="M406">
        <v>2</v>
      </c>
    </row>
    <row r="407" spans="1:13">
      <c r="A407" t="s">
        <v>108</v>
      </c>
      <c r="B407" t="s">
        <v>2036</v>
      </c>
      <c r="C407" t="s">
        <v>180</v>
      </c>
      <c r="D407" t="s">
        <v>95</v>
      </c>
      <c r="E407" s="217">
        <v>0.132094882</v>
      </c>
      <c r="F407">
        <v>1</v>
      </c>
      <c r="G407" t="s">
        <v>2030</v>
      </c>
      <c r="H407">
        <v>2</v>
      </c>
      <c r="J407">
        <v>2</v>
      </c>
      <c r="K407">
        <v>1</v>
      </c>
      <c r="L407">
        <v>2</v>
      </c>
      <c r="M407">
        <v>2</v>
      </c>
    </row>
    <row r="408" spans="1:13">
      <c r="A408" t="s">
        <v>108</v>
      </c>
      <c r="B408" t="s">
        <v>2036</v>
      </c>
      <c r="C408" t="s">
        <v>180</v>
      </c>
      <c r="D408" t="s">
        <v>91</v>
      </c>
      <c r="E408" s="217">
        <v>1.1997593000000001E-2</v>
      </c>
      <c r="F408">
        <v>1</v>
      </c>
      <c r="G408" t="s">
        <v>2030</v>
      </c>
      <c r="H408">
        <v>2</v>
      </c>
      <c r="J408">
        <v>2</v>
      </c>
      <c r="K408">
        <v>1</v>
      </c>
      <c r="L408">
        <v>2</v>
      </c>
      <c r="M408">
        <v>2</v>
      </c>
    </row>
    <row r="410" spans="1:13" s="1008" customFormat="1">
      <c r="A410" s="1008" t="s">
        <v>2046</v>
      </c>
    </row>
    <row r="411" spans="1:13" s="1008" customFormat="1"/>
    <row r="412" spans="1:13">
      <c r="A412" t="s">
        <v>129</v>
      </c>
      <c r="B412" t="s">
        <v>130</v>
      </c>
      <c r="C412" t="s">
        <v>131</v>
      </c>
      <c r="D412" t="s">
        <v>102</v>
      </c>
      <c r="E412" t="s">
        <v>132</v>
      </c>
      <c r="F412" t="s">
        <v>133</v>
      </c>
      <c r="G412" t="s">
        <v>104</v>
      </c>
      <c r="H412" t="s">
        <v>134</v>
      </c>
      <c r="I412" t="s">
        <v>135</v>
      </c>
      <c r="J412" t="s">
        <v>65</v>
      </c>
      <c r="K412" t="s">
        <v>67</v>
      </c>
      <c r="L412" t="s">
        <v>73</v>
      </c>
      <c r="M412" t="s">
        <v>79</v>
      </c>
    </row>
    <row r="413" spans="1:13">
      <c r="A413" t="s">
        <v>108</v>
      </c>
      <c r="B413" t="s">
        <v>2029</v>
      </c>
      <c r="C413" t="s">
        <v>182</v>
      </c>
      <c r="D413" t="s">
        <v>99</v>
      </c>
      <c r="E413" s="217">
        <v>0.20473868100000001</v>
      </c>
      <c r="F413">
        <v>1</v>
      </c>
      <c r="G413" t="s">
        <v>2030</v>
      </c>
      <c r="I413">
        <v>1</v>
      </c>
      <c r="J413">
        <v>2</v>
      </c>
      <c r="K413">
        <v>1</v>
      </c>
      <c r="L413">
        <v>2</v>
      </c>
      <c r="M413">
        <v>2</v>
      </c>
    </row>
    <row r="414" spans="1:13">
      <c r="A414" t="s">
        <v>108</v>
      </c>
      <c r="B414" t="s">
        <v>2029</v>
      </c>
      <c r="C414" t="s">
        <v>182</v>
      </c>
      <c r="D414" t="s">
        <v>98</v>
      </c>
      <c r="E414" s="217">
        <v>1.6914E-3</v>
      </c>
      <c r="F414">
        <v>1</v>
      </c>
      <c r="G414" t="s">
        <v>2030</v>
      </c>
      <c r="I414">
        <v>1</v>
      </c>
      <c r="J414">
        <v>2</v>
      </c>
      <c r="K414">
        <v>1</v>
      </c>
      <c r="L414">
        <v>2</v>
      </c>
      <c r="M414">
        <v>2</v>
      </c>
    </row>
    <row r="415" spans="1:13">
      <c r="A415" t="s">
        <v>108</v>
      </c>
      <c r="B415" t="s">
        <v>2029</v>
      </c>
      <c r="C415" t="s">
        <v>182</v>
      </c>
      <c r="D415" t="s">
        <v>95</v>
      </c>
      <c r="E415" s="217">
        <v>2.3681463999999999E-2</v>
      </c>
      <c r="F415">
        <v>1</v>
      </c>
      <c r="G415" t="s">
        <v>2030</v>
      </c>
      <c r="I415">
        <v>1</v>
      </c>
      <c r="J415">
        <v>2</v>
      </c>
      <c r="K415">
        <v>1</v>
      </c>
      <c r="L415">
        <v>2</v>
      </c>
      <c r="M415">
        <v>2</v>
      </c>
    </row>
    <row r="416" spans="1:13">
      <c r="A416" t="s">
        <v>108</v>
      </c>
      <c r="B416" t="s">
        <v>2029</v>
      </c>
      <c r="C416" t="s">
        <v>182</v>
      </c>
      <c r="D416" t="s">
        <v>91</v>
      </c>
      <c r="E416" s="217">
        <v>3.7583116E-2</v>
      </c>
      <c r="F416">
        <v>1</v>
      </c>
      <c r="G416" t="s">
        <v>2030</v>
      </c>
      <c r="I416">
        <v>1</v>
      </c>
      <c r="J416">
        <v>2</v>
      </c>
      <c r="K416">
        <v>1</v>
      </c>
      <c r="L416">
        <v>2</v>
      </c>
      <c r="M416">
        <v>2</v>
      </c>
    </row>
    <row r="417" spans="1:13">
      <c r="A417" t="s">
        <v>108</v>
      </c>
      <c r="B417" t="s">
        <v>2031</v>
      </c>
      <c r="C417" t="s">
        <v>182</v>
      </c>
      <c r="D417" t="s">
        <v>98</v>
      </c>
      <c r="E417" s="217">
        <v>1.5247604999999999E-2</v>
      </c>
      <c r="F417">
        <v>1</v>
      </c>
      <c r="G417" t="s">
        <v>2030</v>
      </c>
      <c r="I417">
        <v>1</v>
      </c>
      <c r="J417">
        <v>2</v>
      </c>
      <c r="K417">
        <v>1</v>
      </c>
      <c r="L417">
        <v>2</v>
      </c>
      <c r="M417">
        <v>2</v>
      </c>
    </row>
    <row r="418" spans="1:13">
      <c r="A418" t="s">
        <v>108</v>
      </c>
      <c r="B418" t="s">
        <v>2031</v>
      </c>
      <c r="C418" t="s">
        <v>182</v>
      </c>
      <c r="D418" t="s">
        <v>95</v>
      </c>
      <c r="E418" s="217">
        <v>3.7359577999999997E-2</v>
      </c>
      <c r="F418">
        <v>1</v>
      </c>
      <c r="G418" t="s">
        <v>2030</v>
      </c>
      <c r="I418">
        <v>1</v>
      </c>
      <c r="J418">
        <v>2</v>
      </c>
      <c r="K418">
        <v>1</v>
      </c>
      <c r="L418">
        <v>2</v>
      </c>
      <c r="M418">
        <v>2</v>
      </c>
    </row>
    <row r="419" spans="1:13">
      <c r="A419" t="s">
        <v>108</v>
      </c>
      <c r="B419" t="s">
        <v>2031</v>
      </c>
      <c r="C419" t="s">
        <v>182</v>
      </c>
      <c r="D419" t="s">
        <v>91</v>
      </c>
      <c r="E419" s="217">
        <v>4.1425780000000002E-2</v>
      </c>
      <c r="F419">
        <v>1</v>
      </c>
      <c r="G419" t="s">
        <v>2030</v>
      </c>
      <c r="I419">
        <v>1</v>
      </c>
      <c r="J419">
        <v>2</v>
      </c>
      <c r="K419">
        <v>1</v>
      </c>
      <c r="L419">
        <v>2</v>
      </c>
      <c r="M419">
        <v>2</v>
      </c>
    </row>
    <row r="420" spans="1:13">
      <c r="A420" t="s">
        <v>108</v>
      </c>
      <c r="B420" t="s">
        <v>2031</v>
      </c>
      <c r="C420" t="s">
        <v>182</v>
      </c>
      <c r="D420" t="s">
        <v>93</v>
      </c>
      <c r="E420" s="217">
        <v>0.483395144</v>
      </c>
      <c r="F420">
        <v>1</v>
      </c>
      <c r="G420" t="s">
        <v>2030</v>
      </c>
      <c r="I420">
        <v>1</v>
      </c>
      <c r="J420">
        <v>2</v>
      </c>
      <c r="K420">
        <v>1</v>
      </c>
      <c r="L420">
        <v>2</v>
      </c>
      <c r="M420">
        <v>2</v>
      </c>
    </row>
    <row r="421" spans="1:13">
      <c r="A421" t="s">
        <v>108</v>
      </c>
      <c r="B421" t="s">
        <v>2031</v>
      </c>
      <c r="C421" t="s">
        <v>182</v>
      </c>
      <c r="D421" t="s">
        <v>90</v>
      </c>
      <c r="E421" s="217">
        <v>0.44302860100000002</v>
      </c>
      <c r="F421">
        <v>1</v>
      </c>
      <c r="G421" t="s">
        <v>2030</v>
      </c>
      <c r="I421">
        <v>1</v>
      </c>
      <c r="J421">
        <v>2</v>
      </c>
      <c r="K421">
        <v>1</v>
      </c>
      <c r="L421">
        <v>2</v>
      </c>
      <c r="M421">
        <v>2</v>
      </c>
    </row>
    <row r="422" spans="1:13">
      <c r="A422" t="s">
        <v>108</v>
      </c>
      <c r="B422" t="s">
        <v>2031</v>
      </c>
      <c r="C422" t="s">
        <v>182</v>
      </c>
      <c r="D422" t="s">
        <v>92</v>
      </c>
      <c r="E422" s="217">
        <v>0.18274958299999999</v>
      </c>
      <c r="F422">
        <v>1</v>
      </c>
      <c r="G422" t="s">
        <v>2030</v>
      </c>
      <c r="I422">
        <v>1</v>
      </c>
      <c r="J422">
        <v>2</v>
      </c>
      <c r="K422">
        <v>1</v>
      </c>
      <c r="L422">
        <v>2</v>
      </c>
      <c r="M422">
        <v>2</v>
      </c>
    </row>
    <row r="423" spans="1:13">
      <c r="A423" t="s">
        <v>108</v>
      </c>
      <c r="B423" t="s">
        <v>2032</v>
      </c>
      <c r="C423" t="s">
        <v>182</v>
      </c>
      <c r="D423" t="s">
        <v>98</v>
      </c>
      <c r="E423" s="217">
        <v>0.25498618099999998</v>
      </c>
      <c r="F423">
        <v>1</v>
      </c>
      <c r="G423" t="s">
        <v>2030</v>
      </c>
      <c r="I423">
        <v>1</v>
      </c>
      <c r="J423">
        <v>2</v>
      </c>
      <c r="K423">
        <v>1</v>
      </c>
      <c r="L423">
        <v>2</v>
      </c>
      <c r="M423">
        <v>2</v>
      </c>
    </row>
    <row r="424" spans="1:13">
      <c r="A424" t="s">
        <v>108</v>
      </c>
      <c r="B424" t="s">
        <v>2032</v>
      </c>
      <c r="C424" t="s">
        <v>182</v>
      </c>
      <c r="D424" t="s">
        <v>95</v>
      </c>
      <c r="E424" s="217">
        <v>8.1491139000000004E-2</v>
      </c>
      <c r="F424">
        <v>1</v>
      </c>
      <c r="G424" t="s">
        <v>2030</v>
      </c>
      <c r="I424">
        <v>1</v>
      </c>
      <c r="J424">
        <v>2</v>
      </c>
      <c r="K424">
        <v>1</v>
      </c>
      <c r="L424">
        <v>2</v>
      </c>
      <c r="M424">
        <v>2</v>
      </c>
    </row>
    <row r="425" spans="1:13">
      <c r="A425" t="s">
        <v>108</v>
      </c>
      <c r="B425" t="s">
        <v>2032</v>
      </c>
      <c r="C425" t="s">
        <v>182</v>
      </c>
      <c r="D425" t="s">
        <v>91</v>
      </c>
      <c r="E425" s="217">
        <v>0.16754361700000001</v>
      </c>
      <c r="F425">
        <v>1</v>
      </c>
      <c r="G425" t="s">
        <v>2030</v>
      </c>
      <c r="I425">
        <v>1</v>
      </c>
      <c r="J425">
        <v>2</v>
      </c>
      <c r="K425">
        <v>1</v>
      </c>
      <c r="L425">
        <v>2</v>
      </c>
      <c r="M425">
        <v>2</v>
      </c>
    </row>
    <row r="426" spans="1:13">
      <c r="A426" t="s">
        <v>108</v>
      </c>
      <c r="B426" t="s">
        <v>2032</v>
      </c>
      <c r="C426" t="s">
        <v>182</v>
      </c>
      <c r="D426" t="s">
        <v>93</v>
      </c>
      <c r="E426" s="217">
        <v>0.39540483300000001</v>
      </c>
      <c r="F426">
        <v>1</v>
      </c>
      <c r="G426" t="s">
        <v>2030</v>
      </c>
      <c r="I426">
        <v>1</v>
      </c>
      <c r="J426">
        <v>2</v>
      </c>
      <c r="K426">
        <v>1</v>
      </c>
      <c r="L426">
        <v>2</v>
      </c>
      <c r="M426">
        <v>2</v>
      </c>
    </row>
    <row r="427" spans="1:13">
      <c r="A427" t="s">
        <v>108</v>
      </c>
      <c r="B427" t="s">
        <v>2032</v>
      </c>
      <c r="C427" t="s">
        <v>182</v>
      </c>
      <c r="D427" t="s">
        <v>90</v>
      </c>
      <c r="E427" s="217">
        <v>0.41415547000000003</v>
      </c>
      <c r="F427">
        <v>1</v>
      </c>
      <c r="G427" t="s">
        <v>2030</v>
      </c>
      <c r="I427">
        <v>1</v>
      </c>
      <c r="J427">
        <v>2</v>
      </c>
      <c r="K427">
        <v>1</v>
      </c>
      <c r="L427">
        <v>2</v>
      </c>
      <c r="M427">
        <v>2</v>
      </c>
    </row>
    <row r="428" spans="1:13">
      <c r="A428" t="s">
        <v>108</v>
      </c>
      <c r="B428" t="s">
        <v>2032</v>
      </c>
      <c r="C428" t="s">
        <v>182</v>
      </c>
      <c r="D428" t="s">
        <v>92</v>
      </c>
      <c r="E428" s="217">
        <v>0.57981856300000001</v>
      </c>
      <c r="F428">
        <v>1</v>
      </c>
      <c r="G428" t="s">
        <v>2030</v>
      </c>
      <c r="I428">
        <v>1</v>
      </c>
      <c r="J428">
        <v>2</v>
      </c>
      <c r="K428">
        <v>1</v>
      </c>
      <c r="L428">
        <v>2</v>
      </c>
      <c r="M428">
        <v>2</v>
      </c>
    </row>
    <row r="429" spans="1:13">
      <c r="A429" t="s">
        <v>108</v>
      </c>
      <c r="B429" t="s">
        <v>2151</v>
      </c>
      <c r="C429" t="s">
        <v>182</v>
      </c>
      <c r="D429" t="s">
        <v>99</v>
      </c>
      <c r="E429" s="217">
        <v>0</v>
      </c>
      <c r="F429">
        <v>1</v>
      </c>
      <c r="G429" t="s">
        <v>2030</v>
      </c>
      <c r="I429">
        <v>1</v>
      </c>
      <c r="J429">
        <v>2</v>
      </c>
      <c r="K429">
        <v>1</v>
      </c>
      <c r="L429">
        <v>2</v>
      </c>
      <c r="M429">
        <v>2</v>
      </c>
    </row>
    <row r="430" spans="1:13">
      <c r="A430" t="s">
        <v>108</v>
      </c>
      <c r="B430" t="s">
        <v>2151</v>
      </c>
      <c r="C430" t="s">
        <v>182</v>
      </c>
      <c r="D430" t="s">
        <v>98</v>
      </c>
      <c r="E430" s="217">
        <v>1.3613259999999999E-3</v>
      </c>
      <c r="F430">
        <v>1</v>
      </c>
      <c r="G430" t="s">
        <v>2030</v>
      </c>
      <c r="I430">
        <v>1</v>
      </c>
      <c r="J430">
        <v>2</v>
      </c>
      <c r="K430">
        <v>1</v>
      </c>
      <c r="L430">
        <v>2</v>
      </c>
      <c r="M430">
        <v>2</v>
      </c>
    </row>
    <row r="431" spans="1:13">
      <c r="A431" t="s">
        <v>108</v>
      </c>
      <c r="B431" t="s">
        <v>2151</v>
      </c>
      <c r="C431" t="s">
        <v>182</v>
      </c>
      <c r="D431" t="s">
        <v>95</v>
      </c>
      <c r="E431" s="217">
        <v>2.6684098E-2</v>
      </c>
      <c r="F431">
        <v>1</v>
      </c>
      <c r="G431" t="s">
        <v>2030</v>
      </c>
      <c r="I431">
        <v>1</v>
      </c>
      <c r="J431">
        <v>2</v>
      </c>
      <c r="K431">
        <v>1</v>
      </c>
      <c r="L431">
        <v>2</v>
      </c>
      <c r="M431">
        <v>2</v>
      </c>
    </row>
    <row r="432" spans="1:13">
      <c r="A432" t="s">
        <v>108</v>
      </c>
      <c r="B432" t="s">
        <v>2151</v>
      </c>
      <c r="C432" t="s">
        <v>182</v>
      </c>
      <c r="D432" t="s">
        <v>91</v>
      </c>
      <c r="E432" s="217">
        <v>3.6985481000000001E-2</v>
      </c>
      <c r="F432">
        <v>1</v>
      </c>
      <c r="G432" t="s">
        <v>2030</v>
      </c>
      <c r="I432">
        <v>1</v>
      </c>
      <c r="J432">
        <v>2</v>
      </c>
      <c r="K432">
        <v>1</v>
      </c>
      <c r="L432">
        <v>2</v>
      </c>
      <c r="M432">
        <v>2</v>
      </c>
    </row>
    <row r="433" spans="1:13">
      <c r="A433" t="s">
        <v>108</v>
      </c>
      <c r="B433" t="s">
        <v>2152</v>
      </c>
      <c r="C433" t="s">
        <v>182</v>
      </c>
      <c r="D433" t="s">
        <v>99</v>
      </c>
      <c r="E433" s="217">
        <v>0.51736573699999999</v>
      </c>
      <c r="F433">
        <v>1</v>
      </c>
      <c r="G433" t="s">
        <v>2030</v>
      </c>
      <c r="I433">
        <v>1</v>
      </c>
      <c r="J433">
        <v>2</v>
      </c>
      <c r="K433">
        <v>1</v>
      </c>
      <c r="L433">
        <v>2</v>
      </c>
      <c r="M433">
        <v>2</v>
      </c>
    </row>
    <row r="434" spans="1:13">
      <c r="A434" t="s">
        <v>108</v>
      </c>
      <c r="B434" t="s">
        <v>2152</v>
      </c>
      <c r="C434" t="s">
        <v>182</v>
      </c>
      <c r="D434" t="s">
        <v>98</v>
      </c>
      <c r="E434" s="217">
        <v>6.2168635E-2</v>
      </c>
      <c r="F434">
        <v>1</v>
      </c>
      <c r="G434" t="s">
        <v>2030</v>
      </c>
      <c r="I434">
        <v>1</v>
      </c>
      <c r="J434">
        <v>2</v>
      </c>
      <c r="K434">
        <v>1</v>
      </c>
      <c r="L434">
        <v>2</v>
      </c>
      <c r="M434">
        <v>2</v>
      </c>
    </row>
    <row r="435" spans="1:13">
      <c r="A435" t="s">
        <v>108</v>
      </c>
      <c r="B435" t="s">
        <v>2152</v>
      </c>
      <c r="C435" t="s">
        <v>182</v>
      </c>
      <c r="D435" t="s">
        <v>95</v>
      </c>
      <c r="E435" s="217">
        <v>0.32641106600000003</v>
      </c>
      <c r="F435">
        <v>1</v>
      </c>
      <c r="G435" t="s">
        <v>2030</v>
      </c>
      <c r="I435">
        <v>1</v>
      </c>
      <c r="J435">
        <v>2</v>
      </c>
      <c r="K435">
        <v>1</v>
      </c>
      <c r="L435">
        <v>2</v>
      </c>
      <c r="M435">
        <v>2</v>
      </c>
    </row>
    <row r="436" spans="1:13">
      <c r="A436" t="s">
        <v>108</v>
      </c>
      <c r="B436" t="s">
        <v>2152</v>
      </c>
      <c r="C436" t="s">
        <v>182</v>
      </c>
      <c r="D436" t="s">
        <v>91</v>
      </c>
      <c r="E436" s="217">
        <v>0.18157198999999999</v>
      </c>
      <c r="F436">
        <v>1</v>
      </c>
      <c r="G436" t="s">
        <v>2030</v>
      </c>
      <c r="I436">
        <v>1</v>
      </c>
      <c r="J436">
        <v>2</v>
      </c>
      <c r="K436">
        <v>1</v>
      </c>
      <c r="L436">
        <v>2</v>
      </c>
      <c r="M436">
        <v>2</v>
      </c>
    </row>
    <row r="437" spans="1:13">
      <c r="A437" t="s">
        <v>108</v>
      </c>
      <c r="B437" t="s">
        <v>2153</v>
      </c>
      <c r="C437" t="s">
        <v>182</v>
      </c>
      <c r="D437" t="s">
        <v>99</v>
      </c>
      <c r="E437" s="217">
        <v>2.4568019E-2</v>
      </c>
      <c r="F437">
        <v>1</v>
      </c>
      <c r="G437" t="s">
        <v>2030</v>
      </c>
      <c r="I437">
        <v>1</v>
      </c>
      <c r="J437">
        <v>2</v>
      </c>
      <c r="K437">
        <v>1</v>
      </c>
      <c r="L437">
        <v>2</v>
      </c>
      <c r="M437">
        <v>2</v>
      </c>
    </row>
    <row r="438" spans="1:13">
      <c r="A438" t="s">
        <v>108</v>
      </c>
      <c r="B438" t="s">
        <v>2153</v>
      </c>
      <c r="C438" t="s">
        <v>182</v>
      </c>
      <c r="D438" t="s">
        <v>98</v>
      </c>
      <c r="E438" s="217">
        <v>1.8026413000000002E-2</v>
      </c>
      <c r="F438">
        <v>1</v>
      </c>
      <c r="G438" t="s">
        <v>2030</v>
      </c>
      <c r="I438">
        <v>1</v>
      </c>
      <c r="J438">
        <v>2</v>
      </c>
      <c r="K438">
        <v>1</v>
      </c>
      <c r="L438">
        <v>2</v>
      </c>
      <c r="M438">
        <v>2</v>
      </c>
    </row>
    <row r="439" spans="1:13">
      <c r="A439" t="s">
        <v>108</v>
      </c>
      <c r="B439" t="s">
        <v>2153</v>
      </c>
      <c r="C439" t="s">
        <v>182</v>
      </c>
      <c r="D439" t="s">
        <v>95</v>
      </c>
      <c r="E439" s="217">
        <v>5.0338750000000002E-2</v>
      </c>
      <c r="F439">
        <v>1</v>
      </c>
      <c r="G439" t="s">
        <v>2030</v>
      </c>
      <c r="I439">
        <v>1</v>
      </c>
      <c r="J439">
        <v>2</v>
      </c>
      <c r="K439">
        <v>1</v>
      </c>
      <c r="L439">
        <v>2</v>
      </c>
      <c r="M439">
        <v>2</v>
      </c>
    </row>
    <row r="440" spans="1:13">
      <c r="A440" t="s">
        <v>108</v>
      </c>
      <c r="B440" t="s">
        <v>2153</v>
      </c>
      <c r="C440" t="s">
        <v>182</v>
      </c>
      <c r="D440" t="s">
        <v>91</v>
      </c>
      <c r="E440" s="217">
        <v>7.0447210000000003E-3</v>
      </c>
      <c r="F440">
        <v>1</v>
      </c>
      <c r="G440" t="s">
        <v>2030</v>
      </c>
      <c r="I440">
        <v>1</v>
      </c>
      <c r="J440">
        <v>2</v>
      </c>
      <c r="K440">
        <v>1</v>
      </c>
      <c r="L440">
        <v>2</v>
      </c>
      <c r="M440">
        <v>2</v>
      </c>
    </row>
    <row r="441" spans="1:13">
      <c r="A441" t="s">
        <v>108</v>
      </c>
      <c r="B441" t="s">
        <v>2033</v>
      </c>
      <c r="C441" t="s">
        <v>182</v>
      </c>
      <c r="D441" t="s">
        <v>98</v>
      </c>
      <c r="E441" s="217">
        <v>0.32495332500000002</v>
      </c>
      <c r="F441">
        <v>1</v>
      </c>
      <c r="G441" t="s">
        <v>2030</v>
      </c>
      <c r="I441">
        <v>1</v>
      </c>
      <c r="J441">
        <v>2</v>
      </c>
      <c r="K441">
        <v>1</v>
      </c>
      <c r="L441">
        <v>2</v>
      </c>
      <c r="M441">
        <v>2</v>
      </c>
    </row>
    <row r="442" spans="1:13">
      <c r="A442" t="s">
        <v>108</v>
      </c>
      <c r="B442" t="s">
        <v>2033</v>
      </c>
      <c r="C442" t="s">
        <v>182</v>
      </c>
      <c r="D442" t="s">
        <v>95</v>
      </c>
      <c r="E442" s="217">
        <v>0</v>
      </c>
      <c r="F442">
        <v>1</v>
      </c>
      <c r="G442" t="s">
        <v>2030</v>
      </c>
      <c r="I442">
        <v>1</v>
      </c>
      <c r="J442">
        <v>2</v>
      </c>
      <c r="K442">
        <v>1</v>
      </c>
      <c r="L442">
        <v>2</v>
      </c>
      <c r="M442">
        <v>2</v>
      </c>
    </row>
    <row r="443" spans="1:13">
      <c r="A443" t="s">
        <v>108</v>
      </c>
      <c r="B443" t="s">
        <v>2033</v>
      </c>
      <c r="C443" t="s">
        <v>182</v>
      </c>
      <c r="D443" t="s">
        <v>91</v>
      </c>
      <c r="E443" s="217">
        <v>6.4915909999999997E-3</v>
      </c>
      <c r="F443">
        <v>1</v>
      </c>
      <c r="G443" t="s">
        <v>2030</v>
      </c>
      <c r="I443">
        <v>1</v>
      </c>
      <c r="J443">
        <v>2</v>
      </c>
      <c r="K443">
        <v>1</v>
      </c>
      <c r="L443">
        <v>2</v>
      </c>
      <c r="M443">
        <v>2</v>
      </c>
    </row>
    <row r="444" spans="1:13">
      <c r="A444" t="s">
        <v>108</v>
      </c>
      <c r="B444" t="s">
        <v>2033</v>
      </c>
      <c r="C444" t="s">
        <v>182</v>
      </c>
      <c r="D444" t="s">
        <v>93</v>
      </c>
      <c r="E444" s="217">
        <v>0.121200023</v>
      </c>
      <c r="F444">
        <v>1</v>
      </c>
      <c r="G444" t="s">
        <v>2030</v>
      </c>
      <c r="I444">
        <v>1</v>
      </c>
      <c r="J444">
        <v>2</v>
      </c>
      <c r="K444">
        <v>1</v>
      </c>
      <c r="L444">
        <v>2</v>
      </c>
      <c r="M444">
        <v>2</v>
      </c>
    </row>
    <row r="445" spans="1:13">
      <c r="A445" t="s">
        <v>108</v>
      </c>
      <c r="B445" t="s">
        <v>2033</v>
      </c>
      <c r="C445" t="s">
        <v>182</v>
      </c>
      <c r="D445" t="s">
        <v>90</v>
      </c>
      <c r="E445" s="217">
        <v>0.14281593000000001</v>
      </c>
      <c r="F445">
        <v>1</v>
      </c>
      <c r="G445" t="s">
        <v>2030</v>
      </c>
      <c r="I445">
        <v>1</v>
      </c>
      <c r="J445">
        <v>2</v>
      </c>
      <c r="K445">
        <v>1</v>
      </c>
      <c r="L445">
        <v>2</v>
      </c>
      <c r="M445">
        <v>2</v>
      </c>
    </row>
    <row r="446" spans="1:13">
      <c r="A446" t="s">
        <v>108</v>
      </c>
      <c r="B446" t="s">
        <v>2033</v>
      </c>
      <c r="C446" t="s">
        <v>182</v>
      </c>
      <c r="D446" t="s">
        <v>92</v>
      </c>
      <c r="E446" s="217">
        <v>0.237431854</v>
      </c>
      <c r="F446">
        <v>1</v>
      </c>
      <c r="G446" t="s">
        <v>2030</v>
      </c>
      <c r="I446">
        <v>1</v>
      </c>
      <c r="J446">
        <v>2</v>
      </c>
      <c r="K446">
        <v>1</v>
      </c>
      <c r="L446">
        <v>2</v>
      </c>
      <c r="M446">
        <v>2</v>
      </c>
    </row>
    <row r="447" spans="1:13">
      <c r="A447" t="s">
        <v>108</v>
      </c>
      <c r="B447" t="s">
        <v>2154</v>
      </c>
      <c r="C447" t="s">
        <v>182</v>
      </c>
      <c r="D447" t="s">
        <v>99</v>
      </c>
      <c r="E447" s="217">
        <v>0</v>
      </c>
      <c r="F447">
        <v>1</v>
      </c>
      <c r="G447" t="s">
        <v>2030</v>
      </c>
      <c r="I447">
        <v>1</v>
      </c>
      <c r="J447">
        <v>2</v>
      </c>
      <c r="K447">
        <v>1</v>
      </c>
      <c r="L447">
        <v>2</v>
      </c>
      <c r="M447">
        <v>2</v>
      </c>
    </row>
    <row r="448" spans="1:13">
      <c r="A448" t="s">
        <v>108</v>
      </c>
      <c r="B448" t="s">
        <v>2154</v>
      </c>
      <c r="C448" t="s">
        <v>182</v>
      </c>
      <c r="D448" t="s">
        <v>98</v>
      </c>
      <c r="E448" s="217">
        <v>0.198529969</v>
      </c>
      <c r="F448">
        <v>1</v>
      </c>
      <c r="G448" t="s">
        <v>2030</v>
      </c>
      <c r="I448">
        <v>1</v>
      </c>
      <c r="J448">
        <v>2</v>
      </c>
      <c r="K448">
        <v>1</v>
      </c>
      <c r="L448">
        <v>2</v>
      </c>
      <c r="M448">
        <v>2</v>
      </c>
    </row>
    <row r="449" spans="1:13">
      <c r="A449" t="s">
        <v>108</v>
      </c>
      <c r="B449" t="s">
        <v>2154</v>
      </c>
      <c r="C449" t="s">
        <v>182</v>
      </c>
      <c r="D449" t="s">
        <v>95</v>
      </c>
      <c r="E449" s="217">
        <v>0.259928045</v>
      </c>
      <c r="F449">
        <v>1</v>
      </c>
      <c r="G449" t="s">
        <v>2030</v>
      </c>
      <c r="I449">
        <v>1</v>
      </c>
      <c r="J449">
        <v>2</v>
      </c>
      <c r="K449">
        <v>1</v>
      </c>
      <c r="L449">
        <v>2</v>
      </c>
      <c r="M449">
        <v>2</v>
      </c>
    </row>
    <row r="450" spans="1:13">
      <c r="A450" t="s">
        <v>108</v>
      </c>
      <c r="B450" t="s">
        <v>2154</v>
      </c>
      <c r="C450" t="s">
        <v>182</v>
      </c>
      <c r="D450" t="s">
        <v>91</v>
      </c>
      <c r="E450" s="217">
        <v>0.264543421</v>
      </c>
      <c r="F450">
        <v>1</v>
      </c>
      <c r="G450" t="s">
        <v>2030</v>
      </c>
      <c r="I450">
        <v>1</v>
      </c>
      <c r="J450">
        <v>2</v>
      </c>
      <c r="K450">
        <v>1</v>
      </c>
      <c r="L450">
        <v>2</v>
      </c>
      <c r="M450">
        <v>2</v>
      </c>
    </row>
    <row r="451" spans="1:13">
      <c r="A451" t="s">
        <v>108</v>
      </c>
      <c r="B451" t="s">
        <v>2155</v>
      </c>
      <c r="C451" t="s">
        <v>182</v>
      </c>
      <c r="D451" t="s">
        <v>99</v>
      </c>
      <c r="E451" s="217">
        <v>0</v>
      </c>
      <c r="F451">
        <v>1</v>
      </c>
      <c r="G451" t="s">
        <v>2030</v>
      </c>
      <c r="I451">
        <v>1</v>
      </c>
      <c r="J451">
        <v>2</v>
      </c>
      <c r="K451">
        <v>1</v>
      </c>
      <c r="L451">
        <v>2</v>
      </c>
      <c r="M451">
        <v>2</v>
      </c>
    </row>
    <row r="452" spans="1:13">
      <c r="A452" t="s">
        <v>108</v>
      </c>
      <c r="B452" t="s">
        <v>2155</v>
      </c>
      <c r="C452" t="s">
        <v>182</v>
      </c>
      <c r="D452" t="s">
        <v>98</v>
      </c>
      <c r="E452" s="217">
        <v>2.3902979999999999E-3</v>
      </c>
      <c r="F452">
        <v>1</v>
      </c>
      <c r="G452" t="s">
        <v>2030</v>
      </c>
      <c r="I452">
        <v>1</v>
      </c>
      <c r="J452">
        <v>2</v>
      </c>
      <c r="K452">
        <v>1</v>
      </c>
      <c r="L452">
        <v>2</v>
      </c>
      <c r="M452">
        <v>2</v>
      </c>
    </row>
    <row r="453" spans="1:13">
      <c r="A453" t="s">
        <v>108</v>
      </c>
      <c r="B453" t="s">
        <v>2155</v>
      </c>
      <c r="C453" t="s">
        <v>182</v>
      </c>
      <c r="D453" t="s">
        <v>95</v>
      </c>
      <c r="E453" s="217">
        <v>0</v>
      </c>
      <c r="F453">
        <v>1</v>
      </c>
      <c r="G453" t="s">
        <v>2030</v>
      </c>
      <c r="I453">
        <v>1</v>
      </c>
      <c r="J453">
        <v>2</v>
      </c>
      <c r="K453">
        <v>1</v>
      </c>
      <c r="L453">
        <v>2</v>
      </c>
      <c r="M453">
        <v>2</v>
      </c>
    </row>
    <row r="454" spans="1:13">
      <c r="A454" t="s">
        <v>108</v>
      </c>
      <c r="B454" t="s">
        <v>2155</v>
      </c>
      <c r="C454" t="s">
        <v>182</v>
      </c>
      <c r="D454" t="s">
        <v>91</v>
      </c>
      <c r="E454" s="217">
        <v>4.0283916000000003E-2</v>
      </c>
      <c r="F454">
        <v>1</v>
      </c>
      <c r="G454" t="s">
        <v>2030</v>
      </c>
      <c r="I454">
        <v>1</v>
      </c>
      <c r="J454">
        <v>2</v>
      </c>
      <c r="K454">
        <v>1</v>
      </c>
      <c r="L454">
        <v>2</v>
      </c>
      <c r="M454">
        <v>2</v>
      </c>
    </row>
    <row r="455" spans="1:13">
      <c r="A455" t="s">
        <v>108</v>
      </c>
      <c r="B455" t="s">
        <v>2156</v>
      </c>
      <c r="C455" t="s">
        <v>182</v>
      </c>
      <c r="D455" t="s">
        <v>99</v>
      </c>
      <c r="E455" s="217">
        <v>0.25332756400000001</v>
      </c>
      <c r="F455">
        <v>1</v>
      </c>
      <c r="G455" t="s">
        <v>2030</v>
      </c>
      <c r="I455">
        <v>1</v>
      </c>
      <c r="J455">
        <v>2</v>
      </c>
      <c r="K455">
        <v>1</v>
      </c>
      <c r="L455">
        <v>2</v>
      </c>
      <c r="M455">
        <v>2</v>
      </c>
    </row>
    <row r="456" spans="1:13">
      <c r="A456" t="s">
        <v>108</v>
      </c>
      <c r="B456" t="s">
        <v>2156</v>
      </c>
      <c r="C456" t="s">
        <v>182</v>
      </c>
      <c r="D456" t="s">
        <v>98</v>
      </c>
      <c r="E456" s="217">
        <v>2.8701329000000001E-2</v>
      </c>
      <c r="F456">
        <v>1</v>
      </c>
      <c r="G456" t="s">
        <v>2030</v>
      </c>
      <c r="I456">
        <v>1</v>
      </c>
      <c r="J456">
        <v>2</v>
      </c>
      <c r="K456">
        <v>1</v>
      </c>
      <c r="L456">
        <v>2</v>
      </c>
      <c r="M456">
        <v>2</v>
      </c>
    </row>
    <row r="457" spans="1:13">
      <c r="A457" t="s">
        <v>108</v>
      </c>
      <c r="B457" t="s">
        <v>2156</v>
      </c>
      <c r="C457" t="s">
        <v>182</v>
      </c>
      <c r="D457" t="s">
        <v>95</v>
      </c>
      <c r="E457" s="217">
        <v>4.6882533999999997E-2</v>
      </c>
      <c r="F457">
        <v>1</v>
      </c>
      <c r="G457" t="s">
        <v>2030</v>
      </c>
      <c r="I457">
        <v>1</v>
      </c>
      <c r="J457">
        <v>2</v>
      </c>
      <c r="K457">
        <v>1</v>
      </c>
      <c r="L457">
        <v>2</v>
      </c>
      <c r="M457">
        <v>2</v>
      </c>
    </row>
    <row r="458" spans="1:13">
      <c r="A458" t="s">
        <v>108</v>
      </c>
      <c r="B458" t="s">
        <v>2156</v>
      </c>
      <c r="C458" t="s">
        <v>182</v>
      </c>
      <c r="D458" t="s">
        <v>91</v>
      </c>
      <c r="E458" s="217">
        <v>0.13012547999999999</v>
      </c>
      <c r="F458">
        <v>1</v>
      </c>
      <c r="G458" t="s">
        <v>2030</v>
      </c>
      <c r="I458">
        <v>1</v>
      </c>
      <c r="J458">
        <v>2</v>
      </c>
      <c r="K458">
        <v>1</v>
      </c>
      <c r="L458">
        <v>2</v>
      </c>
      <c r="M458">
        <v>2</v>
      </c>
    </row>
    <row r="459" spans="1:13">
      <c r="A459" t="s">
        <v>108</v>
      </c>
      <c r="B459" t="s">
        <v>2034</v>
      </c>
      <c r="C459" t="s">
        <v>182</v>
      </c>
      <c r="D459" t="s">
        <v>99</v>
      </c>
      <c r="E459" s="217">
        <v>0</v>
      </c>
      <c r="F459">
        <v>1</v>
      </c>
      <c r="G459" t="s">
        <v>2030</v>
      </c>
      <c r="I459">
        <v>1</v>
      </c>
      <c r="J459">
        <v>2</v>
      </c>
      <c r="K459">
        <v>1</v>
      </c>
      <c r="L459">
        <v>2</v>
      </c>
      <c r="M459">
        <v>2</v>
      </c>
    </row>
    <row r="460" spans="1:13">
      <c r="A460" t="s">
        <v>108</v>
      </c>
      <c r="B460" t="s">
        <v>2034</v>
      </c>
      <c r="C460" t="s">
        <v>182</v>
      </c>
      <c r="D460" t="s">
        <v>98</v>
      </c>
      <c r="E460" s="217">
        <v>8.3290819999999998E-3</v>
      </c>
      <c r="F460">
        <v>1</v>
      </c>
      <c r="G460" t="s">
        <v>2030</v>
      </c>
      <c r="I460">
        <v>1</v>
      </c>
      <c r="J460">
        <v>2</v>
      </c>
      <c r="K460">
        <v>1</v>
      </c>
      <c r="L460">
        <v>2</v>
      </c>
      <c r="M460">
        <v>2</v>
      </c>
    </row>
    <row r="461" spans="1:13">
      <c r="A461" t="s">
        <v>108</v>
      </c>
      <c r="B461" t="s">
        <v>2034</v>
      </c>
      <c r="C461" t="s">
        <v>182</v>
      </c>
      <c r="D461" t="s">
        <v>95</v>
      </c>
      <c r="E461" s="217">
        <v>3.7985432999999999E-2</v>
      </c>
      <c r="F461">
        <v>1</v>
      </c>
      <c r="G461" t="s">
        <v>2030</v>
      </c>
      <c r="I461">
        <v>1</v>
      </c>
      <c r="J461">
        <v>2</v>
      </c>
      <c r="K461">
        <v>1</v>
      </c>
      <c r="L461">
        <v>2</v>
      </c>
      <c r="M461">
        <v>2</v>
      </c>
    </row>
    <row r="462" spans="1:13">
      <c r="A462" t="s">
        <v>108</v>
      </c>
      <c r="B462" t="s">
        <v>2034</v>
      </c>
      <c r="C462" t="s">
        <v>182</v>
      </c>
      <c r="D462" t="s">
        <v>91</v>
      </c>
      <c r="E462" s="217">
        <v>6.1527869999999998E-3</v>
      </c>
      <c r="F462">
        <v>1</v>
      </c>
      <c r="G462" t="s">
        <v>2030</v>
      </c>
      <c r="I462">
        <v>1</v>
      </c>
      <c r="J462">
        <v>2</v>
      </c>
      <c r="K462">
        <v>1</v>
      </c>
      <c r="L462">
        <v>2</v>
      </c>
      <c r="M462">
        <v>2</v>
      </c>
    </row>
    <row r="463" spans="1:13">
      <c r="A463" t="s">
        <v>108</v>
      </c>
      <c r="B463" t="s">
        <v>2035</v>
      </c>
      <c r="C463" t="s">
        <v>182</v>
      </c>
      <c r="D463" t="s">
        <v>99</v>
      </c>
      <c r="E463" s="217">
        <v>0</v>
      </c>
      <c r="F463">
        <v>1</v>
      </c>
      <c r="G463" t="s">
        <v>2030</v>
      </c>
      <c r="I463">
        <v>1</v>
      </c>
      <c r="J463">
        <v>2</v>
      </c>
      <c r="K463">
        <v>1</v>
      </c>
      <c r="L463">
        <v>2</v>
      </c>
      <c r="M463">
        <v>2</v>
      </c>
    </row>
    <row r="464" spans="1:13">
      <c r="A464" t="s">
        <v>108</v>
      </c>
      <c r="B464" t="s">
        <v>2035</v>
      </c>
      <c r="C464" t="s">
        <v>182</v>
      </c>
      <c r="D464" t="s">
        <v>98</v>
      </c>
      <c r="E464" s="217">
        <v>4.1074070000000004E-3</v>
      </c>
      <c r="F464">
        <v>1</v>
      </c>
      <c r="G464" t="s">
        <v>2030</v>
      </c>
      <c r="I464">
        <v>1</v>
      </c>
      <c r="J464">
        <v>2</v>
      </c>
      <c r="K464">
        <v>1</v>
      </c>
      <c r="L464">
        <v>2</v>
      </c>
      <c r="M464">
        <v>2</v>
      </c>
    </row>
    <row r="465" spans="1:15">
      <c r="A465" t="s">
        <v>108</v>
      </c>
      <c r="B465" t="s">
        <v>2035</v>
      </c>
      <c r="C465" t="s">
        <v>182</v>
      </c>
      <c r="D465" t="s">
        <v>95</v>
      </c>
      <c r="E465" s="217">
        <v>0</v>
      </c>
      <c r="F465">
        <v>1</v>
      </c>
      <c r="G465" t="s">
        <v>2030</v>
      </c>
      <c r="I465">
        <v>1</v>
      </c>
      <c r="J465">
        <v>2</v>
      </c>
      <c r="K465">
        <v>1</v>
      </c>
      <c r="L465">
        <v>2</v>
      </c>
      <c r="M465">
        <v>2</v>
      </c>
    </row>
    <row r="466" spans="1:15">
      <c r="A466" t="s">
        <v>108</v>
      </c>
      <c r="B466" t="s">
        <v>2035</v>
      </c>
      <c r="C466" t="s">
        <v>182</v>
      </c>
      <c r="D466" t="s">
        <v>91</v>
      </c>
      <c r="E466" s="217">
        <v>7.0343419000000004E-2</v>
      </c>
      <c r="F466">
        <v>1</v>
      </c>
      <c r="G466" t="s">
        <v>2030</v>
      </c>
      <c r="I466">
        <v>1</v>
      </c>
      <c r="J466">
        <v>2</v>
      </c>
      <c r="K466">
        <v>1</v>
      </c>
      <c r="L466">
        <v>2</v>
      </c>
      <c r="M466">
        <v>2</v>
      </c>
    </row>
    <row r="467" spans="1:15">
      <c r="A467" t="s">
        <v>108</v>
      </c>
      <c r="B467" t="s">
        <v>2036</v>
      </c>
      <c r="C467" t="s">
        <v>182</v>
      </c>
      <c r="D467" t="s">
        <v>99</v>
      </c>
      <c r="E467" s="217">
        <v>0</v>
      </c>
      <c r="F467">
        <v>1</v>
      </c>
      <c r="G467" t="s">
        <v>2030</v>
      </c>
      <c r="I467">
        <v>1</v>
      </c>
      <c r="J467">
        <v>2</v>
      </c>
      <c r="K467">
        <v>1</v>
      </c>
      <c r="L467">
        <v>2</v>
      </c>
      <c r="M467">
        <v>2</v>
      </c>
    </row>
    <row r="468" spans="1:15">
      <c r="A468" t="s">
        <v>108</v>
      </c>
      <c r="B468" t="s">
        <v>2036</v>
      </c>
      <c r="C468" t="s">
        <v>182</v>
      </c>
      <c r="D468" t="s">
        <v>98</v>
      </c>
      <c r="E468" s="217">
        <v>7.9507029000000007E-2</v>
      </c>
      <c r="F468">
        <v>1</v>
      </c>
      <c r="G468" t="s">
        <v>2030</v>
      </c>
      <c r="I468">
        <v>1</v>
      </c>
      <c r="J468">
        <v>2</v>
      </c>
      <c r="K468">
        <v>1</v>
      </c>
      <c r="L468">
        <v>2</v>
      </c>
      <c r="M468">
        <v>2</v>
      </c>
    </row>
    <row r="469" spans="1:15">
      <c r="A469" t="s">
        <v>108</v>
      </c>
      <c r="B469" t="s">
        <v>2036</v>
      </c>
      <c r="C469" t="s">
        <v>182</v>
      </c>
      <c r="D469" t="s">
        <v>95</v>
      </c>
      <c r="E469" s="217">
        <v>0.109237894</v>
      </c>
      <c r="F469">
        <v>1</v>
      </c>
      <c r="G469" t="s">
        <v>2030</v>
      </c>
      <c r="I469">
        <v>1</v>
      </c>
      <c r="J469">
        <v>2</v>
      </c>
      <c r="K469">
        <v>1</v>
      </c>
      <c r="L469">
        <v>2</v>
      </c>
      <c r="M469">
        <v>2</v>
      </c>
    </row>
    <row r="470" spans="1:15">
      <c r="A470" t="s">
        <v>108</v>
      </c>
      <c r="B470" t="s">
        <v>2036</v>
      </c>
      <c r="C470" t="s">
        <v>182</v>
      </c>
      <c r="D470" t="s">
        <v>91</v>
      </c>
      <c r="E470" s="217">
        <v>9.9046810000000002E-3</v>
      </c>
      <c r="F470">
        <v>1</v>
      </c>
      <c r="G470" t="s">
        <v>2030</v>
      </c>
      <c r="I470">
        <v>1</v>
      </c>
      <c r="J470">
        <v>2</v>
      </c>
      <c r="K470">
        <v>1</v>
      </c>
      <c r="L470">
        <v>2</v>
      </c>
      <c r="M470">
        <v>2</v>
      </c>
    </row>
    <row r="472" spans="1:15" s="879" customFormat="1">
      <c r="A472" s="406" t="s">
        <v>2129</v>
      </c>
    </row>
    <row r="473" spans="1:15">
      <c r="A473" t="s">
        <v>2018</v>
      </c>
      <c r="B473" t="s">
        <v>108</v>
      </c>
      <c r="C473" t="s">
        <v>139</v>
      </c>
      <c r="D473" t="s">
        <v>139</v>
      </c>
      <c r="E473" s="217">
        <v>1</v>
      </c>
      <c r="F473">
        <v>1</v>
      </c>
      <c r="G473" t="s">
        <v>157</v>
      </c>
      <c r="N473" t="s">
        <v>249</v>
      </c>
      <c r="O473" t="s">
        <v>249</v>
      </c>
    </row>
    <row r="474" spans="1:15">
      <c r="A474" t="s">
        <v>2021</v>
      </c>
      <c r="B474" t="s">
        <v>108</v>
      </c>
      <c r="C474" t="s">
        <v>139</v>
      </c>
      <c r="D474" t="s">
        <v>139</v>
      </c>
      <c r="E474" s="217">
        <v>1</v>
      </c>
      <c r="F474">
        <v>1</v>
      </c>
      <c r="G474" t="s">
        <v>157</v>
      </c>
      <c r="N474" t="s">
        <v>249</v>
      </c>
      <c r="O474" t="s">
        <v>249</v>
      </c>
    </row>
    <row r="475" spans="1:15">
      <c r="A475" t="s">
        <v>2130</v>
      </c>
      <c r="B475" t="s">
        <v>108</v>
      </c>
      <c r="C475" t="s">
        <v>139</v>
      </c>
      <c r="D475" t="s">
        <v>139</v>
      </c>
      <c r="E475" s="217" t="s">
        <v>150</v>
      </c>
      <c r="F475">
        <v>1</v>
      </c>
    </row>
    <row r="476" spans="1:15">
      <c r="A476" t="s">
        <v>2130</v>
      </c>
      <c r="B476" t="s">
        <v>399</v>
      </c>
      <c r="C476" t="s">
        <v>139</v>
      </c>
      <c r="D476" t="s">
        <v>139</v>
      </c>
      <c r="E476" s="217">
        <f>B11+B12+B13+B14</f>
        <v>0.21550000000000002</v>
      </c>
      <c r="F476">
        <v>2</v>
      </c>
      <c r="G476" t="s">
        <v>2131</v>
      </c>
      <c r="H476">
        <v>2</v>
      </c>
      <c r="I476">
        <v>2</v>
      </c>
      <c r="J476">
        <v>2</v>
      </c>
      <c r="K476">
        <v>3</v>
      </c>
      <c r="L476">
        <v>2</v>
      </c>
      <c r="M476">
        <v>1</v>
      </c>
    </row>
    <row r="477" spans="1:15">
      <c r="A477" t="s">
        <v>2130</v>
      </c>
      <c r="B477" t="s">
        <v>399</v>
      </c>
      <c r="C477" t="s">
        <v>139</v>
      </c>
      <c r="D477" t="s">
        <v>139</v>
      </c>
      <c r="E477" s="217">
        <f>B10+B12+B13+B14</f>
        <v>0.20610000000000001</v>
      </c>
      <c r="F477">
        <v>2</v>
      </c>
      <c r="G477" t="s">
        <v>2132</v>
      </c>
      <c r="H477">
        <v>2</v>
      </c>
      <c r="I477">
        <v>2</v>
      </c>
      <c r="J477">
        <v>2</v>
      </c>
      <c r="K477">
        <v>3</v>
      </c>
      <c r="L477">
        <v>2</v>
      </c>
      <c r="M477">
        <v>1</v>
      </c>
    </row>
    <row r="478" spans="1:15">
      <c r="A478" t="s">
        <v>2136</v>
      </c>
      <c r="B478" t="s">
        <v>2130</v>
      </c>
      <c r="C478" t="s">
        <v>139</v>
      </c>
      <c r="D478" t="s">
        <v>139</v>
      </c>
      <c r="E478" s="217">
        <v>1</v>
      </c>
      <c r="F478">
        <v>1</v>
      </c>
      <c r="G478" t="s">
        <v>157</v>
      </c>
    </row>
    <row r="479" spans="1:15">
      <c r="A479" t="s">
        <v>2135</v>
      </c>
      <c r="B479" t="s">
        <v>2130</v>
      </c>
      <c r="C479" t="s">
        <v>139</v>
      </c>
      <c r="D479" t="s">
        <v>139</v>
      </c>
      <c r="E479" s="217">
        <v>1</v>
      </c>
      <c r="F479">
        <v>1</v>
      </c>
      <c r="G479" t="s">
        <v>157</v>
      </c>
    </row>
    <row r="480" spans="1:15" s="1008" customFormat="1">
      <c r="A480" s="1008" t="s">
        <v>2255</v>
      </c>
    </row>
    <row r="481" spans="1:13" s="1008" customFormat="1">
      <c r="A481" s="1015"/>
      <c r="B481" s="1015"/>
      <c r="C481" s="1015"/>
      <c r="D481" s="1015"/>
      <c r="E481" s="1015"/>
      <c r="F481" s="1015"/>
      <c r="G481" s="1015"/>
      <c r="H481" s="1015"/>
      <c r="I481" s="1015"/>
      <c r="J481" s="1015"/>
      <c r="K481" s="1015"/>
      <c r="L481" s="1015"/>
      <c r="M481" s="1015"/>
    </row>
    <row r="482" spans="1:13" s="642" customFormat="1">
      <c r="A482" s="642" t="s">
        <v>2223</v>
      </c>
    </row>
    <row r="483" spans="1:13">
      <c r="A483" t="s">
        <v>2029</v>
      </c>
      <c r="B483" t="str">
        <f>'Clothing calculations'!B123</f>
        <v>Clothing not washed (in use)</v>
      </c>
      <c r="C483" t="str">
        <f>'Clothing calculations'!C123</f>
        <v>any</v>
      </c>
      <c r="D483" t="str">
        <f>'Clothing calculations'!D123</f>
        <v>any</v>
      </c>
      <c r="E483">
        <f>'Clothing calculations'!E123</f>
        <v>3.0249999999999999E-3</v>
      </c>
      <c r="F483">
        <f>'Clothing calculations'!F123</f>
        <v>2</v>
      </c>
      <c r="G483" t="str">
        <f>'Clothing calculations'!G123</f>
        <v>Average loss during wear, Kawecki et al. 2019, SI table 17</v>
      </c>
      <c r="H483">
        <f>'Clothing calculations'!H123</f>
        <v>2</v>
      </c>
      <c r="I483">
        <f>'Clothing calculations'!I123</f>
        <v>2</v>
      </c>
      <c r="J483">
        <f>'Clothing calculations'!J123</f>
        <v>2</v>
      </c>
      <c r="K483">
        <f>'Clothing calculations'!K123</f>
        <v>2</v>
      </c>
      <c r="L483">
        <f>'Clothing calculations'!L123</f>
        <v>2</v>
      </c>
      <c r="M483">
        <f>'Clothing calculations'!M123</f>
        <v>2</v>
      </c>
    </row>
    <row r="484" spans="1:13">
      <c r="A484" t="s">
        <v>2029</v>
      </c>
      <c r="B484" t="str">
        <f>'Clothing calculations'!B124</f>
        <v>Clothing not washed (discarded)</v>
      </c>
      <c r="C484" t="str">
        <f>'Clothing calculations'!C124</f>
        <v>any</v>
      </c>
      <c r="D484" t="str">
        <f>'Clothing calculations'!D124</f>
        <v>any</v>
      </c>
      <c r="E484" t="str">
        <f>'Clothing calculations'!E124</f>
        <v>rest</v>
      </c>
      <c r="F484">
        <f>'Clothing calculations'!F124</f>
        <v>1</v>
      </c>
    </row>
    <row r="485" spans="1:13">
      <c r="A485" t="s">
        <v>2152</v>
      </c>
      <c r="B485" t="str">
        <f>'Clothing calculations'!B115</f>
        <v>Clothing rarely washed (in use)</v>
      </c>
      <c r="C485" t="str">
        <f>'Clothing calculations'!C115</f>
        <v>any</v>
      </c>
      <c r="D485" t="str">
        <f>'Clothing calculations'!D115</f>
        <v>any</v>
      </c>
      <c r="E485">
        <f>'Clothing calculations'!E115</f>
        <v>3.3880970500000003E-3</v>
      </c>
      <c r="F485">
        <f>'Clothing calculations'!F115</f>
        <v>2</v>
      </c>
      <c r="G485" t="str">
        <f>'Clothing calculations'!G115</f>
        <v>Computed from wearing, washing, drying TCs</v>
      </c>
      <c r="H485">
        <f>'Clothing calculations'!H115</f>
        <v>2</v>
      </c>
      <c r="I485">
        <f>'Clothing calculations'!I115</f>
        <v>2</v>
      </c>
      <c r="J485">
        <f>'Clothing calculations'!J115</f>
        <v>2</v>
      </c>
      <c r="K485">
        <f>'Clothing calculations'!K115</f>
        <v>2</v>
      </c>
      <c r="L485">
        <f>'Clothing calculations'!L115</f>
        <v>2</v>
      </c>
      <c r="M485">
        <f>'Clothing calculations'!M115</f>
        <v>2</v>
      </c>
    </row>
    <row r="486" spans="1:13">
      <c r="A486" t="s">
        <v>2152</v>
      </c>
      <c r="B486" t="str">
        <f>'Clothing calculations'!B116</f>
        <v>Clothing rarely washed (discarded)</v>
      </c>
      <c r="C486" t="str">
        <f>'Clothing calculations'!C116</f>
        <v>any</v>
      </c>
      <c r="D486" t="str">
        <f>'Clothing calculations'!D116</f>
        <v>any</v>
      </c>
      <c r="E486" t="str">
        <f>'Clothing calculations'!E116</f>
        <v>rest</v>
      </c>
      <c r="F486">
        <f>'Clothing calculations'!F116</f>
        <v>1</v>
      </c>
    </row>
    <row r="487" spans="1:13">
      <c r="A487" t="s">
        <v>2151</v>
      </c>
      <c r="B487" t="str">
        <f>'Clothing calculations'!B107</f>
        <v>Clothing washed (in use)</v>
      </c>
      <c r="C487" t="str">
        <f>'Clothing calculations'!C107</f>
        <v>any</v>
      </c>
      <c r="D487" t="str">
        <f>'Clothing calculations'!D107</f>
        <v>any</v>
      </c>
      <c r="E487">
        <f>'Clothing calculations'!E107</f>
        <v>1.3554814450000001E-2</v>
      </c>
      <c r="F487">
        <f>'Clothing calculations'!F107</f>
        <v>2</v>
      </c>
      <c r="G487" t="str">
        <f>'Clothing calculations'!G107</f>
        <v>Computed from wearing, washing, drying TCs</v>
      </c>
      <c r="H487">
        <f>'Clothing calculations'!H107</f>
        <v>2</v>
      </c>
      <c r="I487">
        <f>'Clothing calculations'!I107</f>
        <v>2</v>
      </c>
      <c r="J487">
        <f>'Clothing calculations'!J107</f>
        <v>2</v>
      </c>
      <c r="K487">
        <f>'Clothing calculations'!K107</f>
        <v>2</v>
      </c>
      <c r="L487">
        <f>'Clothing calculations'!L107</f>
        <v>2</v>
      </c>
      <c r="M487">
        <f>'Clothing calculations'!M107</f>
        <v>2</v>
      </c>
    </row>
    <row r="488" spans="1:13">
      <c r="A488" t="s">
        <v>2151</v>
      </c>
      <c r="B488" t="str">
        <f>'Clothing calculations'!B108</f>
        <v>Clothing washed (discarded)</v>
      </c>
      <c r="C488" t="str">
        <f>'Clothing calculations'!C108</f>
        <v>any</v>
      </c>
      <c r="D488" t="str">
        <f>'Clothing calculations'!D108</f>
        <v>any</v>
      </c>
      <c r="E488" t="str">
        <f>'Clothing calculations'!E108</f>
        <v>rest</v>
      </c>
      <c r="F488">
        <f>'Clothing calculations'!F108</f>
        <v>1</v>
      </c>
    </row>
    <row r="489" spans="1:13">
      <c r="A489" t="s">
        <v>2153</v>
      </c>
      <c r="B489" t="str">
        <f>'Clothing calculations'!B107</f>
        <v>Clothing washed (in use)</v>
      </c>
      <c r="C489" t="str">
        <f>'Clothing calculations'!C107</f>
        <v>any</v>
      </c>
      <c r="D489" t="str">
        <f>'Clothing calculations'!D107</f>
        <v>any</v>
      </c>
      <c r="E489">
        <f>'Clothing calculations'!E107</f>
        <v>1.3554814450000001E-2</v>
      </c>
      <c r="F489">
        <f>'Clothing calculations'!F107</f>
        <v>2</v>
      </c>
      <c r="G489" t="str">
        <f>'Clothing calculations'!G107</f>
        <v>Computed from wearing, washing, drying TCs</v>
      </c>
      <c r="H489">
        <f>'Clothing calculations'!H107</f>
        <v>2</v>
      </c>
      <c r="I489">
        <f>'Clothing calculations'!I107</f>
        <v>2</v>
      </c>
      <c r="J489">
        <f>'Clothing calculations'!J107</f>
        <v>2</v>
      </c>
      <c r="K489">
        <f>'Clothing calculations'!K107</f>
        <v>2</v>
      </c>
      <c r="L489">
        <f>'Clothing calculations'!L107</f>
        <v>2</v>
      </c>
      <c r="M489">
        <f>'Clothing calculations'!M107</f>
        <v>2</v>
      </c>
    </row>
    <row r="490" spans="1:13">
      <c r="A490" t="s">
        <v>2153</v>
      </c>
      <c r="B490" t="str">
        <f>'Clothing calculations'!B108</f>
        <v>Clothing washed (discarded)</v>
      </c>
      <c r="C490" t="str">
        <f>'Clothing calculations'!C108</f>
        <v>any</v>
      </c>
      <c r="D490" t="str">
        <f>'Clothing calculations'!D108</f>
        <v>any</v>
      </c>
      <c r="E490" t="str">
        <f>'Clothing calculations'!E108</f>
        <v>rest</v>
      </c>
      <c r="F490">
        <f>'Clothing calculations'!F108</f>
        <v>1</v>
      </c>
    </row>
    <row r="491" spans="1:13">
      <c r="A491" t="s">
        <v>2154</v>
      </c>
      <c r="B491" t="str">
        <f>'Clothing calculations'!B107</f>
        <v>Clothing washed (in use)</v>
      </c>
      <c r="C491" t="str">
        <f>'Clothing calculations'!C107</f>
        <v>any</v>
      </c>
      <c r="D491" t="str">
        <f>'Clothing calculations'!D107</f>
        <v>any</v>
      </c>
      <c r="E491">
        <f>'Clothing calculations'!E107</f>
        <v>1.3554814450000001E-2</v>
      </c>
      <c r="F491">
        <f>'Clothing calculations'!F107</f>
        <v>2</v>
      </c>
      <c r="G491" t="str">
        <f>'Clothing calculations'!G107</f>
        <v>Computed from wearing, washing, drying TCs</v>
      </c>
      <c r="H491">
        <f>'Clothing calculations'!H107</f>
        <v>2</v>
      </c>
      <c r="I491">
        <f>'Clothing calculations'!I107</f>
        <v>2</v>
      </c>
      <c r="J491">
        <f>'Clothing calculations'!J107</f>
        <v>2</v>
      </c>
      <c r="K491">
        <f>'Clothing calculations'!K107</f>
        <v>2</v>
      </c>
      <c r="L491">
        <f>'Clothing calculations'!L107</f>
        <v>2</v>
      </c>
      <c r="M491">
        <f>'Clothing calculations'!M107</f>
        <v>2</v>
      </c>
    </row>
    <row r="492" spans="1:13">
      <c r="A492" t="s">
        <v>2154</v>
      </c>
      <c r="B492" t="str">
        <f>'Clothing calculations'!B108</f>
        <v>Clothing washed (discarded)</v>
      </c>
      <c r="C492" t="str">
        <f>'Clothing calculations'!C108</f>
        <v>any</v>
      </c>
      <c r="D492" t="str">
        <f>'Clothing calculations'!D108</f>
        <v>any</v>
      </c>
      <c r="E492" t="str">
        <f>'Clothing calculations'!E108</f>
        <v>rest</v>
      </c>
      <c r="F492">
        <f>'Clothing calculations'!F108</f>
        <v>1</v>
      </c>
    </row>
    <row r="493" spans="1:13">
      <c r="A493" t="s">
        <v>2155</v>
      </c>
      <c r="B493" t="str">
        <f>'Clothing calculations'!B107</f>
        <v>Clothing washed (in use)</v>
      </c>
      <c r="C493" t="str">
        <f>'Clothing calculations'!C107</f>
        <v>any</v>
      </c>
      <c r="D493" t="str">
        <f>'Clothing calculations'!D107</f>
        <v>any</v>
      </c>
      <c r="E493">
        <f>'Clothing calculations'!E107</f>
        <v>1.3554814450000001E-2</v>
      </c>
      <c r="F493">
        <f>'Clothing calculations'!F107</f>
        <v>2</v>
      </c>
      <c r="G493" t="str">
        <f>'Clothing calculations'!G107</f>
        <v>Computed from wearing, washing, drying TCs</v>
      </c>
      <c r="H493">
        <f>'Clothing calculations'!H107</f>
        <v>2</v>
      </c>
      <c r="I493">
        <f>'Clothing calculations'!I107</f>
        <v>2</v>
      </c>
      <c r="J493">
        <f>'Clothing calculations'!J107</f>
        <v>2</v>
      </c>
      <c r="K493">
        <f>'Clothing calculations'!K107</f>
        <v>2</v>
      </c>
      <c r="L493">
        <f>'Clothing calculations'!L107</f>
        <v>2</v>
      </c>
      <c r="M493">
        <f>'Clothing calculations'!M107</f>
        <v>2</v>
      </c>
    </row>
    <row r="494" spans="1:13">
      <c r="A494" t="s">
        <v>2155</v>
      </c>
      <c r="B494" t="str">
        <f>'Clothing calculations'!B108</f>
        <v>Clothing washed (discarded)</v>
      </c>
      <c r="C494" t="str">
        <f>'Clothing calculations'!C108</f>
        <v>any</v>
      </c>
      <c r="D494" t="str">
        <f>'Clothing calculations'!D108</f>
        <v>any</v>
      </c>
      <c r="E494" t="str">
        <f>'Clothing calculations'!E108</f>
        <v>rest</v>
      </c>
      <c r="F494">
        <f>'Clothing calculations'!F108</f>
        <v>1</v>
      </c>
    </row>
    <row r="495" spans="1:13">
      <c r="A495" t="s">
        <v>2156</v>
      </c>
      <c r="B495" t="str">
        <f>'Clothing calculations'!B107</f>
        <v>Clothing washed (in use)</v>
      </c>
      <c r="C495" t="str">
        <f>'Clothing calculations'!C107</f>
        <v>any</v>
      </c>
      <c r="D495" t="str">
        <f>'Clothing calculations'!D107</f>
        <v>any</v>
      </c>
      <c r="E495">
        <f>'Clothing calculations'!E107</f>
        <v>1.3554814450000001E-2</v>
      </c>
      <c r="F495">
        <f>'Clothing calculations'!F107</f>
        <v>2</v>
      </c>
      <c r="G495" t="str">
        <f>'Clothing calculations'!G107</f>
        <v>Computed from wearing, washing, drying TCs</v>
      </c>
      <c r="H495">
        <f>'Clothing calculations'!H107</f>
        <v>2</v>
      </c>
      <c r="I495">
        <f>'Clothing calculations'!I107</f>
        <v>2</v>
      </c>
      <c r="J495">
        <f>'Clothing calculations'!J107</f>
        <v>2</v>
      </c>
      <c r="K495">
        <f>'Clothing calculations'!K107</f>
        <v>2</v>
      </c>
      <c r="L495">
        <f>'Clothing calculations'!L107</f>
        <v>2</v>
      </c>
      <c r="M495">
        <f>'Clothing calculations'!M107</f>
        <v>2</v>
      </c>
    </row>
    <row r="496" spans="1:13">
      <c r="A496" t="s">
        <v>2156</v>
      </c>
      <c r="B496" t="str">
        <f>'Clothing calculations'!B108</f>
        <v>Clothing washed (discarded)</v>
      </c>
      <c r="C496" t="str">
        <f>'Clothing calculations'!C108</f>
        <v>any</v>
      </c>
      <c r="D496" t="str">
        <f>'Clothing calculations'!D108</f>
        <v>any</v>
      </c>
      <c r="E496" t="str">
        <f>'Clothing calculations'!E108</f>
        <v>rest</v>
      </c>
      <c r="F496">
        <f>'Clothing calculations'!F108</f>
        <v>1</v>
      </c>
    </row>
    <row r="497" spans="1:13">
      <c r="A497" t="s">
        <v>2034</v>
      </c>
      <c r="B497" t="str">
        <f>'Clothing calculations'!B107</f>
        <v>Clothing washed (in use)</v>
      </c>
      <c r="C497" t="str">
        <f>'Clothing calculations'!C107</f>
        <v>any</v>
      </c>
      <c r="D497" t="str">
        <f>'Clothing calculations'!D107</f>
        <v>any</v>
      </c>
      <c r="E497">
        <f>'Clothing calculations'!E107</f>
        <v>1.3554814450000001E-2</v>
      </c>
      <c r="F497">
        <f>'Clothing calculations'!F107</f>
        <v>2</v>
      </c>
      <c r="G497" t="str">
        <f>'Clothing calculations'!G107</f>
        <v>Computed from wearing, washing, drying TCs</v>
      </c>
      <c r="H497">
        <f>'Clothing calculations'!H107</f>
        <v>2</v>
      </c>
      <c r="I497">
        <f>'Clothing calculations'!I107</f>
        <v>2</v>
      </c>
      <c r="J497">
        <f>'Clothing calculations'!J107</f>
        <v>2</v>
      </c>
      <c r="K497">
        <f>'Clothing calculations'!K107</f>
        <v>2</v>
      </c>
      <c r="L497">
        <f>'Clothing calculations'!L107</f>
        <v>2</v>
      </c>
      <c r="M497">
        <f>'Clothing calculations'!M107</f>
        <v>2</v>
      </c>
    </row>
    <row r="498" spans="1:13">
      <c r="A498" t="s">
        <v>2034</v>
      </c>
      <c r="B498" t="str">
        <f>'Clothing calculations'!B108</f>
        <v>Clothing washed (discarded)</v>
      </c>
      <c r="C498" t="str">
        <f>'Clothing calculations'!C108</f>
        <v>any</v>
      </c>
      <c r="D498" t="str">
        <f>'Clothing calculations'!D108</f>
        <v>any</v>
      </c>
      <c r="E498" t="str">
        <f>'Clothing calculations'!E108</f>
        <v>rest</v>
      </c>
      <c r="F498">
        <f>'Clothing calculations'!F108</f>
        <v>1</v>
      </c>
    </row>
    <row r="499" spans="1:13">
      <c r="A499" t="s">
        <v>2035</v>
      </c>
      <c r="B499" t="str">
        <f>'Clothing calculations'!B107</f>
        <v>Clothing washed (in use)</v>
      </c>
      <c r="C499" t="str">
        <f>'Clothing calculations'!C107</f>
        <v>any</v>
      </c>
      <c r="D499" t="str">
        <f>'Clothing calculations'!D107</f>
        <v>any</v>
      </c>
      <c r="E499">
        <f>'Clothing calculations'!E107</f>
        <v>1.3554814450000001E-2</v>
      </c>
      <c r="F499">
        <f>'Clothing calculations'!F107</f>
        <v>2</v>
      </c>
      <c r="G499" t="str">
        <f>'Clothing calculations'!G107</f>
        <v>Computed from wearing, washing, drying TCs</v>
      </c>
      <c r="H499">
        <f>'Clothing calculations'!H107</f>
        <v>2</v>
      </c>
      <c r="I499">
        <f>'Clothing calculations'!I107</f>
        <v>2</v>
      </c>
      <c r="J499">
        <f>'Clothing calculations'!J107</f>
        <v>2</v>
      </c>
      <c r="K499">
        <f>'Clothing calculations'!K107</f>
        <v>2</v>
      </c>
      <c r="L499">
        <f>'Clothing calculations'!L107</f>
        <v>2</v>
      </c>
      <c r="M499">
        <f>'Clothing calculations'!M107</f>
        <v>2</v>
      </c>
    </row>
    <row r="500" spans="1:13">
      <c r="A500" t="s">
        <v>2035</v>
      </c>
      <c r="B500" t="str">
        <f>'Clothing calculations'!B108</f>
        <v>Clothing washed (discarded)</v>
      </c>
      <c r="C500" t="str">
        <f>'Clothing calculations'!C108</f>
        <v>any</v>
      </c>
      <c r="D500" t="str">
        <f>'Clothing calculations'!D108</f>
        <v>any</v>
      </c>
      <c r="E500" t="str">
        <f>'Clothing calculations'!E108</f>
        <v>rest</v>
      </c>
      <c r="F500">
        <f>'Clothing calculations'!F108</f>
        <v>1</v>
      </c>
    </row>
    <row r="501" spans="1:13">
      <c r="A501" t="s">
        <v>2036</v>
      </c>
      <c r="B501" t="str">
        <f>'Clothing calculations'!B107</f>
        <v>Clothing washed (in use)</v>
      </c>
      <c r="C501" t="str">
        <f>'Clothing calculations'!C107</f>
        <v>any</v>
      </c>
      <c r="D501" t="str">
        <f>'Clothing calculations'!D107</f>
        <v>any</v>
      </c>
      <c r="E501">
        <f>'Clothing calculations'!E107</f>
        <v>1.3554814450000001E-2</v>
      </c>
      <c r="F501">
        <f>'Clothing calculations'!F107</f>
        <v>2</v>
      </c>
      <c r="G501" t="str">
        <f>'Clothing calculations'!G107</f>
        <v>Computed from wearing, washing, drying TCs</v>
      </c>
      <c r="H501">
        <f>'Clothing calculations'!H107</f>
        <v>2</v>
      </c>
      <c r="I501">
        <f>'Clothing calculations'!I107</f>
        <v>2</v>
      </c>
      <c r="J501">
        <f>'Clothing calculations'!J107</f>
        <v>2</v>
      </c>
      <c r="K501">
        <f>'Clothing calculations'!K107</f>
        <v>2</v>
      </c>
      <c r="L501">
        <f>'Clothing calculations'!L107</f>
        <v>2</v>
      </c>
      <c r="M501">
        <f>'Clothing calculations'!M107</f>
        <v>2</v>
      </c>
    </row>
    <row r="502" spans="1:13">
      <c r="A502" t="s">
        <v>2036</v>
      </c>
      <c r="B502" t="str">
        <f>'Clothing calculations'!B108</f>
        <v>Clothing washed (discarded)</v>
      </c>
      <c r="C502" t="str">
        <f>'Clothing calculations'!C108</f>
        <v>any</v>
      </c>
      <c r="D502" t="str">
        <f>'Clothing calculations'!D108</f>
        <v>any</v>
      </c>
      <c r="E502" t="str">
        <f>'Clothing calculations'!E108</f>
        <v>rest</v>
      </c>
      <c r="F502">
        <f>'Clothing calculations'!F108</f>
        <v>1</v>
      </c>
    </row>
    <row r="504" spans="1:13" s="642" customFormat="1">
      <c r="A504" s="642" t="s">
        <v>2224</v>
      </c>
    </row>
    <row r="505" spans="1:13">
      <c r="A505" t="str">
        <f>'Clothing calculations'!A109</f>
        <v>Clothing washed (in use)</v>
      </c>
      <c r="B505" t="str">
        <f>'Clothing calculations'!B109</f>
        <v>Clothing wearing</v>
      </c>
      <c r="C505" t="str">
        <f>'Clothing calculations'!C109</f>
        <v>any</v>
      </c>
      <c r="D505" t="str">
        <f>'Clothing calculations'!D109</f>
        <v>any</v>
      </c>
      <c r="E505">
        <f>'Clothing calculations'!E109</f>
        <v>0.22316793868026719</v>
      </c>
      <c r="F505">
        <f>'Clothing calculations'!F109</f>
        <v>2</v>
      </c>
      <c r="G505" t="str">
        <f>'Clothing calculations'!G109</f>
        <v>Average loss during wear, Kawecki et al. 2019, SI table 17</v>
      </c>
      <c r="H505">
        <f>'Clothing calculations'!H109</f>
        <v>2</v>
      </c>
      <c r="I505">
        <f>'Clothing calculations'!I109</f>
        <v>2</v>
      </c>
      <c r="J505">
        <f>'Clothing calculations'!J109</f>
        <v>2</v>
      </c>
      <c r="K505">
        <f>'Clothing calculations'!K109</f>
        <v>2</v>
      </c>
      <c r="L505">
        <f>'Clothing calculations'!L109</f>
        <v>2</v>
      </c>
      <c r="M505">
        <f>'Clothing calculations'!M109</f>
        <v>2</v>
      </c>
    </row>
    <row r="506" spans="1:13">
      <c r="A506" t="str">
        <f>'Clothing calculations'!A110</f>
        <v>Clothing washed (in use)</v>
      </c>
      <c r="B506" t="str">
        <f>'Clothing calculations'!B110</f>
        <v>Clothing washing</v>
      </c>
      <c r="C506" t="str">
        <f>'Clothing calculations'!C110</f>
        <v>any</v>
      </c>
      <c r="D506" t="str">
        <f>'Clothing calculations'!D110</f>
        <v>any</v>
      </c>
      <c r="E506">
        <f>'Clothing calculations'!E110</f>
        <v>0.7390620127596067</v>
      </c>
      <c r="F506">
        <f>'Clothing calculations'!F110</f>
        <v>2</v>
      </c>
      <c r="G506" t="str">
        <f>'Clothing calculations'!G110</f>
        <v>Computed from available data from Kawecki et al. (2019) and CBS (2022)</v>
      </c>
      <c r="H506">
        <f>'Clothing calculations'!H110</f>
        <v>2</v>
      </c>
      <c r="I506">
        <f>'Clothing calculations'!I110</f>
        <v>2</v>
      </c>
      <c r="J506">
        <f>'Clothing calculations'!J110</f>
        <v>2</v>
      </c>
      <c r="K506">
        <f>'Clothing calculations'!K110</f>
        <v>2</v>
      </c>
      <c r="L506">
        <f>'Clothing calculations'!L110</f>
        <v>2</v>
      </c>
      <c r="M506">
        <f>'Clothing calculations'!M110</f>
        <v>2</v>
      </c>
    </row>
    <row r="507" spans="1:13">
      <c r="A507" t="str">
        <f>'Clothing calculations'!A111</f>
        <v>Clothing washed (in use)</v>
      </c>
      <c r="B507" t="str">
        <f>'Clothing calculations'!B111</f>
        <v>Clothing drying</v>
      </c>
      <c r="C507" t="str">
        <f>'Clothing calculations'!C111</f>
        <v>any</v>
      </c>
      <c r="D507" t="str">
        <f>'Clothing calculations'!D111</f>
        <v>any</v>
      </c>
      <c r="E507">
        <f>'Clothing calculations'!E111</f>
        <v>3.7770048560126175E-2</v>
      </c>
      <c r="F507">
        <f>'Clothing calculations'!F111</f>
        <v>2</v>
      </c>
      <c r="G507" t="str">
        <f>'Clothing calculations'!G111</f>
        <v>Computed from available data from Kawecki et al. (2019)</v>
      </c>
      <c r="H507">
        <f>'Clothing calculations'!H111</f>
        <v>2</v>
      </c>
      <c r="I507">
        <f>'Clothing calculations'!I111</f>
        <v>2</v>
      </c>
      <c r="J507">
        <f>'Clothing calculations'!J111</f>
        <v>2</v>
      </c>
      <c r="K507">
        <f>'Clothing calculations'!K111</f>
        <v>2</v>
      </c>
      <c r="L507">
        <f>'Clothing calculations'!L111</f>
        <v>2</v>
      </c>
      <c r="M507">
        <f>'Clothing calculations'!M111</f>
        <v>2</v>
      </c>
    </row>
    <row r="508" spans="1:13">
      <c r="A508" t="str">
        <f>'Clothing calculations'!A112</f>
        <v>Clothing washed (discarded)</v>
      </c>
      <c r="B508" t="str">
        <f>'Clothing calculations'!B112</f>
        <v>Clothing waste collection</v>
      </c>
      <c r="C508" t="str">
        <f>'Clothing calculations'!C112</f>
        <v>any</v>
      </c>
      <c r="D508" t="str">
        <f>'Clothing calculations'!D112</f>
        <v>any</v>
      </c>
      <c r="E508">
        <f>'Clothing calculations'!E112</f>
        <v>0.50465116279069766</v>
      </c>
      <c r="F508">
        <f>'Clothing calculations'!F112</f>
        <v>2</v>
      </c>
      <c r="G508" t="str">
        <f>'Clothing calculations'!G112</f>
        <v>Massabalans textiel, 2022</v>
      </c>
      <c r="H508">
        <f>'Clothing calculations'!H112</f>
        <v>1</v>
      </c>
      <c r="I508">
        <f>'Clothing calculations'!I112</f>
        <v>2</v>
      </c>
      <c r="J508">
        <f>'Clothing calculations'!J112</f>
        <v>2</v>
      </c>
      <c r="K508">
        <f>'Clothing calculations'!K112</f>
        <v>1</v>
      </c>
      <c r="L508">
        <f>'Clothing calculations'!L112</f>
        <v>2</v>
      </c>
      <c r="M508">
        <f>'Clothing calculations'!M112</f>
        <v>2</v>
      </c>
    </row>
    <row r="509" spans="1:13">
      <c r="A509" t="str">
        <f>'Clothing calculations'!A113</f>
        <v>Clothing washed (discarded)</v>
      </c>
      <c r="B509" t="str">
        <f>'Clothing calculations'!B113</f>
        <v>Mixed waste collection</v>
      </c>
      <c r="C509" t="str">
        <f>'Clothing calculations'!C113</f>
        <v>any</v>
      </c>
      <c r="D509" t="str">
        <f>'Clothing calculations'!D113</f>
        <v>any</v>
      </c>
      <c r="E509" t="str">
        <f>'Clothing calculations'!E113</f>
        <v>rest</v>
      </c>
      <c r="F509">
        <f>'Clothing calculations'!F113</f>
        <v>1</v>
      </c>
    </row>
    <row r="510" spans="1:13">
      <c r="A510" t="str">
        <f>'Clothing calculations'!A114</f>
        <v>Clothing washed (discarded)</v>
      </c>
      <c r="B510" t="str">
        <f>'Clothing calculations'!B114</f>
        <v>Dumping</v>
      </c>
      <c r="C510" t="str">
        <f>'Clothing calculations'!C114</f>
        <v>any</v>
      </c>
      <c r="D510" t="str">
        <f>'Clothing calculations'!D114</f>
        <v>any</v>
      </c>
      <c r="E510">
        <f>'Clothing calculations'!E114</f>
        <v>2.7E-4</v>
      </c>
      <c r="F510">
        <f>'Clothing calculations'!F114</f>
        <v>2</v>
      </c>
      <c r="G510" t="str">
        <f>'Clothing calculations'!G114</f>
        <v>Kawecki &amp; Nowack (2019)</v>
      </c>
      <c r="H510">
        <f>'Clothing calculations'!H114</f>
        <v>2</v>
      </c>
      <c r="I510">
        <f>'Clothing calculations'!I114</f>
        <v>2</v>
      </c>
      <c r="J510">
        <f>'Clothing calculations'!J114</f>
        <v>2</v>
      </c>
      <c r="K510">
        <f>'Clothing calculations'!K114</f>
        <v>3</v>
      </c>
      <c r="L510">
        <f>'Clothing calculations'!L114</f>
        <v>3</v>
      </c>
      <c r="M510">
        <f>'Clothing calculations'!M114</f>
        <v>3</v>
      </c>
    </row>
    <row r="511" spans="1:13">
      <c r="A511" t="str">
        <f>'Clothing calculations'!A117</f>
        <v>Clothing rarely washed (in use)</v>
      </c>
      <c r="B511" t="str">
        <f>'Clothing calculations'!B117</f>
        <v>Clothing wearing</v>
      </c>
      <c r="C511" t="str">
        <f>'Clothing calculations'!C117</f>
        <v>any</v>
      </c>
      <c r="D511" t="str">
        <f>'Clothing calculations'!D117</f>
        <v>any</v>
      </c>
      <c r="E511">
        <f>'Clothing calculations'!E117</f>
        <v>0.8928315675018812</v>
      </c>
      <c r="F511">
        <f>'Clothing calculations'!F117</f>
        <v>2</v>
      </c>
      <c r="G511" t="str">
        <f>'Clothing calculations'!G117</f>
        <v>Average loss during wear, Kawecki et al. 2019, SI table 17</v>
      </c>
      <c r="H511">
        <f>'Clothing calculations'!H117</f>
        <v>2</v>
      </c>
      <c r="I511">
        <f>'Clothing calculations'!I117</f>
        <v>2</v>
      </c>
      <c r="J511">
        <f>'Clothing calculations'!J117</f>
        <v>2</v>
      </c>
      <c r="K511">
        <f>'Clothing calculations'!K117</f>
        <v>2</v>
      </c>
      <c r="L511">
        <f>'Clothing calculations'!L117</f>
        <v>2</v>
      </c>
      <c r="M511">
        <f>'Clothing calculations'!M117</f>
        <v>2</v>
      </c>
    </row>
    <row r="512" spans="1:13">
      <c r="A512" t="str">
        <f>'Clothing calculations'!A118</f>
        <v>Clothing rarely washed (in use)</v>
      </c>
      <c r="B512" t="str">
        <f>'Clothing calculations'!B118</f>
        <v>Clothing washing</v>
      </c>
      <c r="C512" t="str">
        <f>'Clothing calculations'!C118</f>
        <v>any</v>
      </c>
      <c r="D512" t="str">
        <f>'Clothing calculations'!D118</f>
        <v>any</v>
      </c>
      <c r="E512">
        <f>'Clothing calculations'!E118</f>
        <v>0.10195783795508456</v>
      </c>
      <c r="F512">
        <f>'Clothing calculations'!F118</f>
        <v>2</v>
      </c>
      <c r="G512" t="str">
        <f>'Clothing calculations'!G118</f>
        <v>Computed from available data from Kawecki et al. (2019) and CBS (2022)</v>
      </c>
      <c r="H512">
        <f>'Clothing calculations'!H118</f>
        <v>2</v>
      </c>
      <c r="I512">
        <f>'Clothing calculations'!I118</f>
        <v>2</v>
      </c>
      <c r="J512">
        <f>'Clothing calculations'!J118</f>
        <v>2</v>
      </c>
      <c r="K512">
        <f>'Clothing calculations'!K118</f>
        <v>2</v>
      </c>
      <c r="L512">
        <f>'Clothing calculations'!L118</f>
        <v>2</v>
      </c>
      <c r="M512">
        <f>'Clothing calculations'!M118</f>
        <v>2</v>
      </c>
    </row>
    <row r="513" spans="1:13">
      <c r="A513" t="str">
        <f>'Clothing calculations'!A119</f>
        <v>Clothing rarely washed (in use)</v>
      </c>
      <c r="B513" t="str">
        <f>'Clothing calculations'!B119</f>
        <v>Clothing drying</v>
      </c>
      <c r="C513" t="str">
        <f>'Clothing calculations'!C119</f>
        <v>any</v>
      </c>
      <c r="D513" t="str">
        <f>'Clothing calculations'!D119</f>
        <v>any</v>
      </c>
      <c r="E513">
        <f>'Clothing calculations'!E119</f>
        <v>5.2105945430341201E-3</v>
      </c>
      <c r="F513">
        <f>'Clothing calculations'!F119</f>
        <v>2</v>
      </c>
      <c r="G513" t="str">
        <f>'Clothing calculations'!G119</f>
        <v>Computed from available data from Kawecki et al. (2019)</v>
      </c>
      <c r="H513">
        <f>'Clothing calculations'!H119</f>
        <v>2</v>
      </c>
      <c r="I513">
        <f>'Clothing calculations'!I119</f>
        <v>2</v>
      </c>
      <c r="J513">
        <f>'Clothing calculations'!J119</f>
        <v>2</v>
      </c>
      <c r="K513">
        <f>'Clothing calculations'!K119</f>
        <v>2</v>
      </c>
      <c r="L513">
        <f>'Clothing calculations'!L119</f>
        <v>2</v>
      </c>
      <c r="M513">
        <f>'Clothing calculations'!M119</f>
        <v>2</v>
      </c>
    </row>
    <row r="514" spans="1:13">
      <c r="A514" t="str">
        <f>'Clothing calculations'!A120</f>
        <v>Clothing rarely washed (discarded)</v>
      </c>
      <c r="B514" t="str">
        <f>'Clothing calculations'!B120</f>
        <v>Clothing waste collection</v>
      </c>
      <c r="C514" t="str">
        <f>'Clothing calculations'!C120</f>
        <v>any</v>
      </c>
      <c r="D514" t="str">
        <f>'Clothing calculations'!D120</f>
        <v>any</v>
      </c>
      <c r="E514">
        <f>'Clothing calculations'!E120</f>
        <v>0.50465116279069766</v>
      </c>
      <c r="F514">
        <f>'Clothing calculations'!F120</f>
        <v>2</v>
      </c>
      <c r="G514" t="str">
        <f>'Clothing calculations'!G120</f>
        <v>Massabalans textiel, 2022</v>
      </c>
      <c r="H514">
        <f>'Clothing calculations'!H120</f>
        <v>1</v>
      </c>
      <c r="I514">
        <f>'Clothing calculations'!I120</f>
        <v>2</v>
      </c>
      <c r="J514">
        <f>'Clothing calculations'!J120</f>
        <v>2</v>
      </c>
      <c r="K514">
        <f>'Clothing calculations'!K120</f>
        <v>1</v>
      </c>
      <c r="L514">
        <f>'Clothing calculations'!L120</f>
        <v>2</v>
      </c>
      <c r="M514">
        <f>'Clothing calculations'!M120</f>
        <v>2</v>
      </c>
    </row>
    <row r="515" spans="1:13">
      <c r="A515" t="str">
        <f>'Clothing calculations'!A121</f>
        <v>Clothing rarely washed (discarded)</v>
      </c>
      <c r="B515" t="str">
        <f>'Clothing calculations'!B121</f>
        <v>Mixed waste collection</v>
      </c>
      <c r="C515" t="str">
        <f>'Clothing calculations'!C121</f>
        <v>any</v>
      </c>
      <c r="D515" t="str">
        <f>'Clothing calculations'!D121</f>
        <v>any</v>
      </c>
      <c r="E515" t="str">
        <f>'Clothing calculations'!E121</f>
        <v>rest</v>
      </c>
      <c r="F515">
        <f>'Clothing calculations'!F121</f>
        <v>1</v>
      </c>
    </row>
    <row r="516" spans="1:13">
      <c r="A516" t="str">
        <f>'Clothing calculations'!A122</f>
        <v>Clothing rarely washed (discarded)</v>
      </c>
      <c r="B516" t="str">
        <f>'Clothing calculations'!B122</f>
        <v>Dumping</v>
      </c>
      <c r="C516" t="str">
        <f>'Clothing calculations'!C122</f>
        <v>any</v>
      </c>
      <c r="D516" t="str">
        <f>'Clothing calculations'!D122</f>
        <v>any</v>
      </c>
      <c r="E516">
        <f>'Clothing calculations'!E122</f>
        <v>2.7E-4</v>
      </c>
      <c r="F516">
        <f>'Clothing calculations'!F122</f>
        <v>2</v>
      </c>
      <c r="G516" t="str">
        <f>'Clothing calculations'!G122</f>
        <v>Kawecki &amp; Nowack (2019)</v>
      </c>
      <c r="H516">
        <f>'Clothing calculations'!H122</f>
        <v>2</v>
      </c>
      <c r="I516">
        <f>'Clothing calculations'!I122</f>
        <v>2</v>
      </c>
      <c r="J516">
        <f>'Clothing calculations'!J122</f>
        <v>2</v>
      </c>
      <c r="K516">
        <f>'Clothing calculations'!K122</f>
        <v>3</v>
      </c>
      <c r="L516">
        <f>'Clothing calculations'!L122</f>
        <v>3</v>
      </c>
      <c r="M516">
        <f>'Clothing calculations'!M122</f>
        <v>3</v>
      </c>
    </row>
    <row r="517" spans="1:13">
      <c r="A517" t="str">
        <f>'Clothing calculations'!A125</f>
        <v>Clothing not washed (in use)</v>
      </c>
      <c r="B517" t="str">
        <f>'Clothing calculations'!B125</f>
        <v>Clothing wearing</v>
      </c>
      <c r="C517" t="str">
        <f>'Clothing calculations'!C125</f>
        <v>any</v>
      </c>
      <c r="D517" t="str">
        <f>'Clothing calculations'!D125</f>
        <v>any</v>
      </c>
      <c r="E517">
        <f>'Clothing calculations'!E125</f>
        <v>1</v>
      </c>
      <c r="F517">
        <f>'Clothing calculations'!F125</f>
        <v>1</v>
      </c>
      <c r="G517" t="str">
        <f>'Clothing calculations'!G125</f>
        <v>Average loss during wear, Kawecki et al. 2019, SI table 17</v>
      </c>
      <c r="H517">
        <f>'Clothing calculations'!H125</f>
        <v>2</v>
      </c>
      <c r="I517">
        <f>'Clothing calculations'!I125</f>
        <v>2</v>
      </c>
      <c r="J517">
        <f>'Clothing calculations'!J125</f>
        <v>2</v>
      </c>
      <c r="K517">
        <f>'Clothing calculations'!K125</f>
        <v>2</v>
      </c>
      <c r="L517">
        <f>'Clothing calculations'!L125</f>
        <v>2</v>
      </c>
      <c r="M517">
        <f>'Clothing calculations'!M125</f>
        <v>2</v>
      </c>
    </row>
    <row r="518" spans="1:13">
      <c r="A518" t="str">
        <f>'Clothing calculations'!A126</f>
        <v>Clothing not washed (discarded)</v>
      </c>
      <c r="B518" t="str">
        <f>'Clothing calculations'!B126</f>
        <v>Clothing waste collection</v>
      </c>
      <c r="C518" t="str">
        <f>'Clothing calculations'!C126</f>
        <v>any</v>
      </c>
      <c r="D518" t="str">
        <f>'Clothing calculations'!D126</f>
        <v>any</v>
      </c>
      <c r="E518">
        <f>'Clothing calculations'!E126</f>
        <v>0.50465116279069766</v>
      </c>
      <c r="F518">
        <f>'Clothing calculations'!F126</f>
        <v>2</v>
      </c>
      <c r="G518" t="str">
        <f>'Clothing calculations'!G126</f>
        <v>Massabalans textiel, 2022</v>
      </c>
      <c r="H518">
        <f>'Clothing calculations'!H126</f>
        <v>1</v>
      </c>
      <c r="I518">
        <f>'Clothing calculations'!I126</f>
        <v>2</v>
      </c>
      <c r="J518">
        <f>'Clothing calculations'!J126</f>
        <v>2</v>
      </c>
      <c r="K518">
        <f>'Clothing calculations'!K126</f>
        <v>1</v>
      </c>
      <c r="L518">
        <f>'Clothing calculations'!L126</f>
        <v>2</v>
      </c>
      <c r="M518">
        <f>'Clothing calculations'!M126</f>
        <v>2</v>
      </c>
    </row>
    <row r="519" spans="1:13">
      <c r="A519" t="str">
        <f>'Clothing calculations'!A127</f>
        <v>Clothing not washed (discarded)</v>
      </c>
      <c r="B519" t="str">
        <f>'Clothing calculations'!B127</f>
        <v>Mixed waste collection</v>
      </c>
      <c r="C519" t="str">
        <f>'Clothing calculations'!C127</f>
        <v>any</v>
      </c>
      <c r="D519" t="str">
        <f>'Clothing calculations'!D127</f>
        <v>any</v>
      </c>
      <c r="E519" t="str">
        <f>'Clothing calculations'!E127</f>
        <v>rest</v>
      </c>
      <c r="F519">
        <f>'Clothing calculations'!F127</f>
        <v>1</v>
      </c>
    </row>
    <row r="520" spans="1:13">
      <c r="A520" t="str">
        <f>'Clothing calculations'!A128</f>
        <v>Clothing not washed (discarded)</v>
      </c>
      <c r="B520" t="str">
        <f>'Clothing calculations'!B128</f>
        <v>Dumping</v>
      </c>
      <c r="C520" t="str">
        <f>'Clothing calculations'!C128</f>
        <v>any</v>
      </c>
      <c r="D520" t="str">
        <f>'Clothing calculations'!D128</f>
        <v>any</v>
      </c>
      <c r="E520">
        <f>'Clothing calculations'!E128</f>
        <v>2.7E-4</v>
      </c>
      <c r="F520">
        <f>'Clothing calculations'!F128</f>
        <v>2</v>
      </c>
      <c r="G520" t="str">
        <f>'Clothing calculations'!G128</f>
        <v>Kawecki &amp; Nowack (2019)</v>
      </c>
      <c r="H520">
        <f>'Clothing calculations'!H128</f>
        <v>2</v>
      </c>
      <c r="I520">
        <f>'Clothing calculations'!I128</f>
        <v>2</v>
      </c>
      <c r="J520">
        <f>'Clothing calculations'!J128</f>
        <v>2</v>
      </c>
      <c r="K520">
        <f>'Clothing calculations'!K128</f>
        <v>3</v>
      </c>
      <c r="L520">
        <f>'Clothing calculations'!L128</f>
        <v>3</v>
      </c>
      <c r="M520">
        <f>'Clothing calculations'!M128</f>
        <v>3</v>
      </c>
    </row>
    <row r="521" spans="1:13">
      <c r="E521" s="217"/>
    </row>
    <row r="522" spans="1:13" s="221" customFormat="1">
      <c r="A522" s="406" t="s">
        <v>2225</v>
      </c>
      <c r="E522" s="893"/>
    </row>
    <row r="523" spans="1:13">
      <c r="A523" t="s">
        <v>2031</v>
      </c>
      <c r="B523" t="str">
        <f>'Clothing calculations'!B56</f>
        <v>Footwear waste collection</v>
      </c>
      <c r="C523" t="str">
        <f>'Clothing calculations'!C56</f>
        <v>any</v>
      </c>
      <c r="D523" t="str">
        <f>'Clothing calculations'!D56</f>
        <v>any</v>
      </c>
      <c r="E523" s="217">
        <f>'Clothing calculations'!E56</f>
        <v>0.25</v>
      </c>
      <c r="F523">
        <f>'Clothing calculations'!F56</f>
        <v>2</v>
      </c>
      <c r="G523" t="str">
        <f>'Clothing calculations'!G56</f>
        <v>(de Waart et al., 2023)</v>
      </c>
      <c r="H523">
        <f>'Clothing calculations'!H56</f>
        <v>2</v>
      </c>
      <c r="I523">
        <f>'Clothing calculations'!I56</f>
        <v>2</v>
      </c>
      <c r="J523">
        <f>'Clothing calculations'!J56</f>
        <v>2</v>
      </c>
      <c r="K523">
        <f>'Clothing calculations'!K56</f>
        <v>3</v>
      </c>
      <c r="L523">
        <f>'Clothing calculations'!L56</f>
        <v>2</v>
      </c>
      <c r="M523">
        <f>'Clothing calculations'!M56</f>
        <v>2</v>
      </c>
    </row>
    <row r="524" spans="1:13">
      <c r="A524" t="s">
        <v>2031</v>
      </c>
      <c r="B524" t="str">
        <f>'Clothing calculations'!B57</f>
        <v>Mixed waste collection</v>
      </c>
      <c r="C524" t="str">
        <f>'Clothing calculations'!C57</f>
        <v>any</v>
      </c>
      <c r="D524" t="str">
        <f>'Clothing calculations'!D57</f>
        <v>any</v>
      </c>
      <c r="E524" s="217" t="str">
        <f>'Clothing calculations'!E57</f>
        <v>rest</v>
      </c>
      <c r="F524">
        <f>'Clothing calculations'!F57</f>
        <v>1</v>
      </c>
    </row>
    <row r="525" spans="1:13">
      <c r="A525" t="s">
        <v>2031</v>
      </c>
      <c r="B525" t="str">
        <f>'Clothing calculations'!B58</f>
        <v>Dumping</v>
      </c>
      <c r="C525" t="str">
        <f>'Clothing calculations'!C58</f>
        <v>any</v>
      </c>
      <c r="D525" t="str">
        <f>'Clothing calculations'!D58</f>
        <v>any</v>
      </c>
      <c r="E525" s="217">
        <f>'Clothing calculations'!E58</f>
        <v>2.6918324999999996E-4</v>
      </c>
      <c r="F525">
        <f>'Clothing calculations'!F58</f>
        <v>2</v>
      </c>
      <c r="G525" t="str">
        <f>'Clothing calculations'!G58</f>
        <v>Kawecki &amp; Nowack (2019)</v>
      </c>
      <c r="H525">
        <f>'Clothing calculations'!H58</f>
        <v>2</v>
      </c>
      <c r="I525">
        <f>'Clothing calculations'!I58</f>
        <v>2</v>
      </c>
      <c r="J525">
        <f>'Clothing calculations'!J58</f>
        <v>2</v>
      </c>
      <c r="K525">
        <f>'Clothing calculations'!K58</f>
        <v>3</v>
      </c>
      <c r="L525">
        <f>'Clothing calculations'!L58</f>
        <v>3</v>
      </c>
      <c r="M525">
        <f>'Clothing calculations'!M58</f>
        <v>3</v>
      </c>
    </row>
    <row r="526" spans="1:13">
      <c r="A526" t="s">
        <v>2031</v>
      </c>
      <c r="B526" t="str">
        <f>'Clothing calculations'!B59</f>
        <v>Footwear wearing (soles)</v>
      </c>
      <c r="C526" t="str">
        <f>'Clothing calculations'!C59</f>
        <v>any</v>
      </c>
      <c r="D526" t="str">
        <f>'Clothing calculations'!D59</f>
        <v>RUBBER</v>
      </c>
      <c r="E526" s="217">
        <f>'Clothing calculations'!E59</f>
        <v>5.7712387375211246E-3</v>
      </c>
      <c r="F526">
        <f>'Clothing calculations'!F59</f>
        <v>3</v>
      </c>
      <c r="G526" t="str">
        <f>'Clothing calculations'!G59</f>
        <v>See shoesole wear calculation in clothing calculations tab of MainInputFile (low estimate)</v>
      </c>
      <c r="H526">
        <f>'Clothing calculations'!H59</f>
        <v>1</v>
      </c>
      <c r="I526">
        <f>'Clothing calculations'!I59</f>
        <v>2</v>
      </c>
      <c r="J526">
        <f>'Clothing calculations'!J59</f>
        <v>2</v>
      </c>
      <c r="K526">
        <f>'Clothing calculations'!K59</f>
        <v>2</v>
      </c>
      <c r="L526">
        <f>'Clothing calculations'!L59</f>
        <v>2</v>
      </c>
      <c r="M526">
        <f>'Clothing calculations'!M59</f>
        <v>3</v>
      </c>
    </row>
    <row r="527" spans="1:13">
      <c r="A527" t="s">
        <v>2031</v>
      </c>
      <c r="B527" t="str">
        <f>'Clothing calculations'!B60</f>
        <v>Footwear wearing (soles)</v>
      </c>
      <c r="C527" t="str">
        <f>'Clothing calculations'!C60</f>
        <v>any</v>
      </c>
      <c r="D527" t="str">
        <f>'Clothing calculations'!D60</f>
        <v>RUBBER</v>
      </c>
      <c r="E527" s="217">
        <f>'Clothing calculations'!E60</f>
        <v>1.1542477475042249E-2</v>
      </c>
      <c r="F527">
        <f>'Clothing calculations'!F60</f>
        <v>3</v>
      </c>
      <c r="G527" t="str">
        <f>'Clothing calculations'!G60</f>
        <v>See shoesole wear calculation in clothing calculations tab of MainInputFile (high estimate)</v>
      </c>
      <c r="H527">
        <f>'Clothing calculations'!H60</f>
        <v>1</v>
      </c>
      <c r="I527">
        <f>'Clothing calculations'!I60</f>
        <v>2</v>
      </c>
      <c r="J527">
        <f>'Clothing calculations'!J60</f>
        <v>2</v>
      </c>
      <c r="K527">
        <f>'Clothing calculations'!K60</f>
        <v>2</v>
      </c>
      <c r="L527">
        <f>'Clothing calculations'!L60</f>
        <v>2</v>
      </c>
      <c r="M527">
        <f>'Clothing calculations'!M60</f>
        <v>3</v>
      </c>
    </row>
    <row r="528" spans="1:13">
      <c r="A528" t="s">
        <v>2031</v>
      </c>
      <c r="B528" t="str">
        <f>'Clothing calculations'!B61</f>
        <v>Footwear wearing (soles)</v>
      </c>
      <c r="C528" t="str">
        <f>'Clothing calculations'!C61</f>
        <v>any</v>
      </c>
      <c r="D528" t="str">
        <f>'Clothing calculations'!D61</f>
        <v>PUR</v>
      </c>
      <c r="E528" s="217">
        <f>'Clothing calculations'!E61</f>
        <v>2.5413504031689942E-3</v>
      </c>
      <c r="F528">
        <f>'Clothing calculations'!F61</f>
        <v>3</v>
      </c>
      <c r="G528" t="str">
        <f>'Clothing calculations'!G61</f>
        <v>See shoesole wear calculation in clothing calculations tab of MainInputFile (low estimate)</v>
      </c>
      <c r="H528">
        <f>'Clothing calculations'!H61</f>
        <v>1</v>
      </c>
      <c r="I528">
        <f>'Clothing calculations'!I61</f>
        <v>2</v>
      </c>
      <c r="J528">
        <f>'Clothing calculations'!J61</f>
        <v>2</v>
      </c>
      <c r="K528">
        <f>'Clothing calculations'!K61</f>
        <v>2</v>
      </c>
      <c r="L528">
        <f>'Clothing calculations'!L61</f>
        <v>2</v>
      </c>
      <c r="M528">
        <f>'Clothing calculations'!M61</f>
        <v>3</v>
      </c>
    </row>
    <row r="529" spans="1:13">
      <c r="A529" t="s">
        <v>2031</v>
      </c>
      <c r="B529" t="str">
        <f>'Clothing calculations'!B62</f>
        <v>Footwear wearing (soles)</v>
      </c>
      <c r="C529" t="str">
        <f>'Clothing calculations'!C62</f>
        <v>any</v>
      </c>
      <c r="D529" t="str">
        <f>'Clothing calculations'!D62</f>
        <v>PUR</v>
      </c>
      <c r="E529" s="217">
        <f>'Clothing calculations'!E62</f>
        <v>5.0827008063379885E-3</v>
      </c>
      <c r="F529">
        <f>'Clothing calculations'!F62</f>
        <v>3</v>
      </c>
      <c r="G529" t="str">
        <f>'Clothing calculations'!G62</f>
        <v>See shoesole wear calculation in clothing calculations tab of MainInputFile (high estimate)</v>
      </c>
      <c r="H529">
        <f>'Clothing calculations'!H62</f>
        <v>1</v>
      </c>
      <c r="I529">
        <f>'Clothing calculations'!I62</f>
        <v>2</v>
      </c>
      <c r="J529">
        <f>'Clothing calculations'!J62</f>
        <v>2</v>
      </c>
      <c r="K529">
        <f>'Clothing calculations'!K62</f>
        <v>2</v>
      </c>
      <c r="L529">
        <f>'Clothing calculations'!L62</f>
        <v>2</v>
      </c>
      <c r="M529">
        <f>'Clothing calculations'!M62</f>
        <v>3</v>
      </c>
    </row>
    <row r="530" spans="1:13">
      <c r="A530" t="s">
        <v>2031</v>
      </c>
      <c r="B530" t="str">
        <f>'Clothing calculations'!B63</f>
        <v>Footwear wearing (soles)</v>
      </c>
      <c r="C530" t="str">
        <f>'Clothing calculations'!C63</f>
        <v>any</v>
      </c>
      <c r="D530" t="str">
        <f>'Clothing calculations'!D63</f>
        <v>EVA</v>
      </c>
      <c r="E530" s="217">
        <f>'Clothing calculations'!E63</f>
        <v>2.6370870403593857E-3</v>
      </c>
      <c r="F530">
        <f>'Clothing calculations'!F63</f>
        <v>3</v>
      </c>
      <c r="G530" t="str">
        <f>'Clothing calculations'!G63</f>
        <v>See shoesole wear calculation in clothing calculations tab of MainInputFile (low estimate)</v>
      </c>
      <c r="H530">
        <f>'Clothing calculations'!H63</f>
        <v>1</v>
      </c>
      <c r="I530">
        <f>'Clothing calculations'!I63</f>
        <v>2</v>
      </c>
      <c r="J530">
        <f>'Clothing calculations'!J63</f>
        <v>2</v>
      </c>
      <c r="K530">
        <f>'Clothing calculations'!K63</f>
        <v>2</v>
      </c>
      <c r="L530">
        <f>'Clothing calculations'!L63</f>
        <v>2</v>
      </c>
      <c r="M530">
        <f>'Clothing calculations'!M63</f>
        <v>3</v>
      </c>
    </row>
    <row r="531" spans="1:13">
      <c r="A531" t="s">
        <v>2031</v>
      </c>
      <c r="B531" t="str">
        <f>'Clothing calculations'!B64</f>
        <v>Footwear wearing (soles)</v>
      </c>
      <c r="C531" t="str">
        <f>'Clothing calculations'!C64</f>
        <v>any</v>
      </c>
      <c r="D531" t="str">
        <f>'Clothing calculations'!D64</f>
        <v>EVA</v>
      </c>
      <c r="E531" s="217">
        <f>'Clothing calculations'!E64</f>
        <v>5.2741740807187715E-3</v>
      </c>
      <c r="F531">
        <f>'Clothing calculations'!F64</f>
        <v>3</v>
      </c>
      <c r="G531" t="str">
        <f>'Clothing calculations'!G64</f>
        <v>See shoesole wear calculation in clothing calculations tab of MainInputFile (high estimate)</v>
      </c>
      <c r="H531">
        <f>'Clothing calculations'!H64</f>
        <v>1</v>
      </c>
      <c r="I531">
        <f>'Clothing calculations'!I64</f>
        <v>2</v>
      </c>
      <c r="J531">
        <f>'Clothing calculations'!J64</f>
        <v>2</v>
      </c>
      <c r="K531">
        <f>'Clothing calculations'!K64</f>
        <v>2</v>
      </c>
      <c r="L531">
        <f>'Clothing calculations'!L64</f>
        <v>2</v>
      </c>
      <c r="M531">
        <f>'Clothing calculations'!M64</f>
        <v>3</v>
      </c>
    </row>
    <row r="532" spans="1:13">
      <c r="A532" t="s">
        <v>2031</v>
      </c>
      <c r="B532" t="str">
        <f>'Clothing calculations'!B65</f>
        <v>Footwear wearing (soles)</v>
      </c>
      <c r="C532" t="str">
        <f>'Clothing calculations'!C65</f>
        <v>any</v>
      </c>
      <c r="D532" t="str">
        <f>'Clothing calculations'!D65</f>
        <v>PVC</v>
      </c>
      <c r="E532" s="217">
        <f>'Clothing calculations'!E65</f>
        <v>3.2506855134566658E-3</v>
      </c>
      <c r="F532">
        <f>'Clothing calculations'!F65</f>
        <v>3</v>
      </c>
      <c r="G532" t="str">
        <f>'Clothing calculations'!G65</f>
        <v>See shoesole wear calculation in clothing calculations tab of MainInputFile (low estimate)</v>
      </c>
      <c r="H532">
        <f>'Clothing calculations'!H65</f>
        <v>1</v>
      </c>
      <c r="I532">
        <f>'Clothing calculations'!I65</f>
        <v>2</v>
      </c>
      <c r="J532">
        <f>'Clothing calculations'!J65</f>
        <v>2</v>
      </c>
      <c r="K532">
        <f>'Clothing calculations'!K65</f>
        <v>2</v>
      </c>
      <c r="L532">
        <f>'Clothing calculations'!L65</f>
        <v>2</v>
      </c>
      <c r="M532">
        <f>'Clothing calculations'!M65</f>
        <v>3</v>
      </c>
    </row>
    <row r="533" spans="1:13">
      <c r="A533" t="s">
        <v>2031</v>
      </c>
      <c r="B533" t="str">
        <f>'Clothing calculations'!B66</f>
        <v>Footwear wearing (soles)</v>
      </c>
      <c r="C533" t="str">
        <f>'Clothing calculations'!C66</f>
        <v>any</v>
      </c>
      <c r="D533" t="str">
        <f>'Clothing calculations'!D66</f>
        <v>PVC</v>
      </c>
      <c r="E533" s="217">
        <f>'Clothing calculations'!E66</f>
        <v>6.5013710269133315E-3</v>
      </c>
      <c r="F533">
        <f>'Clothing calculations'!F66</f>
        <v>3</v>
      </c>
      <c r="G533" t="str">
        <f>'Clothing calculations'!G66</f>
        <v>See shoesole wear calculation in clothing calculations tab of MainInputFile (high estimate)</v>
      </c>
      <c r="H533">
        <f>'Clothing calculations'!H66</f>
        <v>1</v>
      </c>
      <c r="I533">
        <f>'Clothing calculations'!I66</f>
        <v>2</v>
      </c>
      <c r="J533">
        <f>'Clothing calculations'!J66</f>
        <v>2</v>
      </c>
      <c r="K533">
        <f>'Clothing calculations'!K66</f>
        <v>2</v>
      </c>
      <c r="L533">
        <f>'Clothing calculations'!L66</f>
        <v>2</v>
      </c>
      <c r="M533">
        <f>'Clothing calculations'!M66</f>
        <v>3</v>
      </c>
    </row>
    <row r="534" spans="1:13">
      <c r="A534" t="s">
        <v>2031</v>
      </c>
      <c r="B534" t="str">
        <f>'Clothing calculations'!B67</f>
        <v>Footwear wearing (uppers)</v>
      </c>
      <c r="C534" t="str">
        <f>'Clothing calculations'!C67</f>
        <v>any</v>
      </c>
      <c r="D534" t="str">
        <f>'Clothing calculations'!D67</f>
        <v>PA</v>
      </c>
      <c r="E534" s="217">
        <f>'Clothing calculations'!E67</f>
        <v>3.0249999999999999E-3</v>
      </c>
      <c r="F534">
        <f>'Clothing calculations'!F67</f>
        <v>3</v>
      </c>
      <c r="G534" t="str">
        <f>'Clothing calculations'!G67</f>
        <v>Average loss during wear, Kawecki et al. 2019, SI table 17</v>
      </c>
      <c r="H534">
        <f>'Clothing calculations'!H67</f>
        <v>2</v>
      </c>
      <c r="I534">
        <f>'Clothing calculations'!I67</f>
        <v>2</v>
      </c>
      <c r="J534">
        <f>'Clothing calculations'!J67</f>
        <v>2</v>
      </c>
      <c r="K534">
        <f>'Clothing calculations'!K67</f>
        <v>2</v>
      </c>
      <c r="L534">
        <f>'Clothing calculations'!L67</f>
        <v>2</v>
      </c>
      <c r="M534">
        <f>'Clothing calculations'!M67</f>
        <v>2</v>
      </c>
    </row>
    <row r="535" spans="1:13">
      <c r="A535" t="s">
        <v>2031</v>
      </c>
      <c r="B535" t="str">
        <f>'Clothing calculations'!B68</f>
        <v>Footwear wearing (uppers)</v>
      </c>
      <c r="C535" t="str">
        <f>'Clothing calculations'!C68</f>
        <v>any</v>
      </c>
      <c r="D535" t="str">
        <f>'Clothing calculations'!D68</f>
        <v>PET</v>
      </c>
      <c r="E535" s="217">
        <f>'Clothing calculations'!E68</f>
        <v>3.0249999999999999E-3</v>
      </c>
      <c r="F535">
        <f>'Clothing calculations'!F68</f>
        <v>3</v>
      </c>
      <c r="G535" t="str">
        <f>'Clothing calculations'!G68</f>
        <v>Average loss during wear, Kawecki et al. 2019, SI table 17</v>
      </c>
      <c r="H535">
        <f>'Clothing calculations'!H68</f>
        <v>2</v>
      </c>
      <c r="I535">
        <f>'Clothing calculations'!I68</f>
        <v>2</v>
      </c>
      <c r="J535">
        <f>'Clothing calculations'!J68</f>
        <v>2</v>
      </c>
      <c r="K535">
        <f>'Clothing calculations'!K68</f>
        <v>2</v>
      </c>
      <c r="L535">
        <f>'Clothing calculations'!L68</f>
        <v>2</v>
      </c>
      <c r="M535">
        <f>'Clothing calculations'!M68</f>
        <v>2</v>
      </c>
    </row>
    <row r="536" spans="1:13">
      <c r="A536" t="s">
        <v>2032</v>
      </c>
      <c r="B536" t="str">
        <f>'Clothing calculations'!B56</f>
        <v>Footwear waste collection</v>
      </c>
      <c r="C536" t="str">
        <f>'Clothing calculations'!C56</f>
        <v>any</v>
      </c>
      <c r="D536" t="str">
        <f>'Clothing calculations'!D56</f>
        <v>any</v>
      </c>
      <c r="E536">
        <f>'Clothing calculations'!E56</f>
        <v>0.25</v>
      </c>
      <c r="F536">
        <f>'Clothing calculations'!F56</f>
        <v>2</v>
      </c>
      <c r="G536" t="str">
        <f>'Clothing calculations'!G56</f>
        <v>(de Waart et al., 2023)</v>
      </c>
      <c r="H536">
        <f>'Clothing calculations'!H56</f>
        <v>2</v>
      </c>
      <c r="I536">
        <f>'Clothing calculations'!I56</f>
        <v>2</v>
      </c>
      <c r="J536">
        <f>'Clothing calculations'!J56</f>
        <v>2</v>
      </c>
      <c r="K536">
        <f>'Clothing calculations'!K56</f>
        <v>3</v>
      </c>
      <c r="L536">
        <f>'Clothing calculations'!L56</f>
        <v>2</v>
      </c>
      <c r="M536">
        <f>'Clothing calculations'!M56</f>
        <v>2</v>
      </c>
    </row>
    <row r="537" spans="1:13">
      <c r="A537" t="s">
        <v>2032</v>
      </c>
      <c r="B537" t="str">
        <f>'Clothing calculations'!B57</f>
        <v>Mixed waste collection</v>
      </c>
      <c r="C537" t="str">
        <f>'Clothing calculations'!C57</f>
        <v>any</v>
      </c>
      <c r="D537" t="str">
        <f>'Clothing calculations'!D57</f>
        <v>any</v>
      </c>
      <c r="E537" t="str">
        <f>'Clothing calculations'!E57</f>
        <v>rest</v>
      </c>
      <c r="F537">
        <f>'Clothing calculations'!F57</f>
        <v>1</v>
      </c>
    </row>
    <row r="538" spans="1:13">
      <c r="A538" t="s">
        <v>2032</v>
      </c>
      <c r="B538" t="str">
        <f>'Clothing calculations'!B58</f>
        <v>Dumping</v>
      </c>
      <c r="C538" t="str">
        <f>'Clothing calculations'!C58</f>
        <v>any</v>
      </c>
      <c r="D538" t="str">
        <f>'Clothing calculations'!D58</f>
        <v>any</v>
      </c>
      <c r="E538">
        <f>'Clothing calculations'!E58</f>
        <v>2.6918324999999996E-4</v>
      </c>
      <c r="F538">
        <f>'Clothing calculations'!F58</f>
        <v>2</v>
      </c>
      <c r="G538" t="str">
        <f>'Clothing calculations'!G58</f>
        <v>Kawecki &amp; Nowack (2019)</v>
      </c>
      <c r="H538">
        <f>'Clothing calculations'!H58</f>
        <v>2</v>
      </c>
      <c r="I538">
        <f>'Clothing calculations'!I58</f>
        <v>2</v>
      </c>
      <c r="J538">
        <f>'Clothing calculations'!J58</f>
        <v>2</v>
      </c>
      <c r="K538">
        <f>'Clothing calculations'!K58</f>
        <v>3</v>
      </c>
      <c r="L538">
        <f>'Clothing calculations'!L58</f>
        <v>3</v>
      </c>
      <c r="M538">
        <f>'Clothing calculations'!M58</f>
        <v>3</v>
      </c>
    </row>
    <row r="539" spans="1:13">
      <c r="A539" t="s">
        <v>2032</v>
      </c>
      <c r="B539" t="str">
        <f>'Clothing calculations'!B59</f>
        <v>Footwear wearing (soles)</v>
      </c>
      <c r="C539" t="str">
        <f>'Clothing calculations'!C59</f>
        <v>any</v>
      </c>
      <c r="D539" t="str">
        <f>'Clothing calculations'!D59</f>
        <v>RUBBER</v>
      </c>
      <c r="E539">
        <f>'Clothing calculations'!E59</f>
        <v>5.7712387375211246E-3</v>
      </c>
      <c r="F539">
        <f>'Clothing calculations'!F59</f>
        <v>3</v>
      </c>
      <c r="G539" t="str">
        <f>'Clothing calculations'!G59</f>
        <v>See shoesole wear calculation in clothing calculations tab of MainInputFile (low estimate)</v>
      </c>
      <c r="H539">
        <f>'Clothing calculations'!H59</f>
        <v>1</v>
      </c>
      <c r="I539">
        <f>'Clothing calculations'!I59</f>
        <v>2</v>
      </c>
      <c r="J539">
        <f>'Clothing calculations'!J59</f>
        <v>2</v>
      </c>
      <c r="K539">
        <f>'Clothing calculations'!K59</f>
        <v>2</v>
      </c>
      <c r="L539">
        <f>'Clothing calculations'!L59</f>
        <v>2</v>
      </c>
      <c r="M539">
        <f>'Clothing calculations'!M59</f>
        <v>3</v>
      </c>
    </row>
    <row r="540" spans="1:13">
      <c r="A540" t="s">
        <v>2032</v>
      </c>
      <c r="B540" t="str">
        <f>'Clothing calculations'!B60</f>
        <v>Footwear wearing (soles)</v>
      </c>
      <c r="C540" t="str">
        <f>'Clothing calculations'!C60</f>
        <v>any</v>
      </c>
      <c r="D540" t="str">
        <f>'Clothing calculations'!D60</f>
        <v>RUBBER</v>
      </c>
      <c r="E540">
        <f>'Clothing calculations'!E60</f>
        <v>1.1542477475042249E-2</v>
      </c>
      <c r="F540">
        <f>'Clothing calculations'!F60</f>
        <v>3</v>
      </c>
      <c r="G540" t="str">
        <f>'Clothing calculations'!G60</f>
        <v>See shoesole wear calculation in clothing calculations tab of MainInputFile (high estimate)</v>
      </c>
      <c r="H540">
        <f>'Clothing calculations'!H60</f>
        <v>1</v>
      </c>
      <c r="I540">
        <f>'Clothing calculations'!I60</f>
        <v>2</v>
      </c>
      <c r="J540">
        <f>'Clothing calculations'!J60</f>
        <v>2</v>
      </c>
      <c r="K540">
        <f>'Clothing calculations'!K60</f>
        <v>2</v>
      </c>
      <c r="L540">
        <f>'Clothing calculations'!L60</f>
        <v>2</v>
      </c>
      <c r="M540">
        <f>'Clothing calculations'!M60</f>
        <v>3</v>
      </c>
    </row>
    <row r="541" spans="1:13">
      <c r="A541" t="s">
        <v>2032</v>
      </c>
      <c r="B541" t="str">
        <f>'Clothing calculations'!B61</f>
        <v>Footwear wearing (soles)</v>
      </c>
      <c r="C541" t="str">
        <f>'Clothing calculations'!C61</f>
        <v>any</v>
      </c>
      <c r="D541" t="str">
        <f>'Clothing calculations'!D61</f>
        <v>PUR</v>
      </c>
      <c r="E541">
        <f>'Clothing calculations'!E61</f>
        <v>2.5413504031689942E-3</v>
      </c>
      <c r="F541">
        <f>'Clothing calculations'!F61</f>
        <v>3</v>
      </c>
      <c r="G541" t="str">
        <f>'Clothing calculations'!G61</f>
        <v>See shoesole wear calculation in clothing calculations tab of MainInputFile (low estimate)</v>
      </c>
      <c r="H541">
        <f>'Clothing calculations'!H61</f>
        <v>1</v>
      </c>
      <c r="I541">
        <f>'Clothing calculations'!I61</f>
        <v>2</v>
      </c>
      <c r="J541">
        <f>'Clothing calculations'!J61</f>
        <v>2</v>
      </c>
      <c r="K541">
        <f>'Clothing calculations'!K61</f>
        <v>2</v>
      </c>
      <c r="L541">
        <f>'Clothing calculations'!L61</f>
        <v>2</v>
      </c>
      <c r="M541">
        <f>'Clothing calculations'!M61</f>
        <v>3</v>
      </c>
    </row>
    <row r="542" spans="1:13">
      <c r="A542" t="s">
        <v>2032</v>
      </c>
      <c r="B542" t="str">
        <f>'Clothing calculations'!B62</f>
        <v>Footwear wearing (soles)</v>
      </c>
      <c r="C542" t="str">
        <f>'Clothing calculations'!C62</f>
        <v>any</v>
      </c>
      <c r="D542" t="str">
        <f>'Clothing calculations'!D62</f>
        <v>PUR</v>
      </c>
      <c r="E542">
        <f>'Clothing calculations'!E62</f>
        <v>5.0827008063379885E-3</v>
      </c>
      <c r="F542">
        <f>'Clothing calculations'!F62</f>
        <v>3</v>
      </c>
      <c r="G542" t="str">
        <f>'Clothing calculations'!G62</f>
        <v>See shoesole wear calculation in clothing calculations tab of MainInputFile (high estimate)</v>
      </c>
      <c r="H542">
        <f>'Clothing calculations'!H62</f>
        <v>1</v>
      </c>
      <c r="I542">
        <f>'Clothing calculations'!I62</f>
        <v>2</v>
      </c>
      <c r="J542">
        <f>'Clothing calculations'!J62</f>
        <v>2</v>
      </c>
      <c r="K542">
        <f>'Clothing calculations'!K62</f>
        <v>2</v>
      </c>
      <c r="L542">
        <f>'Clothing calculations'!L62</f>
        <v>2</v>
      </c>
      <c r="M542">
        <f>'Clothing calculations'!M62</f>
        <v>3</v>
      </c>
    </row>
    <row r="543" spans="1:13">
      <c r="A543" t="s">
        <v>2032</v>
      </c>
      <c r="B543" t="str">
        <f>'Clothing calculations'!B63</f>
        <v>Footwear wearing (soles)</v>
      </c>
      <c r="C543" t="str">
        <f>'Clothing calculations'!C63</f>
        <v>any</v>
      </c>
      <c r="D543" t="str">
        <f>'Clothing calculations'!D63</f>
        <v>EVA</v>
      </c>
      <c r="E543">
        <f>'Clothing calculations'!E63</f>
        <v>2.6370870403593857E-3</v>
      </c>
      <c r="F543">
        <f>'Clothing calculations'!F63</f>
        <v>3</v>
      </c>
      <c r="G543" t="str">
        <f>'Clothing calculations'!G63</f>
        <v>See shoesole wear calculation in clothing calculations tab of MainInputFile (low estimate)</v>
      </c>
      <c r="H543">
        <f>'Clothing calculations'!H63</f>
        <v>1</v>
      </c>
      <c r="I543">
        <f>'Clothing calculations'!I63</f>
        <v>2</v>
      </c>
      <c r="J543">
        <f>'Clothing calculations'!J63</f>
        <v>2</v>
      </c>
      <c r="K543">
        <f>'Clothing calculations'!K63</f>
        <v>2</v>
      </c>
      <c r="L543">
        <f>'Clothing calculations'!L63</f>
        <v>2</v>
      </c>
      <c r="M543">
        <f>'Clothing calculations'!M63</f>
        <v>3</v>
      </c>
    </row>
    <row r="544" spans="1:13">
      <c r="A544" t="s">
        <v>2032</v>
      </c>
      <c r="B544" t="str">
        <f>'Clothing calculations'!B64</f>
        <v>Footwear wearing (soles)</v>
      </c>
      <c r="C544" t="str">
        <f>'Clothing calculations'!C64</f>
        <v>any</v>
      </c>
      <c r="D544" t="str">
        <f>'Clothing calculations'!D64</f>
        <v>EVA</v>
      </c>
      <c r="E544">
        <f>'Clothing calculations'!E64</f>
        <v>5.2741740807187715E-3</v>
      </c>
      <c r="F544">
        <f>'Clothing calculations'!F64</f>
        <v>3</v>
      </c>
      <c r="G544" t="str">
        <f>'Clothing calculations'!G64</f>
        <v>See shoesole wear calculation in clothing calculations tab of MainInputFile (high estimate)</v>
      </c>
      <c r="H544">
        <f>'Clothing calculations'!H64</f>
        <v>1</v>
      </c>
      <c r="I544">
        <f>'Clothing calculations'!I64</f>
        <v>2</v>
      </c>
      <c r="J544">
        <f>'Clothing calculations'!J64</f>
        <v>2</v>
      </c>
      <c r="K544">
        <f>'Clothing calculations'!K64</f>
        <v>2</v>
      </c>
      <c r="L544">
        <f>'Clothing calculations'!L64</f>
        <v>2</v>
      </c>
      <c r="M544">
        <f>'Clothing calculations'!M64</f>
        <v>3</v>
      </c>
    </row>
    <row r="545" spans="1:13">
      <c r="A545" t="s">
        <v>2032</v>
      </c>
      <c r="B545" t="str">
        <f>'Clothing calculations'!B65</f>
        <v>Footwear wearing (soles)</v>
      </c>
      <c r="C545" t="str">
        <f>'Clothing calculations'!C65</f>
        <v>any</v>
      </c>
      <c r="D545" t="str">
        <f>'Clothing calculations'!D65</f>
        <v>PVC</v>
      </c>
      <c r="E545">
        <f>'Clothing calculations'!E65</f>
        <v>3.2506855134566658E-3</v>
      </c>
      <c r="F545">
        <f>'Clothing calculations'!F65</f>
        <v>3</v>
      </c>
      <c r="G545" t="str">
        <f>'Clothing calculations'!G65</f>
        <v>See shoesole wear calculation in clothing calculations tab of MainInputFile (low estimate)</v>
      </c>
      <c r="H545">
        <f>'Clothing calculations'!H65</f>
        <v>1</v>
      </c>
      <c r="I545">
        <f>'Clothing calculations'!I65</f>
        <v>2</v>
      </c>
      <c r="J545">
        <f>'Clothing calculations'!J65</f>
        <v>2</v>
      </c>
      <c r="K545">
        <f>'Clothing calculations'!K65</f>
        <v>2</v>
      </c>
      <c r="L545">
        <f>'Clothing calculations'!L65</f>
        <v>2</v>
      </c>
      <c r="M545">
        <f>'Clothing calculations'!M65</f>
        <v>3</v>
      </c>
    </row>
    <row r="546" spans="1:13">
      <c r="A546" t="s">
        <v>2032</v>
      </c>
      <c r="B546" t="str">
        <f>'Clothing calculations'!B66</f>
        <v>Footwear wearing (soles)</v>
      </c>
      <c r="C546" t="str">
        <f>'Clothing calculations'!C66</f>
        <v>any</v>
      </c>
      <c r="D546" t="str">
        <f>'Clothing calculations'!D66</f>
        <v>PVC</v>
      </c>
      <c r="E546">
        <f>'Clothing calculations'!E66</f>
        <v>6.5013710269133315E-3</v>
      </c>
      <c r="F546">
        <f>'Clothing calculations'!F66</f>
        <v>3</v>
      </c>
      <c r="G546" t="str">
        <f>'Clothing calculations'!G66</f>
        <v>See shoesole wear calculation in clothing calculations tab of MainInputFile (high estimate)</v>
      </c>
      <c r="H546">
        <f>'Clothing calculations'!H66</f>
        <v>1</v>
      </c>
      <c r="I546">
        <f>'Clothing calculations'!I66</f>
        <v>2</v>
      </c>
      <c r="J546">
        <f>'Clothing calculations'!J66</f>
        <v>2</v>
      </c>
      <c r="K546">
        <f>'Clothing calculations'!K66</f>
        <v>2</v>
      </c>
      <c r="L546">
        <f>'Clothing calculations'!L66</f>
        <v>2</v>
      </c>
      <c r="M546">
        <f>'Clothing calculations'!M66</f>
        <v>3</v>
      </c>
    </row>
    <row r="547" spans="1:13">
      <c r="A547" t="s">
        <v>2032</v>
      </c>
      <c r="B547" t="str">
        <f>'Clothing calculations'!B67</f>
        <v>Footwear wearing (uppers)</v>
      </c>
      <c r="C547" t="str">
        <f>'Clothing calculations'!C67</f>
        <v>any</v>
      </c>
      <c r="D547" t="str">
        <f>'Clothing calculations'!D67</f>
        <v>PA</v>
      </c>
      <c r="E547">
        <f>'Clothing calculations'!E67</f>
        <v>3.0249999999999999E-3</v>
      </c>
      <c r="F547">
        <f>'Clothing calculations'!F67</f>
        <v>3</v>
      </c>
      <c r="G547" t="str">
        <f>'Clothing calculations'!G67</f>
        <v>Average loss during wear, Kawecki et al. 2019, SI table 17</v>
      </c>
      <c r="H547">
        <f>'Clothing calculations'!H67</f>
        <v>2</v>
      </c>
      <c r="I547">
        <f>'Clothing calculations'!I67</f>
        <v>2</v>
      </c>
      <c r="J547">
        <f>'Clothing calculations'!J67</f>
        <v>2</v>
      </c>
      <c r="K547">
        <f>'Clothing calculations'!K67</f>
        <v>2</v>
      </c>
      <c r="L547">
        <f>'Clothing calculations'!L67</f>
        <v>2</v>
      </c>
      <c r="M547">
        <f>'Clothing calculations'!M67</f>
        <v>2</v>
      </c>
    </row>
    <row r="548" spans="1:13">
      <c r="A548" t="s">
        <v>2032</v>
      </c>
      <c r="B548" t="str">
        <f>'Clothing calculations'!B68</f>
        <v>Footwear wearing (uppers)</v>
      </c>
      <c r="C548" t="str">
        <f>'Clothing calculations'!C68</f>
        <v>any</v>
      </c>
      <c r="D548" t="str">
        <f>'Clothing calculations'!D68</f>
        <v>PET</v>
      </c>
      <c r="E548">
        <f>'Clothing calculations'!E118*'Clothing calculations'!E115</f>
        <v>3.4544305000000009E-4</v>
      </c>
      <c r="F548">
        <f>'Clothing calculations'!F68</f>
        <v>3</v>
      </c>
      <c r="G548" t="str">
        <f>'Clothing calculations'!G68</f>
        <v>Average loss during wear, Kawecki et al. 2019, SI table 17</v>
      </c>
      <c r="H548">
        <f>'Clothing calculations'!H68</f>
        <v>2</v>
      </c>
      <c r="I548">
        <f>'Clothing calculations'!I68</f>
        <v>2</v>
      </c>
      <c r="J548">
        <f>'Clothing calculations'!J68</f>
        <v>2</v>
      </c>
      <c r="K548">
        <f>'Clothing calculations'!K68</f>
        <v>2</v>
      </c>
      <c r="L548">
        <f>'Clothing calculations'!L68</f>
        <v>2</v>
      </c>
      <c r="M548">
        <f>'Clothing calculations'!M68</f>
        <v>2</v>
      </c>
    </row>
    <row r="549" spans="1:13">
      <c r="A549" t="s">
        <v>2032</v>
      </c>
      <c r="B549" t="str">
        <f>'Clothing calculations'!B118</f>
        <v>Clothing washing</v>
      </c>
      <c r="C549" t="str">
        <f>'Clothing calculations'!C118</f>
        <v>any</v>
      </c>
      <c r="D549" t="str">
        <f>'Clothing calculations'!D118</f>
        <v>any</v>
      </c>
      <c r="E549">
        <f>'Clothing calculations'!E77/'Clothing calculations'!B9</f>
        <v>3.4544305000000009E-4</v>
      </c>
      <c r="F549">
        <f>'Clothing calculations'!F118</f>
        <v>2</v>
      </c>
      <c r="G549" t="str">
        <f>'Clothing calculations'!G118</f>
        <v>Computed from available data from Kawecki et al. (2019) and CBS (2022)</v>
      </c>
      <c r="H549">
        <f>'Clothing calculations'!H118</f>
        <v>2</v>
      </c>
      <c r="I549">
        <f>'Clothing calculations'!I118</f>
        <v>2</v>
      </c>
      <c r="J549">
        <f>'Clothing calculations'!J118</f>
        <v>2</v>
      </c>
      <c r="K549">
        <f>'Clothing calculations'!K118</f>
        <v>2</v>
      </c>
      <c r="L549">
        <f>'Clothing calculations'!L118</f>
        <v>2</v>
      </c>
      <c r="M549">
        <f>'Clothing calculations'!M118</f>
        <v>2</v>
      </c>
    </row>
    <row r="550" spans="1:13">
      <c r="A550" t="s">
        <v>2033</v>
      </c>
      <c r="B550" t="str">
        <f>'Clothing calculations'!B56</f>
        <v>Footwear waste collection</v>
      </c>
      <c r="C550" t="str">
        <f>'Clothing calculations'!C56</f>
        <v>any</v>
      </c>
      <c r="D550" t="str">
        <f>'Clothing calculations'!D56</f>
        <v>any</v>
      </c>
      <c r="E550">
        <f>'Clothing calculations'!E56</f>
        <v>0.25</v>
      </c>
      <c r="F550">
        <f>'Clothing calculations'!F56</f>
        <v>2</v>
      </c>
      <c r="G550" t="str">
        <f>'Clothing calculations'!G56</f>
        <v>(de Waart et al., 2023)</v>
      </c>
      <c r="H550">
        <f>'Clothing calculations'!H56</f>
        <v>2</v>
      </c>
      <c r="I550">
        <f>'Clothing calculations'!I56</f>
        <v>2</v>
      </c>
      <c r="J550">
        <f>'Clothing calculations'!J56</f>
        <v>2</v>
      </c>
      <c r="K550">
        <f>'Clothing calculations'!K56</f>
        <v>3</v>
      </c>
      <c r="L550">
        <f>'Clothing calculations'!L56</f>
        <v>2</v>
      </c>
      <c r="M550">
        <f>'Clothing calculations'!M56</f>
        <v>2</v>
      </c>
    </row>
    <row r="551" spans="1:13">
      <c r="A551" t="s">
        <v>2033</v>
      </c>
      <c r="B551" t="str">
        <f>'Clothing calculations'!B57</f>
        <v>Mixed waste collection</v>
      </c>
      <c r="C551" t="str">
        <f>'Clothing calculations'!C57</f>
        <v>any</v>
      </c>
      <c r="D551" t="str">
        <f>'Clothing calculations'!D57</f>
        <v>any</v>
      </c>
      <c r="E551" t="str">
        <f>'Clothing calculations'!E57</f>
        <v>rest</v>
      </c>
      <c r="F551">
        <f>'Clothing calculations'!F57</f>
        <v>1</v>
      </c>
    </row>
    <row r="552" spans="1:13">
      <c r="A552" t="s">
        <v>2033</v>
      </c>
      <c r="B552" t="str">
        <f>'Clothing calculations'!B58</f>
        <v>Dumping</v>
      </c>
      <c r="C552" t="str">
        <f>'Clothing calculations'!C58</f>
        <v>any</v>
      </c>
      <c r="D552" t="str">
        <f>'Clothing calculations'!D58</f>
        <v>any</v>
      </c>
      <c r="E552">
        <f>'Clothing calculations'!E58</f>
        <v>2.6918324999999996E-4</v>
      </c>
      <c r="F552">
        <f>'Clothing calculations'!F58</f>
        <v>2</v>
      </c>
      <c r="G552" t="str">
        <f>'Clothing calculations'!G58</f>
        <v>Kawecki &amp; Nowack (2019)</v>
      </c>
      <c r="H552">
        <f>'Clothing calculations'!H58</f>
        <v>2</v>
      </c>
      <c r="I552">
        <f>'Clothing calculations'!I58</f>
        <v>2</v>
      </c>
      <c r="J552">
        <f>'Clothing calculations'!J58</f>
        <v>2</v>
      </c>
      <c r="K552">
        <f>'Clothing calculations'!K58</f>
        <v>3</v>
      </c>
      <c r="L552">
        <f>'Clothing calculations'!L58</f>
        <v>3</v>
      </c>
      <c r="M552">
        <f>'Clothing calculations'!M58</f>
        <v>3</v>
      </c>
    </row>
    <row r="553" spans="1:13">
      <c r="A553" t="s">
        <v>2033</v>
      </c>
      <c r="B553" t="str">
        <f>'Clothing calculations'!B59</f>
        <v>Footwear wearing (soles)</v>
      </c>
      <c r="C553" t="str">
        <f>'Clothing calculations'!C59</f>
        <v>any</v>
      </c>
      <c r="D553" t="str">
        <f>'Clothing calculations'!D59</f>
        <v>RUBBER</v>
      </c>
      <c r="E553">
        <f>'Clothing calculations'!E59</f>
        <v>5.7712387375211246E-3</v>
      </c>
      <c r="F553">
        <f>'Clothing calculations'!F59</f>
        <v>3</v>
      </c>
      <c r="G553" t="str">
        <f>'Clothing calculations'!G59</f>
        <v>See shoesole wear calculation in clothing calculations tab of MainInputFile (low estimate)</v>
      </c>
      <c r="H553">
        <f>'Clothing calculations'!H59</f>
        <v>1</v>
      </c>
      <c r="I553">
        <f>'Clothing calculations'!I59</f>
        <v>2</v>
      </c>
      <c r="J553">
        <f>'Clothing calculations'!J59</f>
        <v>2</v>
      </c>
      <c r="K553">
        <f>'Clothing calculations'!K59</f>
        <v>2</v>
      </c>
      <c r="L553">
        <f>'Clothing calculations'!L59</f>
        <v>2</v>
      </c>
      <c r="M553">
        <f>'Clothing calculations'!M59</f>
        <v>3</v>
      </c>
    </row>
    <row r="554" spans="1:13">
      <c r="A554" t="s">
        <v>2033</v>
      </c>
      <c r="B554" t="str">
        <f>'Clothing calculations'!B60</f>
        <v>Footwear wearing (soles)</v>
      </c>
      <c r="C554" t="str">
        <f>'Clothing calculations'!C60</f>
        <v>any</v>
      </c>
      <c r="D554" t="str">
        <f>'Clothing calculations'!D60</f>
        <v>RUBBER</v>
      </c>
      <c r="E554">
        <f>'Clothing calculations'!E60</f>
        <v>1.1542477475042249E-2</v>
      </c>
      <c r="F554">
        <f>'Clothing calculations'!F60</f>
        <v>3</v>
      </c>
      <c r="G554" t="str">
        <f>'Clothing calculations'!G60</f>
        <v>See shoesole wear calculation in clothing calculations tab of MainInputFile (high estimate)</v>
      </c>
      <c r="H554">
        <f>'Clothing calculations'!H60</f>
        <v>1</v>
      </c>
      <c r="I554">
        <f>'Clothing calculations'!I60</f>
        <v>2</v>
      </c>
      <c r="J554">
        <f>'Clothing calculations'!J60</f>
        <v>2</v>
      </c>
      <c r="K554">
        <f>'Clothing calculations'!K60</f>
        <v>2</v>
      </c>
      <c r="L554">
        <f>'Clothing calculations'!L60</f>
        <v>2</v>
      </c>
      <c r="M554">
        <f>'Clothing calculations'!M60</f>
        <v>3</v>
      </c>
    </row>
    <row r="555" spans="1:13">
      <c r="A555" t="s">
        <v>2033</v>
      </c>
      <c r="B555" t="str">
        <f>'Clothing calculations'!B61</f>
        <v>Footwear wearing (soles)</v>
      </c>
      <c r="C555" t="str">
        <f>'Clothing calculations'!C61</f>
        <v>any</v>
      </c>
      <c r="D555" t="str">
        <f>'Clothing calculations'!D61</f>
        <v>PUR</v>
      </c>
      <c r="E555">
        <f>'Clothing calculations'!E61</f>
        <v>2.5413504031689942E-3</v>
      </c>
      <c r="F555">
        <f>'Clothing calculations'!F61</f>
        <v>3</v>
      </c>
      <c r="G555" t="str">
        <f>'Clothing calculations'!G61</f>
        <v>See shoesole wear calculation in clothing calculations tab of MainInputFile (low estimate)</v>
      </c>
      <c r="H555">
        <f>'Clothing calculations'!H61</f>
        <v>1</v>
      </c>
      <c r="I555">
        <f>'Clothing calculations'!I61</f>
        <v>2</v>
      </c>
      <c r="J555">
        <f>'Clothing calculations'!J61</f>
        <v>2</v>
      </c>
      <c r="K555">
        <f>'Clothing calculations'!K61</f>
        <v>2</v>
      </c>
      <c r="L555">
        <f>'Clothing calculations'!L61</f>
        <v>2</v>
      </c>
      <c r="M555">
        <f>'Clothing calculations'!M61</f>
        <v>3</v>
      </c>
    </row>
    <row r="556" spans="1:13">
      <c r="A556" t="s">
        <v>2033</v>
      </c>
      <c r="B556" t="str">
        <f>'Clothing calculations'!B62</f>
        <v>Footwear wearing (soles)</v>
      </c>
      <c r="C556" t="str">
        <f>'Clothing calculations'!C62</f>
        <v>any</v>
      </c>
      <c r="D556" t="str">
        <f>'Clothing calculations'!D62</f>
        <v>PUR</v>
      </c>
      <c r="E556">
        <f>'Clothing calculations'!E62</f>
        <v>5.0827008063379885E-3</v>
      </c>
      <c r="F556">
        <f>'Clothing calculations'!F62</f>
        <v>3</v>
      </c>
      <c r="G556" t="str">
        <f>'Clothing calculations'!G62</f>
        <v>See shoesole wear calculation in clothing calculations tab of MainInputFile (high estimate)</v>
      </c>
      <c r="H556">
        <f>'Clothing calculations'!H62</f>
        <v>1</v>
      </c>
      <c r="I556">
        <f>'Clothing calculations'!I62</f>
        <v>2</v>
      </c>
      <c r="J556">
        <f>'Clothing calculations'!J62</f>
        <v>2</v>
      </c>
      <c r="K556">
        <f>'Clothing calculations'!K62</f>
        <v>2</v>
      </c>
      <c r="L556">
        <f>'Clothing calculations'!L62</f>
        <v>2</v>
      </c>
      <c r="M556">
        <f>'Clothing calculations'!M62</f>
        <v>3</v>
      </c>
    </row>
    <row r="557" spans="1:13">
      <c r="A557" t="s">
        <v>2033</v>
      </c>
      <c r="B557" t="str">
        <f>'Clothing calculations'!B63</f>
        <v>Footwear wearing (soles)</v>
      </c>
      <c r="C557" t="str">
        <f>'Clothing calculations'!C63</f>
        <v>any</v>
      </c>
      <c r="D557" t="str">
        <f>'Clothing calculations'!D63</f>
        <v>EVA</v>
      </c>
      <c r="E557">
        <f>'Clothing calculations'!E63</f>
        <v>2.6370870403593857E-3</v>
      </c>
      <c r="F557">
        <f>'Clothing calculations'!F63</f>
        <v>3</v>
      </c>
      <c r="G557" t="str">
        <f>'Clothing calculations'!G63</f>
        <v>See shoesole wear calculation in clothing calculations tab of MainInputFile (low estimate)</v>
      </c>
      <c r="H557">
        <f>'Clothing calculations'!H63</f>
        <v>1</v>
      </c>
      <c r="I557">
        <f>'Clothing calculations'!I63</f>
        <v>2</v>
      </c>
      <c r="J557">
        <f>'Clothing calculations'!J63</f>
        <v>2</v>
      </c>
      <c r="K557">
        <f>'Clothing calculations'!K63</f>
        <v>2</v>
      </c>
      <c r="L557">
        <f>'Clothing calculations'!L63</f>
        <v>2</v>
      </c>
      <c r="M557">
        <f>'Clothing calculations'!M63</f>
        <v>3</v>
      </c>
    </row>
    <row r="558" spans="1:13">
      <c r="A558" t="s">
        <v>2033</v>
      </c>
      <c r="B558" t="str">
        <f>'Clothing calculations'!B64</f>
        <v>Footwear wearing (soles)</v>
      </c>
      <c r="C558" t="str">
        <f>'Clothing calculations'!C64</f>
        <v>any</v>
      </c>
      <c r="D558" t="str">
        <f>'Clothing calculations'!D64</f>
        <v>EVA</v>
      </c>
      <c r="E558">
        <f>'Clothing calculations'!E64</f>
        <v>5.2741740807187715E-3</v>
      </c>
      <c r="F558">
        <f>'Clothing calculations'!F64</f>
        <v>3</v>
      </c>
      <c r="G558" t="str">
        <f>'Clothing calculations'!G64</f>
        <v>See shoesole wear calculation in clothing calculations tab of MainInputFile (high estimate)</v>
      </c>
      <c r="H558">
        <f>'Clothing calculations'!H64</f>
        <v>1</v>
      </c>
      <c r="I558">
        <f>'Clothing calculations'!I64</f>
        <v>2</v>
      </c>
      <c r="J558">
        <f>'Clothing calculations'!J64</f>
        <v>2</v>
      </c>
      <c r="K558">
        <f>'Clothing calculations'!K64</f>
        <v>2</v>
      </c>
      <c r="L558">
        <f>'Clothing calculations'!L64</f>
        <v>2</v>
      </c>
      <c r="M558">
        <f>'Clothing calculations'!M64</f>
        <v>3</v>
      </c>
    </row>
    <row r="559" spans="1:13">
      <c r="A559" t="s">
        <v>2033</v>
      </c>
      <c r="B559" t="str">
        <f>'Clothing calculations'!B65</f>
        <v>Footwear wearing (soles)</v>
      </c>
      <c r="C559" t="str">
        <f>'Clothing calculations'!C65</f>
        <v>any</v>
      </c>
      <c r="D559" t="str">
        <f>'Clothing calculations'!D65</f>
        <v>PVC</v>
      </c>
      <c r="E559">
        <f>'Clothing calculations'!E65</f>
        <v>3.2506855134566658E-3</v>
      </c>
      <c r="F559">
        <f>'Clothing calculations'!F65</f>
        <v>3</v>
      </c>
      <c r="G559" t="str">
        <f>'Clothing calculations'!G65</f>
        <v>See shoesole wear calculation in clothing calculations tab of MainInputFile (low estimate)</v>
      </c>
      <c r="H559">
        <f>'Clothing calculations'!H65</f>
        <v>1</v>
      </c>
      <c r="I559">
        <f>'Clothing calculations'!I65</f>
        <v>2</v>
      </c>
      <c r="J559">
        <f>'Clothing calculations'!J65</f>
        <v>2</v>
      </c>
      <c r="K559">
        <f>'Clothing calculations'!K65</f>
        <v>2</v>
      </c>
      <c r="L559">
        <f>'Clothing calculations'!L65</f>
        <v>2</v>
      </c>
      <c r="M559">
        <f>'Clothing calculations'!M65</f>
        <v>3</v>
      </c>
    </row>
    <row r="560" spans="1:13">
      <c r="A560" t="s">
        <v>2033</v>
      </c>
      <c r="B560" t="str">
        <f>'Clothing calculations'!B66</f>
        <v>Footwear wearing (soles)</v>
      </c>
      <c r="C560" t="str">
        <f>'Clothing calculations'!C66</f>
        <v>any</v>
      </c>
      <c r="D560" t="str">
        <f>'Clothing calculations'!D66</f>
        <v>PVC</v>
      </c>
      <c r="E560">
        <f>'Clothing calculations'!E66</f>
        <v>6.5013710269133315E-3</v>
      </c>
      <c r="F560">
        <f>'Clothing calculations'!F66</f>
        <v>3</v>
      </c>
      <c r="G560" t="str">
        <f>'Clothing calculations'!G66</f>
        <v>See shoesole wear calculation in clothing calculations tab of MainInputFile (high estimate)</v>
      </c>
      <c r="H560">
        <f>'Clothing calculations'!H66</f>
        <v>1</v>
      </c>
      <c r="I560">
        <f>'Clothing calculations'!I66</f>
        <v>2</v>
      </c>
      <c r="J560">
        <f>'Clothing calculations'!J66</f>
        <v>2</v>
      </c>
      <c r="K560">
        <f>'Clothing calculations'!K66</f>
        <v>2</v>
      </c>
      <c r="L560">
        <f>'Clothing calculations'!L66</f>
        <v>2</v>
      </c>
      <c r="M560">
        <f>'Clothing calculations'!M66</f>
        <v>3</v>
      </c>
    </row>
    <row r="561" spans="1:13">
      <c r="A561" t="s">
        <v>2033</v>
      </c>
      <c r="B561" t="str">
        <f>'Clothing calculations'!B67</f>
        <v>Footwear wearing (uppers)</v>
      </c>
      <c r="C561" t="str">
        <f>'Clothing calculations'!C67</f>
        <v>any</v>
      </c>
      <c r="D561" t="str">
        <f>'Clothing calculations'!D67</f>
        <v>PA</v>
      </c>
      <c r="E561">
        <f>'Clothing calculations'!E67</f>
        <v>3.0249999999999999E-3</v>
      </c>
      <c r="F561">
        <f>'Clothing calculations'!F67</f>
        <v>3</v>
      </c>
      <c r="G561" t="str">
        <f>'Clothing calculations'!G67</f>
        <v>Average loss during wear, Kawecki et al. 2019, SI table 17</v>
      </c>
      <c r="H561">
        <f>'Clothing calculations'!H67</f>
        <v>2</v>
      </c>
      <c r="I561">
        <f>'Clothing calculations'!I67</f>
        <v>2</v>
      </c>
      <c r="J561">
        <f>'Clothing calculations'!J67</f>
        <v>2</v>
      </c>
      <c r="K561">
        <f>'Clothing calculations'!K67</f>
        <v>2</v>
      </c>
      <c r="L561">
        <f>'Clothing calculations'!L67</f>
        <v>2</v>
      </c>
      <c r="M561">
        <f>'Clothing calculations'!M67</f>
        <v>2</v>
      </c>
    </row>
    <row r="562" spans="1:13">
      <c r="A562" t="s">
        <v>2033</v>
      </c>
      <c r="B562" t="str">
        <f>'Clothing calculations'!B68</f>
        <v>Footwear wearing (uppers)</v>
      </c>
      <c r="C562" t="str">
        <f>'Clothing calculations'!C68</f>
        <v>any</v>
      </c>
      <c r="D562" t="str">
        <f>'Clothing calculations'!D68</f>
        <v>PET</v>
      </c>
      <c r="E562">
        <f>'Clothing calculations'!E68</f>
        <v>3.0249999999999999E-3</v>
      </c>
      <c r="F562">
        <f>'Clothing calculations'!F68</f>
        <v>3</v>
      </c>
      <c r="G562" t="str">
        <f>'Clothing calculations'!G68</f>
        <v>Average loss during wear, Kawecki et al. 2019, SI table 17</v>
      </c>
      <c r="H562">
        <f>'Clothing calculations'!H68</f>
        <v>2</v>
      </c>
      <c r="I562">
        <f>'Clothing calculations'!I68</f>
        <v>2</v>
      </c>
      <c r="J562">
        <f>'Clothing calculations'!J68</f>
        <v>2</v>
      </c>
      <c r="K562">
        <f>'Clothing calculations'!K68</f>
        <v>2</v>
      </c>
      <c r="L562">
        <f>'Clothing calculations'!L68</f>
        <v>2</v>
      </c>
      <c r="M562">
        <f>'Clothing calculations'!M68</f>
        <v>2</v>
      </c>
    </row>
    <row r="564" spans="1:13" s="221" customFormat="1">
      <c r="A564" s="406" t="s">
        <v>2047</v>
      </c>
      <c r="E564" s="893"/>
    </row>
    <row r="565" spans="1:13">
      <c r="A565" t="s">
        <v>2047</v>
      </c>
      <c r="B565" t="s">
        <v>2050</v>
      </c>
      <c r="C565" t="s">
        <v>139</v>
      </c>
      <c r="D565" t="s">
        <v>139</v>
      </c>
      <c r="E565">
        <f>263*10/1788000</f>
        <v>1.470917225950783E-3</v>
      </c>
      <c r="F565">
        <v>2</v>
      </c>
      <c r="G565" t="s">
        <v>2253</v>
      </c>
      <c r="H565">
        <v>3</v>
      </c>
      <c r="I565">
        <v>3</v>
      </c>
      <c r="J565">
        <v>3</v>
      </c>
      <c r="K565">
        <v>3</v>
      </c>
      <c r="L565">
        <v>3</v>
      </c>
      <c r="M565">
        <v>3</v>
      </c>
    </row>
    <row r="566" spans="1:13">
      <c r="A566" t="s">
        <v>2047</v>
      </c>
      <c r="B566" t="s">
        <v>2050</v>
      </c>
      <c r="C566" t="s">
        <v>139</v>
      </c>
      <c r="D566" t="s">
        <v>139</v>
      </c>
      <c r="E566" s="217">
        <f>E565/10</f>
        <v>1.470917225950783E-4</v>
      </c>
      <c r="F566">
        <v>2</v>
      </c>
      <c r="G566" t="s">
        <v>2253</v>
      </c>
      <c r="H566">
        <v>3</v>
      </c>
      <c r="I566">
        <v>3</v>
      </c>
      <c r="J566">
        <v>3</v>
      </c>
      <c r="K566">
        <v>3</v>
      </c>
      <c r="L566">
        <v>3</v>
      </c>
      <c r="M566">
        <v>3</v>
      </c>
    </row>
    <row r="567" spans="1:13">
      <c r="A567" t="s">
        <v>2047</v>
      </c>
      <c r="B567" t="s">
        <v>2051</v>
      </c>
      <c r="C567" t="s">
        <v>139</v>
      </c>
      <c r="D567" t="s">
        <v>139</v>
      </c>
      <c r="E567" s="217" t="s">
        <v>150</v>
      </c>
      <c r="F567">
        <v>1</v>
      </c>
      <c r="G567" t="str">
        <f>'Clothing calculations'!C5</f>
        <v>Watergebruik CBS (2022)</v>
      </c>
    </row>
    <row r="568" spans="1:13">
      <c r="A568" t="s">
        <v>2047</v>
      </c>
      <c r="B568" t="s">
        <v>2052</v>
      </c>
      <c r="C568" t="s">
        <v>139</v>
      </c>
      <c r="D568" t="s">
        <v>139</v>
      </c>
      <c r="E568" s="217">
        <f>'Clothing calculations'!B6</f>
        <v>2.0000000000000018E-2</v>
      </c>
      <c r="F568">
        <v>2</v>
      </c>
      <c r="G568" t="str">
        <f>'Clothing calculations'!C6</f>
        <v>Watergebruik CBS (2022)</v>
      </c>
      <c r="H568">
        <v>1</v>
      </c>
      <c r="I568">
        <v>2</v>
      </c>
      <c r="J568">
        <v>1</v>
      </c>
      <c r="K568">
        <v>2</v>
      </c>
      <c r="L568">
        <v>2</v>
      </c>
      <c r="M568">
        <v>2</v>
      </c>
    </row>
    <row r="569" spans="1:13">
      <c r="A569" t="s">
        <v>2050</v>
      </c>
      <c r="B569" t="s">
        <v>327</v>
      </c>
      <c r="C569" t="s">
        <v>139</v>
      </c>
      <c r="D569" t="s">
        <v>139</v>
      </c>
      <c r="E569" s="217">
        <v>0.08</v>
      </c>
      <c r="F569">
        <v>2</v>
      </c>
      <c r="G569" t="s">
        <v>2245</v>
      </c>
      <c r="H569">
        <v>1</v>
      </c>
      <c r="I569">
        <v>2</v>
      </c>
      <c r="J569">
        <v>1</v>
      </c>
      <c r="K569">
        <v>2</v>
      </c>
      <c r="L569">
        <v>2</v>
      </c>
      <c r="M569">
        <v>2</v>
      </c>
    </row>
    <row r="570" spans="1:13" s="433" customFormat="1">
      <c r="A570" s="433" t="s">
        <v>2050</v>
      </c>
      <c r="B570" s="433" t="s">
        <v>327</v>
      </c>
      <c r="C570" s="433" t="s">
        <v>139</v>
      </c>
      <c r="D570" s="433" t="s">
        <v>139</v>
      </c>
      <c r="E570" s="217">
        <v>0.33</v>
      </c>
      <c r="F570" s="433">
        <v>2</v>
      </c>
      <c r="G570" t="s">
        <v>2246</v>
      </c>
      <c r="H570" s="433">
        <v>1</v>
      </c>
      <c r="I570" s="433">
        <v>2</v>
      </c>
      <c r="J570" s="433">
        <v>1</v>
      </c>
      <c r="K570" s="433">
        <v>2</v>
      </c>
      <c r="L570" s="433">
        <v>2</v>
      </c>
      <c r="M570" s="433">
        <v>2</v>
      </c>
    </row>
    <row r="571" spans="1:13" s="433" customFormat="1">
      <c r="A571" s="433" t="s">
        <v>2050</v>
      </c>
      <c r="B571" s="433" t="s">
        <v>327</v>
      </c>
      <c r="C571" s="433" t="s">
        <v>139</v>
      </c>
      <c r="D571" s="433" t="s">
        <v>139</v>
      </c>
      <c r="E571" s="217">
        <v>0.89</v>
      </c>
      <c r="F571" s="433">
        <v>2</v>
      </c>
      <c r="G571" t="s">
        <v>2247</v>
      </c>
      <c r="H571" s="433">
        <v>1</v>
      </c>
      <c r="I571" s="433">
        <v>2</v>
      </c>
      <c r="J571" s="433">
        <v>1</v>
      </c>
      <c r="K571" s="433">
        <v>2</v>
      </c>
      <c r="L571" s="433">
        <v>2</v>
      </c>
      <c r="M571" s="433">
        <v>2</v>
      </c>
    </row>
    <row r="572" spans="1:13" s="433" customFormat="1">
      <c r="A572" s="433" t="s">
        <v>2050</v>
      </c>
      <c r="B572" s="433" t="s">
        <v>232</v>
      </c>
      <c r="C572" s="433" t="s">
        <v>139</v>
      </c>
      <c r="D572" s="433" t="s">
        <v>139</v>
      </c>
      <c r="E572" s="894" t="s">
        <v>150</v>
      </c>
      <c r="F572" s="433">
        <v>1</v>
      </c>
    </row>
    <row r="573" spans="1:13">
      <c r="A573" t="s">
        <v>2051</v>
      </c>
      <c r="B573" t="s">
        <v>232</v>
      </c>
      <c r="C573" t="s">
        <v>139</v>
      </c>
      <c r="D573" t="s">
        <v>139</v>
      </c>
      <c r="E573" s="217">
        <v>1</v>
      </c>
      <c r="F573">
        <v>1</v>
      </c>
      <c r="H573" s="433"/>
      <c r="I573" s="433"/>
      <c r="J573" s="433"/>
      <c r="K573" s="433"/>
      <c r="L573" s="433"/>
      <c r="M573" s="433"/>
    </row>
    <row r="574" spans="1:13">
      <c r="A574" t="s">
        <v>2052</v>
      </c>
      <c r="B574" t="s">
        <v>232</v>
      </c>
      <c r="C574" t="s">
        <v>139</v>
      </c>
      <c r="D574" t="s">
        <v>139</v>
      </c>
      <c r="E574" s="217">
        <v>1</v>
      </c>
      <c r="F574">
        <v>1</v>
      </c>
      <c r="H574" s="433"/>
      <c r="I574" s="433"/>
      <c r="J574" s="433"/>
      <c r="K574" s="433"/>
      <c r="L574" s="433"/>
      <c r="M574" s="433"/>
    </row>
    <row r="575" spans="1:13">
      <c r="A575" s="861"/>
      <c r="B575" s="861"/>
      <c r="C575" s="861"/>
      <c r="D575" s="861"/>
      <c r="E575" s="895"/>
      <c r="F575" s="861"/>
      <c r="G575" s="861"/>
    </row>
    <row r="576" spans="1:13" s="221" customFormat="1">
      <c r="A576" s="406" t="s">
        <v>2048</v>
      </c>
      <c r="E576" s="893"/>
    </row>
    <row r="577" spans="1:868" s="6" customFormat="1">
      <c r="A577" t="s">
        <v>2048</v>
      </c>
      <c r="B577" t="s">
        <v>228</v>
      </c>
      <c r="C577" t="s">
        <v>139</v>
      </c>
      <c r="D577" t="s">
        <v>139</v>
      </c>
      <c r="E577">
        <v>0.93</v>
      </c>
      <c r="F577">
        <v>2</v>
      </c>
      <c r="G577" t="s">
        <v>163</v>
      </c>
      <c r="H577">
        <v>2</v>
      </c>
      <c r="I577">
        <v>2</v>
      </c>
      <c r="J577">
        <v>2</v>
      </c>
      <c r="K577">
        <v>1</v>
      </c>
      <c r="L577">
        <v>2</v>
      </c>
      <c r="M577">
        <v>2</v>
      </c>
      <c r="N577">
        <f>IF( OR( ISBLANK(H577),ISBLANK(J577), ISBLANK(K577), ISBLANK(L577), ISBLANK(M577) ), "", 1.5*SQRT(   EXP(2.21*(H577-1)) + EXP(2.21*(J577-1)) + EXP(2.21*(K577-1)) + EXP(2.21*(L577-1)) + EXP(2.21*M577)   )/100*2.45 )</f>
        <v>0.38795788889711302</v>
      </c>
      <c r="O577">
        <f>IF( OR( ISBLANK(I577),ISBLANK(J577), ISBLANK(K577), ISBLANK(L577), ISBLANK(M577) ), "", 1.5*SQRT( EXP(2.21*(I577-1)) + EXP(2.21*(J577-1)) + EXP(2.21*(K577-1)) + EXP(2.21*(L577-1)) + EXP(2.21*M577)   )/100*2.45 )</f>
        <v>0.38795788889711302</v>
      </c>
      <c r="P577"/>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H577" s="16"/>
      <c r="BI577" s="16"/>
      <c r="BJ577" s="16"/>
      <c r="BK577" s="16"/>
      <c r="BL577" s="16"/>
      <c r="BM577" s="16"/>
      <c r="BN577" s="16"/>
      <c r="BO577" s="16"/>
      <c r="BP577" s="16"/>
      <c r="BQ577" s="16"/>
      <c r="BR577" s="16"/>
      <c r="BS577" s="16"/>
      <c r="BT577" s="16"/>
      <c r="BU577" s="16"/>
      <c r="BV577" s="16"/>
      <c r="BW577" s="16"/>
      <c r="BX577" s="16"/>
      <c r="BY577" s="16"/>
      <c r="BZ577" s="16"/>
      <c r="CA577" s="16"/>
      <c r="CB577" s="16"/>
      <c r="CC577" s="16"/>
      <c r="CD577" s="16"/>
      <c r="CE577" s="16"/>
      <c r="CF577" s="16"/>
      <c r="CG577" s="16"/>
      <c r="CH577" s="16"/>
      <c r="CI577" s="16"/>
      <c r="CJ577" s="16"/>
      <c r="CK577" s="16"/>
      <c r="CL577" s="16"/>
      <c r="CM577" s="16"/>
      <c r="CN577" s="16"/>
      <c r="CO577" s="16"/>
      <c r="CP577" s="16"/>
      <c r="CQ577" s="16"/>
      <c r="CR577" s="16"/>
      <c r="CS577" s="16"/>
      <c r="CT577" s="16"/>
      <c r="CU577" s="16"/>
      <c r="CV577" s="16"/>
      <c r="CW577" s="16"/>
      <c r="CX577" s="16"/>
      <c r="CY577" s="16"/>
      <c r="CZ577" s="16"/>
      <c r="DA577" s="16"/>
      <c r="DB577" s="16"/>
      <c r="DC577" s="16"/>
      <c r="DD577" s="16"/>
      <c r="DE577" s="16"/>
      <c r="DF577" s="16"/>
      <c r="DG577" s="16"/>
      <c r="DH577" s="16"/>
      <c r="DI577" s="16"/>
      <c r="DJ577" s="16"/>
      <c r="DK577" s="16"/>
      <c r="DL577" s="16"/>
      <c r="DM577" s="16"/>
      <c r="DN577" s="16"/>
      <c r="DO577" s="16"/>
      <c r="DP577" s="16"/>
      <c r="DQ577" s="16"/>
      <c r="DR577" s="16"/>
      <c r="DS577" s="16"/>
      <c r="DT577" s="16"/>
      <c r="DU577" s="16"/>
      <c r="DV577" s="16"/>
      <c r="DW577" s="16"/>
      <c r="DX577" s="16"/>
      <c r="DY577" s="16"/>
      <c r="DZ577" s="16"/>
      <c r="EA577" s="16"/>
      <c r="EB577" s="16"/>
      <c r="EC577" s="16"/>
      <c r="ED577" s="16"/>
      <c r="EE577" s="16"/>
      <c r="EF577" s="16"/>
      <c r="EG577" s="16"/>
      <c r="EH577" s="16"/>
      <c r="EI577" s="16"/>
      <c r="EJ577" s="16"/>
      <c r="EK577" s="16"/>
      <c r="EL577" s="16"/>
      <c r="EM577" s="16"/>
      <c r="EN577" s="16"/>
      <c r="EO577" s="16"/>
      <c r="EP577" s="16"/>
      <c r="EQ577" s="16"/>
      <c r="ER577" s="16"/>
      <c r="ES577" s="16"/>
      <c r="ET577" s="16"/>
      <c r="EU577" s="16"/>
      <c r="EV577" s="16"/>
      <c r="EW577" s="16"/>
      <c r="EX577" s="16"/>
      <c r="EY577" s="16"/>
      <c r="EZ577" s="16"/>
      <c r="FA577" s="16"/>
      <c r="FB577" s="16"/>
      <c r="FC577" s="16"/>
      <c r="FD577" s="16"/>
      <c r="FE577" s="16"/>
      <c r="FF577" s="16"/>
      <c r="FG577" s="16"/>
      <c r="FH577" s="16"/>
      <c r="FI577" s="16"/>
      <c r="FJ577" s="16"/>
      <c r="FK577" s="16"/>
      <c r="FL577" s="16"/>
      <c r="FM577" s="16"/>
      <c r="FN577" s="16"/>
      <c r="FO577" s="16"/>
      <c r="FP577" s="16"/>
      <c r="FQ577" s="16"/>
      <c r="FR577" s="16"/>
      <c r="FS577" s="16"/>
      <c r="FT577" s="16"/>
      <c r="FU577" s="16"/>
      <c r="FV577" s="16"/>
      <c r="FW577" s="16"/>
      <c r="FX577" s="16"/>
      <c r="FY577" s="16"/>
      <c r="FZ577" s="16"/>
      <c r="GA577" s="16"/>
      <c r="GB577" s="16"/>
      <c r="GC577" s="16"/>
      <c r="GD577" s="16"/>
      <c r="GE577" s="16"/>
      <c r="GF577" s="16"/>
      <c r="GG577" s="16"/>
      <c r="GH577" s="16"/>
      <c r="GI577" s="16"/>
      <c r="GJ577" s="16"/>
      <c r="GK577" s="16"/>
      <c r="GL577" s="16"/>
      <c r="GM577" s="16"/>
      <c r="GN577" s="16"/>
      <c r="GO577" s="16"/>
      <c r="GP577" s="16"/>
      <c r="GQ577" s="16"/>
      <c r="GR577" s="16"/>
      <c r="GS577" s="16"/>
      <c r="GT577" s="16"/>
      <c r="GU577" s="16"/>
      <c r="GV577" s="16"/>
      <c r="GW577" s="16"/>
      <c r="GX577" s="16"/>
      <c r="GY577" s="16"/>
      <c r="GZ577" s="16"/>
      <c r="HA577" s="16"/>
      <c r="HB577" s="16"/>
      <c r="HC577" s="16"/>
      <c r="HD577" s="16"/>
      <c r="HE577" s="16"/>
      <c r="HF577" s="16"/>
      <c r="HG577" s="16"/>
      <c r="HH577" s="16"/>
      <c r="HI577" s="16"/>
      <c r="HJ577" s="16"/>
      <c r="HK577" s="16"/>
      <c r="HL577" s="16"/>
      <c r="HM577" s="16"/>
      <c r="HN577" s="16"/>
      <c r="HO577" s="16"/>
      <c r="HP577" s="16"/>
      <c r="HQ577" s="16"/>
      <c r="HR577" s="16"/>
      <c r="HS577" s="16"/>
      <c r="HT577" s="16"/>
      <c r="HU577" s="16"/>
      <c r="HV577" s="16"/>
      <c r="HW577" s="16"/>
      <c r="HX577" s="16"/>
      <c r="HY577" s="16"/>
      <c r="HZ577" s="16"/>
      <c r="IA577" s="16"/>
      <c r="IB577" s="16"/>
      <c r="IC577" s="16"/>
      <c r="ID577" s="16"/>
      <c r="IE577" s="16"/>
      <c r="IF577" s="16"/>
      <c r="IG577" s="16"/>
      <c r="IH577" s="16"/>
      <c r="II577" s="16"/>
      <c r="IJ577" s="16"/>
      <c r="IK577" s="16"/>
      <c r="IL577" s="16"/>
      <c r="IM577" s="16"/>
      <c r="IN577" s="16"/>
      <c r="IO577" s="16"/>
      <c r="IP577" s="16"/>
      <c r="IQ577" s="16"/>
      <c r="IR577" s="16"/>
      <c r="IS577" s="16"/>
      <c r="IT577" s="16"/>
      <c r="IU577" s="16"/>
      <c r="IV577" s="16"/>
      <c r="IW577" s="16"/>
      <c r="IX577" s="16"/>
      <c r="IY577" s="16"/>
      <c r="IZ577" s="16"/>
      <c r="JA577" s="16"/>
      <c r="JB577" s="16"/>
      <c r="JC577" s="16"/>
      <c r="JD577" s="16"/>
      <c r="JE577" s="16"/>
      <c r="JF577" s="16"/>
      <c r="JG577" s="16"/>
      <c r="JH577" s="16"/>
      <c r="JI577" s="16"/>
      <c r="JJ577" s="16"/>
      <c r="JK577" s="16"/>
      <c r="JL577" s="16"/>
      <c r="JM577" s="16"/>
      <c r="JN577" s="16"/>
      <c r="JO577" s="16"/>
      <c r="JP577" s="16"/>
      <c r="JQ577" s="16"/>
      <c r="JR577" s="16"/>
      <c r="JS577" s="16"/>
      <c r="JT577" s="16"/>
      <c r="JU577" s="16"/>
      <c r="JV577" s="16"/>
      <c r="JW577" s="16"/>
      <c r="JX577" s="16"/>
      <c r="JY577" s="16"/>
      <c r="JZ577" s="16"/>
      <c r="KA577" s="16"/>
      <c r="KB577" s="16"/>
      <c r="KC577" s="16"/>
      <c r="KD577" s="16"/>
      <c r="KE577" s="16"/>
      <c r="KF577" s="16"/>
      <c r="KG577" s="16"/>
      <c r="KH577" s="16"/>
      <c r="KI577" s="16"/>
      <c r="KJ577" s="16"/>
      <c r="KK577" s="16"/>
      <c r="KL577" s="16"/>
      <c r="KM577" s="16"/>
      <c r="KN577" s="16"/>
      <c r="KO577" s="16"/>
      <c r="KP577" s="16"/>
      <c r="KQ577" s="16"/>
      <c r="KR577" s="16"/>
      <c r="KS577" s="16"/>
      <c r="KT577" s="16"/>
      <c r="KU577" s="16"/>
      <c r="KV577" s="16"/>
      <c r="KW577" s="16"/>
      <c r="KX577" s="16"/>
      <c r="KY577" s="16"/>
      <c r="KZ577" s="16"/>
      <c r="LA577" s="16"/>
      <c r="LB577" s="16"/>
      <c r="LC577" s="16"/>
      <c r="LD577" s="16"/>
      <c r="LE577" s="16"/>
      <c r="LF577" s="16"/>
      <c r="LG577" s="16"/>
      <c r="LH577" s="16"/>
      <c r="LI577" s="16"/>
      <c r="LJ577" s="16"/>
      <c r="LK577" s="16"/>
      <c r="LL577" s="16"/>
      <c r="LM577" s="16"/>
      <c r="LN577" s="16"/>
      <c r="LO577" s="16"/>
      <c r="LP577" s="16"/>
      <c r="LQ577" s="16"/>
      <c r="LR577" s="16"/>
      <c r="LS577" s="16"/>
      <c r="LT577" s="16"/>
      <c r="LU577" s="16"/>
      <c r="LV577" s="16"/>
      <c r="LW577" s="16"/>
      <c r="LX577" s="16"/>
      <c r="LY577" s="16"/>
      <c r="LZ577" s="16"/>
      <c r="MA577" s="16"/>
      <c r="MB577" s="16"/>
      <c r="MC577" s="16"/>
      <c r="MD577" s="16"/>
      <c r="ME577" s="16"/>
      <c r="MF577" s="16"/>
      <c r="MG577" s="16"/>
      <c r="MH577" s="16"/>
      <c r="MI577" s="16"/>
      <c r="MJ577" s="16"/>
      <c r="MK577" s="16"/>
      <c r="ML577" s="16"/>
      <c r="MM577" s="16"/>
      <c r="MN577" s="16"/>
      <c r="MO577" s="16"/>
      <c r="MP577" s="16"/>
      <c r="MQ577" s="16"/>
      <c r="MR577" s="16"/>
      <c r="MS577" s="16"/>
      <c r="MT577" s="16"/>
      <c r="MU577" s="16"/>
      <c r="MV577" s="16"/>
      <c r="MW577" s="16"/>
      <c r="MX577" s="16"/>
      <c r="MY577" s="16"/>
      <c r="MZ577" s="16"/>
      <c r="NA577" s="16"/>
      <c r="NB577" s="16"/>
      <c r="NC577" s="16"/>
      <c r="ND577" s="16"/>
      <c r="NE577" s="16"/>
      <c r="NF577" s="16"/>
      <c r="NG577" s="16"/>
      <c r="NH577" s="16"/>
      <c r="NI577" s="16"/>
      <c r="NJ577" s="16"/>
      <c r="NK577" s="16"/>
      <c r="NL577" s="16"/>
      <c r="NM577" s="16"/>
      <c r="NN577" s="16"/>
      <c r="NO577" s="16"/>
      <c r="NP577" s="16"/>
      <c r="NQ577" s="16"/>
      <c r="NR577" s="16"/>
      <c r="NS577" s="16"/>
      <c r="NT577" s="16"/>
      <c r="NU577" s="16"/>
      <c r="NV577" s="16"/>
      <c r="NW577" s="16"/>
      <c r="NX577" s="16"/>
      <c r="NY577" s="16"/>
      <c r="NZ577" s="16"/>
      <c r="OA577" s="16"/>
      <c r="OB577" s="16"/>
      <c r="OC577" s="16"/>
      <c r="OD577" s="16"/>
      <c r="OE577" s="16"/>
      <c r="OF577" s="16"/>
      <c r="OG577" s="16"/>
      <c r="OH577" s="16"/>
      <c r="OI577" s="16"/>
      <c r="OJ577" s="16"/>
      <c r="OK577" s="16"/>
      <c r="OL577" s="16"/>
      <c r="OM577" s="16"/>
      <c r="ON577" s="16"/>
      <c r="OO577" s="16"/>
      <c r="OP577" s="16"/>
      <c r="OQ577" s="16"/>
      <c r="OR577" s="16"/>
      <c r="OS577" s="16"/>
      <c r="OT577" s="16"/>
      <c r="OU577" s="16"/>
      <c r="OV577" s="16"/>
      <c r="OW577" s="16"/>
      <c r="OX577" s="16"/>
      <c r="OY577" s="16"/>
      <c r="OZ577" s="16"/>
      <c r="PA577" s="16"/>
      <c r="PB577" s="16"/>
      <c r="PC577" s="16"/>
      <c r="PD577" s="16"/>
      <c r="PE577" s="16"/>
      <c r="PF577" s="16"/>
      <c r="PG577" s="16"/>
      <c r="PH577" s="16"/>
      <c r="PI577" s="16"/>
      <c r="PJ577" s="16"/>
      <c r="PK577" s="16"/>
      <c r="PL577" s="16"/>
      <c r="PM577" s="16"/>
      <c r="PN577" s="16"/>
      <c r="PO577" s="16"/>
      <c r="PP577" s="16"/>
      <c r="PQ577" s="16"/>
      <c r="PR577" s="16"/>
      <c r="PS577" s="16"/>
      <c r="PT577" s="16"/>
      <c r="PU577" s="16"/>
      <c r="PV577" s="16"/>
      <c r="PW577" s="16"/>
      <c r="PX577" s="16"/>
      <c r="PY577" s="16"/>
      <c r="PZ577" s="16"/>
      <c r="QA577" s="16"/>
      <c r="QB577" s="16"/>
      <c r="QC577" s="16"/>
      <c r="QD577" s="16"/>
      <c r="QE577" s="16"/>
      <c r="QF577" s="16"/>
      <c r="QG577" s="16"/>
      <c r="QH577" s="16"/>
      <c r="QI577" s="16"/>
      <c r="QJ577" s="16"/>
      <c r="QK577" s="16"/>
      <c r="QL577" s="16"/>
      <c r="QM577" s="16"/>
      <c r="QN577" s="16"/>
      <c r="QO577" s="16"/>
      <c r="QP577" s="16"/>
      <c r="QQ577" s="16"/>
      <c r="QR577" s="16"/>
      <c r="QS577" s="16"/>
      <c r="QT577" s="16"/>
      <c r="QU577" s="16"/>
      <c r="QV577" s="16"/>
      <c r="QW577" s="16"/>
      <c r="QX577" s="16"/>
      <c r="QY577" s="16"/>
      <c r="QZ577" s="16"/>
      <c r="RA577" s="16"/>
      <c r="RB577" s="16"/>
      <c r="RC577" s="16"/>
      <c r="RD577" s="16"/>
      <c r="RE577" s="16"/>
      <c r="RF577" s="16"/>
      <c r="RG577" s="16"/>
      <c r="RH577" s="16"/>
      <c r="RI577" s="16"/>
      <c r="RJ577" s="16"/>
      <c r="RK577" s="16"/>
      <c r="RL577" s="16"/>
      <c r="RM577" s="16"/>
      <c r="RN577" s="16"/>
      <c r="RO577" s="16"/>
      <c r="RP577" s="16"/>
      <c r="RQ577" s="16"/>
      <c r="RR577" s="16"/>
      <c r="RS577" s="16"/>
      <c r="RT577" s="16"/>
      <c r="RU577" s="16"/>
      <c r="RV577" s="16"/>
      <c r="RW577" s="16"/>
      <c r="RX577" s="16"/>
      <c r="RY577" s="16"/>
      <c r="RZ577" s="16"/>
      <c r="SA577" s="16"/>
      <c r="SB577" s="16"/>
      <c r="SC577" s="16"/>
      <c r="SD577" s="16"/>
      <c r="SE577" s="16"/>
      <c r="SF577" s="16"/>
      <c r="SG577" s="16"/>
      <c r="SH577" s="16"/>
      <c r="SI577" s="16"/>
      <c r="SJ577" s="16"/>
      <c r="SK577" s="16"/>
      <c r="SL577" s="16"/>
      <c r="SM577" s="16"/>
      <c r="SN577" s="16"/>
      <c r="SO577" s="16"/>
      <c r="SP577" s="16"/>
      <c r="SQ577" s="16"/>
      <c r="SR577" s="16"/>
      <c r="SS577" s="16"/>
      <c r="ST577" s="16"/>
      <c r="SU577" s="16"/>
      <c r="SV577" s="16"/>
      <c r="SW577" s="16"/>
      <c r="SX577" s="16"/>
      <c r="SY577" s="16"/>
      <c r="SZ577" s="16"/>
      <c r="TA577" s="16"/>
      <c r="TB577" s="16"/>
      <c r="TC577" s="16"/>
      <c r="TD577" s="16"/>
      <c r="TE577" s="16"/>
      <c r="TF577" s="16"/>
      <c r="TG577" s="16"/>
      <c r="TH577" s="16"/>
      <c r="TI577" s="16"/>
      <c r="TJ577" s="16"/>
      <c r="TK577" s="16"/>
      <c r="TL577" s="16"/>
      <c r="TM577" s="16"/>
      <c r="TN577" s="16"/>
      <c r="TO577" s="16"/>
      <c r="TP577" s="16"/>
      <c r="TQ577" s="16"/>
      <c r="TR577" s="16"/>
      <c r="TS577" s="16"/>
      <c r="TT577" s="16"/>
      <c r="TU577" s="16"/>
      <c r="TV577" s="16"/>
      <c r="TW577" s="16"/>
      <c r="TX577" s="16"/>
      <c r="TY577" s="16"/>
      <c r="TZ577" s="16"/>
      <c r="UA577" s="16"/>
      <c r="UB577" s="16"/>
      <c r="UC577" s="16"/>
      <c r="UD577" s="16"/>
      <c r="UE577" s="16"/>
      <c r="UF577" s="16"/>
      <c r="UG577" s="16"/>
      <c r="UH577" s="16"/>
      <c r="UI577" s="16"/>
      <c r="UJ577" s="16"/>
      <c r="UK577" s="16"/>
      <c r="UL577" s="16"/>
      <c r="UM577" s="16"/>
      <c r="UN577" s="16"/>
      <c r="UO577" s="16"/>
      <c r="UP577" s="16"/>
      <c r="UQ577" s="16"/>
      <c r="UR577" s="16"/>
      <c r="US577" s="16"/>
      <c r="UT577" s="16"/>
      <c r="UU577" s="16"/>
      <c r="UV577" s="16"/>
      <c r="UW577" s="16"/>
      <c r="UX577" s="16"/>
      <c r="UY577" s="16"/>
      <c r="UZ577" s="16"/>
      <c r="VA577" s="16"/>
      <c r="VB577" s="16"/>
      <c r="VC577" s="16"/>
      <c r="VD577" s="16"/>
      <c r="VE577" s="16"/>
      <c r="VF577" s="16"/>
      <c r="VG577" s="16"/>
      <c r="VH577" s="16"/>
      <c r="VI577" s="16"/>
      <c r="VJ577" s="16"/>
      <c r="VK577" s="16"/>
      <c r="VL577" s="16"/>
      <c r="VM577" s="16"/>
      <c r="VN577" s="16"/>
      <c r="VO577" s="16"/>
      <c r="VP577" s="16"/>
      <c r="VQ577" s="16"/>
      <c r="VR577" s="16"/>
      <c r="VS577" s="16"/>
      <c r="VT577" s="16"/>
      <c r="VU577" s="16"/>
      <c r="VV577" s="16"/>
      <c r="VW577" s="16"/>
      <c r="VX577" s="16"/>
      <c r="VY577" s="16"/>
      <c r="VZ577" s="16"/>
      <c r="WA577" s="16"/>
      <c r="WB577" s="16"/>
      <c r="WC577" s="16"/>
      <c r="WD577" s="16"/>
      <c r="WE577" s="16"/>
      <c r="WF577" s="16"/>
      <c r="WG577" s="16"/>
      <c r="WH577" s="16"/>
      <c r="WI577" s="16"/>
      <c r="WJ577" s="16"/>
      <c r="WK577" s="16"/>
      <c r="WL577" s="16"/>
      <c r="WM577" s="16"/>
      <c r="WN577" s="16"/>
      <c r="WO577" s="16"/>
      <c r="WP577" s="16"/>
      <c r="WQ577" s="16"/>
      <c r="WR577" s="16"/>
      <c r="WS577" s="16"/>
      <c r="WT577" s="16"/>
      <c r="WU577" s="16"/>
      <c r="WV577" s="16"/>
      <c r="WW577" s="16"/>
      <c r="WX577" s="16"/>
      <c r="WY577" s="16"/>
      <c r="WZ577" s="16"/>
      <c r="XA577" s="16"/>
      <c r="XB577" s="16"/>
      <c r="XC577" s="16"/>
      <c r="XD577" s="16"/>
      <c r="XE577" s="16"/>
      <c r="XF577" s="16"/>
      <c r="XG577" s="16"/>
      <c r="XH577" s="16"/>
      <c r="XI577" s="16"/>
      <c r="XJ577" s="16"/>
      <c r="XK577" s="16"/>
      <c r="XL577" s="16"/>
      <c r="XM577" s="16"/>
      <c r="XN577" s="16"/>
      <c r="XO577" s="16"/>
      <c r="XP577" s="16"/>
      <c r="XQ577" s="16"/>
      <c r="XR577" s="16"/>
      <c r="XS577" s="16"/>
      <c r="XT577" s="16"/>
      <c r="XU577" s="16"/>
      <c r="XV577" s="16"/>
      <c r="XW577" s="16"/>
      <c r="XX577" s="16"/>
      <c r="XY577" s="16"/>
      <c r="XZ577" s="16"/>
      <c r="YA577" s="16"/>
      <c r="YB577" s="16"/>
      <c r="YC577" s="16"/>
      <c r="YD577" s="16"/>
      <c r="YE577" s="16"/>
      <c r="YF577" s="16"/>
      <c r="YG577" s="16"/>
      <c r="YH577" s="16"/>
      <c r="YI577" s="16"/>
      <c r="YJ577" s="16"/>
      <c r="YK577" s="16"/>
      <c r="YL577" s="16"/>
      <c r="YM577" s="16"/>
      <c r="YN577" s="16"/>
      <c r="YO577" s="16"/>
      <c r="YP577" s="16"/>
      <c r="YQ577" s="16"/>
      <c r="YR577" s="16"/>
      <c r="YS577" s="16"/>
      <c r="YT577" s="16"/>
      <c r="YU577" s="16"/>
      <c r="YV577" s="16"/>
      <c r="YW577" s="16"/>
      <c r="YX577" s="16"/>
      <c r="YY577" s="16"/>
      <c r="YZ577" s="16"/>
      <c r="ZA577" s="16"/>
      <c r="ZB577" s="16"/>
      <c r="ZC577" s="16"/>
      <c r="ZD577" s="16"/>
      <c r="ZE577" s="16"/>
      <c r="ZF577" s="16"/>
      <c r="ZG577" s="16"/>
      <c r="ZH577" s="16"/>
      <c r="ZI577" s="16"/>
      <c r="ZJ577" s="16"/>
      <c r="ZK577" s="16"/>
      <c r="ZL577" s="16"/>
      <c r="ZM577" s="16"/>
      <c r="ZN577" s="16"/>
      <c r="ZO577" s="16"/>
      <c r="ZP577" s="16"/>
      <c r="ZQ577" s="16"/>
      <c r="ZR577" s="16"/>
      <c r="ZS577" s="16"/>
      <c r="ZT577" s="16"/>
      <c r="ZU577" s="16"/>
      <c r="ZV577" s="16"/>
      <c r="ZW577" s="16"/>
      <c r="ZX577" s="16"/>
      <c r="ZY577" s="16"/>
      <c r="ZZ577" s="16"/>
      <c r="AAA577" s="16"/>
      <c r="AAB577" s="16"/>
      <c r="AAC577" s="16"/>
      <c r="AAD577" s="16"/>
      <c r="AAE577" s="16"/>
      <c r="AAF577" s="16"/>
      <c r="AAG577" s="16"/>
      <c r="AAH577" s="16"/>
      <c r="AAI577" s="16"/>
      <c r="AAJ577" s="16"/>
      <c r="AAK577" s="16"/>
      <c r="AAL577" s="16"/>
      <c r="AAM577" s="16"/>
      <c r="AAN577" s="16"/>
      <c r="AAO577" s="16"/>
      <c r="AAP577" s="16"/>
      <c r="AAQ577" s="16"/>
      <c r="AAR577" s="16"/>
      <c r="AAS577" s="16"/>
      <c r="AAT577" s="16"/>
      <c r="AAU577" s="16"/>
      <c r="AAV577" s="16"/>
      <c r="AAW577" s="16"/>
      <c r="AAX577" s="16"/>
      <c r="AAY577" s="16"/>
      <c r="AAZ577" s="16"/>
      <c r="ABA577" s="16"/>
      <c r="ABB577" s="16"/>
      <c r="ABC577" s="16"/>
      <c r="ABD577" s="16"/>
      <c r="ABE577" s="16"/>
      <c r="ABF577" s="16"/>
      <c r="ABG577" s="16"/>
      <c r="ABH577" s="16"/>
      <c r="ABI577" s="16"/>
      <c r="ABJ577" s="16"/>
      <c r="ABK577" s="16"/>
      <c r="ABL577" s="16"/>
      <c r="ABM577" s="16"/>
      <c r="ABN577" s="16"/>
      <c r="ABO577" s="16"/>
      <c r="ABP577" s="16"/>
      <c r="ABQ577" s="16"/>
      <c r="ABR577" s="16"/>
      <c r="ABS577" s="16"/>
      <c r="ABT577" s="16"/>
      <c r="ABU577" s="16"/>
      <c r="ABV577" s="16"/>
      <c r="ABW577" s="16"/>
      <c r="ABX577" s="16"/>
      <c r="ABY577" s="16"/>
      <c r="ABZ577" s="16"/>
      <c r="ACA577" s="16"/>
      <c r="ACB577" s="16"/>
      <c r="ACC577" s="16"/>
      <c r="ACD577" s="16"/>
      <c r="ACE577" s="16"/>
      <c r="ACF577" s="16"/>
      <c r="ACG577" s="16"/>
      <c r="ACH577" s="16"/>
      <c r="ACI577" s="16"/>
      <c r="ACJ577" s="16"/>
      <c r="ACK577" s="16"/>
      <c r="ACL577" s="16"/>
      <c r="ACM577" s="16"/>
      <c r="ACN577" s="16"/>
      <c r="ACO577" s="16"/>
      <c r="ACP577" s="16"/>
      <c r="ACQ577" s="16"/>
      <c r="ACR577" s="16"/>
      <c r="ACS577" s="16"/>
      <c r="ACT577" s="16"/>
      <c r="ACU577" s="16"/>
      <c r="ACV577" s="16"/>
      <c r="ACW577" s="16"/>
      <c r="ACX577" s="16"/>
      <c r="ACY577" s="16"/>
      <c r="ACZ577" s="16"/>
      <c r="ADA577" s="16"/>
      <c r="ADB577" s="16"/>
      <c r="ADC577" s="16"/>
      <c r="ADD577" s="16"/>
      <c r="ADE577" s="16"/>
      <c r="ADF577" s="16"/>
      <c r="ADG577" s="16"/>
      <c r="ADH577" s="16"/>
      <c r="ADI577" s="16"/>
      <c r="ADJ577" s="16"/>
      <c r="ADK577" s="16"/>
      <c r="ADL577" s="16"/>
      <c r="ADM577" s="16"/>
      <c r="ADN577" s="16"/>
      <c r="ADO577" s="16"/>
      <c r="ADP577" s="16"/>
      <c r="ADQ577" s="16"/>
      <c r="ADR577" s="16"/>
      <c r="ADS577" s="16"/>
      <c r="ADT577" s="16"/>
      <c r="ADU577" s="16"/>
      <c r="ADV577" s="16"/>
      <c r="ADW577" s="16"/>
      <c r="ADX577" s="16"/>
      <c r="ADY577" s="16"/>
      <c r="ADZ577" s="16"/>
      <c r="AEA577" s="16"/>
      <c r="AEB577" s="16"/>
      <c r="AEC577" s="16"/>
      <c r="AED577" s="16"/>
      <c r="AEE577" s="16"/>
      <c r="AEF577" s="16"/>
      <c r="AEG577" s="16"/>
      <c r="AEH577" s="16"/>
      <c r="AEI577" s="16"/>
      <c r="AEJ577" s="16"/>
      <c r="AEK577" s="16"/>
      <c r="AEL577" s="16"/>
      <c r="AEM577" s="16"/>
      <c r="AEN577" s="16"/>
      <c r="AEO577" s="16"/>
      <c r="AEP577" s="16"/>
      <c r="AEQ577" s="16"/>
      <c r="AER577" s="16"/>
      <c r="AES577" s="16"/>
      <c r="AET577" s="16"/>
      <c r="AEU577" s="16"/>
      <c r="AEV577" s="16"/>
      <c r="AEW577" s="16"/>
      <c r="AEX577" s="16"/>
      <c r="AEY577" s="16"/>
      <c r="AEZ577" s="16"/>
      <c r="AFA577" s="16"/>
      <c r="AFB577" s="16"/>
      <c r="AFC577" s="16"/>
      <c r="AFD577" s="16"/>
      <c r="AFE577" s="16"/>
      <c r="AFF577" s="16"/>
      <c r="AFG577" s="16"/>
      <c r="AFH577" s="16"/>
      <c r="AFI577" s="16"/>
      <c r="AFJ577" s="16"/>
      <c r="AFK577" s="16"/>
      <c r="AFL577" s="16"/>
      <c r="AFM577" s="16"/>
      <c r="AFN577" s="16"/>
      <c r="AFO577" s="16"/>
      <c r="AFP577" s="16"/>
      <c r="AFQ577" s="16"/>
      <c r="AFR577" s="16"/>
      <c r="AFS577" s="16"/>
      <c r="AFT577" s="16"/>
      <c r="AFU577" s="16"/>
      <c r="AFV577" s="16"/>
      <c r="AFW577" s="16"/>
      <c r="AFX577" s="16"/>
      <c r="AFY577" s="16"/>
      <c r="AFZ577" s="16"/>
      <c r="AGA577" s="16"/>
      <c r="AGB577" s="16"/>
      <c r="AGC577" s="16"/>
      <c r="AGD577" s="16"/>
      <c r="AGE577" s="16"/>
      <c r="AGF577" s="16"/>
      <c r="AGG577" s="16"/>
      <c r="AGH577" s="16"/>
      <c r="AGI577" s="16"/>
      <c r="AGJ577" s="16"/>
    </row>
    <row r="578" spans="1:868" s="6" customFormat="1">
      <c r="A578" t="s">
        <v>2048</v>
      </c>
      <c r="B578" t="s">
        <v>231</v>
      </c>
      <c r="C578" t="s">
        <v>139</v>
      </c>
      <c r="D578" t="s">
        <v>139</v>
      </c>
      <c r="E578" t="s">
        <v>150</v>
      </c>
      <c r="F578">
        <v>1</v>
      </c>
      <c r="G578" t="s">
        <v>163</v>
      </c>
      <c r="H578"/>
      <c r="I578"/>
      <c r="J578"/>
      <c r="K578"/>
      <c r="L578"/>
      <c r="M578"/>
      <c r="N578" t="str">
        <f>IF( OR( ISBLANK(H578),ISBLANK(J578), ISBLANK(K578), ISBLANK(L578), ISBLANK(M578) ), "", 1.5*SQRT(   EXP(2.21*(H578-1)) + EXP(2.21*(J578-1)) + EXP(2.21*(K578-1)) + EXP(2.21*(L578-1)) + EXP(2.21*M578)   )/100*2.45 )</f>
        <v/>
      </c>
      <c r="O578" t="str">
        <f>IF( OR( ISBLANK(I578),ISBLANK(J578), ISBLANK(K578), ISBLANK(L578), ISBLANK(M578) ), "", 1.5*SQRT( EXP(2.21*(I578-1)) + EXP(2.21*(J578-1)) + EXP(2.21*(K578-1)) + EXP(2.21*(L578-1)) + EXP(2.21*M578)   )/100*2.45 )</f>
        <v/>
      </c>
      <c r="P578"/>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16"/>
      <c r="BE578" s="16"/>
      <c r="BF578" s="16"/>
      <c r="BG578" s="16"/>
      <c r="BH578" s="16"/>
      <c r="BI578" s="16"/>
      <c r="BJ578" s="16"/>
      <c r="BK578" s="16"/>
      <c r="BL578" s="16"/>
      <c r="BM578" s="16"/>
      <c r="BN578" s="16"/>
      <c r="BO578" s="16"/>
      <c r="BP578" s="16"/>
      <c r="BQ578" s="16"/>
      <c r="BR578" s="16"/>
      <c r="BS578" s="16"/>
      <c r="BT578" s="16"/>
      <c r="BU578" s="16"/>
      <c r="BV578" s="16"/>
      <c r="BW578" s="16"/>
      <c r="BX578" s="16"/>
      <c r="BY578" s="16"/>
      <c r="BZ578" s="16"/>
      <c r="CA578" s="16"/>
      <c r="CB578" s="16"/>
      <c r="CC578" s="16"/>
      <c r="CD578" s="16"/>
      <c r="CE578" s="16"/>
      <c r="CF578" s="16"/>
      <c r="CG578" s="16"/>
      <c r="CH578" s="16"/>
      <c r="CI578" s="16"/>
      <c r="CJ578" s="16"/>
      <c r="CK578" s="16"/>
      <c r="CL578" s="16"/>
      <c r="CM578" s="16"/>
      <c r="CN578" s="16"/>
      <c r="CO578" s="16"/>
      <c r="CP578" s="16"/>
      <c r="CQ578" s="16"/>
      <c r="CR578" s="16"/>
      <c r="CS578" s="16"/>
      <c r="CT578" s="16"/>
      <c r="CU578" s="16"/>
      <c r="CV578" s="16"/>
      <c r="CW578" s="16"/>
      <c r="CX578" s="16"/>
      <c r="CY578" s="16"/>
      <c r="CZ578" s="16"/>
      <c r="DA578" s="16"/>
      <c r="DB578" s="16"/>
      <c r="DC578" s="16"/>
      <c r="DD578" s="16"/>
      <c r="DE578" s="16"/>
      <c r="DF578" s="16"/>
      <c r="DG578" s="16"/>
      <c r="DH578" s="16"/>
      <c r="DI578" s="16"/>
      <c r="DJ578" s="16"/>
      <c r="DK578" s="16"/>
      <c r="DL578" s="16"/>
      <c r="DM578" s="16"/>
      <c r="DN578" s="16"/>
      <c r="DO578" s="16"/>
      <c r="DP578" s="16"/>
      <c r="DQ578" s="16"/>
      <c r="DR578" s="16"/>
      <c r="DS578" s="16"/>
      <c r="DT578" s="16"/>
      <c r="DU578" s="16"/>
      <c r="DV578" s="16"/>
      <c r="DW578" s="16"/>
      <c r="DX578" s="16"/>
      <c r="DY578" s="16"/>
      <c r="DZ578" s="16"/>
      <c r="EA578" s="16"/>
      <c r="EB578" s="16"/>
      <c r="EC578" s="16"/>
      <c r="ED578" s="16"/>
      <c r="EE578" s="16"/>
      <c r="EF578" s="16"/>
      <c r="EG578" s="16"/>
      <c r="EH578" s="16"/>
      <c r="EI578" s="16"/>
      <c r="EJ578" s="16"/>
      <c r="EK578" s="16"/>
      <c r="EL578" s="16"/>
      <c r="EM578" s="16"/>
      <c r="EN578" s="16"/>
      <c r="EO578" s="16"/>
      <c r="EP578" s="16"/>
      <c r="EQ578" s="16"/>
      <c r="ER578" s="16"/>
      <c r="ES578" s="16"/>
      <c r="ET578" s="16"/>
      <c r="EU578" s="16"/>
      <c r="EV578" s="16"/>
      <c r="EW578" s="16"/>
      <c r="EX578" s="16"/>
      <c r="EY578" s="16"/>
      <c r="EZ578" s="16"/>
      <c r="FA578" s="16"/>
      <c r="FB578" s="16"/>
      <c r="FC578" s="16"/>
      <c r="FD578" s="16"/>
      <c r="FE578" s="16"/>
      <c r="FF578" s="16"/>
      <c r="FG578" s="16"/>
      <c r="FH578" s="16"/>
      <c r="FI578" s="16"/>
      <c r="FJ578" s="16"/>
      <c r="FK578" s="16"/>
      <c r="FL578" s="16"/>
      <c r="FM578" s="16"/>
      <c r="FN578" s="16"/>
      <c r="FO578" s="16"/>
      <c r="FP578" s="16"/>
      <c r="FQ578" s="16"/>
      <c r="FR578" s="16"/>
      <c r="FS578" s="16"/>
      <c r="FT578" s="16"/>
      <c r="FU578" s="16"/>
      <c r="FV578" s="16"/>
      <c r="FW578" s="16"/>
      <c r="FX578" s="16"/>
      <c r="FY578" s="16"/>
      <c r="FZ578" s="16"/>
      <c r="GA578" s="16"/>
      <c r="GB578" s="16"/>
      <c r="GC578" s="16"/>
      <c r="GD578" s="16"/>
      <c r="GE578" s="16"/>
      <c r="GF578" s="16"/>
      <c r="GG578" s="16"/>
      <c r="GH578" s="16"/>
      <c r="GI578" s="16"/>
      <c r="GJ578" s="16"/>
      <c r="GK578" s="16"/>
      <c r="GL578" s="16"/>
      <c r="GM578" s="16"/>
      <c r="GN578" s="16"/>
      <c r="GO578" s="16"/>
      <c r="GP578" s="16"/>
      <c r="GQ578" s="16"/>
      <c r="GR578" s="16"/>
      <c r="GS578" s="16"/>
      <c r="GT578" s="16"/>
      <c r="GU578" s="16"/>
      <c r="GV578" s="16"/>
      <c r="GW578" s="16"/>
      <c r="GX578" s="16"/>
      <c r="GY578" s="16"/>
      <c r="GZ578" s="16"/>
      <c r="HA578" s="16"/>
      <c r="HB578" s="16"/>
      <c r="HC578" s="16"/>
      <c r="HD578" s="16"/>
      <c r="HE578" s="16"/>
      <c r="HF578" s="16"/>
      <c r="HG578" s="16"/>
      <c r="HH578" s="16"/>
      <c r="HI578" s="16"/>
      <c r="HJ578" s="16"/>
      <c r="HK578" s="16"/>
      <c r="HL578" s="16"/>
      <c r="HM578" s="16"/>
      <c r="HN578" s="16"/>
      <c r="HO578" s="16"/>
      <c r="HP578" s="16"/>
      <c r="HQ578" s="16"/>
      <c r="HR578" s="16"/>
      <c r="HS578" s="16"/>
      <c r="HT578" s="16"/>
      <c r="HU578" s="16"/>
      <c r="HV578" s="16"/>
      <c r="HW578" s="16"/>
      <c r="HX578" s="16"/>
      <c r="HY578" s="16"/>
      <c r="HZ578" s="16"/>
      <c r="IA578" s="16"/>
      <c r="IB578" s="16"/>
      <c r="IC578" s="16"/>
      <c r="ID578" s="16"/>
      <c r="IE578" s="16"/>
      <c r="IF578" s="16"/>
      <c r="IG578" s="16"/>
      <c r="IH578" s="16"/>
      <c r="II578" s="16"/>
      <c r="IJ578" s="16"/>
      <c r="IK578" s="16"/>
      <c r="IL578" s="16"/>
      <c r="IM578" s="16"/>
      <c r="IN578" s="16"/>
      <c r="IO578" s="16"/>
      <c r="IP578" s="16"/>
      <c r="IQ578" s="16"/>
      <c r="IR578" s="16"/>
      <c r="IS578" s="16"/>
      <c r="IT578" s="16"/>
      <c r="IU578" s="16"/>
      <c r="IV578" s="16"/>
      <c r="IW578" s="16"/>
      <c r="IX578" s="16"/>
      <c r="IY578" s="16"/>
      <c r="IZ578" s="16"/>
      <c r="JA578" s="16"/>
      <c r="JB578" s="16"/>
      <c r="JC578" s="16"/>
      <c r="JD578" s="16"/>
      <c r="JE578" s="16"/>
      <c r="JF578" s="16"/>
      <c r="JG578" s="16"/>
      <c r="JH578" s="16"/>
      <c r="JI578" s="16"/>
      <c r="JJ578" s="16"/>
      <c r="JK578" s="16"/>
      <c r="JL578" s="16"/>
      <c r="JM578" s="16"/>
      <c r="JN578" s="16"/>
      <c r="JO578" s="16"/>
      <c r="JP578" s="16"/>
      <c r="JQ578" s="16"/>
      <c r="JR578" s="16"/>
      <c r="JS578" s="16"/>
      <c r="JT578" s="16"/>
      <c r="JU578" s="16"/>
      <c r="JV578" s="16"/>
      <c r="JW578" s="16"/>
      <c r="JX578" s="16"/>
      <c r="JY578" s="16"/>
      <c r="JZ578" s="16"/>
      <c r="KA578" s="16"/>
      <c r="KB578" s="16"/>
      <c r="KC578" s="16"/>
      <c r="KD578" s="16"/>
      <c r="KE578" s="16"/>
      <c r="KF578" s="16"/>
      <c r="KG578" s="16"/>
      <c r="KH578" s="16"/>
      <c r="KI578" s="16"/>
      <c r="KJ578" s="16"/>
      <c r="KK578" s="16"/>
      <c r="KL578" s="16"/>
      <c r="KM578" s="16"/>
      <c r="KN578" s="16"/>
      <c r="KO578" s="16"/>
      <c r="KP578" s="16"/>
      <c r="KQ578" s="16"/>
      <c r="KR578" s="16"/>
      <c r="KS578" s="16"/>
      <c r="KT578" s="16"/>
      <c r="KU578" s="16"/>
      <c r="KV578" s="16"/>
      <c r="KW578" s="16"/>
      <c r="KX578" s="16"/>
      <c r="KY578" s="16"/>
      <c r="KZ578" s="16"/>
      <c r="LA578" s="16"/>
      <c r="LB578" s="16"/>
      <c r="LC578" s="16"/>
      <c r="LD578" s="16"/>
      <c r="LE578" s="16"/>
      <c r="LF578" s="16"/>
      <c r="LG578" s="16"/>
      <c r="LH578" s="16"/>
      <c r="LI578" s="16"/>
      <c r="LJ578" s="16"/>
      <c r="LK578" s="16"/>
      <c r="LL578" s="16"/>
      <c r="LM578" s="16"/>
      <c r="LN578" s="16"/>
      <c r="LO578" s="16"/>
      <c r="LP578" s="16"/>
      <c r="LQ578" s="16"/>
      <c r="LR578" s="16"/>
      <c r="LS578" s="16"/>
      <c r="LT578" s="16"/>
      <c r="LU578" s="16"/>
      <c r="LV578" s="16"/>
      <c r="LW578" s="16"/>
      <c r="LX578" s="16"/>
      <c r="LY578" s="16"/>
      <c r="LZ578" s="16"/>
      <c r="MA578" s="16"/>
      <c r="MB578" s="16"/>
      <c r="MC578" s="16"/>
      <c r="MD578" s="16"/>
      <c r="ME578" s="16"/>
      <c r="MF578" s="16"/>
      <c r="MG578" s="16"/>
      <c r="MH578" s="16"/>
      <c r="MI578" s="16"/>
      <c r="MJ578" s="16"/>
      <c r="MK578" s="16"/>
      <c r="ML578" s="16"/>
      <c r="MM578" s="16"/>
      <c r="MN578" s="16"/>
      <c r="MO578" s="16"/>
      <c r="MP578" s="16"/>
      <c r="MQ578" s="16"/>
      <c r="MR578" s="16"/>
      <c r="MS578" s="16"/>
      <c r="MT578" s="16"/>
      <c r="MU578" s="16"/>
      <c r="MV578" s="16"/>
      <c r="MW578" s="16"/>
      <c r="MX578" s="16"/>
      <c r="MY578" s="16"/>
      <c r="MZ578" s="16"/>
      <c r="NA578" s="16"/>
      <c r="NB578" s="16"/>
      <c r="NC578" s="16"/>
      <c r="ND578" s="16"/>
      <c r="NE578" s="16"/>
      <c r="NF578" s="16"/>
      <c r="NG578" s="16"/>
      <c r="NH578" s="16"/>
      <c r="NI578" s="16"/>
      <c r="NJ578" s="16"/>
      <c r="NK578" s="16"/>
      <c r="NL578" s="16"/>
      <c r="NM578" s="16"/>
      <c r="NN578" s="16"/>
      <c r="NO578" s="16"/>
      <c r="NP578" s="16"/>
      <c r="NQ578" s="16"/>
      <c r="NR578" s="16"/>
      <c r="NS578" s="16"/>
      <c r="NT578" s="16"/>
      <c r="NU578" s="16"/>
      <c r="NV578" s="16"/>
      <c r="NW578" s="16"/>
      <c r="NX578" s="16"/>
      <c r="NY578" s="16"/>
      <c r="NZ578" s="16"/>
      <c r="OA578" s="16"/>
      <c r="OB578" s="16"/>
      <c r="OC578" s="16"/>
      <c r="OD578" s="16"/>
      <c r="OE578" s="16"/>
      <c r="OF578" s="16"/>
      <c r="OG578" s="16"/>
      <c r="OH578" s="16"/>
      <c r="OI578" s="16"/>
      <c r="OJ578" s="16"/>
      <c r="OK578" s="16"/>
      <c r="OL578" s="16"/>
      <c r="OM578" s="16"/>
      <c r="ON578" s="16"/>
      <c r="OO578" s="16"/>
      <c r="OP578" s="16"/>
      <c r="OQ578" s="16"/>
      <c r="OR578" s="16"/>
      <c r="OS578" s="16"/>
      <c r="OT578" s="16"/>
      <c r="OU578" s="16"/>
      <c r="OV578" s="16"/>
      <c r="OW578" s="16"/>
      <c r="OX578" s="16"/>
      <c r="OY578" s="16"/>
      <c r="OZ578" s="16"/>
      <c r="PA578" s="16"/>
      <c r="PB578" s="16"/>
      <c r="PC578" s="16"/>
      <c r="PD578" s="16"/>
      <c r="PE578" s="16"/>
      <c r="PF578" s="16"/>
      <c r="PG578" s="16"/>
      <c r="PH578" s="16"/>
      <c r="PI578" s="16"/>
      <c r="PJ578" s="16"/>
      <c r="PK578" s="16"/>
      <c r="PL578" s="16"/>
      <c r="PM578" s="16"/>
      <c r="PN578" s="16"/>
      <c r="PO578" s="16"/>
      <c r="PP578" s="16"/>
      <c r="PQ578" s="16"/>
      <c r="PR578" s="16"/>
      <c r="PS578" s="16"/>
      <c r="PT578" s="16"/>
      <c r="PU578" s="16"/>
      <c r="PV578" s="16"/>
      <c r="PW578" s="16"/>
      <c r="PX578" s="16"/>
      <c r="PY578" s="16"/>
      <c r="PZ578" s="16"/>
      <c r="QA578" s="16"/>
      <c r="QB578" s="16"/>
      <c r="QC578" s="16"/>
      <c r="QD578" s="16"/>
      <c r="QE578" s="16"/>
      <c r="QF578" s="16"/>
      <c r="QG578" s="16"/>
      <c r="QH578" s="16"/>
      <c r="QI578" s="16"/>
      <c r="QJ578" s="16"/>
      <c r="QK578" s="16"/>
      <c r="QL578" s="16"/>
      <c r="QM578" s="16"/>
      <c r="QN578" s="16"/>
      <c r="QO578" s="16"/>
      <c r="QP578" s="16"/>
      <c r="QQ578" s="16"/>
      <c r="QR578" s="16"/>
      <c r="QS578" s="16"/>
      <c r="QT578" s="16"/>
      <c r="QU578" s="16"/>
      <c r="QV578" s="16"/>
      <c r="QW578" s="16"/>
      <c r="QX578" s="16"/>
      <c r="QY578" s="16"/>
      <c r="QZ578" s="16"/>
      <c r="RA578" s="16"/>
      <c r="RB578" s="16"/>
      <c r="RC578" s="16"/>
      <c r="RD578" s="16"/>
      <c r="RE578" s="16"/>
      <c r="RF578" s="16"/>
      <c r="RG578" s="16"/>
      <c r="RH578" s="16"/>
      <c r="RI578" s="16"/>
      <c r="RJ578" s="16"/>
      <c r="RK578" s="16"/>
      <c r="RL578" s="16"/>
      <c r="RM578" s="16"/>
      <c r="RN578" s="16"/>
      <c r="RO578" s="16"/>
      <c r="RP578" s="16"/>
      <c r="RQ578" s="16"/>
      <c r="RR578" s="16"/>
      <c r="RS578" s="16"/>
      <c r="RT578" s="16"/>
      <c r="RU578" s="16"/>
      <c r="RV578" s="16"/>
      <c r="RW578" s="16"/>
      <c r="RX578" s="16"/>
      <c r="RY578" s="16"/>
      <c r="RZ578" s="16"/>
      <c r="SA578" s="16"/>
      <c r="SB578" s="16"/>
      <c r="SC578" s="16"/>
      <c r="SD578" s="16"/>
      <c r="SE578" s="16"/>
      <c r="SF578" s="16"/>
      <c r="SG578" s="16"/>
      <c r="SH578" s="16"/>
      <c r="SI578" s="16"/>
      <c r="SJ578" s="16"/>
      <c r="SK578" s="16"/>
      <c r="SL578" s="16"/>
      <c r="SM578" s="16"/>
      <c r="SN578" s="16"/>
      <c r="SO578" s="16"/>
      <c r="SP578" s="16"/>
      <c r="SQ578" s="16"/>
      <c r="SR578" s="16"/>
      <c r="SS578" s="16"/>
      <c r="ST578" s="16"/>
      <c r="SU578" s="16"/>
      <c r="SV578" s="16"/>
      <c r="SW578" s="16"/>
      <c r="SX578" s="16"/>
      <c r="SY578" s="16"/>
      <c r="SZ578" s="16"/>
      <c r="TA578" s="16"/>
      <c r="TB578" s="16"/>
      <c r="TC578" s="16"/>
      <c r="TD578" s="16"/>
      <c r="TE578" s="16"/>
      <c r="TF578" s="16"/>
      <c r="TG578" s="16"/>
      <c r="TH578" s="16"/>
      <c r="TI578" s="16"/>
      <c r="TJ578" s="16"/>
      <c r="TK578" s="16"/>
      <c r="TL578" s="16"/>
      <c r="TM578" s="16"/>
      <c r="TN578" s="16"/>
      <c r="TO578" s="16"/>
      <c r="TP578" s="16"/>
      <c r="TQ578" s="16"/>
      <c r="TR578" s="16"/>
      <c r="TS578" s="16"/>
      <c r="TT578" s="16"/>
      <c r="TU578" s="16"/>
      <c r="TV578" s="16"/>
      <c r="TW578" s="16"/>
      <c r="TX578" s="16"/>
      <c r="TY578" s="16"/>
      <c r="TZ578" s="16"/>
      <c r="UA578" s="16"/>
      <c r="UB578" s="16"/>
      <c r="UC578" s="16"/>
      <c r="UD578" s="16"/>
      <c r="UE578" s="16"/>
      <c r="UF578" s="16"/>
      <c r="UG578" s="16"/>
      <c r="UH578" s="16"/>
      <c r="UI578" s="16"/>
      <c r="UJ578" s="16"/>
      <c r="UK578" s="16"/>
      <c r="UL578" s="16"/>
      <c r="UM578" s="16"/>
      <c r="UN578" s="16"/>
      <c r="UO578" s="16"/>
      <c r="UP578" s="16"/>
      <c r="UQ578" s="16"/>
      <c r="UR578" s="16"/>
      <c r="US578" s="16"/>
      <c r="UT578" s="16"/>
      <c r="UU578" s="16"/>
      <c r="UV578" s="16"/>
      <c r="UW578" s="16"/>
      <c r="UX578" s="16"/>
      <c r="UY578" s="16"/>
      <c r="UZ578" s="16"/>
      <c r="VA578" s="16"/>
      <c r="VB578" s="16"/>
      <c r="VC578" s="16"/>
      <c r="VD578" s="16"/>
      <c r="VE578" s="16"/>
      <c r="VF578" s="16"/>
      <c r="VG578" s="16"/>
      <c r="VH578" s="16"/>
      <c r="VI578" s="16"/>
      <c r="VJ578" s="16"/>
      <c r="VK578" s="16"/>
      <c r="VL578" s="16"/>
      <c r="VM578" s="16"/>
      <c r="VN578" s="16"/>
      <c r="VO578" s="16"/>
      <c r="VP578" s="16"/>
      <c r="VQ578" s="16"/>
      <c r="VR578" s="16"/>
      <c r="VS578" s="16"/>
      <c r="VT578" s="16"/>
      <c r="VU578" s="16"/>
      <c r="VV578" s="16"/>
      <c r="VW578" s="16"/>
      <c r="VX578" s="16"/>
      <c r="VY578" s="16"/>
      <c r="VZ578" s="16"/>
      <c r="WA578" s="16"/>
      <c r="WB578" s="16"/>
      <c r="WC578" s="16"/>
      <c r="WD578" s="16"/>
      <c r="WE578" s="16"/>
      <c r="WF578" s="16"/>
      <c r="WG578" s="16"/>
      <c r="WH578" s="16"/>
      <c r="WI578" s="16"/>
      <c r="WJ578" s="16"/>
      <c r="WK578" s="16"/>
      <c r="WL578" s="16"/>
      <c r="WM578" s="16"/>
      <c r="WN578" s="16"/>
      <c r="WO578" s="16"/>
      <c r="WP578" s="16"/>
      <c r="WQ578" s="16"/>
      <c r="WR578" s="16"/>
      <c r="WS578" s="16"/>
      <c r="WT578" s="16"/>
      <c r="WU578" s="16"/>
      <c r="WV578" s="16"/>
      <c r="WW578" s="16"/>
      <c r="WX578" s="16"/>
      <c r="WY578" s="16"/>
      <c r="WZ578" s="16"/>
      <c r="XA578" s="16"/>
      <c r="XB578" s="16"/>
      <c r="XC578" s="16"/>
      <c r="XD578" s="16"/>
      <c r="XE578" s="16"/>
      <c r="XF578" s="16"/>
      <c r="XG578" s="16"/>
      <c r="XH578" s="16"/>
      <c r="XI578" s="16"/>
      <c r="XJ578" s="16"/>
      <c r="XK578" s="16"/>
      <c r="XL578" s="16"/>
      <c r="XM578" s="16"/>
      <c r="XN578" s="16"/>
      <c r="XO578" s="16"/>
      <c r="XP578" s="16"/>
      <c r="XQ578" s="16"/>
      <c r="XR578" s="16"/>
      <c r="XS578" s="16"/>
      <c r="XT578" s="16"/>
      <c r="XU578" s="16"/>
      <c r="XV578" s="16"/>
      <c r="XW578" s="16"/>
      <c r="XX578" s="16"/>
      <c r="XY578" s="16"/>
      <c r="XZ578" s="16"/>
      <c r="YA578" s="16"/>
      <c r="YB578" s="16"/>
      <c r="YC578" s="16"/>
      <c r="YD578" s="16"/>
      <c r="YE578" s="16"/>
      <c r="YF578" s="16"/>
      <c r="YG578" s="16"/>
      <c r="YH578" s="16"/>
      <c r="YI578" s="16"/>
      <c r="YJ578" s="16"/>
      <c r="YK578" s="16"/>
      <c r="YL578" s="16"/>
      <c r="YM578" s="16"/>
      <c r="YN578" s="16"/>
      <c r="YO578" s="16"/>
      <c r="YP578" s="16"/>
      <c r="YQ578" s="16"/>
      <c r="YR578" s="16"/>
      <c r="YS578" s="16"/>
      <c r="YT578" s="16"/>
      <c r="YU578" s="16"/>
      <c r="YV578" s="16"/>
      <c r="YW578" s="16"/>
      <c r="YX578" s="16"/>
      <c r="YY578" s="16"/>
      <c r="YZ578" s="16"/>
      <c r="ZA578" s="16"/>
      <c r="ZB578" s="16"/>
      <c r="ZC578" s="16"/>
      <c r="ZD578" s="16"/>
      <c r="ZE578" s="16"/>
      <c r="ZF578" s="16"/>
      <c r="ZG578" s="16"/>
      <c r="ZH578" s="16"/>
      <c r="ZI578" s="16"/>
      <c r="ZJ578" s="16"/>
      <c r="ZK578" s="16"/>
      <c r="ZL578" s="16"/>
      <c r="ZM578" s="16"/>
      <c r="ZN578" s="16"/>
      <c r="ZO578" s="16"/>
      <c r="ZP578" s="16"/>
      <c r="ZQ578" s="16"/>
      <c r="ZR578" s="16"/>
      <c r="ZS578" s="16"/>
      <c r="ZT578" s="16"/>
      <c r="ZU578" s="16"/>
      <c r="ZV578" s="16"/>
      <c r="ZW578" s="16"/>
      <c r="ZX578" s="16"/>
      <c r="ZY578" s="16"/>
      <c r="ZZ578" s="16"/>
      <c r="AAA578" s="16"/>
      <c r="AAB578" s="16"/>
      <c r="AAC578" s="16"/>
      <c r="AAD578" s="16"/>
      <c r="AAE578" s="16"/>
      <c r="AAF578" s="16"/>
      <c r="AAG578" s="16"/>
      <c r="AAH578" s="16"/>
      <c r="AAI578" s="16"/>
      <c r="AAJ578" s="16"/>
      <c r="AAK578" s="16"/>
      <c r="AAL578" s="16"/>
      <c r="AAM578" s="16"/>
      <c r="AAN578" s="16"/>
      <c r="AAO578" s="16"/>
      <c r="AAP578" s="16"/>
      <c r="AAQ578" s="16"/>
      <c r="AAR578" s="16"/>
      <c r="AAS578" s="16"/>
      <c r="AAT578" s="16"/>
      <c r="AAU578" s="16"/>
      <c r="AAV578" s="16"/>
      <c r="AAW578" s="16"/>
      <c r="AAX578" s="16"/>
      <c r="AAY578" s="16"/>
      <c r="AAZ578" s="16"/>
      <c r="ABA578" s="16"/>
      <c r="ABB578" s="16"/>
      <c r="ABC578" s="16"/>
      <c r="ABD578" s="16"/>
      <c r="ABE578" s="16"/>
      <c r="ABF578" s="16"/>
      <c r="ABG578" s="16"/>
      <c r="ABH578" s="16"/>
      <c r="ABI578" s="16"/>
      <c r="ABJ578" s="16"/>
      <c r="ABK578" s="16"/>
      <c r="ABL578" s="16"/>
      <c r="ABM578" s="16"/>
      <c r="ABN578" s="16"/>
      <c r="ABO578" s="16"/>
      <c r="ABP578" s="16"/>
      <c r="ABQ578" s="16"/>
      <c r="ABR578" s="16"/>
      <c r="ABS578" s="16"/>
      <c r="ABT578" s="16"/>
      <c r="ABU578" s="16"/>
      <c r="ABV578" s="16"/>
      <c r="ABW578" s="16"/>
      <c r="ABX578" s="16"/>
      <c r="ABY578" s="16"/>
      <c r="ABZ578" s="16"/>
      <c r="ACA578" s="16"/>
      <c r="ACB578" s="16"/>
      <c r="ACC578" s="16"/>
      <c r="ACD578" s="16"/>
      <c r="ACE578" s="16"/>
      <c r="ACF578" s="16"/>
      <c r="ACG578" s="16"/>
      <c r="ACH578" s="16"/>
      <c r="ACI578" s="16"/>
      <c r="ACJ578" s="16"/>
      <c r="ACK578" s="16"/>
      <c r="ACL578" s="16"/>
      <c r="ACM578" s="16"/>
      <c r="ACN578" s="16"/>
      <c r="ACO578" s="16"/>
      <c r="ACP578" s="16"/>
      <c r="ACQ578" s="16"/>
      <c r="ACR578" s="16"/>
      <c r="ACS578" s="16"/>
      <c r="ACT578" s="16"/>
      <c r="ACU578" s="16"/>
      <c r="ACV578" s="16"/>
      <c r="ACW578" s="16"/>
      <c r="ACX578" s="16"/>
      <c r="ACY578" s="16"/>
      <c r="ACZ578" s="16"/>
      <c r="ADA578" s="16"/>
      <c r="ADB578" s="16"/>
      <c r="ADC578" s="16"/>
      <c r="ADD578" s="16"/>
      <c r="ADE578" s="16"/>
      <c r="ADF578" s="16"/>
      <c r="ADG578" s="16"/>
      <c r="ADH578" s="16"/>
      <c r="ADI578" s="16"/>
      <c r="ADJ578" s="16"/>
      <c r="ADK578" s="16"/>
      <c r="ADL578" s="16"/>
      <c r="ADM578" s="16"/>
      <c r="ADN578" s="16"/>
      <c r="ADO578" s="16"/>
      <c r="ADP578" s="16"/>
      <c r="ADQ578" s="16"/>
      <c r="ADR578" s="16"/>
      <c r="ADS578" s="16"/>
      <c r="ADT578" s="16"/>
      <c r="ADU578" s="16"/>
      <c r="ADV578" s="16"/>
      <c r="ADW578" s="16"/>
      <c r="ADX578" s="16"/>
      <c r="ADY578" s="16"/>
      <c r="ADZ578" s="16"/>
      <c r="AEA578" s="16"/>
      <c r="AEB578" s="16"/>
      <c r="AEC578" s="16"/>
      <c r="AED578" s="16"/>
      <c r="AEE578" s="16"/>
      <c r="AEF578" s="16"/>
      <c r="AEG578" s="16"/>
      <c r="AEH578" s="16"/>
      <c r="AEI578" s="16"/>
      <c r="AEJ578" s="16"/>
      <c r="AEK578" s="16"/>
      <c r="AEL578" s="16"/>
      <c r="AEM578" s="16"/>
      <c r="AEN578" s="16"/>
      <c r="AEO578" s="16"/>
      <c r="AEP578" s="16"/>
      <c r="AEQ578" s="16"/>
      <c r="AER578" s="16"/>
      <c r="AES578" s="16"/>
      <c r="AET578" s="16"/>
      <c r="AEU578" s="16"/>
      <c r="AEV578" s="16"/>
      <c r="AEW578" s="16"/>
      <c r="AEX578" s="16"/>
      <c r="AEY578" s="16"/>
      <c r="AEZ578" s="16"/>
      <c r="AFA578" s="16"/>
      <c r="AFB578" s="16"/>
      <c r="AFC578" s="16"/>
      <c r="AFD578" s="16"/>
      <c r="AFE578" s="16"/>
      <c r="AFF578" s="16"/>
      <c r="AFG578" s="16"/>
      <c r="AFH578" s="16"/>
      <c r="AFI578" s="16"/>
      <c r="AFJ578" s="16"/>
      <c r="AFK578" s="16"/>
      <c r="AFL578" s="16"/>
      <c r="AFM578" s="16"/>
      <c r="AFN578" s="16"/>
      <c r="AFO578" s="16"/>
      <c r="AFP578" s="16"/>
      <c r="AFQ578" s="16"/>
      <c r="AFR578" s="16"/>
      <c r="AFS578" s="16"/>
      <c r="AFT578" s="16"/>
      <c r="AFU578" s="16"/>
      <c r="AFV578" s="16"/>
      <c r="AFW578" s="16"/>
      <c r="AFX578" s="16"/>
      <c r="AFY578" s="16"/>
      <c r="AFZ578" s="16"/>
      <c r="AGA578" s="16"/>
      <c r="AGB578" s="16"/>
      <c r="AGC578" s="16"/>
      <c r="AGD578" s="16"/>
      <c r="AGE578" s="16"/>
      <c r="AGF578" s="16"/>
      <c r="AGG578" s="16"/>
      <c r="AGH578" s="16"/>
      <c r="AGI578" s="16"/>
      <c r="AGJ578" s="16"/>
    </row>
    <row r="579" spans="1:868">
      <c r="E579" s="217"/>
    </row>
    <row r="580" spans="1:868" s="221" customFormat="1">
      <c r="A580" s="406" t="s">
        <v>2049</v>
      </c>
      <c r="E580" s="893"/>
    </row>
    <row r="581" spans="1:868">
      <c r="A581" t="s">
        <v>2049</v>
      </c>
      <c r="B581" t="s">
        <v>2057</v>
      </c>
      <c r="C581" t="s">
        <v>139</v>
      </c>
      <c r="D581" t="s">
        <v>139</v>
      </c>
      <c r="E581" s="894">
        <f>'Clothing calculations'!E39</f>
        <v>8.7628865979381465E-2</v>
      </c>
      <c r="F581">
        <v>1</v>
      </c>
      <c r="G581" s="7" t="s">
        <v>2275</v>
      </c>
      <c r="H581" s="433">
        <v>2</v>
      </c>
      <c r="I581" s="433">
        <v>2</v>
      </c>
      <c r="J581" s="433">
        <v>2</v>
      </c>
      <c r="K581" s="433">
        <v>2</v>
      </c>
      <c r="L581" s="433">
        <v>3</v>
      </c>
      <c r="M581" s="433">
        <v>3</v>
      </c>
    </row>
    <row r="582" spans="1:868">
      <c r="A582" t="s">
        <v>2049</v>
      </c>
      <c r="B582" t="s">
        <v>2058</v>
      </c>
      <c r="C582" t="s">
        <v>139</v>
      </c>
      <c r="D582" t="s">
        <v>139</v>
      </c>
      <c r="E582" s="894">
        <f>'Clothing calculations'!E40</f>
        <v>8.7628865979381465E-2</v>
      </c>
      <c r="F582">
        <v>1</v>
      </c>
      <c r="G582" s="7" t="s">
        <v>2275</v>
      </c>
      <c r="H582" s="433">
        <v>2</v>
      </c>
      <c r="I582" s="433">
        <v>2</v>
      </c>
      <c r="J582" s="433">
        <v>2</v>
      </c>
      <c r="K582" s="433">
        <v>2</v>
      </c>
      <c r="L582" s="433">
        <v>3</v>
      </c>
      <c r="M582" s="433">
        <v>3</v>
      </c>
    </row>
    <row r="583" spans="1:868">
      <c r="A583" t="s">
        <v>2049</v>
      </c>
      <c r="B583" t="s">
        <v>2059</v>
      </c>
      <c r="C583" t="s">
        <v>139</v>
      </c>
      <c r="D583" t="s">
        <v>139</v>
      </c>
      <c r="E583" s="894">
        <f>'Clothing calculations'!E41</f>
        <v>0.15463917525773196</v>
      </c>
      <c r="F583">
        <v>2</v>
      </c>
      <c r="G583" s="7" t="s">
        <v>2089</v>
      </c>
      <c r="H583" s="433">
        <v>2</v>
      </c>
      <c r="I583" s="433">
        <v>2</v>
      </c>
      <c r="J583" s="433">
        <v>1</v>
      </c>
      <c r="K583" s="433">
        <v>2</v>
      </c>
      <c r="L583" s="433">
        <v>2</v>
      </c>
      <c r="M583" s="433">
        <v>2</v>
      </c>
      <c r="N583" s="377"/>
    </row>
    <row r="584" spans="1:868">
      <c r="A584" t="s">
        <v>2049</v>
      </c>
      <c r="B584" t="s">
        <v>2060</v>
      </c>
      <c r="C584" t="s">
        <v>139</v>
      </c>
      <c r="D584" t="s">
        <v>139</v>
      </c>
      <c r="E584" s="894">
        <f>'Clothing calculations'!E42</f>
        <v>0.25773195876288663</v>
      </c>
      <c r="F584">
        <v>2</v>
      </c>
      <c r="G584" s="7" t="s">
        <v>2089</v>
      </c>
      <c r="H584" s="433">
        <v>2</v>
      </c>
      <c r="I584" s="433">
        <v>2</v>
      </c>
      <c r="J584" s="433">
        <v>1</v>
      </c>
      <c r="K584" s="433">
        <v>2</v>
      </c>
      <c r="L584" s="433">
        <v>2</v>
      </c>
      <c r="M584" s="433">
        <v>2</v>
      </c>
      <c r="N584" s="377"/>
    </row>
    <row r="585" spans="1:868">
      <c r="A585" t="s">
        <v>2049</v>
      </c>
      <c r="B585" t="s">
        <v>2061</v>
      </c>
      <c r="C585" t="s">
        <v>139</v>
      </c>
      <c r="D585" t="s">
        <v>139</v>
      </c>
      <c r="E585" s="894">
        <f>'Clothing calculations'!E43</f>
        <v>0.33505154639175261</v>
      </c>
      <c r="F585">
        <v>2</v>
      </c>
      <c r="G585" s="7" t="s">
        <v>2089</v>
      </c>
      <c r="H585" s="433">
        <v>2</v>
      </c>
      <c r="I585" s="433">
        <v>2</v>
      </c>
      <c r="J585" s="433">
        <v>1</v>
      </c>
      <c r="K585" s="433">
        <v>2</v>
      </c>
      <c r="L585" s="433">
        <v>2</v>
      </c>
      <c r="M585" s="433">
        <v>2</v>
      </c>
      <c r="N585" s="377"/>
    </row>
    <row r="586" spans="1:868">
      <c r="A586" t="s">
        <v>2049</v>
      </c>
      <c r="B586" t="s">
        <v>2062</v>
      </c>
      <c r="C586" t="s">
        <v>139</v>
      </c>
      <c r="D586" t="s">
        <v>139</v>
      </c>
      <c r="E586" s="894">
        <f>'Clothing calculations'!E44</f>
        <v>7.7319587628865982E-2</v>
      </c>
      <c r="F586">
        <v>2</v>
      </c>
      <c r="G586" s="7" t="s">
        <v>2089</v>
      </c>
      <c r="H586" s="433">
        <v>2</v>
      </c>
      <c r="I586" s="433">
        <v>2</v>
      </c>
      <c r="J586" s="433">
        <v>1</v>
      </c>
      <c r="K586" s="433">
        <v>2</v>
      </c>
      <c r="L586" s="433">
        <v>2</v>
      </c>
      <c r="M586" s="433">
        <v>2</v>
      </c>
      <c r="N586" s="377"/>
    </row>
    <row r="587" spans="1:868">
      <c r="A587" s="433" t="s">
        <v>2057</v>
      </c>
      <c r="B587" s="433" t="s">
        <v>228</v>
      </c>
      <c r="C587" s="433" t="s">
        <v>139</v>
      </c>
      <c r="D587" s="433" t="s">
        <v>139</v>
      </c>
      <c r="E587" s="894">
        <v>0.5</v>
      </c>
      <c r="F587" s="433">
        <v>2</v>
      </c>
      <c r="G587" s="433" t="s">
        <v>157</v>
      </c>
      <c r="H587" s="433">
        <v>2</v>
      </c>
      <c r="I587">
        <v>2</v>
      </c>
      <c r="J587">
        <v>2</v>
      </c>
      <c r="K587">
        <v>2</v>
      </c>
      <c r="L587">
        <v>2</v>
      </c>
      <c r="M587">
        <v>4</v>
      </c>
    </row>
    <row r="588" spans="1:868">
      <c r="A588" s="433" t="s">
        <v>2057</v>
      </c>
      <c r="B588" s="433" t="s">
        <v>297</v>
      </c>
      <c r="C588" s="433" t="s">
        <v>139</v>
      </c>
      <c r="D588" s="433" t="s">
        <v>139</v>
      </c>
      <c r="E588" s="894" t="s">
        <v>150</v>
      </c>
      <c r="F588" s="433">
        <v>1</v>
      </c>
      <c r="G588" s="433" t="s">
        <v>157</v>
      </c>
      <c r="H588" s="433"/>
    </row>
    <row r="589" spans="1:868" s="861" customFormat="1">
      <c r="A589" s="433" t="s">
        <v>2058</v>
      </c>
      <c r="B589" s="433" t="s">
        <v>231</v>
      </c>
      <c r="C589" s="433" t="s">
        <v>139</v>
      </c>
      <c r="D589" s="433" t="s">
        <v>139</v>
      </c>
      <c r="E589" s="894">
        <v>0.5</v>
      </c>
      <c r="F589" s="433">
        <v>2</v>
      </c>
      <c r="G589" s="433" t="s">
        <v>157</v>
      </c>
      <c r="H589" s="433">
        <v>2</v>
      </c>
      <c r="I589">
        <v>2</v>
      </c>
      <c r="J589">
        <v>2</v>
      </c>
      <c r="K589">
        <v>2</v>
      </c>
      <c r="L589">
        <v>2</v>
      </c>
      <c r="M589">
        <v>4</v>
      </c>
    </row>
    <row r="590" spans="1:868" s="861" customFormat="1">
      <c r="A590" s="433" t="s">
        <v>2058</v>
      </c>
      <c r="B590" s="433" t="s">
        <v>251</v>
      </c>
      <c r="C590" s="433" t="s">
        <v>139</v>
      </c>
      <c r="D590" s="433" t="s">
        <v>139</v>
      </c>
      <c r="E590" s="894" t="s">
        <v>150</v>
      </c>
      <c r="F590" s="433">
        <v>1</v>
      </c>
      <c r="G590" s="433" t="s">
        <v>157</v>
      </c>
      <c r="H590" s="433"/>
      <c r="I590"/>
      <c r="J590"/>
      <c r="K590"/>
      <c r="L590"/>
      <c r="M590"/>
    </row>
    <row r="591" spans="1:868">
      <c r="A591" s="433" t="s">
        <v>2059</v>
      </c>
      <c r="B591" s="433" t="s">
        <v>231</v>
      </c>
      <c r="C591" s="433" t="s">
        <v>139</v>
      </c>
      <c r="D591" s="433" t="s">
        <v>139</v>
      </c>
      <c r="E591" s="894">
        <v>0.13</v>
      </c>
      <c r="F591" s="433">
        <v>2</v>
      </c>
      <c r="G591" s="433" t="s">
        <v>2274</v>
      </c>
      <c r="H591" s="433">
        <v>2</v>
      </c>
      <c r="I591">
        <v>2</v>
      </c>
      <c r="J591">
        <v>1</v>
      </c>
      <c r="K591">
        <v>2</v>
      </c>
      <c r="L591">
        <v>2</v>
      </c>
      <c r="M591">
        <v>1</v>
      </c>
    </row>
    <row r="592" spans="1:868">
      <c r="A592" s="433" t="s">
        <v>2059</v>
      </c>
      <c r="B592" s="433" t="s">
        <v>2083</v>
      </c>
      <c r="C592" s="433" t="s">
        <v>139</v>
      </c>
      <c r="D592" s="433" t="s">
        <v>139</v>
      </c>
      <c r="E592" s="894" t="s">
        <v>150</v>
      </c>
      <c r="F592" s="433">
        <v>1</v>
      </c>
      <c r="G592" s="433" t="s">
        <v>2274</v>
      </c>
      <c r="H592" s="433"/>
    </row>
    <row r="593" spans="1:13">
      <c r="A593" s="433" t="s">
        <v>2060</v>
      </c>
      <c r="B593" s="433" t="s">
        <v>232</v>
      </c>
      <c r="C593" s="433" t="s">
        <v>139</v>
      </c>
      <c r="D593" s="433" t="s">
        <v>139</v>
      </c>
      <c r="E593" s="894">
        <v>0.08</v>
      </c>
      <c r="F593" s="433">
        <v>2</v>
      </c>
      <c r="G593" s="433" t="s">
        <v>2274</v>
      </c>
      <c r="H593" s="433">
        <v>2</v>
      </c>
      <c r="I593">
        <v>2</v>
      </c>
      <c r="J593">
        <v>1</v>
      </c>
      <c r="K593">
        <v>2</v>
      </c>
      <c r="L593">
        <v>2</v>
      </c>
      <c r="M593">
        <v>1</v>
      </c>
    </row>
    <row r="594" spans="1:13">
      <c r="A594" s="433" t="s">
        <v>2060</v>
      </c>
      <c r="B594" s="433" t="s">
        <v>2084</v>
      </c>
      <c r="C594" s="433" t="s">
        <v>139</v>
      </c>
      <c r="D594" s="433" t="s">
        <v>139</v>
      </c>
      <c r="E594" s="894" t="s">
        <v>150</v>
      </c>
      <c r="F594" s="433">
        <v>1</v>
      </c>
      <c r="G594" s="433" t="s">
        <v>2274</v>
      </c>
      <c r="H594" s="433"/>
    </row>
    <row r="595" spans="1:13" s="861" customFormat="1">
      <c r="A595" s="433" t="s">
        <v>2061</v>
      </c>
      <c r="B595" s="433" t="s">
        <v>232</v>
      </c>
      <c r="C595" s="433" t="s">
        <v>139</v>
      </c>
      <c r="D595" s="433" t="s">
        <v>139</v>
      </c>
      <c r="E595" s="894">
        <v>0.08</v>
      </c>
      <c r="F595" s="433">
        <v>2</v>
      </c>
      <c r="G595" s="433" t="s">
        <v>2274</v>
      </c>
      <c r="H595" s="433">
        <v>2</v>
      </c>
      <c r="I595">
        <v>2</v>
      </c>
      <c r="J595">
        <v>1</v>
      </c>
      <c r="K595">
        <v>2</v>
      </c>
      <c r="L595">
        <v>2</v>
      </c>
      <c r="M595">
        <v>1</v>
      </c>
    </row>
    <row r="596" spans="1:13" s="861" customFormat="1">
      <c r="A596" s="433" t="s">
        <v>2061</v>
      </c>
      <c r="B596" s="433" t="s">
        <v>2085</v>
      </c>
      <c r="C596" s="433" t="s">
        <v>139</v>
      </c>
      <c r="D596" s="433" t="s">
        <v>139</v>
      </c>
      <c r="E596" s="894" t="s">
        <v>150</v>
      </c>
      <c r="F596" s="433">
        <v>1</v>
      </c>
      <c r="G596" s="433" t="s">
        <v>2274</v>
      </c>
      <c r="H596" s="433"/>
    </row>
    <row r="597" spans="1:13">
      <c r="A597" s="433" t="s">
        <v>2062</v>
      </c>
      <c r="B597" s="433" t="s">
        <v>232</v>
      </c>
      <c r="C597" s="433" t="s">
        <v>139</v>
      </c>
      <c r="D597" s="433" t="s">
        <v>139</v>
      </c>
      <c r="E597" s="894" t="s">
        <v>150</v>
      </c>
      <c r="F597" s="433">
        <v>1</v>
      </c>
      <c r="G597" s="433"/>
      <c r="H597" s="433"/>
    </row>
    <row r="598" spans="1:13">
      <c r="A598" s="433" t="s">
        <v>2083</v>
      </c>
      <c r="B598" s="433" t="s">
        <v>2086</v>
      </c>
      <c r="C598" s="433" t="s">
        <v>139</v>
      </c>
      <c r="D598" s="433" t="s">
        <v>139</v>
      </c>
      <c r="E598" s="217">
        <v>0.625</v>
      </c>
      <c r="F598">
        <v>2</v>
      </c>
      <c r="G598" t="s">
        <v>2087</v>
      </c>
      <c r="H598">
        <v>2</v>
      </c>
      <c r="I598">
        <v>2</v>
      </c>
      <c r="J598">
        <v>1</v>
      </c>
      <c r="K598">
        <v>1</v>
      </c>
      <c r="L598">
        <v>1</v>
      </c>
      <c r="M598">
        <v>1</v>
      </c>
    </row>
    <row r="599" spans="1:13">
      <c r="A599" s="433" t="s">
        <v>2083</v>
      </c>
      <c r="B599" s="433" t="s">
        <v>2088</v>
      </c>
      <c r="C599" s="433" t="s">
        <v>139</v>
      </c>
      <c r="D599" s="433" t="s">
        <v>139</v>
      </c>
      <c r="E599" s="217" t="s">
        <v>150</v>
      </c>
      <c r="F599">
        <v>1</v>
      </c>
    </row>
    <row r="600" spans="1:13">
      <c r="A600" s="433" t="s">
        <v>2084</v>
      </c>
      <c r="B600" s="433" t="s">
        <v>2086</v>
      </c>
      <c r="C600" s="433" t="s">
        <v>139</v>
      </c>
      <c r="D600" s="433" t="s">
        <v>139</v>
      </c>
      <c r="E600" s="217">
        <v>0.83</v>
      </c>
      <c r="F600">
        <v>2</v>
      </c>
      <c r="G600" t="s">
        <v>2087</v>
      </c>
      <c r="H600">
        <v>2</v>
      </c>
      <c r="I600">
        <v>2</v>
      </c>
      <c r="J600">
        <v>1</v>
      </c>
      <c r="K600">
        <v>1</v>
      </c>
      <c r="L600">
        <v>1</v>
      </c>
      <c r="M600">
        <v>1</v>
      </c>
    </row>
    <row r="601" spans="1:13">
      <c r="A601" s="433" t="s">
        <v>2084</v>
      </c>
      <c r="B601" s="433" t="s">
        <v>2088</v>
      </c>
      <c r="C601" s="433" t="s">
        <v>139</v>
      </c>
      <c r="D601" s="433" t="s">
        <v>139</v>
      </c>
      <c r="E601" s="217" t="s">
        <v>150</v>
      </c>
      <c r="F601">
        <v>1</v>
      </c>
    </row>
    <row r="602" spans="1:13">
      <c r="A602" s="433" t="s">
        <v>2085</v>
      </c>
      <c r="B602" s="433" t="s">
        <v>2086</v>
      </c>
      <c r="C602" s="433" t="s">
        <v>139</v>
      </c>
      <c r="D602" s="433" t="s">
        <v>139</v>
      </c>
      <c r="E602" s="217">
        <v>0.67</v>
      </c>
      <c r="F602">
        <v>2</v>
      </c>
      <c r="G602" t="s">
        <v>2087</v>
      </c>
      <c r="H602">
        <v>2</v>
      </c>
      <c r="I602">
        <v>2</v>
      </c>
      <c r="J602">
        <v>1</v>
      </c>
      <c r="K602">
        <v>1</v>
      </c>
      <c r="L602">
        <v>1</v>
      </c>
      <c r="M602">
        <v>1</v>
      </c>
    </row>
    <row r="603" spans="1:13">
      <c r="A603" s="433" t="s">
        <v>2085</v>
      </c>
      <c r="B603" s="433" t="s">
        <v>2088</v>
      </c>
      <c r="C603" s="433" t="s">
        <v>139</v>
      </c>
      <c r="D603" s="433" t="s">
        <v>139</v>
      </c>
      <c r="E603" s="217" t="s">
        <v>150</v>
      </c>
      <c r="F603">
        <v>1</v>
      </c>
    </row>
    <row r="604" spans="1:13">
      <c r="A604" s="433" t="s">
        <v>2086</v>
      </c>
      <c r="B604" s="433" t="s">
        <v>228</v>
      </c>
      <c r="C604" s="433" t="s">
        <v>139</v>
      </c>
      <c r="D604" s="433" t="s">
        <v>139</v>
      </c>
      <c r="E604" s="217">
        <v>0.01</v>
      </c>
      <c r="F604">
        <v>2</v>
      </c>
      <c r="G604" t="s">
        <v>43</v>
      </c>
      <c r="H604">
        <v>3</v>
      </c>
      <c r="I604">
        <v>3</v>
      </c>
      <c r="J604">
        <v>3</v>
      </c>
      <c r="K604">
        <v>3</v>
      </c>
      <c r="L604">
        <v>3</v>
      </c>
      <c r="M604">
        <v>3</v>
      </c>
    </row>
    <row r="605" spans="1:13">
      <c r="A605" s="433" t="s">
        <v>2086</v>
      </c>
      <c r="B605" s="433" t="s">
        <v>327</v>
      </c>
      <c r="C605" s="433" t="s">
        <v>139</v>
      </c>
      <c r="D605" s="433" t="s">
        <v>139</v>
      </c>
      <c r="E605" s="217" t="s">
        <v>150</v>
      </c>
      <c r="F605">
        <v>1</v>
      </c>
    </row>
    <row r="606" spans="1:13">
      <c r="A606" t="s">
        <v>2088</v>
      </c>
      <c r="B606" s="433" t="s">
        <v>228</v>
      </c>
      <c r="C606" s="433" t="s">
        <v>139</v>
      </c>
      <c r="D606" s="433" t="s">
        <v>139</v>
      </c>
      <c r="E606" s="217">
        <v>0.01</v>
      </c>
      <c r="F606">
        <v>2</v>
      </c>
      <c r="G606" t="s">
        <v>43</v>
      </c>
      <c r="H606">
        <v>3</v>
      </c>
      <c r="I606">
        <v>3</v>
      </c>
      <c r="J606">
        <v>3</v>
      </c>
      <c r="K606">
        <v>3</v>
      </c>
      <c r="L606">
        <v>3</v>
      </c>
      <c r="M606">
        <v>3</v>
      </c>
    </row>
    <row r="607" spans="1:13">
      <c r="A607" t="s">
        <v>2088</v>
      </c>
      <c r="B607" t="s">
        <v>232</v>
      </c>
      <c r="C607" s="433" t="s">
        <v>139</v>
      </c>
      <c r="D607" s="433" t="s">
        <v>139</v>
      </c>
      <c r="E607" s="217" t="s">
        <v>150</v>
      </c>
      <c r="F607">
        <v>1</v>
      </c>
    </row>
    <row r="608" spans="1:13">
      <c r="C608" s="433"/>
      <c r="D608" s="433"/>
      <c r="E608" s="217"/>
    </row>
    <row r="609" spans="1:13" s="221" customFormat="1">
      <c r="A609" s="406" t="s">
        <v>2183</v>
      </c>
      <c r="E609" s="893"/>
    </row>
    <row r="610" spans="1:13">
      <c r="A610" t="s">
        <v>2179</v>
      </c>
      <c r="B610" s="433" t="s">
        <v>297</v>
      </c>
      <c r="C610" s="433" t="s">
        <v>139</v>
      </c>
      <c r="D610" s="433" t="s">
        <v>139</v>
      </c>
      <c r="E610" t="s">
        <v>150</v>
      </c>
      <c r="F610" s="433">
        <v>1</v>
      </c>
      <c r="G610" s="433" t="s">
        <v>2185</v>
      </c>
      <c r="H610" s="433"/>
      <c r="I610" s="433"/>
      <c r="J610" s="433"/>
      <c r="K610" s="433"/>
      <c r="L610" s="433"/>
      <c r="M610" s="433"/>
    </row>
    <row r="611" spans="1:13">
      <c r="A611" t="s">
        <v>2179</v>
      </c>
      <c r="B611" s="433" t="s">
        <v>354</v>
      </c>
      <c r="C611" s="433" t="s">
        <v>139</v>
      </c>
      <c r="D611" s="433" t="s">
        <v>139</v>
      </c>
      <c r="E611">
        <v>0.1</v>
      </c>
      <c r="F611" s="433">
        <v>2</v>
      </c>
      <c r="G611" s="433" t="s">
        <v>2186</v>
      </c>
      <c r="H611" s="433">
        <v>3</v>
      </c>
      <c r="I611" s="433">
        <v>3</v>
      </c>
      <c r="J611" s="433">
        <v>3</v>
      </c>
      <c r="K611" s="433">
        <v>3</v>
      </c>
      <c r="L611" s="433">
        <v>3</v>
      </c>
      <c r="M611" s="433">
        <v>3</v>
      </c>
    </row>
    <row r="612" spans="1:13">
      <c r="A612" t="s">
        <v>2179</v>
      </c>
      <c r="B612" s="433" t="s">
        <v>391</v>
      </c>
      <c r="C612" s="433" t="s">
        <v>139</v>
      </c>
      <c r="D612" s="433" t="s">
        <v>139</v>
      </c>
      <c r="E612">
        <v>0.6</v>
      </c>
      <c r="F612" s="433">
        <v>2</v>
      </c>
      <c r="G612" s="433" t="s">
        <v>2185</v>
      </c>
      <c r="H612" s="433">
        <v>3</v>
      </c>
      <c r="I612" s="433">
        <v>3</v>
      </c>
      <c r="J612" s="433">
        <v>3</v>
      </c>
      <c r="K612" s="433">
        <v>3</v>
      </c>
      <c r="L612" s="433">
        <v>3</v>
      </c>
      <c r="M612" s="433">
        <v>3</v>
      </c>
    </row>
    <row r="613" spans="1:13" s="221" customFormat="1">
      <c r="A613" s="406" t="s">
        <v>2184</v>
      </c>
      <c r="E613" s="893"/>
    </row>
    <row r="614" spans="1:13">
      <c r="A614" t="s">
        <v>2180</v>
      </c>
      <c r="B614" s="433" t="s">
        <v>228</v>
      </c>
      <c r="C614" s="433" t="s">
        <v>139</v>
      </c>
      <c r="D614" s="433" t="s">
        <v>139</v>
      </c>
      <c r="E614">
        <f>1-E612-E611</f>
        <v>0.30000000000000004</v>
      </c>
      <c r="F614" s="433">
        <v>2</v>
      </c>
      <c r="G614" s="433" t="s">
        <v>2185</v>
      </c>
      <c r="H614" s="433">
        <v>3</v>
      </c>
      <c r="I614" s="433">
        <v>3</v>
      </c>
      <c r="J614" s="433">
        <v>3</v>
      </c>
      <c r="K614" s="433">
        <v>3</v>
      </c>
      <c r="L614" s="433">
        <v>3</v>
      </c>
      <c r="M614" s="433">
        <v>3</v>
      </c>
    </row>
    <row r="615" spans="1:13">
      <c r="A615" t="s">
        <v>2180</v>
      </c>
      <c r="B615" s="433" t="s">
        <v>231</v>
      </c>
      <c r="C615" s="433" t="s">
        <v>139</v>
      </c>
      <c r="D615" s="433" t="s">
        <v>139</v>
      </c>
      <c r="E615" s="433" t="s">
        <v>150</v>
      </c>
      <c r="F615" s="433">
        <v>1</v>
      </c>
      <c r="G615" s="433" t="s">
        <v>2185</v>
      </c>
    </row>
    <row r="617" spans="1:13" s="1009" customFormat="1">
      <c r="A617" s="1008" t="s">
        <v>21</v>
      </c>
    </row>
    <row r="618" spans="1:13" s="1009" customFormat="1"/>
    <row r="619" spans="1:13">
      <c r="A619" t="s">
        <v>47</v>
      </c>
      <c r="B619" t="s">
        <v>2191</v>
      </c>
      <c r="C619" t="s">
        <v>2119</v>
      </c>
      <c r="D619" t="s">
        <v>104</v>
      </c>
      <c r="E619" s="433" t="s">
        <v>2127</v>
      </c>
      <c r="F619" t="s">
        <v>2128</v>
      </c>
      <c r="H619" t="s">
        <v>101</v>
      </c>
      <c r="I619">
        <v>5</v>
      </c>
      <c r="J619">
        <v>6</v>
      </c>
      <c r="K619">
        <v>7</v>
      </c>
      <c r="L619">
        <v>8</v>
      </c>
    </row>
    <row r="620" spans="1:13">
      <c r="A620" t="s">
        <v>2029</v>
      </c>
      <c r="B620" t="s">
        <v>2120</v>
      </c>
      <c r="C620" s="640">
        <v>2</v>
      </c>
      <c r="E620">
        <v>5</v>
      </c>
      <c r="F620" s="859">
        <f t="shared" ref="F620:F632" si="83">E620/C620</f>
        <v>2.5</v>
      </c>
      <c r="G620" s="537">
        <f t="shared" ref="G620:G632" si="84">1/C620</f>
        <v>0.5</v>
      </c>
      <c r="H620">
        <v>1</v>
      </c>
      <c r="I620">
        <v>0.3</v>
      </c>
      <c r="J620" s="537">
        <f>I620*(1-$G$629)</f>
        <v>0.25</v>
      </c>
      <c r="K620">
        <f>J620*(1-$G$624)</f>
        <v>0.2142857142857143</v>
      </c>
      <c r="L620">
        <f>K620*(1-$G$623)</f>
        <v>0.1875</v>
      </c>
    </row>
    <row r="621" spans="1:13">
      <c r="A621" t="s">
        <v>2031</v>
      </c>
      <c r="B621" t="s">
        <v>2123</v>
      </c>
      <c r="C621" s="640">
        <v>5</v>
      </c>
      <c r="D621" s="983" t="s">
        <v>2276</v>
      </c>
      <c r="E621">
        <v>5</v>
      </c>
      <c r="F621" s="859">
        <f t="shared" si="83"/>
        <v>1</v>
      </c>
      <c r="G621" s="537">
        <f t="shared" si="84"/>
        <v>0.2</v>
      </c>
      <c r="H621">
        <v>2</v>
      </c>
      <c r="I621">
        <v>0.4</v>
      </c>
      <c r="J621" s="537">
        <f>I621*(1-$G$629*I621)</f>
        <v>0.37333333333333335</v>
      </c>
      <c r="K621">
        <f>J621*(1-$G$624*J621)</f>
        <v>0.35342222222222225</v>
      </c>
      <c r="L621">
        <f t="shared" ref="L621:L626" si="85">K621*(1-$G$623*K621)</f>
        <v>0.33780881382716055</v>
      </c>
    </row>
    <row r="622" spans="1:13">
      <c r="A622" t="s">
        <v>2032</v>
      </c>
      <c r="B622" t="s">
        <v>2123</v>
      </c>
      <c r="C622" s="640">
        <v>5</v>
      </c>
      <c r="D622" s="983" t="s">
        <v>2277</v>
      </c>
      <c r="E622">
        <v>5</v>
      </c>
      <c r="F622" s="859">
        <f t="shared" si="83"/>
        <v>1</v>
      </c>
      <c r="G622" s="537">
        <f t="shared" si="84"/>
        <v>0.2</v>
      </c>
      <c r="H622">
        <v>3</v>
      </c>
      <c r="I622">
        <v>0.15</v>
      </c>
      <c r="J622" s="537">
        <f>I622*(1-$G$629*I622)</f>
        <v>0.14624999999999999</v>
      </c>
      <c r="K622">
        <f>J622*(1-$G$624*J622)</f>
        <v>0.14319441964285715</v>
      </c>
      <c r="L622">
        <f t="shared" si="85"/>
        <v>0.14063133941575032</v>
      </c>
    </row>
    <row r="623" spans="1:13">
      <c r="A623" t="s">
        <v>2151</v>
      </c>
      <c r="B623" t="s">
        <v>2126</v>
      </c>
      <c r="C623" s="640">
        <v>8</v>
      </c>
      <c r="D623" s="983" t="s">
        <v>2278</v>
      </c>
      <c r="E623">
        <v>5</v>
      </c>
      <c r="F623" s="859">
        <f t="shared" si="83"/>
        <v>0.625</v>
      </c>
      <c r="G623" s="537">
        <f t="shared" si="84"/>
        <v>0.125</v>
      </c>
      <c r="H623">
        <v>4</v>
      </c>
      <c r="I623">
        <v>0.1</v>
      </c>
      <c r="J623" s="537">
        <f>I623*(1-$G$629*I623)</f>
        <v>9.8333333333333328E-2</v>
      </c>
      <c r="K623">
        <f>J623*(1-$G$624*J623)</f>
        <v>9.6951984126984123E-2</v>
      </c>
      <c r="L623">
        <f t="shared" si="85"/>
        <v>9.5777023223714244E-2</v>
      </c>
    </row>
    <row r="624" spans="1:13">
      <c r="A624" t="s">
        <v>2152</v>
      </c>
      <c r="B624" t="s">
        <v>2125</v>
      </c>
      <c r="C624" s="640">
        <v>7</v>
      </c>
      <c r="D624" s="983" t="s">
        <v>2279</v>
      </c>
      <c r="E624">
        <v>5</v>
      </c>
      <c r="F624" s="859">
        <f t="shared" si="83"/>
        <v>0.7142857142857143</v>
      </c>
      <c r="G624" s="537">
        <f t="shared" si="84"/>
        <v>0.14285714285714285</v>
      </c>
      <c r="H624">
        <v>5</v>
      </c>
      <c r="I624">
        <v>0.05</v>
      </c>
      <c r="J624" s="537">
        <f>I624*(1-$G$629*I624)</f>
        <v>4.958333333333334E-2</v>
      </c>
      <c r="K624">
        <f>J624*(1-$G$624*J624)</f>
        <v>4.9232118055555565E-2</v>
      </c>
      <c r="L624">
        <f t="shared" si="85"/>
        <v>4.8929142874526044E-2</v>
      </c>
    </row>
    <row r="625" spans="1:12">
      <c r="A625" t="s">
        <v>2153</v>
      </c>
      <c r="B625" t="s">
        <v>2121</v>
      </c>
      <c r="C625" s="640">
        <v>3</v>
      </c>
      <c r="D625" s="983" t="s">
        <v>2280</v>
      </c>
      <c r="E625">
        <v>5</v>
      </c>
      <c r="F625" s="859">
        <f t="shared" si="83"/>
        <v>1.6666666666666667</v>
      </c>
      <c r="G625" s="537">
        <f t="shared" si="84"/>
        <v>0.33333333333333331</v>
      </c>
      <c r="H625">
        <v>6</v>
      </c>
      <c r="J625" s="537">
        <f>1-SUM(J620:J624)</f>
        <v>8.2500000000000018E-2</v>
      </c>
      <c r="K625">
        <f>J625*(1-$G$624*J625)</f>
        <v>8.1527678571428591E-2</v>
      </c>
      <c r="L625">
        <f t="shared" si="85"/>
        <v>8.0696833274772811E-2</v>
      </c>
    </row>
    <row r="626" spans="1:12">
      <c r="A626" t="s">
        <v>2033</v>
      </c>
      <c r="B626" t="s">
        <v>2123</v>
      </c>
      <c r="C626" s="640">
        <v>5</v>
      </c>
      <c r="D626" s="983" t="s">
        <v>2281</v>
      </c>
      <c r="E626">
        <v>5</v>
      </c>
      <c r="F626" s="859">
        <f t="shared" si="83"/>
        <v>1</v>
      </c>
      <c r="G626" s="537">
        <f t="shared" si="84"/>
        <v>0.2</v>
      </c>
      <c r="H626">
        <v>7</v>
      </c>
      <c r="J626" s="537"/>
      <c r="K626">
        <f>1-SUM(K620:K625)</f>
        <v>6.1385863095237969E-2</v>
      </c>
      <c r="L626">
        <f t="shared" si="85"/>
        <v>6.0914835071744562E-2</v>
      </c>
    </row>
    <row r="627" spans="1:12">
      <c r="A627" t="s">
        <v>2154</v>
      </c>
      <c r="B627" t="s">
        <v>2122</v>
      </c>
      <c r="C627" s="640">
        <v>4</v>
      </c>
      <c r="D627" s="983" t="s">
        <v>2282</v>
      </c>
      <c r="E627">
        <v>5</v>
      </c>
      <c r="F627" s="859">
        <f t="shared" si="83"/>
        <v>1.25</v>
      </c>
      <c r="G627" s="537">
        <f t="shared" si="84"/>
        <v>0.25</v>
      </c>
      <c r="H627">
        <v>8</v>
      </c>
      <c r="J627" s="537"/>
      <c r="L627">
        <f>(1-SUM(L620:L626))</f>
        <v>4.7742012312331328E-2</v>
      </c>
    </row>
    <row r="628" spans="1:12">
      <c r="A628" t="s">
        <v>2155</v>
      </c>
      <c r="B628" t="s">
        <v>2123</v>
      </c>
      <c r="C628" s="640">
        <v>5</v>
      </c>
      <c r="D628" s="983" t="s">
        <v>2283</v>
      </c>
      <c r="E628">
        <v>5</v>
      </c>
      <c r="F628" s="859">
        <f t="shared" si="83"/>
        <v>1</v>
      </c>
      <c r="G628" s="537">
        <f t="shared" si="84"/>
        <v>0.2</v>
      </c>
    </row>
    <row r="629" spans="1:12">
      <c r="A629" t="s">
        <v>2156</v>
      </c>
      <c r="B629" t="s">
        <v>2124</v>
      </c>
      <c r="C629" s="640">
        <v>6</v>
      </c>
      <c r="D629" s="983" t="s">
        <v>2284</v>
      </c>
      <c r="E629">
        <v>5</v>
      </c>
      <c r="F629" s="859">
        <f t="shared" si="83"/>
        <v>0.83333333333333337</v>
      </c>
      <c r="G629" s="537">
        <f t="shared" si="84"/>
        <v>0.16666666666666666</v>
      </c>
    </row>
    <row r="630" spans="1:12">
      <c r="A630" t="s">
        <v>2034</v>
      </c>
      <c r="B630" t="s">
        <v>2120</v>
      </c>
      <c r="C630" s="640">
        <v>2</v>
      </c>
      <c r="D630" s="983" t="s">
        <v>2285</v>
      </c>
      <c r="E630">
        <v>5</v>
      </c>
      <c r="F630" s="859">
        <f t="shared" si="83"/>
        <v>2.5</v>
      </c>
      <c r="G630" s="537">
        <f t="shared" si="84"/>
        <v>0.5</v>
      </c>
    </row>
    <row r="631" spans="1:12">
      <c r="A631" t="s">
        <v>2035</v>
      </c>
      <c r="B631" t="s">
        <v>2123</v>
      </c>
      <c r="C631" s="640">
        <v>5</v>
      </c>
      <c r="D631" s="983" t="s">
        <v>2286</v>
      </c>
      <c r="E631">
        <v>5</v>
      </c>
      <c r="F631" s="859">
        <f t="shared" si="83"/>
        <v>1</v>
      </c>
      <c r="G631" s="537">
        <f t="shared" si="84"/>
        <v>0.2</v>
      </c>
    </row>
    <row r="632" spans="1:12">
      <c r="A632" t="s">
        <v>2036</v>
      </c>
      <c r="B632" t="s">
        <v>2121</v>
      </c>
      <c r="C632" s="640">
        <v>3</v>
      </c>
      <c r="D632" s="983" t="s">
        <v>2287</v>
      </c>
      <c r="E632">
        <v>5</v>
      </c>
      <c r="F632" s="859">
        <f t="shared" si="83"/>
        <v>1.6666666666666667</v>
      </c>
      <c r="G632" s="537">
        <f t="shared" si="84"/>
        <v>0.33333333333333331</v>
      </c>
    </row>
  </sheetData>
  <sortState xmlns:xlrd2="http://schemas.microsoft.com/office/spreadsheetml/2017/richdata2" ref="A620:E632">
    <sortCondition ref="A620:A632"/>
  </sortState>
  <mergeCells count="10">
    <mergeCell ref="A617:XFD618"/>
    <mergeCell ref="A1:XFD2"/>
    <mergeCell ref="A17:XFD18"/>
    <mergeCell ref="A106:XFD107"/>
    <mergeCell ref="A348:XFD349"/>
    <mergeCell ref="A410:XFD411"/>
    <mergeCell ref="A480:XFD481"/>
    <mergeCell ref="A334:XFD335"/>
    <mergeCell ref="A282:XFD283"/>
    <mergeCell ref="A194:XFD195"/>
  </mergeCells>
  <phoneticPr fontId="22" type="noConversion"/>
  <conditionalFormatting sqref="D284">
    <cfRule type="cellIs" dxfId="166" priority="1" operator="greaterThan">
      <formula>0</formula>
    </cfRule>
    <cfRule type="cellIs" dxfId="165" priority="2" operator="equal">
      <formula>0</formula>
    </cfRule>
  </conditionalFormatting>
  <conditionalFormatting sqref="H577:M577">
    <cfRule type="dataBar" priority="31">
      <dataBar>
        <cfvo type="min"/>
        <cfvo type="num" val="4"/>
        <color rgb="FFFFC000"/>
      </dataBar>
      <extLst>
        <ext xmlns:x14="http://schemas.microsoft.com/office/spreadsheetml/2009/9/main" uri="{B025F937-C7B1-47D3-B67F-A62EFF666E3E}">
          <x14:id>{077E6B03-0926-4126-A36D-D0D462304BAB}</x14:id>
        </ext>
      </extLst>
    </cfRule>
  </conditionalFormatting>
  <conditionalFormatting sqref="H577:M578">
    <cfRule type="cellIs" dxfId="164" priority="25" stopIfTrue="1" operator="notBetween">
      <formula>1</formula>
      <formula>4</formula>
    </cfRule>
  </conditionalFormatting>
  <conditionalFormatting sqref="H578:M578">
    <cfRule type="dataBar" priority="26">
      <dataBar>
        <cfvo type="min"/>
        <cfvo type="num" val="4"/>
        <color rgb="FFFFC000"/>
      </dataBar>
      <extLst>
        <ext xmlns:x14="http://schemas.microsoft.com/office/spreadsheetml/2009/9/main" uri="{B025F937-C7B1-47D3-B67F-A62EFF666E3E}">
          <x14:id>{B3A2B49B-96D6-49CD-B1D9-C5A0537EC66D}</x14:id>
        </ext>
      </extLst>
    </cfRule>
  </conditionalFormatting>
  <conditionalFormatting sqref="H577:O578">
    <cfRule type="containsBlanks" dxfId="163" priority="24" stopIfTrue="1">
      <formula>LEN(TRIM(H577))=0</formula>
    </cfRule>
  </conditionalFormatting>
  <conditionalFormatting sqref="K284">
    <cfRule type="containsBlanks" dxfId="162" priority="3">
      <formula>LEN(TRIM(K284))=0</formula>
    </cfRule>
    <cfRule type="dataBar" priority="4">
      <dataBar>
        <cfvo type="min"/>
        <cfvo type="max"/>
        <color rgb="FF3FCDFF"/>
      </dataBar>
      <extLst>
        <ext xmlns:x14="http://schemas.microsoft.com/office/spreadsheetml/2009/9/main" uri="{B025F937-C7B1-47D3-B67F-A62EFF666E3E}">
          <x14:id>{F72BEFB4-BCDF-425A-8658-6D82A4A6C3DA}</x14:id>
        </ext>
      </extLst>
    </cfRule>
  </conditionalFormatting>
  <conditionalFormatting sqref="N577:O577">
    <cfRule type="dataBar" priority="32">
      <dataBar>
        <cfvo type="min"/>
        <cfvo type="max"/>
        <color rgb="FF3FCDFF"/>
      </dataBar>
      <extLst>
        <ext xmlns:x14="http://schemas.microsoft.com/office/spreadsheetml/2009/9/main" uri="{B025F937-C7B1-47D3-B67F-A62EFF666E3E}">
          <x14:id>{C484C534-9628-4882-A22C-B61741BF5E04}</x14:id>
        </ext>
      </extLst>
    </cfRule>
  </conditionalFormatting>
  <conditionalFormatting sqref="N578:O578">
    <cfRule type="dataBar" priority="27">
      <dataBar>
        <cfvo type="min"/>
        <cfvo type="max"/>
        <color rgb="FF3FCDFF"/>
      </dataBar>
      <extLst>
        <ext xmlns:x14="http://schemas.microsoft.com/office/spreadsheetml/2009/9/main" uri="{B025F937-C7B1-47D3-B67F-A62EFF666E3E}">
          <x14:id>{84C7BC9F-4DD3-472E-9365-C87884B19B27}</x14:id>
        </ext>
      </extLst>
    </cfRule>
  </conditionalFormatting>
  <conditionalFormatting sqref="P577">
    <cfRule type="containsText" dxfId="161" priority="30" operator="containsText" text="Actual TC">
      <formula>NOT(ISERROR(SEARCH("Actual TC",P577)))</formula>
    </cfRule>
  </conditionalFormatting>
  <conditionalFormatting sqref="AC336">
    <cfRule type="containsBlanks" dxfId="160" priority="5">
      <formula>LEN(TRIM(AC336))=0</formula>
    </cfRule>
    <cfRule type="dataBar" priority="6">
      <dataBar>
        <cfvo type="min"/>
        <cfvo type="max"/>
        <color rgb="FF3FCDFF"/>
      </dataBar>
      <extLst>
        <ext xmlns:x14="http://schemas.microsoft.com/office/spreadsheetml/2009/9/main" uri="{B025F937-C7B1-47D3-B67F-A62EFF666E3E}">
          <x14:id>{53DC8003-FBAA-4146-8DDE-ACD14CFFA6F1}</x14:id>
        </ext>
      </extLst>
    </cfRule>
  </conditionalFormatting>
  <hyperlinks>
    <hyperlink ref="G5" r:id="rId1" xr:uid="{944E8DF4-0C18-45E0-B50D-52EB8E48090E}"/>
  </hyperlinks>
  <pageMargins left="0.7" right="0.7" top="0.75" bottom="0.75" header="0.3" footer="0.3"/>
  <legacyDrawing r:id="rId2"/>
  <extLst>
    <ext xmlns:x14="http://schemas.microsoft.com/office/spreadsheetml/2009/9/main" uri="{78C0D931-6437-407d-A8EE-F0AAD7539E65}">
      <x14:conditionalFormattings>
        <x14:conditionalFormatting xmlns:xm="http://schemas.microsoft.com/office/excel/2006/main">
          <x14:cfRule type="dataBar" id="{077E6B03-0926-4126-A36D-D0D462304BAB}">
            <x14:dataBar minLength="0" maxLength="100" gradient="0">
              <x14:cfvo type="autoMin"/>
              <x14:cfvo type="num">
                <xm:f>4</xm:f>
              </x14:cfvo>
              <x14:negativeFillColor rgb="FFFF0000"/>
              <x14:axisColor rgb="FF000000"/>
            </x14:dataBar>
          </x14:cfRule>
          <xm:sqref>H577:M577</xm:sqref>
        </x14:conditionalFormatting>
        <x14:conditionalFormatting xmlns:xm="http://schemas.microsoft.com/office/excel/2006/main">
          <x14:cfRule type="dataBar" id="{B3A2B49B-96D6-49CD-B1D9-C5A0537EC66D}">
            <x14:dataBar minLength="0" maxLength="100" gradient="0">
              <x14:cfvo type="autoMin"/>
              <x14:cfvo type="num">
                <xm:f>4</xm:f>
              </x14:cfvo>
              <x14:negativeFillColor rgb="FFFF0000"/>
              <x14:axisColor rgb="FF000000"/>
            </x14:dataBar>
          </x14:cfRule>
          <xm:sqref>H578:M578</xm:sqref>
        </x14:conditionalFormatting>
        <x14:conditionalFormatting xmlns:xm="http://schemas.microsoft.com/office/excel/2006/main">
          <x14:cfRule type="dataBar" id="{F72BEFB4-BCDF-425A-8658-6D82A4A6C3DA}">
            <x14:dataBar minLength="0" maxLength="100" gradient="0">
              <x14:cfvo type="autoMin"/>
              <x14:cfvo type="autoMax"/>
              <x14:negativeFillColor rgb="FFFF0000"/>
              <x14:axisColor rgb="FF000000"/>
            </x14:dataBar>
          </x14:cfRule>
          <xm:sqref>K284</xm:sqref>
        </x14:conditionalFormatting>
        <x14:conditionalFormatting xmlns:xm="http://schemas.microsoft.com/office/excel/2006/main">
          <x14:cfRule type="dataBar" id="{C484C534-9628-4882-A22C-B61741BF5E04}">
            <x14:dataBar minLength="0" maxLength="100" gradient="0">
              <x14:cfvo type="autoMin"/>
              <x14:cfvo type="autoMax"/>
              <x14:negativeFillColor rgb="FFFF0000"/>
              <x14:axisColor rgb="FF000000"/>
            </x14:dataBar>
          </x14:cfRule>
          <xm:sqref>N577:O577</xm:sqref>
        </x14:conditionalFormatting>
        <x14:conditionalFormatting xmlns:xm="http://schemas.microsoft.com/office/excel/2006/main">
          <x14:cfRule type="dataBar" id="{84C7BC9F-4DD3-472E-9365-C87884B19B27}">
            <x14:dataBar minLength="0" maxLength="100" gradient="0">
              <x14:cfvo type="autoMin"/>
              <x14:cfvo type="autoMax"/>
              <x14:negativeFillColor rgb="FFFF0000"/>
              <x14:axisColor rgb="FF000000"/>
            </x14:dataBar>
          </x14:cfRule>
          <xm:sqref>N578:O578</xm:sqref>
        </x14:conditionalFormatting>
        <x14:conditionalFormatting xmlns:xm="http://schemas.microsoft.com/office/excel/2006/main">
          <x14:cfRule type="dataBar" id="{53DC8003-FBAA-4146-8DDE-ACD14CFFA6F1}">
            <x14:dataBar minLength="0" maxLength="100" gradient="0">
              <x14:cfvo type="autoMin"/>
              <x14:cfvo type="autoMax"/>
              <x14:negativeFillColor rgb="FFFF0000"/>
              <x14:axisColor rgb="FF000000"/>
            </x14:dataBar>
          </x14:cfRule>
          <xm:sqref>AC336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20A1F-5489-41EA-B001-209405F6E644}">
  <sheetPr>
    <tabColor theme="8" tint="0.79998168889431442"/>
  </sheetPr>
  <dimension ref="A1:N241"/>
  <sheetViews>
    <sheetView workbookViewId="0">
      <selection activeCell="F23" sqref="F23"/>
    </sheetView>
  </sheetViews>
  <sheetFormatPr defaultRowHeight="14.4"/>
  <cols>
    <col min="1" max="1" width="66.88671875" customWidth="1"/>
    <col min="2" max="2" width="33.44140625" bestFit="1" customWidth="1"/>
    <col min="3" max="3" width="10.77734375" customWidth="1"/>
    <col min="4" max="4" width="14.33203125" customWidth="1"/>
    <col min="5" max="5" width="16.77734375" customWidth="1"/>
    <col min="6" max="6" width="41.44140625" customWidth="1"/>
    <col min="7" max="7" width="66" bestFit="1" customWidth="1"/>
  </cols>
  <sheetData>
    <row r="1" spans="1:3" s="1252" customFormat="1">
      <c r="A1" s="1252" t="s">
        <v>2362</v>
      </c>
    </row>
    <row r="2" spans="1:3" s="1252" customFormat="1"/>
    <row r="3" spans="1:3" s="1253" customFormat="1" ht="15.6" customHeight="1">
      <c r="A3" s="1254" t="s">
        <v>2363</v>
      </c>
    </row>
    <row r="4" spans="1:3" ht="16.2" customHeight="1">
      <c r="A4" s="222" t="s">
        <v>2291</v>
      </c>
      <c r="B4" s="222" t="s">
        <v>1007</v>
      </c>
      <c r="C4" s="222" t="s">
        <v>104</v>
      </c>
    </row>
    <row r="5" spans="1:3">
      <c r="A5" t="s">
        <v>2053</v>
      </c>
      <c r="B5">
        <v>0.98</v>
      </c>
      <c r="C5" t="s">
        <v>2056</v>
      </c>
    </row>
    <row r="6" spans="1:3">
      <c r="A6" t="s">
        <v>2054</v>
      </c>
      <c r="B6">
        <f>1-B5</f>
        <v>2.0000000000000018E-2</v>
      </c>
      <c r="C6" t="s">
        <v>2056</v>
      </c>
    </row>
    <row r="7" spans="1:3">
      <c r="A7" t="s">
        <v>2055</v>
      </c>
      <c r="B7">
        <v>0.05</v>
      </c>
      <c r="C7" t="s">
        <v>157</v>
      </c>
    </row>
    <row r="9" spans="1:3">
      <c r="A9" t="s">
        <v>2063</v>
      </c>
      <c r="B9">
        <v>29</v>
      </c>
      <c r="C9" t="s">
        <v>2064</v>
      </c>
    </row>
    <row r="10" spans="1:3">
      <c r="A10" t="s">
        <v>2065</v>
      </c>
      <c r="B10">
        <v>3.5177500000000008E-4</v>
      </c>
      <c r="C10" t="s">
        <v>2064</v>
      </c>
    </row>
    <row r="11" spans="1:3">
      <c r="A11" t="s">
        <v>2066</v>
      </c>
      <c r="B11">
        <f>B10/10</f>
        <v>3.5177500000000007E-5</v>
      </c>
    </row>
    <row r="13" spans="1:3">
      <c r="A13" t="s">
        <v>2067</v>
      </c>
      <c r="B13">
        <f>B9</f>
        <v>29</v>
      </c>
      <c r="C13" t="s">
        <v>2064</v>
      </c>
    </row>
    <row r="15" spans="1:3">
      <c r="A15" t="s">
        <v>2068</v>
      </c>
      <c r="B15">
        <v>0.34</v>
      </c>
      <c r="C15" t="s">
        <v>2080</v>
      </c>
    </row>
    <row r="16" spans="1:3">
      <c r="A16" t="s">
        <v>2069</v>
      </c>
      <c r="B16">
        <v>0.34</v>
      </c>
      <c r="C16" t="s">
        <v>2080</v>
      </c>
    </row>
    <row r="17" spans="1:3">
      <c r="A17" t="s">
        <v>2070</v>
      </c>
      <c r="B17">
        <v>0.06</v>
      </c>
      <c r="C17" t="s">
        <v>2080</v>
      </c>
    </row>
    <row r="18" spans="1:3">
      <c r="A18" t="s">
        <v>2071</v>
      </c>
      <c r="B18">
        <v>0.1</v>
      </c>
      <c r="C18" t="s">
        <v>2080</v>
      </c>
    </row>
    <row r="19" spans="1:3">
      <c r="A19" t="s">
        <v>2072</v>
      </c>
      <c r="B19">
        <v>0.13</v>
      </c>
      <c r="C19" t="s">
        <v>2080</v>
      </c>
    </row>
    <row r="20" spans="1:3">
      <c r="A20" t="s">
        <v>2073</v>
      </c>
      <c r="B20">
        <v>0.03</v>
      </c>
      <c r="C20" t="s">
        <v>2080</v>
      </c>
    </row>
    <row r="21" spans="1:3">
      <c r="A21" t="s">
        <v>2074</v>
      </c>
      <c r="B21">
        <f>B23/10</f>
        <v>4.5500000000000005E-6</v>
      </c>
      <c r="C21" t="s">
        <v>2082</v>
      </c>
    </row>
    <row r="22" spans="1:3">
      <c r="A22" t="s">
        <v>2075</v>
      </c>
      <c r="B22">
        <f>B23/10</f>
        <v>4.5500000000000005E-6</v>
      </c>
      <c r="C22" t="s">
        <v>2082</v>
      </c>
    </row>
    <row r="23" spans="1:3">
      <c r="A23" t="s">
        <v>2076</v>
      </c>
      <c r="B23">
        <v>4.5500000000000001E-5</v>
      </c>
      <c r="C23" t="s">
        <v>2081</v>
      </c>
    </row>
    <row r="24" spans="1:3">
      <c r="A24" t="s">
        <v>2077</v>
      </c>
      <c r="B24">
        <v>4.5500000000000001E-5</v>
      </c>
      <c r="C24" t="s">
        <v>2081</v>
      </c>
    </row>
    <row r="25" spans="1:3">
      <c r="A25" t="s">
        <v>2078</v>
      </c>
      <c r="B25">
        <v>4.5500000000000001E-5</v>
      </c>
      <c r="C25" t="s">
        <v>2081</v>
      </c>
    </row>
    <row r="26" spans="1:3">
      <c r="A26" t="s">
        <v>2079</v>
      </c>
      <c r="B26">
        <v>4.5500000000000001E-5</v>
      </c>
      <c r="C26" t="s">
        <v>2081</v>
      </c>
    </row>
    <row r="28" spans="1:3" s="1244" customFormat="1">
      <c r="A28" s="1247" t="s">
        <v>2360</v>
      </c>
    </row>
    <row r="29" spans="1:3">
      <c r="A29" s="222" t="s">
        <v>2291</v>
      </c>
      <c r="C29" s="222" t="s">
        <v>1007</v>
      </c>
    </row>
    <row r="30" spans="1:3">
      <c r="A30" t="s">
        <v>2264</v>
      </c>
      <c r="C30">
        <f>B15*B21*$B$13</f>
        <v>4.4863000000000007E-5</v>
      </c>
    </row>
    <row r="31" spans="1:3">
      <c r="A31" t="s">
        <v>2265</v>
      </c>
      <c r="C31">
        <f>B16*B22*$B$13</f>
        <v>4.4863000000000007E-5</v>
      </c>
    </row>
    <row r="32" spans="1:3">
      <c r="A32" t="s">
        <v>2266</v>
      </c>
      <c r="C32">
        <f>B17*B23*$B$13</f>
        <v>7.9170000000000003E-5</v>
      </c>
    </row>
    <row r="33" spans="1:14">
      <c r="A33" t="s">
        <v>2267</v>
      </c>
      <c r="C33">
        <f>B18*B24*$B$13</f>
        <v>1.3195000000000001E-4</v>
      </c>
    </row>
    <row r="34" spans="1:14">
      <c r="A34" t="s">
        <v>2268</v>
      </c>
      <c r="C34">
        <f>B19*B25*$B$13</f>
        <v>1.71535E-4</v>
      </c>
    </row>
    <row r="35" spans="1:14">
      <c r="A35" t="s">
        <v>2269</v>
      </c>
      <c r="C35">
        <f>B20*B26*$B$13</f>
        <v>3.9585000000000001E-5</v>
      </c>
    </row>
    <row r="37" spans="1:14" s="1244" customFormat="1" ht="15" thickBot="1">
      <c r="A37" s="1247" t="s">
        <v>2361</v>
      </c>
    </row>
    <row r="38" spans="1:14">
      <c r="A38" s="65" t="s">
        <v>129</v>
      </c>
      <c r="B38" s="107" t="s">
        <v>130</v>
      </c>
      <c r="C38" s="108" t="s">
        <v>131</v>
      </c>
      <c r="D38" s="109" t="s">
        <v>102</v>
      </c>
      <c r="E38" s="226" t="s">
        <v>132</v>
      </c>
      <c r="F38" s="108" t="s">
        <v>133</v>
      </c>
      <c r="G38" s="110" t="s">
        <v>104</v>
      </c>
      <c r="H38" s="111" t="s">
        <v>134</v>
      </c>
      <c r="I38" s="112" t="s">
        <v>135</v>
      </c>
      <c r="J38" s="112" t="s">
        <v>65</v>
      </c>
      <c r="K38" s="112" t="s">
        <v>67</v>
      </c>
      <c r="L38" s="112" t="s">
        <v>73</v>
      </c>
      <c r="M38" s="113" t="s">
        <v>79</v>
      </c>
    </row>
    <row r="39" spans="1:14">
      <c r="A39" t="s">
        <v>2049</v>
      </c>
      <c r="B39" t="s">
        <v>2057</v>
      </c>
      <c r="C39" t="s">
        <v>139</v>
      </c>
      <c r="D39" t="s">
        <v>139</v>
      </c>
      <c r="E39">
        <f>C30/SUM($C$30:$C$35)</f>
        <v>8.7628865979381465E-2</v>
      </c>
      <c r="F39">
        <v>1</v>
      </c>
      <c r="G39" s="7" t="s">
        <v>2275</v>
      </c>
      <c r="H39" s="433">
        <v>2</v>
      </c>
      <c r="I39" s="433">
        <v>2</v>
      </c>
      <c r="J39" s="433">
        <v>2</v>
      </c>
      <c r="K39" s="433">
        <v>2</v>
      </c>
      <c r="L39" s="433">
        <v>3</v>
      </c>
      <c r="M39" s="433">
        <v>3</v>
      </c>
    </row>
    <row r="40" spans="1:14">
      <c r="A40" t="s">
        <v>2049</v>
      </c>
      <c r="B40" t="s">
        <v>2058</v>
      </c>
      <c r="C40" t="s">
        <v>139</v>
      </c>
      <c r="D40" t="s">
        <v>139</v>
      </c>
      <c r="E40">
        <f>C31/SUM($C$30:$C$35)</f>
        <v>8.7628865979381465E-2</v>
      </c>
      <c r="F40">
        <v>1</v>
      </c>
      <c r="G40" s="7" t="s">
        <v>2275</v>
      </c>
      <c r="H40" s="433">
        <v>2</v>
      </c>
      <c r="I40" s="433">
        <v>2</v>
      </c>
      <c r="J40" s="433">
        <v>2</v>
      </c>
      <c r="K40" s="433">
        <v>2</v>
      </c>
      <c r="L40" s="433">
        <v>3</v>
      </c>
      <c r="M40" s="433">
        <v>3</v>
      </c>
    </row>
    <row r="41" spans="1:14">
      <c r="A41" t="s">
        <v>2049</v>
      </c>
      <c r="B41" t="s">
        <v>2059</v>
      </c>
      <c r="C41" t="s">
        <v>139</v>
      </c>
      <c r="D41" t="s">
        <v>139</v>
      </c>
      <c r="E41">
        <f>C32/SUM($C$30:$C$35)</f>
        <v>0.15463917525773196</v>
      </c>
      <c r="F41">
        <v>2</v>
      </c>
      <c r="G41" s="7" t="s">
        <v>2089</v>
      </c>
      <c r="H41" s="433">
        <v>2</v>
      </c>
      <c r="I41" s="433">
        <v>2</v>
      </c>
      <c r="J41" s="433">
        <v>1</v>
      </c>
      <c r="K41" s="433">
        <v>2</v>
      </c>
      <c r="L41" s="433">
        <v>2</v>
      </c>
      <c r="M41" s="433">
        <v>2</v>
      </c>
    </row>
    <row r="42" spans="1:14">
      <c r="A42" t="s">
        <v>2049</v>
      </c>
      <c r="B42" t="s">
        <v>2060</v>
      </c>
      <c r="C42" t="s">
        <v>139</v>
      </c>
      <c r="D42" t="s">
        <v>139</v>
      </c>
      <c r="E42">
        <f>C33/SUM($C$30:$C$35)</f>
        <v>0.25773195876288663</v>
      </c>
      <c r="F42">
        <v>2</v>
      </c>
      <c r="G42" s="7" t="s">
        <v>2089</v>
      </c>
      <c r="H42" s="433">
        <v>2</v>
      </c>
      <c r="I42" s="433">
        <v>2</v>
      </c>
      <c r="J42" s="433">
        <v>1</v>
      </c>
      <c r="K42" s="433">
        <v>2</v>
      </c>
      <c r="L42" s="433">
        <v>2</v>
      </c>
      <c r="M42" s="433">
        <v>2</v>
      </c>
    </row>
    <row r="43" spans="1:14">
      <c r="A43" t="s">
        <v>2049</v>
      </c>
      <c r="B43" t="s">
        <v>2061</v>
      </c>
      <c r="C43" t="s">
        <v>139</v>
      </c>
      <c r="D43" t="s">
        <v>139</v>
      </c>
      <c r="E43">
        <f>C34/SUM($C$30:$C$35)</f>
        <v>0.33505154639175261</v>
      </c>
      <c r="F43">
        <v>2</v>
      </c>
      <c r="G43" s="7" t="s">
        <v>2089</v>
      </c>
      <c r="H43" s="433">
        <v>2</v>
      </c>
      <c r="I43" s="433">
        <v>2</v>
      </c>
      <c r="J43" s="433">
        <v>1</v>
      </c>
      <c r="K43" s="433">
        <v>2</v>
      </c>
      <c r="L43" s="433">
        <v>2</v>
      </c>
      <c r="M43" s="433">
        <v>2</v>
      </c>
    </row>
    <row r="44" spans="1:14">
      <c r="A44" t="s">
        <v>2049</v>
      </c>
      <c r="B44" t="s">
        <v>2062</v>
      </c>
      <c r="C44" t="s">
        <v>139</v>
      </c>
      <c r="D44" t="s">
        <v>139</v>
      </c>
      <c r="E44">
        <f>C35/SUM($C$30:$C$35)</f>
        <v>7.7319587628865982E-2</v>
      </c>
      <c r="F44">
        <v>2</v>
      </c>
      <c r="G44" s="7" t="s">
        <v>2089</v>
      </c>
      <c r="H44" s="433">
        <v>2</v>
      </c>
      <c r="I44" s="433">
        <v>2</v>
      </c>
      <c r="J44" s="433">
        <v>1</v>
      </c>
      <c r="K44" s="433">
        <v>2</v>
      </c>
      <c r="L44" s="433">
        <v>2</v>
      </c>
      <c r="M44" s="433">
        <v>2</v>
      </c>
    </row>
    <row r="46" spans="1:14" s="1256" customFormat="1">
      <c r="A46" s="1257" t="s">
        <v>2364</v>
      </c>
      <c r="B46" s="1255"/>
      <c r="C46" s="1255"/>
      <c r="D46" s="1255"/>
      <c r="E46" s="1255"/>
      <c r="F46" s="1255"/>
      <c r="G46" s="1255"/>
      <c r="H46" s="1255"/>
      <c r="I46" s="1255"/>
      <c r="J46" s="1255"/>
      <c r="K46" s="1255"/>
      <c r="L46" s="1255"/>
      <c r="M46" s="1255"/>
      <c r="N46" s="1255"/>
    </row>
    <row r="47" spans="1:14" s="1256" customFormat="1">
      <c r="A47" s="1255"/>
      <c r="B47" s="1255"/>
      <c r="C47" s="1255"/>
      <c r="D47" s="1255"/>
      <c r="E47" s="1255"/>
      <c r="F47" s="1255"/>
      <c r="G47" s="1255"/>
      <c r="H47" s="1255"/>
      <c r="I47" s="1255"/>
      <c r="J47" s="1255"/>
      <c r="K47" s="1255"/>
      <c r="L47" s="1255"/>
      <c r="M47" s="1255"/>
      <c r="N47" s="1255"/>
    </row>
    <row r="48" spans="1:14" s="984" customFormat="1">
      <c r="A48" s="984" t="s">
        <v>2288</v>
      </c>
    </row>
    <row r="49" spans="1:13" s="984" customFormat="1">
      <c r="B49" s="984" t="s">
        <v>2144</v>
      </c>
      <c r="C49" s="984" t="s">
        <v>2145</v>
      </c>
      <c r="D49" s="984" t="s">
        <v>2150</v>
      </c>
      <c r="E49" s="984" t="s">
        <v>2214</v>
      </c>
      <c r="F49" s="984" t="s">
        <v>2213</v>
      </c>
      <c r="G49" s="984" t="s">
        <v>2212</v>
      </c>
      <c r="H49" s="984" t="s">
        <v>2215</v>
      </c>
    </row>
    <row r="50" spans="1:13" s="984" customFormat="1">
      <c r="A50" s="984" t="s">
        <v>2142</v>
      </c>
      <c r="B50" s="984">
        <v>100</v>
      </c>
      <c r="C50" s="984">
        <f>B50/5700000</f>
        <v>1.7543859649122806E-5</v>
      </c>
      <c r="D50" s="984">
        <f>C50*'Scaling tables'!$Y$25</f>
        <v>310.54354385964911</v>
      </c>
      <c r="E50" s="984">
        <f>107.6*1000</f>
        <v>107600</v>
      </c>
      <c r="F50" s="984">
        <f>D50/E50</f>
        <v>2.8860924150525009E-3</v>
      </c>
      <c r="G50" s="984">
        <f>104*1000</f>
        <v>104000</v>
      </c>
      <c r="H50" s="984">
        <f>D50/G50</f>
        <v>2.9859956140350875E-3</v>
      </c>
      <c r="I50" s="984" t="s">
        <v>2146</v>
      </c>
    </row>
    <row r="51" spans="1:13" s="984" customFormat="1">
      <c r="A51" s="984" t="s">
        <v>2143</v>
      </c>
      <c r="B51" s="984">
        <v>1000</v>
      </c>
      <c r="C51" s="984">
        <f>B51/5700000</f>
        <v>1.7543859649122806E-4</v>
      </c>
      <c r="D51" s="984">
        <f>C51*'Scaling tables'!$Y$25</f>
        <v>3105.4354385964912</v>
      </c>
      <c r="E51" s="984">
        <f>107.6*1000</f>
        <v>107600</v>
      </c>
      <c r="F51" s="984">
        <f>D51/E51</f>
        <v>2.8860924150525012E-2</v>
      </c>
      <c r="G51" s="984">
        <f>104*1000</f>
        <v>104000</v>
      </c>
      <c r="H51" s="984">
        <f>D51/G51</f>
        <v>2.9859956140350877E-2</v>
      </c>
      <c r="I51" s="984" t="s">
        <v>2146</v>
      </c>
    </row>
    <row r="52" spans="1:13" s="984" customFormat="1">
      <c r="A52" s="984" t="s">
        <v>2147</v>
      </c>
      <c r="C52" s="984">
        <f>109/(10^6)</f>
        <v>1.0900000000000001E-4</v>
      </c>
      <c r="D52" s="984">
        <f>C52*'Scaling tables'!$Y$25</f>
        <v>1929.4070380000001</v>
      </c>
      <c r="E52" s="984">
        <f>107.6*1000</f>
        <v>107600</v>
      </c>
      <c r="F52" s="984">
        <f>D52/E52</f>
        <v>1.793129217472119E-2</v>
      </c>
      <c r="G52" s="984">
        <f>104*1000</f>
        <v>104000</v>
      </c>
      <c r="H52" s="984">
        <f>D52/G52</f>
        <v>1.855199075E-2</v>
      </c>
      <c r="I52" s="984" t="s">
        <v>2148</v>
      </c>
    </row>
    <row r="53" spans="1:13" s="984" customFormat="1"/>
    <row r="54" spans="1:13" s="1247" customFormat="1" ht="15" thickBot="1">
      <c r="A54" s="1247" t="s">
        <v>15</v>
      </c>
    </row>
    <row r="55" spans="1:13" s="222" customFormat="1">
      <c r="A55" s="65" t="s">
        <v>129</v>
      </c>
      <c r="B55" s="107" t="s">
        <v>130</v>
      </c>
      <c r="C55" s="108" t="s">
        <v>131</v>
      </c>
      <c r="D55" s="109" t="s">
        <v>102</v>
      </c>
      <c r="E55" s="226" t="s">
        <v>132</v>
      </c>
      <c r="F55" s="108" t="s">
        <v>133</v>
      </c>
      <c r="G55" s="110" t="s">
        <v>104</v>
      </c>
      <c r="H55" s="111" t="s">
        <v>134</v>
      </c>
      <c r="I55" s="112" t="s">
        <v>135</v>
      </c>
      <c r="J55" s="112" t="s">
        <v>65</v>
      </c>
      <c r="K55" s="112" t="s">
        <v>67</v>
      </c>
      <c r="L55" s="112" t="s">
        <v>73</v>
      </c>
      <c r="M55" s="113" t="s">
        <v>79</v>
      </c>
    </row>
    <row r="56" spans="1:13">
      <c r="A56" t="s">
        <v>2178</v>
      </c>
      <c r="B56" t="s">
        <v>2181</v>
      </c>
      <c r="C56" t="s">
        <v>139</v>
      </c>
      <c r="D56" t="s">
        <v>139</v>
      </c>
      <c r="E56">
        <f>'Textile waste collection'!E35</f>
        <v>0.25</v>
      </c>
      <c r="F56">
        <f>'Textile waste collection'!F35</f>
        <v>2</v>
      </c>
      <c r="G56" t="str">
        <f>'Textile waste collection'!G35</f>
        <v>(de Waart et al., 2023)</v>
      </c>
      <c r="H56">
        <f>'Textile waste collection'!H35</f>
        <v>2</v>
      </c>
      <c r="I56">
        <f>'Textile waste collection'!I35</f>
        <v>2</v>
      </c>
      <c r="J56">
        <f>'Textile waste collection'!J35</f>
        <v>2</v>
      </c>
      <c r="K56">
        <f>'Textile waste collection'!K35</f>
        <v>3</v>
      </c>
      <c r="L56">
        <f>'Textile waste collection'!L35</f>
        <v>2</v>
      </c>
      <c r="M56">
        <f>'Textile waste collection'!M35</f>
        <v>2</v>
      </c>
    </row>
    <row r="57" spans="1:13">
      <c r="A57" t="s">
        <v>2178</v>
      </c>
      <c r="B57" t="s">
        <v>223</v>
      </c>
      <c r="C57" t="s">
        <v>139</v>
      </c>
      <c r="D57" t="s">
        <v>139</v>
      </c>
      <c r="E57" t="s">
        <v>150</v>
      </c>
      <c r="F57">
        <v>1</v>
      </c>
    </row>
    <row r="58" spans="1:13">
      <c r="A58" t="s">
        <v>2178</v>
      </c>
      <c r="B58" t="s">
        <v>204</v>
      </c>
      <c r="C58" t="s">
        <v>139</v>
      </c>
      <c r="D58" t="s">
        <v>139</v>
      </c>
      <c r="E58">
        <f>E103</f>
        <v>2.6918324999999996E-4</v>
      </c>
      <c r="F58">
        <v>2</v>
      </c>
      <c r="G58" t="str">
        <f>G103</f>
        <v>Kawecki &amp; Nowack (2019)</v>
      </c>
      <c r="H58">
        <f>H103</f>
        <v>2</v>
      </c>
      <c r="I58">
        <f>I103</f>
        <v>2</v>
      </c>
      <c r="J58">
        <f>J103</f>
        <v>2</v>
      </c>
      <c r="K58">
        <f>K103</f>
        <v>3</v>
      </c>
      <c r="L58">
        <f>L103</f>
        <v>3</v>
      </c>
      <c r="M58">
        <f>M103</f>
        <v>3</v>
      </c>
    </row>
    <row r="59" spans="1:13">
      <c r="A59" t="s">
        <v>2178</v>
      </c>
      <c r="B59" t="s">
        <v>2179</v>
      </c>
      <c r="C59" t="s">
        <v>139</v>
      </c>
      <c r="D59" t="str">
        <f>B227</f>
        <v>RUBBER</v>
      </c>
      <c r="E59" s="985">
        <f>E227</f>
        <v>5.7712387375211246E-3</v>
      </c>
      <c r="F59">
        <v>3</v>
      </c>
      <c r="G59" t="s">
        <v>2289</v>
      </c>
      <c r="H59">
        <v>1</v>
      </c>
      <c r="I59">
        <v>2</v>
      </c>
      <c r="J59">
        <v>2</v>
      </c>
      <c r="K59">
        <v>2</v>
      </c>
      <c r="L59">
        <v>2</v>
      </c>
      <c r="M59">
        <v>3</v>
      </c>
    </row>
    <row r="60" spans="1:13">
      <c r="A60" t="s">
        <v>2178</v>
      </c>
      <c r="B60" t="s">
        <v>2179</v>
      </c>
      <c r="C60" t="s">
        <v>139</v>
      </c>
      <c r="D60" t="str">
        <f>B228</f>
        <v>RUBBER</v>
      </c>
      <c r="E60" s="985">
        <f t="shared" ref="E60:E66" si="0">E228</f>
        <v>1.1542477475042249E-2</v>
      </c>
      <c r="F60">
        <v>3</v>
      </c>
      <c r="G60" t="s">
        <v>2290</v>
      </c>
      <c r="H60">
        <v>1</v>
      </c>
      <c r="I60">
        <v>2</v>
      </c>
      <c r="J60">
        <v>2</v>
      </c>
      <c r="K60">
        <v>2</v>
      </c>
      <c r="L60">
        <v>2</v>
      </c>
      <c r="M60">
        <v>3</v>
      </c>
    </row>
    <row r="61" spans="1:13">
      <c r="A61" t="s">
        <v>2178</v>
      </c>
      <c r="B61" t="s">
        <v>2179</v>
      </c>
      <c r="C61" t="s">
        <v>139</v>
      </c>
      <c r="D61" t="str">
        <f>B229</f>
        <v>PUR</v>
      </c>
      <c r="E61" s="985">
        <f t="shared" si="0"/>
        <v>2.5413504031689942E-3</v>
      </c>
      <c r="F61">
        <v>3</v>
      </c>
      <c r="G61" t="s">
        <v>2289</v>
      </c>
      <c r="H61">
        <v>1</v>
      </c>
      <c r="I61">
        <v>2</v>
      </c>
      <c r="J61">
        <v>2</v>
      </c>
      <c r="K61">
        <v>2</v>
      </c>
      <c r="L61">
        <v>2</v>
      </c>
      <c r="M61">
        <v>3</v>
      </c>
    </row>
    <row r="62" spans="1:13">
      <c r="A62" t="s">
        <v>2178</v>
      </c>
      <c r="B62" t="s">
        <v>2179</v>
      </c>
      <c r="C62" t="s">
        <v>139</v>
      </c>
      <c r="D62" t="str">
        <f>B230</f>
        <v>PUR</v>
      </c>
      <c r="E62" s="985">
        <f t="shared" si="0"/>
        <v>5.0827008063379885E-3</v>
      </c>
      <c r="F62">
        <v>3</v>
      </c>
      <c r="G62" t="s">
        <v>2290</v>
      </c>
      <c r="H62">
        <v>1</v>
      </c>
      <c r="I62">
        <v>2</v>
      </c>
      <c r="J62">
        <v>2</v>
      </c>
      <c r="K62">
        <v>2</v>
      </c>
      <c r="L62">
        <v>2</v>
      </c>
      <c r="M62">
        <v>3</v>
      </c>
    </row>
    <row r="63" spans="1:13">
      <c r="A63" t="s">
        <v>2178</v>
      </c>
      <c r="B63" t="s">
        <v>2179</v>
      </c>
      <c r="C63" t="s">
        <v>139</v>
      </c>
      <c r="D63" t="str">
        <f>B231</f>
        <v>EVA</v>
      </c>
      <c r="E63" s="985">
        <f t="shared" si="0"/>
        <v>2.6370870403593857E-3</v>
      </c>
      <c r="F63">
        <v>3</v>
      </c>
      <c r="G63" t="s">
        <v>2289</v>
      </c>
      <c r="H63">
        <v>1</v>
      </c>
      <c r="I63">
        <v>2</v>
      </c>
      <c r="J63">
        <v>2</v>
      </c>
      <c r="K63">
        <v>2</v>
      </c>
      <c r="L63">
        <v>2</v>
      </c>
      <c r="M63">
        <v>3</v>
      </c>
    </row>
    <row r="64" spans="1:13">
      <c r="A64" t="s">
        <v>2178</v>
      </c>
      <c r="B64" t="s">
        <v>2179</v>
      </c>
      <c r="C64" t="s">
        <v>139</v>
      </c>
      <c r="D64" t="str">
        <f>B232</f>
        <v>EVA</v>
      </c>
      <c r="E64" s="985">
        <f t="shared" si="0"/>
        <v>5.2741740807187715E-3</v>
      </c>
      <c r="F64">
        <v>3</v>
      </c>
      <c r="G64" t="s">
        <v>2290</v>
      </c>
      <c r="H64">
        <v>1</v>
      </c>
      <c r="I64">
        <v>2</v>
      </c>
      <c r="J64">
        <v>2</v>
      </c>
      <c r="K64">
        <v>2</v>
      </c>
      <c r="L64">
        <v>2</v>
      </c>
      <c r="M64">
        <v>3</v>
      </c>
    </row>
    <row r="65" spans="1:13">
      <c r="A65" t="s">
        <v>2178</v>
      </c>
      <c r="B65" t="s">
        <v>2179</v>
      </c>
      <c r="C65" t="s">
        <v>139</v>
      </c>
      <c r="D65" t="str">
        <f>B233</f>
        <v>PVC</v>
      </c>
      <c r="E65" s="985">
        <f t="shared" si="0"/>
        <v>3.2506855134566658E-3</v>
      </c>
      <c r="F65">
        <v>3</v>
      </c>
      <c r="G65" t="s">
        <v>2289</v>
      </c>
      <c r="H65">
        <v>1</v>
      </c>
      <c r="I65">
        <v>2</v>
      </c>
      <c r="J65">
        <v>2</v>
      </c>
      <c r="K65">
        <v>2</v>
      </c>
      <c r="L65">
        <v>2</v>
      </c>
      <c r="M65">
        <v>3</v>
      </c>
    </row>
    <row r="66" spans="1:13">
      <c r="A66" t="s">
        <v>2178</v>
      </c>
      <c r="B66" t="s">
        <v>2179</v>
      </c>
      <c r="C66" t="s">
        <v>139</v>
      </c>
      <c r="D66" t="str">
        <f>B234</f>
        <v>PVC</v>
      </c>
      <c r="E66" s="985">
        <f t="shared" si="0"/>
        <v>6.5013710269133315E-3</v>
      </c>
      <c r="F66">
        <v>3</v>
      </c>
      <c r="G66" t="s">
        <v>2290</v>
      </c>
      <c r="H66">
        <v>1</v>
      </c>
      <c r="I66">
        <v>2</v>
      </c>
      <c r="J66">
        <v>2</v>
      </c>
      <c r="K66">
        <v>2</v>
      </c>
      <c r="L66">
        <v>2</v>
      </c>
      <c r="M66">
        <v>3</v>
      </c>
    </row>
    <row r="67" spans="1:13">
      <c r="A67" t="s">
        <v>2178</v>
      </c>
      <c r="B67" t="s">
        <v>2180</v>
      </c>
      <c r="C67" t="s">
        <v>139</v>
      </c>
      <c r="D67" t="str">
        <f>D69</f>
        <v>PA</v>
      </c>
      <c r="E67">
        <f>E69</f>
        <v>3.0249999999999999E-3</v>
      </c>
      <c r="F67">
        <v>3</v>
      </c>
      <c r="G67" t="str">
        <f>G69</f>
        <v>Average loss during wear, Kawecki et al. 2019, SI table 17</v>
      </c>
      <c r="H67">
        <f>H88</f>
        <v>2</v>
      </c>
      <c r="I67">
        <f>I88</f>
        <v>2</v>
      </c>
      <c r="J67">
        <f>J88</f>
        <v>2</v>
      </c>
      <c r="K67">
        <f>K88</f>
        <v>2</v>
      </c>
      <c r="L67">
        <f>L88</f>
        <v>2</v>
      </c>
      <c r="M67">
        <f>M88</f>
        <v>2</v>
      </c>
    </row>
    <row r="68" spans="1:13">
      <c r="A68" t="s">
        <v>2178</v>
      </c>
      <c r="B68" t="s">
        <v>2180</v>
      </c>
      <c r="C68" t="s">
        <v>139</v>
      </c>
      <c r="D68" t="str">
        <f>D70</f>
        <v>PET</v>
      </c>
      <c r="E68">
        <f>E70</f>
        <v>3.0249999999999999E-3</v>
      </c>
      <c r="F68">
        <v>3</v>
      </c>
      <c r="G68" t="str">
        <f>G70</f>
        <v>Average loss during wear, Kawecki et al. 2019, SI table 17</v>
      </c>
      <c r="H68">
        <f t="shared" ref="H68:M68" si="1">H76</f>
        <v>2</v>
      </c>
      <c r="I68">
        <f t="shared" si="1"/>
        <v>2</v>
      </c>
      <c r="J68">
        <f t="shared" si="1"/>
        <v>2</v>
      </c>
      <c r="K68">
        <f t="shared" si="1"/>
        <v>2</v>
      </c>
      <c r="L68">
        <f t="shared" si="1"/>
        <v>2</v>
      </c>
      <c r="M68">
        <f t="shared" si="1"/>
        <v>2</v>
      </c>
    </row>
    <row r="69" spans="1:13">
      <c r="A69" t="s">
        <v>2177</v>
      </c>
      <c r="B69" t="s">
        <v>2176</v>
      </c>
      <c r="C69" t="s">
        <v>139</v>
      </c>
      <c r="D69" t="s">
        <v>95</v>
      </c>
      <c r="E69">
        <f>E76</f>
        <v>3.0249999999999999E-3</v>
      </c>
      <c r="G69" t="str">
        <f t="shared" ref="G69:M69" si="2">G76</f>
        <v>Average loss during wear, Kawecki et al. 2019, SI table 17</v>
      </c>
      <c r="H69">
        <f t="shared" si="2"/>
        <v>2</v>
      </c>
      <c r="I69">
        <f t="shared" si="2"/>
        <v>2</v>
      </c>
      <c r="J69">
        <f t="shared" si="2"/>
        <v>2</v>
      </c>
      <c r="K69">
        <f t="shared" si="2"/>
        <v>2</v>
      </c>
      <c r="L69">
        <f t="shared" si="2"/>
        <v>2</v>
      </c>
      <c r="M69">
        <f t="shared" si="2"/>
        <v>2</v>
      </c>
    </row>
    <row r="70" spans="1:13">
      <c r="A70" t="s">
        <v>2177</v>
      </c>
      <c r="B70" t="s">
        <v>2176</v>
      </c>
      <c r="C70" t="s">
        <v>139</v>
      </c>
      <c r="D70" t="s">
        <v>91</v>
      </c>
      <c r="E70">
        <f>E76</f>
        <v>3.0249999999999999E-3</v>
      </c>
      <c r="G70" t="str">
        <f t="shared" ref="G70:M70" si="3">G76</f>
        <v>Average loss during wear, Kawecki et al. 2019, SI table 17</v>
      </c>
      <c r="H70">
        <f t="shared" si="3"/>
        <v>2</v>
      </c>
      <c r="I70">
        <f t="shared" si="3"/>
        <v>2</v>
      </c>
      <c r="J70">
        <f t="shared" si="3"/>
        <v>2</v>
      </c>
      <c r="K70">
        <f t="shared" si="3"/>
        <v>2</v>
      </c>
      <c r="L70">
        <f t="shared" si="3"/>
        <v>2</v>
      </c>
      <c r="M70">
        <f t="shared" si="3"/>
        <v>2</v>
      </c>
    </row>
    <row r="72" spans="1:13" s="1225" customFormat="1">
      <c r="A72" s="1225" t="s">
        <v>2365</v>
      </c>
    </row>
    <row r="73" spans="1:13" s="1225" customFormat="1"/>
    <row r="74" spans="1:13" s="1261" customFormat="1" ht="16.2" customHeight="1">
      <c r="A74" s="1262" t="s">
        <v>2366</v>
      </c>
    </row>
    <row r="75" spans="1:13" s="222" customFormat="1" ht="12.6" customHeight="1">
      <c r="A75" s="222" t="s">
        <v>129</v>
      </c>
      <c r="B75" s="222" t="s">
        <v>130</v>
      </c>
      <c r="C75" s="222" t="s">
        <v>131</v>
      </c>
      <c r="D75" s="222" t="s">
        <v>102</v>
      </c>
      <c r="E75" s="222" t="s">
        <v>132</v>
      </c>
      <c r="F75" s="222" t="s">
        <v>133</v>
      </c>
      <c r="G75" s="222" t="s">
        <v>104</v>
      </c>
      <c r="H75" s="222" t="s">
        <v>134</v>
      </c>
      <c r="I75" s="222" t="s">
        <v>135</v>
      </c>
      <c r="J75" s="222" t="s">
        <v>65</v>
      </c>
      <c r="K75" s="222" t="s">
        <v>67</v>
      </c>
      <c r="L75" s="222" t="s">
        <v>73</v>
      </c>
      <c r="M75" s="222" t="s">
        <v>79</v>
      </c>
    </row>
    <row r="76" spans="1:13">
      <c r="A76" t="s">
        <v>108</v>
      </c>
      <c r="B76" t="s">
        <v>2149</v>
      </c>
      <c r="C76" t="s">
        <v>139</v>
      </c>
      <c r="D76" t="s">
        <v>139</v>
      </c>
      <c r="E76">
        <v>3.0249999999999999E-3</v>
      </c>
      <c r="G76" t="s">
        <v>2039</v>
      </c>
      <c r="H76">
        <v>2</v>
      </c>
      <c r="I76">
        <v>2</v>
      </c>
      <c r="J76">
        <v>2</v>
      </c>
      <c r="K76">
        <v>2</v>
      </c>
      <c r="L76">
        <v>2</v>
      </c>
      <c r="M76">
        <v>2</v>
      </c>
    </row>
    <row r="77" spans="1:13">
      <c r="A77" t="s">
        <v>108</v>
      </c>
      <c r="B77" t="s">
        <v>2037</v>
      </c>
      <c r="C77" t="s">
        <v>139</v>
      </c>
      <c r="D77" t="s">
        <v>139</v>
      </c>
      <c r="E77">
        <f>(B9*B10*(B5))+(B9*B11*B6)</f>
        <v>1.0017848450000002E-2</v>
      </c>
      <c r="G77" t="s">
        <v>2040</v>
      </c>
      <c r="H77">
        <v>2</v>
      </c>
      <c r="I77">
        <v>2</v>
      </c>
      <c r="J77">
        <v>2</v>
      </c>
      <c r="K77">
        <v>2</v>
      </c>
      <c r="L77">
        <v>2</v>
      </c>
      <c r="M77">
        <v>2</v>
      </c>
    </row>
    <row r="78" spans="1:13">
      <c r="A78" t="s">
        <v>108</v>
      </c>
      <c r="B78" t="s">
        <v>2038</v>
      </c>
      <c r="C78" t="s">
        <v>139</v>
      </c>
      <c r="D78" t="s">
        <v>139</v>
      </c>
      <c r="E78">
        <f>SUM(C30:C35)</f>
        <v>5.1196599999999998E-4</v>
      </c>
      <c r="G78" t="s">
        <v>2041</v>
      </c>
      <c r="H78">
        <v>2</v>
      </c>
      <c r="I78">
        <v>2</v>
      </c>
      <c r="J78">
        <v>2</v>
      </c>
      <c r="K78">
        <v>2</v>
      </c>
      <c r="L78">
        <v>2</v>
      </c>
      <c r="M78">
        <v>2</v>
      </c>
    </row>
    <row r="80" spans="1:13">
      <c r="A80" t="s">
        <v>194</v>
      </c>
      <c r="B80" t="str">
        <f>'Textile waste collection'!B31</f>
        <v>Clothing waste collection</v>
      </c>
      <c r="C80" t="str">
        <f>'Textile waste collection'!C31</f>
        <v>any</v>
      </c>
      <c r="D80" t="str">
        <f>'Textile waste collection'!D31</f>
        <v>any</v>
      </c>
      <c r="E80">
        <f>'Textile waste collection'!E31</f>
        <v>0.50465116279069766</v>
      </c>
      <c r="F80">
        <f>'Textile waste collection'!F31</f>
        <v>2</v>
      </c>
      <c r="G80" t="str">
        <f>'Textile waste collection'!G31</f>
        <v>Massabalans textiel, 2022</v>
      </c>
      <c r="H80">
        <f>'Textile waste collection'!H31</f>
        <v>1</v>
      </c>
      <c r="I80">
        <f>'Textile waste collection'!I31</f>
        <v>2</v>
      </c>
      <c r="J80">
        <f>'Textile waste collection'!J31</f>
        <v>2</v>
      </c>
      <c r="K80">
        <f>'Textile waste collection'!K31</f>
        <v>1</v>
      </c>
      <c r="L80">
        <f>'Textile waste collection'!L31</f>
        <v>2</v>
      </c>
      <c r="M80">
        <f>'Textile waste collection'!M31</f>
        <v>2</v>
      </c>
    </row>
    <row r="81" spans="1:13">
      <c r="A81" t="s">
        <v>194</v>
      </c>
      <c r="B81" t="s">
        <v>223</v>
      </c>
      <c r="C81" t="s">
        <v>139</v>
      </c>
      <c r="D81" t="s">
        <v>139</v>
      </c>
      <c r="E81" t="s">
        <v>150</v>
      </c>
    </row>
    <row r="82" spans="1:13">
      <c r="A82" t="s">
        <v>194</v>
      </c>
      <c r="B82" t="s">
        <v>204</v>
      </c>
      <c r="C82" t="s">
        <v>139</v>
      </c>
      <c r="D82" t="s">
        <v>139</v>
      </c>
      <c r="E82">
        <v>2.7E-4</v>
      </c>
      <c r="G82" t="s">
        <v>43</v>
      </c>
      <c r="H82">
        <v>2</v>
      </c>
      <c r="I82">
        <v>2</v>
      </c>
      <c r="J82">
        <v>2</v>
      </c>
      <c r="K82">
        <v>3</v>
      </c>
      <c r="L82">
        <v>3</v>
      </c>
      <c r="M82">
        <v>3</v>
      </c>
    </row>
    <row r="84" spans="1:13">
      <c r="A84" t="s">
        <v>108</v>
      </c>
      <c r="B84" t="s">
        <v>196</v>
      </c>
      <c r="C84" t="s">
        <v>139</v>
      </c>
      <c r="D84" t="s">
        <v>139</v>
      </c>
      <c r="E84">
        <f>SUM(E76:E78)</f>
        <v>1.3554814450000001E-2</v>
      </c>
      <c r="G84" t="s">
        <v>2042</v>
      </c>
    </row>
    <row r="85" spans="1:13">
      <c r="A85" t="s">
        <v>108</v>
      </c>
      <c r="B85" t="s">
        <v>194</v>
      </c>
      <c r="C85" t="s">
        <v>139</v>
      </c>
      <c r="D85" t="s">
        <v>139</v>
      </c>
      <c r="E85">
        <f>1-E84</f>
        <v>0.98644518555000005</v>
      </c>
      <c r="G85" t="s">
        <v>2043</v>
      </c>
    </row>
    <row r="86" spans="1:13">
      <c r="B86" t="s">
        <v>2045</v>
      </c>
      <c r="C86" t="s">
        <v>139</v>
      </c>
      <c r="D86" t="s">
        <v>139</v>
      </c>
      <c r="E86">
        <f>1-E76</f>
        <v>0.99697499999999994</v>
      </c>
    </row>
    <row r="88" spans="1:13" s="1263" customFormat="1">
      <c r="A88" s="1263" t="s">
        <v>2367</v>
      </c>
      <c r="B88" s="1263" t="s">
        <v>2048</v>
      </c>
      <c r="C88" s="1263" t="s">
        <v>139</v>
      </c>
      <c r="D88" s="1263" t="s">
        <v>139</v>
      </c>
      <c r="E88" s="1263">
        <f>E76</f>
        <v>3.0249999999999999E-3</v>
      </c>
      <c r="F88" s="1263">
        <v>3</v>
      </c>
      <c r="G88" s="1263" t="str">
        <f>G76</f>
        <v>Average loss during wear, Kawecki et al. 2019, SI table 17</v>
      </c>
      <c r="H88" s="1263">
        <f>H76</f>
        <v>2</v>
      </c>
      <c r="I88" s="1263">
        <f>I76</f>
        <v>2</v>
      </c>
      <c r="J88" s="1263">
        <f>J76</f>
        <v>2</v>
      </c>
      <c r="K88" s="1263">
        <f>K76</f>
        <v>2</v>
      </c>
      <c r="L88" s="1263">
        <f>L76</f>
        <v>2</v>
      </c>
      <c r="M88" s="1263">
        <f>M76</f>
        <v>2</v>
      </c>
    </row>
    <row r="89" spans="1:13" s="1263" customFormat="1">
      <c r="A89" s="1263" t="s">
        <v>2367</v>
      </c>
      <c r="B89" s="1263" t="s">
        <v>2047</v>
      </c>
      <c r="C89" s="1263" t="s">
        <v>139</v>
      </c>
      <c r="D89" s="1263" t="s">
        <v>139</v>
      </c>
      <c r="E89" s="1263">
        <f>E77</f>
        <v>1.0017848450000002E-2</v>
      </c>
      <c r="F89" s="1263">
        <v>3</v>
      </c>
      <c r="G89" s="1263" t="str">
        <f>G77</f>
        <v>Computed from available data from Kawecki et al. (2019) and CBS (2022)</v>
      </c>
      <c r="H89" s="1263">
        <f>H77</f>
        <v>2</v>
      </c>
      <c r="I89" s="1263">
        <f>I77</f>
        <v>2</v>
      </c>
      <c r="J89" s="1263">
        <f>J77</f>
        <v>2</v>
      </c>
      <c r="K89" s="1263">
        <f>K77</f>
        <v>2</v>
      </c>
      <c r="L89" s="1263">
        <f>L77</f>
        <v>2</v>
      </c>
      <c r="M89" s="1263">
        <f>M77</f>
        <v>2</v>
      </c>
    </row>
    <row r="90" spans="1:13" s="1263" customFormat="1">
      <c r="A90" s="1263" t="s">
        <v>2367</v>
      </c>
      <c r="B90" s="1263" t="s">
        <v>2049</v>
      </c>
      <c r="C90" s="1263" t="s">
        <v>139</v>
      </c>
      <c r="D90" s="1263" t="s">
        <v>139</v>
      </c>
      <c r="E90" s="1263">
        <f>E78</f>
        <v>5.1196599999999998E-4</v>
      </c>
      <c r="F90" s="1263">
        <v>3</v>
      </c>
      <c r="G90" s="1263" t="str">
        <f>G78</f>
        <v>Computed from available data from Kawecki et al. (2019)</v>
      </c>
      <c r="H90" s="1263">
        <f>H78</f>
        <v>2</v>
      </c>
      <c r="I90" s="1263">
        <f>I78</f>
        <v>2</v>
      </c>
      <c r="J90" s="1263">
        <f>J78</f>
        <v>2</v>
      </c>
      <c r="K90" s="1263">
        <f>K78</f>
        <v>2</v>
      </c>
      <c r="L90" s="1263">
        <f>L78</f>
        <v>2</v>
      </c>
      <c r="M90" s="1263">
        <f>M78</f>
        <v>2</v>
      </c>
    </row>
    <row r="91" spans="1:13" s="1263" customFormat="1">
      <c r="A91" s="1263" t="s">
        <v>2367</v>
      </c>
      <c r="B91" s="1263" t="s">
        <v>2201</v>
      </c>
      <c r="C91" s="1263" t="s">
        <v>139</v>
      </c>
      <c r="D91" s="1263" t="s">
        <v>139</v>
      </c>
      <c r="E91" s="1263">
        <f>'Textile waste collection'!E31</f>
        <v>0.50465116279069766</v>
      </c>
      <c r="F91" s="1263">
        <v>2</v>
      </c>
      <c r="G91" s="1263" t="str">
        <f>G80</f>
        <v>Massabalans textiel, 2022</v>
      </c>
      <c r="H91" s="1263">
        <f>H80</f>
        <v>1</v>
      </c>
      <c r="I91" s="1263">
        <f>I80</f>
        <v>2</v>
      </c>
      <c r="J91" s="1263">
        <f>J80</f>
        <v>2</v>
      </c>
      <c r="K91" s="1263">
        <f>K80</f>
        <v>1</v>
      </c>
      <c r="L91" s="1263">
        <f>L80</f>
        <v>2</v>
      </c>
      <c r="M91" s="1263">
        <f>M80</f>
        <v>2</v>
      </c>
    </row>
    <row r="92" spans="1:13" s="1263" customFormat="1">
      <c r="A92" s="1263" t="s">
        <v>2367</v>
      </c>
      <c r="B92" s="1263" t="s">
        <v>223</v>
      </c>
      <c r="C92" s="1263" t="s">
        <v>139</v>
      </c>
      <c r="D92" s="1263" t="s">
        <v>139</v>
      </c>
      <c r="E92" s="1263" t="s">
        <v>150</v>
      </c>
      <c r="F92" s="1263">
        <v>1</v>
      </c>
    </row>
    <row r="93" spans="1:13" s="1263" customFormat="1">
      <c r="A93" s="1263" t="s">
        <v>2367</v>
      </c>
      <c r="B93" s="1263" t="s">
        <v>204</v>
      </c>
      <c r="C93" s="1263" t="s">
        <v>139</v>
      </c>
      <c r="D93" s="1263" t="s">
        <v>139</v>
      </c>
      <c r="E93" s="1263">
        <f>E85*E82</f>
        <v>2.663402000985E-4</v>
      </c>
      <c r="F93" s="1263">
        <v>2</v>
      </c>
      <c r="G93" s="1263" t="str">
        <f>G82</f>
        <v>Kawecki &amp; Nowack (2019)</v>
      </c>
      <c r="H93" s="1263">
        <f>H82</f>
        <v>2</v>
      </c>
      <c r="I93" s="1263">
        <f>I82</f>
        <v>2</v>
      </c>
      <c r="J93" s="1263">
        <f>J82</f>
        <v>2</v>
      </c>
      <c r="K93" s="1263">
        <f>K82</f>
        <v>3</v>
      </c>
      <c r="L93" s="1263">
        <f>L82</f>
        <v>3</v>
      </c>
      <c r="M93" s="1263">
        <f>M82</f>
        <v>3</v>
      </c>
    </row>
    <row r="94" spans="1:13" s="953" customFormat="1">
      <c r="A94" s="1263" t="s">
        <v>2368</v>
      </c>
      <c r="B94" s="1263" t="s">
        <v>2048</v>
      </c>
      <c r="C94" s="1263" t="s">
        <v>139</v>
      </c>
      <c r="D94" s="1263" t="s">
        <v>139</v>
      </c>
      <c r="E94" s="1263">
        <f>E76</f>
        <v>3.0249999999999999E-3</v>
      </c>
      <c r="F94" s="1263">
        <v>3</v>
      </c>
      <c r="G94" s="1263" t="s">
        <v>2039</v>
      </c>
      <c r="H94" s="1263"/>
      <c r="I94" s="1263"/>
      <c r="J94" s="1263"/>
      <c r="K94" s="1263"/>
      <c r="L94" s="1263"/>
      <c r="M94" s="1263"/>
    </row>
    <row r="95" spans="1:13" s="953" customFormat="1">
      <c r="A95" s="1263" t="s">
        <v>2368</v>
      </c>
      <c r="B95" s="1263" t="s">
        <v>2047</v>
      </c>
      <c r="C95" s="1263" t="s">
        <v>139</v>
      </c>
      <c r="D95" s="1263" t="s">
        <v>139</v>
      </c>
      <c r="E95" s="1263">
        <f>E77/29</f>
        <v>3.4544305000000009E-4</v>
      </c>
      <c r="F95" s="1263">
        <v>3</v>
      </c>
      <c r="G95" s="1263" t="str">
        <f>G93</f>
        <v>Kawecki &amp; Nowack (2019)</v>
      </c>
      <c r="H95" s="1263">
        <f>H93</f>
        <v>2</v>
      </c>
      <c r="I95" s="1263">
        <f>I93</f>
        <v>2</v>
      </c>
      <c r="J95" s="1263">
        <f>J93</f>
        <v>2</v>
      </c>
      <c r="K95" s="1263">
        <f>K93</f>
        <v>3</v>
      </c>
      <c r="L95" s="1263">
        <f>L93</f>
        <v>3</v>
      </c>
      <c r="M95" s="1263">
        <f>M93</f>
        <v>3</v>
      </c>
    </row>
    <row r="96" spans="1:13" s="953" customFormat="1">
      <c r="A96" s="1263" t="s">
        <v>2368</v>
      </c>
      <c r="B96" s="1263" t="s">
        <v>2049</v>
      </c>
      <c r="C96" s="1263" t="s">
        <v>139</v>
      </c>
      <c r="D96" s="1263" t="s">
        <v>139</v>
      </c>
      <c r="E96" s="1263">
        <f>E78/B13</f>
        <v>1.7654000000000001E-5</v>
      </c>
      <c r="F96" s="1263">
        <v>3</v>
      </c>
      <c r="G96" s="1263" t="s">
        <v>2041</v>
      </c>
      <c r="H96" s="1263">
        <v>2</v>
      </c>
      <c r="I96" s="1263">
        <v>2</v>
      </c>
      <c r="J96" s="1263">
        <v>2</v>
      </c>
      <c r="K96" s="1263">
        <v>2</v>
      </c>
      <c r="L96" s="1263">
        <v>2</v>
      </c>
      <c r="M96" s="1263">
        <v>2</v>
      </c>
    </row>
    <row r="97" spans="1:13" s="953" customFormat="1">
      <c r="A97" s="1263" t="s">
        <v>2368</v>
      </c>
      <c r="B97" s="1263" t="s">
        <v>2201</v>
      </c>
      <c r="C97" s="1263" t="s">
        <v>139</v>
      </c>
      <c r="D97" s="1263" t="s">
        <v>139</v>
      </c>
      <c r="E97" s="1263">
        <f>E80</f>
        <v>0.50465116279069766</v>
      </c>
      <c r="F97" s="1263">
        <v>2</v>
      </c>
      <c r="G97" s="1263" t="str">
        <f>G107</f>
        <v>Computed from wearing, washing, drying TCs</v>
      </c>
      <c r="H97" s="1263">
        <f>H107</f>
        <v>2</v>
      </c>
      <c r="I97" s="1263">
        <f>I107</f>
        <v>2</v>
      </c>
      <c r="J97" s="1263">
        <f>J107</f>
        <v>2</v>
      </c>
      <c r="K97" s="1263">
        <f>K107</f>
        <v>2</v>
      </c>
      <c r="L97" s="1263">
        <f>L107</f>
        <v>2</v>
      </c>
      <c r="M97" s="1263">
        <f>M107</f>
        <v>2</v>
      </c>
    </row>
    <row r="98" spans="1:13" s="953" customFormat="1">
      <c r="A98" s="1263" t="s">
        <v>2368</v>
      </c>
      <c r="B98" s="1263" t="s">
        <v>223</v>
      </c>
      <c r="C98" s="1263" t="s">
        <v>139</v>
      </c>
      <c r="D98" s="1263" t="s">
        <v>139</v>
      </c>
      <c r="E98" s="1263" t="str">
        <f>E81</f>
        <v>rest</v>
      </c>
      <c r="F98" s="1263">
        <v>1</v>
      </c>
      <c r="G98" s="1263"/>
      <c r="H98" s="1263"/>
      <c r="I98" s="1263"/>
      <c r="J98" s="1263"/>
      <c r="K98" s="1263"/>
      <c r="L98" s="1263"/>
      <c r="M98" s="1263"/>
    </row>
    <row r="99" spans="1:13" s="953" customFormat="1">
      <c r="A99" s="1263" t="s">
        <v>2368</v>
      </c>
      <c r="B99" s="1263" t="s">
        <v>204</v>
      </c>
      <c r="C99" s="1263" t="s">
        <v>139</v>
      </c>
      <c r="D99" s="1263" t="s">
        <v>139</v>
      </c>
      <c r="E99" s="1263">
        <f>E82</f>
        <v>2.7E-4</v>
      </c>
      <c r="F99" s="1263">
        <v>2</v>
      </c>
      <c r="G99" s="1263" t="str">
        <f>G111</f>
        <v>Computed from available data from Kawecki et al. (2019)</v>
      </c>
      <c r="H99" s="1263">
        <v>2</v>
      </c>
      <c r="I99" s="1263">
        <v>2</v>
      </c>
      <c r="J99" s="1263">
        <v>2</v>
      </c>
      <c r="K99" s="1263">
        <v>2</v>
      </c>
      <c r="L99" s="1263">
        <v>2</v>
      </c>
      <c r="M99" s="1263">
        <v>2</v>
      </c>
    </row>
    <row r="100" spans="1:13" s="1263" customFormat="1" ht="15.75" customHeight="1">
      <c r="A100" s="1263" t="s">
        <v>2369</v>
      </c>
      <c r="B100" s="1263" t="s">
        <v>2048</v>
      </c>
      <c r="C100" s="1263" t="s">
        <v>139</v>
      </c>
      <c r="D100" s="1263" t="s">
        <v>139</v>
      </c>
      <c r="E100" s="1263">
        <f>E76</f>
        <v>3.0249999999999999E-3</v>
      </c>
      <c r="F100" s="1263">
        <v>3</v>
      </c>
      <c r="G100" s="1263" t="str">
        <f>G76</f>
        <v>Average loss during wear, Kawecki et al. 2019, SI table 17</v>
      </c>
      <c r="H100" s="1263">
        <f>H76</f>
        <v>2</v>
      </c>
      <c r="I100" s="1263">
        <f>I76</f>
        <v>2</v>
      </c>
      <c r="J100" s="1263">
        <f>J76</f>
        <v>2</v>
      </c>
      <c r="K100" s="1263">
        <f>K76</f>
        <v>2</v>
      </c>
      <c r="L100" s="1263">
        <f>L76</f>
        <v>2</v>
      </c>
      <c r="M100" s="1263">
        <f>M76</f>
        <v>2</v>
      </c>
    </row>
    <row r="101" spans="1:13" s="1263" customFormat="1">
      <c r="A101" s="1263" t="s">
        <v>2369</v>
      </c>
      <c r="B101" s="1263" t="s">
        <v>2201</v>
      </c>
      <c r="C101" s="1263" t="s">
        <v>139</v>
      </c>
      <c r="D101" s="1263" t="s">
        <v>139</v>
      </c>
      <c r="E101" s="1263">
        <f>E86*E80</f>
        <v>0.50312459302325574</v>
      </c>
      <c r="F101" s="1263">
        <v>2</v>
      </c>
      <c r="G101" s="1263" t="str">
        <f>G80</f>
        <v>Massabalans textiel, 2022</v>
      </c>
      <c r="H101" s="1263">
        <f>H80</f>
        <v>1</v>
      </c>
      <c r="I101" s="1263">
        <f>I80</f>
        <v>2</v>
      </c>
      <c r="J101" s="1263">
        <f>J80</f>
        <v>2</v>
      </c>
      <c r="K101" s="1263">
        <f>K80</f>
        <v>1</v>
      </c>
      <c r="L101" s="1263">
        <f>L80</f>
        <v>2</v>
      </c>
      <c r="M101" s="1263">
        <f>M80</f>
        <v>2</v>
      </c>
    </row>
    <row r="102" spans="1:13" s="1263" customFormat="1">
      <c r="A102" s="1263" t="s">
        <v>2369</v>
      </c>
      <c r="B102" s="1263" t="s">
        <v>223</v>
      </c>
      <c r="C102" s="1263" t="s">
        <v>139</v>
      </c>
      <c r="D102" s="1263" t="s">
        <v>139</v>
      </c>
      <c r="E102" s="1263" t="s">
        <v>150</v>
      </c>
      <c r="F102" s="1263">
        <v>1</v>
      </c>
    </row>
    <row r="103" spans="1:13" s="1263" customFormat="1">
      <c r="A103" s="1263" t="s">
        <v>2369</v>
      </c>
      <c r="B103" s="1263" t="s">
        <v>204</v>
      </c>
      <c r="C103" s="1263" t="s">
        <v>139</v>
      </c>
      <c r="D103" s="1263" t="s">
        <v>139</v>
      </c>
      <c r="E103" s="1263">
        <f>E86*E82</f>
        <v>2.6918324999999996E-4</v>
      </c>
      <c r="F103" s="1263">
        <v>2</v>
      </c>
      <c r="G103" s="1263" t="str">
        <f>G82</f>
        <v>Kawecki &amp; Nowack (2019)</v>
      </c>
      <c r="H103" s="1263">
        <f>H82</f>
        <v>2</v>
      </c>
      <c r="I103" s="1263">
        <f>I82</f>
        <v>2</v>
      </c>
      <c r="J103" s="1263">
        <f>J82</f>
        <v>2</v>
      </c>
      <c r="K103" s="1263">
        <f>K82</f>
        <v>3</v>
      </c>
      <c r="L103" s="1263">
        <f>L82</f>
        <v>3</v>
      </c>
      <c r="M103" s="1263">
        <f>M82</f>
        <v>3</v>
      </c>
    </row>
    <row r="104" spans="1:13" s="1263" customFormat="1"/>
    <row r="105" spans="1:13" s="1273" customFormat="1" ht="15" thickBot="1">
      <c r="A105" s="1272" t="s">
        <v>15</v>
      </c>
    </row>
    <row r="106" spans="1:13" ht="12.6" customHeight="1">
      <c r="A106" s="1264" t="s">
        <v>129</v>
      </c>
      <c r="B106" s="1265" t="s">
        <v>130</v>
      </c>
      <c r="C106" s="1266" t="s">
        <v>131</v>
      </c>
      <c r="D106" s="1267" t="s">
        <v>102</v>
      </c>
      <c r="E106" s="1268" t="s">
        <v>132</v>
      </c>
      <c r="F106" s="1266" t="s">
        <v>133</v>
      </c>
      <c r="G106" s="1269" t="s">
        <v>104</v>
      </c>
      <c r="H106" s="1270" t="s">
        <v>134</v>
      </c>
      <c r="I106" s="982" t="s">
        <v>135</v>
      </c>
      <c r="J106" s="982" t="s">
        <v>65</v>
      </c>
      <c r="K106" s="982" t="s">
        <v>67</v>
      </c>
      <c r="L106" s="982" t="s">
        <v>73</v>
      </c>
      <c r="M106" s="1271" t="s">
        <v>79</v>
      </c>
    </row>
    <row r="107" spans="1:13">
      <c r="A107" t="s">
        <v>2370</v>
      </c>
      <c r="B107" t="s">
        <v>2216</v>
      </c>
      <c r="C107" t="s">
        <v>139</v>
      </c>
      <c r="D107" t="s">
        <v>139</v>
      </c>
      <c r="E107">
        <f>SUM(E76:E78)</f>
        <v>1.3554814450000001E-2</v>
      </c>
      <c r="F107">
        <v>2</v>
      </c>
      <c r="G107" t="s">
        <v>2222</v>
      </c>
      <c r="H107">
        <v>2</v>
      </c>
      <c r="I107">
        <v>2</v>
      </c>
      <c r="J107">
        <v>2</v>
      </c>
      <c r="K107">
        <v>2</v>
      </c>
      <c r="L107">
        <v>2</v>
      </c>
      <c r="M107">
        <v>2</v>
      </c>
    </row>
    <row r="108" spans="1:13">
      <c r="A108" t="s">
        <v>2044</v>
      </c>
      <c r="B108" t="s">
        <v>2217</v>
      </c>
      <c r="C108" t="s">
        <v>139</v>
      </c>
      <c r="D108" t="s">
        <v>139</v>
      </c>
      <c r="E108" t="s">
        <v>150</v>
      </c>
      <c r="F108">
        <v>1</v>
      </c>
    </row>
    <row r="109" spans="1:13">
      <c r="A109" t="s">
        <v>2216</v>
      </c>
      <c r="B109" t="s">
        <v>2048</v>
      </c>
      <c r="C109" t="s">
        <v>139</v>
      </c>
      <c r="D109" t="s">
        <v>139</v>
      </c>
      <c r="E109">
        <f>E76/E107</f>
        <v>0.22316793868026719</v>
      </c>
      <c r="F109">
        <v>2</v>
      </c>
      <c r="G109" t="str">
        <f>G76</f>
        <v>Average loss during wear, Kawecki et al. 2019, SI table 17</v>
      </c>
      <c r="H109">
        <f>H76</f>
        <v>2</v>
      </c>
      <c r="I109">
        <f>I76</f>
        <v>2</v>
      </c>
      <c r="J109">
        <f>J76</f>
        <v>2</v>
      </c>
      <c r="K109">
        <f>K76</f>
        <v>2</v>
      </c>
      <c r="L109">
        <f>L76</f>
        <v>2</v>
      </c>
      <c r="M109">
        <f>M76</f>
        <v>2</v>
      </c>
    </row>
    <row r="110" spans="1:13">
      <c r="A110" t="s">
        <v>2216</v>
      </c>
      <c r="B110" t="s">
        <v>2047</v>
      </c>
      <c r="C110" t="s">
        <v>139</v>
      </c>
      <c r="D110" t="s">
        <v>139</v>
      </c>
      <c r="E110">
        <f>E77/E107</f>
        <v>0.7390620127596067</v>
      </c>
      <c r="F110">
        <v>2</v>
      </c>
      <c r="G110" t="str">
        <f>G77</f>
        <v>Computed from available data from Kawecki et al. (2019) and CBS (2022)</v>
      </c>
      <c r="H110">
        <f>H77</f>
        <v>2</v>
      </c>
      <c r="I110">
        <f>I77</f>
        <v>2</v>
      </c>
      <c r="J110">
        <f>J77</f>
        <v>2</v>
      </c>
      <c r="K110">
        <f>K77</f>
        <v>2</v>
      </c>
      <c r="L110">
        <f>L77</f>
        <v>2</v>
      </c>
      <c r="M110">
        <f>M77</f>
        <v>2</v>
      </c>
    </row>
    <row r="111" spans="1:13" s="953" customFormat="1">
      <c r="A111" t="s">
        <v>2216</v>
      </c>
      <c r="B111" t="s">
        <v>2049</v>
      </c>
      <c r="C111" t="s">
        <v>139</v>
      </c>
      <c r="D111" t="s">
        <v>139</v>
      </c>
      <c r="E111">
        <f>E78/E107</f>
        <v>3.7770048560126175E-2</v>
      </c>
      <c r="F111">
        <v>2</v>
      </c>
      <c r="G111" t="str">
        <f>G78</f>
        <v>Computed from available data from Kawecki et al. (2019)</v>
      </c>
      <c r="H111">
        <f>H78</f>
        <v>2</v>
      </c>
      <c r="I111">
        <f>I78</f>
        <v>2</v>
      </c>
      <c r="J111">
        <f>J78</f>
        <v>2</v>
      </c>
      <c r="K111">
        <f>K78</f>
        <v>2</v>
      </c>
      <c r="L111">
        <f>L78</f>
        <v>2</v>
      </c>
      <c r="M111">
        <f>M78</f>
        <v>2</v>
      </c>
    </row>
    <row r="112" spans="1:13" s="222" customFormat="1">
      <c r="A112" t="s">
        <v>2217</v>
      </c>
      <c r="B112" t="s">
        <v>2201</v>
      </c>
      <c r="C112" t="s">
        <v>139</v>
      </c>
      <c r="D112" t="s">
        <v>139</v>
      </c>
      <c r="E112">
        <f>E80</f>
        <v>0.50465116279069766</v>
      </c>
      <c r="F112">
        <f>F80</f>
        <v>2</v>
      </c>
      <c r="G112" t="str">
        <f>G80</f>
        <v>Massabalans textiel, 2022</v>
      </c>
      <c r="H112">
        <f>H80</f>
        <v>1</v>
      </c>
      <c r="I112">
        <f>I80</f>
        <v>2</v>
      </c>
      <c r="J112">
        <f>J80</f>
        <v>2</v>
      </c>
      <c r="K112">
        <f>K80</f>
        <v>1</v>
      </c>
      <c r="L112">
        <f>L80</f>
        <v>2</v>
      </c>
      <c r="M112">
        <f>M80</f>
        <v>2</v>
      </c>
    </row>
    <row r="113" spans="1:13">
      <c r="A113" t="s">
        <v>2217</v>
      </c>
      <c r="B113" t="s">
        <v>223</v>
      </c>
      <c r="C113" t="s">
        <v>139</v>
      </c>
      <c r="D113" t="s">
        <v>139</v>
      </c>
      <c r="E113" t="s">
        <v>150</v>
      </c>
      <c r="F113">
        <v>1</v>
      </c>
    </row>
    <row r="114" spans="1:13">
      <c r="A114" t="s">
        <v>2217</v>
      </c>
      <c r="B114" t="s">
        <v>204</v>
      </c>
      <c r="C114" t="s">
        <v>139</v>
      </c>
      <c r="D114" t="s">
        <v>139</v>
      </c>
      <c r="E114">
        <f>E82</f>
        <v>2.7E-4</v>
      </c>
      <c r="F114">
        <v>2</v>
      </c>
      <c r="G114" t="str">
        <f>G82</f>
        <v>Kawecki &amp; Nowack (2019)</v>
      </c>
      <c r="H114">
        <f>H82</f>
        <v>2</v>
      </c>
      <c r="I114">
        <f>I82</f>
        <v>2</v>
      </c>
      <c r="J114">
        <f>J82</f>
        <v>2</v>
      </c>
      <c r="K114">
        <f>K82</f>
        <v>3</v>
      </c>
      <c r="L114">
        <f>L82</f>
        <v>3</v>
      </c>
      <c r="M114">
        <f>M82</f>
        <v>3</v>
      </c>
    </row>
    <row r="115" spans="1:13">
      <c r="A115" t="s">
        <v>2044</v>
      </c>
      <c r="B115" t="s">
        <v>2220</v>
      </c>
      <c r="C115" t="s">
        <v>139</v>
      </c>
      <c r="D115" t="s">
        <v>139</v>
      </c>
      <c r="E115">
        <f>SUM(E94:E96)</f>
        <v>3.3880970500000003E-3</v>
      </c>
      <c r="F115">
        <v>2</v>
      </c>
      <c r="G115" t="str">
        <f>G107</f>
        <v>Computed from wearing, washing, drying TCs</v>
      </c>
      <c r="H115">
        <f>H107</f>
        <v>2</v>
      </c>
      <c r="I115">
        <f>I107</f>
        <v>2</v>
      </c>
      <c r="J115">
        <f>J107</f>
        <v>2</v>
      </c>
      <c r="K115">
        <f>K107</f>
        <v>2</v>
      </c>
      <c r="L115">
        <f>L107</f>
        <v>2</v>
      </c>
      <c r="M115">
        <f>M107</f>
        <v>2</v>
      </c>
    </row>
    <row r="116" spans="1:13">
      <c r="A116" t="s">
        <v>2044</v>
      </c>
      <c r="B116" t="s">
        <v>2221</v>
      </c>
      <c r="C116" t="s">
        <v>139</v>
      </c>
      <c r="D116" t="s">
        <v>139</v>
      </c>
      <c r="E116" t="s">
        <v>150</v>
      </c>
      <c r="F116">
        <v>1</v>
      </c>
    </row>
    <row r="117" spans="1:13">
      <c r="A117" t="s">
        <v>2220</v>
      </c>
      <c r="B117" t="s">
        <v>2048</v>
      </c>
      <c r="C117" t="s">
        <v>139</v>
      </c>
      <c r="D117" t="s">
        <v>139</v>
      </c>
      <c r="E117">
        <f>E76/E115</f>
        <v>0.8928315675018812</v>
      </c>
      <c r="F117">
        <v>2</v>
      </c>
      <c r="G117" t="str">
        <f>G76</f>
        <v>Average loss during wear, Kawecki et al. 2019, SI table 17</v>
      </c>
      <c r="H117">
        <f>H76</f>
        <v>2</v>
      </c>
      <c r="I117">
        <f>I76</f>
        <v>2</v>
      </c>
      <c r="J117">
        <f>J76</f>
        <v>2</v>
      </c>
      <c r="K117">
        <f>K76</f>
        <v>2</v>
      </c>
      <c r="L117">
        <f>L76</f>
        <v>2</v>
      </c>
      <c r="M117">
        <f>M76</f>
        <v>2</v>
      </c>
    </row>
    <row r="118" spans="1:13">
      <c r="A118" t="s">
        <v>2220</v>
      </c>
      <c r="B118" t="s">
        <v>2047</v>
      </c>
      <c r="C118" t="s">
        <v>139</v>
      </c>
      <c r="D118" t="s">
        <v>139</v>
      </c>
      <c r="E118">
        <f>(E77/B9)/E115</f>
        <v>0.10195783795508456</v>
      </c>
      <c r="F118">
        <v>2</v>
      </c>
      <c r="G118" t="str">
        <f>G77</f>
        <v>Computed from available data from Kawecki et al. (2019) and CBS (2022)</v>
      </c>
      <c r="H118">
        <f>H77</f>
        <v>2</v>
      </c>
      <c r="I118">
        <f>I77</f>
        <v>2</v>
      </c>
      <c r="J118">
        <f>J77</f>
        <v>2</v>
      </c>
      <c r="K118">
        <f>K77</f>
        <v>2</v>
      </c>
      <c r="L118">
        <f>L77</f>
        <v>2</v>
      </c>
      <c r="M118">
        <f>M77</f>
        <v>2</v>
      </c>
    </row>
    <row r="119" spans="1:13">
      <c r="A119" t="s">
        <v>2220</v>
      </c>
      <c r="B119" t="s">
        <v>2049</v>
      </c>
      <c r="C119" t="s">
        <v>139</v>
      </c>
      <c r="D119" t="s">
        <v>139</v>
      </c>
      <c r="E119">
        <f>(E78/B13)/E115</f>
        <v>5.2105945430341201E-3</v>
      </c>
      <c r="F119">
        <v>2</v>
      </c>
      <c r="G119" t="str">
        <f>G78</f>
        <v>Computed from available data from Kawecki et al. (2019)</v>
      </c>
      <c r="H119">
        <f>H78</f>
        <v>2</v>
      </c>
      <c r="I119">
        <f>I78</f>
        <v>2</v>
      </c>
      <c r="J119">
        <f>J78</f>
        <v>2</v>
      </c>
      <c r="K119">
        <f>K78</f>
        <v>2</v>
      </c>
      <c r="L119">
        <f>L78</f>
        <v>2</v>
      </c>
      <c r="M119">
        <f>M78</f>
        <v>2</v>
      </c>
    </row>
    <row r="120" spans="1:13">
      <c r="A120" t="s">
        <v>2221</v>
      </c>
      <c r="B120" t="s">
        <v>2201</v>
      </c>
      <c r="C120" t="s">
        <v>139</v>
      </c>
      <c r="D120" t="s">
        <v>139</v>
      </c>
      <c r="E120">
        <f>E80</f>
        <v>0.50465116279069766</v>
      </c>
      <c r="F120">
        <f>F80</f>
        <v>2</v>
      </c>
      <c r="G120" t="str">
        <f>G80</f>
        <v>Massabalans textiel, 2022</v>
      </c>
      <c r="H120">
        <f>H80</f>
        <v>1</v>
      </c>
      <c r="I120">
        <f>I80</f>
        <v>2</v>
      </c>
      <c r="J120">
        <f>J80</f>
        <v>2</v>
      </c>
      <c r="K120">
        <f>K80</f>
        <v>1</v>
      </c>
      <c r="L120">
        <f>L80</f>
        <v>2</v>
      </c>
      <c r="M120">
        <f>M80</f>
        <v>2</v>
      </c>
    </row>
    <row r="121" spans="1:13">
      <c r="A121" t="s">
        <v>2221</v>
      </c>
      <c r="B121" t="s">
        <v>223</v>
      </c>
      <c r="C121" t="s">
        <v>139</v>
      </c>
      <c r="D121" t="s">
        <v>139</v>
      </c>
      <c r="E121" t="str">
        <f>E81</f>
        <v>rest</v>
      </c>
      <c r="F121">
        <v>1</v>
      </c>
    </row>
    <row r="122" spans="1:13">
      <c r="A122" t="s">
        <v>2221</v>
      </c>
      <c r="B122" t="s">
        <v>204</v>
      </c>
      <c r="C122" t="s">
        <v>139</v>
      </c>
      <c r="D122" t="s">
        <v>139</v>
      </c>
      <c r="E122">
        <f>E82</f>
        <v>2.7E-4</v>
      </c>
      <c r="F122">
        <v>2</v>
      </c>
      <c r="G122" t="str">
        <f>G82</f>
        <v>Kawecki &amp; Nowack (2019)</v>
      </c>
      <c r="H122">
        <f>H82</f>
        <v>2</v>
      </c>
      <c r="I122">
        <f>I82</f>
        <v>2</v>
      </c>
      <c r="J122">
        <f>J82</f>
        <v>2</v>
      </c>
      <c r="K122">
        <f>K82</f>
        <v>3</v>
      </c>
      <c r="L122">
        <f>L82</f>
        <v>3</v>
      </c>
      <c r="M122">
        <f>M82</f>
        <v>3</v>
      </c>
    </row>
    <row r="123" spans="1:13">
      <c r="A123" t="s">
        <v>2044</v>
      </c>
      <c r="B123" t="s">
        <v>2218</v>
      </c>
      <c r="C123" t="s">
        <v>139</v>
      </c>
      <c r="D123" t="s">
        <v>139</v>
      </c>
      <c r="E123">
        <f>E100</f>
        <v>3.0249999999999999E-3</v>
      </c>
      <c r="F123">
        <v>2</v>
      </c>
      <c r="G123" t="str">
        <f t="shared" ref="G123:M123" si="4">G125</f>
        <v>Average loss during wear, Kawecki et al. 2019, SI table 17</v>
      </c>
      <c r="H123">
        <f t="shared" si="4"/>
        <v>2</v>
      </c>
      <c r="I123">
        <f t="shared" si="4"/>
        <v>2</v>
      </c>
      <c r="J123">
        <f t="shared" si="4"/>
        <v>2</v>
      </c>
      <c r="K123">
        <f t="shared" si="4"/>
        <v>2</v>
      </c>
      <c r="L123">
        <f t="shared" si="4"/>
        <v>2</v>
      </c>
      <c r="M123">
        <f t="shared" si="4"/>
        <v>2</v>
      </c>
    </row>
    <row r="124" spans="1:13">
      <c r="A124" t="s">
        <v>2044</v>
      </c>
      <c r="B124" t="s">
        <v>2219</v>
      </c>
      <c r="C124" t="s">
        <v>139</v>
      </c>
      <c r="D124" t="s">
        <v>139</v>
      </c>
      <c r="E124" t="s">
        <v>150</v>
      </c>
      <c r="F124">
        <v>1</v>
      </c>
    </row>
    <row r="125" spans="1:13">
      <c r="A125" t="s">
        <v>2218</v>
      </c>
      <c r="B125" t="s">
        <v>2048</v>
      </c>
      <c r="C125" t="s">
        <v>139</v>
      </c>
      <c r="D125" t="s">
        <v>139</v>
      </c>
      <c r="E125">
        <f>E123/E100</f>
        <v>1</v>
      </c>
      <c r="F125">
        <v>1</v>
      </c>
      <c r="G125" t="str">
        <f>G76</f>
        <v>Average loss during wear, Kawecki et al. 2019, SI table 17</v>
      </c>
      <c r="H125">
        <f>H76</f>
        <v>2</v>
      </c>
      <c r="I125">
        <f>I76</f>
        <v>2</v>
      </c>
      <c r="J125">
        <f>J76</f>
        <v>2</v>
      </c>
      <c r="K125">
        <f>K76</f>
        <v>2</v>
      </c>
      <c r="L125">
        <f>L76</f>
        <v>2</v>
      </c>
      <c r="M125">
        <f>M76</f>
        <v>2</v>
      </c>
    </row>
    <row r="126" spans="1:13">
      <c r="A126" t="s">
        <v>2219</v>
      </c>
      <c r="B126" t="s">
        <v>2201</v>
      </c>
      <c r="C126" t="s">
        <v>139</v>
      </c>
      <c r="D126" t="s">
        <v>139</v>
      </c>
      <c r="E126">
        <f>E80</f>
        <v>0.50465116279069766</v>
      </c>
      <c r="F126">
        <f>F80</f>
        <v>2</v>
      </c>
      <c r="G126" t="str">
        <f>G80</f>
        <v>Massabalans textiel, 2022</v>
      </c>
      <c r="H126">
        <f>H80</f>
        <v>1</v>
      </c>
      <c r="I126">
        <f>I80</f>
        <v>2</v>
      </c>
      <c r="J126">
        <f>J80</f>
        <v>2</v>
      </c>
      <c r="K126">
        <f>K80</f>
        <v>1</v>
      </c>
      <c r="L126">
        <f>L80</f>
        <v>2</v>
      </c>
      <c r="M126">
        <f>M80</f>
        <v>2</v>
      </c>
    </row>
    <row r="127" spans="1:13">
      <c r="A127" t="s">
        <v>2219</v>
      </c>
      <c r="B127" t="s">
        <v>223</v>
      </c>
      <c r="C127" t="s">
        <v>139</v>
      </c>
      <c r="D127" t="s">
        <v>139</v>
      </c>
      <c r="E127" t="str">
        <f>E81</f>
        <v>rest</v>
      </c>
      <c r="F127">
        <v>1</v>
      </c>
    </row>
    <row r="128" spans="1:13">
      <c r="A128" t="s">
        <v>2219</v>
      </c>
      <c r="B128" t="s">
        <v>204</v>
      </c>
      <c r="C128" t="s">
        <v>139</v>
      </c>
      <c r="D128" t="s">
        <v>139</v>
      </c>
      <c r="E128">
        <f>E82</f>
        <v>2.7E-4</v>
      </c>
      <c r="F128">
        <v>2</v>
      </c>
      <c r="G128" t="str">
        <f>G82</f>
        <v>Kawecki &amp; Nowack (2019)</v>
      </c>
      <c r="H128">
        <f>H82</f>
        <v>2</v>
      </c>
      <c r="I128">
        <f>I82</f>
        <v>2</v>
      </c>
      <c r="J128">
        <f>J82</f>
        <v>2</v>
      </c>
      <c r="K128">
        <f>K82</f>
        <v>3</v>
      </c>
      <c r="L128">
        <f>L82</f>
        <v>3</v>
      </c>
      <c r="M128">
        <f>M82</f>
        <v>3</v>
      </c>
    </row>
    <row r="130" spans="1:5" s="1020" customFormat="1">
      <c r="A130" s="1019" t="s">
        <v>2157</v>
      </c>
    </row>
    <row r="131" spans="1:5" s="1020" customFormat="1"/>
    <row r="132" spans="1:5" s="896" customFormat="1">
      <c r="A132" s="1214" t="s">
        <v>2341</v>
      </c>
    </row>
    <row r="133" spans="1:5">
      <c r="A133" s="222" t="s">
        <v>2291</v>
      </c>
      <c r="B133" s="222" t="s">
        <v>1007</v>
      </c>
      <c r="C133" s="222" t="s">
        <v>1086</v>
      </c>
      <c r="D133" s="222" t="s">
        <v>104</v>
      </c>
      <c r="E133" s="222"/>
    </row>
    <row r="134" spans="1:5">
      <c r="A134" t="s">
        <v>2292</v>
      </c>
      <c r="B134">
        <v>10</v>
      </c>
      <c r="C134" t="s">
        <v>2297</v>
      </c>
      <c r="D134" t="s">
        <v>2294</v>
      </c>
    </row>
    <row r="135" spans="1:5">
      <c r="A135" t="s">
        <v>2293</v>
      </c>
      <c r="B135">
        <v>22</v>
      </c>
      <c r="C135" t="s">
        <v>2297</v>
      </c>
      <c r="D135" t="s">
        <v>2294</v>
      </c>
    </row>
    <row r="136" spans="1:5">
      <c r="A136" t="s">
        <v>2295</v>
      </c>
      <c r="B136">
        <f>AVERAGE(B134:B135)</f>
        <v>16</v>
      </c>
      <c r="C136" t="s">
        <v>2297</v>
      </c>
      <c r="D136" t="s">
        <v>2294</v>
      </c>
    </row>
    <row r="137" spans="1:5">
      <c r="A137" t="s">
        <v>2296</v>
      </c>
      <c r="B137">
        <v>238</v>
      </c>
      <c r="C137" t="s">
        <v>2158</v>
      </c>
      <c r="D137" t="s">
        <v>2298</v>
      </c>
    </row>
    <row r="138" spans="1:5">
      <c r="A138" t="s">
        <v>2159</v>
      </c>
      <c r="B138">
        <v>1.5</v>
      </c>
      <c r="C138" t="s">
        <v>2162</v>
      </c>
      <c r="D138" t="s">
        <v>2302</v>
      </c>
    </row>
    <row r="139" spans="1:5">
      <c r="A139" t="s">
        <v>2160</v>
      </c>
      <c r="B139">
        <v>1.1000000000000001</v>
      </c>
      <c r="C139" t="s">
        <v>2162</v>
      </c>
      <c r="D139" t="s">
        <v>2301</v>
      </c>
    </row>
    <row r="140" spans="1:5">
      <c r="A140" t="s">
        <v>2161</v>
      </c>
      <c r="B140">
        <v>0.95</v>
      </c>
      <c r="C140" t="s">
        <v>2162</v>
      </c>
      <c r="D140" t="s">
        <v>2300</v>
      </c>
    </row>
    <row r="141" spans="1:5">
      <c r="A141" t="s">
        <v>2173</v>
      </c>
      <c r="B141">
        <v>1.39</v>
      </c>
      <c r="C141" t="s">
        <v>2162</v>
      </c>
      <c r="D141" t="s">
        <v>2299</v>
      </c>
    </row>
    <row r="142" spans="1:5">
      <c r="A142" t="s">
        <v>2163</v>
      </c>
      <c r="B142">
        <v>0.33333333333333331</v>
      </c>
      <c r="C142" t="s">
        <v>2164</v>
      </c>
      <c r="D142" t="s">
        <v>157</v>
      </c>
    </row>
    <row r="143" spans="1:5">
      <c r="A143" t="s">
        <v>2165</v>
      </c>
      <c r="B143">
        <v>0.1</v>
      </c>
      <c r="C143" t="s">
        <v>2168</v>
      </c>
      <c r="D143" t="s">
        <v>157</v>
      </c>
    </row>
    <row r="144" spans="1:5">
      <c r="A144" t="s">
        <v>2166</v>
      </c>
      <c r="B144">
        <v>0.2</v>
      </c>
      <c r="C144" t="s">
        <v>2168</v>
      </c>
      <c r="D144" t="s">
        <v>157</v>
      </c>
    </row>
    <row r="146" spans="1:5" s="896" customFormat="1">
      <c r="A146" s="1214" t="s">
        <v>2303</v>
      </c>
    </row>
    <row r="147" spans="1:5">
      <c r="A147" s="222" t="s">
        <v>2291</v>
      </c>
      <c r="B147" s="222" t="s">
        <v>102</v>
      </c>
      <c r="C147" s="222" t="s">
        <v>1007</v>
      </c>
      <c r="D147" s="222" t="s">
        <v>1086</v>
      </c>
      <c r="E147" s="222"/>
    </row>
    <row r="148" spans="1:5">
      <c r="A148" t="s">
        <v>2304</v>
      </c>
      <c r="B148" t="s">
        <v>2305</v>
      </c>
      <c r="C148" s="1170">
        <f>$B$137*$B$142</f>
        <v>79.333333333333329</v>
      </c>
      <c r="D148" t="s">
        <v>2158</v>
      </c>
    </row>
    <row r="149" spans="1:5">
      <c r="A149" t="s">
        <v>2169</v>
      </c>
      <c r="B149" t="s">
        <v>2305</v>
      </c>
      <c r="C149" s="1170">
        <f>C148*B143</f>
        <v>7.9333333333333336</v>
      </c>
      <c r="D149" t="s">
        <v>2171</v>
      </c>
    </row>
    <row r="150" spans="1:5">
      <c r="A150" t="s">
        <v>2174</v>
      </c>
      <c r="B150" t="s">
        <v>2305</v>
      </c>
      <c r="C150" s="1170">
        <f>C148*B144</f>
        <v>15.866666666666667</v>
      </c>
      <c r="D150" t="s">
        <v>2171</v>
      </c>
    </row>
    <row r="151" spans="1:5">
      <c r="A151" t="s">
        <v>2172</v>
      </c>
      <c r="B151" t="s">
        <v>92</v>
      </c>
      <c r="C151" s="1170">
        <f>C149*B138</f>
        <v>11.9</v>
      </c>
      <c r="D151" t="s">
        <v>2306</v>
      </c>
    </row>
    <row r="152" spans="1:5">
      <c r="A152" t="s">
        <v>2170</v>
      </c>
      <c r="B152" t="s">
        <v>92</v>
      </c>
      <c r="C152" s="1170">
        <f>C150*B138</f>
        <v>23.8</v>
      </c>
      <c r="D152" t="s">
        <v>2306</v>
      </c>
    </row>
    <row r="153" spans="1:5">
      <c r="A153" t="s">
        <v>2172</v>
      </c>
      <c r="B153" t="s">
        <v>93</v>
      </c>
      <c r="C153" s="1170">
        <f>C149*B139</f>
        <v>8.7266666666666683</v>
      </c>
      <c r="D153" t="s">
        <v>2306</v>
      </c>
    </row>
    <row r="154" spans="1:5">
      <c r="A154" t="s">
        <v>2170</v>
      </c>
      <c r="B154" t="s">
        <v>93</v>
      </c>
      <c r="C154" s="1170">
        <f>C150*B139</f>
        <v>17.453333333333337</v>
      </c>
      <c r="D154" t="s">
        <v>2306</v>
      </c>
    </row>
    <row r="155" spans="1:5">
      <c r="A155" t="s">
        <v>2172</v>
      </c>
      <c r="B155" t="s">
        <v>2167</v>
      </c>
      <c r="C155" s="1170">
        <f>C149*B140</f>
        <v>7.5366666666666662</v>
      </c>
      <c r="D155" t="s">
        <v>2306</v>
      </c>
    </row>
    <row r="156" spans="1:5">
      <c r="A156" t="s">
        <v>2170</v>
      </c>
      <c r="B156" t="s">
        <v>2167</v>
      </c>
      <c r="C156" s="1170">
        <f>C150*B140</f>
        <v>15.073333333333332</v>
      </c>
      <c r="D156" t="s">
        <v>2306</v>
      </c>
    </row>
    <row r="157" spans="1:5">
      <c r="A157" t="s">
        <v>2172</v>
      </c>
      <c r="B157" t="s">
        <v>90</v>
      </c>
      <c r="C157" s="1170">
        <f>C149*B141</f>
        <v>11.027333333333333</v>
      </c>
      <c r="D157" t="s">
        <v>2306</v>
      </c>
    </row>
    <row r="158" spans="1:5">
      <c r="A158" t="s">
        <v>2170</v>
      </c>
      <c r="B158" t="s">
        <v>90</v>
      </c>
      <c r="C158" s="1170">
        <f>C150*B141</f>
        <v>22.054666666666666</v>
      </c>
      <c r="D158" t="s">
        <v>2306</v>
      </c>
    </row>
    <row r="159" spans="1:5">
      <c r="A159" t="s">
        <v>2172</v>
      </c>
      <c r="B159" t="s">
        <v>92</v>
      </c>
      <c r="C159" s="1170">
        <f>C151*2</f>
        <v>23.8</v>
      </c>
      <c r="D159" t="s">
        <v>2307</v>
      </c>
    </row>
    <row r="160" spans="1:5">
      <c r="A160" t="s">
        <v>2170</v>
      </c>
      <c r="B160" t="s">
        <v>92</v>
      </c>
      <c r="C160" s="1170">
        <f t="shared" ref="C160:C166" si="5">C152*2</f>
        <v>47.6</v>
      </c>
      <c r="D160" t="s">
        <v>2307</v>
      </c>
    </row>
    <row r="161" spans="1:7">
      <c r="A161" t="s">
        <v>2172</v>
      </c>
      <c r="B161" t="s">
        <v>93</v>
      </c>
      <c r="C161" s="1170">
        <f t="shared" si="5"/>
        <v>17.453333333333337</v>
      </c>
      <c r="D161" t="s">
        <v>2307</v>
      </c>
    </row>
    <row r="162" spans="1:7">
      <c r="A162" t="s">
        <v>2170</v>
      </c>
      <c r="B162" t="s">
        <v>93</v>
      </c>
      <c r="C162" s="1170">
        <f t="shared" si="5"/>
        <v>34.906666666666673</v>
      </c>
      <c r="D162" t="s">
        <v>2307</v>
      </c>
    </row>
    <row r="163" spans="1:7">
      <c r="A163" t="s">
        <v>2172</v>
      </c>
      <c r="B163" t="s">
        <v>2167</v>
      </c>
      <c r="C163" s="1170">
        <f t="shared" si="5"/>
        <v>15.073333333333332</v>
      </c>
      <c r="D163" t="s">
        <v>2307</v>
      </c>
    </row>
    <row r="164" spans="1:7">
      <c r="A164" t="s">
        <v>2170</v>
      </c>
      <c r="B164" t="s">
        <v>2167</v>
      </c>
      <c r="C164" s="1170">
        <f t="shared" si="5"/>
        <v>30.146666666666665</v>
      </c>
      <c r="D164" t="s">
        <v>2307</v>
      </c>
    </row>
    <row r="165" spans="1:7">
      <c r="A165" t="s">
        <v>2172</v>
      </c>
      <c r="B165" t="s">
        <v>90</v>
      </c>
      <c r="C165" s="1170">
        <f t="shared" si="5"/>
        <v>22.054666666666666</v>
      </c>
      <c r="D165" t="s">
        <v>2307</v>
      </c>
    </row>
    <row r="166" spans="1:7">
      <c r="A166" t="s">
        <v>2170</v>
      </c>
      <c r="B166" t="s">
        <v>90</v>
      </c>
      <c r="C166" s="1170">
        <f t="shared" si="5"/>
        <v>44.109333333333332</v>
      </c>
      <c r="D166" t="s">
        <v>2307</v>
      </c>
    </row>
    <row r="167" spans="1:7">
      <c r="C167" s="1170"/>
    </row>
    <row r="168" spans="1:7" s="1171" customFormat="1">
      <c r="A168" s="1173" t="s">
        <v>2308</v>
      </c>
      <c r="C168" s="1172"/>
    </row>
    <row r="169" spans="1:7" s="222" customFormat="1">
      <c r="A169" s="222" t="s">
        <v>2291</v>
      </c>
      <c r="B169" s="222" t="s">
        <v>102</v>
      </c>
      <c r="C169" s="1174" t="s">
        <v>101</v>
      </c>
      <c r="D169" s="222" t="s">
        <v>131</v>
      </c>
      <c r="E169" s="222" t="s">
        <v>1007</v>
      </c>
      <c r="F169" s="222" t="s">
        <v>1086</v>
      </c>
      <c r="G169" s="222" t="s">
        <v>104</v>
      </c>
    </row>
    <row r="170" spans="1:7">
      <c r="A170" t="s">
        <v>2310</v>
      </c>
      <c r="B170" t="s">
        <v>2305</v>
      </c>
      <c r="C170" s="1176">
        <v>2022</v>
      </c>
      <c r="D170" t="s">
        <v>180</v>
      </c>
      <c r="E170">
        <v>36731193</v>
      </c>
      <c r="F170" t="s">
        <v>2311</v>
      </c>
      <c r="G170" s="1177" t="s">
        <v>2318</v>
      </c>
    </row>
    <row r="171" spans="1:7">
      <c r="A171" t="s">
        <v>2312</v>
      </c>
      <c r="B171" t="s">
        <v>2305</v>
      </c>
      <c r="C171" s="1176">
        <v>2022</v>
      </c>
      <c r="D171" t="s">
        <v>180</v>
      </c>
      <c r="E171">
        <v>54767309</v>
      </c>
      <c r="F171" t="s">
        <v>2311</v>
      </c>
      <c r="G171" s="1177" t="s">
        <v>2318</v>
      </c>
    </row>
    <row r="172" spans="1:7">
      <c r="A172" t="s">
        <v>2313</v>
      </c>
      <c r="B172" t="s">
        <v>2305</v>
      </c>
      <c r="C172" s="1176">
        <v>2022</v>
      </c>
      <c r="D172" t="s">
        <v>180</v>
      </c>
      <c r="E172">
        <v>23157429</v>
      </c>
      <c r="F172" t="s">
        <v>2311</v>
      </c>
      <c r="G172" s="1177" t="s">
        <v>2318</v>
      </c>
    </row>
    <row r="173" spans="1:7">
      <c r="A173" t="s">
        <v>2310</v>
      </c>
      <c r="B173" t="s">
        <v>2305</v>
      </c>
      <c r="C173" s="1176">
        <v>2022</v>
      </c>
      <c r="D173" t="s">
        <v>182</v>
      </c>
      <c r="E173">
        <v>819556702</v>
      </c>
      <c r="F173" t="s">
        <v>2311</v>
      </c>
      <c r="G173" s="1177" t="s">
        <v>2318</v>
      </c>
    </row>
    <row r="174" spans="1:7">
      <c r="A174" t="s">
        <v>2312</v>
      </c>
      <c r="B174" t="s">
        <v>2305</v>
      </c>
      <c r="C174" s="1176">
        <v>2022</v>
      </c>
      <c r="D174" t="s">
        <v>182</v>
      </c>
      <c r="E174">
        <v>1160450344</v>
      </c>
      <c r="F174" t="s">
        <v>2311</v>
      </c>
      <c r="G174" s="1177" t="s">
        <v>2318</v>
      </c>
    </row>
    <row r="175" spans="1:7">
      <c r="A175" t="s">
        <v>2313</v>
      </c>
      <c r="B175" t="s">
        <v>2305</v>
      </c>
      <c r="C175" s="1176">
        <v>2022</v>
      </c>
      <c r="D175" t="s">
        <v>182</v>
      </c>
      <c r="E175">
        <v>496728979</v>
      </c>
      <c r="F175" t="s">
        <v>2311</v>
      </c>
      <c r="G175" s="1177" t="s">
        <v>2318</v>
      </c>
    </row>
    <row r="176" spans="1:7">
      <c r="A176" t="s">
        <v>2314</v>
      </c>
      <c r="B176" t="s">
        <v>92</v>
      </c>
      <c r="C176" s="1176">
        <v>2022</v>
      </c>
      <c r="D176" t="s">
        <v>180</v>
      </c>
      <c r="E176" s="897">
        <v>0.43243239999999999</v>
      </c>
      <c r="F176" t="s">
        <v>2315</v>
      </c>
      <c r="G176" s="1177" t="s">
        <v>2319</v>
      </c>
    </row>
    <row r="177" spans="1:7">
      <c r="A177" t="s">
        <v>2314</v>
      </c>
      <c r="B177" t="s">
        <v>93</v>
      </c>
      <c r="C177" s="1176">
        <v>2022</v>
      </c>
      <c r="D177" t="s">
        <v>180</v>
      </c>
      <c r="E177" s="897">
        <v>0.1081081</v>
      </c>
      <c r="F177" t="s">
        <v>2315</v>
      </c>
      <c r="G177" s="1177" t="s">
        <v>2320</v>
      </c>
    </row>
    <row r="178" spans="1:7">
      <c r="A178" t="s">
        <v>2314</v>
      </c>
      <c r="B178" t="s">
        <v>2167</v>
      </c>
      <c r="C178" s="1176">
        <v>2022</v>
      </c>
      <c r="D178" t="s">
        <v>180</v>
      </c>
      <c r="E178" s="897">
        <v>0.3783784</v>
      </c>
      <c r="F178" t="s">
        <v>2315</v>
      </c>
      <c r="G178" s="1177" t="s">
        <v>2321</v>
      </c>
    </row>
    <row r="179" spans="1:7">
      <c r="A179" t="s">
        <v>2314</v>
      </c>
      <c r="B179" t="s">
        <v>90</v>
      </c>
      <c r="C179" s="1176">
        <v>2022</v>
      </c>
      <c r="D179" t="s">
        <v>180</v>
      </c>
      <c r="E179">
        <v>8.108108E-2</v>
      </c>
      <c r="F179" t="s">
        <v>2315</v>
      </c>
      <c r="G179" s="1177" t="s">
        <v>2322</v>
      </c>
    </row>
    <row r="180" spans="1:7">
      <c r="A180" t="s">
        <v>2316</v>
      </c>
      <c r="B180" t="s">
        <v>92</v>
      </c>
      <c r="C180" s="1176">
        <v>2022</v>
      </c>
      <c r="D180" t="s">
        <v>180</v>
      </c>
      <c r="E180" s="897">
        <v>0.52173910000000001</v>
      </c>
      <c r="F180" t="s">
        <v>2315</v>
      </c>
      <c r="G180" s="1177" t="s">
        <v>2323</v>
      </c>
    </row>
    <row r="181" spans="1:7">
      <c r="A181" t="s">
        <v>2316</v>
      </c>
      <c r="B181" t="s">
        <v>93</v>
      </c>
      <c r="C181" s="1176">
        <v>2022</v>
      </c>
      <c r="D181" t="s">
        <v>180</v>
      </c>
      <c r="E181" s="897">
        <v>0.1956522</v>
      </c>
      <c r="F181" t="s">
        <v>2315</v>
      </c>
      <c r="G181" s="1177" t="s">
        <v>2324</v>
      </c>
    </row>
    <row r="182" spans="1:7">
      <c r="A182" t="s">
        <v>2316</v>
      </c>
      <c r="B182" t="s">
        <v>2167</v>
      </c>
      <c r="C182" s="1176">
        <v>2022</v>
      </c>
      <c r="D182" t="s">
        <v>180</v>
      </c>
      <c r="E182" s="897">
        <v>0.1521739</v>
      </c>
      <c r="F182" t="s">
        <v>2315</v>
      </c>
      <c r="G182" s="1177" t="s">
        <v>2325</v>
      </c>
    </row>
    <row r="183" spans="1:7">
      <c r="A183" t="s">
        <v>2316</v>
      </c>
      <c r="B183" t="s">
        <v>90</v>
      </c>
      <c r="C183" s="1176">
        <v>2022</v>
      </c>
      <c r="D183" t="s">
        <v>180</v>
      </c>
      <c r="E183">
        <v>0.13043478</v>
      </c>
      <c r="F183" t="s">
        <v>2315</v>
      </c>
      <c r="G183" s="1177" t="s">
        <v>2326</v>
      </c>
    </row>
    <row r="184" spans="1:7">
      <c r="A184" t="s">
        <v>2317</v>
      </c>
      <c r="B184" t="s">
        <v>92</v>
      </c>
      <c r="C184" s="1176">
        <v>2022</v>
      </c>
      <c r="D184" t="s">
        <v>180</v>
      </c>
      <c r="E184" s="897">
        <v>0.29629630000000001</v>
      </c>
      <c r="F184" t="s">
        <v>2315</v>
      </c>
      <c r="G184" s="1177" t="s">
        <v>2327</v>
      </c>
    </row>
    <row r="185" spans="1:7">
      <c r="A185" t="s">
        <v>2317</v>
      </c>
      <c r="B185" t="s">
        <v>93</v>
      </c>
      <c r="C185" s="1176">
        <v>2022</v>
      </c>
      <c r="D185" t="s">
        <v>180</v>
      </c>
      <c r="E185" s="897">
        <v>0.44444444</v>
      </c>
      <c r="F185" t="s">
        <v>2315</v>
      </c>
      <c r="G185" s="1177" t="s">
        <v>2328</v>
      </c>
    </row>
    <row r="186" spans="1:7">
      <c r="A186" t="s">
        <v>2317</v>
      </c>
      <c r="B186" t="s">
        <v>2167</v>
      </c>
      <c r="C186" s="1176">
        <v>2022</v>
      </c>
      <c r="D186" t="s">
        <v>180</v>
      </c>
      <c r="E186" s="897">
        <v>0</v>
      </c>
      <c r="F186" t="s">
        <v>2315</v>
      </c>
      <c r="G186" s="1177" t="s">
        <v>2329</v>
      </c>
    </row>
    <row r="187" spans="1:7">
      <c r="A187" t="s">
        <v>2317</v>
      </c>
      <c r="B187" t="s">
        <v>90</v>
      </c>
      <c r="C187" s="1176">
        <v>2022</v>
      </c>
      <c r="D187" t="s">
        <v>180</v>
      </c>
      <c r="E187">
        <v>0.25925925999999999</v>
      </c>
      <c r="F187" t="s">
        <v>2315</v>
      </c>
      <c r="G187" s="1177" t="s">
        <v>2330</v>
      </c>
    </row>
    <row r="188" spans="1:7">
      <c r="A188" t="s">
        <v>2338</v>
      </c>
      <c r="B188" t="s">
        <v>92</v>
      </c>
      <c r="C188" s="1176">
        <v>2022</v>
      </c>
      <c r="D188" t="s">
        <v>180</v>
      </c>
      <c r="E188">
        <v>13.227264999999999</v>
      </c>
      <c r="F188" t="s">
        <v>2337</v>
      </c>
      <c r="G188" s="1177"/>
    </row>
    <row r="189" spans="1:7">
      <c r="A189" t="s">
        <v>2338</v>
      </c>
      <c r="B189" t="s">
        <v>93</v>
      </c>
      <c r="C189" s="1176">
        <v>2022</v>
      </c>
      <c r="D189" t="s">
        <v>180</v>
      </c>
      <c r="E189">
        <v>10.721603999999999</v>
      </c>
      <c r="F189" t="s">
        <v>2337</v>
      </c>
      <c r="G189" s="1177"/>
    </row>
    <row r="190" spans="1:7">
      <c r="A190" t="s">
        <v>2338</v>
      </c>
      <c r="B190" t="s">
        <v>2167</v>
      </c>
      <c r="C190" s="1176">
        <v>2022</v>
      </c>
      <c r="D190" t="s">
        <v>180</v>
      </c>
      <c r="E190">
        <v>7.9424060000000001</v>
      </c>
      <c r="F190" t="s">
        <v>2337</v>
      </c>
      <c r="G190" s="1177"/>
    </row>
    <row r="191" spans="1:7">
      <c r="A191" t="s">
        <v>2338</v>
      </c>
      <c r="B191" t="s">
        <v>90</v>
      </c>
      <c r="C191" s="1176">
        <v>2022</v>
      </c>
      <c r="D191" t="s">
        <v>180</v>
      </c>
      <c r="E191">
        <v>6.8378560000000004</v>
      </c>
      <c r="F191" t="s">
        <v>2337</v>
      </c>
      <c r="G191" s="1177"/>
    </row>
    <row r="192" spans="1:7">
      <c r="C192" s="1170"/>
    </row>
    <row r="193" spans="1:6" s="1171" customFormat="1">
      <c r="A193" s="1173" t="s">
        <v>2309</v>
      </c>
      <c r="C193" s="1172"/>
    </row>
    <row r="194" spans="1:6" s="222" customFormat="1">
      <c r="A194" s="222" t="s">
        <v>2291</v>
      </c>
      <c r="B194" s="222" t="s">
        <v>102</v>
      </c>
      <c r="C194" s="222" t="s">
        <v>101</v>
      </c>
      <c r="D194" s="222" t="s">
        <v>2331</v>
      </c>
      <c r="E194" s="222" t="s">
        <v>1007</v>
      </c>
      <c r="F194" s="222" t="s">
        <v>1086</v>
      </c>
    </row>
    <row r="195" spans="1:6">
      <c r="A195" t="s">
        <v>2333</v>
      </c>
      <c r="B195" t="str">
        <f>B176</f>
        <v>RUBBER</v>
      </c>
      <c r="C195">
        <f>C176</f>
        <v>2022</v>
      </c>
      <c r="D195" t="str">
        <f>D176</f>
        <v>NL</v>
      </c>
      <c r="E195" s="898">
        <f>E176*$E$170</f>
        <v>15883757.943853199</v>
      </c>
      <c r="F195" t="s">
        <v>2311</v>
      </c>
    </row>
    <row r="196" spans="1:6">
      <c r="A196" t="s">
        <v>2333</v>
      </c>
      <c r="B196" t="str">
        <f>B177</f>
        <v>PUR</v>
      </c>
      <c r="C196">
        <f>C177</f>
        <v>2022</v>
      </c>
      <c r="D196" t="str">
        <f>D177</f>
        <v>NL</v>
      </c>
      <c r="E196" s="898">
        <f>E177*$E$170</f>
        <v>3970939.4859632999</v>
      </c>
      <c r="F196" t="s">
        <v>2311</v>
      </c>
    </row>
    <row r="197" spans="1:6">
      <c r="A197" t="s">
        <v>2333</v>
      </c>
      <c r="B197" t="str">
        <f>B178</f>
        <v>EVA</v>
      </c>
      <c r="C197">
        <f>C178</f>
        <v>2022</v>
      </c>
      <c r="D197" t="str">
        <f>D178</f>
        <v>NL</v>
      </c>
      <c r="E197" s="898">
        <f>E178*$E$170</f>
        <v>13898290.037431201</v>
      </c>
      <c r="F197" t="s">
        <v>2311</v>
      </c>
    </row>
    <row r="198" spans="1:6">
      <c r="A198" t="s">
        <v>2333</v>
      </c>
      <c r="B198" t="str">
        <f>B179</f>
        <v>PVC</v>
      </c>
      <c r="C198">
        <f>C179</f>
        <v>2022</v>
      </c>
      <c r="D198" t="str">
        <f>D179</f>
        <v>NL</v>
      </c>
      <c r="E198" s="898">
        <f>E179*$E$170</f>
        <v>2978204.79812844</v>
      </c>
      <c r="F198" t="s">
        <v>2311</v>
      </c>
    </row>
    <row r="199" spans="1:6">
      <c r="A199" t="s">
        <v>2332</v>
      </c>
      <c r="B199" t="str">
        <f>B180</f>
        <v>RUBBER</v>
      </c>
      <c r="C199">
        <f>C180</f>
        <v>2022</v>
      </c>
      <c r="D199" t="str">
        <f>D180</f>
        <v>NL</v>
      </c>
      <c r="E199" s="898">
        <f>E180*$E$171</f>
        <v>28574246.5070819</v>
      </c>
      <c r="F199" t="s">
        <v>2311</v>
      </c>
    </row>
    <row r="200" spans="1:6">
      <c r="A200" t="s">
        <v>2332</v>
      </c>
      <c r="B200" t="str">
        <f>B181</f>
        <v>PUR</v>
      </c>
      <c r="C200">
        <f>C181</f>
        <v>2022</v>
      </c>
      <c r="D200" t="str">
        <f>D181</f>
        <v>NL</v>
      </c>
      <c r="E200" s="898">
        <f>E181*$E$171</f>
        <v>10715344.4939298</v>
      </c>
      <c r="F200" t="s">
        <v>2311</v>
      </c>
    </row>
    <row r="201" spans="1:6">
      <c r="A201" t="s">
        <v>2332</v>
      </c>
      <c r="B201" t="str">
        <f>B182</f>
        <v>EVA</v>
      </c>
      <c r="C201">
        <f>C182</f>
        <v>2022</v>
      </c>
      <c r="D201" t="str">
        <f>D182</f>
        <v>NL</v>
      </c>
      <c r="E201" s="898">
        <f>E182*$E$171</f>
        <v>8334155.0030351002</v>
      </c>
      <c r="F201" t="s">
        <v>2311</v>
      </c>
    </row>
    <row r="202" spans="1:6">
      <c r="A202" t="s">
        <v>2332</v>
      </c>
      <c r="B202" t="str">
        <f>B183</f>
        <v>PVC</v>
      </c>
      <c r="C202">
        <f>C183</f>
        <v>2022</v>
      </c>
      <c r="D202" t="str">
        <f>D183</f>
        <v>NL</v>
      </c>
      <c r="E202" s="898">
        <f>E183*$E$171</f>
        <v>7143561.9006070197</v>
      </c>
      <c r="F202" t="s">
        <v>2311</v>
      </c>
    </row>
    <row r="203" spans="1:6">
      <c r="A203" t="s">
        <v>2334</v>
      </c>
      <c r="B203" t="str">
        <f>B184</f>
        <v>RUBBER</v>
      </c>
      <c r="C203">
        <f>C184</f>
        <v>2022</v>
      </c>
      <c r="D203" t="str">
        <f>D184</f>
        <v>NL</v>
      </c>
      <c r="E203" s="898">
        <f>E184*$E$172</f>
        <v>6861460.5302127004</v>
      </c>
      <c r="F203" t="s">
        <v>2311</v>
      </c>
    </row>
    <row r="204" spans="1:6">
      <c r="A204" t="s">
        <v>2334</v>
      </c>
      <c r="B204" t="str">
        <f>B185</f>
        <v>PUR</v>
      </c>
      <c r="C204">
        <f>C185</f>
        <v>2022</v>
      </c>
      <c r="D204" t="str">
        <f>D185</f>
        <v>NL</v>
      </c>
      <c r="E204" s="898">
        <f>E185*$E$172</f>
        <v>10292190.563744759</v>
      </c>
      <c r="F204" t="s">
        <v>2311</v>
      </c>
    </row>
    <row r="205" spans="1:6">
      <c r="A205" t="s">
        <v>2334</v>
      </c>
      <c r="B205" t="str">
        <f>B186</f>
        <v>EVA</v>
      </c>
      <c r="C205">
        <f>C186</f>
        <v>2022</v>
      </c>
      <c r="D205" t="str">
        <f>D186</f>
        <v>NL</v>
      </c>
      <c r="E205" s="898">
        <f>E186*$E$172</f>
        <v>0</v>
      </c>
      <c r="F205" t="s">
        <v>2311</v>
      </c>
    </row>
    <row r="206" spans="1:6">
      <c r="A206" t="s">
        <v>2334</v>
      </c>
      <c r="B206" t="str">
        <f>B187</f>
        <v>PVC</v>
      </c>
      <c r="C206">
        <f>C187</f>
        <v>2022</v>
      </c>
      <c r="D206" t="str">
        <f>D187</f>
        <v>NL</v>
      </c>
      <c r="E206" s="898">
        <f>E187*$E$172</f>
        <v>6003777.9060425395</v>
      </c>
      <c r="F206" t="s">
        <v>2311</v>
      </c>
    </row>
    <row r="207" spans="1:6">
      <c r="A207" t="s">
        <v>2335</v>
      </c>
      <c r="B207" t="s">
        <v>92</v>
      </c>
      <c r="C207">
        <v>2022</v>
      </c>
      <c r="D207" t="s">
        <v>180</v>
      </c>
      <c r="E207" s="898">
        <f>E195+E199+E203</f>
        <v>51319464.981147796</v>
      </c>
      <c r="F207" t="s">
        <v>2311</v>
      </c>
    </row>
    <row r="208" spans="1:6">
      <c r="A208" t="s">
        <v>2335</v>
      </c>
      <c r="B208" t="s">
        <v>93</v>
      </c>
      <c r="C208">
        <v>2022</v>
      </c>
      <c r="D208" t="s">
        <v>180</v>
      </c>
      <c r="E208" s="898">
        <f>E196+E200+E204</f>
        <v>24978474.543637857</v>
      </c>
      <c r="F208" t="s">
        <v>2311</v>
      </c>
    </row>
    <row r="209" spans="1:6">
      <c r="A209" t="s">
        <v>2335</v>
      </c>
      <c r="B209" t="s">
        <v>2167</v>
      </c>
      <c r="C209">
        <v>2022</v>
      </c>
      <c r="D209" t="s">
        <v>180</v>
      </c>
      <c r="E209" s="898">
        <f>E197+E201+E205</f>
        <v>22232445.040466301</v>
      </c>
      <c r="F209" t="s">
        <v>2311</v>
      </c>
    </row>
    <row r="210" spans="1:6">
      <c r="A210" t="s">
        <v>2335</v>
      </c>
      <c r="B210" t="s">
        <v>90</v>
      </c>
      <c r="C210">
        <v>2022</v>
      </c>
      <c r="D210" t="s">
        <v>180</v>
      </c>
      <c r="E210" s="898">
        <f>E198+E202+E206</f>
        <v>16125544.604777999</v>
      </c>
      <c r="F210" t="s">
        <v>2311</v>
      </c>
    </row>
    <row r="211" spans="1:6">
      <c r="A211" t="s">
        <v>2172</v>
      </c>
      <c r="B211" t="s">
        <v>92</v>
      </c>
      <c r="C211">
        <f t="shared" ref="C211:D211" si="6">C196</f>
        <v>2022</v>
      </c>
      <c r="D211" t="str">
        <f t="shared" si="6"/>
        <v>NL</v>
      </c>
      <c r="E211" s="898">
        <f>$E$207*C159</f>
        <v>1221403266.5513177</v>
      </c>
      <c r="F211" t="s">
        <v>2336</v>
      </c>
    </row>
    <row r="212" spans="1:6">
      <c r="A212" t="s">
        <v>2170</v>
      </c>
      <c r="B212" t="s">
        <v>92</v>
      </c>
      <c r="C212">
        <f t="shared" ref="C212:D212" si="7">C197</f>
        <v>2022</v>
      </c>
      <c r="D212" t="str">
        <f t="shared" si="7"/>
        <v>NL</v>
      </c>
      <c r="E212" s="898">
        <f>$E$207*C160</f>
        <v>2442806533.1026354</v>
      </c>
      <c r="F212" t="s">
        <v>2336</v>
      </c>
    </row>
    <row r="213" spans="1:6">
      <c r="A213" t="s">
        <v>2172</v>
      </c>
      <c r="B213" t="s">
        <v>93</v>
      </c>
      <c r="C213">
        <f t="shared" ref="C213:D213" si="8">C198</f>
        <v>2022</v>
      </c>
      <c r="D213" t="str">
        <f t="shared" si="8"/>
        <v>NL</v>
      </c>
      <c r="E213" s="898">
        <f>$E$208*C161</f>
        <v>435957642.36829281</v>
      </c>
      <c r="F213" t="s">
        <v>2336</v>
      </c>
    </row>
    <row r="214" spans="1:6">
      <c r="A214" t="s">
        <v>2170</v>
      </c>
      <c r="B214" t="s">
        <v>93</v>
      </c>
      <c r="C214">
        <f t="shared" ref="C214:D214" si="9">C199</f>
        <v>2022</v>
      </c>
      <c r="D214" t="str">
        <f t="shared" si="9"/>
        <v>NL</v>
      </c>
      <c r="E214" s="898">
        <f>$E$208*C162</f>
        <v>871915284.73658562</v>
      </c>
      <c r="F214" t="s">
        <v>2336</v>
      </c>
    </row>
    <row r="215" spans="1:6">
      <c r="A215" t="s">
        <v>2172</v>
      </c>
      <c r="B215" t="s">
        <v>2167</v>
      </c>
      <c r="C215">
        <v>2022</v>
      </c>
      <c r="D215" t="s">
        <v>180</v>
      </c>
      <c r="E215" s="898">
        <f>$E$209*C163</f>
        <v>335117054.909962</v>
      </c>
      <c r="F215" t="s">
        <v>2336</v>
      </c>
    </row>
    <row r="216" spans="1:6">
      <c r="A216" t="s">
        <v>2170</v>
      </c>
      <c r="B216" t="s">
        <v>2167</v>
      </c>
      <c r="C216">
        <v>2022</v>
      </c>
      <c r="D216" t="s">
        <v>180</v>
      </c>
      <c r="E216" s="898">
        <f>$E$209*C164</f>
        <v>670234109.819924</v>
      </c>
      <c r="F216" t="s">
        <v>2336</v>
      </c>
    </row>
    <row r="217" spans="1:6">
      <c r="A217" t="s">
        <v>2172</v>
      </c>
      <c r="B217" t="s">
        <v>90</v>
      </c>
      <c r="C217">
        <v>2022</v>
      </c>
      <c r="D217" t="s">
        <v>180</v>
      </c>
      <c r="E217" s="898">
        <f>$E$210*C165</f>
        <v>355643511.07684386</v>
      </c>
      <c r="F217" t="s">
        <v>2336</v>
      </c>
    </row>
    <row r="218" spans="1:6">
      <c r="A218" t="s">
        <v>2170</v>
      </c>
      <c r="B218" t="s">
        <v>90</v>
      </c>
      <c r="C218">
        <v>2022</v>
      </c>
      <c r="D218" t="s">
        <v>180</v>
      </c>
      <c r="E218" s="898">
        <f>$E$210*C166</f>
        <v>711287022.15368772</v>
      </c>
      <c r="F218" t="s">
        <v>2336</v>
      </c>
    </row>
    <row r="219" spans="1:6">
      <c r="A219" t="str">
        <f>A211</f>
        <v>Wear mass (low estimate)</v>
      </c>
      <c r="B219" t="str">
        <f t="shared" ref="B219:D219" si="10">B211</f>
        <v>RUBBER</v>
      </c>
      <c r="C219">
        <f t="shared" si="10"/>
        <v>2022</v>
      </c>
      <c r="D219" t="str">
        <f t="shared" si="10"/>
        <v>NL</v>
      </c>
      <c r="E219" s="404">
        <f>E211*10^-9</f>
        <v>1.2214032665513177</v>
      </c>
      <c r="F219" t="s">
        <v>2337</v>
      </c>
    </row>
    <row r="220" spans="1:6">
      <c r="A220" t="str">
        <f t="shared" ref="A220:D225" si="11">A212</f>
        <v>Wear mass (high estimate)</v>
      </c>
      <c r="B220" t="str">
        <f t="shared" si="11"/>
        <v>RUBBER</v>
      </c>
      <c r="C220">
        <f t="shared" si="11"/>
        <v>2022</v>
      </c>
      <c r="D220" t="str">
        <f t="shared" si="11"/>
        <v>NL</v>
      </c>
      <c r="E220" s="404">
        <f t="shared" ref="E220:E226" si="12">E212*10^-9</f>
        <v>2.4428065331026354</v>
      </c>
      <c r="F220" t="s">
        <v>2337</v>
      </c>
    </row>
    <row r="221" spans="1:6">
      <c r="A221" t="str">
        <f t="shared" si="11"/>
        <v>Wear mass (low estimate)</v>
      </c>
      <c r="B221" t="str">
        <f t="shared" si="11"/>
        <v>PUR</v>
      </c>
      <c r="C221">
        <f t="shared" si="11"/>
        <v>2022</v>
      </c>
      <c r="D221" t="str">
        <f t="shared" si="11"/>
        <v>NL</v>
      </c>
      <c r="E221" s="404">
        <f t="shared" si="12"/>
        <v>0.43595764236829282</v>
      </c>
      <c r="F221" t="s">
        <v>2337</v>
      </c>
    </row>
    <row r="222" spans="1:6">
      <c r="A222" t="str">
        <f t="shared" si="11"/>
        <v>Wear mass (high estimate)</v>
      </c>
      <c r="B222" t="str">
        <f t="shared" si="11"/>
        <v>PUR</v>
      </c>
      <c r="C222">
        <f t="shared" si="11"/>
        <v>2022</v>
      </c>
      <c r="D222" t="str">
        <f t="shared" si="11"/>
        <v>NL</v>
      </c>
      <c r="E222" s="404">
        <f t="shared" si="12"/>
        <v>0.87191528473658564</v>
      </c>
      <c r="F222" t="s">
        <v>2337</v>
      </c>
    </row>
    <row r="223" spans="1:6">
      <c r="A223" t="str">
        <f t="shared" si="11"/>
        <v>Wear mass (low estimate)</v>
      </c>
      <c r="B223" t="str">
        <f t="shared" si="11"/>
        <v>EVA</v>
      </c>
      <c r="C223">
        <f t="shared" si="11"/>
        <v>2022</v>
      </c>
      <c r="D223" t="str">
        <f t="shared" si="11"/>
        <v>NL</v>
      </c>
      <c r="E223" s="404">
        <f t="shared" si="12"/>
        <v>0.33511705490996202</v>
      </c>
      <c r="F223" t="s">
        <v>2337</v>
      </c>
    </row>
    <row r="224" spans="1:6">
      <c r="A224" t="str">
        <f t="shared" si="11"/>
        <v>Wear mass (high estimate)</v>
      </c>
      <c r="B224" t="str">
        <f t="shared" si="11"/>
        <v>EVA</v>
      </c>
      <c r="C224">
        <f t="shared" si="11"/>
        <v>2022</v>
      </c>
      <c r="D224" t="str">
        <f t="shared" si="11"/>
        <v>NL</v>
      </c>
      <c r="E224" s="404">
        <f t="shared" si="12"/>
        <v>0.67023410981992404</v>
      </c>
      <c r="F224" t="s">
        <v>2337</v>
      </c>
    </row>
    <row r="225" spans="1:6">
      <c r="A225" t="str">
        <f t="shared" si="11"/>
        <v>Wear mass (low estimate)</v>
      </c>
      <c r="B225" t="str">
        <f t="shared" si="11"/>
        <v>PVC</v>
      </c>
      <c r="C225">
        <f t="shared" si="11"/>
        <v>2022</v>
      </c>
      <c r="D225" t="str">
        <f t="shared" si="11"/>
        <v>NL</v>
      </c>
      <c r="E225" s="404">
        <f t="shared" si="12"/>
        <v>0.35564351107684389</v>
      </c>
      <c r="F225" t="s">
        <v>2337</v>
      </c>
    </row>
    <row r="226" spans="1:6">
      <c r="A226" t="str">
        <f>A218</f>
        <v>Wear mass (high estimate)</v>
      </c>
      <c r="B226" t="str">
        <f t="shared" ref="B226:D226" si="13">B218</f>
        <v>PVC</v>
      </c>
      <c r="C226">
        <f t="shared" si="13"/>
        <v>2022</v>
      </c>
      <c r="D226" t="str">
        <f t="shared" si="13"/>
        <v>NL</v>
      </c>
      <c r="E226" s="404">
        <f t="shared" si="12"/>
        <v>0.71128702215368778</v>
      </c>
      <c r="F226" t="s">
        <v>2337</v>
      </c>
    </row>
    <row r="227" spans="1:6">
      <c r="A227" t="s">
        <v>2339</v>
      </c>
      <c r="B227" t="str">
        <f t="shared" ref="B227" si="14">B219</f>
        <v>RUBBER</v>
      </c>
      <c r="C227">
        <f t="shared" ref="C227:D227" si="15">C219</f>
        <v>2022</v>
      </c>
      <c r="D227" t="str">
        <f t="shared" si="15"/>
        <v>NL</v>
      </c>
      <c r="E227" s="985">
        <f>(E219/E188)/$B$136</f>
        <v>5.7712387375211246E-3</v>
      </c>
      <c r="F227" t="s">
        <v>2315</v>
      </c>
    </row>
    <row r="228" spans="1:6">
      <c r="A228" t="s">
        <v>2340</v>
      </c>
      <c r="B228" t="str">
        <f t="shared" ref="B228" si="16">B220</f>
        <v>RUBBER</v>
      </c>
      <c r="C228">
        <f t="shared" ref="C228:D228" si="17">C220</f>
        <v>2022</v>
      </c>
      <c r="D228" t="str">
        <f t="shared" si="17"/>
        <v>NL</v>
      </c>
      <c r="E228" s="985">
        <f>(E220/E188)/$B$136</f>
        <v>1.1542477475042249E-2</v>
      </c>
      <c r="F228" t="s">
        <v>2315</v>
      </c>
    </row>
    <row r="229" spans="1:6">
      <c r="A229" t="s">
        <v>2339</v>
      </c>
      <c r="B229" t="str">
        <f t="shared" ref="B229" si="18">B221</f>
        <v>PUR</v>
      </c>
      <c r="C229">
        <f t="shared" ref="C229:D229" si="19">C221</f>
        <v>2022</v>
      </c>
      <c r="D229" t="str">
        <f t="shared" si="19"/>
        <v>NL</v>
      </c>
      <c r="E229" s="985">
        <f>(E221/E189)/$B$136</f>
        <v>2.5413504031689942E-3</v>
      </c>
      <c r="F229" t="s">
        <v>2315</v>
      </c>
    </row>
    <row r="230" spans="1:6">
      <c r="A230" t="s">
        <v>2340</v>
      </c>
      <c r="B230" t="str">
        <f t="shared" ref="B230" si="20">B222</f>
        <v>PUR</v>
      </c>
      <c r="C230">
        <f t="shared" ref="C230:D230" si="21">C222</f>
        <v>2022</v>
      </c>
      <c r="D230" t="str">
        <f t="shared" si="21"/>
        <v>NL</v>
      </c>
      <c r="E230" s="985">
        <f>(E222/E189)/$B$136</f>
        <v>5.0827008063379885E-3</v>
      </c>
      <c r="F230" t="s">
        <v>2315</v>
      </c>
    </row>
    <row r="231" spans="1:6">
      <c r="A231" t="s">
        <v>2339</v>
      </c>
      <c r="B231" t="str">
        <f t="shared" ref="B231" si="22">B223</f>
        <v>EVA</v>
      </c>
      <c r="C231">
        <f t="shared" ref="C231:D231" si="23">C223</f>
        <v>2022</v>
      </c>
      <c r="D231" t="str">
        <f t="shared" si="23"/>
        <v>NL</v>
      </c>
      <c r="E231" s="985">
        <f>(E223/E190)/$B$136</f>
        <v>2.6370870403593857E-3</v>
      </c>
      <c r="F231" t="s">
        <v>2315</v>
      </c>
    </row>
    <row r="232" spans="1:6">
      <c r="A232" t="s">
        <v>2340</v>
      </c>
      <c r="B232" t="str">
        <f t="shared" ref="B232" si="24">B224</f>
        <v>EVA</v>
      </c>
      <c r="C232">
        <f t="shared" ref="C232:D232" si="25">C224</f>
        <v>2022</v>
      </c>
      <c r="D232" t="str">
        <f t="shared" si="25"/>
        <v>NL</v>
      </c>
      <c r="E232" s="985">
        <f>(E224/E190)/$B$136</f>
        <v>5.2741740807187715E-3</v>
      </c>
      <c r="F232" t="s">
        <v>2315</v>
      </c>
    </row>
    <row r="233" spans="1:6">
      <c r="A233" t="s">
        <v>2339</v>
      </c>
      <c r="B233" t="str">
        <f t="shared" ref="B233" si="26">B225</f>
        <v>PVC</v>
      </c>
      <c r="C233">
        <f t="shared" ref="C233:D233" si="27">C225</f>
        <v>2022</v>
      </c>
      <c r="D233" t="str">
        <f t="shared" si="27"/>
        <v>NL</v>
      </c>
      <c r="E233" s="985">
        <f>(E225/E191)/$B$136</f>
        <v>3.2506855134566658E-3</v>
      </c>
      <c r="F233" t="s">
        <v>2315</v>
      </c>
    </row>
    <row r="234" spans="1:6">
      <c r="A234" t="s">
        <v>2340</v>
      </c>
      <c r="B234" t="str">
        <f t="shared" ref="B234" si="28">B226</f>
        <v>PVC</v>
      </c>
      <c r="C234">
        <f t="shared" ref="C234:D234" si="29">C226</f>
        <v>2022</v>
      </c>
      <c r="D234" t="str">
        <f t="shared" si="29"/>
        <v>NL</v>
      </c>
      <c r="E234" s="985">
        <f>(E226/E191)/$B$136</f>
        <v>6.5013710269133315E-3</v>
      </c>
      <c r="F234" t="s">
        <v>2315</v>
      </c>
    </row>
    <row r="236" spans="1:6">
      <c r="A236" s="377" t="s">
        <v>2175</v>
      </c>
    </row>
    <row r="238" spans="1:6" s="949" customFormat="1">
      <c r="A238" s="950" t="s">
        <v>2252</v>
      </c>
    </row>
    <row r="239" spans="1:6">
      <c r="A239" t="s">
        <v>2248</v>
      </c>
      <c r="B239" s="952">
        <v>0.08</v>
      </c>
      <c r="C239" t="s">
        <v>2249</v>
      </c>
    </row>
    <row r="240" spans="1:6">
      <c r="A240" t="s">
        <v>2250</v>
      </c>
      <c r="B240" s="381">
        <v>0.33</v>
      </c>
      <c r="C240" t="s">
        <v>2249</v>
      </c>
    </row>
    <row r="241" spans="1:3">
      <c r="A241" t="s">
        <v>2251</v>
      </c>
      <c r="B241" s="381">
        <v>0.89</v>
      </c>
      <c r="C241" t="s">
        <v>2249</v>
      </c>
    </row>
  </sheetData>
  <mergeCells count="4">
    <mergeCell ref="A130:XFD131"/>
    <mergeCell ref="A1:XFD2"/>
    <mergeCell ref="A46:XFD47"/>
    <mergeCell ref="A72:XFD73"/>
  </mergeCells>
  <phoneticPr fontId="22" type="noConversion"/>
  <conditionalFormatting sqref="H76:M76">
    <cfRule type="dataBar" priority="9">
      <dataBar>
        <cfvo type="min"/>
        <cfvo type="num" val="4"/>
        <color rgb="FFFFC000"/>
      </dataBar>
      <extLst>
        <ext xmlns:x14="http://schemas.microsoft.com/office/spreadsheetml/2009/9/main" uri="{B025F937-C7B1-47D3-B67F-A62EFF666E3E}">
          <x14:id>{39972AFF-A933-4B21-9BD7-F2C90950DDF5}</x14:id>
        </ext>
      </extLst>
    </cfRule>
  </conditionalFormatting>
  <conditionalFormatting sqref="H76:M78">
    <cfRule type="containsBlanks" dxfId="159" priority="5" stopIfTrue="1">
      <formula>LEN(TRIM(H76))=0</formula>
    </cfRule>
    <cfRule type="cellIs" dxfId="158" priority="6" stopIfTrue="1" operator="notBetween">
      <formula>1</formula>
      <formula>4</formula>
    </cfRule>
  </conditionalFormatting>
  <conditionalFormatting sqref="H77:M77">
    <cfRule type="dataBar" priority="8">
      <dataBar>
        <cfvo type="min"/>
        <cfvo type="num" val="4"/>
        <color rgb="FFFFC000"/>
      </dataBar>
      <extLst>
        <ext xmlns:x14="http://schemas.microsoft.com/office/spreadsheetml/2009/9/main" uri="{B025F937-C7B1-47D3-B67F-A62EFF666E3E}">
          <x14:id>{28FE618F-D455-488B-A4CF-AF9DEFD30444}</x14:id>
        </ext>
      </extLst>
    </cfRule>
  </conditionalFormatting>
  <conditionalFormatting sqref="H78:M78">
    <cfRule type="dataBar" priority="7">
      <dataBar>
        <cfvo type="min"/>
        <cfvo type="num" val="4"/>
        <color rgb="FFFFC000"/>
      </dataBar>
      <extLst>
        <ext xmlns:x14="http://schemas.microsoft.com/office/spreadsheetml/2009/9/main" uri="{B025F937-C7B1-47D3-B67F-A62EFF666E3E}">
          <x14:id>{503F7A6E-53BA-436A-81F4-38AC3D9822AC}</x14:id>
        </ext>
      </extLst>
    </cfRule>
  </conditionalFormatting>
  <conditionalFormatting sqref="H81:M81">
    <cfRule type="dataBar" priority="3">
      <dataBar>
        <cfvo type="min"/>
        <cfvo type="num" val="4"/>
        <color rgb="FFFFC000"/>
      </dataBar>
      <extLst>
        <ext xmlns:x14="http://schemas.microsoft.com/office/spreadsheetml/2009/9/main" uri="{B025F937-C7B1-47D3-B67F-A62EFF666E3E}">
          <x14:id>{63C0225B-7F31-4AF9-A5FE-91C714207D95}</x14:id>
        </ext>
      </extLst>
    </cfRule>
  </conditionalFormatting>
  <conditionalFormatting sqref="H81:M82">
    <cfRule type="containsBlanks" dxfId="157" priority="1" stopIfTrue="1">
      <formula>LEN(TRIM(H81))=0</formula>
    </cfRule>
    <cfRule type="cellIs" dxfId="156" priority="2" stopIfTrue="1" operator="notBetween">
      <formula>1</formula>
      <formula>4</formula>
    </cfRule>
  </conditionalFormatting>
  <conditionalFormatting sqref="H82:M82">
    <cfRule type="dataBar" priority="4">
      <dataBar>
        <cfvo type="min"/>
        <cfvo type="num" val="4"/>
        <color rgb="FFFFC000"/>
      </dataBar>
      <extLst>
        <ext xmlns:x14="http://schemas.microsoft.com/office/spreadsheetml/2009/9/main" uri="{B025F937-C7B1-47D3-B67F-A62EFF666E3E}">
          <x14:id>{1C982241-DEE5-4196-9313-0C58251BC6E8}</x14:id>
        </ext>
      </extLst>
    </cfRule>
  </conditionalFormatting>
  <hyperlinks>
    <hyperlink ref="G170" r:id="rId1" display="https://ec.europa.eu/eurostat/databrowser/view/DS-056120__custom_15192557/default/table?lang=en" xr:uid="{6C595A05-3858-4F7D-9D73-12F283DECFEC}"/>
    <hyperlink ref="G171" r:id="rId2" display="https://ec.europa.eu/eurostat/databrowser/view/DS-056120__custom_15192557/default/table?lang=en" xr:uid="{FA508769-3FD2-4ECA-B14E-96741CEFC781}"/>
    <hyperlink ref="G172" r:id="rId3" display="https://ec.europa.eu/eurostat/databrowser/view/DS-056120__custom_15192557/default/table?lang=en" xr:uid="{EA711A1F-D59E-4783-81BE-B1EC079479E4}"/>
    <hyperlink ref="G173" r:id="rId4" display="https://ec.europa.eu/eurostat/databrowser/view/DS-056120__custom_15192557/default/table?lang=en" xr:uid="{AE908775-C2A9-4291-AC2E-091EF983CC77}"/>
    <hyperlink ref="G174" r:id="rId5" display="https://ec.europa.eu/eurostat/databrowser/view/DS-056120__custom_15192557/default/table?lang=en" xr:uid="{59AB38D3-9E3D-403C-BA73-187C58BE553C}"/>
    <hyperlink ref="G175" r:id="rId6" display="https://ec.europa.eu/eurostat/databrowser/view/DS-056120__custom_15192557/default/table?lang=en" xr:uid="{7426E04E-6B28-465A-885A-0AB3C9BA046B}"/>
    <hyperlink ref="G176" r:id="rId7" display="https://ec.europa.eu/eurostat/databrowser/view/DS-056120__custom_15192557/default/table?lang=en" xr:uid="{5D5DF965-4089-425B-849D-8911F6A887A8}"/>
    <hyperlink ref="G177:G187" r:id="rId8" display="https://ec.europa.eu/eurostat/databrowser/view/DS-056120__custom_15192557/default/table?lang=en" xr:uid="{E4038B61-2203-46A3-817B-8B5696CCD03A}"/>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9972AFF-A933-4B21-9BD7-F2C90950DDF5}">
            <x14:dataBar minLength="0" maxLength="100" gradient="0">
              <x14:cfvo type="autoMin"/>
              <x14:cfvo type="num">
                <xm:f>4</xm:f>
              </x14:cfvo>
              <x14:negativeFillColor rgb="FFFF0000"/>
              <x14:axisColor rgb="FF000000"/>
            </x14:dataBar>
          </x14:cfRule>
          <xm:sqref>H76:M76</xm:sqref>
        </x14:conditionalFormatting>
        <x14:conditionalFormatting xmlns:xm="http://schemas.microsoft.com/office/excel/2006/main">
          <x14:cfRule type="dataBar" id="{28FE618F-D455-488B-A4CF-AF9DEFD30444}">
            <x14:dataBar minLength="0" maxLength="100" gradient="0">
              <x14:cfvo type="autoMin"/>
              <x14:cfvo type="num">
                <xm:f>4</xm:f>
              </x14:cfvo>
              <x14:negativeFillColor rgb="FFFF0000"/>
              <x14:axisColor rgb="FF000000"/>
            </x14:dataBar>
          </x14:cfRule>
          <xm:sqref>H77:M77</xm:sqref>
        </x14:conditionalFormatting>
        <x14:conditionalFormatting xmlns:xm="http://schemas.microsoft.com/office/excel/2006/main">
          <x14:cfRule type="dataBar" id="{503F7A6E-53BA-436A-81F4-38AC3D9822AC}">
            <x14:dataBar minLength="0" maxLength="100" gradient="0">
              <x14:cfvo type="autoMin"/>
              <x14:cfvo type="num">
                <xm:f>4</xm:f>
              </x14:cfvo>
              <x14:negativeFillColor rgb="FFFF0000"/>
              <x14:axisColor rgb="FF000000"/>
            </x14:dataBar>
          </x14:cfRule>
          <xm:sqref>H78:M78</xm:sqref>
        </x14:conditionalFormatting>
        <x14:conditionalFormatting xmlns:xm="http://schemas.microsoft.com/office/excel/2006/main">
          <x14:cfRule type="dataBar" id="{63C0225B-7F31-4AF9-A5FE-91C714207D95}">
            <x14:dataBar minLength="0" maxLength="100" gradient="0">
              <x14:cfvo type="autoMin"/>
              <x14:cfvo type="num">
                <xm:f>4</xm:f>
              </x14:cfvo>
              <x14:negativeFillColor rgb="FFFF0000"/>
              <x14:axisColor rgb="FF000000"/>
            </x14:dataBar>
          </x14:cfRule>
          <xm:sqref>H81:M81</xm:sqref>
        </x14:conditionalFormatting>
        <x14:conditionalFormatting xmlns:xm="http://schemas.microsoft.com/office/excel/2006/main">
          <x14:cfRule type="dataBar" id="{1C982241-DEE5-4196-9313-0C58251BC6E8}">
            <x14:dataBar minLength="0" maxLength="100" gradient="0">
              <x14:cfvo type="autoMin"/>
              <x14:cfvo type="num">
                <xm:f>4</xm:f>
              </x14:cfvo>
              <x14:negativeFillColor rgb="FFFF0000"/>
              <x14:axisColor rgb="FF000000"/>
            </x14:dataBar>
          </x14:cfRule>
          <xm:sqref>H82:M82</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490D9-7833-4417-8888-F65EE0C87F40}">
  <sheetPr>
    <tabColor theme="8"/>
  </sheetPr>
  <dimension ref="A1:M76"/>
  <sheetViews>
    <sheetView zoomScale="90" zoomScaleNormal="90" workbookViewId="0">
      <selection activeCell="A3" sqref="A3:XFD3"/>
    </sheetView>
  </sheetViews>
  <sheetFormatPr defaultRowHeight="14.4"/>
  <cols>
    <col min="1" max="1" width="42.109375" bestFit="1" customWidth="1"/>
    <col min="2" max="2" width="21.5546875" customWidth="1"/>
    <col min="3" max="3" width="19" bestFit="1" customWidth="1"/>
    <col min="4" max="4" width="19.44140625" bestFit="1" customWidth="1"/>
    <col min="5" max="5" width="20.44140625" bestFit="1" customWidth="1"/>
    <col min="7" max="7" width="43.88671875" customWidth="1"/>
    <col min="8" max="8" width="9.21875" customWidth="1"/>
    <col min="13" max="13" width="8.88671875" customWidth="1"/>
  </cols>
  <sheetData>
    <row r="1" spans="1:5" s="1225" customFormat="1">
      <c r="A1" s="1225" t="s">
        <v>2342</v>
      </c>
    </row>
    <row r="2" spans="1:5" s="1225" customFormat="1"/>
    <row r="3" spans="1:5" s="1215" customFormat="1">
      <c r="A3" s="1238" t="s">
        <v>2262</v>
      </c>
      <c r="B3" s="1217"/>
      <c r="C3" s="1217"/>
      <c r="D3" s="1217"/>
      <c r="E3" s="1217"/>
    </row>
    <row r="4" spans="1:5">
      <c r="A4" s="433"/>
      <c r="B4" s="835" t="s">
        <v>2236</v>
      </c>
      <c r="C4" s="835" t="s">
        <v>2237</v>
      </c>
      <c r="D4" s="835" t="s">
        <v>2242</v>
      </c>
      <c r="E4" s="835" t="s">
        <v>2259</v>
      </c>
    </row>
    <row r="5" spans="1:5">
      <c r="A5" s="433" t="s">
        <v>2233</v>
      </c>
      <c r="B5" s="1218">
        <v>0.72</v>
      </c>
      <c r="C5" s="433" t="s">
        <v>2232</v>
      </c>
      <c r="D5" s="1219">
        <f>B5</f>
        <v>0.72</v>
      </c>
      <c r="E5" s="1219">
        <f>1-D5</f>
        <v>0.28000000000000003</v>
      </c>
    </row>
    <row r="6" spans="1:5">
      <c r="A6" s="433" t="s">
        <v>2234</v>
      </c>
      <c r="B6" s="1218">
        <v>0.88</v>
      </c>
      <c r="C6" s="433" t="s">
        <v>2232</v>
      </c>
      <c r="D6" s="1219">
        <f>B6-B5</f>
        <v>0.16000000000000003</v>
      </c>
      <c r="E6" s="1219">
        <f>E5-D6</f>
        <v>0.12</v>
      </c>
    </row>
    <row r="7" spans="1:5">
      <c r="A7" s="433" t="s">
        <v>2235</v>
      </c>
      <c r="B7" s="1218">
        <v>0.94</v>
      </c>
      <c r="C7" s="433" t="s">
        <v>2232</v>
      </c>
      <c r="D7" s="1219">
        <f t="shared" ref="D7" si="0">B7-B6</f>
        <v>5.9999999999999942E-2</v>
      </c>
      <c r="E7" s="1219">
        <f>E6-D7</f>
        <v>6.0000000000000053E-2</v>
      </c>
    </row>
    <row r="8" spans="1:5">
      <c r="A8" s="433" t="s">
        <v>2235</v>
      </c>
      <c r="B8" s="1218">
        <v>0.998</v>
      </c>
      <c r="C8" s="433" t="s">
        <v>2238</v>
      </c>
      <c r="D8" s="1219">
        <f>B8-B6</f>
        <v>0.11799999999999999</v>
      </c>
      <c r="E8" s="1219">
        <f>E6-D8</f>
        <v>2.0000000000000018E-3</v>
      </c>
    </row>
    <row r="9" spans="1:5">
      <c r="A9" s="433"/>
      <c r="B9" s="1218"/>
      <c r="C9" s="433"/>
      <c r="D9" s="1219"/>
      <c r="E9" s="1219"/>
    </row>
    <row r="10" spans="1:5">
      <c r="A10" s="433"/>
      <c r="B10" s="835" t="s">
        <v>2260</v>
      </c>
      <c r="C10" s="835" t="s">
        <v>2261</v>
      </c>
      <c r="D10" s="433"/>
      <c r="E10" s="433"/>
    </row>
    <row r="11" spans="1:5">
      <c r="A11" s="433" t="s">
        <v>2239</v>
      </c>
      <c r="B11" s="1219">
        <f>D5</f>
        <v>0.72</v>
      </c>
      <c r="C11" s="1219">
        <f>B11</f>
        <v>0.72</v>
      </c>
      <c r="D11" s="1220"/>
      <c r="E11" s="433"/>
    </row>
    <row r="12" spans="1:5">
      <c r="A12" s="433" t="s">
        <v>2240</v>
      </c>
      <c r="B12" s="1219">
        <f>D6/E5</f>
        <v>0.57142857142857151</v>
      </c>
      <c r="C12" s="1220">
        <f>B12</f>
        <v>0.57142857142857151</v>
      </c>
      <c r="D12" s="1220"/>
      <c r="E12" s="433"/>
    </row>
    <row r="13" spans="1:5">
      <c r="A13" s="433" t="s">
        <v>2241</v>
      </c>
      <c r="B13" s="1219">
        <f>D7/E6</f>
        <v>0.49999999999999956</v>
      </c>
      <c r="C13" s="1221">
        <f>D8/E6</f>
        <v>0.98333333333333328</v>
      </c>
      <c r="D13" s="433"/>
      <c r="E13" s="433"/>
    </row>
    <row r="14" spans="1:5">
      <c r="A14" s="433"/>
      <c r="B14" s="433"/>
      <c r="C14" s="433"/>
      <c r="D14" s="433"/>
      <c r="E14" s="433"/>
    </row>
    <row r="15" spans="1:5">
      <c r="A15" s="433" t="s">
        <v>2243</v>
      </c>
      <c r="B15" s="1219">
        <f>B8/B7</f>
        <v>1.0617021276595746</v>
      </c>
      <c r="C15" s="1222"/>
      <c r="D15" s="433"/>
      <c r="E15" s="433"/>
    </row>
    <row r="16" spans="1:5">
      <c r="A16" s="433"/>
      <c r="B16" s="433"/>
      <c r="C16" s="433"/>
      <c r="D16" s="433"/>
      <c r="E16" s="433"/>
    </row>
    <row r="17" spans="1:6">
      <c r="A17" s="433" t="s">
        <v>2254</v>
      </c>
      <c r="B17" s="1223">
        <f>0.0322</f>
        <v>3.2199999999999999E-2</v>
      </c>
      <c r="C17" s="433" t="s">
        <v>182</v>
      </c>
      <c r="D17" s="1219">
        <f>1-E59</f>
        <v>0.42857142857142849</v>
      </c>
      <c r="E17" s="1220">
        <f>D17*B17</f>
        <v>1.3799999999999998E-2</v>
      </c>
    </row>
    <row r="18" spans="1:6">
      <c r="A18" s="433" t="s">
        <v>2254</v>
      </c>
      <c r="B18" s="1223">
        <f>B17</f>
        <v>3.2199999999999999E-2</v>
      </c>
      <c r="C18" s="433" t="s">
        <v>180</v>
      </c>
      <c r="D18" s="433"/>
      <c r="E18" s="433"/>
    </row>
    <row r="19" spans="1:6">
      <c r="A19" s="433"/>
      <c r="B19" s="1223"/>
      <c r="C19" s="433"/>
      <c r="D19" s="433"/>
      <c r="E19" s="433"/>
    </row>
    <row r="20" spans="1:6" s="862" customFormat="1">
      <c r="A20" s="1237" t="s">
        <v>2263</v>
      </c>
      <c r="B20" s="1224"/>
      <c r="C20" s="1224"/>
      <c r="D20" s="1224"/>
      <c r="E20" s="1224"/>
      <c r="F20" s="1216"/>
    </row>
    <row r="21" spans="1:6">
      <c r="A21" s="433"/>
      <c r="B21" s="835" t="s">
        <v>2236</v>
      </c>
      <c r="C21" s="835" t="s">
        <v>2237</v>
      </c>
      <c r="D21" s="835" t="s">
        <v>2242</v>
      </c>
      <c r="E21" s="835" t="s">
        <v>2259</v>
      </c>
      <c r="F21" s="377"/>
    </row>
    <row r="22" spans="1:6">
      <c r="A22" s="433" t="s">
        <v>2233</v>
      </c>
      <c r="B22" s="1218">
        <v>0.72</v>
      </c>
      <c r="C22" s="433" t="s">
        <v>2232</v>
      </c>
      <c r="D22" s="1219">
        <f>B22</f>
        <v>0.72</v>
      </c>
      <c r="E22" s="1219">
        <f>1-D22</f>
        <v>0.28000000000000003</v>
      </c>
      <c r="F22" s="377"/>
    </row>
    <row r="23" spans="1:6">
      <c r="A23" s="433" t="s">
        <v>2234</v>
      </c>
      <c r="B23" s="1218">
        <v>0.88</v>
      </c>
      <c r="C23" s="433" t="s">
        <v>2232</v>
      </c>
      <c r="D23" s="1219">
        <f>B23-B22</f>
        <v>0.16000000000000003</v>
      </c>
      <c r="E23" s="1219">
        <f>E22-D23</f>
        <v>0.12</v>
      </c>
      <c r="F23" s="377"/>
    </row>
    <row r="24" spans="1:6">
      <c r="A24" s="433" t="s">
        <v>2235</v>
      </c>
      <c r="B24" s="1218">
        <v>0.94</v>
      </c>
      <c r="C24" s="433" t="s">
        <v>2232</v>
      </c>
      <c r="D24" s="1219">
        <f t="shared" ref="D24" si="1">B24-B23</f>
        <v>5.9999999999999942E-2</v>
      </c>
      <c r="E24" s="1219">
        <f>E23-D24</f>
        <v>6.0000000000000053E-2</v>
      </c>
      <c r="F24" s="377"/>
    </row>
    <row r="25" spans="1:6">
      <c r="A25" s="433" t="s">
        <v>2235</v>
      </c>
      <c r="B25" s="1218">
        <v>0.998</v>
      </c>
      <c r="C25" s="433" t="s">
        <v>2238</v>
      </c>
      <c r="D25" s="1219">
        <f>B25-B23</f>
        <v>0.11799999999999999</v>
      </c>
      <c r="E25" s="1219">
        <f>E23-D25</f>
        <v>2.0000000000000018E-3</v>
      </c>
      <c r="F25" s="377"/>
    </row>
    <row r="26" spans="1:6">
      <c r="A26" s="433"/>
      <c r="B26" s="1218"/>
      <c r="C26" s="433"/>
      <c r="D26" s="1219"/>
      <c r="E26" s="1219"/>
      <c r="F26" s="377"/>
    </row>
    <row r="27" spans="1:6">
      <c r="A27" s="433"/>
      <c r="B27" s="835" t="s">
        <v>2260</v>
      </c>
      <c r="C27" s="835" t="s">
        <v>2261</v>
      </c>
      <c r="D27" s="433"/>
      <c r="E27" s="433"/>
      <c r="F27" s="377"/>
    </row>
    <row r="28" spans="1:6">
      <c r="A28" s="433" t="s">
        <v>2239</v>
      </c>
      <c r="B28" s="1219">
        <f>D22</f>
        <v>0.72</v>
      </c>
      <c r="C28" s="1219">
        <f>B28</f>
        <v>0.72</v>
      </c>
      <c r="D28" s="1220"/>
      <c r="E28" s="433"/>
      <c r="F28" s="377"/>
    </row>
    <row r="29" spans="1:6">
      <c r="A29" s="433" t="s">
        <v>2240</v>
      </c>
      <c r="B29" s="1219">
        <f>D23/E22</f>
        <v>0.57142857142857151</v>
      </c>
      <c r="C29" s="1220">
        <f>B29</f>
        <v>0.57142857142857151</v>
      </c>
      <c r="D29" s="1220"/>
      <c r="E29" s="433"/>
      <c r="F29" s="377"/>
    </row>
    <row r="30" spans="1:6">
      <c r="A30" s="433" t="s">
        <v>2241</v>
      </c>
      <c r="B30" s="1219">
        <f>D24/E23</f>
        <v>0.49999999999999956</v>
      </c>
      <c r="C30" s="1221">
        <f>D25/E23</f>
        <v>0.98333333333333328</v>
      </c>
      <c r="D30" s="433"/>
      <c r="E30" s="433"/>
      <c r="F30" s="377"/>
    </row>
    <row r="31" spans="1:6">
      <c r="A31" s="433"/>
      <c r="B31" s="1219"/>
      <c r="C31" s="1221"/>
      <c r="D31" s="433"/>
      <c r="E31" s="433"/>
      <c r="F31" s="377"/>
    </row>
    <row r="32" spans="1:6" s="1225" customFormat="1">
      <c r="A32" s="1225" t="s">
        <v>15</v>
      </c>
    </row>
    <row r="33" spans="1:13" s="1225" customFormat="1" ht="15" thickBot="1"/>
    <row r="34" spans="1:13">
      <c r="A34" s="954" t="s">
        <v>129</v>
      </c>
      <c r="B34" s="955" t="s">
        <v>130</v>
      </c>
      <c r="C34" s="956" t="s">
        <v>131</v>
      </c>
      <c r="D34" s="956" t="s">
        <v>102</v>
      </c>
      <c r="E34" s="957" t="s">
        <v>132</v>
      </c>
      <c r="F34" s="956" t="s">
        <v>133</v>
      </c>
      <c r="G34" s="958" t="s">
        <v>104</v>
      </c>
      <c r="H34" s="111" t="s">
        <v>134</v>
      </c>
      <c r="I34" s="112" t="s">
        <v>135</v>
      </c>
      <c r="J34" s="112" t="s">
        <v>65</v>
      </c>
      <c r="K34" s="112" t="s">
        <v>67</v>
      </c>
      <c r="L34" s="112" t="s">
        <v>73</v>
      </c>
      <c r="M34" s="113" t="s">
        <v>79</v>
      </c>
    </row>
    <row r="35" spans="1:13">
      <c r="A35" s="7" t="s">
        <v>232</v>
      </c>
      <c r="B35" s="7" t="s">
        <v>360</v>
      </c>
      <c r="C35" s="7" t="s">
        <v>139</v>
      </c>
      <c r="D35" s="7" t="s">
        <v>139</v>
      </c>
      <c r="E35" s="976">
        <v>0.03</v>
      </c>
      <c r="F35" s="959">
        <v>2</v>
      </c>
      <c r="G35" s="7" t="s">
        <v>2258</v>
      </c>
      <c r="H35" s="7">
        <v>2</v>
      </c>
      <c r="I35" s="7">
        <v>2</v>
      </c>
      <c r="J35" s="7">
        <v>2</v>
      </c>
      <c r="K35" s="7">
        <v>1</v>
      </c>
      <c r="L35" s="7">
        <v>1</v>
      </c>
      <c r="M35" s="7">
        <v>2</v>
      </c>
    </row>
    <row r="36" spans="1:13">
      <c r="A36" s="7" t="s">
        <v>232</v>
      </c>
      <c r="B36" s="7" t="s">
        <v>188</v>
      </c>
      <c r="C36" s="7" t="s">
        <v>139</v>
      </c>
      <c r="D36" s="7" t="s">
        <v>139</v>
      </c>
      <c r="E36" s="976">
        <v>0.01</v>
      </c>
      <c r="F36" s="959">
        <v>2</v>
      </c>
      <c r="G36" s="7" t="s">
        <v>398</v>
      </c>
      <c r="H36" s="7">
        <v>3</v>
      </c>
      <c r="I36" s="7">
        <v>3</v>
      </c>
      <c r="J36" s="7">
        <v>4</v>
      </c>
      <c r="K36" s="7">
        <v>3</v>
      </c>
      <c r="L36" s="7">
        <v>3</v>
      </c>
      <c r="M36" s="7">
        <v>1</v>
      </c>
    </row>
    <row r="37" spans="1:13">
      <c r="A37" s="7" t="s">
        <v>232</v>
      </c>
      <c r="B37" s="7" t="s">
        <v>188</v>
      </c>
      <c r="C37" s="7" t="s">
        <v>139</v>
      </c>
      <c r="D37" s="7" t="s">
        <v>139</v>
      </c>
      <c r="E37" s="976">
        <v>0.05</v>
      </c>
      <c r="F37" s="959">
        <v>2</v>
      </c>
      <c r="G37" s="7" t="s">
        <v>398</v>
      </c>
      <c r="H37" s="7">
        <v>3</v>
      </c>
      <c r="I37" s="7">
        <v>3</v>
      </c>
      <c r="J37" s="7">
        <v>4</v>
      </c>
      <c r="K37" s="7">
        <v>3</v>
      </c>
      <c r="L37" s="7">
        <v>3</v>
      </c>
      <c r="M37" s="7">
        <v>1</v>
      </c>
    </row>
    <row r="38" spans="1:13">
      <c r="A38" t="s">
        <v>232</v>
      </c>
      <c r="B38" t="s">
        <v>258</v>
      </c>
      <c r="C38" t="s">
        <v>180</v>
      </c>
      <c r="D38" t="s">
        <v>139</v>
      </c>
      <c r="E38" s="1228">
        <v>2E-3</v>
      </c>
      <c r="F38" s="16">
        <v>2</v>
      </c>
      <c r="G38" s="2" t="s">
        <v>2256</v>
      </c>
      <c r="H38">
        <v>1</v>
      </c>
      <c r="I38">
        <v>2</v>
      </c>
      <c r="J38">
        <v>2</v>
      </c>
      <c r="K38">
        <v>3</v>
      </c>
      <c r="L38">
        <v>2</v>
      </c>
      <c r="M38">
        <v>1</v>
      </c>
    </row>
    <row r="39" spans="1:13">
      <c r="A39" t="s">
        <v>232</v>
      </c>
      <c r="B39" t="s">
        <v>258</v>
      </c>
      <c r="C39" t="s">
        <v>182</v>
      </c>
      <c r="D39" t="s">
        <v>139</v>
      </c>
      <c r="E39" s="1228">
        <v>2E-3</v>
      </c>
      <c r="F39" s="16">
        <v>2</v>
      </c>
      <c r="G39" s="2" t="s">
        <v>2256</v>
      </c>
      <c r="H39">
        <v>1</v>
      </c>
      <c r="I39">
        <v>2</v>
      </c>
      <c r="J39">
        <v>2</v>
      </c>
      <c r="K39">
        <v>3</v>
      </c>
      <c r="L39">
        <v>2</v>
      </c>
      <c r="M39">
        <v>1</v>
      </c>
    </row>
    <row r="40" spans="1:13">
      <c r="A40" t="s">
        <v>232</v>
      </c>
      <c r="B40" s="7" t="s">
        <v>215</v>
      </c>
      <c r="C40" t="s">
        <v>139</v>
      </c>
      <c r="D40" t="s">
        <v>139</v>
      </c>
      <c r="E40" s="1229" t="s">
        <v>150</v>
      </c>
      <c r="F40" s="16">
        <v>1</v>
      </c>
    </row>
    <row r="41" spans="1:13">
      <c r="A41" s="948" t="s">
        <v>356</v>
      </c>
      <c r="B41" s="961" t="s">
        <v>357</v>
      </c>
      <c r="C41" s="961" t="s">
        <v>139</v>
      </c>
      <c r="D41" s="961" t="s">
        <v>139</v>
      </c>
      <c r="E41" s="1230">
        <v>0.03</v>
      </c>
      <c r="F41" s="962">
        <v>2</v>
      </c>
      <c r="G41" s="961" t="s">
        <v>358</v>
      </c>
      <c r="H41" s="961">
        <v>2</v>
      </c>
      <c r="I41" s="961">
        <v>2</v>
      </c>
      <c r="J41" s="961">
        <v>2</v>
      </c>
      <c r="K41" s="961">
        <v>1</v>
      </c>
      <c r="L41" s="961">
        <v>1</v>
      </c>
      <c r="M41" s="961">
        <v>2</v>
      </c>
    </row>
    <row r="42" spans="1:13">
      <c r="A42" s="948" t="s">
        <v>356</v>
      </c>
      <c r="B42" s="948" t="s">
        <v>265</v>
      </c>
      <c r="C42" s="948" t="s">
        <v>180</v>
      </c>
      <c r="D42" s="948" t="s">
        <v>139</v>
      </c>
      <c r="E42" s="1231">
        <v>2E-3</v>
      </c>
      <c r="F42" s="1227">
        <v>2</v>
      </c>
      <c r="G42" s="960" t="s">
        <v>2256</v>
      </c>
      <c r="H42" s="948">
        <v>1</v>
      </c>
      <c r="I42" s="948">
        <v>2</v>
      </c>
      <c r="J42" s="948">
        <v>2</v>
      </c>
      <c r="K42" s="948">
        <v>3</v>
      </c>
      <c r="L42" s="948">
        <v>2</v>
      </c>
      <c r="M42" s="948">
        <v>1</v>
      </c>
    </row>
    <row r="43" spans="1:13">
      <c r="A43" s="948" t="s">
        <v>356</v>
      </c>
      <c r="B43" s="948" t="s">
        <v>265</v>
      </c>
      <c r="C43" s="948" t="s">
        <v>182</v>
      </c>
      <c r="D43" s="948" t="s">
        <v>139</v>
      </c>
      <c r="E43" s="1231">
        <v>2E-3</v>
      </c>
      <c r="F43" s="1227">
        <v>2</v>
      </c>
      <c r="G43" s="960" t="s">
        <v>2256</v>
      </c>
      <c r="H43" s="948">
        <v>1</v>
      </c>
      <c r="I43" s="948">
        <v>2</v>
      </c>
      <c r="J43" s="948">
        <v>2</v>
      </c>
      <c r="K43" s="948">
        <v>3</v>
      </c>
      <c r="L43" s="948">
        <v>2</v>
      </c>
      <c r="M43" s="948">
        <v>1</v>
      </c>
    </row>
    <row r="44" spans="1:13">
      <c r="A44" s="948" t="s">
        <v>356</v>
      </c>
      <c r="B44" s="961" t="s">
        <v>209</v>
      </c>
      <c r="C44" s="948" t="s">
        <v>139</v>
      </c>
      <c r="D44" s="948" t="s">
        <v>139</v>
      </c>
      <c r="E44" s="1232" t="s">
        <v>150</v>
      </c>
      <c r="F44" s="1227">
        <v>1</v>
      </c>
      <c r="G44" s="948"/>
      <c r="H44" s="948"/>
      <c r="I44" s="948"/>
      <c r="J44" s="948"/>
      <c r="K44" s="948"/>
      <c r="L44" s="948"/>
      <c r="M44" s="948"/>
    </row>
    <row r="45" spans="1:13">
      <c r="A45" s="7" t="s">
        <v>215</v>
      </c>
      <c r="B45" s="7" t="s">
        <v>216</v>
      </c>
      <c r="C45" t="s">
        <v>180</v>
      </c>
      <c r="D45" t="s">
        <v>139</v>
      </c>
      <c r="E45" s="1233">
        <v>0.08</v>
      </c>
      <c r="F45" s="16">
        <v>2</v>
      </c>
      <c r="G45" t="s">
        <v>211</v>
      </c>
      <c r="H45">
        <v>1</v>
      </c>
      <c r="I45">
        <v>2</v>
      </c>
      <c r="J45">
        <v>3</v>
      </c>
      <c r="K45">
        <v>2</v>
      </c>
      <c r="L45">
        <v>3</v>
      </c>
      <c r="M45">
        <v>1</v>
      </c>
    </row>
    <row r="46" spans="1:13">
      <c r="A46" s="7" t="s">
        <v>215</v>
      </c>
      <c r="B46" s="7" t="s">
        <v>216</v>
      </c>
      <c r="C46" t="s">
        <v>180</v>
      </c>
      <c r="D46" t="s">
        <v>139</v>
      </c>
      <c r="E46" s="1233">
        <v>8.9999999999999993E-3</v>
      </c>
      <c r="F46" s="16">
        <v>2</v>
      </c>
      <c r="G46" s="2" t="s">
        <v>2256</v>
      </c>
      <c r="H46">
        <v>1</v>
      </c>
      <c r="I46">
        <v>2</v>
      </c>
      <c r="J46">
        <v>2</v>
      </c>
      <c r="K46">
        <v>3</v>
      </c>
      <c r="L46">
        <v>2</v>
      </c>
      <c r="M46">
        <v>1</v>
      </c>
    </row>
    <row r="47" spans="1:13">
      <c r="A47" s="7" t="s">
        <v>215</v>
      </c>
      <c r="B47" s="7" t="s">
        <v>216</v>
      </c>
      <c r="C47" t="s">
        <v>182</v>
      </c>
      <c r="D47" t="s">
        <v>139</v>
      </c>
      <c r="E47" s="1233">
        <v>3.2000000000000001E-2</v>
      </c>
      <c r="F47" s="16">
        <v>2</v>
      </c>
      <c r="G47" t="s">
        <v>213</v>
      </c>
      <c r="H47">
        <v>2</v>
      </c>
      <c r="I47">
        <v>2</v>
      </c>
      <c r="J47">
        <v>3</v>
      </c>
      <c r="K47">
        <v>3</v>
      </c>
      <c r="L47">
        <v>3</v>
      </c>
      <c r="M47">
        <v>3</v>
      </c>
    </row>
    <row r="48" spans="1:13">
      <c r="A48" s="7" t="s">
        <v>215</v>
      </c>
      <c r="B48" s="7" t="s">
        <v>216</v>
      </c>
      <c r="C48" t="s">
        <v>182</v>
      </c>
      <c r="D48" t="s">
        <v>139</v>
      </c>
      <c r="E48" s="1233">
        <v>2.9826370000000001E-2</v>
      </c>
      <c r="F48" s="16">
        <v>2</v>
      </c>
      <c r="G48" t="s">
        <v>214</v>
      </c>
      <c r="H48">
        <v>2</v>
      </c>
      <c r="I48">
        <v>2</v>
      </c>
      <c r="J48">
        <v>4</v>
      </c>
      <c r="K48">
        <v>3</v>
      </c>
      <c r="L48">
        <v>3</v>
      </c>
      <c r="M48">
        <v>1</v>
      </c>
    </row>
    <row r="49" spans="1:13">
      <c r="A49" s="7" t="s">
        <v>215</v>
      </c>
      <c r="B49" s="7" t="s">
        <v>379</v>
      </c>
      <c r="C49" t="s">
        <v>139</v>
      </c>
      <c r="D49" t="s">
        <v>139</v>
      </c>
      <c r="E49" s="1229" t="s">
        <v>150</v>
      </c>
      <c r="F49" s="16">
        <v>1</v>
      </c>
    </row>
    <row r="50" spans="1:13">
      <c r="A50" s="961" t="s">
        <v>209</v>
      </c>
      <c r="B50" s="961" t="s">
        <v>210</v>
      </c>
      <c r="C50" s="948" t="s">
        <v>180</v>
      </c>
      <c r="D50" s="948" t="s">
        <v>139</v>
      </c>
      <c r="E50" s="1234">
        <v>0.08</v>
      </c>
      <c r="F50" s="1227">
        <v>2</v>
      </c>
      <c r="G50" s="948" t="s">
        <v>211</v>
      </c>
      <c r="H50" s="948">
        <v>1</v>
      </c>
      <c r="I50" s="948">
        <v>2</v>
      </c>
      <c r="J50" s="948">
        <v>3</v>
      </c>
      <c r="K50" s="948">
        <v>2</v>
      </c>
      <c r="L50" s="948">
        <v>3</v>
      </c>
      <c r="M50" s="948">
        <v>1</v>
      </c>
    </row>
    <row r="51" spans="1:13">
      <c r="A51" s="961" t="s">
        <v>209</v>
      </c>
      <c r="B51" s="961" t="s">
        <v>210</v>
      </c>
      <c r="C51" s="948" t="s">
        <v>182</v>
      </c>
      <c r="D51" s="948" t="s">
        <v>139</v>
      </c>
      <c r="E51" s="1234">
        <v>3.2000000000000001E-2</v>
      </c>
      <c r="F51" s="1227">
        <v>2</v>
      </c>
      <c r="G51" s="948" t="s">
        <v>213</v>
      </c>
      <c r="H51" s="948">
        <v>2</v>
      </c>
      <c r="I51" s="948">
        <v>2</v>
      </c>
      <c r="J51" s="948">
        <v>3</v>
      </c>
      <c r="K51" s="948">
        <v>3</v>
      </c>
      <c r="L51" s="948">
        <v>3</v>
      </c>
      <c r="M51" s="948">
        <v>3</v>
      </c>
    </row>
    <row r="52" spans="1:13">
      <c r="A52" s="961" t="s">
        <v>209</v>
      </c>
      <c r="B52" s="961" t="s">
        <v>210</v>
      </c>
      <c r="C52" s="948" t="s">
        <v>182</v>
      </c>
      <c r="D52" s="948" t="s">
        <v>139</v>
      </c>
      <c r="E52" s="1234">
        <v>2.9826370000000001E-2</v>
      </c>
      <c r="F52" s="1227">
        <v>2</v>
      </c>
      <c r="G52" s="948" t="s">
        <v>214</v>
      </c>
      <c r="H52" s="948">
        <v>2</v>
      </c>
      <c r="I52" s="948">
        <v>2</v>
      </c>
      <c r="J52" s="948">
        <v>4</v>
      </c>
      <c r="K52" s="948">
        <v>3</v>
      </c>
      <c r="L52" s="948">
        <v>3</v>
      </c>
      <c r="M52" s="948">
        <v>1</v>
      </c>
    </row>
    <row r="53" spans="1:13">
      <c r="A53" s="961" t="s">
        <v>209</v>
      </c>
      <c r="B53" s="961" t="s">
        <v>210</v>
      </c>
      <c r="C53" s="948" t="s">
        <v>180</v>
      </c>
      <c r="D53" s="948" t="s">
        <v>139</v>
      </c>
      <c r="E53" s="1234">
        <v>8.9999999999999993E-3</v>
      </c>
      <c r="F53" s="1227">
        <v>2</v>
      </c>
      <c r="G53" s="960" t="s">
        <v>2256</v>
      </c>
      <c r="H53" s="948">
        <v>1</v>
      </c>
      <c r="I53" s="948">
        <v>2</v>
      </c>
      <c r="J53" s="948">
        <v>2</v>
      </c>
      <c r="K53" s="948">
        <v>3</v>
      </c>
      <c r="L53" s="948">
        <v>2</v>
      </c>
      <c r="M53" s="948">
        <v>1</v>
      </c>
    </row>
    <row r="54" spans="1:13">
      <c r="A54" s="961" t="s">
        <v>209</v>
      </c>
      <c r="B54" s="961" t="s">
        <v>378</v>
      </c>
      <c r="C54" s="948" t="s">
        <v>139</v>
      </c>
      <c r="D54" s="948" t="s">
        <v>139</v>
      </c>
      <c r="E54" s="1232" t="s">
        <v>150</v>
      </c>
      <c r="F54" s="1227">
        <v>1</v>
      </c>
      <c r="G54" s="948"/>
      <c r="H54" s="948"/>
      <c r="I54" s="948"/>
      <c r="J54" s="948"/>
      <c r="K54" s="948"/>
      <c r="L54" s="948"/>
      <c r="M54" s="948"/>
    </row>
    <row r="55" spans="1:13">
      <c r="A55" t="s">
        <v>379</v>
      </c>
      <c r="B55" t="s">
        <v>394</v>
      </c>
      <c r="C55" t="s">
        <v>139</v>
      </c>
      <c r="D55" t="s">
        <v>139</v>
      </c>
      <c r="E55" s="1235" t="s">
        <v>150</v>
      </c>
      <c r="F55" s="16">
        <v>1</v>
      </c>
    </row>
    <row r="56" spans="1:13">
      <c r="A56" t="s">
        <v>379</v>
      </c>
      <c r="B56" t="s">
        <v>286</v>
      </c>
      <c r="C56" t="s">
        <v>182</v>
      </c>
      <c r="D56" t="s">
        <v>139</v>
      </c>
      <c r="E56" s="1233">
        <f>B11</f>
        <v>0.72</v>
      </c>
      <c r="F56" s="16">
        <v>2</v>
      </c>
      <c r="G56" t="s">
        <v>2244</v>
      </c>
      <c r="H56">
        <v>3</v>
      </c>
      <c r="I56">
        <v>3</v>
      </c>
      <c r="J56">
        <v>2</v>
      </c>
      <c r="K56">
        <v>3</v>
      </c>
      <c r="L56">
        <v>2</v>
      </c>
      <c r="M56">
        <v>1</v>
      </c>
    </row>
    <row r="57" spans="1:13">
      <c r="A57" t="s">
        <v>379</v>
      </c>
      <c r="B57" t="s">
        <v>286</v>
      </c>
      <c r="C57" t="s">
        <v>180</v>
      </c>
      <c r="D57" t="s">
        <v>139</v>
      </c>
      <c r="E57" s="1233">
        <f>C11</f>
        <v>0.72</v>
      </c>
      <c r="F57" s="16">
        <v>2</v>
      </c>
      <c r="G57" t="s">
        <v>2238</v>
      </c>
      <c r="H57">
        <v>1</v>
      </c>
      <c r="I57">
        <v>2</v>
      </c>
      <c r="J57">
        <v>3</v>
      </c>
      <c r="K57">
        <v>3</v>
      </c>
      <c r="L57">
        <v>2</v>
      </c>
      <c r="M57">
        <v>1</v>
      </c>
    </row>
    <row r="58" spans="1:13">
      <c r="A58" t="s">
        <v>394</v>
      </c>
      <c r="B58" t="s">
        <v>288</v>
      </c>
      <c r="C58" t="s">
        <v>139</v>
      </c>
      <c r="D58" t="s">
        <v>139</v>
      </c>
      <c r="E58" s="1235" t="s">
        <v>150</v>
      </c>
      <c r="F58" s="16">
        <v>1</v>
      </c>
    </row>
    <row r="59" spans="1:13">
      <c r="A59" t="s">
        <v>394</v>
      </c>
      <c r="B59" t="s">
        <v>286</v>
      </c>
      <c r="C59" t="s">
        <v>182</v>
      </c>
      <c r="D59" t="s">
        <v>139</v>
      </c>
      <c r="E59" s="1233">
        <f>B12</f>
        <v>0.57142857142857151</v>
      </c>
      <c r="F59" s="16">
        <v>2</v>
      </c>
      <c r="G59" t="s">
        <v>2244</v>
      </c>
      <c r="H59">
        <v>3</v>
      </c>
      <c r="I59">
        <v>3</v>
      </c>
      <c r="J59">
        <v>2</v>
      </c>
      <c r="K59">
        <v>3</v>
      </c>
      <c r="L59">
        <v>2</v>
      </c>
      <c r="M59">
        <v>1</v>
      </c>
    </row>
    <row r="60" spans="1:13">
      <c r="A60" t="s">
        <v>394</v>
      </c>
      <c r="B60" t="s">
        <v>286</v>
      </c>
      <c r="C60" t="s">
        <v>180</v>
      </c>
      <c r="D60" t="s">
        <v>139</v>
      </c>
      <c r="E60" s="1233">
        <f>C12</f>
        <v>0.57142857142857151</v>
      </c>
      <c r="F60" s="16">
        <v>2</v>
      </c>
      <c r="G60" t="s">
        <v>2238</v>
      </c>
      <c r="H60">
        <v>1</v>
      </c>
      <c r="I60">
        <v>2</v>
      </c>
      <c r="J60">
        <v>3</v>
      </c>
      <c r="K60">
        <v>3</v>
      </c>
      <c r="L60">
        <v>2</v>
      </c>
      <c r="M60">
        <v>1</v>
      </c>
    </row>
    <row r="61" spans="1:13">
      <c r="A61" t="s">
        <v>394</v>
      </c>
      <c r="B61" t="s">
        <v>258</v>
      </c>
      <c r="C61" t="s">
        <v>182</v>
      </c>
      <c r="D61" t="s">
        <v>139</v>
      </c>
      <c r="E61" s="1233">
        <f>(E6*B17)</f>
        <v>3.8639999999999998E-3</v>
      </c>
      <c r="F61" s="16">
        <v>2</v>
      </c>
      <c r="G61" t="s">
        <v>2257</v>
      </c>
      <c r="H61">
        <v>2</v>
      </c>
      <c r="I61">
        <v>2</v>
      </c>
      <c r="J61">
        <v>1</v>
      </c>
      <c r="K61">
        <v>1</v>
      </c>
      <c r="L61">
        <v>1</v>
      </c>
      <c r="M61">
        <v>3</v>
      </c>
    </row>
    <row r="62" spans="1:13">
      <c r="A62" t="s">
        <v>394</v>
      </c>
      <c r="B62" t="s">
        <v>258</v>
      </c>
      <c r="C62" t="s">
        <v>180</v>
      </c>
      <c r="D62" t="s">
        <v>139</v>
      </c>
      <c r="E62" s="1233">
        <f>E6*B18</f>
        <v>3.8639999999999998E-3</v>
      </c>
      <c r="F62" s="16">
        <v>2</v>
      </c>
      <c r="G62" t="s">
        <v>2257</v>
      </c>
      <c r="H62">
        <v>2</v>
      </c>
      <c r="I62">
        <v>2</v>
      </c>
      <c r="J62">
        <v>1</v>
      </c>
      <c r="K62">
        <v>1</v>
      </c>
      <c r="L62">
        <v>1</v>
      </c>
      <c r="M62">
        <v>3</v>
      </c>
    </row>
    <row r="63" spans="1:13">
      <c r="A63" t="s">
        <v>288</v>
      </c>
      <c r="B63" t="s">
        <v>258</v>
      </c>
      <c r="C63" t="s">
        <v>139</v>
      </c>
      <c r="D63" t="s">
        <v>139</v>
      </c>
      <c r="E63" s="1235" t="s">
        <v>150</v>
      </c>
      <c r="F63" s="16">
        <v>1</v>
      </c>
    </row>
    <row r="64" spans="1:13">
      <c r="A64" t="s">
        <v>288</v>
      </c>
      <c r="B64" t="s">
        <v>286</v>
      </c>
      <c r="C64" t="s">
        <v>182</v>
      </c>
      <c r="D64" t="s">
        <v>139</v>
      </c>
      <c r="E64" s="1233">
        <f>B13</f>
        <v>0.49999999999999956</v>
      </c>
      <c r="F64" s="16">
        <v>2</v>
      </c>
      <c r="G64" t="s">
        <v>2244</v>
      </c>
      <c r="H64">
        <v>3</v>
      </c>
      <c r="I64">
        <v>3</v>
      </c>
      <c r="J64">
        <v>2</v>
      </c>
      <c r="K64">
        <v>3</v>
      </c>
      <c r="L64">
        <v>2</v>
      </c>
      <c r="M64">
        <v>1</v>
      </c>
    </row>
    <row r="65" spans="1:13">
      <c r="A65" t="s">
        <v>288</v>
      </c>
      <c r="B65" t="s">
        <v>286</v>
      </c>
      <c r="C65" t="s">
        <v>180</v>
      </c>
      <c r="D65" t="s">
        <v>139</v>
      </c>
      <c r="E65" s="1233">
        <f>C13</f>
        <v>0.98333333333333328</v>
      </c>
      <c r="F65" s="16">
        <v>2</v>
      </c>
      <c r="G65" t="s">
        <v>2238</v>
      </c>
      <c r="H65">
        <v>1</v>
      </c>
      <c r="I65">
        <v>2</v>
      </c>
      <c r="J65">
        <v>3</v>
      </c>
      <c r="K65">
        <v>3</v>
      </c>
      <c r="L65">
        <v>2</v>
      </c>
      <c r="M65">
        <v>1</v>
      </c>
    </row>
    <row r="66" spans="1:13">
      <c r="A66" s="948" t="s">
        <v>378</v>
      </c>
      <c r="B66" s="948" t="s">
        <v>393</v>
      </c>
      <c r="C66" s="948" t="s">
        <v>139</v>
      </c>
      <c r="D66" s="948" t="s">
        <v>139</v>
      </c>
      <c r="E66" s="1236" t="s">
        <v>150</v>
      </c>
      <c r="F66" s="1227">
        <v>1</v>
      </c>
      <c r="G66" s="948"/>
      <c r="H66" s="948"/>
      <c r="I66" s="948"/>
      <c r="J66" s="948"/>
      <c r="K66" s="948"/>
      <c r="L66" s="948"/>
      <c r="M66" s="948"/>
    </row>
    <row r="67" spans="1:13">
      <c r="A67" s="948" t="s">
        <v>378</v>
      </c>
      <c r="B67" s="948" t="s">
        <v>284</v>
      </c>
      <c r="C67" s="948" t="s">
        <v>182</v>
      </c>
      <c r="D67" s="948" t="s">
        <v>139</v>
      </c>
      <c r="E67" s="1234">
        <f>B28</f>
        <v>0.72</v>
      </c>
      <c r="F67" s="1227">
        <v>2</v>
      </c>
      <c r="G67" s="948" t="s">
        <v>2244</v>
      </c>
      <c r="H67" s="948">
        <v>3</v>
      </c>
      <c r="I67" s="948">
        <v>3</v>
      </c>
      <c r="J67" s="948">
        <v>2</v>
      </c>
      <c r="K67" s="948">
        <v>3</v>
      </c>
      <c r="L67" s="948">
        <v>2</v>
      </c>
      <c r="M67" s="948">
        <v>1</v>
      </c>
    </row>
    <row r="68" spans="1:13">
      <c r="A68" s="948" t="s">
        <v>378</v>
      </c>
      <c r="B68" s="948" t="s">
        <v>284</v>
      </c>
      <c r="C68" s="948" t="s">
        <v>180</v>
      </c>
      <c r="D68" s="948" t="s">
        <v>139</v>
      </c>
      <c r="E68" s="1234">
        <f>C28</f>
        <v>0.72</v>
      </c>
      <c r="F68" s="1227">
        <v>2</v>
      </c>
      <c r="G68" s="948" t="s">
        <v>2238</v>
      </c>
      <c r="H68" s="948">
        <v>1</v>
      </c>
      <c r="I68" s="948">
        <v>2</v>
      </c>
      <c r="J68" s="948">
        <v>3</v>
      </c>
      <c r="K68" s="948">
        <v>3</v>
      </c>
      <c r="L68" s="948">
        <v>2</v>
      </c>
      <c r="M68" s="948">
        <v>1</v>
      </c>
    </row>
    <row r="69" spans="1:13">
      <c r="A69" s="948" t="s">
        <v>393</v>
      </c>
      <c r="B69" s="948" t="s">
        <v>287</v>
      </c>
      <c r="C69" s="948" t="s">
        <v>139</v>
      </c>
      <c r="D69" s="948" t="s">
        <v>139</v>
      </c>
      <c r="E69" s="1236" t="s">
        <v>150</v>
      </c>
      <c r="F69" s="1227">
        <v>1</v>
      </c>
      <c r="G69" s="948"/>
      <c r="H69" s="948"/>
      <c r="I69" s="948"/>
      <c r="J69" s="948"/>
      <c r="K69" s="948"/>
      <c r="L69" s="948"/>
      <c r="M69" s="948"/>
    </row>
    <row r="70" spans="1:13">
      <c r="A70" s="948" t="s">
        <v>393</v>
      </c>
      <c r="B70" s="948" t="s">
        <v>284</v>
      </c>
      <c r="C70" s="948" t="s">
        <v>182</v>
      </c>
      <c r="D70" s="948" t="s">
        <v>139</v>
      </c>
      <c r="E70" s="1234">
        <f>B29</f>
        <v>0.57142857142857151</v>
      </c>
      <c r="F70" s="1227">
        <v>2</v>
      </c>
      <c r="G70" s="948" t="s">
        <v>2244</v>
      </c>
      <c r="H70" s="948">
        <v>3</v>
      </c>
      <c r="I70" s="948">
        <v>3</v>
      </c>
      <c r="J70" s="948">
        <v>2</v>
      </c>
      <c r="K70" s="948">
        <v>3</v>
      </c>
      <c r="L70" s="948">
        <v>2</v>
      </c>
      <c r="M70" s="948">
        <v>1</v>
      </c>
    </row>
    <row r="71" spans="1:13">
      <c r="A71" s="948" t="s">
        <v>393</v>
      </c>
      <c r="B71" s="948" t="s">
        <v>284</v>
      </c>
      <c r="C71" s="948" t="s">
        <v>180</v>
      </c>
      <c r="D71" s="948" t="s">
        <v>139</v>
      </c>
      <c r="E71" s="1234">
        <f>C29</f>
        <v>0.57142857142857151</v>
      </c>
      <c r="F71" s="1227">
        <v>2</v>
      </c>
      <c r="G71" s="948" t="s">
        <v>2238</v>
      </c>
      <c r="H71" s="948">
        <v>1</v>
      </c>
      <c r="I71" s="948">
        <v>2</v>
      </c>
      <c r="J71" s="948">
        <v>3</v>
      </c>
      <c r="K71" s="948">
        <v>3</v>
      </c>
      <c r="L71" s="948">
        <v>2</v>
      </c>
      <c r="M71" s="948">
        <v>1</v>
      </c>
    </row>
    <row r="72" spans="1:13">
      <c r="A72" s="948" t="s">
        <v>393</v>
      </c>
      <c r="B72" s="948" t="s">
        <v>265</v>
      </c>
      <c r="C72" s="948" t="s">
        <v>182</v>
      </c>
      <c r="D72" s="948" t="s">
        <v>139</v>
      </c>
      <c r="E72" s="1234">
        <f>E61</f>
        <v>3.8639999999999998E-3</v>
      </c>
      <c r="F72" s="1227">
        <v>2</v>
      </c>
      <c r="G72" s="948" t="s">
        <v>2257</v>
      </c>
      <c r="H72" s="948">
        <v>2</v>
      </c>
      <c r="I72" s="948">
        <v>2</v>
      </c>
      <c r="J72" s="948">
        <v>1</v>
      </c>
      <c r="K72" s="948">
        <v>1</v>
      </c>
      <c r="L72" s="948">
        <v>1</v>
      </c>
      <c r="M72" s="948">
        <v>3</v>
      </c>
    </row>
    <row r="73" spans="1:13">
      <c r="A73" s="948" t="s">
        <v>393</v>
      </c>
      <c r="B73" s="948" t="s">
        <v>265</v>
      </c>
      <c r="C73" s="948" t="s">
        <v>180</v>
      </c>
      <c r="D73" s="948" t="s">
        <v>139</v>
      </c>
      <c r="E73" s="1234">
        <f>E62</f>
        <v>3.8639999999999998E-3</v>
      </c>
      <c r="F73" s="1227">
        <v>2</v>
      </c>
      <c r="G73" s="948" t="s">
        <v>2257</v>
      </c>
      <c r="H73" s="948">
        <v>2</v>
      </c>
      <c r="I73" s="948">
        <v>2</v>
      </c>
      <c r="J73" s="948">
        <v>1</v>
      </c>
      <c r="K73" s="948">
        <v>1</v>
      </c>
      <c r="L73" s="948">
        <v>1</v>
      </c>
      <c r="M73" s="948">
        <v>3</v>
      </c>
    </row>
    <row r="74" spans="1:13">
      <c r="A74" s="948" t="s">
        <v>287</v>
      </c>
      <c r="B74" s="948" t="s">
        <v>265</v>
      </c>
      <c r="C74" s="948" t="s">
        <v>139</v>
      </c>
      <c r="D74" s="948" t="s">
        <v>139</v>
      </c>
      <c r="E74" s="1236" t="s">
        <v>150</v>
      </c>
      <c r="F74" s="1227">
        <v>1</v>
      </c>
      <c r="G74" s="948"/>
      <c r="H74" s="948"/>
      <c r="I74" s="948"/>
      <c r="J74" s="948"/>
      <c r="K74" s="948"/>
      <c r="L74" s="948"/>
      <c r="M74" s="948"/>
    </row>
    <row r="75" spans="1:13">
      <c r="A75" s="948" t="s">
        <v>287</v>
      </c>
      <c r="B75" s="948" t="s">
        <v>284</v>
      </c>
      <c r="C75" s="948" t="s">
        <v>182</v>
      </c>
      <c r="D75" s="948" t="s">
        <v>139</v>
      </c>
      <c r="E75" s="1234">
        <f>B30</f>
        <v>0.49999999999999956</v>
      </c>
      <c r="F75" s="1227">
        <v>2</v>
      </c>
      <c r="G75" s="948" t="s">
        <v>2244</v>
      </c>
      <c r="H75" s="948">
        <v>3</v>
      </c>
      <c r="I75" s="948">
        <v>3</v>
      </c>
      <c r="J75" s="948">
        <v>2</v>
      </c>
      <c r="K75" s="948">
        <v>3</v>
      </c>
      <c r="L75" s="948">
        <v>2</v>
      </c>
      <c r="M75" s="948">
        <v>1</v>
      </c>
    </row>
    <row r="76" spans="1:13">
      <c r="A76" s="948" t="s">
        <v>287</v>
      </c>
      <c r="B76" s="948" t="s">
        <v>284</v>
      </c>
      <c r="C76" s="948" t="s">
        <v>180</v>
      </c>
      <c r="D76" s="948" t="s">
        <v>139</v>
      </c>
      <c r="E76" s="1234">
        <f>C30</f>
        <v>0.98333333333333328</v>
      </c>
      <c r="F76" s="1227">
        <v>2</v>
      </c>
      <c r="G76" s="948" t="s">
        <v>2238</v>
      </c>
      <c r="H76" s="948">
        <v>1</v>
      </c>
      <c r="I76" s="948">
        <v>2</v>
      </c>
      <c r="J76" s="948">
        <v>3</v>
      </c>
      <c r="K76" s="948">
        <v>3</v>
      </c>
      <c r="L76" s="948">
        <v>2</v>
      </c>
      <c r="M76" s="948">
        <v>1</v>
      </c>
    </row>
  </sheetData>
  <mergeCells count="2">
    <mergeCell ref="A32:XFD33"/>
    <mergeCell ref="A1:XFD2"/>
  </mergeCells>
  <conditionalFormatting sqref="H35:M35">
    <cfRule type="cellIs" dxfId="155" priority="13" stopIfTrue="1" operator="notBetween">
      <formula>1</formula>
      <formula>4</formula>
    </cfRule>
    <cfRule type="dataBar" priority="14">
      <dataBar>
        <cfvo type="min"/>
        <cfvo type="num" val="4"/>
        <color rgb="FFFFC000"/>
      </dataBar>
      <extLst>
        <ext xmlns:x14="http://schemas.microsoft.com/office/spreadsheetml/2009/9/main" uri="{B025F937-C7B1-47D3-B67F-A62EFF666E3E}">
          <x14:id>{11A247E4-8193-4EFF-8153-7E4C26CB5FB5}</x14:id>
        </ext>
      </extLst>
    </cfRule>
  </conditionalFormatting>
  <conditionalFormatting sqref="H35:M40">
    <cfRule type="containsBlanks" dxfId="154" priority="22" stopIfTrue="1">
      <formula>LEN(TRIM(H35))=0</formula>
    </cfRule>
  </conditionalFormatting>
  <conditionalFormatting sqref="H36:M37">
    <cfRule type="dataBar" priority="24">
      <dataBar>
        <cfvo type="min"/>
        <cfvo type="num" val="4"/>
        <color rgb="FFFFC000"/>
      </dataBar>
      <extLst>
        <ext xmlns:x14="http://schemas.microsoft.com/office/spreadsheetml/2009/9/main" uri="{B025F937-C7B1-47D3-B67F-A62EFF666E3E}">
          <x14:id>{098227F2-29EF-47FC-B69B-B979CD3A9D84}</x14:id>
        </ext>
      </extLst>
    </cfRule>
  </conditionalFormatting>
  <conditionalFormatting sqref="H36:M40">
    <cfRule type="cellIs" dxfId="153" priority="23" stopIfTrue="1" operator="notBetween">
      <formula>1</formula>
      <formula>4</formula>
    </cfRule>
  </conditionalFormatting>
  <conditionalFormatting sqref="H38:M38">
    <cfRule type="dataBar" priority="51">
      <dataBar>
        <cfvo type="min"/>
        <cfvo type="num" val="4"/>
        <color rgb="FFFFC000"/>
      </dataBar>
      <extLst>
        <ext xmlns:x14="http://schemas.microsoft.com/office/spreadsheetml/2009/9/main" uri="{B025F937-C7B1-47D3-B67F-A62EFF666E3E}">
          <x14:id>{77AACC97-1CCC-4B0C-B065-46C715470B88}</x14:id>
        </ext>
      </extLst>
    </cfRule>
  </conditionalFormatting>
  <conditionalFormatting sqref="H39:M39">
    <cfRule type="dataBar" priority="48">
      <dataBar>
        <cfvo type="min"/>
        <cfvo type="num" val="4"/>
        <color rgb="FFFFC000"/>
      </dataBar>
      <extLst>
        <ext xmlns:x14="http://schemas.microsoft.com/office/spreadsheetml/2009/9/main" uri="{B025F937-C7B1-47D3-B67F-A62EFF666E3E}">
          <x14:id>{749E49F8-B537-4179-91D5-CBF3D4886121}</x14:id>
        </ext>
      </extLst>
    </cfRule>
  </conditionalFormatting>
  <conditionalFormatting sqref="H40:M40">
    <cfRule type="dataBar" priority="108">
      <dataBar>
        <cfvo type="min"/>
        <cfvo type="num" val="4"/>
        <color rgb="FFFFC000"/>
      </dataBar>
      <extLst>
        <ext xmlns:x14="http://schemas.microsoft.com/office/spreadsheetml/2009/9/main" uri="{B025F937-C7B1-47D3-B67F-A62EFF666E3E}">
          <x14:id>{7CBE5C74-6F3F-4C26-BE3A-3EAE518BAAC8}</x14:id>
        </ext>
      </extLst>
    </cfRule>
  </conditionalFormatting>
  <conditionalFormatting sqref="H41:M41">
    <cfRule type="cellIs" dxfId="152" priority="1" stopIfTrue="1" operator="notBetween">
      <formula>1</formula>
      <formula>4</formula>
    </cfRule>
    <cfRule type="dataBar" priority="2">
      <dataBar>
        <cfvo type="min"/>
        <cfvo type="num" val="4"/>
        <color rgb="FFFFC000"/>
      </dataBar>
      <extLst>
        <ext xmlns:x14="http://schemas.microsoft.com/office/spreadsheetml/2009/9/main" uri="{B025F937-C7B1-47D3-B67F-A62EFF666E3E}">
          <x14:id>{4AB36D01-71F4-4158-B194-37D3FEF66478}</x14:id>
        </ext>
      </extLst>
    </cfRule>
  </conditionalFormatting>
  <conditionalFormatting sqref="H41:M48">
    <cfRule type="containsBlanks" dxfId="151" priority="6" stopIfTrue="1">
      <formula>LEN(TRIM(H41))=0</formula>
    </cfRule>
  </conditionalFormatting>
  <conditionalFormatting sqref="H42:M42">
    <cfRule type="dataBar" priority="42">
      <dataBar>
        <cfvo type="min"/>
        <cfvo type="num" val="4"/>
        <color rgb="FFFFC000"/>
      </dataBar>
      <extLst>
        <ext xmlns:x14="http://schemas.microsoft.com/office/spreadsheetml/2009/9/main" uri="{B025F937-C7B1-47D3-B67F-A62EFF666E3E}">
          <x14:id>{183BB53B-800B-472E-B5FB-8C408105EFEA}</x14:id>
        </ext>
      </extLst>
    </cfRule>
  </conditionalFormatting>
  <conditionalFormatting sqref="H42:M48">
    <cfRule type="cellIs" dxfId="150" priority="26" stopIfTrue="1" operator="notBetween">
      <formula>1</formula>
      <formula>4</formula>
    </cfRule>
  </conditionalFormatting>
  <conditionalFormatting sqref="H43:M43">
    <cfRule type="dataBar" priority="39">
      <dataBar>
        <cfvo type="min"/>
        <cfvo type="num" val="4"/>
        <color rgb="FFFFC000"/>
      </dataBar>
      <extLst>
        <ext xmlns:x14="http://schemas.microsoft.com/office/spreadsheetml/2009/9/main" uri="{B025F937-C7B1-47D3-B67F-A62EFF666E3E}">
          <x14:id>{F14AC64B-7DE5-41A7-BCEB-68D84FA827C4}</x14:id>
        </ext>
      </extLst>
    </cfRule>
  </conditionalFormatting>
  <conditionalFormatting sqref="H44:M44">
    <cfRule type="dataBar" priority="36">
      <dataBar>
        <cfvo type="min"/>
        <cfvo type="num" val="4"/>
        <color rgb="FFFFC000"/>
      </dataBar>
      <extLst>
        <ext xmlns:x14="http://schemas.microsoft.com/office/spreadsheetml/2009/9/main" uri="{B025F937-C7B1-47D3-B67F-A62EFF666E3E}">
          <x14:id>{773CBF14-2DEA-488F-871A-1382E543D36B}</x14:id>
        </ext>
      </extLst>
    </cfRule>
  </conditionalFormatting>
  <conditionalFormatting sqref="H45:M45">
    <cfRule type="dataBar" priority="63">
      <dataBar>
        <cfvo type="min"/>
        <cfvo type="num" val="4"/>
        <color rgb="FFFFC000"/>
      </dataBar>
      <extLst>
        <ext xmlns:x14="http://schemas.microsoft.com/office/spreadsheetml/2009/9/main" uri="{B025F937-C7B1-47D3-B67F-A62EFF666E3E}">
          <x14:id>{B0270D70-6A7B-477C-9953-625921F848B0}</x14:id>
        </ext>
      </extLst>
    </cfRule>
  </conditionalFormatting>
  <conditionalFormatting sqref="H46:M46">
    <cfRule type="dataBar" priority="27">
      <dataBar>
        <cfvo type="min"/>
        <cfvo type="num" val="4"/>
        <color rgb="FFFFC000"/>
      </dataBar>
      <extLst>
        <ext xmlns:x14="http://schemas.microsoft.com/office/spreadsheetml/2009/9/main" uri="{B025F937-C7B1-47D3-B67F-A62EFF666E3E}">
          <x14:id>{58FA1A0B-515C-4240-8C93-AFC322B7231A}</x14:id>
        </ext>
      </extLst>
    </cfRule>
  </conditionalFormatting>
  <conditionalFormatting sqref="H47:M48">
    <cfRule type="dataBar" priority="60">
      <dataBar>
        <cfvo type="min"/>
        <cfvo type="num" val="4"/>
        <color rgb="FFFFC000"/>
      </dataBar>
      <extLst>
        <ext xmlns:x14="http://schemas.microsoft.com/office/spreadsheetml/2009/9/main" uri="{B025F937-C7B1-47D3-B67F-A62EFF666E3E}">
          <x14:id>{F3D4A6A2-42A6-4144-A152-539DCB1C97FE}</x14:id>
        </ext>
      </extLst>
    </cfRule>
  </conditionalFormatting>
  <conditionalFormatting sqref="H50:M50">
    <cfRule type="dataBar" priority="57">
      <dataBar>
        <cfvo type="min"/>
        <cfvo type="num" val="4"/>
        <color rgb="FFFFC000"/>
      </dataBar>
      <extLst>
        <ext xmlns:x14="http://schemas.microsoft.com/office/spreadsheetml/2009/9/main" uri="{B025F937-C7B1-47D3-B67F-A62EFF666E3E}">
          <x14:id>{A4DC2CE7-7B52-49D0-9047-E6C002813CA1}</x14:id>
        </ext>
      </extLst>
    </cfRule>
  </conditionalFormatting>
  <conditionalFormatting sqref="H50:M53">
    <cfRule type="containsBlanks" dxfId="149" priority="16" stopIfTrue="1">
      <formula>LEN(TRIM(H50))=0</formula>
    </cfRule>
    <cfRule type="cellIs" dxfId="148" priority="17" stopIfTrue="1" operator="notBetween">
      <formula>1</formula>
      <formula>4</formula>
    </cfRule>
  </conditionalFormatting>
  <conditionalFormatting sqref="H51:M52">
    <cfRule type="dataBar" priority="54">
      <dataBar>
        <cfvo type="min"/>
        <cfvo type="num" val="4"/>
        <color rgb="FFFFC000"/>
      </dataBar>
      <extLst>
        <ext xmlns:x14="http://schemas.microsoft.com/office/spreadsheetml/2009/9/main" uri="{B025F937-C7B1-47D3-B67F-A62EFF666E3E}">
          <x14:id>{D210F2AE-BF6B-4ED0-A28B-D31A2F774D82}</x14:id>
        </ext>
      </extLst>
    </cfRule>
  </conditionalFormatting>
  <conditionalFormatting sqref="H53:M53">
    <cfRule type="dataBar" priority="18">
      <dataBar>
        <cfvo type="min"/>
        <cfvo type="num" val="4"/>
        <color rgb="FFFFC000"/>
      </dataBar>
      <extLst>
        <ext xmlns:x14="http://schemas.microsoft.com/office/spreadsheetml/2009/9/main" uri="{B025F937-C7B1-47D3-B67F-A62EFF666E3E}">
          <x14:id>{430FF404-6E6B-4F5B-B531-18A00EA629AC}</x14:id>
        </ext>
      </extLst>
    </cfRule>
  </conditionalFormatting>
  <conditionalFormatting sqref="H55:M71">
    <cfRule type="containsBlanks" dxfId="147" priority="31" stopIfTrue="1">
      <formula>LEN(TRIM(H55))=0</formula>
    </cfRule>
    <cfRule type="cellIs" dxfId="146" priority="32" stopIfTrue="1" operator="notBetween">
      <formula>1</formula>
      <formula>4</formula>
    </cfRule>
  </conditionalFormatting>
  <conditionalFormatting sqref="H57:M57">
    <cfRule type="dataBar" priority="74">
      <dataBar>
        <cfvo type="min"/>
        <cfvo type="num" val="4"/>
        <color rgb="FFFFC000"/>
      </dataBar>
      <extLst>
        <ext xmlns:x14="http://schemas.microsoft.com/office/spreadsheetml/2009/9/main" uri="{B025F937-C7B1-47D3-B67F-A62EFF666E3E}">
          <x14:id>{3D60EF11-5011-4E47-8C5D-BDDD19E0C8BC}</x14:id>
        </ext>
      </extLst>
    </cfRule>
  </conditionalFormatting>
  <conditionalFormatting sqref="H60:M60 H65:M65 H71:M71 H76:M76">
    <cfRule type="dataBar" priority="8523">
      <dataBar>
        <cfvo type="min"/>
        <cfvo type="num" val="4"/>
        <color rgb="FFFFC000"/>
      </dataBar>
      <extLst>
        <ext xmlns:x14="http://schemas.microsoft.com/office/spreadsheetml/2009/9/main" uri="{B025F937-C7B1-47D3-B67F-A62EFF666E3E}">
          <x14:id>{6A889C20-06E3-4377-81C1-1A9D26BCE6E6}</x14:id>
        </ext>
      </extLst>
    </cfRule>
  </conditionalFormatting>
  <conditionalFormatting sqref="H61:M62">
    <cfRule type="dataBar" priority="33">
      <dataBar>
        <cfvo type="min"/>
        <cfvo type="num" val="4"/>
        <color rgb="FFFFC000"/>
      </dataBar>
      <extLst>
        <ext xmlns:x14="http://schemas.microsoft.com/office/spreadsheetml/2009/9/main" uri="{B025F937-C7B1-47D3-B67F-A62EFF666E3E}">
          <x14:id>{EA188CB4-272F-4004-9488-4E2F9C4EBFF9}</x14:id>
        </ext>
      </extLst>
    </cfRule>
  </conditionalFormatting>
  <conditionalFormatting sqref="H63:M64 H58:M59 H55:M56">
    <cfRule type="dataBar" priority="8518">
      <dataBar>
        <cfvo type="min"/>
        <cfvo type="num" val="4"/>
        <color rgb="FFFFC000"/>
      </dataBar>
      <extLst>
        <ext xmlns:x14="http://schemas.microsoft.com/office/spreadsheetml/2009/9/main" uri="{B025F937-C7B1-47D3-B67F-A62EFF666E3E}">
          <x14:id>{7F2E9E5F-9374-4787-BDB0-DB55407BBA3A}</x14:id>
        </ext>
      </extLst>
    </cfRule>
  </conditionalFormatting>
  <conditionalFormatting sqref="H68:M68">
    <cfRule type="dataBar" priority="10">
      <dataBar>
        <cfvo type="min"/>
        <cfvo type="num" val="4"/>
        <color rgb="FFFFC000"/>
      </dataBar>
      <extLst>
        <ext xmlns:x14="http://schemas.microsoft.com/office/spreadsheetml/2009/9/main" uri="{B025F937-C7B1-47D3-B67F-A62EFF666E3E}">
          <x14:id>{4C533ADA-9FA9-40D7-AECE-3753F6DF96FE}</x14:id>
        </ext>
      </extLst>
    </cfRule>
  </conditionalFormatting>
  <conditionalFormatting sqref="H72:M73">
    <cfRule type="containsBlanks" dxfId="145" priority="7" stopIfTrue="1">
      <formula>LEN(TRIM(H72))=0</formula>
    </cfRule>
    <cfRule type="cellIs" dxfId="144" priority="8" stopIfTrue="1" operator="notBetween">
      <formula>1</formula>
      <formula>4</formula>
    </cfRule>
    <cfRule type="dataBar" priority="9">
      <dataBar>
        <cfvo type="min"/>
        <cfvo type="num" val="4"/>
        <color rgb="FFFFC000"/>
      </dataBar>
      <extLst>
        <ext xmlns:x14="http://schemas.microsoft.com/office/spreadsheetml/2009/9/main" uri="{B025F937-C7B1-47D3-B67F-A62EFF666E3E}">
          <x14:id>{3560060C-C296-4802-8803-B599D21A6325}</x14:id>
        </ext>
      </extLst>
    </cfRule>
  </conditionalFormatting>
  <conditionalFormatting sqref="H74:M75 H69:M70 H66:M67">
    <cfRule type="dataBar" priority="11">
      <dataBar>
        <cfvo type="min"/>
        <cfvo type="num" val="4"/>
        <color rgb="FFFFC000"/>
      </dataBar>
      <extLst>
        <ext xmlns:x14="http://schemas.microsoft.com/office/spreadsheetml/2009/9/main" uri="{B025F937-C7B1-47D3-B67F-A62EFF666E3E}">
          <x14:id>{4DC3E28D-4833-47F2-9D1A-4E7344575146}</x14:id>
        </ext>
      </extLst>
    </cfRule>
  </conditionalFormatting>
  <conditionalFormatting sqref="H74:M76">
    <cfRule type="containsBlanks" dxfId="143" priority="69" stopIfTrue="1">
      <formula>LEN(TRIM(H74))=0</formula>
    </cfRule>
    <cfRule type="cellIs" dxfId="142" priority="70" stopIfTrue="1" operator="notBetween">
      <formula>1</formula>
      <formula>4</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11A247E4-8193-4EFF-8153-7E4C26CB5FB5}">
            <x14:dataBar minLength="0" maxLength="100" gradient="0">
              <x14:cfvo type="autoMin"/>
              <x14:cfvo type="num">
                <xm:f>4</xm:f>
              </x14:cfvo>
              <x14:negativeFillColor rgb="FFFF0000"/>
              <x14:axisColor rgb="FF000000"/>
            </x14:dataBar>
          </x14:cfRule>
          <xm:sqref>H35:M35</xm:sqref>
        </x14:conditionalFormatting>
        <x14:conditionalFormatting xmlns:xm="http://schemas.microsoft.com/office/excel/2006/main">
          <x14:cfRule type="dataBar" id="{098227F2-29EF-47FC-B69B-B979CD3A9D84}">
            <x14:dataBar minLength="0" maxLength="100" gradient="0">
              <x14:cfvo type="autoMin"/>
              <x14:cfvo type="num">
                <xm:f>4</xm:f>
              </x14:cfvo>
              <x14:negativeFillColor rgb="FFFF0000"/>
              <x14:axisColor rgb="FF000000"/>
            </x14:dataBar>
          </x14:cfRule>
          <xm:sqref>H36:M37</xm:sqref>
        </x14:conditionalFormatting>
        <x14:conditionalFormatting xmlns:xm="http://schemas.microsoft.com/office/excel/2006/main">
          <x14:cfRule type="dataBar" id="{77AACC97-1CCC-4B0C-B065-46C715470B88}">
            <x14:dataBar minLength="0" maxLength="100" gradient="0">
              <x14:cfvo type="autoMin"/>
              <x14:cfvo type="num">
                <xm:f>4</xm:f>
              </x14:cfvo>
              <x14:negativeFillColor rgb="FFFF0000"/>
              <x14:axisColor rgb="FF000000"/>
            </x14:dataBar>
          </x14:cfRule>
          <xm:sqref>H38:M38</xm:sqref>
        </x14:conditionalFormatting>
        <x14:conditionalFormatting xmlns:xm="http://schemas.microsoft.com/office/excel/2006/main">
          <x14:cfRule type="dataBar" id="{749E49F8-B537-4179-91D5-CBF3D4886121}">
            <x14:dataBar minLength="0" maxLength="100" gradient="0">
              <x14:cfvo type="autoMin"/>
              <x14:cfvo type="num">
                <xm:f>4</xm:f>
              </x14:cfvo>
              <x14:negativeFillColor rgb="FFFF0000"/>
              <x14:axisColor rgb="FF000000"/>
            </x14:dataBar>
          </x14:cfRule>
          <xm:sqref>H39:M39</xm:sqref>
        </x14:conditionalFormatting>
        <x14:conditionalFormatting xmlns:xm="http://schemas.microsoft.com/office/excel/2006/main">
          <x14:cfRule type="dataBar" id="{7CBE5C74-6F3F-4C26-BE3A-3EAE518BAAC8}">
            <x14:dataBar minLength="0" maxLength="100" gradient="0">
              <x14:cfvo type="autoMin"/>
              <x14:cfvo type="num">
                <xm:f>4</xm:f>
              </x14:cfvo>
              <x14:negativeFillColor rgb="FFFF0000"/>
              <x14:axisColor rgb="FF000000"/>
            </x14:dataBar>
          </x14:cfRule>
          <xm:sqref>H40:M40</xm:sqref>
        </x14:conditionalFormatting>
        <x14:conditionalFormatting xmlns:xm="http://schemas.microsoft.com/office/excel/2006/main">
          <x14:cfRule type="dataBar" id="{4AB36D01-71F4-4158-B194-37D3FEF66478}">
            <x14:dataBar minLength="0" maxLength="100" gradient="0">
              <x14:cfvo type="autoMin"/>
              <x14:cfvo type="num">
                <xm:f>4</xm:f>
              </x14:cfvo>
              <x14:negativeFillColor rgb="FFFF0000"/>
              <x14:axisColor rgb="FF000000"/>
            </x14:dataBar>
          </x14:cfRule>
          <xm:sqref>H41:M41</xm:sqref>
        </x14:conditionalFormatting>
        <x14:conditionalFormatting xmlns:xm="http://schemas.microsoft.com/office/excel/2006/main">
          <x14:cfRule type="dataBar" id="{183BB53B-800B-472E-B5FB-8C408105EFEA}">
            <x14:dataBar minLength="0" maxLength="100" gradient="0">
              <x14:cfvo type="autoMin"/>
              <x14:cfvo type="num">
                <xm:f>4</xm:f>
              </x14:cfvo>
              <x14:negativeFillColor rgb="FFFF0000"/>
              <x14:axisColor rgb="FF000000"/>
            </x14:dataBar>
          </x14:cfRule>
          <xm:sqref>H42:M42</xm:sqref>
        </x14:conditionalFormatting>
        <x14:conditionalFormatting xmlns:xm="http://schemas.microsoft.com/office/excel/2006/main">
          <x14:cfRule type="dataBar" id="{F14AC64B-7DE5-41A7-BCEB-68D84FA827C4}">
            <x14:dataBar minLength="0" maxLength="100" gradient="0">
              <x14:cfvo type="autoMin"/>
              <x14:cfvo type="num">
                <xm:f>4</xm:f>
              </x14:cfvo>
              <x14:negativeFillColor rgb="FFFF0000"/>
              <x14:axisColor rgb="FF000000"/>
            </x14:dataBar>
          </x14:cfRule>
          <xm:sqref>H43:M43</xm:sqref>
        </x14:conditionalFormatting>
        <x14:conditionalFormatting xmlns:xm="http://schemas.microsoft.com/office/excel/2006/main">
          <x14:cfRule type="dataBar" id="{773CBF14-2DEA-488F-871A-1382E543D36B}">
            <x14:dataBar minLength="0" maxLength="100" gradient="0">
              <x14:cfvo type="autoMin"/>
              <x14:cfvo type="num">
                <xm:f>4</xm:f>
              </x14:cfvo>
              <x14:negativeFillColor rgb="FFFF0000"/>
              <x14:axisColor rgb="FF000000"/>
            </x14:dataBar>
          </x14:cfRule>
          <xm:sqref>H44:M44</xm:sqref>
        </x14:conditionalFormatting>
        <x14:conditionalFormatting xmlns:xm="http://schemas.microsoft.com/office/excel/2006/main">
          <x14:cfRule type="dataBar" id="{B0270D70-6A7B-477C-9953-625921F848B0}">
            <x14:dataBar minLength="0" maxLength="100" gradient="0">
              <x14:cfvo type="autoMin"/>
              <x14:cfvo type="num">
                <xm:f>4</xm:f>
              </x14:cfvo>
              <x14:negativeFillColor rgb="FFFF0000"/>
              <x14:axisColor rgb="FF000000"/>
            </x14:dataBar>
          </x14:cfRule>
          <xm:sqref>H45:M45</xm:sqref>
        </x14:conditionalFormatting>
        <x14:conditionalFormatting xmlns:xm="http://schemas.microsoft.com/office/excel/2006/main">
          <x14:cfRule type="dataBar" id="{58FA1A0B-515C-4240-8C93-AFC322B7231A}">
            <x14:dataBar minLength="0" maxLength="100" gradient="0">
              <x14:cfvo type="autoMin"/>
              <x14:cfvo type="num">
                <xm:f>4</xm:f>
              </x14:cfvo>
              <x14:negativeFillColor rgb="FFFF0000"/>
              <x14:axisColor rgb="FF000000"/>
            </x14:dataBar>
          </x14:cfRule>
          <xm:sqref>H46:M46</xm:sqref>
        </x14:conditionalFormatting>
        <x14:conditionalFormatting xmlns:xm="http://schemas.microsoft.com/office/excel/2006/main">
          <x14:cfRule type="dataBar" id="{F3D4A6A2-42A6-4144-A152-539DCB1C97FE}">
            <x14:dataBar minLength="0" maxLength="100" gradient="0">
              <x14:cfvo type="autoMin"/>
              <x14:cfvo type="num">
                <xm:f>4</xm:f>
              </x14:cfvo>
              <x14:negativeFillColor rgb="FFFF0000"/>
              <x14:axisColor rgb="FF000000"/>
            </x14:dataBar>
          </x14:cfRule>
          <xm:sqref>H47:M48</xm:sqref>
        </x14:conditionalFormatting>
        <x14:conditionalFormatting xmlns:xm="http://schemas.microsoft.com/office/excel/2006/main">
          <x14:cfRule type="dataBar" id="{A4DC2CE7-7B52-49D0-9047-E6C002813CA1}">
            <x14:dataBar minLength="0" maxLength="100" gradient="0">
              <x14:cfvo type="autoMin"/>
              <x14:cfvo type="num">
                <xm:f>4</xm:f>
              </x14:cfvo>
              <x14:negativeFillColor rgb="FFFF0000"/>
              <x14:axisColor rgb="FF000000"/>
            </x14:dataBar>
          </x14:cfRule>
          <xm:sqref>H50:M50</xm:sqref>
        </x14:conditionalFormatting>
        <x14:conditionalFormatting xmlns:xm="http://schemas.microsoft.com/office/excel/2006/main">
          <x14:cfRule type="dataBar" id="{D210F2AE-BF6B-4ED0-A28B-D31A2F774D82}">
            <x14:dataBar minLength="0" maxLength="100" gradient="0">
              <x14:cfvo type="autoMin"/>
              <x14:cfvo type="num">
                <xm:f>4</xm:f>
              </x14:cfvo>
              <x14:negativeFillColor rgb="FFFF0000"/>
              <x14:axisColor rgb="FF000000"/>
            </x14:dataBar>
          </x14:cfRule>
          <xm:sqref>H51:M52</xm:sqref>
        </x14:conditionalFormatting>
        <x14:conditionalFormatting xmlns:xm="http://schemas.microsoft.com/office/excel/2006/main">
          <x14:cfRule type="dataBar" id="{430FF404-6E6B-4F5B-B531-18A00EA629AC}">
            <x14:dataBar minLength="0" maxLength="100" gradient="0">
              <x14:cfvo type="autoMin"/>
              <x14:cfvo type="num">
                <xm:f>4</xm:f>
              </x14:cfvo>
              <x14:negativeFillColor rgb="FFFF0000"/>
              <x14:axisColor rgb="FF000000"/>
            </x14:dataBar>
          </x14:cfRule>
          <xm:sqref>H53:M53</xm:sqref>
        </x14:conditionalFormatting>
        <x14:conditionalFormatting xmlns:xm="http://schemas.microsoft.com/office/excel/2006/main">
          <x14:cfRule type="dataBar" id="{3D60EF11-5011-4E47-8C5D-BDDD19E0C8BC}">
            <x14:dataBar minLength="0" maxLength="100" gradient="0">
              <x14:cfvo type="autoMin"/>
              <x14:cfvo type="num">
                <xm:f>4</xm:f>
              </x14:cfvo>
              <x14:negativeFillColor rgb="FFFF0000"/>
              <x14:axisColor rgb="FF000000"/>
            </x14:dataBar>
          </x14:cfRule>
          <xm:sqref>H57:M57</xm:sqref>
        </x14:conditionalFormatting>
        <x14:conditionalFormatting xmlns:xm="http://schemas.microsoft.com/office/excel/2006/main">
          <x14:cfRule type="dataBar" id="{6A889C20-06E3-4377-81C1-1A9D26BCE6E6}">
            <x14:dataBar minLength="0" maxLength="100" gradient="0">
              <x14:cfvo type="autoMin"/>
              <x14:cfvo type="num">
                <xm:f>4</xm:f>
              </x14:cfvo>
              <x14:negativeFillColor rgb="FFFF0000"/>
              <x14:axisColor rgb="FF000000"/>
            </x14:dataBar>
          </x14:cfRule>
          <xm:sqref>H60:M60 H65:M65 H71:M71 H76:M76</xm:sqref>
        </x14:conditionalFormatting>
        <x14:conditionalFormatting xmlns:xm="http://schemas.microsoft.com/office/excel/2006/main">
          <x14:cfRule type="dataBar" id="{EA188CB4-272F-4004-9488-4E2F9C4EBFF9}">
            <x14:dataBar minLength="0" maxLength="100" gradient="0">
              <x14:cfvo type="autoMin"/>
              <x14:cfvo type="num">
                <xm:f>4</xm:f>
              </x14:cfvo>
              <x14:negativeFillColor rgb="FFFF0000"/>
              <x14:axisColor rgb="FF000000"/>
            </x14:dataBar>
          </x14:cfRule>
          <xm:sqref>H61:M62</xm:sqref>
        </x14:conditionalFormatting>
        <x14:conditionalFormatting xmlns:xm="http://schemas.microsoft.com/office/excel/2006/main">
          <x14:cfRule type="dataBar" id="{7F2E9E5F-9374-4787-BDB0-DB55407BBA3A}">
            <x14:dataBar minLength="0" maxLength="100" gradient="0">
              <x14:cfvo type="autoMin"/>
              <x14:cfvo type="num">
                <xm:f>4</xm:f>
              </x14:cfvo>
              <x14:negativeFillColor rgb="FFFF0000"/>
              <x14:axisColor rgb="FF000000"/>
            </x14:dataBar>
          </x14:cfRule>
          <xm:sqref>H63:M64 H58:M59 H55:M56</xm:sqref>
        </x14:conditionalFormatting>
        <x14:conditionalFormatting xmlns:xm="http://schemas.microsoft.com/office/excel/2006/main">
          <x14:cfRule type="dataBar" id="{4C533ADA-9FA9-40D7-AECE-3753F6DF96FE}">
            <x14:dataBar minLength="0" maxLength="100" gradient="0">
              <x14:cfvo type="autoMin"/>
              <x14:cfvo type="num">
                <xm:f>4</xm:f>
              </x14:cfvo>
              <x14:negativeFillColor rgb="FFFF0000"/>
              <x14:axisColor rgb="FF000000"/>
            </x14:dataBar>
          </x14:cfRule>
          <xm:sqref>H68:M68</xm:sqref>
        </x14:conditionalFormatting>
        <x14:conditionalFormatting xmlns:xm="http://schemas.microsoft.com/office/excel/2006/main">
          <x14:cfRule type="dataBar" id="{3560060C-C296-4802-8803-B599D21A6325}">
            <x14:dataBar minLength="0" maxLength="100" gradient="0">
              <x14:cfvo type="autoMin"/>
              <x14:cfvo type="num">
                <xm:f>4</xm:f>
              </x14:cfvo>
              <x14:negativeFillColor rgb="FFFF0000"/>
              <x14:axisColor rgb="FF000000"/>
            </x14:dataBar>
          </x14:cfRule>
          <xm:sqref>H72:M73</xm:sqref>
        </x14:conditionalFormatting>
        <x14:conditionalFormatting xmlns:xm="http://schemas.microsoft.com/office/excel/2006/main">
          <x14:cfRule type="dataBar" id="{4DC3E28D-4833-47F2-9D1A-4E7344575146}">
            <x14:dataBar minLength="0" maxLength="100" gradient="0">
              <x14:cfvo type="autoMin"/>
              <x14:cfvo type="num">
                <xm:f>4</xm:f>
              </x14:cfvo>
              <x14:negativeFillColor rgb="FFFF0000"/>
              <x14:axisColor rgb="FF000000"/>
            </x14:dataBar>
          </x14:cfRule>
          <xm:sqref>H74:M75 H69:M70 H66:M67</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9F066-5860-4542-8A5E-C7F31B6269B4}">
  <sheetPr>
    <tabColor theme="8"/>
  </sheetPr>
  <dimension ref="A1:AF261"/>
  <sheetViews>
    <sheetView topLeftCell="A13" zoomScale="87" zoomScaleNormal="87" workbookViewId="0">
      <selection activeCell="G27" sqref="G27:H27"/>
    </sheetView>
  </sheetViews>
  <sheetFormatPr defaultRowHeight="14.4"/>
  <cols>
    <col min="1" max="1" width="50.6640625" style="6" customWidth="1"/>
    <col min="2" max="29" width="20.6640625" style="6" customWidth="1"/>
    <col min="30" max="32" width="20.6640625" customWidth="1"/>
  </cols>
  <sheetData>
    <row r="1" spans="1:19" ht="30" customHeight="1">
      <c r="A1" s="1024" t="s">
        <v>778</v>
      </c>
      <c r="B1" s="1025"/>
      <c r="C1" s="1025"/>
      <c r="D1" s="1025"/>
      <c r="E1" s="1025"/>
      <c r="F1" s="1025"/>
      <c r="G1" s="1025"/>
      <c r="H1" s="1025"/>
      <c r="I1" s="1025"/>
      <c r="J1" s="1025"/>
      <c r="K1" s="1025"/>
      <c r="L1" s="1025"/>
      <c r="M1" s="1025"/>
      <c r="N1" s="1025"/>
      <c r="O1" s="1025"/>
      <c r="P1" s="1025"/>
      <c r="Q1" s="1025"/>
      <c r="R1" s="1025"/>
      <c r="S1" s="1025"/>
    </row>
    <row r="2" spans="1:19" ht="30" customHeight="1">
      <c r="A2" s="140" t="s">
        <v>100</v>
      </c>
      <c r="B2" s="140" t="s">
        <v>101</v>
      </c>
      <c r="C2" s="140" t="s">
        <v>131</v>
      </c>
      <c r="D2" s="189" t="s">
        <v>85</v>
      </c>
      <c r="E2" s="189" t="s">
        <v>86</v>
      </c>
      <c r="F2" s="189" t="s">
        <v>87</v>
      </c>
      <c r="G2" s="189" t="s">
        <v>88</v>
      </c>
      <c r="H2" s="189" t="s">
        <v>89</v>
      </c>
      <c r="I2" s="189" t="s">
        <v>90</v>
      </c>
      <c r="J2" s="189" t="s">
        <v>91</v>
      </c>
      <c r="K2" s="189" t="s">
        <v>95</v>
      </c>
      <c r="L2" s="189" t="s">
        <v>861</v>
      </c>
      <c r="M2" s="1026" t="s">
        <v>104</v>
      </c>
      <c r="N2" s="1026"/>
      <c r="O2" s="1026"/>
      <c r="P2" s="1026"/>
      <c r="Q2" s="1026"/>
      <c r="R2" s="1026"/>
      <c r="S2" s="1026"/>
    </row>
    <row r="3" spans="1:19">
      <c r="A3" s="212" t="s">
        <v>862</v>
      </c>
      <c r="B3" s="117" t="s">
        <v>863</v>
      </c>
      <c r="C3" s="117" t="s">
        <v>863</v>
      </c>
      <c r="D3" s="213">
        <v>0</v>
      </c>
      <c r="E3" s="213">
        <v>0.01</v>
      </c>
      <c r="F3" s="213">
        <v>0.01</v>
      </c>
      <c r="G3" s="213">
        <v>0</v>
      </c>
      <c r="H3" s="213">
        <v>0</v>
      </c>
      <c r="I3" s="213">
        <v>0</v>
      </c>
      <c r="J3" s="213">
        <v>0.77</v>
      </c>
      <c r="K3" s="213">
        <v>0.12</v>
      </c>
      <c r="L3" s="213">
        <v>0.09</v>
      </c>
      <c r="M3" s="1027" t="s">
        <v>864</v>
      </c>
      <c r="N3" s="1027"/>
      <c r="O3" s="1027"/>
      <c r="P3" s="1027"/>
      <c r="Q3" s="1027"/>
      <c r="R3" s="1027"/>
      <c r="S3" s="1027"/>
    </row>
    <row r="4" spans="1:19">
      <c r="A4" s="212" t="s">
        <v>865</v>
      </c>
      <c r="B4" s="117" t="s">
        <v>863</v>
      </c>
      <c r="C4" s="117" t="s">
        <v>863</v>
      </c>
      <c r="D4" s="213">
        <v>0</v>
      </c>
      <c r="E4" s="213">
        <v>0</v>
      </c>
      <c r="F4" s="213">
        <v>0</v>
      </c>
      <c r="G4" s="213">
        <v>0</v>
      </c>
      <c r="H4" s="213">
        <v>0</v>
      </c>
      <c r="I4" s="213">
        <v>0</v>
      </c>
      <c r="J4" s="213">
        <v>0.5</v>
      </c>
      <c r="K4" s="213">
        <v>0.5</v>
      </c>
      <c r="L4" s="213">
        <v>0</v>
      </c>
      <c r="M4" s="1028" t="s">
        <v>43</v>
      </c>
      <c r="N4" s="1028"/>
      <c r="O4" s="1028"/>
      <c r="P4" s="1028"/>
      <c r="Q4" s="1028"/>
      <c r="R4" s="1028"/>
      <c r="S4" s="1028"/>
    </row>
    <row r="5" spans="1:19">
      <c r="A5" s="212" t="s">
        <v>330</v>
      </c>
      <c r="B5" s="117" t="s">
        <v>863</v>
      </c>
      <c r="C5" s="117" t="s">
        <v>863</v>
      </c>
      <c r="D5" s="213">
        <v>0</v>
      </c>
      <c r="E5" s="213">
        <v>0.5</v>
      </c>
      <c r="F5" s="213">
        <v>0</v>
      </c>
      <c r="G5" s="213">
        <v>0</v>
      </c>
      <c r="H5" s="213">
        <v>0</v>
      </c>
      <c r="I5" s="213">
        <v>0</v>
      </c>
      <c r="J5" s="213">
        <v>0.5</v>
      </c>
      <c r="K5" s="213">
        <v>0</v>
      </c>
      <c r="L5" s="213">
        <v>0</v>
      </c>
      <c r="M5" s="1028" t="s">
        <v>43</v>
      </c>
      <c r="N5" s="1028"/>
      <c r="O5" s="1028"/>
      <c r="P5" s="1028"/>
      <c r="Q5" s="1028"/>
      <c r="R5" s="1028"/>
      <c r="S5" s="1028"/>
    </row>
    <row r="6" spans="1:19">
      <c r="A6" s="212" t="s">
        <v>241</v>
      </c>
      <c r="B6" s="117" t="s">
        <v>863</v>
      </c>
      <c r="C6" s="117" t="s">
        <v>863</v>
      </c>
      <c r="D6" s="213">
        <v>0</v>
      </c>
      <c r="E6" s="213">
        <v>0.5</v>
      </c>
      <c r="F6" s="213">
        <v>0</v>
      </c>
      <c r="G6" s="213">
        <v>0</v>
      </c>
      <c r="H6" s="213">
        <v>0</v>
      </c>
      <c r="I6" s="213">
        <v>0</v>
      </c>
      <c r="J6" s="213">
        <v>0.5</v>
      </c>
      <c r="K6" s="213">
        <v>0</v>
      </c>
      <c r="L6" s="213">
        <v>0</v>
      </c>
      <c r="M6" s="1028" t="s">
        <v>43</v>
      </c>
      <c r="N6" s="1028"/>
      <c r="O6" s="1028"/>
      <c r="P6" s="1028"/>
      <c r="Q6" s="1028"/>
      <c r="R6" s="1028"/>
      <c r="S6" s="1028"/>
    </row>
    <row r="7" spans="1:19">
      <c r="A7" s="212" t="s">
        <v>239</v>
      </c>
      <c r="B7" s="117" t="s">
        <v>863</v>
      </c>
      <c r="C7" s="117" t="s">
        <v>863</v>
      </c>
      <c r="D7" s="213">
        <v>0</v>
      </c>
      <c r="E7" s="213">
        <v>0</v>
      </c>
      <c r="F7" s="213">
        <v>1</v>
      </c>
      <c r="G7" s="213">
        <v>0</v>
      </c>
      <c r="H7" s="213">
        <v>0</v>
      </c>
      <c r="I7" s="213">
        <v>0</v>
      </c>
      <c r="J7" s="213">
        <v>0</v>
      </c>
      <c r="K7" s="213">
        <v>0</v>
      </c>
      <c r="L7" s="213">
        <v>0</v>
      </c>
      <c r="M7" s="1028" t="s">
        <v>43</v>
      </c>
      <c r="N7" s="1028"/>
      <c r="O7" s="1028"/>
      <c r="P7" s="1028"/>
      <c r="Q7" s="1028"/>
      <c r="R7" s="1028"/>
      <c r="S7" s="1028"/>
    </row>
    <row r="8" spans="1:19">
      <c r="A8" s="212" t="s">
        <v>240</v>
      </c>
      <c r="B8" s="117" t="s">
        <v>863</v>
      </c>
      <c r="C8" s="117" t="s">
        <v>863</v>
      </c>
      <c r="D8" s="213">
        <v>0</v>
      </c>
      <c r="E8" s="213">
        <f>1/3</f>
        <v>0.33333333333333331</v>
      </c>
      <c r="F8" s="213">
        <f>1/3</f>
        <v>0.33333333333333331</v>
      </c>
      <c r="G8" s="213">
        <v>0</v>
      </c>
      <c r="H8" s="213">
        <v>0</v>
      </c>
      <c r="I8" s="213">
        <v>0</v>
      </c>
      <c r="J8" s="213">
        <f>1/3</f>
        <v>0.33333333333333331</v>
      </c>
      <c r="K8" s="213">
        <v>0</v>
      </c>
      <c r="L8" s="213">
        <v>0</v>
      </c>
      <c r="M8" s="1028" t="s">
        <v>43</v>
      </c>
      <c r="N8" s="1028"/>
      <c r="O8" s="1028"/>
      <c r="P8" s="1028"/>
      <c r="Q8" s="1028"/>
      <c r="R8" s="1028"/>
      <c r="S8" s="1028"/>
    </row>
    <row r="9" spans="1:19">
      <c r="A9" s="212" t="s">
        <v>191</v>
      </c>
      <c r="B9" s="117" t="s">
        <v>863</v>
      </c>
      <c r="C9" s="117" t="s">
        <v>863</v>
      </c>
      <c r="D9" s="213">
        <v>0</v>
      </c>
      <c r="E9" s="213">
        <v>0.01</v>
      </c>
      <c r="F9" s="213">
        <v>0.01</v>
      </c>
      <c r="G9" s="213">
        <v>0</v>
      </c>
      <c r="H9" s="213">
        <v>0</v>
      </c>
      <c r="I9" s="213">
        <v>0</v>
      </c>
      <c r="J9" s="213">
        <v>0.77</v>
      </c>
      <c r="K9" s="213">
        <v>0.12</v>
      </c>
      <c r="L9" s="213">
        <v>0.09</v>
      </c>
      <c r="M9" s="1027" t="s">
        <v>864</v>
      </c>
      <c r="N9" s="1027"/>
      <c r="O9" s="1027"/>
      <c r="P9" s="1027"/>
      <c r="Q9" s="1027"/>
      <c r="R9" s="1027"/>
      <c r="S9" s="1027"/>
    </row>
    <row r="10" spans="1:19">
      <c r="A10" s="212" t="s">
        <v>349</v>
      </c>
      <c r="B10" s="117" t="s">
        <v>863</v>
      </c>
      <c r="C10" s="117" t="s">
        <v>863</v>
      </c>
      <c r="D10" s="213">
        <v>0</v>
      </c>
      <c r="E10" s="213">
        <v>0</v>
      </c>
      <c r="F10" s="213">
        <v>0.2</v>
      </c>
      <c r="G10" s="213">
        <v>0</v>
      </c>
      <c r="H10" s="213">
        <v>0</v>
      </c>
      <c r="I10" s="213">
        <v>0</v>
      </c>
      <c r="J10" s="213">
        <v>0.25</v>
      </c>
      <c r="K10" s="213">
        <v>0.5</v>
      </c>
      <c r="L10" s="213">
        <v>0.05</v>
      </c>
      <c r="M10" s="1027" t="s">
        <v>866</v>
      </c>
      <c r="N10" s="1027"/>
      <c r="O10" s="1027"/>
      <c r="P10" s="1027"/>
      <c r="Q10" s="1027"/>
      <c r="R10" s="1027"/>
      <c r="S10" s="1027"/>
    </row>
    <row r="11" spans="1:19">
      <c r="A11" s="212" t="s">
        <v>339</v>
      </c>
      <c r="B11" s="117" t="s">
        <v>863</v>
      </c>
      <c r="C11" s="117" t="s">
        <v>863</v>
      </c>
      <c r="D11" s="213">
        <v>0</v>
      </c>
      <c r="E11" s="213">
        <v>0</v>
      </c>
      <c r="F11" s="213">
        <v>0.25</v>
      </c>
      <c r="G11" s="213">
        <v>0</v>
      </c>
      <c r="H11" s="213">
        <v>0</v>
      </c>
      <c r="I11" s="213">
        <v>0</v>
      </c>
      <c r="J11" s="213">
        <v>0.25</v>
      </c>
      <c r="K11" s="213">
        <v>0.25</v>
      </c>
      <c r="L11" s="213">
        <v>0.25</v>
      </c>
      <c r="M11" s="1028" t="s">
        <v>867</v>
      </c>
      <c r="N11" s="1028"/>
      <c r="O11" s="1028"/>
      <c r="P11" s="1028"/>
      <c r="Q11" s="1028"/>
      <c r="R11" s="1028"/>
      <c r="S11" s="1028"/>
    </row>
    <row r="12" spans="1:19">
      <c r="A12" s="212" t="s">
        <v>868</v>
      </c>
      <c r="B12" s="117" t="s">
        <v>863</v>
      </c>
      <c r="C12" s="117" t="s">
        <v>863</v>
      </c>
      <c r="D12" s="213">
        <v>0</v>
      </c>
      <c r="E12" s="213">
        <v>0</v>
      </c>
      <c r="F12" s="213">
        <f>1/3</f>
        <v>0.33333333333333331</v>
      </c>
      <c r="G12" s="213">
        <v>0</v>
      </c>
      <c r="H12" s="213">
        <v>0</v>
      </c>
      <c r="I12" s="213">
        <v>0</v>
      </c>
      <c r="J12" s="213">
        <f>1/3</f>
        <v>0.33333333333333331</v>
      </c>
      <c r="K12" s="213">
        <f>1/3</f>
        <v>0.33333333333333331</v>
      </c>
      <c r="L12" s="213">
        <v>0</v>
      </c>
      <c r="M12" s="1028" t="s">
        <v>43</v>
      </c>
      <c r="N12" s="1028"/>
      <c r="O12" s="1028"/>
      <c r="P12" s="1028"/>
      <c r="Q12" s="1028"/>
      <c r="R12" s="1028"/>
      <c r="S12" s="1028"/>
    </row>
    <row r="13" spans="1:19">
      <c r="A13" s="212" t="s">
        <v>341</v>
      </c>
      <c r="B13" s="117" t="s">
        <v>863</v>
      </c>
      <c r="C13" s="117" t="s">
        <v>863</v>
      </c>
      <c r="D13" s="213">
        <v>0</v>
      </c>
      <c r="E13" s="213">
        <v>0</v>
      </c>
      <c r="F13" s="213">
        <f>1/3</f>
        <v>0.33333333333333331</v>
      </c>
      <c r="G13" s="213">
        <v>0</v>
      </c>
      <c r="H13" s="213">
        <v>0</v>
      </c>
      <c r="I13" s="213">
        <v>0</v>
      </c>
      <c r="J13" s="213">
        <f>1/3</f>
        <v>0.33333333333333331</v>
      </c>
      <c r="K13" s="213">
        <f>1/3</f>
        <v>0.33333333333333331</v>
      </c>
      <c r="L13" s="213">
        <v>0</v>
      </c>
      <c r="M13" s="1028" t="s">
        <v>43</v>
      </c>
      <c r="N13" s="1028"/>
      <c r="O13" s="1028"/>
      <c r="P13" s="1028"/>
      <c r="Q13" s="1028"/>
      <c r="R13" s="1028"/>
      <c r="S13" s="1028"/>
    </row>
    <row r="14" spans="1:19">
      <c r="A14" s="212" t="s">
        <v>869</v>
      </c>
      <c r="B14" s="117" t="s">
        <v>863</v>
      </c>
      <c r="C14" s="117" t="s">
        <v>863</v>
      </c>
      <c r="D14" s="213">
        <v>0</v>
      </c>
      <c r="E14" s="213">
        <v>0.02</v>
      </c>
      <c r="F14" s="213">
        <v>0.92</v>
      </c>
      <c r="G14" s="213">
        <v>0</v>
      </c>
      <c r="H14" s="213">
        <v>0</v>
      </c>
      <c r="I14" s="213">
        <v>0</v>
      </c>
      <c r="J14" s="213">
        <v>0.05</v>
      </c>
      <c r="K14" s="213">
        <v>0.01</v>
      </c>
      <c r="L14" s="213">
        <v>0</v>
      </c>
      <c r="M14" s="1028" t="s">
        <v>870</v>
      </c>
      <c r="N14" s="1028"/>
      <c r="O14" s="1028"/>
      <c r="P14" s="1028"/>
      <c r="Q14" s="1028"/>
      <c r="R14" s="1028"/>
      <c r="S14" s="1028"/>
    </row>
    <row r="15" spans="1:19">
      <c r="A15" s="212" t="s">
        <v>871</v>
      </c>
      <c r="B15" s="117" t="s">
        <v>863</v>
      </c>
      <c r="C15" s="117" t="s">
        <v>863</v>
      </c>
      <c r="D15" s="213">
        <v>0</v>
      </c>
      <c r="E15" s="213">
        <v>0</v>
      </c>
      <c r="F15" s="213">
        <f>1/3</f>
        <v>0.33333333333333331</v>
      </c>
      <c r="G15" s="213">
        <v>0</v>
      </c>
      <c r="H15" s="213">
        <v>0</v>
      </c>
      <c r="I15" s="213">
        <v>0</v>
      </c>
      <c r="J15" s="213">
        <f>1/3</f>
        <v>0.33333333333333331</v>
      </c>
      <c r="K15" s="213">
        <f>1/3</f>
        <v>0.33333333333333331</v>
      </c>
      <c r="L15" s="213">
        <v>0</v>
      </c>
      <c r="M15" s="1028" t="s">
        <v>43</v>
      </c>
      <c r="N15" s="1028"/>
      <c r="O15" s="1028"/>
      <c r="P15" s="1028"/>
      <c r="Q15" s="1028"/>
      <c r="R15" s="1028"/>
      <c r="S15" s="1028"/>
    </row>
    <row r="16" spans="1:19">
      <c r="A16" s="212" t="s">
        <v>238</v>
      </c>
      <c r="B16" s="117" t="s">
        <v>863</v>
      </c>
      <c r="C16" s="117" t="s">
        <v>863</v>
      </c>
      <c r="D16" s="213">
        <v>0</v>
      </c>
      <c r="E16" s="213">
        <v>0</v>
      </c>
      <c r="F16" s="213">
        <f>1/3</f>
        <v>0.33333333333333331</v>
      </c>
      <c r="G16" s="213">
        <v>0</v>
      </c>
      <c r="H16" s="213">
        <v>0</v>
      </c>
      <c r="I16" s="213">
        <v>0</v>
      </c>
      <c r="J16" s="213">
        <f>1/3</f>
        <v>0.33333333333333331</v>
      </c>
      <c r="K16" s="213">
        <f>1/3</f>
        <v>0.33333333333333331</v>
      </c>
      <c r="L16" s="213">
        <v>0</v>
      </c>
      <c r="M16" s="1028" t="s">
        <v>43</v>
      </c>
      <c r="N16" s="1028"/>
      <c r="O16" s="1028"/>
      <c r="P16" s="1028"/>
      <c r="Q16" s="1028"/>
      <c r="R16" s="1028"/>
      <c r="S16" s="1028"/>
    </row>
    <row r="17" spans="1:19">
      <c r="A17" s="212" t="s">
        <v>872</v>
      </c>
      <c r="B17" s="117" t="s">
        <v>863</v>
      </c>
      <c r="C17" s="117" t="s">
        <v>863</v>
      </c>
      <c r="D17" s="213">
        <v>0</v>
      </c>
      <c r="E17" s="213">
        <v>0</v>
      </c>
      <c r="F17" s="213">
        <v>0</v>
      </c>
      <c r="G17" s="213">
        <v>0</v>
      </c>
      <c r="H17" s="213">
        <v>0</v>
      </c>
      <c r="I17" s="213">
        <v>1</v>
      </c>
      <c r="J17" s="213">
        <v>0</v>
      </c>
      <c r="K17" s="213">
        <v>0</v>
      </c>
      <c r="L17" s="213">
        <v>0</v>
      </c>
      <c r="M17" s="1028" t="s">
        <v>43</v>
      </c>
      <c r="N17" s="1028"/>
      <c r="O17" s="1028"/>
      <c r="P17" s="1028"/>
      <c r="Q17" s="1028"/>
      <c r="R17" s="1028"/>
      <c r="S17" s="1028"/>
    </row>
    <row r="19" spans="1:19" s="6" customFormat="1" ht="30" customHeight="1">
      <c r="A19" s="1024" t="s">
        <v>746</v>
      </c>
      <c r="B19" s="1025"/>
      <c r="C19" s="1025"/>
      <c r="D19" s="1025"/>
      <c r="E19" s="1025"/>
      <c r="F19" s="1025"/>
      <c r="G19" s="1025"/>
      <c r="H19" s="1025"/>
      <c r="I19" s="1025"/>
      <c r="J19" s="1025"/>
      <c r="K19" s="1025"/>
      <c r="L19" s="1025"/>
      <c r="M19" s="1025"/>
      <c r="N19" s="1025"/>
      <c r="O19" s="1025"/>
      <c r="P19" s="1025"/>
      <c r="Q19" s="1025"/>
      <c r="R19" s="1025"/>
      <c r="S19" s="1025"/>
    </row>
    <row r="20" spans="1:19" ht="30" customHeight="1">
      <c r="A20" s="140" t="s">
        <v>100</v>
      </c>
      <c r="B20" s="140" t="s">
        <v>101</v>
      </c>
      <c r="C20" s="140" t="s">
        <v>131</v>
      </c>
      <c r="D20" s="140" t="s">
        <v>873</v>
      </c>
      <c r="E20" s="1026" t="s">
        <v>874</v>
      </c>
      <c r="F20" s="1026"/>
      <c r="G20" s="1030" t="s">
        <v>104</v>
      </c>
      <c r="H20" s="1031"/>
      <c r="I20" s="1026" t="s">
        <v>875</v>
      </c>
      <c r="J20" s="1026"/>
      <c r="K20" s="1026" t="s">
        <v>123</v>
      </c>
      <c r="L20" s="1026"/>
      <c r="M20" s="1026"/>
      <c r="N20" s="1026"/>
      <c r="O20" s="1026"/>
      <c r="P20" s="1026"/>
      <c r="Q20" s="1026"/>
      <c r="R20" s="1026"/>
      <c r="S20" s="1026"/>
    </row>
    <row r="21" spans="1:19">
      <c r="A21" s="212" t="s">
        <v>862</v>
      </c>
      <c r="B21" s="307">
        <v>2019</v>
      </c>
      <c r="C21" s="117" t="s">
        <v>180</v>
      </c>
      <c r="D21" s="183">
        <v>29.57</v>
      </c>
      <c r="E21" s="1029">
        <f>D21/$D$36</f>
        <v>7.2653562653562653E-2</v>
      </c>
      <c r="F21" s="1029"/>
      <c r="G21" s="1032" t="s">
        <v>876</v>
      </c>
      <c r="H21" s="1032"/>
      <c r="I21" s="1033"/>
      <c r="J21" s="1033"/>
      <c r="K21" s="1033"/>
      <c r="L21" s="1033"/>
      <c r="M21" s="1033"/>
      <c r="N21" s="1033"/>
      <c r="O21" s="1033"/>
      <c r="P21" s="1033"/>
      <c r="Q21" s="1033"/>
      <c r="R21" s="1033"/>
      <c r="S21" s="1033"/>
    </row>
    <row r="22" spans="1:19">
      <c r="A22" s="212" t="s">
        <v>865</v>
      </c>
      <c r="B22" s="307">
        <v>2017</v>
      </c>
      <c r="C22" s="117" t="s">
        <v>180</v>
      </c>
      <c r="D22" s="183">
        <v>1.63</v>
      </c>
      <c r="E22" s="1029">
        <f t="shared" ref="E22:E35" si="0">D22/$D$36</f>
        <v>4.004914004914005E-3</v>
      </c>
      <c r="F22" s="1029"/>
      <c r="G22" s="1032" t="s">
        <v>43</v>
      </c>
      <c r="H22" s="1032"/>
      <c r="I22" s="1033"/>
      <c r="J22" s="1033"/>
      <c r="K22" s="1033"/>
      <c r="L22" s="1033"/>
      <c r="M22" s="1033"/>
      <c r="N22" s="1033"/>
      <c r="O22" s="1033"/>
      <c r="P22" s="1033"/>
      <c r="Q22" s="1033"/>
      <c r="R22" s="1033"/>
      <c r="S22" s="1033"/>
    </row>
    <row r="23" spans="1:19">
      <c r="A23" s="212" t="s">
        <v>330</v>
      </c>
      <c r="B23" s="307">
        <v>2017</v>
      </c>
      <c r="C23" s="117" t="s">
        <v>180</v>
      </c>
      <c r="D23" s="183">
        <v>5.7</v>
      </c>
      <c r="E23" s="1029">
        <f t="shared" si="0"/>
        <v>1.4004914004914005E-2</v>
      </c>
      <c r="F23" s="1029"/>
      <c r="G23" s="1032" t="s">
        <v>43</v>
      </c>
      <c r="H23" s="1032"/>
      <c r="I23" s="1033"/>
      <c r="J23" s="1033"/>
      <c r="K23" s="1033"/>
      <c r="L23" s="1033"/>
      <c r="M23" s="1033"/>
      <c r="N23" s="1033"/>
      <c r="O23" s="1033"/>
      <c r="P23" s="1033"/>
      <c r="Q23" s="1033"/>
      <c r="R23" s="1033"/>
      <c r="S23" s="1033"/>
    </row>
    <row r="24" spans="1:19">
      <c r="A24" s="212" t="s">
        <v>241</v>
      </c>
      <c r="B24" s="307">
        <v>2017</v>
      </c>
      <c r="C24" s="117" t="s">
        <v>180</v>
      </c>
      <c r="D24" s="183">
        <v>1.22</v>
      </c>
      <c r="E24" s="1029">
        <f t="shared" si="0"/>
        <v>2.9975429975429976E-3</v>
      </c>
      <c r="F24" s="1029"/>
      <c r="G24" s="1032" t="s">
        <v>43</v>
      </c>
      <c r="H24" s="1032"/>
      <c r="I24" s="1033"/>
      <c r="J24" s="1033"/>
      <c r="K24" s="1033"/>
      <c r="L24" s="1033"/>
      <c r="M24" s="1033"/>
      <c r="N24" s="1033"/>
      <c r="O24" s="1033"/>
      <c r="P24" s="1033"/>
      <c r="Q24" s="1033"/>
      <c r="R24" s="1033"/>
      <c r="S24" s="1033"/>
    </row>
    <row r="25" spans="1:19">
      <c r="A25" s="212" t="s">
        <v>239</v>
      </c>
      <c r="B25" s="307">
        <v>2017</v>
      </c>
      <c r="C25" s="117" t="s">
        <v>180</v>
      </c>
      <c r="D25" s="183">
        <v>0.41</v>
      </c>
      <c r="E25" s="1029">
        <f t="shared" si="0"/>
        <v>1.0073710073710074E-3</v>
      </c>
      <c r="F25" s="1029"/>
      <c r="G25" s="1032" t="s">
        <v>43</v>
      </c>
      <c r="H25" s="1032"/>
      <c r="I25" s="1033"/>
      <c r="J25" s="1033"/>
      <c r="K25" s="1033"/>
      <c r="L25" s="1033"/>
      <c r="M25" s="1033"/>
      <c r="N25" s="1033"/>
      <c r="O25" s="1033"/>
      <c r="P25" s="1033"/>
      <c r="Q25" s="1033"/>
      <c r="R25" s="1033"/>
      <c r="S25" s="1033"/>
    </row>
    <row r="26" spans="1:19">
      <c r="A26" s="212" t="s">
        <v>240</v>
      </c>
      <c r="B26" s="307">
        <v>2017</v>
      </c>
      <c r="C26" s="117" t="s">
        <v>180</v>
      </c>
      <c r="D26" s="183">
        <v>10.58</v>
      </c>
      <c r="E26" s="1029">
        <f t="shared" si="0"/>
        <v>2.5995085995085994E-2</v>
      </c>
      <c r="F26" s="1029"/>
      <c r="G26" s="1032" t="s">
        <v>43</v>
      </c>
      <c r="H26" s="1032"/>
      <c r="I26" s="1033"/>
      <c r="J26" s="1033"/>
      <c r="K26" s="1033"/>
      <c r="L26" s="1033"/>
      <c r="M26" s="1033"/>
      <c r="N26" s="1033"/>
      <c r="O26" s="1033"/>
      <c r="P26" s="1033"/>
      <c r="Q26" s="1033"/>
      <c r="R26" s="1033"/>
      <c r="S26" s="1033"/>
    </row>
    <row r="27" spans="1:19">
      <c r="A27" s="212" t="s">
        <v>191</v>
      </c>
      <c r="B27" s="307">
        <v>2019</v>
      </c>
      <c r="C27" s="117" t="s">
        <v>180</v>
      </c>
      <c r="D27" s="183">
        <v>28.97</v>
      </c>
      <c r="E27" s="1029">
        <f t="shared" si="0"/>
        <v>7.1179361179361175E-2</v>
      </c>
      <c r="F27" s="1029"/>
      <c r="G27" s="1032" t="s">
        <v>876</v>
      </c>
      <c r="H27" s="1032"/>
      <c r="I27" s="1033"/>
      <c r="J27" s="1033"/>
      <c r="K27" s="1033"/>
      <c r="L27" s="1033"/>
      <c r="M27" s="1033"/>
      <c r="N27" s="1033"/>
      <c r="O27" s="1033"/>
      <c r="P27" s="1033"/>
      <c r="Q27" s="1033"/>
      <c r="R27" s="1033"/>
      <c r="S27" s="1033"/>
    </row>
    <row r="28" spans="1:19">
      <c r="A28" s="212" t="s">
        <v>349</v>
      </c>
      <c r="B28" s="307">
        <v>2019</v>
      </c>
      <c r="C28" s="117" t="s">
        <v>180</v>
      </c>
      <c r="D28" s="183">
        <v>108.41</v>
      </c>
      <c r="E28" s="1029">
        <f t="shared" si="0"/>
        <v>0.26636363636363636</v>
      </c>
      <c r="F28" s="1029"/>
      <c r="G28" s="1032" t="s">
        <v>876</v>
      </c>
      <c r="H28" s="1032"/>
      <c r="I28" s="1033"/>
      <c r="J28" s="1033"/>
      <c r="K28" s="1033"/>
      <c r="L28" s="1033"/>
      <c r="M28" s="1033"/>
      <c r="N28" s="1033"/>
      <c r="O28" s="1033"/>
      <c r="P28" s="1033"/>
      <c r="Q28" s="1033"/>
      <c r="R28" s="1033"/>
      <c r="S28" s="1033"/>
    </row>
    <row r="29" spans="1:19">
      <c r="A29" s="212" t="s">
        <v>339</v>
      </c>
      <c r="B29" s="117">
        <v>2017</v>
      </c>
      <c r="C29" s="117" t="s">
        <v>180</v>
      </c>
      <c r="D29" s="183">
        <v>56.98</v>
      </c>
      <c r="E29" s="1029">
        <f>D29/$D$36</f>
        <v>0.13999999999999999</v>
      </c>
      <c r="F29" s="1029"/>
      <c r="G29" s="1032" t="s">
        <v>43</v>
      </c>
      <c r="H29" s="1032"/>
      <c r="I29" s="1033"/>
      <c r="J29" s="1033"/>
      <c r="K29" s="1033"/>
      <c r="L29" s="1033"/>
      <c r="M29" s="1033"/>
      <c r="N29" s="1033"/>
      <c r="O29" s="1033"/>
      <c r="P29" s="1033"/>
      <c r="Q29" s="1033"/>
      <c r="R29" s="1033"/>
      <c r="S29" s="1033"/>
    </row>
    <row r="30" spans="1:19">
      <c r="A30" s="212" t="s">
        <v>868</v>
      </c>
      <c r="B30" s="117">
        <v>2017</v>
      </c>
      <c r="C30" s="117" t="s">
        <v>180</v>
      </c>
      <c r="D30" s="183">
        <v>40.29</v>
      </c>
      <c r="E30" s="1029">
        <f t="shared" si="0"/>
        <v>9.8992628992628992E-2</v>
      </c>
      <c r="F30" s="1029"/>
      <c r="G30" s="1032" t="s">
        <v>43</v>
      </c>
      <c r="H30" s="1032"/>
      <c r="I30" s="1033"/>
      <c r="J30" s="1033"/>
      <c r="K30" s="1033"/>
      <c r="L30" s="1033"/>
      <c r="M30" s="1033"/>
      <c r="N30" s="1033"/>
      <c r="O30" s="1033"/>
      <c r="P30" s="1033"/>
      <c r="Q30" s="1033"/>
      <c r="R30" s="1033"/>
      <c r="S30" s="1033"/>
    </row>
    <row r="31" spans="1:19">
      <c r="A31" s="212" t="s">
        <v>341</v>
      </c>
      <c r="B31" s="117">
        <v>2017</v>
      </c>
      <c r="C31" s="117" t="s">
        <v>180</v>
      </c>
      <c r="D31" s="183">
        <v>47.62</v>
      </c>
      <c r="E31" s="1029">
        <f t="shared" si="0"/>
        <v>0.117002457002457</v>
      </c>
      <c r="F31" s="1029"/>
      <c r="G31" s="1032" t="s">
        <v>43</v>
      </c>
      <c r="H31" s="1032"/>
      <c r="I31" s="1033"/>
      <c r="J31" s="1033"/>
      <c r="K31" s="1033"/>
      <c r="L31" s="1033"/>
      <c r="M31" s="1033"/>
      <c r="N31" s="1033"/>
      <c r="O31" s="1033"/>
      <c r="P31" s="1033"/>
      <c r="Q31" s="1033"/>
      <c r="R31" s="1033"/>
      <c r="S31" s="1033"/>
    </row>
    <row r="32" spans="1:19">
      <c r="A32" s="212" t="s">
        <v>869</v>
      </c>
      <c r="B32" s="117">
        <v>2022</v>
      </c>
      <c r="C32" s="117" t="s">
        <v>180</v>
      </c>
      <c r="D32" s="183">
        <v>11.4</v>
      </c>
      <c r="E32" s="1029">
        <f t="shared" si="0"/>
        <v>2.800982800982801E-2</v>
      </c>
      <c r="F32" s="1029"/>
      <c r="G32" s="1032" t="s">
        <v>877</v>
      </c>
      <c r="H32" s="1032"/>
      <c r="I32" s="1033"/>
      <c r="J32" s="1033"/>
      <c r="K32" s="1033"/>
      <c r="L32" s="1033"/>
      <c r="M32" s="1033"/>
      <c r="N32" s="1033"/>
      <c r="O32" s="1033"/>
      <c r="P32" s="1033"/>
      <c r="Q32" s="1033"/>
      <c r="R32" s="1033"/>
      <c r="S32" s="1033"/>
    </row>
    <row r="33" spans="1:32">
      <c r="A33" s="212" t="s">
        <v>871</v>
      </c>
      <c r="B33" s="117">
        <v>2017</v>
      </c>
      <c r="C33" s="117" t="s">
        <v>180</v>
      </c>
      <c r="D33" s="183">
        <v>15.06</v>
      </c>
      <c r="E33" s="1029">
        <f t="shared" si="0"/>
        <v>3.7002457002457002E-2</v>
      </c>
      <c r="F33" s="1029"/>
      <c r="G33" s="1032" t="s">
        <v>43</v>
      </c>
      <c r="H33" s="1032"/>
      <c r="I33" s="1033"/>
      <c r="J33" s="1033"/>
      <c r="K33" s="1033"/>
      <c r="L33" s="1033"/>
      <c r="M33" s="1033"/>
      <c r="N33" s="1033"/>
      <c r="O33" s="1033"/>
      <c r="P33" s="1033"/>
      <c r="Q33" s="1033"/>
      <c r="R33" s="1033"/>
      <c r="S33" s="1033"/>
    </row>
    <row r="34" spans="1:32">
      <c r="A34" s="212" t="s">
        <v>238</v>
      </c>
      <c r="B34" s="117">
        <v>2017</v>
      </c>
      <c r="C34" s="117" t="s">
        <v>180</v>
      </c>
      <c r="D34" s="183">
        <f>D36-(SUM(D21:D33,D35))</f>
        <v>38.980000000000018</v>
      </c>
      <c r="E34" s="1029">
        <f t="shared" si="0"/>
        <v>9.5773955773955824E-2</v>
      </c>
      <c r="F34" s="1029"/>
      <c r="G34" s="1032"/>
      <c r="H34" s="1032"/>
      <c r="I34" s="1033"/>
      <c r="J34" s="1033"/>
      <c r="K34" s="1033" t="s">
        <v>878</v>
      </c>
      <c r="L34" s="1033"/>
      <c r="M34" s="1033"/>
      <c r="N34" s="1033"/>
      <c r="O34" s="1033"/>
      <c r="P34" s="1033"/>
      <c r="Q34" s="1033"/>
      <c r="R34" s="1033"/>
      <c r="S34" s="1033"/>
    </row>
    <row r="35" spans="1:32">
      <c r="A35" s="212" t="s">
        <v>872</v>
      </c>
      <c r="B35" s="117">
        <v>2017</v>
      </c>
      <c r="C35" s="117" t="s">
        <v>180</v>
      </c>
      <c r="D35" s="183">
        <v>10.18</v>
      </c>
      <c r="E35" s="1029">
        <f t="shared" si="0"/>
        <v>2.5012285012285012E-2</v>
      </c>
      <c r="F35" s="1029"/>
      <c r="G35" s="1032" t="s">
        <v>43</v>
      </c>
      <c r="H35" s="1032"/>
      <c r="I35" s="1033"/>
      <c r="J35" s="1033"/>
      <c r="K35" s="1033"/>
      <c r="L35" s="1033"/>
      <c r="M35" s="1033"/>
      <c r="N35" s="1033"/>
      <c r="O35" s="1033"/>
      <c r="P35" s="1033"/>
      <c r="Q35" s="1033"/>
      <c r="R35" s="1033"/>
      <c r="S35" s="1033"/>
    </row>
    <row r="36" spans="1:32">
      <c r="A36" s="138" t="s">
        <v>879</v>
      </c>
      <c r="B36" s="127">
        <v>2017</v>
      </c>
      <c r="C36" s="127" t="s">
        <v>180</v>
      </c>
      <c r="D36" s="137">
        <v>407</v>
      </c>
      <c r="E36" s="1034">
        <f>SUM(E21:E35)</f>
        <v>1</v>
      </c>
      <c r="F36" s="1034"/>
      <c r="G36" s="1032"/>
      <c r="H36" s="1032"/>
      <c r="I36" s="1033"/>
      <c r="J36" s="1033"/>
      <c r="K36" s="1033"/>
      <c r="L36" s="1033"/>
      <c r="M36" s="1033"/>
      <c r="N36" s="1033"/>
      <c r="O36" s="1033"/>
      <c r="P36" s="1033"/>
      <c r="Q36" s="1033"/>
      <c r="R36" s="1033"/>
      <c r="S36" s="1033"/>
    </row>
    <row r="38" spans="1:32" ht="30" customHeight="1">
      <c r="A38" s="140" t="s">
        <v>880</v>
      </c>
      <c r="B38" s="140" t="s">
        <v>101</v>
      </c>
      <c r="C38" s="140" t="s">
        <v>131</v>
      </c>
      <c r="D38" s="189" t="s">
        <v>881</v>
      </c>
      <c r="E38" s="189" t="s">
        <v>882</v>
      </c>
      <c r="F38" s="189" t="s">
        <v>883</v>
      </c>
      <c r="G38" s="189" t="s">
        <v>884</v>
      </c>
      <c r="H38" s="189" t="s">
        <v>885</v>
      </c>
      <c r="I38" s="189" t="s">
        <v>886</v>
      </c>
      <c r="J38" s="189" t="s">
        <v>887</v>
      </c>
      <c r="K38" s="189" t="s">
        <v>888</v>
      </c>
      <c r="L38" s="189" t="s">
        <v>889</v>
      </c>
      <c r="M38" s="1026" t="s">
        <v>123</v>
      </c>
      <c r="N38" s="1026"/>
      <c r="O38" s="1026"/>
      <c r="P38" s="1026"/>
      <c r="Q38" s="1026"/>
      <c r="R38" s="1026"/>
      <c r="S38" s="1026"/>
    </row>
    <row r="39" spans="1:32">
      <c r="A39" s="212" t="s">
        <v>108</v>
      </c>
      <c r="B39" s="117">
        <v>2019</v>
      </c>
      <c r="C39" s="117" t="s">
        <v>180</v>
      </c>
      <c r="D39" s="183">
        <f>$D21*D3</f>
        <v>0</v>
      </c>
      <c r="E39" s="183">
        <f>$D21*E3</f>
        <v>0.29570000000000002</v>
      </c>
      <c r="F39" s="183">
        <f>$D21*F3</f>
        <v>0.29570000000000002</v>
      </c>
      <c r="G39" s="183">
        <f>D21*G3</f>
        <v>0</v>
      </c>
      <c r="H39" s="183">
        <f>D21*H3</f>
        <v>0</v>
      </c>
      <c r="I39" s="183">
        <f>D21*I3</f>
        <v>0</v>
      </c>
      <c r="J39" s="183">
        <f>D21*J3</f>
        <v>22.768900000000002</v>
      </c>
      <c r="K39" s="183">
        <f>D21*K3</f>
        <v>3.5484</v>
      </c>
      <c r="L39" s="183">
        <f>D21*L3</f>
        <v>2.6612999999999998</v>
      </c>
      <c r="M39" s="1023" t="s">
        <v>890</v>
      </c>
      <c r="N39" s="1023"/>
      <c r="O39" s="1023"/>
      <c r="P39" s="1023"/>
      <c r="Q39" s="1023"/>
      <c r="R39" s="1023"/>
      <c r="S39" s="1023"/>
    </row>
    <row r="40" spans="1:32">
      <c r="A40" s="212" t="s">
        <v>112</v>
      </c>
      <c r="B40" s="117">
        <v>2017</v>
      </c>
      <c r="C40" s="117" t="s">
        <v>180</v>
      </c>
      <c r="D40" s="183">
        <f t="shared" ref="D40:L40" si="1">$D22*D4+$D23*D5+$D24*D6+$D25*D7+$D26*D8+$D27*D9</f>
        <v>0</v>
      </c>
      <c r="E40" s="183">
        <f t="shared" si="1"/>
        <v>7.2763666666666662</v>
      </c>
      <c r="F40" s="183">
        <f t="shared" si="1"/>
        <v>4.2263666666666664</v>
      </c>
      <c r="G40" s="183">
        <f t="shared" si="1"/>
        <v>0</v>
      </c>
      <c r="H40" s="183">
        <f t="shared" si="1"/>
        <v>0</v>
      </c>
      <c r="I40" s="183">
        <f t="shared" si="1"/>
        <v>0</v>
      </c>
      <c r="J40" s="183">
        <f t="shared" si="1"/>
        <v>30.108566666666665</v>
      </c>
      <c r="K40" s="183">
        <f t="shared" si="1"/>
        <v>4.2913999999999994</v>
      </c>
      <c r="L40" s="183">
        <f t="shared" si="1"/>
        <v>2.6073</v>
      </c>
      <c r="M40" s="1041" t="s">
        <v>891</v>
      </c>
      <c r="N40" s="1042"/>
      <c r="O40" s="1042"/>
      <c r="P40" s="1042"/>
      <c r="Q40" s="1042"/>
      <c r="R40" s="1042"/>
      <c r="S40" s="1043"/>
    </row>
    <row r="41" spans="1:32">
      <c r="A41" s="212" t="s">
        <v>121</v>
      </c>
      <c r="B41" s="117">
        <v>2017</v>
      </c>
      <c r="C41" s="117" t="s">
        <v>180</v>
      </c>
      <c r="D41" s="183">
        <f t="shared" ref="D41:L41" si="2">$D28*D10+$D29*D11+$D30*D12+$D31*D13+$D32*D14+$D33*D15+$D34*D16+$D35*D17</f>
        <v>0</v>
      </c>
      <c r="E41" s="183">
        <f t="shared" si="2"/>
        <v>0.22800000000000001</v>
      </c>
      <c r="F41" s="183">
        <f>$D28*F10+$D29*F11+$D30*F12+$D31*F13+$D32*F14+$D33*F15+$D34*F16+$D35*F17</f>
        <v>93.731666666666669</v>
      </c>
      <c r="G41" s="183">
        <f t="shared" si="2"/>
        <v>0</v>
      </c>
      <c r="H41" s="183">
        <f t="shared" si="2"/>
        <v>0</v>
      </c>
      <c r="I41" s="183">
        <f t="shared" si="2"/>
        <v>10.18</v>
      </c>
      <c r="J41" s="183">
        <f t="shared" si="2"/>
        <v>89.234166666666653</v>
      </c>
      <c r="K41" s="183">
        <f t="shared" si="2"/>
        <v>115.88066666666667</v>
      </c>
      <c r="L41" s="183">
        <f t="shared" si="2"/>
        <v>19.665500000000002</v>
      </c>
      <c r="M41" s="1041" t="s">
        <v>892</v>
      </c>
      <c r="N41" s="1042"/>
      <c r="O41" s="1042"/>
      <c r="P41" s="1042"/>
      <c r="Q41" s="1042"/>
      <c r="R41" s="1042"/>
      <c r="S41" s="1043"/>
    </row>
    <row r="42" spans="1:32">
      <c r="A42" s="1040" t="s">
        <v>893</v>
      </c>
      <c r="B42" s="1040"/>
      <c r="C42" s="1040"/>
      <c r="D42" s="1040"/>
      <c r="E42" s="1040"/>
      <c r="F42" s="1040"/>
      <c r="G42" s="1040"/>
      <c r="H42" s="1040"/>
      <c r="I42" s="1040"/>
      <c r="J42" s="1040"/>
      <c r="K42" s="1040"/>
      <c r="L42" s="1040"/>
      <c r="M42" s="1040"/>
      <c r="N42" s="1040"/>
      <c r="O42" s="1040"/>
      <c r="P42" s="1040"/>
      <c r="Q42" s="1040"/>
      <c r="R42" s="1040"/>
      <c r="S42" s="1040"/>
      <c r="AD42" s="6"/>
      <c r="AE42" s="6"/>
      <c r="AF42" s="6"/>
    </row>
    <row r="43" spans="1:32" ht="30" customHeight="1">
      <c r="A43" s="214"/>
      <c r="B43" s="140" t="s">
        <v>101</v>
      </c>
      <c r="C43" s="140" t="s">
        <v>131</v>
      </c>
      <c r="D43" s="1030" t="s">
        <v>894</v>
      </c>
      <c r="E43" s="1031"/>
      <c r="F43" s="1047"/>
      <c r="G43" s="1030" t="s">
        <v>895</v>
      </c>
      <c r="H43" s="1031"/>
      <c r="I43" s="1047"/>
      <c r="J43" s="1030" t="s">
        <v>896</v>
      </c>
      <c r="K43" s="1031"/>
      <c r="L43" s="1047"/>
      <c r="M43" s="1026" t="s">
        <v>123</v>
      </c>
      <c r="N43" s="1026"/>
      <c r="O43" s="1026"/>
      <c r="P43" s="1026"/>
      <c r="Q43" s="1026"/>
      <c r="R43" s="1026"/>
      <c r="S43" s="1026"/>
      <c r="AD43" s="6"/>
      <c r="AE43" s="6"/>
      <c r="AF43" s="6"/>
    </row>
    <row r="44" spans="1:32">
      <c r="A44" s="142" t="s">
        <v>85</v>
      </c>
      <c r="B44" s="117"/>
      <c r="C44" s="117" t="s">
        <v>180</v>
      </c>
      <c r="D44" s="1048">
        <f>D39</f>
        <v>0</v>
      </c>
      <c r="E44" s="1049"/>
      <c r="F44" s="1050"/>
      <c r="G44" s="1051">
        <f>D40</f>
        <v>0</v>
      </c>
      <c r="H44" s="1052"/>
      <c r="I44" s="1053"/>
      <c r="J44" s="1051">
        <f>D41</f>
        <v>0</v>
      </c>
      <c r="K44" s="1052"/>
      <c r="L44" s="1053"/>
      <c r="M44" s="1023"/>
      <c r="N44" s="1023"/>
      <c r="O44" s="1023"/>
      <c r="P44" s="1023"/>
      <c r="Q44" s="1023"/>
      <c r="R44" s="1023"/>
      <c r="S44" s="1023"/>
    </row>
    <row r="45" spans="1:32">
      <c r="A45" s="142" t="s">
        <v>86</v>
      </c>
      <c r="B45" s="117"/>
      <c r="C45" s="117" t="s">
        <v>180</v>
      </c>
      <c r="D45" s="1048">
        <f>E39</f>
        <v>0.29570000000000002</v>
      </c>
      <c r="E45" s="1049"/>
      <c r="F45" s="1050"/>
      <c r="G45" s="1051">
        <f>E40</f>
        <v>7.2763666666666662</v>
      </c>
      <c r="H45" s="1052"/>
      <c r="I45" s="1053"/>
      <c r="J45" s="1051">
        <f>E41</f>
        <v>0.22800000000000001</v>
      </c>
      <c r="K45" s="1052"/>
      <c r="L45" s="1053"/>
      <c r="M45" s="1023"/>
      <c r="N45" s="1023"/>
      <c r="O45" s="1023"/>
      <c r="P45" s="1023"/>
      <c r="Q45" s="1023"/>
      <c r="R45" s="1023"/>
      <c r="S45" s="1023"/>
    </row>
    <row r="46" spans="1:32">
      <c r="A46" s="142" t="s">
        <v>87</v>
      </c>
      <c r="B46" s="117"/>
      <c r="C46" s="117" t="s">
        <v>180</v>
      </c>
      <c r="D46" s="1048">
        <f>F39</f>
        <v>0.29570000000000002</v>
      </c>
      <c r="E46" s="1049"/>
      <c r="F46" s="1050"/>
      <c r="G46" s="1051">
        <f>F40</f>
        <v>4.2263666666666664</v>
      </c>
      <c r="H46" s="1052"/>
      <c r="I46" s="1053"/>
      <c r="J46" s="1051">
        <f>F41</f>
        <v>93.731666666666669</v>
      </c>
      <c r="K46" s="1052"/>
      <c r="L46" s="1053"/>
      <c r="M46" s="1023"/>
      <c r="N46" s="1023"/>
      <c r="O46" s="1023"/>
      <c r="P46" s="1023"/>
      <c r="Q46" s="1023"/>
      <c r="R46" s="1023"/>
      <c r="S46" s="1023"/>
    </row>
    <row r="47" spans="1:32">
      <c r="A47" s="142" t="s">
        <v>88</v>
      </c>
      <c r="B47" s="117"/>
      <c r="C47" s="117" t="s">
        <v>180</v>
      </c>
      <c r="D47" s="1048">
        <f>G39</f>
        <v>0</v>
      </c>
      <c r="E47" s="1049"/>
      <c r="F47" s="1050"/>
      <c r="G47" s="1051">
        <f>G40</f>
        <v>0</v>
      </c>
      <c r="H47" s="1052"/>
      <c r="I47" s="1053"/>
      <c r="J47" s="1051">
        <f>G41</f>
        <v>0</v>
      </c>
      <c r="K47" s="1052"/>
      <c r="L47" s="1053"/>
      <c r="M47" s="1023"/>
      <c r="N47" s="1023"/>
      <c r="O47" s="1023"/>
      <c r="P47" s="1023"/>
      <c r="Q47" s="1023"/>
      <c r="R47" s="1023"/>
      <c r="S47" s="1023"/>
    </row>
    <row r="48" spans="1:32">
      <c r="A48" s="142" t="s">
        <v>89</v>
      </c>
      <c r="B48" s="117"/>
      <c r="C48" s="117" t="s">
        <v>180</v>
      </c>
      <c r="D48" s="1048">
        <f>H39</f>
        <v>0</v>
      </c>
      <c r="E48" s="1049"/>
      <c r="F48" s="1050"/>
      <c r="G48" s="1051">
        <f>H40</f>
        <v>0</v>
      </c>
      <c r="H48" s="1052"/>
      <c r="I48" s="1053"/>
      <c r="J48" s="1051">
        <f>H41</f>
        <v>0</v>
      </c>
      <c r="K48" s="1052"/>
      <c r="L48" s="1053"/>
      <c r="M48" s="1023"/>
      <c r="N48" s="1023"/>
      <c r="O48" s="1023"/>
      <c r="P48" s="1023"/>
      <c r="Q48" s="1023"/>
      <c r="R48" s="1023"/>
      <c r="S48" s="1023"/>
    </row>
    <row r="49" spans="1:19">
      <c r="A49" s="142" t="s">
        <v>90</v>
      </c>
      <c r="B49" s="117"/>
      <c r="C49" s="117" t="s">
        <v>180</v>
      </c>
      <c r="D49" s="1048">
        <f>I39</f>
        <v>0</v>
      </c>
      <c r="E49" s="1049"/>
      <c r="F49" s="1050"/>
      <c r="G49" s="1051">
        <f>I40</f>
        <v>0</v>
      </c>
      <c r="H49" s="1052"/>
      <c r="I49" s="1053"/>
      <c r="J49" s="1051">
        <f>I41</f>
        <v>10.18</v>
      </c>
      <c r="K49" s="1052"/>
      <c r="L49" s="1053"/>
      <c r="M49" s="1023"/>
      <c r="N49" s="1023"/>
      <c r="O49" s="1023"/>
      <c r="P49" s="1023"/>
      <c r="Q49" s="1023"/>
      <c r="R49" s="1023"/>
      <c r="S49" s="1023"/>
    </row>
    <row r="50" spans="1:19">
      <c r="A50" s="142" t="s">
        <v>91</v>
      </c>
      <c r="B50" s="117"/>
      <c r="C50" s="117" t="s">
        <v>180</v>
      </c>
      <c r="D50" s="1048">
        <f>J39</f>
        <v>22.768900000000002</v>
      </c>
      <c r="E50" s="1049"/>
      <c r="F50" s="1050"/>
      <c r="G50" s="1051">
        <f>J40</f>
        <v>30.108566666666665</v>
      </c>
      <c r="H50" s="1052"/>
      <c r="I50" s="1053"/>
      <c r="J50" s="1051">
        <f>J41</f>
        <v>89.234166666666653</v>
      </c>
      <c r="K50" s="1052"/>
      <c r="L50" s="1053"/>
      <c r="M50" s="1023"/>
      <c r="N50" s="1023"/>
      <c r="O50" s="1023"/>
      <c r="P50" s="1023"/>
      <c r="Q50" s="1023"/>
      <c r="R50" s="1023"/>
      <c r="S50" s="1023"/>
    </row>
    <row r="51" spans="1:19">
      <c r="A51" s="215" t="s">
        <v>95</v>
      </c>
      <c r="B51" s="117"/>
      <c r="C51" s="117" t="s">
        <v>180</v>
      </c>
      <c r="D51" s="1048">
        <f>K39</f>
        <v>3.5484</v>
      </c>
      <c r="E51" s="1049"/>
      <c r="F51" s="1050"/>
      <c r="G51" s="1051">
        <f>K40</f>
        <v>4.2913999999999994</v>
      </c>
      <c r="H51" s="1052"/>
      <c r="I51" s="1053"/>
      <c r="J51" s="1051">
        <f>K41</f>
        <v>115.88066666666667</v>
      </c>
      <c r="K51" s="1052"/>
      <c r="L51" s="1053"/>
      <c r="M51" s="1023"/>
      <c r="N51" s="1023"/>
      <c r="O51" s="1023"/>
      <c r="P51" s="1023"/>
      <c r="Q51" s="1023"/>
      <c r="R51" s="1023"/>
      <c r="S51" s="1023"/>
    </row>
    <row r="52" spans="1:19">
      <c r="A52" s="142" t="s">
        <v>861</v>
      </c>
      <c r="B52" s="117"/>
      <c r="C52" s="117" t="s">
        <v>180</v>
      </c>
      <c r="D52" s="1048">
        <f>L39</f>
        <v>2.6612999999999998</v>
      </c>
      <c r="E52" s="1049"/>
      <c r="F52" s="1050"/>
      <c r="G52" s="1051">
        <f>L40</f>
        <v>2.6073</v>
      </c>
      <c r="H52" s="1052"/>
      <c r="I52" s="1053"/>
      <c r="J52" s="1051">
        <f>L41</f>
        <v>19.665500000000002</v>
      </c>
      <c r="K52" s="1052"/>
      <c r="L52" s="1053"/>
      <c r="M52" s="1023"/>
      <c r="N52" s="1023"/>
      <c r="O52" s="1023"/>
      <c r="P52" s="1023"/>
      <c r="Q52" s="1023"/>
      <c r="R52" s="1023"/>
      <c r="S52" s="1023"/>
    </row>
    <row r="54" spans="1:19" ht="30" customHeight="1">
      <c r="A54" s="140" t="s">
        <v>100</v>
      </c>
      <c r="B54" s="140" t="s">
        <v>101</v>
      </c>
      <c r="C54" s="140" t="s">
        <v>131</v>
      </c>
      <c r="D54" s="189" t="s">
        <v>881</v>
      </c>
      <c r="E54" s="189" t="s">
        <v>882</v>
      </c>
      <c r="F54" s="189" t="s">
        <v>883</v>
      </c>
      <c r="G54" s="189" t="s">
        <v>884</v>
      </c>
      <c r="H54" s="189" t="s">
        <v>885</v>
      </c>
      <c r="I54" s="189" t="s">
        <v>886</v>
      </c>
      <c r="J54" s="189" t="s">
        <v>887</v>
      </c>
      <c r="K54" s="189" t="s">
        <v>888</v>
      </c>
      <c r="L54" s="189" t="s">
        <v>889</v>
      </c>
      <c r="M54" s="1026" t="s">
        <v>123</v>
      </c>
      <c r="N54" s="1026"/>
      <c r="O54" s="1026"/>
      <c r="P54" s="1026"/>
      <c r="Q54" s="1026"/>
      <c r="R54" s="1026"/>
      <c r="S54" s="1026"/>
    </row>
    <row r="55" spans="1:19">
      <c r="A55" s="212" t="s">
        <v>862</v>
      </c>
      <c r="B55" s="117">
        <v>2017</v>
      </c>
      <c r="C55" s="117" t="s">
        <v>180</v>
      </c>
      <c r="D55" s="183">
        <f t="shared" ref="D55:L55" si="3">$D21*D3</f>
        <v>0</v>
      </c>
      <c r="E55" s="183">
        <f t="shared" si="3"/>
        <v>0.29570000000000002</v>
      </c>
      <c r="F55" s="183">
        <f t="shared" si="3"/>
        <v>0.29570000000000002</v>
      </c>
      <c r="G55" s="183">
        <f t="shared" si="3"/>
        <v>0</v>
      </c>
      <c r="H55" s="183">
        <f t="shared" si="3"/>
        <v>0</v>
      </c>
      <c r="I55" s="183">
        <f t="shared" si="3"/>
        <v>0</v>
      </c>
      <c r="J55" s="183">
        <f t="shared" si="3"/>
        <v>22.768900000000002</v>
      </c>
      <c r="K55" s="183">
        <f t="shared" si="3"/>
        <v>3.5484</v>
      </c>
      <c r="L55" s="183">
        <f t="shared" si="3"/>
        <v>2.6612999999999998</v>
      </c>
      <c r="M55" s="1023"/>
      <c r="N55" s="1023"/>
      <c r="O55" s="1023"/>
      <c r="P55" s="1023"/>
      <c r="Q55" s="1023"/>
      <c r="R55" s="1023"/>
      <c r="S55" s="1023"/>
    </row>
    <row r="56" spans="1:19">
      <c r="A56" s="212" t="s">
        <v>865</v>
      </c>
      <c r="B56" s="117">
        <v>2017</v>
      </c>
      <c r="C56" s="117" t="s">
        <v>180</v>
      </c>
      <c r="D56" s="183">
        <f t="shared" ref="D56:L56" si="4">$D22*D4</f>
        <v>0</v>
      </c>
      <c r="E56" s="183">
        <f t="shared" si="4"/>
        <v>0</v>
      </c>
      <c r="F56" s="183">
        <f t="shared" si="4"/>
        <v>0</v>
      </c>
      <c r="G56" s="183">
        <f t="shared" si="4"/>
        <v>0</v>
      </c>
      <c r="H56" s="183">
        <f t="shared" si="4"/>
        <v>0</v>
      </c>
      <c r="I56" s="183">
        <f t="shared" si="4"/>
        <v>0</v>
      </c>
      <c r="J56" s="183">
        <f t="shared" si="4"/>
        <v>0.81499999999999995</v>
      </c>
      <c r="K56" s="183">
        <f t="shared" si="4"/>
        <v>0.81499999999999995</v>
      </c>
      <c r="L56" s="183">
        <f t="shared" si="4"/>
        <v>0</v>
      </c>
      <c r="M56" s="1023"/>
      <c r="N56" s="1023"/>
      <c r="O56" s="1023"/>
      <c r="P56" s="1023"/>
      <c r="Q56" s="1023"/>
      <c r="R56" s="1023"/>
      <c r="S56" s="1023"/>
    </row>
    <row r="57" spans="1:19">
      <c r="A57" s="212" t="s">
        <v>330</v>
      </c>
      <c r="B57" s="117">
        <v>2017</v>
      </c>
      <c r="C57" s="117" t="s">
        <v>180</v>
      </c>
      <c r="D57" s="183">
        <f t="shared" ref="D57:L57" si="5">$D23*D5</f>
        <v>0</v>
      </c>
      <c r="E57" s="183">
        <f t="shared" si="5"/>
        <v>2.85</v>
      </c>
      <c r="F57" s="183">
        <f t="shared" si="5"/>
        <v>0</v>
      </c>
      <c r="G57" s="183">
        <f t="shared" si="5"/>
        <v>0</v>
      </c>
      <c r="H57" s="183">
        <f t="shared" si="5"/>
        <v>0</v>
      </c>
      <c r="I57" s="183">
        <f t="shared" si="5"/>
        <v>0</v>
      </c>
      <c r="J57" s="183">
        <f t="shared" si="5"/>
        <v>2.85</v>
      </c>
      <c r="K57" s="183">
        <f t="shared" si="5"/>
        <v>0</v>
      </c>
      <c r="L57" s="183">
        <f t="shared" si="5"/>
        <v>0</v>
      </c>
      <c r="M57" s="1023"/>
      <c r="N57" s="1023"/>
      <c r="O57" s="1023"/>
      <c r="P57" s="1023"/>
      <c r="Q57" s="1023"/>
      <c r="R57" s="1023"/>
      <c r="S57" s="1023"/>
    </row>
    <row r="58" spans="1:19">
      <c r="A58" s="212" t="s">
        <v>241</v>
      </c>
      <c r="B58" s="117">
        <v>2017</v>
      </c>
      <c r="C58" s="117" t="s">
        <v>180</v>
      </c>
      <c r="D58" s="183">
        <f t="shared" ref="D58:L58" si="6">$D24*D6</f>
        <v>0</v>
      </c>
      <c r="E58" s="183">
        <f t="shared" si="6"/>
        <v>0.61</v>
      </c>
      <c r="F58" s="183">
        <f t="shared" si="6"/>
        <v>0</v>
      </c>
      <c r="G58" s="183">
        <f t="shared" si="6"/>
        <v>0</v>
      </c>
      <c r="H58" s="183">
        <f t="shared" si="6"/>
        <v>0</v>
      </c>
      <c r="I58" s="183">
        <f t="shared" si="6"/>
        <v>0</v>
      </c>
      <c r="J58" s="183">
        <f t="shared" si="6"/>
        <v>0.61</v>
      </c>
      <c r="K58" s="183">
        <f t="shared" si="6"/>
        <v>0</v>
      </c>
      <c r="L58" s="183">
        <f t="shared" si="6"/>
        <v>0</v>
      </c>
      <c r="M58" s="1023"/>
      <c r="N58" s="1023"/>
      <c r="O58" s="1023"/>
      <c r="P58" s="1023"/>
      <c r="Q58" s="1023"/>
      <c r="R58" s="1023"/>
      <c r="S58" s="1023"/>
    </row>
    <row r="59" spans="1:19">
      <c r="A59" s="212" t="s">
        <v>239</v>
      </c>
      <c r="B59" s="117">
        <v>2017</v>
      </c>
      <c r="C59" s="117" t="s">
        <v>180</v>
      </c>
      <c r="D59" s="183">
        <f t="shared" ref="D59:L59" si="7">$D25*D7</f>
        <v>0</v>
      </c>
      <c r="E59" s="183">
        <f t="shared" si="7"/>
        <v>0</v>
      </c>
      <c r="F59" s="183">
        <f t="shared" si="7"/>
        <v>0.41</v>
      </c>
      <c r="G59" s="183">
        <f t="shared" si="7"/>
        <v>0</v>
      </c>
      <c r="H59" s="183">
        <f t="shared" si="7"/>
        <v>0</v>
      </c>
      <c r="I59" s="183">
        <f t="shared" si="7"/>
        <v>0</v>
      </c>
      <c r="J59" s="183">
        <f t="shared" si="7"/>
        <v>0</v>
      </c>
      <c r="K59" s="183">
        <f t="shared" si="7"/>
        <v>0</v>
      </c>
      <c r="L59" s="183">
        <f t="shared" si="7"/>
        <v>0</v>
      </c>
      <c r="M59" s="1023"/>
      <c r="N59" s="1023"/>
      <c r="O59" s="1023"/>
      <c r="P59" s="1023"/>
      <c r="Q59" s="1023"/>
      <c r="R59" s="1023"/>
      <c r="S59" s="1023"/>
    </row>
    <row r="60" spans="1:19">
      <c r="A60" s="212" t="s">
        <v>240</v>
      </c>
      <c r="B60" s="117">
        <v>2017</v>
      </c>
      <c r="C60" s="117" t="s">
        <v>180</v>
      </c>
      <c r="D60" s="183">
        <f t="shared" ref="D60:L60" si="8">$D26*D8</f>
        <v>0</v>
      </c>
      <c r="E60" s="183">
        <f t="shared" si="8"/>
        <v>3.5266666666666664</v>
      </c>
      <c r="F60" s="183">
        <f t="shared" si="8"/>
        <v>3.5266666666666664</v>
      </c>
      <c r="G60" s="183">
        <f t="shared" si="8"/>
        <v>0</v>
      </c>
      <c r="H60" s="183">
        <f t="shared" si="8"/>
        <v>0</v>
      </c>
      <c r="I60" s="183">
        <f t="shared" si="8"/>
        <v>0</v>
      </c>
      <c r="J60" s="183">
        <f t="shared" si="8"/>
        <v>3.5266666666666664</v>
      </c>
      <c r="K60" s="183">
        <f t="shared" si="8"/>
        <v>0</v>
      </c>
      <c r="L60" s="183">
        <f t="shared" si="8"/>
        <v>0</v>
      </c>
      <c r="M60" s="1023"/>
      <c r="N60" s="1023"/>
      <c r="O60" s="1023"/>
      <c r="P60" s="1023"/>
      <c r="Q60" s="1023"/>
      <c r="R60" s="1023"/>
      <c r="S60" s="1023"/>
    </row>
    <row r="61" spans="1:19">
      <c r="A61" s="212" t="s">
        <v>191</v>
      </c>
      <c r="B61" s="117">
        <v>2017</v>
      </c>
      <c r="C61" s="117" t="s">
        <v>180</v>
      </c>
      <c r="D61" s="183">
        <f t="shared" ref="D61:L61" si="9">$D27*D9</f>
        <v>0</v>
      </c>
      <c r="E61" s="183">
        <f t="shared" si="9"/>
        <v>0.28970000000000001</v>
      </c>
      <c r="F61" s="183">
        <f t="shared" si="9"/>
        <v>0.28970000000000001</v>
      </c>
      <c r="G61" s="183">
        <f t="shared" si="9"/>
        <v>0</v>
      </c>
      <c r="H61" s="183">
        <f t="shared" si="9"/>
        <v>0</v>
      </c>
      <c r="I61" s="183">
        <f t="shared" si="9"/>
        <v>0</v>
      </c>
      <c r="J61" s="183">
        <f t="shared" si="9"/>
        <v>22.306899999999999</v>
      </c>
      <c r="K61" s="183">
        <f t="shared" si="9"/>
        <v>3.4763999999999999</v>
      </c>
      <c r="L61" s="183">
        <f t="shared" si="9"/>
        <v>2.6073</v>
      </c>
      <c r="M61" s="1023"/>
      <c r="N61" s="1023"/>
      <c r="O61" s="1023"/>
      <c r="P61" s="1023"/>
      <c r="Q61" s="1023"/>
      <c r="R61" s="1023"/>
      <c r="S61" s="1023"/>
    </row>
    <row r="62" spans="1:19">
      <c r="A62" s="212" t="s">
        <v>349</v>
      </c>
      <c r="B62" s="117">
        <v>2017</v>
      </c>
      <c r="C62" s="117" t="s">
        <v>180</v>
      </c>
      <c r="D62" s="183">
        <f t="shared" ref="D62:L62" si="10">$D28*D10</f>
        <v>0</v>
      </c>
      <c r="E62" s="183">
        <f t="shared" si="10"/>
        <v>0</v>
      </c>
      <c r="F62" s="183">
        <f>$D28*F10</f>
        <v>21.682000000000002</v>
      </c>
      <c r="G62" s="183">
        <f t="shared" si="10"/>
        <v>0</v>
      </c>
      <c r="H62" s="183">
        <f t="shared" si="10"/>
        <v>0</v>
      </c>
      <c r="I62" s="183">
        <f t="shared" si="10"/>
        <v>0</v>
      </c>
      <c r="J62" s="183">
        <f t="shared" si="10"/>
        <v>27.102499999999999</v>
      </c>
      <c r="K62" s="183">
        <f t="shared" si="10"/>
        <v>54.204999999999998</v>
      </c>
      <c r="L62" s="183">
        <f t="shared" si="10"/>
        <v>5.4205000000000005</v>
      </c>
      <c r="M62" s="1023"/>
      <c r="N62" s="1023"/>
      <c r="O62" s="1023"/>
      <c r="P62" s="1023"/>
      <c r="Q62" s="1023"/>
      <c r="R62" s="1023"/>
      <c r="S62" s="1023"/>
    </row>
    <row r="63" spans="1:19">
      <c r="A63" s="212" t="s">
        <v>339</v>
      </c>
      <c r="B63" s="117">
        <v>2017</v>
      </c>
      <c r="C63" s="117" t="s">
        <v>180</v>
      </c>
      <c r="D63" s="183">
        <f t="shared" ref="D63:L63" si="11">$D29*D11</f>
        <v>0</v>
      </c>
      <c r="E63" s="183">
        <f t="shared" si="11"/>
        <v>0</v>
      </c>
      <c r="F63" s="183">
        <f t="shared" si="11"/>
        <v>14.244999999999999</v>
      </c>
      <c r="G63" s="183">
        <f t="shared" si="11"/>
        <v>0</v>
      </c>
      <c r="H63" s="183">
        <f t="shared" si="11"/>
        <v>0</v>
      </c>
      <c r="I63" s="183">
        <f t="shared" si="11"/>
        <v>0</v>
      </c>
      <c r="J63" s="183">
        <f t="shared" si="11"/>
        <v>14.244999999999999</v>
      </c>
      <c r="K63" s="183">
        <f t="shared" si="11"/>
        <v>14.244999999999999</v>
      </c>
      <c r="L63" s="183">
        <f t="shared" si="11"/>
        <v>14.244999999999999</v>
      </c>
      <c r="M63" s="1023"/>
      <c r="N63" s="1023"/>
      <c r="O63" s="1023"/>
      <c r="P63" s="1023"/>
      <c r="Q63" s="1023"/>
      <c r="R63" s="1023"/>
      <c r="S63" s="1023"/>
    </row>
    <row r="64" spans="1:19">
      <c r="A64" s="212" t="s">
        <v>868</v>
      </c>
      <c r="B64" s="117">
        <v>2017</v>
      </c>
      <c r="C64" s="117" t="s">
        <v>180</v>
      </c>
      <c r="D64" s="183">
        <f t="shared" ref="D64:L64" si="12">$D30*D12</f>
        <v>0</v>
      </c>
      <c r="E64" s="183">
        <f t="shared" si="12"/>
        <v>0</v>
      </c>
      <c r="F64" s="183">
        <f t="shared" si="12"/>
        <v>13.43</v>
      </c>
      <c r="G64" s="183">
        <f t="shared" si="12"/>
        <v>0</v>
      </c>
      <c r="H64" s="183">
        <f t="shared" si="12"/>
        <v>0</v>
      </c>
      <c r="I64" s="183">
        <f t="shared" si="12"/>
        <v>0</v>
      </c>
      <c r="J64" s="183">
        <f t="shared" si="12"/>
        <v>13.43</v>
      </c>
      <c r="K64" s="183">
        <f t="shared" si="12"/>
        <v>13.43</v>
      </c>
      <c r="L64" s="183">
        <f t="shared" si="12"/>
        <v>0</v>
      </c>
      <c r="M64" s="1023"/>
      <c r="N64" s="1023"/>
      <c r="O64" s="1023"/>
      <c r="P64" s="1023"/>
      <c r="Q64" s="1023"/>
      <c r="R64" s="1023"/>
      <c r="S64" s="1023"/>
    </row>
    <row r="65" spans="1:19">
      <c r="A65" s="212" t="s">
        <v>341</v>
      </c>
      <c r="B65" s="117">
        <v>2017</v>
      </c>
      <c r="C65" s="117" t="s">
        <v>180</v>
      </c>
      <c r="D65" s="183">
        <f t="shared" ref="D65:L65" si="13">$D31*D13</f>
        <v>0</v>
      </c>
      <c r="E65" s="183">
        <f t="shared" si="13"/>
        <v>0</v>
      </c>
      <c r="F65" s="183">
        <f t="shared" si="13"/>
        <v>15.873333333333331</v>
      </c>
      <c r="G65" s="183">
        <f t="shared" si="13"/>
        <v>0</v>
      </c>
      <c r="H65" s="183">
        <f t="shared" si="13"/>
        <v>0</v>
      </c>
      <c r="I65" s="183">
        <f t="shared" si="13"/>
        <v>0</v>
      </c>
      <c r="J65" s="183">
        <f t="shared" si="13"/>
        <v>15.873333333333331</v>
      </c>
      <c r="K65" s="183">
        <f t="shared" si="13"/>
        <v>15.873333333333331</v>
      </c>
      <c r="L65" s="183">
        <f t="shared" si="13"/>
        <v>0</v>
      </c>
      <c r="M65" s="1023"/>
      <c r="N65" s="1023"/>
      <c r="O65" s="1023"/>
      <c r="P65" s="1023"/>
      <c r="Q65" s="1023"/>
      <c r="R65" s="1023"/>
      <c r="S65" s="1023"/>
    </row>
    <row r="66" spans="1:19">
      <c r="A66" s="212" t="s">
        <v>869</v>
      </c>
      <c r="B66" s="117">
        <v>2017</v>
      </c>
      <c r="C66" s="117" t="s">
        <v>180</v>
      </c>
      <c r="D66" s="183">
        <f t="shared" ref="D66:L66" si="14">$D32*D14</f>
        <v>0</v>
      </c>
      <c r="E66" s="183">
        <f t="shared" si="14"/>
        <v>0.22800000000000001</v>
      </c>
      <c r="F66" s="183">
        <f t="shared" si="14"/>
        <v>10.488000000000001</v>
      </c>
      <c r="G66" s="183">
        <f t="shared" si="14"/>
        <v>0</v>
      </c>
      <c r="H66" s="183">
        <f t="shared" si="14"/>
        <v>0</v>
      </c>
      <c r="I66" s="183">
        <f t="shared" si="14"/>
        <v>0</v>
      </c>
      <c r="J66" s="183">
        <f t="shared" si="14"/>
        <v>0.57000000000000006</v>
      </c>
      <c r="K66" s="183">
        <f t="shared" si="14"/>
        <v>0.114</v>
      </c>
      <c r="L66" s="183">
        <f t="shared" si="14"/>
        <v>0</v>
      </c>
      <c r="M66" s="1023"/>
      <c r="N66" s="1023"/>
      <c r="O66" s="1023"/>
      <c r="P66" s="1023"/>
      <c r="Q66" s="1023"/>
      <c r="R66" s="1023"/>
      <c r="S66" s="1023"/>
    </row>
    <row r="67" spans="1:19">
      <c r="A67" s="212" t="s">
        <v>871</v>
      </c>
      <c r="B67" s="117">
        <v>2017</v>
      </c>
      <c r="C67" s="117" t="s">
        <v>180</v>
      </c>
      <c r="D67" s="183">
        <f t="shared" ref="D67:L67" si="15">$D33*D15</f>
        <v>0</v>
      </c>
      <c r="E67" s="183">
        <f t="shared" si="15"/>
        <v>0</v>
      </c>
      <c r="F67" s="183">
        <f t="shared" si="15"/>
        <v>5.0199999999999996</v>
      </c>
      <c r="G67" s="183">
        <f t="shared" si="15"/>
        <v>0</v>
      </c>
      <c r="H67" s="183">
        <f t="shared" si="15"/>
        <v>0</v>
      </c>
      <c r="I67" s="183">
        <f t="shared" si="15"/>
        <v>0</v>
      </c>
      <c r="J67" s="183">
        <f t="shared" si="15"/>
        <v>5.0199999999999996</v>
      </c>
      <c r="K67" s="183">
        <f t="shared" si="15"/>
        <v>5.0199999999999996</v>
      </c>
      <c r="L67" s="183">
        <f t="shared" si="15"/>
        <v>0</v>
      </c>
      <c r="M67" s="1023"/>
      <c r="N67" s="1023"/>
      <c r="O67" s="1023"/>
      <c r="P67" s="1023"/>
      <c r="Q67" s="1023"/>
      <c r="R67" s="1023"/>
      <c r="S67" s="1023"/>
    </row>
    <row r="68" spans="1:19">
      <c r="A68" s="212" t="s">
        <v>238</v>
      </c>
      <c r="B68" s="117">
        <v>2017</v>
      </c>
      <c r="C68" s="117" t="s">
        <v>180</v>
      </c>
      <c r="D68" s="183">
        <f t="shared" ref="D68:L68" si="16">$D34*D16</f>
        <v>0</v>
      </c>
      <c r="E68" s="183">
        <f t="shared" si="16"/>
        <v>0</v>
      </c>
      <c r="F68" s="183">
        <f t="shared" si="16"/>
        <v>12.993333333333339</v>
      </c>
      <c r="G68" s="183">
        <f t="shared" si="16"/>
        <v>0</v>
      </c>
      <c r="H68" s="183">
        <f t="shared" si="16"/>
        <v>0</v>
      </c>
      <c r="I68" s="183">
        <f t="shared" si="16"/>
        <v>0</v>
      </c>
      <c r="J68" s="183">
        <f t="shared" si="16"/>
        <v>12.993333333333339</v>
      </c>
      <c r="K68" s="183">
        <f t="shared" si="16"/>
        <v>12.993333333333339</v>
      </c>
      <c r="L68" s="183">
        <f t="shared" si="16"/>
        <v>0</v>
      </c>
      <c r="M68" s="1023"/>
      <c r="N68" s="1023"/>
      <c r="O68" s="1023"/>
      <c r="P68" s="1023"/>
      <c r="Q68" s="1023"/>
      <c r="R68" s="1023"/>
      <c r="S68" s="1023"/>
    </row>
    <row r="69" spans="1:19">
      <c r="A69" s="212" t="s">
        <v>872</v>
      </c>
      <c r="B69" s="117">
        <v>2017</v>
      </c>
      <c r="C69" s="117" t="s">
        <v>180</v>
      </c>
      <c r="D69" s="183">
        <f t="shared" ref="D69:L69" si="17">$D35*D17</f>
        <v>0</v>
      </c>
      <c r="E69" s="183">
        <f t="shared" si="17"/>
        <v>0</v>
      </c>
      <c r="F69" s="183">
        <f t="shared" si="17"/>
        <v>0</v>
      </c>
      <c r="G69" s="183">
        <f t="shared" si="17"/>
        <v>0</v>
      </c>
      <c r="H69" s="183">
        <f t="shared" si="17"/>
        <v>0</v>
      </c>
      <c r="I69" s="183">
        <f t="shared" si="17"/>
        <v>10.18</v>
      </c>
      <c r="J69" s="183">
        <f t="shared" si="17"/>
        <v>0</v>
      </c>
      <c r="K69" s="183">
        <f t="shared" si="17"/>
        <v>0</v>
      </c>
      <c r="L69" s="183">
        <f t="shared" si="17"/>
        <v>0</v>
      </c>
      <c r="M69" s="1023"/>
      <c r="N69" s="1023"/>
      <c r="O69" s="1023"/>
      <c r="P69" s="1023"/>
      <c r="Q69" s="1023"/>
      <c r="R69" s="1023"/>
      <c r="S69" s="1023"/>
    </row>
    <row r="71" spans="1:19" s="6" customFormat="1" ht="30" customHeight="1">
      <c r="A71" s="1038" t="s">
        <v>764</v>
      </c>
      <c r="B71" s="1038"/>
      <c r="C71" s="1038"/>
      <c r="D71" s="1038"/>
      <c r="E71" s="1038"/>
      <c r="F71" s="1038"/>
      <c r="G71" s="1038"/>
      <c r="H71" s="1038"/>
      <c r="I71" s="1038"/>
      <c r="J71" s="1038"/>
      <c r="K71" s="1038"/>
      <c r="L71" s="1038"/>
      <c r="M71" s="1038"/>
      <c r="N71" s="1038"/>
      <c r="O71" s="1038"/>
      <c r="P71" s="1038"/>
      <c r="Q71" s="1038"/>
      <c r="R71" s="1038"/>
      <c r="S71" s="1038"/>
    </row>
    <row r="72" spans="1:19" ht="30" customHeight="1">
      <c r="A72" s="139" t="s">
        <v>100</v>
      </c>
      <c r="B72" s="139" t="s">
        <v>101</v>
      </c>
      <c r="C72" s="139" t="s">
        <v>131</v>
      </c>
      <c r="D72" s="139" t="s">
        <v>873</v>
      </c>
      <c r="E72" s="1044" t="s">
        <v>104</v>
      </c>
      <c r="F72" s="1045"/>
      <c r="G72" s="1045"/>
      <c r="H72" s="1046"/>
      <c r="I72" s="1039" t="s">
        <v>875</v>
      </c>
      <c r="J72" s="1039"/>
      <c r="K72" s="1039" t="s">
        <v>123</v>
      </c>
      <c r="L72" s="1039"/>
      <c r="M72" s="1039"/>
      <c r="N72" s="1039"/>
      <c r="O72" s="1039"/>
      <c r="P72" s="1039"/>
      <c r="Q72" s="1039"/>
      <c r="R72" s="1039"/>
      <c r="S72" s="1039"/>
    </row>
    <row r="73" spans="1:19">
      <c r="A73" s="212" t="s">
        <v>862</v>
      </c>
      <c r="B73" s="117">
        <v>2017</v>
      </c>
      <c r="C73" s="117" t="s">
        <v>182</v>
      </c>
      <c r="D73" s="183">
        <f t="shared" ref="D73:D87" si="18">E21*$D$88</f>
        <v>606.73285145454543</v>
      </c>
      <c r="E73" s="1035"/>
      <c r="F73" s="1036"/>
      <c r="G73" s="1036"/>
      <c r="H73" s="1037"/>
      <c r="I73" s="1033"/>
      <c r="J73" s="1033"/>
      <c r="K73" s="1033" t="s">
        <v>125</v>
      </c>
      <c r="L73" s="1033"/>
      <c r="M73" s="1033"/>
      <c r="N73" s="1033"/>
      <c r="O73" s="1033"/>
      <c r="P73" s="1033"/>
      <c r="Q73" s="1033"/>
      <c r="R73" s="1033"/>
      <c r="S73" s="1033"/>
    </row>
    <row r="74" spans="1:19">
      <c r="A74" s="212" t="s">
        <v>865</v>
      </c>
      <c r="B74" s="117">
        <v>2017</v>
      </c>
      <c r="C74" s="117" t="s">
        <v>182</v>
      </c>
      <c r="D74" s="183">
        <f t="shared" si="18"/>
        <v>33.44519945454546</v>
      </c>
      <c r="E74" s="1035"/>
      <c r="F74" s="1036"/>
      <c r="G74" s="1036"/>
      <c r="H74" s="1037"/>
      <c r="I74" s="1033"/>
      <c r="J74" s="1033"/>
      <c r="K74" s="1033" t="s">
        <v>125</v>
      </c>
      <c r="L74" s="1033"/>
      <c r="M74" s="1033"/>
      <c r="N74" s="1033"/>
      <c r="O74" s="1033"/>
      <c r="P74" s="1033"/>
      <c r="Q74" s="1033"/>
      <c r="R74" s="1033"/>
      <c r="S74" s="1033"/>
    </row>
    <row r="75" spans="1:19">
      <c r="A75" s="212" t="s">
        <v>330</v>
      </c>
      <c r="B75" s="117">
        <v>2017</v>
      </c>
      <c r="C75" s="117" t="s">
        <v>182</v>
      </c>
      <c r="D75" s="183">
        <f t="shared" si="18"/>
        <v>116.95560545454546</v>
      </c>
      <c r="E75" s="1035"/>
      <c r="F75" s="1036"/>
      <c r="G75" s="1036"/>
      <c r="H75" s="1037"/>
      <c r="I75" s="1033"/>
      <c r="J75" s="1033"/>
      <c r="K75" s="1033" t="s">
        <v>125</v>
      </c>
      <c r="L75" s="1033"/>
      <c r="M75" s="1033"/>
      <c r="N75" s="1033"/>
      <c r="O75" s="1033"/>
      <c r="P75" s="1033"/>
      <c r="Q75" s="1033"/>
      <c r="R75" s="1033"/>
      <c r="S75" s="1033"/>
    </row>
    <row r="76" spans="1:19">
      <c r="A76" s="212" t="s">
        <v>241</v>
      </c>
      <c r="B76" s="117">
        <v>2017</v>
      </c>
      <c r="C76" s="117" t="s">
        <v>182</v>
      </c>
      <c r="D76" s="183">
        <f t="shared" si="18"/>
        <v>25.032603272727275</v>
      </c>
      <c r="E76" s="1035"/>
      <c r="F76" s="1036"/>
      <c r="G76" s="1036"/>
      <c r="H76" s="1037"/>
      <c r="I76" s="1033"/>
      <c r="J76" s="1033"/>
      <c r="K76" s="1033" t="s">
        <v>125</v>
      </c>
      <c r="L76" s="1033"/>
      <c r="M76" s="1033"/>
      <c r="N76" s="1033"/>
      <c r="O76" s="1033"/>
      <c r="P76" s="1033"/>
      <c r="Q76" s="1033"/>
      <c r="R76" s="1033"/>
      <c r="S76" s="1033"/>
    </row>
    <row r="77" spans="1:19">
      <c r="A77" s="212" t="s">
        <v>239</v>
      </c>
      <c r="B77" s="117">
        <v>2017</v>
      </c>
      <c r="C77" s="117" t="s">
        <v>182</v>
      </c>
      <c r="D77" s="183">
        <f t="shared" si="18"/>
        <v>8.4125961818181825</v>
      </c>
      <c r="E77" s="1035"/>
      <c r="F77" s="1036"/>
      <c r="G77" s="1036"/>
      <c r="H77" s="1037"/>
      <c r="I77" s="1033"/>
      <c r="J77" s="1033"/>
      <c r="K77" s="1033" t="s">
        <v>125</v>
      </c>
      <c r="L77" s="1033"/>
      <c r="M77" s="1033"/>
      <c r="N77" s="1033"/>
      <c r="O77" s="1033"/>
      <c r="P77" s="1033"/>
      <c r="Q77" s="1033"/>
      <c r="R77" s="1033"/>
      <c r="S77" s="1033"/>
    </row>
    <row r="78" spans="1:19">
      <c r="A78" s="212" t="s">
        <v>240</v>
      </c>
      <c r="B78" s="117">
        <v>2017</v>
      </c>
      <c r="C78" s="117" t="s">
        <v>182</v>
      </c>
      <c r="D78" s="183">
        <f t="shared" si="18"/>
        <v>217.08601854545455</v>
      </c>
      <c r="E78" s="1035"/>
      <c r="F78" s="1036"/>
      <c r="G78" s="1036"/>
      <c r="H78" s="1037"/>
      <c r="I78" s="1033"/>
      <c r="J78" s="1033"/>
      <c r="K78" s="1033" t="s">
        <v>125</v>
      </c>
      <c r="L78" s="1033"/>
      <c r="M78" s="1033"/>
      <c r="N78" s="1033"/>
      <c r="O78" s="1033"/>
      <c r="P78" s="1033"/>
      <c r="Q78" s="1033"/>
      <c r="R78" s="1033"/>
      <c r="S78" s="1033"/>
    </row>
    <row r="79" spans="1:19">
      <c r="A79" s="212" t="s">
        <v>191</v>
      </c>
      <c r="B79" s="117">
        <v>2017</v>
      </c>
      <c r="C79" s="117" t="s">
        <v>182</v>
      </c>
      <c r="D79" s="183">
        <f t="shared" si="18"/>
        <v>594.42173509090912</v>
      </c>
      <c r="E79" s="1035"/>
      <c r="F79" s="1036"/>
      <c r="G79" s="1036"/>
      <c r="H79" s="1037"/>
      <c r="I79" s="1033"/>
      <c r="J79" s="1033"/>
      <c r="K79" s="1033" t="s">
        <v>125</v>
      </c>
      <c r="L79" s="1033"/>
      <c r="M79" s="1033"/>
      <c r="N79" s="1033"/>
      <c r="O79" s="1033"/>
      <c r="P79" s="1033"/>
      <c r="Q79" s="1033"/>
      <c r="R79" s="1033"/>
      <c r="S79" s="1033"/>
    </row>
    <row r="80" spans="1:19">
      <c r="A80" s="212" t="s">
        <v>349</v>
      </c>
      <c r="B80" s="117">
        <v>2017</v>
      </c>
      <c r="C80" s="117" t="s">
        <v>182</v>
      </c>
      <c r="D80" s="183">
        <f t="shared" si="18"/>
        <v>2224.4135416363638</v>
      </c>
      <c r="E80" s="1035"/>
      <c r="F80" s="1036"/>
      <c r="G80" s="1036"/>
      <c r="H80" s="1037"/>
      <c r="I80" s="1033"/>
      <c r="J80" s="1033"/>
      <c r="K80" s="1033" t="s">
        <v>125</v>
      </c>
      <c r="L80" s="1033"/>
      <c r="M80" s="1033"/>
      <c r="N80" s="1033"/>
      <c r="O80" s="1033"/>
      <c r="P80" s="1033"/>
      <c r="Q80" s="1033"/>
      <c r="R80" s="1033"/>
      <c r="S80" s="1033"/>
    </row>
    <row r="81" spans="1:19">
      <c r="A81" s="212" t="s">
        <v>339</v>
      </c>
      <c r="B81" s="117">
        <v>2017</v>
      </c>
      <c r="C81" s="117" t="s">
        <v>182</v>
      </c>
      <c r="D81" s="183">
        <f t="shared" si="18"/>
        <v>1169.1456839999998</v>
      </c>
      <c r="E81" s="1035"/>
      <c r="F81" s="1036"/>
      <c r="G81" s="1036"/>
      <c r="H81" s="1037"/>
      <c r="I81" s="1033"/>
      <c r="J81" s="1033"/>
      <c r="K81" s="1033" t="s">
        <v>125</v>
      </c>
      <c r="L81" s="1033"/>
      <c r="M81" s="1033"/>
      <c r="N81" s="1033"/>
      <c r="O81" s="1033"/>
      <c r="P81" s="1033"/>
      <c r="Q81" s="1033"/>
      <c r="R81" s="1033"/>
      <c r="S81" s="1033"/>
    </row>
    <row r="82" spans="1:19">
      <c r="A82" s="212" t="s">
        <v>868</v>
      </c>
      <c r="B82" s="117">
        <v>2017</v>
      </c>
      <c r="C82" s="117" t="s">
        <v>182</v>
      </c>
      <c r="D82" s="183">
        <f t="shared" si="18"/>
        <v>826.69146381818189</v>
      </c>
      <c r="E82" s="1035"/>
      <c r="F82" s="1036"/>
      <c r="G82" s="1036"/>
      <c r="H82" s="1037"/>
      <c r="I82" s="1033"/>
      <c r="J82" s="1033"/>
      <c r="K82" s="1033" t="s">
        <v>125</v>
      </c>
      <c r="L82" s="1033"/>
      <c r="M82" s="1033"/>
      <c r="N82" s="1033"/>
      <c r="O82" s="1033"/>
      <c r="P82" s="1033"/>
      <c r="Q82" s="1033"/>
      <c r="R82" s="1033"/>
      <c r="S82" s="1033"/>
    </row>
    <row r="83" spans="1:19">
      <c r="A83" s="212" t="s">
        <v>341</v>
      </c>
      <c r="B83" s="117">
        <v>2017</v>
      </c>
      <c r="C83" s="117" t="s">
        <v>182</v>
      </c>
      <c r="D83" s="183">
        <f t="shared" si="18"/>
        <v>977.09226872727277</v>
      </c>
      <c r="E83" s="1035"/>
      <c r="F83" s="1036"/>
      <c r="G83" s="1036"/>
      <c r="H83" s="1037"/>
      <c r="I83" s="1033"/>
      <c r="J83" s="1033"/>
      <c r="K83" s="1033" t="s">
        <v>125</v>
      </c>
      <c r="L83" s="1033"/>
      <c r="M83" s="1033"/>
      <c r="N83" s="1033"/>
      <c r="O83" s="1033"/>
      <c r="P83" s="1033"/>
      <c r="Q83" s="1033"/>
      <c r="R83" s="1033"/>
      <c r="S83" s="1033"/>
    </row>
    <row r="84" spans="1:19">
      <c r="A84" s="212" t="s">
        <v>869</v>
      </c>
      <c r="B84" s="117">
        <v>2017</v>
      </c>
      <c r="C84" s="117" t="s">
        <v>182</v>
      </c>
      <c r="D84" s="183">
        <v>200</v>
      </c>
      <c r="E84" s="1035"/>
      <c r="F84" s="1036"/>
      <c r="G84" s="1036"/>
      <c r="H84" s="1037"/>
      <c r="I84" s="1033"/>
      <c r="J84" s="1033"/>
      <c r="K84" s="1033" t="s">
        <v>125</v>
      </c>
      <c r="L84" s="1033"/>
      <c r="M84" s="1033"/>
      <c r="N84" s="1033"/>
      <c r="O84" s="1033"/>
      <c r="P84" s="1033"/>
      <c r="Q84" s="1033"/>
      <c r="R84" s="1033"/>
      <c r="S84" s="1033"/>
    </row>
    <row r="85" spans="1:19">
      <c r="A85" s="212" t="s">
        <v>871</v>
      </c>
      <c r="B85" s="117">
        <v>2017</v>
      </c>
      <c r="C85" s="117" t="s">
        <v>182</v>
      </c>
      <c r="D85" s="183">
        <f t="shared" si="18"/>
        <v>309.00902072727274</v>
      </c>
      <c r="E85" s="1035"/>
      <c r="F85" s="1036"/>
      <c r="G85" s="1036"/>
      <c r="H85" s="1037"/>
      <c r="I85" s="1033"/>
      <c r="J85" s="1033"/>
      <c r="K85" s="1033" t="s">
        <v>125</v>
      </c>
      <c r="L85" s="1033"/>
      <c r="M85" s="1033"/>
      <c r="N85" s="1033"/>
      <c r="O85" s="1033"/>
      <c r="P85" s="1033"/>
      <c r="Q85" s="1033"/>
      <c r="R85" s="1033"/>
      <c r="S85" s="1033"/>
    </row>
    <row r="86" spans="1:19">
      <c r="A86" s="212" t="s">
        <v>238</v>
      </c>
      <c r="B86" s="117">
        <v>2017</v>
      </c>
      <c r="C86" s="117" t="s">
        <v>182</v>
      </c>
      <c r="D86" s="183">
        <f>D88-(SUM(D73:D85,D87))</f>
        <v>833.7234040000003</v>
      </c>
      <c r="E86" s="1035"/>
      <c r="F86" s="1036"/>
      <c r="G86" s="1036"/>
      <c r="H86" s="1037"/>
      <c r="I86" s="1033"/>
      <c r="J86" s="1033"/>
      <c r="K86" s="1033" t="s">
        <v>125</v>
      </c>
      <c r="L86" s="1033"/>
      <c r="M86" s="1033"/>
      <c r="N86" s="1033"/>
      <c r="O86" s="1033"/>
      <c r="P86" s="1033"/>
      <c r="Q86" s="1033"/>
      <c r="R86" s="1033"/>
      <c r="S86" s="1033"/>
    </row>
    <row r="87" spans="1:19">
      <c r="A87" s="212" t="s">
        <v>872</v>
      </c>
      <c r="B87" s="117">
        <v>2017</v>
      </c>
      <c r="C87" s="117" t="s">
        <v>182</v>
      </c>
      <c r="D87" s="183">
        <f t="shared" si="18"/>
        <v>208.87860763636365</v>
      </c>
      <c r="E87" s="1035"/>
      <c r="F87" s="1036"/>
      <c r="G87" s="1036"/>
      <c r="H87" s="1037"/>
      <c r="I87" s="1033"/>
      <c r="J87" s="1033"/>
      <c r="K87" s="1033" t="s">
        <v>125</v>
      </c>
      <c r="L87" s="1033"/>
      <c r="M87" s="1033"/>
      <c r="N87" s="1033"/>
      <c r="O87" s="1033"/>
      <c r="P87" s="1033"/>
      <c r="Q87" s="1033"/>
      <c r="R87" s="1033"/>
      <c r="S87" s="1033"/>
    </row>
    <row r="88" spans="1:19">
      <c r="A88" s="138" t="s">
        <v>879</v>
      </c>
      <c r="B88" s="127">
        <v>2017</v>
      </c>
      <c r="C88" s="117" t="s">
        <v>182</v>
      </c>
      <c r="D88" s="184">
        <f>(25.9*511800000/1000000)*0.63</f>
        <v>8351.0406000000003</v>
      </c>
      <c r="E88" s="1035" t="s">
        <v>124</v>
      </c>
      <c r="F88" s="1036"/>
      <c r="G88" s="1036" t="s">
        <v>124</v>
      </c>
      <c r="H88" s="1037"/>
      <c r="I88" s="1033"/>
      <c r="J88" s="1033"/>
      <c r="K88" s="1033"/>
      <c r="L88" s="1033"/>
      <c r="M88" s="1033"/>
      <c r="N88" s="1033"/>
      <c r="O88" s="1033"/>
      <c r="P88" s="1033"/>
      <c r="Q88" s="1033"/>
      <c r="R88" s="1033"/>
      <c r="S88" s="1033"/>
    </row>
    <row r="90" spans="1:19" ht="30" customHeight="1">
      <c r="A90" s="140" t="s">
        <v>880</v>
      </c>
      <c r="B90" s="140" t="s">
        <v>101</v>
      </c>
      <c r="C90" s="140" t="s">
        <v>131</v>
      </c>
      <c r="D90" s="189" t="s">
        <v>881</v>
      </c>
      <c r="E90" s="189" t="s">
        <v>882</v>
      </c>
      <c r="F90" s="189" t="s">
        <v>883</v>
      </c>
      <c r="G90" s="189" t="s">
        <v>884</v>
      </c>
      <c r="H90" s="189" t="s">
        <v>885</v>
      </c>
      <c r="I90" s="189" t="s">
        <v>886</v>
      </c>
      <c r="J90" s="189" t="s">
        <v>887</v>
      </c>
      <c r="K90" s="189" t="s">
        <v>888</v>
      </c>
      <c r="L90" s="189" t="s">
        <v>889</v>
      </c>
      <c r="M90" s="1026" t="s">
        <v>123</v>
      </c>
      <c r="N90" s="1026"/>
      <c r="O90" s="1026"/>
      <c r="P90" s="1026"/>
      <c r="Q90" s="1026"/>
      <c r="R90" s="1026"/>
      <c r="S90" s="1026"/>
    </row>
    <row r="91" spans="1:19">
      <c r="A91" s="212" t="s">
        <v>108</v>
      </c>
      <c r="B91" s="117">
        <v>2017</v>
      </c>
      <c r="C91" s="117" t="s">
        <v>182</v>
      </c>
      <c r="D91" s="183">
        <f t="shared" ref="D91:L91" si="19">$D73*D3</f>
        <v>0</v>
      </c>
      <c r="E91" s="183">
        <f>$D73*E3</f>
        <v>6.0673285145454541</v>
      </c>
      <c r="F91" s="183">
        <f t="shared" si="19"/>
        <v>6.0673285145454541</v>
      </c>
      <c r="G91" s="183">
        <f t="shared" si="19"/>
        <v>0</v>
      </c>
      <c r="H91" s="183">
        <f t="shared" si="19"/>
        <v>0</v>
      </c>
      <c r="I91" s="183">
        <f t="shared" si="19"/>
        <v>0</v>
      </c>
      <c r="J91" s="183">
        <f t="shared" si="19"/>
        <v>467.18429562</v>
      </c>
      <c r="K91" s="183">
        <f t="shared" si="19"/>
        <v>72.807942174545445</v>
      </c>
      <c r="L91" s="183">
        <f t="shared" si="19"/>
        <v>54.605956630909084</v>
      </c>
      <c r="M91" s="1023" t="s">
        <v>890</v>
      </c>
      <c r="N91" s="1023"/>
      <c r="O91" s="1023"/>
      <c r="P91" s="1023"/>
      <c r="Q91" s="1023"/>
      <c r="R91" s="1023"/>
      <c r="S91" s="1023"/>
    </row>
    <row r="92" spans="1:19">
      <c r="A92" s="212" t="s">
        <v>112</v>
      </c>
      <c r="B92" s="117">
        <v>2017</v>
      </c>
      <c r="C92" s="117" t="s">
        <v>182</v>
      </c>
      <c r="D92" s="183">
        <f t="shared" ref="D92:L92" si="20">$D74*D4+$D75*D5+$D76*D6+$D77*D7+$D78*D8+$D79*D9</f>
        <v>0</v>
      </c>
      <c r="E92" s="183">
        <f t="shared" si="20"/>
        <v>149.30032789636365</v>
      </c>
      <c r="F92" s="183">
        <f t="shared" si="20"/>
        <v>86.718819714545447</v>
      </c>
      <c r="G92" s="183">
        <f t="shared" si="20"/>
        <v>0</v>
      </c>
      <c r="H92" s="183">
        <f t="shared" si="20"/>
        <v>0</v>
      </c>
      <c r="I92" s="183">
        <f t="shared" si="20"/>
        <v>0</v>
      </c>
      <c r="J92" s="183">
        <f t="shared" si="20"/>
        <v>617.78344629272738</v>
      </c>
      <c r="K92" s="183">
        <f t="shared" si="20"/>
        <v>88.053207938181828</v>
      </c>
      <c r="L92" s="183">
        <f t="shared" si="20"/>
        <v>53.497956158181822</v>
      </c>
      <c r="M92" s="1041" t="s">
        <v>891</v>
      </c>
      <c r="N92" s="1042"/>
      <c r="O92" s="1042"/>
      <c r="P92" s="1042"/>
      <c r="Q92" s="1042"/>
      <c r="R92" s="1042"/>
      <c r="S92" s="1043"/>
    </row>
    <row r="93" spans="1:19">
      <c r="A93" s="212" t="s">
        <v>121</v>
      </c>
      <c r="B93" s="117">
        <v>2017</v>
      </c>
      <c r="C93" s="117" t="s">
        <v>182</v>
      </c>
      <c r="D93" s="183">
        <f t="shared" ref="D93:L93" si="21">$D80*D10+$D81*D11+$D82*D12+$D83*D13+$D84*D14+$D85*D15+$D86*D16+$D87*D17</f>
        <v>0</v>
      </c>
      <c r="E93" s="183">
        <f t="shared" si="21"/>
        <v>4</v>
      </c>
      <c r="F93" s="183">
        <f t="shared" si="21"/>
        <v>1903.3411817515153</v>
      </c>
      <c r="G93" s="183">
        <f t="shared" si="21"/>
        <v>0</v>
      </c>
      <c r="H93" s="183">
        <f t="shared" si="21"/>
        <v>0</v>
      </c>
      <c r="I93" s="183">
        <f t="shared" si="21"/>
        <v>208.87860763636365</v>
      </c>
      <c r="J93" s="183">
        <f t="shared" si="21"/>
        <v>1840.5618588333332</v>
      </c>
      <c r="K93" s="183">
        <f t="shared" si="21"/>
        <v>2388.6652442424243</v>
      </c>
      <c r="L93" s="183">
        <f t="shared" si="21"/>
        <v>403.50709808181819</v>
      </c>
      <c r="M93" s="1041" t="s">
        <v>897</v>
      </c>
      <c r="N93" s="1042"/>
      <c r="O93" s="1042"/>
      <c r="P93" s="1042"/>
      <c r="Q93" s="1042"/>
      <c r="R93" s="1042"/>
      <c r="S93" s="1043"/>
    </row>
    <row r="94" spans="1:19">
      <c r="A94" s="1040" t="s">
        <v>893</v>
      </c>
      <c r="B94" s="1040"/>
      <c r="C94" s="1040"/>
      <c r="D94" s="1040"/>
      <c r="E94" s="1040"/>
      <c r="F94" s="1040"/>
      <c r="G94" s="1040"/>
      <c r="H94" s="1040"/>
      <c r="I94" s="1040"/>
      <c r="J94" s="1040"/>
      <c r="K94" s="1040"/>
      <c r="L94" s="1040"/>
      <c r="M94" s="1040"/>
      <c r="N94" s="1040"/>
      <c r="O94" s="1040"/>
      <c r="P94" s="1040"/>
      <c r="Q94" s="1040"/>
      <c r="R94" s="1040"/>
      <c r="S94" s="1040"/>
    </row>
    <row r="95" spans="1:19" ht="30" customHeight="1">
      <c r="A95" s="214"/>
      <c r="B95" s="140" t="s">
        <v>101</v>
      </c>
      <c r="C95" s="140" t="s">
        <v>131</v>
      </c>
      <c r="D95" s="1030" t="s">
        <v>894</v>
      </c>
      <c r="E95" s="1031"/>
      <c r="F95" s="1047"/>
      <c r="G95" s="1030" t="s">
        <v>895</v>
      </c>
      <c r="H95" s="1031"/>
      <c r="I95" s="1047"/>
      <c r="J95" s="1030" t="s">
        <v>896</v>
      </c>
      <c r="K95" s="1031"/>
      <c r="L95" s="1047"/>
      <c r="M95" s="1026" t="s">
        <v>123</v>
      </c>
      <c r="N95" s="1026"/>
      <c r="O95" s="1026"/>
      <c r="P95" s="1026"/>
      <c r="Q95" s="1026"/>
      <c r="R95" s="1026"/>
      <c r="S95" s="1026"/>
    </row>
    <row r="96" spans="1:19">
      <c r="A96" s="142" t="s">
        <v>85</v>
      </c>
      <c r="B96" s="117">
        <v>2017</v>
      </c>
      <c r="C96" s="117" t="s">
        <v>182</v>
      </c>
      <c r="D96" s="1051">
        <f>D91</f>
        <v>0</v>
      </c>
      <c r="E96" s="1052"/>
      <c r="F96" s="1053"/>
      <c r="G96" s="1051">
        <f>D92</f>
        <v>0</v>
      </c>
      <c r="H96" s="1052"/>
      <c r="I96" s="1053"/>
      <c r="J96" s="1051">
        <f>D93</f>
        <v>0</v>
      </c>
      <c r="K96" s="1052"/>
      <c r="L96" s="1053"/>
      <c r="M96" s="1023"/>
      <c r="N96" s="1023"/>
      <c r="O96" s="1023"/>
      <c r="P96" s="1023"/>
      <c r="Q96" s="1023"/>
      <c r="R96" s="1023"/>
      <c r="S96" s="1023"/>
    </row>
    <row r="97" spans="1:19">
      <c r="A97" s="142" t="s">
        <v>86</v>
      </c>
      <c r="B97" s="117">
        <v>2017</v>
      </c>
      <c r="C97" s="117" t="s">
        <v>182</v>
      </c>
      <c r="D97" s="1051">
        <f>E91</f>
        <v>6.0673285145454541</v>
      </c>
      <c r="E97" s="1052"/>
      <c r="F97" s="1053"/>
      <c r="G97" s="1051">
        <f>E92</f>
        <v>149.30032789636365</v>
      </c>
      <c r="H97" s="1052"/>
      <c r="I97" s="1053"/>
      <c r="J97" s="1051">
        <f>E93</f>
        <v>4</v>
      </c>
      <c r="K97" s="1052"/>
      <c r="L97" s="1053"/>
      <c r="M97" s="1023"/>
      <c r="N97" s="1023"/>
      <c r="O97" s="1023"/>
      <c r="P97" s="1023"/>
      <c r="Q97" s="1023"/>
      <c r="R97" s="1023"/>
      <c r="S97" s="1023"/>
    </row>
    <row r="98" spans="1:19">
      <c r="A98" s="142" t="s">
        <v>87</v>
      </c>
      <c r="B98" s="117">
        <v>2017</v>
      </c>
      <c r="C98" s="117" t="s">
        <v>182</v>
      </c>
      <c r="D98" s="1051">
        <f>F91</f>
        <v>6.0673285145454541</v>
      </c>
      <c r="E98" s="1052"/>
      <c r="F98" s="1053"/>
      <c r="G98" s="1051">
        <f>F92</f>
        <v>86.718819714545447</v>
      </c>
      <c r="H98" s="1052"/>
      <c r="I98" s="1053"/>
      <c r="J98" s="1051">
        <f>F93</f>
        <v>1903.3411817515153</v>
      </c>
      <c r="K98" s="1052"/>
      <c r="L98" s="1053"/>
      <c r="M98" s="1023"/>
      <c r="N98" s="1023"/>
      <c r="O98" s="1023"/>
      <c r="P98" s="1023"/>
      <c r="Q98" s="1023"/>
      <c r="R98" s="1023"/>
      <c r="S98" s="1023"/>
    </row>
    <row r="99" spans="1:19">
      <c r="A99" s="142" t="s">
        <v>88</v>
      </c>
      <c r="B99" s="117">
        <v>2017</v>
      </c>
      <c r="C99" s="117" t="s">
        <v>182</v>
      </c>
      <c r="D99" s="1051">
        <f>G91</f>
        <v>0</v>
      </c>
      <c r="E99" s="1052"/>
      <c r="F99" s="1053"/>
      <c r="G99" s="1051">
        <f>G92</f>
        <v>0</v>
      </c>
      <c r="H99" s="1052"/>
      <c r="I99" s="1053"/>
      <c r="J99" s="1051">
        <f>G93</f>
        <v>0</v>
      </c>
      <c r="K99" s="1052"/>
      <c r="L99" s="1053"/>
      <c r="M99" s="1023"/>
      <c r="N99" s="1023"/>
      <c r="O99" s="1023"/>
      <c r="P99" s="1023"/>
      <c r="Q99" s="1023"/>
      <c r="R99" s="1023"/>
      <c r="S99" s="1023"/>
    </row>
    <row r="100" spans="1:19">
      <c r="A100" s="142" t="s">
        <v>89</v>
      </c>
      <c r="B100" s="117">
        <v>2017</v>
      </c>
      <c r="C100" s="117" t="s">
        <v>182</v>
      </c>
      <c r="D100" s="1051">
        <f>H91</f>
        <v>0</v>
      </c>
      <c r="E100" s="1052"/>
      <c r="F100" s="1053"/>
      <c r="G100" s="1051">
        <f>H92</f>
        <v>0</v>
      </c>
      <c r="H100" s="1052"/>
      <c r="I100" s="1053"/>
      <c r="J100" s="1051">
        <f>H93</f>
        <v>0</v>
      </c>
      <c r="K100" s="1052"/>
      <c r="L100" s="1053"/>
      <c r="M100" s="1023"/>
      <c r="N100" s="1023"/>
      <c r="O100" s="1023"/>
      <c r="P100" s="1023"/>
      <c r="Q100" s="1023"/>
      <c r="R100" s="1023"/>
      <c r="S100" s="1023"/>
    </row>
    <row r="101" spans="1:19">
      <c r="A101" s="142" t="s">
        <v>90</v>
      </c>
      <c r="B101" s="117">
        <v>2017</v>
      </c>
      <c r="C101" s="117" t="s">
        <v>182</v>
      </c>
      <c r="D101" s="1051">
        <f>I91</f>
        <v>0</v>
      </c>
      <c r="E101" s="1052"/>
      <c r="F101" s="1053"/>
      <c r="G101" s="1051">
        <f>I92</f>
        <v>0</v>
      </c>
      <c r="H101" s="1052"/>
      <c r="I101" s="1053"/>
      <c r="J101" s="1051">
        <f>I93</f>
        <v>208.87860763636365</v>
      </c>
      <c r="K101" s="1052"/>
      <c r="L101" s="1053"/>
      <c r="M101" s="1023"/>
      <c r="N101" s="1023"/>
      <c r="O101" s="1023"/>
      <c r="P101" s="1023"/>
      <c r="Q101" s="1023"/>
      <c r="R101" s="1023"/>
      <c r="S101" s="1023"/>
    </row>
    <row r="102" spans="1:19">
      <c r="A102" s="142" t="s">
        <v>91</v>
      </c>
      <c r="B102" s="117">
        <v>2017</v>
      </c>
      <c r="C102" s="117" t="s">
        <v>182</v>
      </c>
      <c r="D102" s="1051">
        <f>J91</f>
        <v>467.18429562</v>
      </c>
      <c r="E102" s="1052"/>
      <c r="F102" s="1053"/>
      <c r="G102" s="1051">
        <f>J92</f>
        <v>617.78344629272738</v>
      </c>
      <c r="H102" s="1052"/>
      <c r="I102" s="1053"/>
      <c r="J102" s="1051">
        <f>J93</f>
        <v>1840.5618588333332</v>
      </c>
      <c r="K102" s="1052"/>
      <c r="L102" s="1053"/>
      <c r="M102" s="1023"/>
      <c r="N102" s="1023"/>
      <c r="O102" s="1023"/>
      <c r="P102" s="1023"/>
      <c r="Q102" s="1023"/>
      <c r="R102" s="1023"/>
      <c r="S102" s="1023"/>
    </row>
    <row r="103" spans="1:19">
      <c r="A103" s="215" t="s">
        <v>95</v>
      </c>
      <c r="B103" s="117">
        <v>2017</v>
      </c>
      <c r="C103" s="117" t="s">
        <v>182</v>
      </c>
      <c r="D103" s="1051">
        <f>K91</f>
        <v>72.807942174545445</v>
      </c>
      <c r="E103" s="1052"/>
      <c r="F103" s="1053"/>
      <c r="G103" s="1051">
        <f>K92</f>
        <v>88.053207938181828</v>
      </c>
      <c r="H103" s="1052"/>
      <c r="I103" s="1053"/>
      <c r="J103" s="1051">
        <f>K93</f>
        <v>2388.6652442424243</v>
      </c>
      <c r="K103" s="1052"/>
      <c r="L103" s="1053"/>
      <c r="M103" s="1023"/>
      <c r="N103" s="1023"/>
      <c r="O103" s="1023"/>
      <c r="P103" s="1023"/>
      <c r="Q103" s="1023"/>
      <c r="R103" s="1023"/>
      <c r="S103" s="1023"/>
    </row>
    <row r="104" spans="1:19">
      <c r="A104" s="142" t="s">
        <v>861</v>
      </c>
      <c r="B104" s="117">
        <v>2017</v>
      </c>
      <c r="C104" s="117" t="s">
        <v>182</v>
      </c>
      <c r="D104" s="1051">
        <f>L91</f>
        <v>54.605956630909084</v>
      </c>
      <c r="E104" s="1052"/>
      <c r="F104" s="1053"/>
      <c r="G104" s="1051">
        <f>L92</f>
        <v>53.497956158181822</v>
      </c>
      <c r="H104" s="1052"/>
      <c r="I104" s="1053"/>
      <c r="J104" s="1051">
        <f>L93</f>
        <v>403.50709808181819</v>
      </c>
      <c r="K104" s="1052"/>
      <c r="L104" s="1053"/>
      <c r="M104" s="1023"/>
      <c r="N104" s="1023"/>
      <c r="O104" s="1023"/>
      <c r="P104" s="1023"/>
      <c r="Q104" s="1023"/>
      <c r="R104" s="1023"/>
      <c r="S104" s="1023"/>
    </row>
    <row r="106" spans="1:19" s="6" customFormat="1" ht="30" customHeight="1">
      <c r="A106" s="1038" t="s">
        <v>15</v>
      </c>
      <c r="B106" s="1038"/>
      <c r="C106" s="1038"/>
      <c r="D106" s="1038"/>
      <c r="E106" s="1038"/>
      <c r="F106" s="1038"/>
      <c r="G106" s="1038"/>
      <c r="H106" s="1038"/>
      <c r="I106" s="1038"/>
      <c r="J106" s="1038"/>
      <c r="K106" s="1038"/>
      <c r="L106" s="1038"/>
      <c r="M106" s="1038"/>
      <c r="N106" s="1038"/>
      <c r="O106" s="1038"/>
      <c r="P106" s="1038"/>
      <c r="Q106" s="1038"/>
      <c r="R106" s="1038"/>
      <c r="S106" s="1038"/>
    </row>
    <row r="107" spans="1:19">
      <c r="A107" s="1040" t="s">
        <v>898</v>
      </c>
      <c r="B107" s="1040"/>
      <c r="C107" s="1040"/>
      <c r="D107" s="1040"/>
      <c r="E107" s="1040"/>
      <c r="F107" s="1040"/>
      <c r="G107" s="1040"/>
      <c r="H107" s="1040"/>
      <c r="I107" s="1040"/>
      <c r="J107" s="1040"/>
      <c r="K107" s="1040"/>
      <c r="L107" s="1040"/>
      <c r="M107" s="1040"/>
      <c r="N107" s="1040"/>
      <c r="O107" s="1040"/>
      <c r="P107" s="1040"/>
      <c r="Q107" s="1040"/>
      <c r="R107" s="1040"/>
      <c r="S107" s="1040"/>
    </row>
    <row r="108" spans="1:19" ht="30" customHeight="1">
      <c r="A108" s="140" t="s">
        <v>129</v>
      </c>
      <c r="B108" s="1030" t="s">
        <v>130</v>
      </c>
      <c r="C108" s="1047"/>
      <c r="D108" s="140" t="s">
        <v>131</v>
      </c>
      <c r="E108" s="189" t="s">
        <v>85</v>
      </c>
      <c r="F108" s="189" t="s">
        <v>86</v>
      </c>
      <c r="G108" s="189" t="s">
        <v>87</v>
      </c>
      <c r="H108" s="189" t="s">
        <v>88</v>
      </c>
      <c r="I108" s="189" t="s">
        <v>89</v>
      </c>
      <c r="J108" s="189" t="s">
        <v>90</v>
      </c>
      <c r="K108" s="189" t="s">
        <v>91</v>
      </c>
      <c r="L108" s="189" t="s">
        <v>95</v>
      </c>
      <c r="M108" s="189" t="s">
        <v>861</v>
      </c>
      <c r="N108" s="1026" t="s">
        <v>123</v>
      </c>
      <c r="O108" s="1026"/>
      <c r="P108" s="1026"/>
      <c r="Q108" s="1026"/>
      <c r="R108" s="1026"/>
      <c r="S108" s="1026"/>
    </row>
    <row r="109" spans="1:19">
      <c r="A109" s="212" t="s">
        <v>108</v>
      </c>
      <c r="B109" s="1054" t="s">
        <v>196</v>
      </c>
      <c r="C109" s="1054"/>
      <c r="D109" s="117" t="s">
        <v>899</v>
      </c>
      <c r="E109" s="185">
        <f>IF(D$39=0, 0, D55/D$39)</f>
        <v>0</v>
      </c>
      <c r="F109" s="185">
        <f>IF(E$39=0, 0, E55/E$39)</f>
        <v>1</v>
      </c>
      <c r="G109" s="185">
        <f t="shared" ref="G109:M109" si="22">IF(F$39=0, 0, F55/F$39)</f>
        <v>1</v>
      </c>
      <c r="H109" s="185">
        <f t="shared" si="22"/>
        <v>0</v>
      </c>
      <c r="I109" s="185">
        <f t="shared" si="22"/>
        <v>0</v>
      </c>
      <c r="J109" s="185">
        <f t="shared" si="22"/>
        <v>0</v>
      </c>
      <c r="K109" s="185">
        <f t="shared" si="22"/>
        <v>1</v>
      </c>
      <c r="L109" s="185">
        <f t="shared" si="22"/>
        <v>1</v>
      </c>
      <c r="M109" s="185">
        <f t="shared" si="22"/>
        <v>1</v>
      </c>
      <c r="N109" s="1033"/>
      <c r="O109" s="1033"/>
      <c r="P109" s="1033"/>
      <c r="Q109" s="1033"/>
      <c r="R109" s="1033"/>
      <c r="S109" s="1033"/>
    </row>
    <row r="110" spans="1:19">
      <c r="A110" s="212" t="s">
        <v>112</v>
      </c>
      <c r="B110" s="1054" t="s">
        <v>865</v>
      </c>
      <c r="C110" s="1054"/>
      <c r="D110" s="117" t="s">
        <v>899</v>
      </c>
      <c r="E110" s="185">
        <f t="shared" ref="E110:F112" si="23">IF(D$40=0,0, D56/D$40)</f>
        <v>0</v>
      </c>
      <c r="F110" s="185">
        <f t="shared" si="23"/>
        <v>0</v>
      </c>
      <c r="G110" s="185">
        <f t="shared" ref="G110:M110" si="24">IF(F$40=0,0, F56/F$40)</f>
        <v>0</v>
      </c>
      <c r="H110" s="185">
        <f t="shared" si="24"/>
        <v>0</v>
      </c>
      <c r="I110" s="185">
        <f t="shared" si="24"/>
        <v>0</v>
      </c>
      <c r="J110" s="185">
        <f t="shared" si="24"/>
        <v>0</v>
      </c>
      <c r="K110" s="185">
        <f t="shared" si="24"/>
        <v>2.7068708019976597E-2</v>
      </c>
      <c r="L110" s="185">
        <f t="shared" si="24"/>
        <v>0.18991471314722469</v>
      </c>
      <c r="M110" s="185">
        <f t="shared" si="24"/>
        <v>0</v>
      </c>
      <c r="N110" s="1033"/>
      <c r="O110" s="1033"/>
      <c r="P110" s="1033"/>
      <c r="Q110" s="1033"/>
      <c r="R110" s="1033"/>
      <c r="S110" s="1033"/>
    </row>
    <row r="111" spans="1:19">
      <c r="A111" s="212" t="s">
        <v>112</v>
      </c>
      <c r="B111" s="1054" t="s">
        <v>330</v>
      </c>
      <c r="C111" s="1054"/>
      <c r="D111" s="117" t="s">
        <v>899</v>
      </c>
      <c r="E111" s="185">
        <f t="shared" si="23"/>
        <v>0</v>
      </c>
      <c r="F111" s="185">
        <f t="shared" si="23"/>
        <v>0.39167899730176692</v>
      </c>
      <c r="G111" s="185">
        <f t="shared" ref="G111:M111" si="25">IF(F$40=0,0, F57/F$40)</f>
        <v>0</v>
      </c>
      <c r="H111" s="185">
        <f t="shared" si="25"/>
        <v>0</v>
      </c>
      <c r="I111" s="185">
        <f t="shared" si="25"/>
        <v>0</v>
      </c>
      <c r="J111" s="185">
        <f t="shared" si="25"/>
        <v>0</v>
      </c>
      <c r="K111" s="185">
        <f>IF(J$40=0,0, J57/J$40)</f>
        <v>9.4657445223231051E-2</v>
      </c>
      <c r="L111" s="185">
        <f t="shared" si="25"/>
        <v>0</v>
      </c>
      <c r="M111" s="185">
        <f t="shared" si="25"/>
        <v>0</v>
      </c>
      <c r="N111" s="1033"/>
      <c r="O111" s="1033"/>
      <c r="P111" s="1033"/>
      <c r="Q111" s="1033"/>
      <c r="R111" s="1033"/>
      <c r="S111" s="1033"/>
    </row>
    <row r="112" spans="1:19">
      <c r="A112" s="212" t="s">
        <v>112</v>
      </c>
      <c r="B112" s="1054" t="s">
        <v>241</v>
      </c>
      <c r="C112" s="1054"/>
      <c r="D112" s="117" t="s">
        <v>899</v>
      </c>
      <c r="E112" s="185">
        <f t="shared" si="23"/>
        <v>0</v>
      </c>
      <c r="F112" s="185">
        <f t="shared" si="23"/>
        <v>8.3833048545290459E-2</v>
      </c>
      <c r="G112" s="185">
        <f t="shared" ref="G112:M112" si="26">IF(F$40=0,0, F58/F$40)</f>
        <v>0</v>
      </c>
      <c r="H112" s="185">
        <f t="shared" si="26"/>
        <v>0</v>
      </c>
      <c r="I112" s="185">
        <f t="shared" si="26"/>
        <v>0</v>
      </c>
      <c r="J112" s="185">
        <f t="shared" si="26"/>
        <v>0</v>
      </c>
      <c r="K112" s="185">
        <f t="shared" si="26"/>
        <v>2.0260014591638925E-2</v>
      </c>
      <c r="L112" s="185">
        <f t="shared" si="26"/>
        <v>0</v>
      </c>
      <c r="M112" s="185">
        <f t="shared" si="26"/>
        <v>0</v>
      </c>
      <c r="N112" s="1033"/>
      <c r="O112" s="1033"/>
      <c r="P112" s="1033"/>
      <c r="Q112" s="1033"/>
      <c r="R112" s="1033"/>
      <c r="S112" s="1033"/>
    </row>
    <row r="113" spans="1:32">
      <c r="A113" s="212" t="s">
        <v>112</v>
      </c>
      <c r="B113" s="1054" t="s">
        <v>239</v>
      </c>
      <c r="C113" s="1054"/>
      <c r="D113" s="117" t="s">
        <v>899</v>
      </c>
      <c r="E113" s="185">
        <f t="shared" ref="E113:F115" si="27">IF(D$40=0,0, D59/D$40)</f>
        <v>0</v>
      </c>
      <c r="F113" s="185">
        <f t="shared" si="27"/>
        <v>0</v>
      </c>
      <c r="G113" s="185">
        <f t="shared" ref="G113:M113" si="28">IF(F$40=0,0, F59/F$40)</f>
        <v>9.7010040144805229E-2</v>
      </c>
      <c r="H113" s="185">
        <f t="shared" si="28"/>
        <v>0</v>
      </c>
      <c r="I113" s="185">
        <f t="shared" si="28"/>
        <v>0</v>
      </c>
      <c r="J113" s="185">
        <f t="shared" si="28"/>
        <v>0</v>
      </c>
      <c r="K113" s="185">
        <f t="shared" si="28"/>
        <v>0</v>
      </c>
      <c r="L113" s="185">
        <f t="shared" si="28"/>
        <v>0</v>
      </c>
      <c r="M113" s="185">
        <f t="shared" si="28"/>
        <v>0</v>
      </c>
      <c r="N113" s="1033"/>
      <c r="O113" s="1033"/>
      <c r="P113" s="1033"/>
      <c r="Q113" s="1033"/>
      <c r="R113" s="1033"/>
      <c r="S113" s="1033"/>
    </row>
    <row r="114" spans="1:32">
      <c r="A114" s="212" t="s">
        <v>112</v>
      </c>
      <c r="B114" s="1054" t="s">
        <v>240</v>
      </c>
      <c r="C114" s="1054"/>
      <c r="D114" s="117" t="s">
        <v>899</v>
      </c>
      <c r="E114" s="185">
        <f t="shared" si="27"/>
        <v>0</v>
      </c>
      <c r="F114" s="185">
        <f t="shared" si="27"/>
        <v>0.48467412765528584</v>
      </c>
      <c r="G114" s="185">
        <f t="shared" ref="G114:M114" si="29">IF(F$40=0,0, F60/F$40)</f>
        <v>0.8344440851479995</v>
      </c>
      <c r="H114" s="185">
        <f t="shared" si="29"/>
        <v>0</v>
      </c>
      <c r="I114" s="185">
        <f t="shared" si="29"/>
        <v>0</v>
      </c>
      <c r="J114" s="185">
        <f t="shared" si="29"/>
        <v>0</v>
      </c>
      <c r="K114" s="185">
        <f t="shared" si="29"/>
        <v>0.11713166905985782</v>
      </c>
      <c r="L114" s="185">
        <f t="shared" si="29"/>
        <v>0</v>
      </c>
      <c r="M114" s="185">
        <f t="shared" si="29"/>
        <v>0</v>
      </c>
      <c r="N114" s="1033"/>
      <c r="O114" s="1033"/>
      <c r="P114" s="1033"/>
      <c r="Q114" s="1033"/>
      <c r="R114" s="1033"/>
      <c r="S114" s="1033"/>
    </row>
    <row r="115" spans="1:32">
      <c r="A115" s="212" t="s">
        <v>112</v>
      </c>
      <c r="B115" s="1054" t="s">
        <v>191</v>
      </c>
      <c r="C115" s="1054"/>
      <c r="D115" s="117" t="s">
        <v>899</v>
      </c>
      <c r="E115" s="185">
        <f t="shared" si="27"/>
        <v>0</v>
      </c>
      <c r="F115" s="255">
        <f t="shared" si="27"/>
        <v>3.9813826497656801E-2</v>
      </c>
      <c r="G115" s="185">
        <f t="shared" ref="G115:M115" si="30">IF(F$40=0,0, F61/F$40)</f>
        <v>6.8545874707195309E-2</v>
      </c>
      <c r="H115" s="185">
        <f t="shared" si="30"/>
        <v>0</v>
      </c>
      <c r="I115" s="185">
        <f t="shared" si="30"/>
        <v>0</v>
      </c>
      <c r="J115" s="185">
        <f t="shared" si="30"/>
        <v>0</v>
      </c>
      <c r="K115" s="254">
        <f t="shared" si="30"/>
        <v>0.74088216310529564</v>
      </c>
      <c r="L115" s="254">
        <f t="shared" si="30"/>
        <v>0.81008528685277537</v>
      </c>
      <c r="M115" s="254">
        <f t="shared" si="30"/>
        <v>1</v>
      </c>
      <c r="N115" s="1033"/>
      <c r="O115" s="1033"/>
      <c r="P115" s="1033"/>
      <c r="Q115" s="1033"/>
      <c r="R115" s="1033"/>
      <c r="S115" s="1033"/>
    </row>
    <row r="116" spans="1:32">
      <c r="A116" s="212" t="s">
        <v>121</v>
      </c>
      <c r="B116" s="1054" t="s">
        <v>349</v>
      </c>
      <c r="C116" s="1054"/>
      <c r="D116" s="117" t="s">
        <v>899</v>
      </c>
      <c r="E116" s="185">
        <f>IF(D$41=0,0, D62/D$41)</f>
        <v>0</v>
      </c>
      <c r="F116" s="185">
        <f>IF(E$41=0,0, E62/E$41)</f>
        <v>0</v>
      </c>
      <c r="G116" s="185">
        <f>IF(F$41=0,0, F62/F$41)</f>
        <v>0.23131990255872262</v>
      </c>
      <c r="H116" s="185">
        <f t="shared" ref="H116:J116" si="31">IF(G$41=0,0, G62/G$41)</f>
        <v>0</v>
      </c>
      <c r="I116" s="185">
        <f t="shared" si="31"/>
        <v>0</v>
      </c>
      <c r="J116" s="185">
        <f t="shared" si="31"/>
        <v>0</v>
      </c>
      <c r="K116" s="185">
        <f>IF(J$41=0,0, J62/J$41)</f>
        <v>0.30372334961384378</v>
      </c>
      <c r="L116" s="185">
        <f>IF(K$41=0,0, K62/K$41)</f>
        <v>0.46776568999142792</v>
      </c>
      <c r="M116" s="185">
        <f>IF(L$41=0,0, L62/L$41)</f>
        <v>0.27563499529633112</v>
      </c>
      <c r="N116" s="1033"/>
      <c r="O116" s="1033"/>
      <c r="P116" s="1033"/>
      <c r="Q116" s="1033"/>
      <c r="R116" s="1033"/>
      <c r="S116" s="1033"/>
    </row>
    <row r="117" spans="1:32">
      <c r="A117" s="143" t="s">
        <v>121</v>
      </c>
      <c r="B117" s="1054" t="s">
        <v>339</v>
      </c>
      <c r="C117" s="1054"/>
      <c r="D117" s="117" t="s">
        <v>899</v>
      </c>
      <c r="E117" s="185">
        <f t="shared" ref="E117:F123" si="32">IF(D$41=0,0, D63/D$41)</f>
        <v>0</v>
      </c>
      <c r="F117" s="185">
        <f t="shared" si="32"/>
        <v>0</v>
      </c>
      <c r="G117" s="185">
        <f t="shared" ref="G117:I117" si="33">IF(F$41=0,0, F63/F$41)</f>
        <v>0.15197638649335868</v>
      </c>
      <c r="H117" s="185">
        <f t="shared" si="33"/>
        <v>0</v>
      </c>
      <c r="I117" s="185">
        <f t="shared" si="33"/>
        <v>0</v>
      </c>
      <c r="J117" s="185">
        <f t="shared" ref="J117:M117" si="34">IF(I$41=0,0, I63/I$41)</f>
        <v>0</v>
      </c>
      <c r="K117" s="185">
        <f t="shared" si="34"/>
        <v>0.15963616327826599</v>
      </c>
      <c r="L117" s="185">
        <f t="shared" si="34"/>
        <v>0.12292818474177457</v>
      </c>
      <c r="M117" s="185">
        <f t="shared" si="34"/>
        <v>0.72436500470366871</v>
      </c>
      <c r="N117" s="1033"/>
      <c r="O117" s="1033"/>
      <c r="P117" s="1033"/>
      <c r="Q117" s="1033"/>
      <c r="R117" s="1033"/>
      <c r="S117" s="1033"/>
    </row>
    <row r="118" spans="1:32">
      <c r="A118" s="143" t="s">
        <v>121</v>
      </c>
      <c r="B118" s="1054" t="s">
        <v>162</v>
      </c>
      <c r="C118" s="1054"/>
      <c r="D118" s="117" t="s">
        <v>899</v>
      </c>
      <c r="E118" s="185">
        <f t="shared" si="32"/>
        <v>0</v>
      </c>
      <c r="F118" s="185">
        <f t="shared" si="32"/>
        <v>0</v>
      </c>
      <c r="G118" s="185">
        <f t="shared" ref="G118:I118" si="35">IF(F$41=0,0, F64/F$41)</f>
        <v>0.14328135279788046</v>
      </c>
      <c r="H118" s="185">
        <f t="shared" si="35"/>
        <v>0</v>
      </c>
      <c r="I118" s="185">
        <f t="shared" si="35"/>
        <v>0</v>
      </c>
      <c r="J118" s="185">
        <f t="shared" ref="J118:M118" si="36">IF(I$41=0,0, I64/I$41)</f>
        <v>0</v>
      </c>
      <c r="K118" s="185">
        <f t="shared" si="36"/>
        <v>0.15050289033535363</v>
      </c>
      <c r="L118" s="185">
        <f t="shared" si="36"/>
        <v>0.11589508747504616</v>
      </c>
      <c r="M118" s="185">
        <f t="shared" si="36"/>
        <v>0</v>
      </c>
      <c r="N118" s="1033"/>
      <c r="O118" s="1033"/>
      <c r="P118" s="1033"/>
      <c r="Q118" s="1033"/>
      <c r="R118" s="1033"/>
      <c r="S118" s="1033"/>
    </row>
    <row r="119" spans="1:32">
      <c r="A119" s="143" t="s">
        <v>121</v>
      </c>
      <c r="B119" s="1054" t="s">
        <v>341</v>
      </c>
      <c r="C119" s="1054"/>
      <c r="D119" s="117" t="s">
        <v>899</v>
      </c>
      <c r="E119" s="185">
        <f t="shared" si="32"/>
        <v>0</v>
      </c>
      <c r="F119" s="185">
        <f t="shared" si="32"/>
        <v>0</v>
      </c>
      <c r="G119" s="185">
        <f t="shared" ref="G119:I119" si="37">IF(F$41=0,0, F65/F$41)</f>
        <v>0.16934867262931416</v>
      </c>
      <c r="H119" s="185">
        <f t="shared" si="37"/>
        <v>0</v>
      </c>
      <c r="I119" s="185">
        <f t="shared" si="37"/>
        <v>0</v>
      </c>
      <c r="J119" s="185">
        <f t="shared" ref="J119:M119" si="38">IF(I$41=0,0, I65/I$41)</f>
        <v>0</v>
      </c>
      <c r="K119" s="185">
        <f t="shared" si="38"/>
        <v>0.17788403171430972</v>
      </c>
      <c r="L119" s="185">
        <f t="shared" si="38"/>
        <v>0.13697999666323399</v>
      </c>
      <c r="M119" s="185">
        <f t="shared" si="38"/>
        <v>0</v>
      </c>
      <c r="N119" s="1033"/>
      <c r="O119" s="1033"/>
      <c r="P119" s="1033"/>
      <c r="Q119" s="1033"/>
      <c r="R119" s="1033"/>
      <c r="S119" s="1033"/>
    </row>
    <row r="120" spans="1:32">
      <c r="A120" s="143" t="s">
        <v>121</v>
      </c>
      <c r="B120" s="1054" t="s">
        <v>187</v>
      </c>
      <c r="C120" s="1054"/>
      <c r="D120" s="117" t="s">
        <v>899</v>
      </c>
      <c r="E120" s="185">
        <f t="shared" si="32"/>
        <v>0</v>
      </c>
      <c r="F120" s="185">
        <f t="shared" si="32"/>
        <v>1</v>
      </c>
      <c r="G120" s="185">
        <f>IF(F$41=0,0, F66/F$41)</f>
        <v>0.11189388147015418</v>
      </c>
      <c r="H120" s="185">
        <f t="shared" ref="H120:I120" si="39">IF(G$41=0,0, G66/G$41)</f>
        <v>0</v>
      </c>
      <c r="I120" s="185">
        <f t="shared" si="39"/>
        <v>0</v>
      </c>
      <c r="J120" s="185">
        <f t="shared" ref="J120:M120" si="40">IF(I$41=0,0, I66/I$41)</f>
        <v>0</v>
      </c>
      <c r="K120" s="185">
        <f t="shared" si="40"/>
        <v>6.387687825104362E-3</v>
      </c>
      <c r="L120" s="185">
        <f t="shared" si="40"/>
        <v>9.8377066062213417E-4</v>
      </c>
      <c r="M120" s="185">
        <f t="shared" si="40"/>
        <v>0</v>
      </c>
      <c r="N120" s="1033"/>
      <c r="O120" s="1033"/>
      <c r="P120" s="1033"/>
      <c r="Q120" s="1033"/>
      <c r="R120" s="1033"/>
      <c r="S120" s="1033"/>
    </row>
    <row r="121" spans="1:32">
      <c r="A121" s="143" t="s">
        <v>121</v>
      </c>
      <c r="B121" s="1054" t="s">
        <v>172</v>
      </c>
      <c r="C121" s="1054"/>
      <c r="D121" s="117" t="s">
        <v>899</v>
      </c>
      <c r="E121" s="185">
        <f t="shared" si="32"/>
        <v>0</v>
      </c>
      <c r="F121" s="185">
        <f t="shared" si="32"/>
        <v>0</v>
      </c>
      <c r="G121" s="185">
        <f t="shared" ref="G121:I121" si="41">IF(F$41=0,0, F67/F$41)</f>
        <v>5.3557140062945638E-2</v>
      </c>
      <c r="H121" s="185">
        <f t="shared" si="41"/>
        <v>0</v>
      </c>
      <c r="I121" s="185">
        <f t="shared" si="41"/>
        <v>0</v>
      </c>
      <c r="J121" s="185">
        <f t="shared" ref="J121:M121" si="42">IF(I$41=0,0, I67/I$41)</f>
        <v>0</v>
      </c>
      <c r="K121" s="185">
        <f t="shared" si="42"/>
        <v>5.6256478740392787E-2</v>
      </c>
      <c r="L121" s="185">
        <f t="shared" si="42"/>
        <v>4.3320427336167665E-2</v>
      </c>
      <c r="M121" s="185">
        <f t="shared" si="42"/>
        <v>0</v>
      </c>
      <c r="N121" s="1033"/>
      <c r="O121" s="1033"/>
      <c r="P121" s="1033"/>
      <c r="Q121" s="1033"/>
      <c r="R121" s="1033"/>
      <c r="S121" s="1033"/>
    </row>
    <row r="122" spans="1:32">
      <c r="A122" s="143" t="s">
        <v>121</v>
      </c>
      <c r="B122" s="1054" t="s">
        <v>238</v>
      </c>
      <c r="C122" s="1054"/>
      <c r="D122" s="117" t="s">
        <v>899</v>
      </c>
      <c r="E122" s="185">
        <f t="shared" si="32"/>
        <v>0</v>
      </c>
      <c r="F122" s="185">
        <f t="shared" si="32"/>
        <v>0</v>
      </c>
      <c r="G122" s="185">
        <f t="shared" ref="G122:I122" si="43">IF(F$41=0,0, F68/F$41)</f>
        <v>0.13862266398762429</v>
      </c>
      <c r="H122" s="185">
        <f t="shared" si="43"/>
        <v>0</v>
      </c>
      <c r="I122" s="185">
        <f t="shared" si="43"/>
        <v>0</v>
      </c>
      <c r="J122" s="185">
        <f t="shared" ref="J122:M122" si="44">IF(I$41=0,0, I68/I$41)</f>
        <v>0</v>
      </c>
      <c r="K122" s="185">
        <f t="shared" si="44"/>
        <v>0.14560939849272989</v>
      </c>
      <c r="L122" s="185">
        <f t="shared" si="44"/>
        <v>0.11212684313172752</v>
      </c>
      <c r="M122" s="185">
        <f t="shared" si="44"/>
        <v>0</v>
      </c>
      <c r="N122" s="1033"/>
      <c r="O122" s="1033"/>
      <c r="P122" s="1033"/>
      <c r="Q122" s="1033"/>
      <c r="R122" s="1033"/>
      <c r="S122" s="1033"/>
    </row>
    <row r="123" spans="1:32">
      <c r="A123" s="143" t="s">
        <v>121</v>
      </c>
      <c r="B123" s="1054" t="s">
        <v>353</v>
      </c>
      <c r="C123" s="1054"/>
      <c r="D123" s="117" t="s">
        <v>899</v>
      </c>
      <c r="E123" s="185">
        <f t="shared" si="32"/>
        <v>0</v>
      </c>
      <c r="F123" s="185">
        <f t="shared" si="32"/>
        <v>0</v>
      </c>
      <c r="G123" s="185">
        <f t="shared" ref="G123:I123" si="45">IF(F$41=0,0, F69/F$41)</f>
        <v>0</v>
      </c>
      <c r="H123" s="185">
        <f t="shared" si="45"/>
        <v>0</v>
      </c>
      <c r="I123" s="185">
        <f t="shared" si="45"/>
        <v>0</v>
      </c>
      <c r="J123" s="185">
        <f t="shared" ref="J123:M123" si="46">IF(I$41=0,0, I69/I$41)</f>
        <v>1</v>
      </c>
      <c r="K123" s="185">
        <f t="shared" si="46"/>
        <v>0</v>
      </c>
      <c r="L123" s="185">
        <f t="shared" si="46"/>
        <v>0</v>
      </c>
      <c r="M123" s="185">
        <f t="shared" si="46"/>
        <v>0</v>
      </c>
      <c r="N123" s="1033"/>
      <c r="O123" s="1033"/>
      <c r="P123" s="1033"/>
      <c r="Q123" s="1033"/>
      <c r="R123" s="1033"/>
      <c r="S123" s="1033"/>
      <c r="AD123" s="6"/>
      <c r="AE123" s="6"/>
      <c r="AF123" s="6"/>
    </row>
    <row r="124" spans="1:32">
      <c r="A124" s="1040" t="s">
        <v>893</v>
      </c>
      <c r="B124" s="1040"/>
      <c r="C124" s="1040"/>
      <c r="D124" s="1040"/>
      <c r="E124" s="1040"/>
      <c r="F124" s="1040"/>
      <c r="G124" s="1040"/>
      <c r="H124" s="1040"/>
      <c r="I124" s="1040"/>
      <c r="J124" s="1040"/>
      <c r="K124" s="1040"/>
      <c r="L124" s="1040"/>
      <c r="M124" s="1040"/>
      <c r="N124" s="1040"/>
      <c r="O124" s="1040"/>
      <c r="P124" s="1040"/>
      <c r="Q124" s="1040"/>
      <c r="R124" s="1040"/>
      <c r="S124" s="1040"/>
      <c r="AD124" s="6"/>
      <c r="AE124" s="6"/>
      <c r="AF124" s="6"/>
    </row>
    <row r="125" spans="1:32">
      <c r="A125" s="140" t="s">
        <v>129</v>
      </c>
      <c r="B125" s="1056" t="s">
        <v>108</v>
      </c>
      <c r="C125" s="1056"/>
      <c r="D125" s="1056" t="s">
        <v>112</v>
      </c>
      <c r="E125" s="1056"/>
      <c r="F125" s="1056" t="s">
        <v>112</v>
      </c>
      <c r="G125" s="1056"/>
      <c r="H125" s="1056" t="s">
        <v>112</v>
      </c>
      <c r="I125" s="1056"/>
      <c r="J125" s="1056" t="s">
        <v>112</v>
      </c>
      <c r="K125" s="1056"/>
      <c r="L125" s="1056" t="s">
        <v>112</v>
      </c>
      <c r="M125" s="1056"/>
      <c r="N125" s="1056" t="s">
        <v>112</v>
      </c>
      <c r="O125" s="1056"/>
      <c r="P125" s="1056" t="s">
        <v>121</v>
      </c>
      <c r="Q125" s="1056"/>
      <c r="R125" s="1056" t="s">
        <v>121</v>
      </c>
      <c r="S125" s="1056"/>
      <c r="T125" s="1021" t="s">
        <v>121</v>
      </c>
      <c r="U125" s="1022"/>
      <c r="V125" s="1021" t="s">
        <v>121</v>
      </c>
      <c r="W125" s="1022"/>
      <c r="X125" s="1021" t="s">
        <v>121</v>
      </c>
      <c r="Y125" s="1022"/>
      <c r="Z125" s="1056" t="s">
        <v>121</v>
      </c>
      <c r="AA125" s="1056"/>
      <c r="AB125" s="1056" t="s">
        <v>121</v>
      </c>
      <c r="AC125" s="1056"/>
      <c r="AD125" s="1056" t="s">
        <v>121</v>
      </c>
      <c r="AE125" s="1056"/>
    </row>
    <row r="126" spans="1:32">
      <c r="A126" s="140" t="s">
        <v>130</v>
      </c>
      <c r="B126" s="1056" t="s">
        <v>196</v>
      </c>
      <c r="C126" s="1056"/>
      <c r="D126" s="1056" t="s">
        <v>865</v>
      </c>
      <c r="E126" s="1056"/>
      <c r="F126" s="1056" t="s">
        <v>330</v>
      </c>
      <c r="G126" s="1056"/>
      <c r="H126" s="1056" t="s">
        <v>241</v>
      </c>
      <c r="I126" s="1056"/>
      <c r="J126" s="1056" t="s">
        <v>239</v>
      </c>
      <c r="K126" s="1056"/>
      <c r="L126" s="1056" t="s">
        <v>240</v>
      </c>
      <c r="M126" s="1056"/>
      <c r="N126" s="1056" t="s">
        <v>191</v>
      </c>
      <c r="O126" s="1056"/>
      <c r="P126" s="1056" t="s">
        <v>349</v>
      </c>
      <c r="Q126" s="1056"/>
      <c r="R126" s="1056" t="s">
        <v>339</v>
      </c>
      <c r="S126" s="1056"/>
      <c r="T126" s="1056" t="s">
        <v>162</v>
      </c>
      <c r="U126" s="1056"/>
      <c r="V126" s="1056" t="s">
        <v>341</v>
      </c>
      <c r="W126" s="1056"/>
      <c r="X126" s="1056" t="s">
        <v>187</v>
      </c>
      <c r="Y126" s="1056"/>
      <c r="Z126" s="1056" t="s">
        <v>172</v>
      </c>
      <c r="AA126" s="1056"/>
      <c r="AB126" s="1056" t="s">
        <v>238</v>
      </c>
      <c r="AC126" s="1056"/>
      <c r="AD126" s="1056" t="s">
        <v>353</v>
      </c>
      <c r="AE126" s="1056"/>
    </row>
    <row r="127" spans="1:32">
      <c r="A127" s="215" t="s">
        <v>85</v>
      </c>
      <c r="B127" s="1055">
        <f>E109</f>
        <v>0</v>
      </c>
      <c r="C127" s="1055"/>
      <c r="D127" s="1055">
        <f>E110</f>
        <v>0</v>
      </c>
      <c r="E127" s="1055"/>
      <c r="F127" s="1055">
        <f>E111</f>
        <v>0</v>
      </c>
      <c r="G127" s="1055"/>
      <c r="H127" s="1055">
        <f>E112</f>
        <v>0</v>
      </c>
      <c r="I127" s="1055"/>
      <c r="J127" s="1055">
        <f>E113</f>
        <v>0</v>
      </c>
      <c r="K127" s="1055"/>
      <c r="L127" s="1055">
        <f>E114</f>
        <v>0</v>
      </c>
      <c r="M127" s="1055"/>
      <c r="N127" s="1055">
        <f>E115</f>
        <v>0</v>
      </c>
      <c r="O127" s="1055"/>
      <c r="P127" s="1055">
        <f>E116</f>
        <v>0</v>
      </c>
      <c r="Q127" s="1055"/>
      <c r="R127" s="1055">
        <f>E117</f>
        <v>0</v>
      </c>
      <c r="S127" s="1055"/>
      <c r="T127" s="1055">
        <f>E118</f>
        <v>0</v>
      </c>
      <c r="U127" s="1055"/>
      <c r="V127" s="1055">
        <f>E119</f>
        <v>0</v>
      </c>
      <c r="W127" s="1055"/>
      <c r="X127" s="1055">
        <f>E120</f>
        <v>0</v>
      </c>
      <c r="Y127" s="1055"/>
      <c r="Z127" s="1055">
        <f>E121</f>
        <v>0</v>
      </c>
      <c r="AA127" s="1055"/>
      <c r="AB127" s="1055">
        <f>E122</f>
        <v>0</v>
      </c>
      <c r="AC127" s="1055"/>
      <c r="AD127" s="1055">
        <f>E123</f>
        <v>0</v>
      </c>
      <c r="AE127" s="1055"/>
    </row>
    <row r="128" spans="1:32">
      <c r="A128" s="215" t="s">
        <v>86</v>
      </c>
      <c r="B128" s="1055">
        <f>F109</f>
        <v>1</v>
      </c>
      <c r="C128" s="1055"/>
      <c r="D128" s="1055">
        <f>F110</f>
        <v>0</v>
      </c>
      <c r="E128" s="1055"/>
      <c r="F128" s="1055">
        <f>F111</f>
        <v>0.39167899730176692</v>
      </c>
      <c r="G128" s="1055"/>
      <c r="H128" s="1055">
        <f>F112</f>
        <v>8.3833048545290459E-2</v>
      </c>
      <c r="I128" s="1055"/>
      <c r="J128" s="1055">
        <f>F113</f>
        <v>0</v>
      </c>
      <c r="K128" s="1055"/>
      <c r="L128" s="1055">
        <f>F114</f>
        <v>0.48467412765528584</v>
      </c>
      <c r="M128" s="1055"/>
      <c r="N128" s="1055">
        <f>F115</f>
        <v>3.9813826497656801E-2</v>
      </c>
      <c r="O128" s="1055"/>
      <c r="P128" s="1055">
        <f>F116</f>
        <v>0</v>
      </c>
      <c r="Q128" s="1055"/>
      <c r="R128" s="1055">
        <f>F117</f>
        <v>0</v>
      </c>
      <c r="S128" s="1055"/>
      <c r="T128" s="1055">
        <f>F118</f>
        <v>0</v>
      </c>
      <c r="U128" s="1055"/>
      <c r="V128" s="1055">
        <f>F119</f>
        <v>0</v>
      </c>
      <c r="W128" s="1055"/>
      <c r="X128" s="1055">
        <f>F120</f>
        <v>1</v>
      </c>
      <c r="Y128" s="1055"/>
      <c r="Z128" s="1055">
        <f>F121</f>
        <v>0</v>
      </c>
      <c r="AA128" s="1055"/>
      <c r="AB128" s="1055">
        <f>F122</f>
        <v>0</v>
      </c>
      <c r="AC128" s="1055"/>
      <c r="AD128" s="1055">
        <f>F123</f>
        <v>0</v>
      </c>
      <c r="AE128" s="1055"/>
    </row>
    <row r="129" spans="1:31">
      <c r="A129" s="215" t="s">
        <v>87</v>
      </c>
      <c r="B129" s="1055">
        <f>G109</f>
        <v>1</v>
      </c>
      <c r="C129" s="1055"/>
      <c r="D129" s="1055">
        <f>G110</f>
        <v>0</v>
      </c>
      <c r="E129" s="1055"/>
      <c r="F129" s="1055">
        <f>G111</f>
        <v>0</v>
      </c>
      <c r="G129" s="1055"/>
      <c r="H129" s="1055">
        <f>G112</f>
        <v>0</v>
      </c>
      <c r="I129" s="1055"/>
      <c r="J129" s="1055">
        <f>G113</f>
        <v>9.7010040144805229E-2</v>
      </c>
      <c r="K129" s="1055"/>
      <c r="L129" s="1055">
        <f>G114</f>
        <v>0.8344440851479995</v>
      </c>
      <c r="M129" s="1055"/>
      <c r="N129" s="1055">
        <f>G115</f>
        <v>6.8545874707195309E-2</v>
      </c>
      <c r="O129" s="1055"/>
      <c r="P129" s="1055">
        <f>G116</f>
        <v>0.23131990255872262</v>
      </c>
      <c r="Q129" s="1055"/>
      <c r="R129" s="1055">
        <f>G117</f>
        <v>0.15197638649335868</v>
      </c>
      <c r="S129" s="1055"/>
      <c r="T129" s="1055">
        <f>G118</f>
        <v>0.14328135279788046</v>
      </c>
      <c r="U129" s="1055"/>
      <c r="V129" s="1055">
        <f>G119</f>
        <v>0.16934867262931416</v>
      </c>
      <c r="W129" s="1055"/>
      <c r="X129" s="1055">
        <f>G120</f>
        <v>0.11189388147015418</v>
      </c>
      <c r="Y129" s="1055"/>
      <c r="Z129" s="1055">
        <f>G121</f>
        <v>5.3557140062945638E-2</v>
      </c>
      <c r="AA129" s="1055"/>
      <c r="AB129" s="1057">
        <f>G122</f>
        <v>0.13862266398762429</v>
      </c>
      <c r="AC129" s="1058"/>
      <c r="AD129" s="1057">
        <f>G123</f>
        <v>0</v>
      </c>
      <c r="AE129" s="1058"/>
    </row>
    <row r="130" spans="1:31">
      <c r="A130" s="215" t="s">
        <v>88</v>
      </c>
      <c r="B130" s="1055">
        <f>H109</f>
        <v>0</v>
      </c>
      <c r="C130" s="1055"/>
      <c r="D130" s="1055">
        <f>H110</f>
        <v>0</v>
      </c>
      <c r="E130" s="1055"/>
      <c r="F130" s="1055">
        <f>H111</f>
        <v>0</v>
      </c>
      <c r="G130" s="1055"/>
      <c r="H130" s="1055">
        <f>H112</f>
        <v>0</v>
      </c>
      <c r="I130" s="1055"/>
      <c r="J130" s="1055">
        <f>H113</f>
        <v>0</v>
      </c>
      <c r="K130" s="1055"/>
      <c r="L130" s="1055">
        <f>H114</f>
        <v>0</v>
      </c>
      <c r="M130" s="1055"/>
      <c r="N130" s="1055">
        <f>H115</f>
        <v>0</v>
      </c>
      <c r="O130" s="1055"/>
      <c r="P130" s="1055">
        <f>H116</f>
        <v>0</v>
      </c>
      <c r="Q130" s="1055"/>
      <c r="R130" s="1055">
        <f>H117</f>
        <v>0</v>
      </c>
      <c r="S130" s="1055"/>
      <c r="T130" s="1055">
        <f>H118</f>
        <v>0</v>
      </c>
      <c r="U130" s="1055"/>
      <c r="V130" s="1055">
        <f>H119</f>
        <v>0</v>
      </c>
      <c r="W130" s="1055"/>
      <c r="X130" s="1055">
        <f>H120</f>
        <v>0</v>
      </c>
      <c r="Y130" s="1055"/>
      <c r="Z130" s="1055">
        <f>H121</f>
        <v>0</v>
      </c>
      <c r="AA130" s="1055"/>
      <c r="AB130" s="1055">
        <f>H122</f>
        <v>0</v>
      </c>
      <c r="AC130" s="1055"/>
      <c r="AD130" s="1055">
        <f>H123</f>
        <v>0</v>
      </c>
      <c r="AE130" s="1055"/>
    </row>
    <row r="131" spans="1:31">
      <c r="A131" s="215" t="s">
        <v>89</v>
      </c>
      <c r="B131" s="1055">
        <f>I109</f>
        <v>0</v>
      </c>
      <c r="C131" s="1055"/>
      <c r="D131" s="1055">
        <f>I110</f>
        <v>0</v>
      </c>
      <c r="E131" s="1055"/>
      <c r="F131" s="1055">
        <f>I111</f>
        <v>0</v>
      </c>
      <c r="G131" s="1055"/>
      <c r="H131" s="1055">
        <f>I112</f>
        <v>0</v>
      </c>
      <c r="I131" s="1055"/>
      <c r="J131" s="1055">
        <f>I113</f>
        <v>0</v>
      </c>
      <c r="K131" s="1055"/>
      <c r="L131" s="1055">
        <f>I114</f>
        <v>0</v>
      </c>
      <c r="M131" s="1055"/>
      <c r="N131" s="1055">
        <f>I115</f>
        <v>0</v>
      </c>
      <c r="O131" s="1055"/>
      <c r="P131" s="1055">
        <f>I116</f>
        <v>0</v>
      </c>
      <c r="Q131" s="1055"/>
      <c r="R131" s="1055">
        <f>I117</f>
        <v>0</v>
      </c>
      <c r="S131" s="1055"/>
      <c r="T131" s="1055">
        <f>I118</f>
        <v>0</v>
      </c>
      <c r="U131" s="1055"/>
      <c r="V131" s="1055">
        <f>I119</f>
        <v>0</v>
      </c>
      <c r="W131" s="1055"/>
      <c r="X131" s="1055">
        <f>I120</f>
        <v>0</v>
      </c>
      <c r="Y131" s="1055"/>
      <c r="Z131" s="1055">
        <f>I121</f>
        <v>0</v>
      </c>
      <c r="AA131" s="1055"/>
      <c r="AB131" s="1055">
        <f>I122</f>
        <v>0</v>
      </c>
      <c r="AC131" s="1055"/>
      <c r="AD131" s="1055">
        <f>I123</f>
        <v>0</v>
      </c>
      <c r="AE131" s="1055"/>
    </row>
    <row r="132" spans="1:31">
      <c r="A132" s="215" t="s">
        <v>90</v>
      </c>
      <c r="B132" s="1055">
        <f>J109</f>
        <v>0</v>
      </c>
      <c r="C132" s="1055"/>
      <c r="D132" s="1055">
        <f>J110</f>
        <v>0</v>
      </c>
      <c r="E132" s="1055"/>
      <c r="F132" s="1055">
        <f>J111</f>
        <v>0</v>
      </c>
      <c r="G132" s="1055"/>
      <c r="H132" s="1055">
        <f>J112</f>
        <v>0</v>
      </c>
      <c r="I132" s="1055"/>
      <c r="J132" s="1055">
        <f>J113</f>
        <v>0</v>
      </c>
      <c r="K132" s="1055"/>
      <c r="L132" s="1055">
        <f>J114</f>
        <v>0</v>
      </c>
      <c r="M132" s="1055"/>
      <c r="N132" s="1055">
        <f>J115</f>
        <v>0</v>
      </c>
      <c r="O132" s="1055"/>
      <c r="P132" s="1055">
        <f>J116</f>
        <v>0</v>
      </c>
      <c r="Q132" s="1055"/>
      <c r="R132" s="1055">
        <f>J117</f>
        <v>0</v>
      </c>
      <c r="S132" s="1055"/>
      <c r="T132" s="1055">
        <f>J118</f>
        <v>0</v>
      </c>
      <c r="U132" s="1055"/>
      <c r="V132" s="1055">
        <f>J119</f>
        <v>0</v>
      </c>
      <c r="W132" s="1055"/>
      <c r="X132" s="1055">
        <f>J120</f>
        <v>0</v>
      </c>
      <c r="Y132" s="1055"/>
      <c r="Z132" s="1055">
        <f>J121</f>
        <v>0</v>
      </c>
      <c r="AA132" s="1055"/>
      <c r="AB132" s="1055">
        <f>J122</f>
        <v>0</v>
      </c>
      <c r="AC132" s="1055"/>
      <c r="AD132" s="1055">
        <f>J123</f>
        <v>1</v>
      </c>
      <c r="AE132" s="1055"/>
    </row>
    <row r="133" spans="1:31">
      <c r="A133" s="215" t="s">
        <v>91</v>
      </c>
      <c r="B133" s="1055">
        <f>K109</f>
        <v>1</v>
      </c>
      <c r="C133" s="1055"/>
      <c r="D133" s="1055">
        <f>K110</f>
        <v>2.7068708019976597E-2</v>
      </c>
      <c r="E133" s="1055"/>
      <c r="F133" s="1055">
        <f>K111</f>
        <v>9.4657445223231051E-2</v>
      </c>
      <c r="G133" s="1055"/>
      <c r="H133" s="1055">
        <f>K112</f>
        <v>2.0260014591638925E-2</v>
      </c>
      <c r="I133" s="1055"/>
      <c r="J133" s="1055">
        <f>K113</f>
        <v>0</v>
      </c>
      <c r="K133" s="1055"/>
      <c r="L133" s="1055">
        <f>K114</f>
        <v>0.11713166905985782</v>
      </c>
      <c r="M133" s="1055"/>
      <c r="N133" s="1055">
        <f>K115</f>
        <v>0.74088216310529564</v>
      </c>
      <c r="O133" s="1055"/>
      <c r="P133" s="1055">
        <f>K116</f>
        <v>0.30372334961384378</v>
      </c>
      <c r="Q133" s="1055"/>
      <c r="R133" s="1055">
        <f>K117</f>
        <v>0.15963616327826599</v>
      </c>
      <c r="S133" s="1055"/>
      <c r="T133" s="1055">
        <f>K118</f>
        <v>0.15050289033535363</v>
      </c>
      <c r="U133" s="1055"/>
      <c r="V133" s="1055">
        <f>K119</f>
        <v>0.17788403171430972</v>
      </c>
      <c r="W133" s="1055"/>
      <c r="X133" s="1055">
        <f>K120</f>
        <v>6.387687825104362E-3</v>
      </c>
      <c r="Y133" s="1055"/>
      <c r="Z133" s="1055">
        <f>K121</f>
        <v>5.6256478740392787E-2</v>
      </c>
      <c r="AA133" s="1055"/>
      <c r="AB133" s="1055">
        <f>K122</f>
        <v>0.14560939849272989</v>
      </c>
      <c r="AC133" s="1055"/>
      <c r="AD133" s="1055">
        <f>K123</f>
        <v>0</v>
      </c>
      <c r="AE133" s="1055"/>
    </row>
    <row r="134" spans="1:31">
      <c r="A134" s="215" t="s">
        <v>95</v>
      </c>
      <c r="B134" s="1055">
        <f>L109</f>
        <v>1</v>
      </c>
      <c r="C134" s="1055"/>
      <c r="D134" s="1055">
        <f>L110</f>
        <v>0.18991471314722469</v>
      </c>
      <c r="E134" s="1055"/>
      <c r="F134" s="1055">
        <f>L111</f>
        <v>0</v>
      </c>
      <c r="G134" s="1055"/>
      <c r="H134" s="1055">
        <f>L112</f>
        <v>0</v>
      </c>
      <c r="I134" s="1055"/>
      <c r="J134" s="1055">
        <f>L113</f>
        <v>0</v>
      </c>
      <c r="K134" s="1055"/>
      <c r="L134" s="1055">
        <f>L114</f>
        <v>0</v>
      </c>
      <c r="M134" s="1055"/>
      <c r="N134" s="1055">
        <f>L115</f>
        <v>0.81008528685277537</v>
      </c>
      <c r="O134" s="1055"/>
      <c r="P134" s="1055">
        <f>L116</f>
        <v>0.46776568999142792</v>
      </c>
      <c r="Q134" s="1055"/>
      <c r="R134" s="1055">
        <f>L117</f>
        <v>0.12292818474177457</v>
      </c>
      <c r="S134" s="1055"/>
      <c r="T134" s="1055">
        <f>L118</f>
        <v>0.11589508747504616</v>
      </c>
      <c r="U134" s="1055"/>
      <c r="V134" s="1055">
        <f>L119</f>
        <v>0.13697999666323399</v>
      </c>
      <c r="W134" s="1055"/>
      <c r="X134" s="1055">
        <f>L120</f>
        <v>9.8377066062213417E-4</v>
      </c>
      <c r="Y134" s="1055"/>
      <c r="Z134" s="1055">
        <f>L121</f>
        <v>4.3320427336167665E-2</v>
      </c>
      <c r="AA134" s="1055"/>
      <c r="AB134" s="1055">
        <f>L122</f>
        <v>0.11212684313172752</v>
      </c>
      <c r="AC134" s="1055"/>
      <c r="AD134" s="1055">
        <f>L123</f>
        <v>0</v>
      </c>
      <c r="AE134" s="1055"/>
    </row>
    <row r="135" spans="1:31">
      <c r="A135" s="215" t="s">
        <v>861</v>
      </c>
      <c r="B135" s="1055">
        <f>M109</f>
        <v>1</v>
      </c>
      <c r="C135" s="1055"/>
      <c r="D135" s="1055">
        <f>M110</f>
        <v>0</v>
      </c>
      <c r="E135" s="1055"/>
      <c r="F135" s="1055">
        <f>M111</f>
        <v>0</v>
      </c>
      <c r="G135" s="1055"/>
      <c r="H135" s="1055">
        <f>M112</f>
        <v>0</v>
      </c>
      <c r="I135" s="1055"/>
      <c r="J135" s="1055">
        <f>M113</f>
        <v>0</v>
      </c>
      <c r="K135" s="1055"/>
      <c r="L135" s="1055">
        <f>M114</f>
        <v>0</v>
      </c>
      <c r="M135" s="1055"/>
      <c r="N135" s="1055">
        <f>M115</f>
        <v>1</v>
      </c>
      <c r="O135" s="1055"/>
      <c r="P135" s="1055">
        <f>M116</f>
        <v>0.27563499529633112</v>
      </c>
      <c r="Q135" s="1055"/>
      <c r="R135" s="1055">
        <f>M117</f>
        <v>0.72436500470366871</v>
      </c>
      <c r="S135" s="1055"/>
      <c r="T135" s="1055">
        <f>M118</f>
        <v>0</v>
      </c>
      <c r="U135" s="1055"/>
      <c r="V135" s="1055">
        <f>M119</f>
        <v>0</v>
      </c>
      <c r="W135" s="1055"/>
      <c r="X135" s="1055">
        <f>M120</f>
        <v>0</v>
      </c>
      <c r="Y135" s="1055"/>
      <c r="Z135" s="1055">
        <f>M121</f>
        <v>0</v>
      </c>
      <c r="AA135" s="1055"/>
      <c r="AB135" s="1055">
        <f>M122</f>
        <v>0</v>
      </c>
      <c r="AC135" s="1055"/>
      <c r="AD135" s="1055">
        <f>M123</f>
        <v>0</v>
      </c>
      <c r="AE135" s="1055"/>
    </row>
    <row r="136" spans="1:31">
      <c r="A136" s="64"/>
      <c r="B136" s="64"/>
      <c r="C136" s="64"/>
      <c r="D136" s="64"/>
      <c r="E136" s="246"/>
      <c r="F136" s="64"/>
      <c r="G136" s="64"/>
      <c r="H136" s="64"/>
      <c r="I136" s="64"/>
      <c r="J136" s="64"/>
      <c r="K136" s="64"/>
      <c r="L136" s="64"/>
      <c r="M136" s="64"/>
      <c r="N136" s="106"/>
    </row>
    <row r="137" spans="1:31" ht="60" customHeight="1">
      <c r="A137" s="140" t="s">
        <v>129</v>
      </c>
      <c r="B137" s="1026" t="s">
        <v>130</v>
      </c>
      <c r="C137" s="1026"/>
      <c r="D137" s="140" t="s">
        <v>131</v>
      </c>
      <c r="E137" s="244" t="s">
        <v>900</v>
      </c>
      <c r="F137" s="243" t="s">
        <v>102</v>
      </c>
      <c r="G137" s="243" t="s">
        <v>133</v>
      </c>
      <c r="H137" s="1021" t="s">
        <v>104</v>
      </c>
      <c r="I137" s="1022"/>
      <c r="J137" s="1056" t="s">
        <v>123</v>
      </c>
      <c r="K137" s="1056"/>
      <c r="L137" s="1056"/>
      <c r="M137" s="1056"/>
      <c r="N137" s="1056"/>
      <c r="O137" s="1056"/>
      <c r="P137" s="1056"/>
      <c r="Q137" s="1056"/>
      <c r="R137" s="1056"/>
      <c r="S137" s="1056"/>
    </row>
    <row r="138" spans="1:31" s="946" customFormat="1">
      <c r="A138" s="942" t="s">
        <v>196</v>
      </c>
      <c r="B138" s="1059" t="s">
        <v>901</v>
      </c>
      <c r="C138" s="1059"/>
      <c r="D138" s="942" t="s">
        <v>139</v>
      </c>
      <c r="E138" s="943">
        <v>3.6999999999999999E-4</v>
      </c>
      <c r="F138" s="942" t="s">
        <v>139</v>
      </c>
      <c r="G138" s="944">
        <v>1</v>
      </c>
      <c r="H138" s="1066" t="s">
        <v>163</v>
      </c>
      <c r="I138" s="1067"/>
      <c r="J138" s="1059" t="s">
        <v>902</v>
      </c>
      <c r="K138" s="1059"/>
      <c r="L138" s="1059"/>
      <c r="M138" s="1059"/>
      <c r="N138" s="1059"/>
      <c r="O138" s="1059"/>
      <c r="P138" s="1059"/>
      <c r="Q138" s="1059"/>
      <c r="R138" s="1059"/>
      <c r="S138" s="1059"/>
      <c r="T138" s="945"/>
      <c r="U138" s="945"/>
      <c r="V138" s="945"/>
      <c r="W138" s="945"/>
      <c r="X138" s="945"/>
      <c r="Y138" s="945"/>
      <c r="Z138" s="945"/>
      <c r="AA138" s="945"/>
      <c r="AB138" s="945"/>
      <c r="AC138" s="945"/>
    </row>
    <row r="139" spans="1:31" s="946" customFormat="1">
      <c r="A139" s="942" t="s">
        <v>196</v>
      </c>
      <c r="B139" s="1059" t="s">
        <v>901</v>
      </c>
      <c r="C139" s="1059"/>
      <c r="D139" s="942" t="s">
        <v>139</v>
      </c>
      <c r="E139" s="943">
        <v>8.0000000000000002E-3</v>
      </c>
      <c r="F139" s="942" t="s">
        <v>139</v>
      </c>
      <c r="G139" s="944">
        <v>1</v>
      </c>
      <c r="H139" s="1066" t="s">
        <v>163</v>
      </c>
      <c r="I139" s="1067"/>
      <c r="J139" s="1059" t="s">
        <v>903</v>
      </c>
      <c r="K139" s="1059"/>
      <c r="L139" s="1059"/>
      <c r="M139" s="1059"/>
      <c r="N139" s="1059"/>
      <c r="O139" s="1059"/>
      <c r="P139" s="1059"/>
      <c r="Q139" s="1059"/>
      <c r="R139" s="1059"/>
      <c r="S139" s="1059"/>
      <c r="T139" s="945"/>
      <c r="U139" s="945"/>
      <c r="V139" s="945"/>
      <c r="W139" s="945"/>
      <c r="X139" s="945"/>
      <c r="Y139" s="945"/>
      <c r="Z139" s="945"/>
      <c r="AA139" s="945"/>
      <c r="AB139" s="945"/>
      <c r="AC139" s="945"/>
    </row>
    <row r="140" spans="1:31" s="946" customFormat="1">
      <c r="A140" s="942" t="s">
        <v>196</v>
      </c>
      <c r="B140" s="1059" t="s">
        <v>901</v>
      </c>
      <c r="C140" s="1059"/>
      <c r="D140" s="942" t="s">
        <v>139</v>
      </c>
      <c r="E140" s="943">
        <v>2.5100000000000001E-3</v>
      </c>
      <c r="F140" s="942" t="s">
        <v>139</v>
      </c>
      <c r="G140" s="944">
        <v>1</v>
      </c>
      <c r="H140" s="1066" t="s">
        <v>163</v>
      </c>
      <c r="I140" s="1067"/>
      <c r="J140" s="1059" t="s">
        <v>904</v>
      </c>
      <c r="K140" s="1059"/>
      <c r="L140" s="1059"/>
      <c r="M140" s="1059"/>
      <c r="N140" s="1059"/>
      <c r="O140" s="1059"/>
      <c r="P140" s="1059"/>
      <c r="Q140" s="1059"/>
      <c r="R140" s="1059"/>
      <c r="S140" s="1059"/>
      <c r="T140" s="945"/>
      <c r="U140" s="945"/>
      <c r="V140" s="945"/>
      <c r="W140" s="945"/>
      <c r="X140" s="945"/>
      <c r="Y140" s="945"/>
      <c r="Z140" s="945"/>
      <c r="AA140" s="945"/>
      <c r="AB140" s="945"/>
      <c r="AC140" s="945"/>
    </row>
    <row r="141" spans="1:31" s="946" customFormat="1">
      <c r="A141" s="942" t="s">
        <v>196</v>
      </c>
      <c r="B141" s="1059" t="s">
        <v>231</v>
      </c>
      <c r="C141" s="1059"/>
      <c r="D141" s="942" t="s">
        <v>139</v>
      </c>
      <c r="E141" s="943">
        <v>3.0000000000000001E-5</v>
      </c>
      <c r="F141" s="942" t="s">
        <v>139</v>
      </c>
      <c r="G141" s="944">
        <v>1</v>
      </c>
      <c r="H141" s="1066" t="s">
        <v>163</v>
      </c>
      <c r="I141" s="1067"/>
      <c r="J141" s="1059" t="s">
        <v>905</v>
      </c>
      <c r="K141" s="1059"/>
      <c r="L141" s="1059"/>
      <c r="M141" s="1059"/>
      <c r="N141" s="1059"/>
      <c r="O141" s="1059"/>
      <c r="P141" s="1059"/>
      <c r="Q141" s="1059"/>
      <c r="R141" s="1059"/>
      <c r="S141" s="1059"/>
      <c r="T141" s="945"/>
      <c r="U141" s="945"/>
      <c r="V141" s="945"/>
      <c r="W141" s="945"/>
      <c r="X141" s="945"/>
      <c r="Y141" s="945"/>
      <c r="Z141" s="945"/>
      <c r="AA141" s="945"/>
      <c r="AB141" s="945"/>
      <c r="AC141" s="945"/>
    </row>
    <row r="142" spans="1:31" s="946" customFormat="1">
      <c r="A142" s="942" t="s">
        <v>196</v>
      </c>
      <c r="B142" s="1059" t="s">
        <v>231</v>
      </c>
      <c r="C142" s="1059"/>
      <c r="D142" s="942" t="s">
        <v>139</v>
      </c>
      <c r="E142" s="943">
        <v>5.9999999999999995E-4</v>
      </c>
      <c r="F142" s="942" t="s">
        <v>139</v>
      </c>
      <c r="G142" s="944">
        <v>1</v>
      </c>
      <c r="H142" s="1066" t="s">
        <v>163</v>
      </c>
      <c r="I142" s="1067"/>
      <c r="J142" s="1059" t="s">
        <v>906</v>
      </c>
      <c r="K142" s="1059"/>
      <c r="L142" s="1059"/>
      <c r="M142" s="1059"/>
      <c r="N142" s="1059"/>
      <c r="O142" s="1059"/>
      <c r="P142" s="1059"/>
      <c r="Q142" s="1059"/>
      <c r="R142" s="1059"/>
      <c r="S142" s="1059"/>
      <c r="T142" s="945"/>
      <c r="U142" s="945"/>
      <c r="V142" s="945"/>
      <c r="W142" s="945"/>
      <c r="X142" s="945"/>
      <c r="Y142" s="945"/>
      <c r="Z142" s="945"/>
      <c r="AA142" s="945"/>
      <c r="AB142" s="945"/>
      <c r="AC142" s="945"/>
    </row>
    <row r="143" spans="1:31" s="946" customFormat="1">
      <c r="A143" s="942" t="s">
        <v>196</v>
      </c>
      <c r="B143" s="1059" t="s">
        <v>231</v>
      </c>
      <c r="C143" s="1059"/>
      <c r="D143" s="942" t="s">
        <v>139</v>
      </c>
      <c r="E143" s="943">
        <v>1.9000000000000001E-4</v>
      </c>
      <c r="F143" s="942" t="s">
        <v>139</v>
      </c>
      <c r="G143" s="944">
        <v>1</v>
      </c>
      <c r="H143" s="1066" t="s">
        <v>163</v>
      </c>
      <c r="I143" s="1067"/>
      <c r="J143" s="1059" t="s">
        <v>907</v>
      </c>
      <c r="K143" s="1059"/>
      <c r="L143" s="1059"/>
      <c r="M143" s="1059"/>
      <c r="N143" s="1059"/>
      <c r="O143" s="1059"/>
      <c r="P143" s="1059"/>
      <c r="Q143" s="1059"/>
      <c r="R143" s="1059"/>
      <c r="S143" s="1059"/>
      <c r="T143" s="945"/>
      <c r="U143" s="945"/>
      <c r="V143" s="945"/>
      <c r="W143" s="945"/>
      <c r="X143" s="945"/>
      <c r="Y143" s="945"/>
      <c r="Z143" s="945"/>
      <c r="AA143" s="945"/>
      <c r="AB143" s="945"/>
      <c r="AC143" s="945"/>
    </row>
    <row r="144" spans="1:31" s="946" customFormat="1">
      <c r="A144" s="942" t="s">
        <v>196</v>
      </c>
      <c r="B144" s="1059" t="s">
        <v>232</v>
      </c>
      <c r="C144" s="1059"/>
      <c r="D144" s="942" t="s">
        <v>139</v>
      </c>
      <c r="E144" s="943">
        <v>1.7569999999999999E-2</v>
      </c>
      <c r="F144" s="942" t="s">
        <v>139</v>
      </c>
      <c r="G144" s="944">
        <v>1</v>
      </c>
      <c r="H144" s="1066" t="s">
        <v>168</v>
      </c>
      <c r="I144" s="1067"/>
      <c r="J144" s="1059" t="s">
        <v>908</v>
      </c>
      <c r="K144" s="1059"/>
      <c r="L144" s="1059"/>
      <c r="M144" s="1059"/>
      <c r="N144" s="1059"/>
      <c r="O144" s="1059"/>
      <c r="P144" s="1059"/>
      <c r="Q144" s="1059"/>
      <c r="R144" s="1059"/>
      <c r="S144" s="1059"/>
      <c r="T144" s="945"/>
      <c r="U144" s="945"/>
      <c r="V144" s="945"/>
      <c r="W144" s="945"/>
      <c r="X144" s="945"/>
      <c r="Y144" s="945"/>
      <c r="Z144" s="945"/>
      <c r="AA144" s="945"/>
      <c r="AB144" s="945"/>
      <c r="AC144" s="945"/>
    </row>
    <row r="145" spans="1:29" s="946" customFormat="1">
      <c r="A145" s="942" t="s">
        <v>196</v>
      </c>
      <c r="B145" s="1059" t="s">
        <v>194</v>
      </c>
      <c r="C145" s="1059"/>
      <c r="D145" s="942" t="s">
        <v>139</v>
      </c>
      <c r="E145" s="943" t="s">
        <v>150</v>
      </c>
      <c r="F145" s="942" t="s">
        <v>139</v>
      </c>
      <c r="G145" s="944">
        <v>1</v>
      </c>
      <c r="H145" s="1066" t="s">
        <v>168</v>
      </c>
      <c r="I145" s="1067"/>
      <c r="J145" s="1059" t="s">
        <v>909</v>
      </c>
      <c r="K145" s="1059"/>
      <c r="L145" s="1059"/>
      <c r="M145" s="1059"/>
      <c r="N145" s="1059"/>
      <c r="O145" s="1059"/>
      <c r="P145" s="1059"/>
      <c r="Q145" s="1059"/>
      <c r="R145" s="1059"/>
      <c r="S145" s="1059"/>
      <c r="T145" s="945"/>
      <c r="U145" s="945"/>
      <c r="V145" s="945"/>
      <c r="W145" s="945"/>
      <c r="X145" s="945"/>
      <c r="Y145" s="945"/>
      <c r="Z145" s="945"/>
      <c r="AA145" s="945"/>
      <c r="AB145" s="945"/>
      <c r="AC145" s="945"/>
    </row>
    <row r="146" spans="1:29" s="946" customFormat="1">
      <c r="A146" s="942" t="s">
        <v>194</v>
      </c>
      <c r="B146" s="1059" t="s">
        <v>204</v>
      </c>
      <c r="C146" s="1059"/>
      <c r="D146" s="942" t="s">
        <v>139</v>
      </c>
      <c r="E146" s="943">
        <v>2.7E-4</v>
      </c>
      <c r="F146" s="942" t="s">
        <v>139</v>
      </c>
      <c r="G146" s="944">
        <v>2</v>
      </c>
      <c r="H146" s="1066" t="s">
        <v>163</v>
      </c>
      <c r="I146" s="1067"/>
      <c r="J146" s="1059"/>
      <c r="K146" s="1059"/>
      <c r="L146" s="1059"/>
      <c r="M146" s="1059"/>
      <c r="N146" s="1059"/>
      <c r="O146" s="1059"/>
      <c r="P146" s="1059"/>
      <c r="Q146" s="1059"/>
      <c r="R146" s="1059"/>
      <c r="S146" s="1059"/>
      <c r="T146" s="945"/>
      <c r="U146" s="945"/>
      <c r="V146" s="945"/>
      <c r="W146" s="945"/>
      <c r="X146" s="945"/>
      <c r="Y146" s="945"/>
      <c r="Z146" s="945"/>
      <c r="AA146" s="945"/>
      <c r="AB146" s="945"/>
      <c r="AC146" s="945"/>
    </row>
    <row r="147" spans="1:29" s="946" customFormat="1">
      <c r="A147" s="942" t="s">
        <v>194</v>
      </c>
      <c r="B147" s="1059" t="s">
        <v>223</v>
      </c>
      <c r="C147" s="1059"/>
      <c r="D147" s="942" t="s">
        <v>139</v>
      </c>
      <c r="E147" s="943">
        <v>0.55385041999999995</v>
      </c>
      <c r="F147" s="942" t="s">
        <v>139</v>
      </c>
      <c r="G147" s="944">
        <v>1</v>
      </c>
      <c r="H147" s="1066" t="s">
        <v>224</v>
      </c>
      <c r="I147" s="1067"/>
      <c r="J147" s="1059" t="s">
        <v>910</v>
      </c>
      <c r="K147" s="1059"/>
      <c r="L147" s="1059"/>
      <c r="M147" s="1059"/>
      <c r="N147" s="1059"/>
      <c r="O147" s="1059"/>
      <c r="P147" s="1059"/>
      <c r="Q147" s="1059"/>
      <c r="R147" s="1059"/>
      <c r="S147" s="1059"/>
      <c r="T147" s="945"/>
      <c r="U147" s="945"/>
      <c r="V147" s="945"/>
      <c r="W147" s="945"/>
      <c r="X147" s="945"/>
      <c r="Y147" s="945"/>
      <c r="Z147" s="945"/>
      <c r="AA147" s="945"/>
      <c r="AB147" s="945"/>
      <c r="AC147" s="945"/>
    </row>
    <row r="148" spans="1:29" s="946" customFormat="1">
      <c r="A148" s="942" t="s">
        <v>194</v>
      </c>
      <c r="B148" s="1059" t="s">
        <v>225</v>
      </c>
      <c r="C148" s="1059"/>
      <c r="D148" s="942" t="s">
        <v>139</v>
      </c>
      <c r="E148" s="943">
        <v>0.44587958</v>
      </c>
      <c r="F148" s="942" t="s">
        <v>139</v>
      </c>
      <c r="G148" s="944">
        <v>1</v>
      </c>
      <c r="H148" s="1066" t="s">
        <v>224</v>
      </c>
      <c r="I148" s="1067"/>
      <c r="J148" s="1059" t="s">
        <v>911</v>
      </c>
      <c r="K148" s="1059"/>
      <c r="L148" s="1059"/>
      <c r="M148" s="1059"/>
      <c r="N148" s="1059"/>
      <c r="O148" s="1059"/>
      <c r="P148" s="1059"/>
      <c r="Q148" s="1059"/>
      <c r="R148" s="1059"/>
      <c r="S148" s="1059"/>
      <c r="T148" s="945"/>
      <c r="U148" s="945"/>
      <c r="V148" s="945"/>
      <c r="W148" s="945"/>
      <c r="X148" s="945"/>
      <c r="Y148" s="945"/>
      <c r="Z148" s="945"/>
      <c r="AA148" s="945"/>
      <c r="AB148" s="945"/>
      <c r="AC148" s="945"/>
    </row>
    <row r="149" spans="1:29">
      <c r="A149" s="215" t="s">
        <v>865</v>
      </c>
      <c r="B149" s="1060" t="s">
        <v>232</v>
      </c>
      <c r="C149" s="1060"/>
      <c r="D149" s="185" t="s">
        <v>139</v>
      </c>
      <c r="E149" s="241">
        <v>1.7569999999999999E-2</v>
      </c>
      <c r="F149" s="185" t="s">
        <v>139</v>
      </c>
      <c r="G149" s="245">
        <v>1</v>
      </c>
      <c r="H149" s="1064" t="s">
        <v>168</v>
      </c>
      <c r="I149" s="1065"/>
      <c r="J149" s="1061" t="s">
        <v>912</v>
      </c>
      <c r="K149" s="1061"/>
      <c r="L149" s="1061"/>
      <c r="M149" s="1061"/>
      <c r="N149" s="1061"/>
      <c r="O149" s="1061"/>
      <c r="P149" s="1061"/>
      <c r="Q149" s="1061"/>
      <c r="R149" s="1061"/>
      <c r="S149" s="1061"/>
    </row>
    <row r="150" spans="1:29">
      <c r="A150" s="215" t="s">
        <v>865</v>
      </c>
      <c r="B150" s="1060" t="s">
        <v>913</v>
      </c>
      <c r="C150" s="1060"/>
      <c r="D150" s="185" t="s">
        <v>139</v>
      </c>
      <c r="E150" s="241" t="s">
        <v>150</v>
      </c>
      <c r="F150" s="185" t="s">
        <v>139</v>
      </c>
      <c r="G150" s="245">
        <v>1</v>
      </c>
      <c r="H150" s="1064" t="s">
        <v>168</v>
      </c>
      <c r="I150" s="1065"/>
      <c r="J150" s="1061" t="s">
        <v>909</v>
      </c>
      <c r="K150" s="1061"/>
      <c r="L150" s="1061"/>
      <c r="M150" s="1061"/>
      <c r="N150" s="1061"/>
      <c r="O150" s="1061"/>
      <c r="P150" s="1061"/>
      <c r="Q150" s="1061"/>
      <c r="R150" s="1061"/>
      <c r="S150" s="1061"/>
    </row>
    <row r="151" spans="1:29">
      <c r="A151" s="215" t="s">
        <v>913</v>
      </c>
      <c r="B151" s="1060" t="s">
        <v>204</v>
      </c>
      <c r="C151" s="1060"/>
      <c r="D151" s="185" t="s">
        <v>139</v>
      </c>
      <c r="E151" s="241">
        <v>2.7E-4</v>
      </c>
      <c r="F151" s="185" t="s">
        <v>139</v>
      </c>
      <c r="G151" s="245">
        <v>2</v>
      </c>
      <c r="H151" s="1064" t="s">
        <v>163</v>
      </c>
      <c r="I151" s="1065"/>
      <c r="J151" s="1061"/>
      <c r="K151" s="1061"/>
      <c r="L151" s="1061"/>
      <c r="M151" s="1061"/>
      <c r="N151" s="1061"/>
      <c r="O151" s="1061"/>
      <c r="P151" s="1061"/>
      <c r="Q151" s="1061"/>
      <c r="R151" s="1061"/>
      <c r="S151" s="1061"/>
    </row>
    <row r="152" spans="1:29">
      <c r="A152" s="215" t="s">
        <v>913</v>
      </c>
      <c r="B152" s="1060" t="s">
        <v>223</v>
      </c>
      <c r="C152" s="1060"/>
      <c r="D152" s="185" t="s">
        <v>139</v>
      </c>
      <c r="E152" s="241" t="s">
        <v>150</v>
      </c>
      <c r="F152" s="185" t="s">
        <v>139</v>
      </c>
      <c r="G152" s="245">
        <v>1</v>
      </c>
      <c r="H152" s="1064" t="s">
        <v>340</v>
      </c>
      <c r="I152" s="1065"/>
      <c r="J152" s="1061"/>
      <c r="K152" s="1061"/>
      <c r="L152" s="1061"/>
      <c r="M152" s="1061"/>
      <c r="N152" s="1061"/>
      <c r="O152" s="1061"/>
      <c r="P152" s="1061"/>
      <c r="Q152" s="1061"/>
      <c r="R152" s="1061"/>
      <c r="S152" s="1061"/>
    </row>
    <row r="153" spans="1:29">
      <c r="A153" s="215" t="s">
        <v>330</v>
      </c>
      <c r="B153" s="1060" t="s">
        <v>204</v>
      </c>
      <c r="C153" s="1060"/>
      <c r="D153" s="185" t="s">
        <v>139</v>
      </c>
      <c r="E153" s="241">
        <v>2.7E-4</v>
      </c>
      <c r="F153" s="185" t="s">
        <v>139</v>
      </c>
      <c r="G153" s="245">
        <v>2</v>
      </c>
      <c r="H153" s="1064" t="s">
        <v>163</v>
      </c>
      <c r="I153" s="1065"/>
      <c r="J153" s="1061"/>
      <c r="K153" s="1061"/>
      <c r="L153" s="1061"/>
      <c r="M153" s="1061"/>
      <c r="N153" s="1061"/>
      <c r="O153" s="1061"/>
      <c r="P153" s="1061"/>
      <c r="Q153" s="1061"/>
      <c r="R153" s="1061"/>
      <c r="S153" s="1061"/>
    </row>
    <row r="154" spans="1:29">
      <c r="A154" s="215" t="s">
        <v>330</v>
      </c>
      <c r="B154" s="1060" t="s">
        <v>223</v>
      </c>
      <c r="C154" s="1060"/>
      <c r="D154" s="185" t="s">
        <v>139</v>
      </c>
      <c r="E154" s="241" t="s">
        <v>150</v>
      </c>
      <c r="F154" s="185" t="s">
        <v>139</v>
      </c>
      <c r="G154" s="245">
        <v>1</v>
      </c>
      <c r="H154" s="1064" t="s">
        <v>340</v>
      </c>
      <c r="I154" s="1065"/>
      <c r="J154" s="1061"/>
      <c r="K154" s="1061"/>
      <c r="L154" s="1061"/>
      <c r="M154" s="1061"/>
      <c r="N154" s="1061"/>
      <c r="O154" s="1061"/>
      <c r="P154" s="1061"/>
      <c r="Q154" s="1061"/>
      <c r="R154" s="1061"/>
      <c r="S154" s="1061"/>
    </row>
    <row r="155" spans="1:29">
      <c r="A155" s="215" t="s">
        <v>330</v>
      </c>
      <c r="B155" s="1060" t="s">
        <v>356</v>
      </c>
      <c r="C155" s="1060"/>
      <c r="D155" s="185" t="s">
        <v>139</v>
      </c>
      <c r="E155" s="241">
        <v>6.5000000000000002E-2</v>
      </c>
      <c r="F155" s="185" t="s">
        <v>139</v>
      </c>
      <c r="G155" s="245">
        <v>1</v>
      </c>
      <c r="H155" s="1064" t="s">
        <v>406</v>
      </c>
      <c r="I155" s="1065"/>
      <c r="J155" s="1061" t="s">
        <v>914</v>
      </c>
      <c r="K155" s="1061"/>
      <c r="L155" s="1061"/>
      <c r="M155" s="1061"/>
      <c r="N155" s="1061"/>
      <c r="O155" s="1061"/>
      <c r="P155" s="1061"/>
      <c r="Q155" s="1061"/>
      <c r="R155" s="1061"/>
      <c r="S155" s="1061"/>
    </row>
    <row r="156" spans="1:29">
      <c r="A156" s="215" t="s">
        <v>330</v>
      </c>
      <c r="B156" s="1060" t="s">
        <v>356</v>
      </c>
      <c r="C156" s="1060"/>
      <c r="D156" s="185" t="s">
        <v>139</v>
      </c>
      <c r="E156" s="241">
        <v>0.46</v>
      </c>
      <c r="F156" s="185" t="s">
        <v>139</v>
      </c>
      <c r="G156" s="245">
        <v>1</v>
      </c>
      <c r="H156" s="1064" t="s">
        <v>407</v>
      </c>
      <c r="I156" s="1065"/>
      <c r="J156" s="1061" t="s">
        <v>915</v>
      </c>
      <c r="K156" s="1061"/>
      <c r="L156" s="1061"/>
      <c r="M156" s="1061"/>
      <c r="N156" s="1061"/>
      <c r="O156" s="1061"/>
      <c r="P156" s="1061"/>
      <c r="Q156" s="1061"/>
      <c r="R156" s="1061"/>
      <c r="S156" s="1061"/>
    </row>
    <row r="157" spans="1:29">
      <c r="A157" s="215" t="s">
        <v>241</v>
      </c>
      <c r="B157" s="1060" t="s">
        <v>204</v>
      </c>
      <c r="C157" s="1060"/>
      <c r="D157" s="185" t="s">
        <v>139</v>
      </c>
      <c r="E157" s="241">
        <v>2.7E-4</v>
      </c>
      <c r="F157" s="185" t="s">
        <v>139</v>
      </c>
      <c r="G157" s="245">
        <v>2</v>
      </c>
      <c r="H157" s="1064" t="s">
        <v>163</v>
      </c>
      <c r="I157" s="1065"/>
      <c r="J157" s="1061"/>
      <c r="K157" s="1061"/>
      <c r="L157" s="1061"/>
      <c r="M157" s="1061"/>
      <c r="N157" s="1061"/>
      <c r="O157" s="1061"/>
      <c r="P157" s="1061"/>
      <c r="Q157" s="1061"/>
      <c r="R157" s="1061"/>
      <c r="S157" s="1061"/>
    </row>
    <row r="158" spans="1:29">
      <c r="A158" s="215" t="s">
        <v>241</v>
      </c>
      <c r="B158" s="1060" t="s">
        <v>223</v>
      </c>
      <c r="C158" s="1060"/>
      <c r="D158" s="185" t="s">
        <v>139</v>
      </c>
      <c r="E158" s="241" t="s">
        <v>150</v>
      </c>
      <c r="F158" s="185" t="s">
        <v>139</v>
      </c>
      <c r="G158" s="245">
        <v>1</v>
      </c>
      <c r="H158" s="1064" t="s">
        <v>340</v>
      </c>
      <c r="I158" s="1065"/>
      <c r="J158" s="1061"/>
      <c r="K158" s="1061"/>
      <c r="L158" s="1061"/>
      <c r="M158" s="1061"/>
      <c r="N158" s="1061"/>
      <c r="O158" s="1061"/>
      <c r="P158" s="1061"/>
      <c r="Q158" s="1061"/>
      <c r="R158" s="1061"/>
      <c r="S158" s="1061"/>
    </row>
    <row r="159" spans="1:29">
      <c r="A159" s="215" t="s">
        <v>241</v>
      </c>
      <c r="B159" s="1060" t="s">
        <v>356</v>
      </c>
      <c r="C159" s="1060"/>
      <c r="D159" s="185" t="s">
        <v>139</v>
      </c>
      <c r="E159" s="241">
        <v>0.91400000000000003</v>
      </c>
      <c r="F159" s="185" t="s">
        <v>139</v>
      </c>
      <c r="G159" s="245">
        <v>1</v>
      </c>
      <c r="H159" s="1064" t="s">
        <v>406</v>
      </c>
      <c r="I159" s="1065"/>
      <c r="J159" s="1061" t="s">
        <v>914</v>
      </c>
      <c r="K159" s="1061"/>
      <c r="L159" s="1061"/>
      <c r="M159" s="1061"/>
      <c r="N159" s="1061"/>
      <c r="O159" s="1061"/>
      <c r="P159" s="1061"/>
      <c r="Q159" s="1061"/>
      <c r="R159" s="1061"/>
      <c r="S159" s="1061"/>
    </row>
    <row r="160" spans="1:29">
      <c r="A160" s="215" t="s">
        <v>239</v>
      </c>
      <c r="B160" s="1060" t="s">
        <v>204</v>
      </c>
      <c r="C160" s="1060"/>
      <c r="D160" s="185" t="s">
        <v>139</v>
      </c>
      <c r="E160" s="241">
        <v>2.7E-4</v>
      </c>
      <c r="F160" s="185" t="s">
        <v>139</v>
      </c>
      <c r="G160" s="245">
        <v>2</v>
      </c>
      <c r="H160" s="1064" t="s">
        <v>163</v>
      </c>
      <c r="I160" s="1065"/>
      <c r="J160" s="1061"/>
      <c r="K160" s="1061"/>
      <c r="L160" s="1061"/>
      <c r="M160" s="1061"/>
      <c r="N160" s="1061"/>
      <c r="O160" s="1061"/>
      <c r="P160" s="1061"/>
      <c r="Q160" s="1061"/>
      <c r="R160" s="1061"/>
      <c r="S160" s="1061"/>
    </row>
    <row r="161" spans="1:19">
      <c r="A161" s="215" t="s">
        <v>239</v>
      </c>
      <c r="B161" s="1060" t="s">
        <v>223</v>
      </c>
      <c r="C161" s="1060"/>
      <c r="D161" s="185" t="s">
        <v>139</v>
      </c>
      <c r="E161" s="241" t="s">
        <v>150</v>
      </c>
      <c r="F161" s="185" t="s">
        <v>139</v>
      </c>
      <c r="G161" s="245">
        <v>1</v>
      </c>
      <c r="H161" s="1064" t="s">
        <v>340</v>
      </c>
      <c r="I161" s="1065"/>
      <c r="J161" s="1061"/>
      <c r="K161" s="1061"/>
      <c r="L161" s="1061"/>
      <c r="M161" s="1061"/>
      <c r="N161" s="1061"/>
      <c r="O161" s="1061"/>
      <c r="P161" s="1061"/>
      <c r="Q161" s="1061"/>
      <c r="R161" s="1061"/>
      <c r="S161" s="1061"/>
    </row>
    <row r="162" spans="1:19">
      <c r="A162" s="215" t="s">
        <v>239</v>
      </c>
      <c r="B162" s="1060" t="s">
        <v>356</v>
      </c>
      <c r="C162" s="1060"/>
      <c r="D162" s="185" t="s">
        <v>139</v>
      </c>
      <c r="E162" s="241">
        <v>0.16500000000000001</v>
      </c>
      <c r="F162" s="185" t="s">
        <v>139</v>
      </c>
      <c r="G162" s="245">
        <v>1</v>
      </c>
      <c r="H162" s="1064" t="s">
        <v>406</v>
      </c>
      <c r="I162" s="1065"/>
      <c r="J162" s="1061" t="s">
        <v>914</v>
      </c>
      <c r="K162" s="1061"/>
      <c r="L162" s="1061"/>
      <c r="M162" s="1061"/>
      <c r="N162" s="1061"/>
      <c r="O162" s="1061"/>
      <c r="P162" s="1061"/>
      <c r="Q162" s="1061"/>
      <c r="R162" s="1061"/>
      <c r="S162" s="1061"/>
    </row>
    <row r="163" spans="1:19">
      <c r="A163" s="215" t="s">
        <v>239</v>
      </c>
      <c r="B163" s="1060" t="s">
        <v>356</v>
      </c>
      <c r="C163" s="1060"/>
      <c r="D163" s="185" t="s">
        <v>139</v>
      </c>
      <c r="E163" s="241">
        <v>0.52500000000000002</v>
      </c>
      <c r="F163" s="185" t="s">
        <v>139</v>
      </c>
      <c r="G163" s="245">
        <v>1</v>
      </c>
      <c r="H163" s="1064" t="s">
        <v>406</v>
      </c>
      <c r="I163" s="1065"/>
      <c r="J163" s="1061" t="s">
        <v>915</v>
      </c>
      <c r="K163" s="1061"/>
      <c r="L163" s="1061"/>
      <c r="M163" s="1061"/>
      <c r="N163" s="1061"/>
      <c r="O163" s="1061"/>
      <c r="P163" s="1061"/>
      <c r="Q163" s="1061"/>
      <c r="R163" s="1061"/>
      <c r="S163" s="1061"/>
    </row>
    <row r="164" spans="1:19">
      <c r="A164" s="215" t="s">
        <v>240</v>
      </c>
      <c r="B164" s="1060" t="s">
        <v>204</v>
      </c>
      <c r="C164" s="1060"/>
      <c r="D164" s="185" t="s">
        <v>139</v>
      </c>
      <c r="E164" s="241">
        <v>2.7E-4</v>
      </c>
      <c r="F164" s="185" t="s">
        <v>139</v>
      </c>
      <c r="G164" s="245">
        <v>2</v>
      </c>
      <c r="H164" s="1064" t="s">
        <v>163</v>
      </c>
      <c r="I164" s="1065"/>
      <c r="J164" s="1061"/>
      <c r="K164" s="1061"/>
      <c r="L164" s="1061"/>
      <c r="M164" s="1061"/>
      <c r="N164" s="1061"/>
      <c r="O164" s="1061"/>
      <c r="P164" s="1061"/>
      <c r="Q164" s="1061"/>
      <c r="R164" s="1061"/>
      <c r="S164" s="1061"/>
    </row>
    <row r="165" spans="1:19">
      <c r="A165" s="215" t="s">
        <v>240</v>
      </c>
      <c r="B165" s="1060" t="s">
        <v>223</v>
      </c>
      <c r="C165" s="1060"/>
      <c r="D165" s="185" t="s">
        <v>139</v>
      </c>
      <c r="E165" s="241" t="s">
        <v>150</v>
      </c>
      <c r="F165" s="185" t="s">
        <v>139</v>
      </c>
      <c r="G165" s="245">
        <v>1</v>
      </c>
      <c r="H165" s="1064" t="s">
        <v>340</v>
      </c>
      <c r="I165" s="1065"/>
      <c r="J165" s="1061"/>
      <c r="K165" s="1061"/>
      <c r="L165" s="1061"/>
      <c r="M165" s="1061"/>
      <c r="N165" s="1061"/>
      <c r="O165" s="1061"/>
      <c r="P165" s="1061"/>
      <c r="Q165" s="1061"/>
      <c r="R165" s="1061"/>
      <c r="S165" s="1061"/>
    </row>
    <row r="166" spans="1:19">
      <c r="A166" s="215" t="s">
        <v>240</v>
      </c>
      <c r="B166" s="1060" t="s">
        <v>356</v>
      </c>
      <c r="C166" s="1060"/>
      <c r="D166" s="185" t="s">
        <v>139</v>
      </c>
      <c r="E166" s="241">
        <v>6.5000000000000002E-2</v>
      </c>
      <c r="F166" s="185" t="s">
        <v>139</v>
      </c>
      <c r="G166" s="245">
        <v>1</v>
      </c>
      <c r="H166" s="1064" t="s">
        <v>406</v>
      </c>
      <c r="I166" s="1065"/>
      <c r="J166" s="1061" t="s">
        <v>915</v>
      </c>
      <c r="K166" s="1061"/>
      <c r="L166" s="1061"/>
      <c r="M166" s="1061"/>
      <c r="N166" s="1061"/>
      <c r="O166" s="1061"/>
      <c r="P166" s="1061"/>
      <c r="Q166" s="1061"/>
      <c r="R166" s="1061"/>
      <c r="S166" s="1061"/>
    </row>
    <row r="167" spans="1:19">
      <c r="A167" s="215" t="s">
        <v>191</v>
      </c>
      <c r="B167" s="1060" t="s">
        <v>901</v>
      </c>
      <c r="C167" s="1060"/>
      <c r="D167" s="185" t="s">
        <v>139</v>
      </c>
      <c r="E167" s="241">
        <v>1.2999999999999999E-2</v>
      </c>
      <c r="F167" s="185" t="s">
        <v>139</v>
      </c>
      <c r="G167" s="245">
        <v>1</v>
      </c>
      <c r="H167" s="1064" t="s">
        <v>163</v>
      </c>
      <c r="I167" s="1065"/>
      <c r="J167" s="1061" t="s">
        <v>916</v>
      </c>
      <c r="K167" s="1061"/>
      <c r="L167" s="1061"/>
      <c r="M167" s="1061"/>
      <c r="N167" s="1061"/>
      <c r="O167" s="1061"/>
      <c r="P167" s="1061"/>
      <c r="Q167" s="1061"/>
      <c r="R167" s="1061"/>
      <c r="S167" s="1061"/>
    </row>
    <row r="168" spans="1:19">
      <c r="A168" s="215" t="s">
        <v>191</v>
      </c>
      <c r="B168" s="1060" t="s">
        <v>901</v>
      </c>
      <c r="C168" s="1060"/>
      <c r="D168" s="185" t="s">
        <v>139</v>
      </c>
      <c r="E168" s="241">
        <v>8.6E-3</v>
      </c>
      <c r="F168" s="185" t="s">
        <v>139</v>
      </c>
      <c r="G168" s="245">
        <v>1</v>
      </c>
      <c r="H168" s="1064" t="s">
        <v>163</v>
      </c>
      <c r="I168" s="1065"/>
      <c r="J168" s="1061" t="s">
        <v>917</v>
      </c>
      <c r="K168" s="1061"/>
      <c r="L168" s="1061"/>
      <c r="M168" s="1061"/>
      <c r="N168" s="1061"/>
      <c r="O168" s="1061"/>
      <c r="P168" s="1061"/>
      <c r="Q168" s="1061"/>
      <c r="R168" s="1061"/>
      <c r="S168" s="1061"/>
    </row>
    <row r="169" spans="1:19">
      <c r="A169" s="215" t="s">
        <v>191</v>
      </c>
      <c r="B169" s="1060" t="s">
        <v>231</v>
      </c>
      <c r="C169" s="1060"/>
      <c r="D169" s="185" t="s">
        <v>139</v>
      </c>
      <c r="E169" s="241">
        <v>0</v>
      </c>
      <c r="F169" s="185" t="s">
        <v>139</v>
      </c>
      <c r="G169" s="245">
        <v>1</v>
      </c>
      <c r="H169" s="1064" t="s">
        <v>163</v>
      </c>
      <c r="I169" s="1065"/>
      <c r="J169" s="1061"/>
      <c r="K169" s="1061"/>
      <c r="L169" s="1061"/>
      <c r="M169" s="1061"/>
      <c r="N169" s="1061"/>
      <c r="O169" s="1061"/>
      <c r="P169" s="1061"/>
      <c r="Q169" s="1061"/>
      <c r="R169" s="1061"/>
      <c r="S169" s="1061"/>
    </row>
    <row r="170" spans="1:19">
      <c r="A170" s="215" t="s">
        <v>191</v>
      </c>
      <c r="B170" s="1060" t="s">
        <v>232</v>
      </c>
      <c r="C170" s="1060"/>
      <c r="D170" s="185" t="s">
        <v>139</v>
      </c>
      <c r="E170" s="241">
        <v>1.7569999999999999E-2</v>
      </c>
      <c r="F170" s="185" t="s">
        <v>139</v>
      </c>
      <c r="G170" s="245">
        <v>1</v>
      </c>
      <c r="H170" s="1064" t="s">
        <v>168</v>
      </c>
      <c r="I170" s="1065"/>
      <c r="J170" s="1061" t="s">
        <v>912</v>
      </c>
      <c r="K170" s="1061"/>
      <c r="L170" s="1061"/>
      <c r="M170" s="1061"/>
      <c r="N170" s="1061"/>
      <c r="O170" s="1061"/>
      <c r="P170" s="1061"/>
      <c r="Q170" s="1061"/>
      <c r="R170" s="1061"/>
      <c r="S170" s="1061"/>
    </row>
    <row r="171" spans="1:19">
      <c r="A171" s="215" t="s">
        <v>191</v>
      </c>
      <c r="B171" s="1060" t="s">
        <v>190</v>
      </c>
      <c r="C171" s="1060"/>
      <c r="D171" s="185" t="s">
        <v>139</v>
      </c>
      <c r="E171" s="241" t="s">
        <v>150</v>
      </c>
      <c r="F171" s="185" t="s">
        <v>139</v>
      </c>
      <c r="G171" s="245">
        <v>1</v>
      </c>
      <c r="H171" s="1064" t="s">
        <v>168</v>
      </c>
      <c r="I171" s="1065"/>
      <c r="J171" s="1061" t="s">
        <v>909</v>
      </c>
      <c r="K171" s="1061"/>
      <c r="L171" s="1061"/>
      <c r="M171" s="1061"/>
      <c r="N171" s="1061"/>
      <c r="O171" s="1061"/>
      <c r="P171" s="1061"/>
      <c r="Q171" s="1061"/>
      <c r="R171" s="1061"/>
      <c r="S171" s="1061"/>
    </row>
    <row r="172" spans="1:19">
      <c r="A172" s="215" t="s">
        <v>190</v>
      </c>
      <c r="B172" s="1060" t="s">
        <v>204</v>
      </c>
      <c r="C172" s="1060"/>
      <c r="D172" s="185" t="s">
        <v>139</v>
      </c>
      <c r="E172" s="241">
        <v>2.7E-4</v>
      </c>
      <c r="F172" s="185" t="s">
        <v>139</v>
      </c>
      <c r="G172" s="245">
        <v>2</v>
      </c>
      <c r="H172" s="1064" t="s">
        <v>163</v>
      </c>
      <c r="I172" s="1065"/>
      <c r="J172" s="1061"/>
      <c r="K172" s="1061"/>
      <c r="L172" s="1061"/>
      <c r="M172" s="1061"/>
      <c r="N172" s="1061"/>
      <c r="O172" s="1061"/>
      <c r="P172" s="1061"/>
      <c r="Q172" s="1061"/>
      <c r="R172" s="1061"/>
      <c r="S172" s="1061"/>
    </row>
    <row r="173" spans="1:19">
      <c r="A173" s="215" t="s">
        <v>190</v>
      </c>
      <c r="B173" s="1060" t="s">
        <v>223</v>
      </c>
      <c r="C173" s="1060"/>
      <c r="D173" s="185" t="s">
        <v>139</v>
      </c>
      <c r="E173" s="241">
        <v>0.55385041999999995</v>
      </c>
      <c r="F173" s="185" t="s">
        <v>139</v>
      </c>
      <c r="G173" s="245">
        <v>1</v>
      </c>
      <c r="H173" s="1064" t="s">
        <v>224</v>
      </c>
      <c r="I173" s="1065"/>
      <c r="J173" s="1061" t="s">
        <v>918</v>
      </c>
      <c r="K173" s="1061"/>
      <c r="L173" s="1061"/>
      <c r="M173" s="1061"/>
      <c r="N173" s="1061"/>
      <c r="O173" s="1061"/>
      <c r="P173" s="1061"/>
      <c r="Q173" s="1061"/>
      <c r="R173" s="1061"/>
      <c r="S173" s="1061"/>
    </row>
    <row r="174" spans="1:19">
      <c r="A174" s="215" t="s">
        <v>190</v>
      </c>
      <c r="B174" s="1060" t="str">
        <f>'Textile waste collection'!B32</f>
        <v>Home textile waste collection</v>
      </c>
      <c r="C174" s="1060"/>
      <c r="D174" s="185" t="s">
        <v>139</v>
      </c>
      <c r="E174" s="241">
        <f>'Textile waste collection'!E32</f>
        <v>0.50465116279069766</v>
      </c>
      <c r="F174" s="185" t="s">
        <v>139</v>
      </c>
      <c r="G174" s="245">
        <v>1</v>
      </c>
      <c r="H174" s="1064" t="s">
        <v>224</v>
      </c>
      <c r="I174" s="1065"/>
      <c r="J174" s="1061" t="s">
        <v>919</v>
      </c>
      <c r="K174" s="1061"/>
      <c r="L174" s="1061"/>
      <c r="M174" s="1061"/>
      <c r="N174" s="1061"/>
      <c r="O174" s="1061"/>
      <c r="P174" s="1061"/>
      <c r="Q174" s="1061"/>
      <c r="R174" s="1061"/>
      <c r="S174" s="1061"/>
    </row>
    <row r="175" spans="1:19">
      <c r="A175" s="215" t="s">
        <v>349</v>
      </c>
      <c r="B175" s="1060" t="s">
        <v>901</v>
      </c>
      <c r="C175" s="1060"/>
      <c r="D175" s="185" t="s">
        <v>139</v>
      </c>
      <c r="E175" s="241">
        <v>1.2999999999999999E-2</v>
      </c>
      <c r="F175" s="185" t="s">
        <v>139</v>
      </c>
      <c r="G175" s="245">
        <v>1</v>
      </c>
      <c r="H175" s="1064" t="s">
        <v>163</v>
      </c>
      <c r="I175" s="1065"/>
      <c r="J175" s="1061" t="s">
        <v>920</v>
      </c>
      <c r="K175" s="1061"/>
      <c r="L175" s="1061"/>
      <c r="M175" s="1061"/>
      <c r="N175" s="1061"/>
      <c r="O175" s="1061"/>
      <c r="P175" s="1061"/>
      <c r="Q175" s="1061"/>
      <c r="R175" s="1061"/>
      <c r="S175" s="1061"/>
    </row>
    <row r="176" spans="1:19">
      <c r="A176" s="215" t="s">
        <v>349</v>
      </c>
      <c r="B176" s="1060" t="s">
        <v>901</v>
      </c>
      <c r="C176" s="1060"/>
      <c r="D176" s="185" t="s">
        <v>139</v>
      </c>
      <c r="E176" s="241">
        <v>8.6E-3</v>
      </c>
      <c r="F176" s="185" t="s">
        <v>139</v>
      </c>
      <c r="G176" s="245">
        <v>1</v>
      </c>
      <c r="H176" s="1064" t="s">
        <v>163</v>
      </c>
      <c r="I176" s="1065"/>
      <c r="J176" s="1061" t="s">
        <v>921</v>
      </c>
      <c r="K176" s="1061"/>
      <c r="L176" s="1061"/>
      <c r="M176" s="1061"/>
      <c r="N176" s="1061"/>
      <c r="O176" s="1061"/>
      <c r="P176" s="1061"/>
      <c r="Q176" s="1061"/>
      <c r="R176" s="1061"/>
      <c r="S176" s="1061"/>
    </row>
    <row r="177" spans="1:19">
      <c r="A177" s="215" t="s">
        <v>349</v>
      </c>
      <c r="B177" s="1060" t="s">
        <v>231</v>
      </c>
      <c r="C177" s="1060"/>
      <c r="D177" s="185" t="s">
        <v>139</v>
      </c>
      <c r="E177" s="241">
        <v>0</v>
      </c>
      <c r="F177" s="185" t="s">
        <v>139</v>
      </c>
      <c r="G177" s="245">
        <v>1</v>
      </c>
      <c r="H177" s="1064" t="s">
        <v>163</v>
      </c>
      <c r="I177" s="1065"/>
      <c r="J177" s="1061" t="s">
        <v>922</v>
      </c>
      <c r="K177" s="1061"/>
      <c r="L177" s="1061"/>
      <c r="M177" s="1061"/>
      <c r="N177" s="1061"/>
      <c r="O177" s="1061"/>
      <c r="P177" s="1061"/>
      <c r="Q177" s="1061"/>
      <c r="R177" s="1061"/>
      <c r="S177" s="1061"/>
    </row>
    <row r="178" spans="1:19">
      <c r="A178" s="215" t="s">
        <v>349</v>
      </c>
      <c r="B178" s="1060" t="s">
        <v>232</v>
      </c>
      <c r="C178" s="1060"/>
      <c r="D178" s="185" t="s">
        <v>139</v>
      </c>
      <c r="E178" s="241">
        <v>0</v>
      </c>
      <c r="F178" s="185" t="s">
        <v>139</v>
      </c>
      <c r="G178" s="245">
        <v>1</v>
      </c>
      <c r="H178" s="1064" t="s">
        <v>163</v>
      </c>
      <c r="I178" s="1065"/>
      <c r="J178" s="1061" t="s">
        <v>923</v>
      </c>
      <c r="K178" s="1061"/>
      <c r="L178" s="1061"/>
      <c r="M178" s="1061"/>
      <c r="N178" s="1061"/>
      <c r="O178" s="1061"/>
      <c r="P178" s="1061"/>
      <c r="Q178" s="1061"/>
      <c r="R178" s="1061"/>
      <c r="S178" s="1061"/>
    </row>
    <row r="179" spans="1:19">
      <c r="A179" s="215" t="s">
        <v>349</v>
      </c>
      <c r="B179" s="1060" t="s">
        <v>242</v>
      </c>
      <c r="C179" s="1060"/>
      <c r="D179" s="185" t="s">
        <v>139</v>
      </c>
      <c r="E179" s="241" t="s">
        <v>150</v>
      </c>
      <c r="F179" s="185" t="s">
        <v>139</v>
      </c>
      <c r="G179" s="245">
        <v>1</v>
      </c>
      <c r="H179" s="1064" t="s">
        <v>168</v>
      </c>
      <c r="I179" s="1065"/>
      <c r="J179" s="1061" t="s">
        <v>909</v>
      </c>
      <c r="K179" s="1061"/>
      <c r="L179" s="1061"/>
      <c r="M179" s="1061"/>
      <c r="N179" s="1061"/>
      <c r="O179" s="1061"/>
      <c r="P179" s="1061"/>
      <c r="Q179" s="1061"/>
      <c r="R179" s="1061"/>
      <c r="S179" s="1061"/>
    </row>
    <row r="180" spans="1:19">
      <c r="A180" s="215" t="s">
        <v>242</v>
      </c>
      <c r="B180" s="1060" t="s">
        <v>204</v>
      </c>
      <c r="C180" s="1060"/>
      <c r="D180" s="185" t="s">
        <v>139</v>
      </c>
      <c r="E180" s="241">
        <v>2.7E-4</v>
      </c>
      <c r="F180" s="185" t="s">
        <v>139</v>
      </c>
      <c r="G180" s="245">
        <v>2</v>
      </c>
      <c r="H180" s="1064" t="s">
        <v>163</v>
      </c>
      <c r="I180" s="1065"/>
      <c r="J180" s="1061"/>
      <c r="K180" s="1061"/>
      <c r="L180" s="1061"/>
      <c r="M180" s="1061"/>
      <c r="N180" s="1061"/>
      <c r="O180" s="1061"/>
      <c r="P180" s="1061"/>
      <c r="Q180" s="1061"/>
      <c r="R180" s="1061"/>
      <c r="S180" s="1061"/>
    </row>
    <row r="181" spans="1:19">
      <c r="A181" s="215" t="s">
        <v>242</v>
      </c>
      <c r="B181" s="1060" t="s">
        <v>223</v>
      </c>
      <c r="C181" s="1060"/>
      <c r="D181" s="185" t="s">
        <v>139</v>
      </c>
      <c r="E181" s="241">
        <v>0.55385041999999995</v>
      </c>
      <c r="F181" s="185" t="s">
        <v>139</v>
      </c>
      <c r="G181" s="245">
        <v>1</v>
      </c>
      <c r="H181" s="1064" t="s">
        <v>224</v>
      </c>
      <c r="I181" s="1065"/>
      <c r="J181" s="1061" t="s">
        <v>924</v>
      </c>
      <c r="K181" s="1061"/>
      <c r="L181" s="1061"/>
      <c r="M181" s="1061"/>
      <c r="N181" s="1061"/>
      <c r="O181" s="1061"/>
      <c r="P181" s="1061"/>
      <c r="Q181" s="1061"/>
      <c r="R181" s="1061"/>
      <c r="S181" s="1061"/>
    </row>
    <row r="182" spans="1:19">
      <c r="A182" s="215" t="s">
        <v>242</v>
      </c>
      <c r="B182" s="1060" t="str">
        <f>'Textile waste collection'!B33</f>
        <v>Technical textile waste collection</v>
      </c>
      <c r="C182" s="1060"/>
      <c r="D182" s="185" t="s">
        <v>139</v>
      </c>
      <c r="E182" s="241">
        <f>'Textile waste collection'!E33</f>
        <v>0.50465116279069766</v>
      </c>
      <c r="F182" s="185" t="s">
        <v>139</v>
      </c>
      <c r="G182" s="245">
        <v>1</v>
      </c>
      <c r="H182" s="1064" t="s">
        <v>224</v>
      </c>
      <c r="I182" s="1065"/>
      <c r="J182" s="1061" t="s">
        <v>925</v>
      </c>
      <c r="K182" s="1061"/>
      <c r="L182" s="1061"/>
      <c r="M182" s="1061"/>
      <c r="N182" s="1061"/>
      <c r="O182" s="1061"/>
      <c r="P182" s="1061"/>
      <c r="Q182" s="1061"/>
      <c r="R182" s="1061"/>
      <c r="S182" s="1061"/>
    </row>
    <row r="183" spans="1:19">
      <c r="A183" s="215" t="s">
        <v>339</v>
      </c>
      <c r="B183" s="1060" t="s">
        <v>223</v>
      </c>
      <c r="C183" s="1060"/>
      <c r="D183" s="185" t="s">
        <v>139</v>
      </c>
      <c r="E183" s="241">
        <v>1</v>
      </c>
      <c r="F183" s="185" t="s">
        <v>139</v>
      </c>
      <c r="G183" s="245">
        <v>1</v>
      </c>
      <c r="H183" s="1064" t="s">
        <v>163</v>
      </c>
      <c r="I183" s="1065"/>
      <c r="J183" s="1061"/>
      <c r="K183" s="1061"/>
      <c r="L183" s="1061"/>
      <c r="M183" s="1061"/>
      <c r="N183" s="1061"/>
      <c r="O183" s="1061"/>
      <c r="P183" s="1061"/>
      <c r="Q183" s="1061"/>
      <c r="R183" s="1061"/>
      <c r="S183" s="1061"/>
    </row>
    <row r="184" spans="1:19">
      <c r="A184" s="215" t="s">
        <v>162</v>
      </c>
      <c r="B184" s="1060" t="s">
        <v>155</v>
      </c>
      <c r="C184" s="1060"/>
      <c r="D184" s="185" t="s">
        <v>139</v>
      </c>
      <c r="E184" s="241">
        <v>0</v>
      </c>
      <c r="F184" s="185" t="s">
        <v>139</v>
      </c>
      <c r="G184" s="245">
        <v>1</v>
      </c>
      <c r="H184" s="1064" t="s">
        <v>163</v>
      </c>
      <c r="I184" s="1065"/>
      <c r="J184" s="1061" t="s">
        <v>147</v>
      </c>
      <c r="K184" s="1061"/>
      <c r="L184" s="1061"/>
      <c r="M184" s="1061"/>
      <c r="N184" s="1061"/>
      <c r="O184" s="1061"/>
      <c r="P184" s="1061"/>
      <c r="Q184" s="1061"/>
      <c r="R184" s="1061"/>
      <c r="S184" s="1061"/>
    </row>
    <row r="185" spans="1:19">
      <c r="A185" s="215" t="s">
        <v>162</v>
      </c>
      <c r="B185" s="1060" t="s">
        <v>155</v>
      </c>
      <c r="C185" s="1060"/>
      <c r="D185" s="185" t="s">
        <v>139</v>
      </c>
      <c r="E185" s="241">
        <v>1.2999999999999999E-2</v>
      </c>
      <c r="F185" s="185" t="s">
        <v>139</v>
      </c>
      <c r="G185" s="245">
        <v>1</v>
      </c>
      <c r="H185" s="1064" t="s">
        <v>163</v>
      </c>
      <c r="I185" s="1065"/>
      <c r="J185" s="1061" t="s">
        <v>926</v>
      </c>
      <c r="K185" s="1061"/>
      <c r="L185" s="1061"/>
      <c r="M185" s="1061"/>
      <c r="N185" s="1061"/>
      <c r="O185" s="1061"/>
      <c r="P185" s="1061"/>
      <c r="Q185" s="1061"/>
      <c r="R185" s="1061"/>
      <c r="S185" s="1061"/>
    </row>
    <row r="186" spans="1:19">
      <c r="A186" s="215" t="s">
        <v>162</v>
      </c>
      <c r="B186" s="1060" t="s">
        <v>146</v>
      </c>
      <c r="C186" s="1060"/>
      <c r="D186" s="185" t="s">
        <v>139</v>
      </c>
      <c r="E186" s="241">
        <v>0</v>
      </c>
      <c r="F186" s="185" t="s">
        <v>139</v>
      </c>
      <c r="G186" s="245">
        <v>1</v>
      </c>
      <c r="H186" s="1064" t="s">
        <v>163</v>
      </c>
      <c r="I186" s="1065"/>
      <c r="J186" s="1061" t="s">
        <v>147</v>
      </c>
      <c r="K186" s="1061"/>
      <c r="L186" s="1061"/>
      <c r="M186" s="1061"/>
      <c r="N186" s="1061"/>
      <c r="O186" s="1061"/>
      <c r="P186" s="1061"/>
      <c r="Q186" s="1061"/>
      <c r="R186" s="1061"/>
      <c r="S186" s="1061"/>
    </row>
    <row r="187" spans="1:19">
      <c r="A187" s="215" t="s">
        <v>162</v>
      </c>
      <c r="B187" s="1060" t="s">
        <v>146</v>
      </c>
      <c r="C187" s="1060"/>
      <c r="D187" s="185" t="s">
        <v>139</v>
      </c>
      <c r="E187" s="241">
        <v>8.5000000000000006E-2</v>
      </c>
      <c r="F187" s="185" t="s">
        <v>139</v>
      </c>
      <c r="G187" s="245">
        <v>1</v>
      </c>
      <c r="H187" s="1064" t="s">
        <v>163</v>
      </c>
      <c r="I187" s="1065"/>
      <c r="J187" s="1061" t="s">
        <v>148</v>
      </c>
      <c r="K187" s="1061"/>
      <c r="L187" s="1061"/>
      <c r="M187" s="1061"/>
      <c r="N187" s="1061"/>
      <c r="O187" s="1061"/>
      <c r="P187" s="1061"/>
      <c r="Q187" s="1061"/>
      <c r="R187" s="1061"/>
      <c r="S187" s="1061"/>
    </row>
    <row r="188" spans="1:19">
      <c r="A188" s="215" t="s">
        <v>162</v>
      </c>
      <c r="B188" s="1060" t="s">
        <v>153</v>
      </c>
      <c r="C188" s="1060"/>
      <c r="D188" s="185" t="s">
        <v>139</v>
      </c>
      <c r="E188" s="241" t="s">
        <v>150</v>
      </c>
      <c r="F188" s="185" t="s">
        <v>139</v>
      </c>
      <c r="G188" s="245">
        <v>1</v>
      </c>
      <c r="H188" s="1064" t="s">
        <v>168</v>
      </c>
      <c r="I188" s="1065"/>
      <c r="J188" s="1061" t="s">
        <v>909</v>
      </c>
      <c r="K188" s="1061"/>
      <c r="L188" s="1061"/>
      <c r="M188" s="1061"/>
      <c r="N188" s="1061"/>
      <c r="O188" s="1061"/>
      <c r="P188" s="1061"/>
      <c r="Q188" s="1061"/>
      <c r="R188" s="1061"/>
      <c r="S188" s="1061"/>
    </row>
    <row r="189" spans="1:19">
      <c r="A189" s="215" t="s">
        <v>153</v>
      </c>
      <c r="B189" s="1060" t="s">
        <v>165</v>
      </c>
      <c r="C189" s="1060"/>
      <c r="D189" s="185" t="s">
        <v>139</v>
      </c>
      <c r="E189" s="241" t="s">
        <v>150</v>
      </c>
      <c r="F189" s="185" t="s">
        <v>139</v>
      </c>
      <c r="G189" s="245">
        <v>1</v>
      </c>
      <c r="H189" s="1064" t="s">
        <v>163</v>
      </c>
      <c r="I189" s="1065"/>
      <c r="J189" s="1061"/>
      <c r="K189" s="1061"/>
      <c r="L189" s="1061"/>
      <c r="M189" s="1061"/>
      <c r="N189" s="1061"/>
      <c r="O189" s="1061"/>
      <c r="P189" s="1061"/>
      <c r="Q189" s="1061"/>
      <c r="R189" s="1061"/>
      <c r="S189" s="1061"/>
    </row>
    <row r="190" spans="1:19">
      <c r="A190" s="215" t="s">
        <v>153</v>
      </c>
      <c r="B190" s="1060" t="s">
        <v>204</v>
      </c>
      <c r="C190" s="1060"/>
      <c r="D190" s="185" t="s">
        <v>139</v>
      </c>
      <c r="E190" s="241">
        <v>2.7E-4</v>
      </c>
      <c r="F190" s="185" t="s">
        <v>139</v>
      </c>
      <c r="G190" s="245">
        <v>2</v>
      </c>
      <c r="H190" s="1064" t="s">
        <v>163</v>
      </c>
      <c r="I190" s="1065"/>
      <c r="J190" s="1061"/>
      <c r="K190" s="1061"/>
      <c r="L190" s="1061"/>
      <c r="M190" s="1061"/>
      <c r="N190" s="1061"/>
      <c r="O190" s="1061"/>
      <c r="P190" s="1061"/>
      <c r="Q190" s="1061"/>
      <c r="R190" s="1061"/>
      <c r="S190" s="1061"/>
    </row>
    <row r="191" spans="1:19">
      <c r="A191" s="215" t="s">
        <v>153</v>
      </c>
      <c r="B191" s="1060" t="s">
        <v>927</v>
      </c>
      <c r="C191" s="1060"/>
      <c r="D191" s="185" t="s">
        <v>139</v>
      </c>
      <c r="E191" s="241">
        <v>0</v>
      </c>
      <c r="F191" s="185" t="s">
        <v>139</v>
      </c>
      <c r="G191" s="245">
        <v>1</v>
      </c>
      <c r="H191" s="1064" t="s">
        <v>163</v>
      </c>
      <c r="I191" s="1065"/>
      <c r="J191" s="1061"/>
      <c r="K191" s="1061"/>
      <c r="L191" s="1061"/>
      <c r="M191" s="1061"/>
      <c r="N191" s="1061"/>
      <c r="O191" s="1061"/>
      <c r="P191" s="1061"/>
      <c r="Q191" s="1061"/>
      <c r="R191" s="1061"/>
      <c r="S191" s="1061"/>
    </row>
    <row r="192" spans="1:19">
      <c r="A192" s="215" t="s">
        <v>153</v>
      </c>
      <c r="B192" s="1060" t="s">
        <v>928</v>
      </c>
      <c r="C192" s="1060"/>
      <c r="D192" s="185" t="s">
        <v>139</v>
      </c>
      <c r="E192" s="241">
        <v>0</v>
      </c>
      <c r="F192" s="185" t="s">
        <v>139</v>
      </c>
      <c r="G192" s="245">
        <v>1</v>
      </c>
      <c r="H192" s="1064" t="s">
        <v>163</v>
      </c>
      <c r="I192" s="1065"/>
      <c r="J192" s="1061"/>
      <c r="K192" s="1061"/>
      <c r="L192" s="1061"/>
      <c r="M192" s="1061"/>
      <c r="N192" s="1061"/>
      <c r="O192" s="1061"/>
      <c r="P192" s="1061"/>
      <c r="Q192" s="1061"/>
      <c r="R192" s="1061"/>
      <c r="S192" s="1061"/>
    </row>
    <row r="193" spans="1:19">
      <c r="A193" s="215" t="s">
        <v>341</v>
      </c>
      <c r="B193" s="1060" t="s">
        <v>245</v>
      </c>
      <c r="C193" s="1060"/>
      <c r="D193" s="185" t="s">
        <v>139</v>
      </c>
      <c r="E193" s="241">
        <v>0.53527000000000002</v>
      </c>
      <c r="F193" s="185" t="s">
        <v>139</v>
      </c>
      <c r="G193" s="245">
        <v>1</v>
      </c>
      <c r="H193" s="1064" t="s">
        <v>163</v>
      </c>
      <c r="I193" s="1065"/>
      <c r="J193" s="1061"/>
      <c r="K193" s="1061"/>
      <c r="L193" s="1061"/>
      <c r="M193" s="1061"/>
      <c r="N193" s="1061"/>
      <c r="O193" s="1061"/>
      <c r="P193" s="1061"/>
      <c r="Q193" s="1061"/>
      <c r="R193" s="1061"/>
      <c r="S193" s="1061"/>
    </row>
    <row r="194" spans="1:19">
      <c r="A194" s="215" t="s">
        <v>341</v>
      </c>
      <c r="B194" s="1060" t="s">
        <v>178</v>
      </c>
      <c r="C194" s="1060"/>
      <c r="D194" s="185" t="s">
        <v>139</v>
      </c>
      <c r="E194" s="241" t="s">
        <v>150</v>
      </c>
      <c r="F194" s="185" t="s">
        <v>139</v>
      </c>
      <c r="G194" s="245">
        <v>1</v>
      </c>
      <c r="H194" s="1064" t="s">
        <v>163</v>
      </c>
      <c r="I194" s="1065"/>
      <c r="J194" s="1061"/>
      <c r="K194" s="1061"/>
      <c r="L194" s="1061"/>
      <c r="M194" s="1061"/>
      <c r="N194" s="1061"/>
      <c r="O194" s="1061"/>
      <c r="P194" s="1061"/>
      <c r="Q194" s="1061"/>
      <c r="R194" s="1061"/>
      <c r="S194" s="1061"/>
    </row>
    <row r="195" spans="1:19">
      <c r="A195" s="215" t="s">
        <v>187</v>
      </c>
      <c r="B195" s="1060" t="s">
        <v>176</v>
      </c>
      <c r="C195" s="1060"/>
      <c r="D195" s="185" t="s">
        <v>139</v>
      </c>
      <c r="E195" s="241">
        <v>1.2999999999999999E-3</v>
      </c>
      <c r="F195" s="185" t="s">
        <v>139</v>
      </c>
      <c r="G195" s="245">
        <v>1</v>
      </c>
      <c r="H195" s="1064" t="s">
        <v>163</v>
      </c>
      <c r="I195" s="1065"/>
      <c r="J195" s="1061" t="s">
        <v>177</v>
      </c>
      <c r="K195" s="1061"/>
      <c r="L195" s="1061"/>
      <c r="M195" s="1061"/>
      <c r="N195" s="1061"/>
      <c r="O195" s="1061"/>
      <c r="P195" s="1061"/>
      <c r="Q195" s="1061"/>
      <c r="R195" s="1061"/>
      <c r="S195" s="1061"/>
    </row>
    <row r="196" spans="1:19">
      <c r="A196" s="215" t="s">
        <v>187</v>
      </c>
      <c r="B196" s="1060" t="s">
        <v>176</v>
      </c>
      <c r="C196" s="1060"/>
      <c r="D196" s="185" t="s">
        <v>139</v>
      </c>
      <c r="E196" s="241">
        <v>1.47E-2</v>
      </c>
      <c r="F196" s="185" t="s">
        <v>139</v>
      </c>
      <c r="G196" s="245">
        <v>1</v>
      </c>
      <c r="H196" s="1064" t="s">
        <v>163</v>
      </c>
      <c r="I196" s="1065"/>
      <c r="J196" s="1061" t="s">
        <v>177</v>
      </c>
      <c r="K196" s="1061"/>
      <c r="L196" s="1061"/>
      <c r="M196" s="1061"/>
      <c r="N196" s="1061"/>
      <c r="O196" s="1061"/>
      <c r="P196" s="1061"/>
      <c r="Q196" s="1061"/>
      <c r="R196" s="1061"/>
      <c r="S196" s="1061"/>
    </row>
    <row r="197" spans="1:19">
      <c r="A197" s="215" t="s">
        <v>187</v>
      </c>
      <c r="B197" s="1060" t="s">
        <v>188</v>
      </c>
      <c r="C197" s="1060"/>
      <c r="D197" s="185" t="s">
        <v>139</v>
      </c>
      <c r="E197" s="241">
        <v>0</v>
      </c>
      <c r="F197" s="185" t="s">
        <v>139</v>
      </c>
      <c r="G197" s="245">
        <v>1</v>
      </c>
      <c r="H197" s="1064" t="s">
        <v>163</v>
      </c>
      <c r="I197" s="1065"/>
      <c r="J197" s="1061"/>
      <c r="K197" s="1061"/>
      <c r="L197" s="1061"/>
      <c r="M197" s="1061"/>
      <c r="N197" s="1061"/>
      <c r="O197" s="1061"/>
      <c r="P197" s="1061"/>
      <c r="Q197" s="1061"/>
      <c r="R197" s="1061"/>
      <c r="S197" s="1061"/>
    </row>
    <row r="198" spans="1:19">
      <c r="A198" s="215" t="s">
        <v>187</v>
      </c>
      <c r="B198" s="1060" t="s">
        <v>188</v>
      </c>
      <c r="C198" s="1060"/>
      <c r="D198" s="185" t="s">
        <v>139</v>
      </c>
      <c r="E198" s="241">
        <v>1.2E-2</v>
      </c>
      <c r="F198" s="185" t="s">
        <v>139</v>
      </c>
      <c r="G198" s="245">
        <v>1</v>
      </c>
      <c r="H198" s="1064" t="s">
        <v>163</v>
      </c>
      <c r="I198" s="1065"/>
      <c r="J198" s="1061" t="s">
        <v>929</v>
      </c>
      <c r="K198" s="1061"/>
      <c r="L198" s="1061"/>
      <c r="M198" s="1061"/>
      <c r="N198" s="1061"/>
      <c r="O198" s="1061"/>
      <c r="P198" s="1061"/>
      <c r="Q198" s="1061"/>
      <c r="R198" s="1061"/>
      <c r="S198" s="1061"/>
    </row>
    <row r="199" spans="1:19">
      <c r="A199" s="215" t="s">
        <v>187</v>
      </c>
      <c r="B199" s="1060" t="s">
        <v>186</v>
      </c>
      <c r="C199" s="1060"/>
      <c r="D199" s="185" t="s">
        <v>139</v>
      </c>
      <c r="E199" s="241" t="s">
        <v>150</v>
      </c>
      <c r="F199" s="185" t="s">
        <v>139</v>
      </c>
      <c r="G199" s="245">
        <v>1</v>
      </c>
      <c r="H199" s="1064" t="s">
        <v>168</v>
      </c>
      <c r="I199" s="1065"/>
      <c r="J199" s="1061" t="s">
        <v>909</v>
      </c>
      <c r="K199" s="1061"/>
      <c r="L199" s="1061"/>
      <c r="M199" s="1061"/>
      <c r="N199" s="1061"/>
      <c r="O199" s="1061"/>
      <c r="P199" s="1061"/>
      <c r="Q199" s="1061"/>
      <c r="R199" s="1061"/>
      <c r="S199" s="1061"/>
    </row>
    <row r="200" spans="1:19">
      <c r="A200" s="215" t="s">
        <v>186</v>
      </c>
      <c r="B200" s="1060" t="s">
        <v>175</v>
      </c>
      <c r="C200" s="1060"/>
      <c r="D200" s="185" t="s">
        <v>139</v>
      </c>
      <c r="E200" s="241" t="s">
        <v>150</v>
      </c>
      <c r="F200" s="185" t="s">
        <v>139</v>
      </c>
      <c r="G200" s="245">
        <v>1</v>
      </c>
      <c r="H200" s="1064" t="s">
        <v>163</v>
      </c>
      <c r="I200" s="1065"/>
      <c r="J200" s="1061"/>
      <c r="K200" s="1061"/>
      <c r="L200" s="1061"/>
      <c r="M200" s="1061"/>
      <c r="N200" s="1061"/>
      <c r="O200" s="1061"/>
      <c r="P200" s="1061"/>
      <c r="Q200" s="1061"/>
      <c r="R200" s="1061"/>
      <c r="S200" s="1061"/>
    </row>
    <row r="201" spans="1:19">
      <c r="A201" s="215" t="s">
        <v>186</v>
      </c>
      <c r="B201" s="1060" t="s">
        <v>204</v>
      </c>
      <c r="C201" s="1060"/>
      <c r="D201" s="185" t="s">
        <v>139</v>
      </c>
      <c r="E201" s="241">
        <v>2.7E-4</v>
      </c>
      <c r="F201" s="185" t="s">
        <v>139</v>
      </c>
      <c r="G201" s="245">
        <v>2</v>
      </c>
      <c r="H201" s="1064" t="s">
        <v>163</v>
      </c>
      <c r="I201" s="1065"/>
      <c r="J201" s="1061"/>
      <c r="K201" s="1061"/>
      <c r="L201" s="1061"/>
      <c r="M201" s="1061"/>
      <c r="N201" s="1061"/>
      <c r="O201" s="1061"/>
      <c r="P201" s="1061"/>
      <c r="Q201" s="1061"/>
      <c r="R201" s="1061"/>
      <c r="S201" s="1061"/>
    </row>
    <row r="202" spans="1:19">
      <c r="A202" s="215" t="s">
        <v>172</v>
      </c>
      <c r="B202" s="1060" t="s">
        <v>176</v>
      </c>
      <c r="C202" s="1060"/>
      <c r="D202" s="185" t="s">
        <v>139</v>
      </c>
      <c r="E202" s="241">
        <v>1.2999999999999999E-3</v>
      </c>
      <c r="F202" s="185" t="s">
        <v>139</v>
      </c>
      <c r="G202" s="245">
        <v>1</v>
      </c>
      <c r="H202" s="1064" t="s">
        <v>163</v>
      </c>
      <c r="I202" s="1065"/>
      <c r="J202" s="1061" t="s">
        <v>177</v>
      </c>
      <c r="K202" s="1061"/>
      <c r="L202" s="1061"/>
      <c r="M202" s="1061"/>
      <c r="N202" s="1061"/>
      <c r="O202" s="1061"/>
      <c r="P202" s="1061"/>
      <c r="Q202" s="1061"/>
      <c r="R202" s="1061"/>
      <c r="S202" s="1061"/>
    </row>
    <row r="203" spans="1:19">
      <c r="A203" s="215" t="s">
        <v>172</v>
      </c>
      <c r="B203" s="1060" t="s">
        <v>176</v>
      </c>
      <c r="C203" s="1060"/>
      <c r="D203" s="185" t="s">
        <v>139</v>
      </c>
      <c r="E203" s="241">
        <v>1.47E-2</v>
      </c>
      <c r="F203" s="185" t="s">
        <v>139</v>
      </c>
      <c r="G203" s="245">
        <v>1</v>
      </c>
      <c r="H203" s="1064" t="s">
        <v>163</v>
      </c>
      <c r="I203" s="1065"/>
      <c r="J203" s="1061" t="s">
        <v>177</v>
      </c>
      <c r="K203" s="1061"/>
      <c r="L203" s="1061"/>
      <c r="M203" s="1061"/>
      <c r="N203" s="1061"/>
      <c r="O203" s="1061"/>
      <c r="P203" s="1061"/>
      <c r="Q203" s="1061"/>
      <c r="R203" s="1061"/>
      <c r="S203" s="1061"/>
    </row>
    <row r="204" spans="1:19">
      <c r="A204" s="215" t="s">
        <v>172</v>
      </c>
      <c r="B204" s="1060" t="s">
        <v>171</v>
      </c>
      <c r="C204" s="1060"/>
      <c r="D204" s="185" t="s">
        <v>139</v>
      </c>
      <c r="E204" s="241" t="s">
        <v>150</v>
      </c>
      <c r="F204" s="185" t="s">
        <v>139</v>
      </c>
      <c r="G204" s="245">
        <v>1</v>
      </c>
      <c r="H204" s="1064" t="s">
        <v>168</v>
      </c>
      <c r="I204" s="1065"/>
      <c r="J204" s="1061" t="s">
        <v>909</v>
      </c>
      <c r="K204" s="1061"/>
      <c r="L204" s="1061"/>
      <c r="M204" s="1061"/>
      <c r="N204" s="1061"/>
      <c r="O204" s="1061"/>
      <c r="P204" s="1061"/>
      <c r="Q204" s="1061"/>
      <c r="R204" s="1061"/>
      <c r="S204" s="1061"/>
    </row>
    <row r="205" spans="1:19">
      <c r="A205" s="215" t="s">
        <v>171</v>
      </c>
      <c r="B205" s="1060" t="s">
        <v>175</v>
      </c>
      <c r="C205" s="1060"/>
      <c r="D205" s="185" t="s">
        <v>139</v>
      </c>
      <c r="E205" s="241" t="s">
        <v>150</v>
      </c>
      <c r="F205" s="185" t="s">
        <v>139</v>
      </c>
      <c r="G205" s="245">
        <v>1</v>
      </c>
      <c r="H205" s="1064" t="s">
        <v>163</v>
      </c>
      <c r="I205" s="1065"/>
      <c r="J205" s="1061"/>
      <c r="K205" s="1061"/>
      <c r="L205" s="1061"/>
      <c r="M205" s="1061"/>
      <c r="N205" s="1061"/>
      <c r="O205" s="1061"/>
      <c r="P205" s="1061"/>
      <c r="Q205" s="1061"/>
      <c r="R205" s="1061"/>
      <c r="S205" s="1061"/>
    </row>
    <row r="206" spans="1:19">
      <c r="A206" s="215" t="s">
        <v>171</v>
      </c>
      <c r="B206" s="1060" t="s">
        <v>204</v>
      </c>
      <c r="C206" s="1060"/>
      <c r="D206" s="185" t="s">
        <v>139</v>
      </c>
      <c r="E206" s="241">
        <v>2.7E-4</v>
      </c>
      <c r="F206" s="185" t="s">
        <v>139</v>
      </c>
      <c r="G206" s="245">
        <v>2</v>
      </c>
      <c r="H206" s="1064" t="s">
        <v>163</v>
      </c>
      <c r="I206" s="1065"/>
      <c r="J206" s="1061"/>
      <c r="K206" s="1061"/>
      <c r="L206" s="1061"/>
      <c r="M206" s="1061"/>
      <c r="N206" s="1061"/>
      <c r="O206" s="1061"/>
      <c r="P206" s="1061"/>
      <c r="Q206" s="1061"/>
      <c r="R206" s="1061"/>
      <c r="S206" s="1061"/>
    </row>
    <row r="207" spans="1:19">
      <c r="A207" s="215" t="s">
        <v>238</v>
      </c>
      <c r="B207" s="1060" t="s">
        <v>204</v>
      </c>
      <c r="C207" s="1060"/>
      <c r="D207" s="185" t="s">
        <v>139</v>
      </c>
      <c r="E207" s="241">
        <v>2.7E-4</v>
      </c>
      <c r="F207" s="185" t="s">
        <v>139</v>
      </c>
      <c r="G207" s="245">
        <v>2</v>
      </c>
      <c r="H207" s="1064" t="s">
        <v>163</v>
      </c>
      <c r="I207" s="1065"/>
      <c r="J207" s="1061"/>
      <c r="K207" s="1061"/>
      <c r="L207" s="1061"/>
      <c r="M207" s="1061"/>
      <c r="N207" s="1061"/>
      <c r="O207" s="1061"/>
      <c r="P207" s="1061"/>
      <c r="Q207" s="1061"/>
      <c r="R207" s="1061"/>
      <c r="S207" s="1061"/>
    </row>
    <row r="208" spans="1:19">
      <c r="A208" s="215" t="s">
        <v>238</v>
      </c>
      <c r="B208" s="1060" t="s">
        <v>223</v>
      </c>
      <c r="C208" s="1060"/>
      <c r="D208" s="185" t="s">
        <v>139</v>
      </c>
      <c r="E208" s="241" t="s">
        <v>150</v>
      </c>
      <c r="F208" s="185" t="s">
        <v>139</v>
      </c>
      <c r="G208" s="245">
        <v>1</v>
      </c>
      <c r="H208" s="1064" t="s">
        <v>163</v>
      </c>
      <c r="I208" s="1065"/>
      <c r="J208" s="1061"/>
      <c r="K208" s="1061"/>
      <c r="L208" s="1061"/>
      <c r="M208" s="1061"/>
      <c r="N208" s="1061"/>
      <c r="O208" s="1061"/>
      <c r="P208" s="1061"/>
      <c r="Q208" s="1061"/>
      <c r="R208" s="1061"/>
      <c r="S208" s="1061"/>
    </row>
    <row r="209" spans="1:29">
      <c r="A209" s="215" t="s">
        <v>353</v>
      </c>
      <c r="B209" s="1060" t="s">
        <v>231</v>
      </c>
      <c r="C209" s="1060"/>
      <c r="D209" s="185" t="s">
        <v>139</v>
      </c>
      <c r="E209" s="241">
        <v>4.0000000000000002E-4</v>
      </c>
      <c r="F209" s="185" t="s">
        <v>139</v>
      </c>
      <c r="G209" s="245">
        <v>1</v>
      </c>
      <c r="H209" s="1064" t="s">
        <v>163</v>
      </c>
      <c r="I209" s="1065"/>
      <c r="J209" s="1061" t="s">
        <v>930</v>
      </c>
      <c r="K209" s="1061"/>
      <c r="L209" s="1061"/>
      <c r="M209" s="1061"/>
      <c r="N209" s="1061"/>
      <c r="O209" s="1061"/>
      <c r="P209" s="1061"/>
      <c r="Q209" s="1061"/>
      <c r="R209" s="1061"/>
      <c r="S209" s="1061"/>
    </row>
    <row r="210" spans="1:29">
      <c r="A210" s="215" t="s">
        <v>353</v>
      </c>
      <c r="B210" s="1060" t="s">
        <v>231</v>
      </c>
      <c r="C210" s="1060"/>
      <c r="D210" s="185" t="s">
        <v>139</v>
      </c>
      <c r="E210" s="241">
        <v>8.6E-3</v>
      </c>
      <c r="F210" s="185" t="s">
        <v>139</v>
      </c>
      <c r="G210" s="245">
        <v>1</v>
      </c>
      <c r="H210" s="1064" t="s">
        <v>163</v>
      </c>
      <c r="I210" s="1065"/>
      <c r="J210" s="1061" t="s">
        <v>931</v>
      </c>
      <c r="K210" s="1061"/>
      <c r="L210" s="1061"/>
      <c r="M210" s="1061"/>
      <c r="N210" s="1061"/>
      <c r="O210" s="1061"/>
      <c r="P210" s="1061"/>
      <c r="Q210" s="1061"/>
      <c r="R210" s="1061"/>
      <c r="S210" s="1061"/>
    </row>
    <row r="211" spans="1:29">
      <c r="A211" s="215" t="s">
        <v>353</v>
      </c>
      <c r="B211" s="1062" t="s">
        <v>251</v>
      </c>
      <c r="C211" s="1063"/>
      <c r="D211" s="185" t="s">
        <v>139</v>
      </c>
      <c r="E211" s="241">
        <v>2.5000000000000001E-3</v>
      </c>
      <c r="F211" s="185" t="s">
        <v>139</v>
      </c>
      <c r="G211" s="245">
        <v>2</v>
      </c>
      <c r="H211" s="1064" t="s">
        <v>163</v>
      </c>
      <c r="I211" s="1065"/>
      <c r="J211" s="1061" t="s">
        <v>932</v>
      </c>
      <c r="K211" s="1061"/>
      <c r="L211" s="1061"/>
      <c r="M211" s="1061"/>
      <c r="N211" s="1061"/>
      <c r="O211" s="1061"/>
      <c r="P211" s="1061"/>
      <c r="Q211" s="1061"/>
      <c r="R211" s="1061"/>
      <c r="S211" s="1061"/>
    </row>
    <row r="212" spans="1:29">
      <c r="A212" s="215" t="s">
        <v>353</v>
      </c>
      <c r="B212" s="1062" t="s">
        <v>354</v>
      </c>
      <c r="C212" s="1063"/>
      <c r="D212" s="185" t="s">
        <v>139</v>
      </c>
      <c r="E212" s="241">
        <v>2.5000000000000001E-3</v>
      </c>
      <c r="F212" s="185" t="s">
        <v>139</v>
      </c>
      <c r="G212" s="245">
        <v>2</v>
      </c>
      <c r="H212" s="1064" t="s">
        <v>163</v>
      </c>
      <c r="I212" s="1065"/>
      <c r="J212" s="1061" t="s">
        <v>932</v>
      </c>
      <c r="K212" s="1061"/>
      <c r="L212" s="1061"/>
      <c r="M212" s="1061"/>
      <c r="N212" s="1061"/>
      <c r="O212" s="1061"/>
      <c r="P212" s="1061"/>
      <c r="Q212" s="1061"/>
      <c r="R212" s="1061"/>
      <c r="S212" s="1061"/>
    </row>
    <row r="213" spans="1:29">
      <c r="A213" s="215" t="s">
        <v>353</v>
      </c>
      <c r="B213" s="1062" t="s">
        <v>232</v>
      </c>
      <c r="C213" s="1063"/>
      <c r="D213" s="185" t="s">
        <v>139</v>
      </c>
      <c r="E213" s="241">
        <v>2.5000000000000001E-3</v>
      </c>
      <c r="F213" s="185" t="s">
        <v>139</v>
      </c>
      <c r="G213" s="245">
        <v>2</v>
      </c>
      <c r="H213" s="1064" t="s">
        <v>163</v>
      </c>
      <c r="I213" s="1065"/>
      <c r="J213" s="1061" t="s">
        <v>932</v>
      </c>
      <c r="K213" s="1061"/>
      <c r="L213" s="1061"/>
      <c r="M213" s="1061"/>
      <c r="N213" s="1061"/>
      <c r="O213" s="1061"/>
      <c r="P213" s="1061"/>
      <c r="Q213" s="1061"/>
      <c r="R213" s="1061"/>
      <c r="S213" s="1061"/>
    </row>
    <row r="214" spans="1:29">
      <c r="A214" s="215" t="s">
        <v>353</v>
      </c>
      <c r="B214" s="1062" t="s">
        <v>266</v>
      </c>
      <c r="C214" s="1063"/>
      <c r="D214" s="185" t="s">
        <v>139</v>
      </c>
      <c r="E214" s="241">
        <v>2.5000000000000001E-3</v>
      </c>
      <c r="F214" s="185" t="s">
        <v>139</v>
      </c>
      <c r="G214" s="245">
        <v>2</v>
      </c>
      <c r="H214" s="1064" t="s">
        <v>163</v>
      </c>
      <c r="I214" s="1065"/>
      <c r="J214" s="1061" t="s">
        <v>932</v>
      </c>
      <c r="K214" s="1061"/>
      <c r="L214" s="1061"/>
      <c r="M214" s="1061"/>
      <c r="N214" s="1061"/>
      <c r="O214" s="1061"/>
      <c r="P214" s="1061"/>
      <c r="Q214" s="1061"/>
      <c r="R214" s="1061"/>
      <c r="S214" s="1061"/>
    </row>
    <row r="215" spans="1:29">
      <c r="A215" s="215" t="s">
        <v>353</v>
      </c>
      <c r="B215" s="1062" t="s">
        <v>343</v>
      </c>
      <c r="C215" s="1063"/>
      <c r="D215" s="185" t="s">
        <v>139</v>
      </c>
      <c r="E215" s="241" t="s">
        <v>150</v>
      </c>
      <c r="F215" s="185" t="s">
        <v>139</v>
      </c>
      <c r="G215" s="245">
        <v>1</v>
      </c>
      <c r="H215" s="1064" t="s">
        <v>168</v>
      </c>
      <c r="I215" s="1065"/>
      <c r="J215" s="1061" t="s">
        <v>909</v>
      </c>
      <c r="K215" s="1061"/>
      <c r="L215" s="1061"/>
      <c r="M215" s="1061"/>
      <c r="N215" s="1061"/>
      <c r="O215" s="1061"/>
      <c r="P215" s="1061"/>
      <c r="Q215" s="1061"/>
      <c r="R215" s="1061"/>
      <c r="S215" s="1061"/>
    </row>
    <row r="216" spans="1:29">
      <c r="A216" s="215" t="s">
        <v>343</v>
      </c>
      <c r="B216" s="1062" t="s">
        <v>204</v>
      </c>
      <c r="C216" s="1063"/>
      <c r="D216" s="185" t="s">
        <v>139</v>
      </c>
      <c r="E216" s="241">
        <v>2.7E-4</v>
      </c>
      <c r="F216" s="185" t="s">
        <v>139</v>
      </c>
      <c r="G216" s="245">
        <v>2</v>
      </c>
      <c r="H216" s="1064" t="s">
        <v>163</v>
      </c>
      <c r="I216" s="1065"/>
      <c r="J216" s="1061"/>
      <c r="K216" s="1061"/>
      <c r="L216" s="1061"/>
      <c r="M216" s="1061"/>
      <c r="N216" s="1061"/>
      <c r="O216" s="1061"/>
      <c r="P216" s="1061"/>
      <c r="Q216" s="1061"/>
      <c r="R216" s="1061"/>
      <c r="S216" s="1061"/>
    </row>
    <row r="217" spans="1:29">
      <c r="A217" s="215" t="s">
        <v>343</v>
      </c>
      <c r="B217" s="1062" t="s">
        <v>223</v>
      </c>
      <c r="C217" s="1063"/>
      <c r="D217" s="185" t="s">
        <v>139</v>
      </c>
      <c r="E217" s="241" t="s">
        <v>150</v>
      </c>
      <c r="F217" s="185" t="s">
        <v>139</v>
      </c>
      <c r="G217" s="245">
        <v>1</v>
      </c>
      <c r="H217" s="1064" t="s">
        <v>163</v>
      </c>
      <c r="I217" s="1065"/>
      <c r="J217" s="1061"/>
      <c r="K217" s="1061"/>
      <c r="L217" s="1061"/>
      <c r="M217" s="1061"/>
      <c r="N217" s="1061"/>
      <c r="O217" s="1061"/>
      <c r="P217" s="1061"/>
      <c r="Q217" s="1061"/>
      <c r="R217" s="1061"/>
      <c r="S217" s="1061"/>
    </row>
    <row r="218" spans="1:29">
      <c r="A218" s="215" t="s">
        <v>343</v>
      </c>
      <c r="B218" s="1062" t="s">
        <v>225</v>
      </c>
      <c r="C218" s="1063"/>
      <c r="D218" s="185" t="s">
        <v>139</v>
      </c>
      <c r="E218" s="241">
        <f>'Textile waste collection'!E34</f>
        <v>0.33810000000000001</v>
      </c>
      <c r="F218" s="185" t="s">
        <v>139</v>
      </c>
      <c r="G218" s="245">
        <v>1</v>
      </c>
      <c r="H218" s="1064" t="s">
        <v>163</v>
      </c>
      <c r="I218" s="1065"/>
      <c r="J218" s="1061" t="s">
        <v>405</v>
      </c>
      <c r="K218" s="1061"/>
      <c r="L218" s="1061"/>
      <c r="M218" s="1061"/>
      <c r="N218" s="1061"/>
      <c r="O218" s="1061"/>
      <c r="P218" s="1061"/>
      <c r="Q218" s="1061"/>
      <c r="R218" s="1061"/>
      <c r="S218" s="1061"/>
    </row>
    <row r="219" spans="1:29" s="946" customFormat="1">
      <c r="A219" s="942" t="s">
        <v>225</v>
      </c>
      <c r="B219" s="1059" t="s">
        <v>248</v>
      </c>
      <c r="C219" s="1059"/>
      <c r="D219" s="942" t="s">
        <v>139</v>
      </c>
      <c r="E219" s="943">
        <v>1.44E-2</v>
      </c>
      <c r="F219" s="942" t="s">
        <v>139</v>
      </c>
      <c r="G219" s="944">
        <v>1</v>
      </c>
      <c r="H219" s="1066" t="s">
        <v>224</v>
      </c>
      <c r="I219" s="1067"/>
      <c r="J219" s="1059"/>
      <c r="K219" s="1059"/>
      <c r="L219" s="1059"/>
      <c r="M219" s="1059"/>
      <c r="N219" s="1059"/>
      <c r="O219" s="1059"/>
      <c r="P219" s="1059"/>
      <c r="Q219" s="1059"/>
      <c r="R219" s="1059"/>
      <c r="S219" s="1059"/>
      <c r="T219" s="945"/>
      <c r="U219" s="945"/>
      <c r="V219" s="945"/>
      <c r="W219" s="945"/>
      <c r="X219" s="945"/>
      <c r="Y219" s="945"/>
      <c r="Z219" s="945"/>
      <c r="AA219" s="945"/>
      <c r="AB219" s="945"/>
      <c r="AC219" s="945"/>
    </row>
    <row r="220" spans="1:29" s="946" customFormat="1">
      <c r="A220" s="942" t="s">
        <v>225</v>
      </c>
      <c r="B220" s="1059" t="s">
        <v>245</v>
      </c>
      <c r="C220" s="1059"/>
      <c r="D220" s="942" t="s">
        <v>139</v>
      </c>
      <c r="E220" s="943">
        <v>0.84</v>
      </c>
      <c r="F220" s="942" t="s">
        <v>139</v>
      </c>
      <c r="G220" s="944">
        <v>1</v>
      </c>
      <c r="H220" s="1066" t="s">
        <v>224</v>
      </c>
      <c r="I220" s="1067"/>
      <c r="J220" s="1059"/>
      <c r="K220" s="1059"/>
      <c r="L220" s="1059"/>
      <c r="M220" s="1059"/>
      <c r="N220" s="1059"/>
      <c r="O220" s="1059"/>
      <c r="P220" s="1059"/>
      <c r="Q220" s="1059"/>
      <c r="R220" s="1059"/>
      <c r="S220" s="1059"/>
      <c r="T220" s="945"/>
      <c r="U220" s="945"/>
      <c r="V220" s="945"/>
      <c r="W220" s="945"/>
      <c r="X220" s="945"/>
      <c r="Y220" s="945"/>
      <c r="Z220" s="945"/>
      <c r="AA220" s="945"/>
      <c r="AB220" s="945"/>
      <c r="AC220" s="945"/>
    </row>
    <row r="221" spans="1:29" s="946" customFormat="1">
      <c r="A221" s="942" t="s">
        <v>225</v>
      </c>
      <c r="B221" s="1059" t="s">
        <v>404</v>
      </c>
      <c r="C221" s="1059"/>
      <c r="D221" s="942" t="s">
        <v>139</v>
      </c>
      <c r="E221" s="943">
        <v>4.48E-2</v>
      </c>
      <c r="F221" s="942" t="s">
        <v>139</v>
      </c>
      <c r="G221" s="944">
        <v>1</v>
      </c>
      <c r="H221" s="1066" t="s">
        <v>224</v>
      </c>
      <c r="I221" s="1067"/>
      <c r="J221" s="1059"/>
      <c r="K221" s="1059"/>
      <c r="L221" s="1059"/>
      <c r="M221" s="1059"/>
      <c r="N221" s="1059"/>
      <c r="O221" s="1059"/>
      <c r="P221" s="1059"/>
      <c r="Q221" s="1059"/>
      <c r="R221" s="1059"/>
      <c r="S221" s="1059"/>
      <c r="T221" s="945"/>
      <c r="U221" s="945"/>
      <c r="V221" s="945"/>
      <c r="W221" s="945"/>
      <c r="X221" s="945"/>
      <c r="Y221" s="945"/>
      <c r="Z221" s="945"/>
      <c r="AA221" s="945"/>
      <c r="AB221" s="945"/>
      <c r="AC221" s="945"/>
    </row>
    <row r="222" spans="1:29" s="946" customFormat="1">
      <c r="A222" s="942" t="s">
        <v>225</v>
      </c>
      <c r="B222" s="1059" t="s">
        <v>184</v>
      </c>
      <c r="C222" s="1059"/>
      <c r="D222" s="942" t="s">
        <v>139</v>
      </c>
      <c r="E222" s="943">
        <v>3.0000000000000001E-3</v>
      </c>
      <c r="F222" s="942" t="s">
        <v>139</v>
      </c>
      <c r="G222" s="944">
        <v>1</v>
      </c>
      <c r="H222" s="1066" t="s">
        <v>224</v>
      </c>
      <c r="I222" s="1067"/>
      <c r="J222" s="1059"/>
      <c r="K222" s="1059"/>
      <c r="L222" s="1059"/>
      <c r="M222" s="1059"/>
      <c r="N222" s="1059"/>
      <c r="O222" s="1059"/>
      <c r="P222" s="1059"/>
      <c r="Q222" s="1059"/>
      <c r="R222" s="1059"/>
      <c r="S222" s="1059"/>
      <c r="T222" s="945"/>
      <c r="U222" s="945"/>
      <c r="V222" s="945"/>
      <c r="W222" s="945"/>
      <c r="X222" s="945"/>
      <c r="Y222" s="945"/>
      <c r="Z222" s="945"/>
      <c r="AA222" s="945"/>
      <c r="AB222" s="945"/>
      <c r="AC222" s="945"/>
    </row>
    <row r="223" spans="1:29" s="946" customFormat="1">
      <c r="A223" s="942" t="s">
        <v>225</v>
      </c>
      <c r="B223" s="1059" t="s">
        <v>179</v>
      </c>
      <c r="C223" s="1059"/>
      <c r="D223" s="942" t="s">
        <v>139</v>
      </c>
      <c r="E223" s="943">
        <v>9.6000000000000002E-2</v>
      </c>
      <c r="F223" s="942" t="s">
        <v>139</v>
      </c>
      <c r="G223" s="944">
        <v>1</v>
      </c>
      <c r="H223" s="1066" t="s">
        <v>224</v>
      </c>
      <c r="I223" s="1067"/>
      <c r="J223" s="1059"/>
      <c r="K223" s="1059"/>
      <c r="L223" s="1059"/>
      <c r="M223" s="1059"/>
      <c r="N223" s="1059"/>
      <c r="O223" s="1059"/>
      <c r="P223" s="1059"/>
      <c r="Q223" s="1059"/>
      <c r="R223" s="1059"/>
      <c r="S223" s="1059"/>
      <c r="T223" s="945"/>
      <c r="U223" s="945"/>
      <c r="V223" s="945"/>
      <c r="W223" s="945"/>
      <c r="X223" s="945"/>
      <c r="Y223" s="945"/>
      <c r="Z223" s="945"/>
      <c r="AA223" s="945"/>
      <c r="AB223" s="945"/>
      <c r="AC223" s="945"/>
    </row>
    <row r="224" spans="1:29" s="946" customFormat="1">
      <c r="A224" s="942" t="s">
        <v>225</v>
      </c>
      <c r="B224" s="1059" t="s">
        <v>176</v>
      </c>
      <c r="C224" s="1059"/>
      <c r="D224" s="942" t="s">
        <v>139</v>
      </c>
      <c r="E224" s="943" t="s">
        <v>150</v>
      </c>
      <c r="F224" s="942" t="s">
        <v>139</v>
      </c>
      <c r="G224" s="944">
        <v>1</v>
      </c>
      <c r="H224" s="1066" t="s">
        <v>168</v>
      </c>
      <c r="I224" s="1067"/>
      <c r="J224" s="1059"/>
      <c r="K224" s="1059"/>
      <c r="L224" s="1059"/>
      <c r="M224" s="1059"/>
      <c r="N224" s="1059"/>
      <c r="O224" s="1059"/>
      <c r="P224" s="1059"/>
      <c r="Q224" s="1059"/>
      <c r="R224" s="1059"/>
      <c r="S224" s="1059"/>
      <c r="T224" s="945"/>
      <c r="U224" s="945"/>
      <c r="V224" s="945"/>
      <c r="W224" s="945"/>
      <c r="X224" s="945"/>
      <c r="Y224" s="945"/>
      <c r="Z224" s="945"/>
      <c r="AA224" s="945"/>
      <c r="AB224" s="945"/>
      <c r="AC224" s="945"/>
    </row>
    <row r="225" spans="1:16">
      <c r="A225" s="64"/>
      <c r="B225" s="64"/>
      <c r="C225" s="64"/>
      <c r="D225" s="64"/>
      <c r="E225" s="64"/>
      <c r="F225" s="64"/>
      <c r="G225" s="64"/>
      <c r="H225" s="64"/>
      <c r="I225" s="64"/>
      <c r="J225" s="64"/>
      <c r="K225" s="64"/>
      <c r="L225" s="64"/>
      <c r="M225" s="64"/>
      <c r="N225" s="106"/>
    </row>
    <row r="226" spans="1:16">
      <c r="N226" s="106"/>
    </row>
    <row r="227" spans="1:16">
      <c r="N227" s="106"/>
    </row>
    <row r="228" spans="1:16">
      <c r="N228" s="106"/>
    </row>
    <row r="229" spans="1:16">
      <c r="N229" s="106"/>
    </row>
    <row r="230" spans="1:16">
      <c r="N230" s="106"/>
    </row>
    <row r="231" spans="1:16">
      <c r="N231"/>
      <c r="O231"/>
      <c r="P231"/>
    </row>
    <row r="232" spans="1:16">
      <c r="N232"/>
      <c r="O232"/>
      <c r="P232"/>
    </row>
    <row r="233" spans="1:16">
      <c r="N233"/>
      <c r="O233"/>
      <c r="P233"/>
    </row>
    <row r="234" spans="1:16">
      <c r="N234"/>
      <c r="O234"/>
      <c r="P234"/>
    </row>
    <row r="235" spans="1:16">
      <c r="N235"/>
      <c r="O235"/>
      <c r="P235"/>
    </row>
    <row r="236" spans="1:16">
      <c r="N236"/>
      <c r="O236"/>
      <c r="P236"/>
    </row>
    <row r="237" spans="1:16">
      <c r="N237"/>
      <c r="O237"/>
      <c r="P237"/>
    </row>
    <row r="238" spans="1:16">
      <c r="N238"/>
      <c r="O238"/>
      <c r="P238"/>
    </row>
    <row r="239" spans="1:16">
      <c r="N239"/>
      <c r="O239"/>
      <c r="P239"/>
    </row>
    <row r="240" spans="1:16">
      <c r="N240"/>
      <c r="O240"/>
      <c r="P240"/>
    </row>
    <row r="241" spans="14:16">
      <c r="N241"/>
      <c r="O241"/>
      <c r="P241"/>
    </row>
    <row r="242" spans="14:16">
      <c r="N242"/>
      <c r="O242"/>
      <c r="P242"/>
    </row>
    <row r="243" spans="14:16">
      <c r="N243"/>
      <c r="O243"/>
      <c r="P243"/>
    </row>
    <row r="244" spans="14:16">
      <c r="N244"/>
      <c r="O244"/>
      <c r="P244"/>
    </row>
    <row r="245" spans="14:16">
      <c r="N245"/>
      <c r="O245"/>
      <c r="P245"/>
    </row>
    <row r="246" spans="14:16">
      <c r="N246"/>
      <c r="O246"/>
      <c r="P246"/>
    </row>
    <row r="247" spans="14:16">
      <c r="N247"/>
      <c r="O247"/>
      <c r="P247"/>
    </row>
    <row r="248" spans="14:16">
      <c r="N248"/>
      <c r="O248"/>
      <c r="P248"/>
    </row>
    <row r="249" spans="14:16">
      <c r="N249"/>
      <c r="O249"/>
      <c r="P249"/>
    </row>
    <row r="250" spans="14:16">
      <c r="N250"/>
      <c r="O250"/>
      <c r="P250"/>
    </row>
    <row r="251" spans="14:16">
      <c r="N251"/>
      <c r="O251"/>
      <c r="P251"/>
    </row>
    <row r="252" spans="14:16">
      <c r="N252"/>
      <c r="O252"/>
      <c r="P252"/>
    </row>
    <row r="253" spans="14:16" s="899" customFormat="1">
      <c r="N253"/>
      <c r="O253"/>
      <c r="P253"/>
    </row>
    <row r="254" spans="14:16" s="899" customFormat="1">
      <c r="N254"/>
      <c r="O254"/>
      <c r="P254"/>
    </row>
    <row r="255" spans="14:16" s="899" customFormat="1">
      <c r="N255"/>
      <c r="O255"/>
      <c r="P255"/>
    </row>
    <row r="256" spans="14:16" s="899" customFormat="1">
      <c r="N256"/>
      <c r="O256"/>
      <c r="P256"/>
    </row>
    <row r="257" spans="14:16" s="899" customFormat="1">
      <c r="N257"/>
      <c r="O257"/>
      <c r="P257"/>
    </row>
    <row r="258" spans="14:16" s="899" customFormat="1">
      <c r="N258"/>
      <c r="O258"/>
      <c r="P258"/>
    </row>
    <row r="259" spans="14:16">
      <c r="N259"/>
      <c r="O259"/>
      <c r="P259"/>
    </row>
    <row r="260" spans="14:16">
      <c r="N260"/>
      <c r="O260"/>
      <c r="P260"/>
    </row>
    <row r="261" spans="14:16">
      <c r="N261"/>
      <c r="O261"/>
      <c r="P261"/>
    </row>
  </sheetData>
  <mergeCells count="708">
    <mergeCell ref="H223:I223"/>
    <mergeCell ref="H224:I224"/>
    <mergeCell ref="H207:I207"/>
    <mergeCell ref="H208:I208"/>
    <mergeCell ref="H209:I209"/>
    <mergeCell ref="H210:I210"/>
    <mergeCell ref="H211:I211"/>
    <mergeCell ref="H212:I212"/>
    <mergeCell ref="H213:I213"/>
    <mergeCell ref="H214:I214"/>
    <mergeCell ref="H215:I215"/>
    <mergeCell ref="H183:I183"/>
    <mergeCell ref="H184:I184"/>
    <mergeCell ref="H185:I185"/>
    <mergeCell ref="H186:I186"/>
    <mergeCell ref="H187:I187"/>
    <mergeCell ref="H189:I189"/>
    <mergeCell ref="H190:I190"/>
    <mergeCell ref="H191:I191"/>
    <mergeCell ref="H222:I222"/>
    <mergeCell ref="H174:I174"/>
    <mergeCell ref="H175:I175"/>
    <mergeCell ref="H176:I176"/>
    <mergeCell ref="H177:I177"/>
    <mergeCell ref="H178:I178"/>
    <mergeCell ref="H179:I179"/>
    <mergeCell ref="H180:I180"/>
    <mergeCell ref="H181:I181"/>
    <mergeCell ref="H182:I182"/>
    <mergeCell ref="H165:I165"/>
    <mergeCell ref="H166:I166"/>
    <mergeCell ref="H167:I167"/>
    <mergeCell ref="H168:I168"/>
    <mergeCell ref="H169:I169"/>
    <mergeCell ref="H170:I170"/>
    <mergeCell ref="H171:I171"/>
    <mergeCell ref="H172:I172"/>
    <mergeCell ref="H173:I173"/>
    <mergeCell ref="H156:I156"/>
    <mergeCell ref="H157:I157"/>
    <mergeCell ref="H158:I158"/>
    <mergeCell ref="H159:I159"/>
    <mergeCell ref="H160:I160"/>
    <mergeCell ref="H161:I161"/>
    <mergeCell ref="H162:I162"/>
    <mergeCell ref="H163:I163"/>
    <mergeCell ref="H164:I164"/>
    <mergeCell ref="H147:I147"/>
    <mergeCell ref="H148:I148"/>
    <mergeCell ref="H149:I149"/>
    <mergeCell ref="H150:I150"/>
    <mergeCell ref="H151:I151"/>
    <mergeCell ref="H152:I152"/>
    <mergeCell ref="H153:I153"/>
    <mergeCell ref="H154:I154"/>
    <mergeCell ref="H155:I155"/>
    <mergeCell ref="H138:I138"/>
    <mergeCell ref="H139:I139"/>
    <mergeCell ref="H140:I140"/>
    <mergeCell ref="H141:I141"/>
    <mergeCell ref="H142:I142"/>
    <mergeCell ref="H143:I143"/>
    <mergeCell ref="H144:I144"/>
    <mergeCell ref="H145:I145"/>
    <mergeCell ref="H146:I146"/>
    <mergeCell ref="B210:C210"/>
    <mergeCell ref="J210:S210"/>
    <mergeCell ref="J209:S209"/>
    <mergeCell ref="J219:S219"/>
    <mergeCell ref="J220:S220"/>
    <mergeCell ref="J221:S221"/>
    <mergeCell ref="J222:S222"/>
    <mergeCell ref="J223:S223"/>
    <mergeCell ref="H188:I188"/>
    <mergeCell ref="H192:I192"/>
    <mergeCell ref="H193:I193"/>
    <mergeCell ref="H194:I194"/>
    <mergeCell ref="H195:I195"/>
    <mergeCell ref="H196:I196"/>
    <mergeCell ref="H197:I197"/>
    <mergeCell ref="H198:I198"/>
    <mergeCell ref="H199:I199"/>
    <mergeCell ref="H200:I200"/>
    <mergeCell ref="H201:I201"/>
    <mergeCell ref="H202:I202"/>
    <mergeCell ref="H203:I203"/>
    <mergeCell ref="H204:I204"/>
    <mergeCell ref="H205:I205"/>
    <mergeCell ref="H206:I206"/>
    <mergeCell ref="J224:S224"/>
    <mergeCell ref="B218:C218"/>
    <mergeCell ref="B211:C211"/>
    <mergeCell ref="B212:C212"/>
    <mergeCell ref="B213:C213"/>
    <mergeCell ref="B215:C215"/>
    <mergeCell ref="B216:C216"/>
    <mergeCell ref="B214:C214"/>
    <mergeCell ref="J211:S211"/>
    <mergeCell ref="J212:S212"/>
    <mergeCell ref="J213:S213"/>
    <mergeCell ref="J214:S214"/>
    <mergeCell ref="J215:S215"/>
    <mergeCell ref="B221:C221"/>
    <mergeCell ref="B222:C222"/>
    <mergeCell ref="B223:C223"/>
    <mergeCell ref="B224:C224"/>
    <mergeCell ref="J218:S218"/>
    <mergeCell ref="H216:I216"/>
    <mergeCell ref="H217:I217"/>
    <mergeCell ref="H218:I218"/>
    <mergeCell ref="H219:I219"/>
    <mergeCell ref="H220:I220"/>
    <mergeCell ref="H221:I221"/>
    <mergeCell ref="J202:S202"/>
    <mergeCell ref="J203:S203"/>
    <mergeCell ref="J204:S204"/>
    <mergeCell ref="J205:S205"/>
    <mergeCell ref="J206:S206"/>
    <mergeCell ref="J207:S207"/>
    <mergeCell ref="J208:S208"/>
    <mergeCell ref="J217:S217"/>
    <mergeCell ref="J216:S216"/>
    <mergeCell ref="J193:S193"/>
    <mergeCell ref="J194:S194"/>
    <mergeCell ref="J195:S195"/>
    <mergeCell ref="J196:S196"/>
    <mergeCell ref="J197:S197"/>
    <mergeCell ref="J198:S198"/>
    <mergeCell ref="J199:S199"/>
    <mergeCell ref="J200:S200"/>
    <mergeCell ref="J201:S201"/>
    <mergeCell ref="J184:S184"/>
    <mergeCell ref="J185:S185"/>
    <mergeCell ref="J186:S186"/>
    <mergeCell ref="J187:S187"/>
    <mergeCell ref="J188:S188"/>
    <mergeCell ref="J189:S189"/>
    <mergeCell ref="J190:S190"/>
    <mergeCell ref="J191:S191"/>
    <mergeCell ref="J192:S192"/>
    <mergeCell ref="J175:S175"/>
    <mergeCell ref="J176:S176"/>
    <mergeCell ref="J177:S177"/>
    <mergeCell ref="J178:S178"/>
    <mergeCell ref="J179:S179"/>
    <mergeCell ref="J180:S180"/>
    <mergeCell ref="J181:S181"/>
    <mergeCell ref="J182:S182"/>
    <mergeCell ref="J183:S183"/>
    <mergeCell ref="J166:S166"/>
    <mergeCell ref="J167:S167"/>
    <mergeCell ref="J168:S168"/>
    <mergeCell ref="J169:S169"/>
    <mergeCell ref="J170:S170"/>
    <mergeCell ref="J171:S171"/>
    <mergeCell ref="J172:S172"/>
    <mergeCell ref="J173:S173"/>
    <mergeCell ref="J174:S174"/>
    <mergeCell ref="J157:S157"/>
    <mergeCell ref="J158:S158"/>
    <mergeCell ref="J159:S159"/>
    <mergeCell ref="J160:S160"/>
    <mergeCell ref="J161:S161"/>
    <mergeCell ref="J162:S162"/>
    <mergeCell ref="J163:S163"/>
    <mergeCell ref="J164:S164"/>
    <mergeCell ref="J165:S165"/>
    <mergeCell ref="J146:S146"/>
    <mergeCell ref="J147:S147"/>
    <mergeCell ref="J148:S148"/>
    <mergeCell ref="J149:S149"/>
    <mergeCell ref="J150:S150"/>
    <mergeCell ref="J151:S151"/>
    <mergeCell ref="J152:S152"/>
    <mergeCell ref="J153:S153"/>
    <mergeCell ref="J137:S137"/>
    <mergeCell ref="J138:S138"/>
    <mergeCell ref="J139:S139"/>
    <mergeCell ref="J140:S140"/>
    <mergeCell ref="J141:S141"/>
    <mergeCell ref="J142:S142"/>
    <mergeCell ref="J143:S143"/>
    <mergeCell ref="J144:S144"/>
    <mergeCell ref="J145:S145"/>
    <mergeCell ref="J154:S154"/>
    <mergeCell ref="J155:S155"/>
    <mergeCell ref="J156:S156"/>
    <mergeCell ref="B137:C137"/>
    <mergeCell ref="B208:C208"/>
    <mergeCell ref="B217:C217"/>
    <mergeCell ref="B209:C209"/>
    <mergeCell ref="B219:C219"/>
    <mergeCell ref="B220:C220"/>
    <mergeCell ref="B200:C200"/>
    <mergeCell ref="B201:C201"/>
    <mergeCell ref="B202:C202"/>
    <mergeCell ref="B203:C203"/>
    <mergeCell ref="B204:C204"/>
    <mergeCell ref="B205:C205"/>
    <mergeCell ref="B206:C206"/>
    <mergeCell ref="B207:C207"/>
    <mergeCell ref="B191:C191"/>
    <mergeCell ref="B192:C192"/>
    <mergeCell ref="B193:C193"/>
    <mergeCell ref="B194:C194"/>
    <mergeCell ref="B195:C195"/>
    <mergeCell ref="B196:C196"/>
    <mergeCell ref="B197:C197"/>
    <mergeCell ref="B199:C199"/>
    <mergeCell ref="B182:C182"/>
    <mergeCell ref="B183:C183"/>
    <mergeCell ref="B184:C184"/>
    <mergeCell ref="B185:C185"/>
    <mergeCell ref="B186:C186"/>
    <mergeCell ref="B187:C187"/>
    <mergeCell ref="B188:C188"/>
    <mergeCell ref="B189:C189"/>
    <mergeCell ref="B190:C190"/>
    <mergeCell ref="B174:C174"/>
    <mergeCell ref="B175:C175"/>
    <mergeCell ref="B176:C176"/>
    <mergeCell ref="B177:C177"/>
    <mergeCell ref="B178:C178"/>
    <mergeCell ref="B179:C179"/>
    <mergeCell ref="B180:C180"/>
    <mergeCell ref="B181:C181"/>
    <mergeCell ref="B198:C198"/>
    <mergeCell ref="B165:C165"/>
    <mergeCell ref="B166:C166"/>
    <mergeCell ref="B167:C167"/>
    <mergeCell ref="B168:C168"/>
    <mergeCell ref="B169:C169"/>
    <mergeCell ref="B170:C170"/>
    <mergeCell ref="B171:C171"/>
    <mergeCell ref="B172:C172"/>
    <mergeCell ref="B173:C173"/>
    <mergeCell ref="B156:C156"/>
    <mergeCell ref="B157:C157"/>
    <mergeCell ref="B158:C158"/>
    <mergeCell ref="B159:C159"/>
    <mergeCell ref="B160:C160"/>
    <mergeCell ref="B161:C161"/>
    <mergeCell ref="B162:C162"/>
    <mergeCell ref="B163:C163"/>
    <mergeCell ref="B164:C164"/>
    <mergeCell ref="B147:C147"/>
    <mergeCell ref="B148:C148"/>
    <mergeCell ref="B149:C149"/>
    <mergeCell ref="B150:C150"/>
    <mergeCell ref="B151:C151"/>
    <mergeCell ref="B152:C152"/>
    <mergeCell ref="B153:C153"/>
    <mergeCell ref="B154:C154"/>
    <mergeCell ref="B155:C155"/>
    <mergeCell ref="B138:C138"/>
    <mergeCell ref="B139:C139"/>
    <mergeCell ref="B140:C140"/>
    <mergeCell ref="B141:C141"/>
    <mergeCell ref="B142:C142"/>
    <mergeCell ref="B143:C143"/>
    <mergeCell ref="B144:C144"/>
    <mergeCell ref="B145:C145"/>
    <mergeCell ref="B146:C146"/>
    <mergeCell ref="AD135:AE135"/>
    <mergeCell ref="N108:S108"/>
    <mergeCell ref="N109:S109"/>
    <mergeCell ref="N110:S110"/>
    <mergeCell ref="N111:S111"/>
    <mergeCell ref="N112:S112"/>
    <mergeCell ref="N113:S113"/>
    <mergeCell ref="N114:S114"/>
    <mergeCell ref="N115:S115"/>
    <mergeCell ref="N116:S116"/>
    <mergeCell ref="N117:S117"/>
    <mergeCell ref="N118:S118"/>
    <mergeCell ref="N119:S119"/>
    <mergeCell ref="N120:S120"/>
    <mergeCell ref="N121:S121"/>
    <mergeCell ref="N122:S122"/>
    <mergeCell ref="AD130:AE130"/>
    <mergeCell ref="AD131:AE131"/>
    <mergeCell ref="AD132:AE132"/>
    <mergeCell ref="AD133:AE133"/>
    <mergeCell ref="AD134:AE134"/>
    <mergeCell ref="AD125:AE125"/>
    <mergeCell ref="AD126:AE126"/>
    <mergeCell ref="AD127:AE127"/>
    <mergeCell ref="AD128:AE128"/>
    <mergeCell ref="AD129:AE129"/>
    <mergeCell ref="T135:U135"/>
    <mergeCell ref="V135:W135"/>
    <mergeCell ref="X135:Y135"/>
    <mergeCell ref="Z135:AA135"/>
    <mergeCell ref="AB135:AC135"/>
    <mergeCell ref="T134:U134"/>
    <mergeCell ref="V134:W134"/>
    <mergeCell ref="X134:Y134"/>
    <mergeCell ref="Z134:AA134"/>
    <mergeCell ref="AB134:AC134"/>
    <mergeCell ref="T133:U133"/>
    <mergeCell ref="V133:W133"/>
    <mergeCell ref="X133:Y133"/>
    <mergeCell ref="Z133:AA133"/>
    <mergeCell ref="AB133:AC133"/>
    <mergeCell ref="T132:U132"/>
    <mergeCell ref="V132:W132"/>
    <mergeCell ref="X132:Y132"/>
    <mergeCell ref="Z132:AA132"/>
    <mergeCell ref="AB132:AC132"/>
    <mergeCell ref="T131:U131"/>
    <mergeCell ref="V131:W131"/>
    <mergeCell ref="X131:Y131"/>
    <mergeCell ref="Z131:AA131"/>
    <mergeCell ref="AB131:AC131"/>
    <mergeCell ref="T130:U130"/>
    <mergeCell ref="V130:W130"/>
    <mergeCell ref="X130:Y130"/>
    <mergeCell ref="Z130:AA130"/>
    <mergeCell ref="AB130:AC130"/>
    <mergeCell ref="T129:U129"/>
    <mergeCell ref="V129:W129"/>
    <mergeCell ref="X129:Y129"/>
    <mergeCell ref="Z129:AA129"/>
    <mergeCell ref="AB129:AC129"/>
    <mergeCell ref="T128:U128"/>
    <mergeCell ref="V128:W128"/>
    <mergeCell ref="X128:Y128"/>
    <mergeCell ref="Z128:AA128"/>
    <mergeCell ref="AB128:AC128"/>
    <mergeCell ref="T127:U127"/>
    <mergeCell ref="V127:W127"/>
    <mergeCell ref="X127:Y127"/>
    <mergeCell ref="Z127:AA127"/>
    <mergeCell ref="AB127:AC127"/>
    <mergeCell ref="T126:U126"/>
    <mergeCell ref="V126:W126"/>
    <mergeCell ref="X126:Y126"/>
    <mergeCell ref="Z126:AA126"/>
    <mergeCell ref="AB126:AC126"/>
    <mergeCell ref="T125:U125"/>
    <mergeCell ref="V125:W125"/>
    <mergeCell ref="X125:Y125"/>
    <mergeCell ref="Z125:AA125"/>
    <mergeCell ref="AB125:AC125"/>
    <mergeCell ref="N134:O134"/>
    <mergeCell ref="P134:Q134"/>
    <mergeCell ref="R134:S134"/>
    <mergeCell ref="D135:E135"/>
    <mergeCell ref="F135:G135"/>
    <mergeCell ref="H135:I135"/>
    <mergeCell ref="J135:K135"/>
    <mergeCell ref="L135:M135"/>
    <mergeCell ref="N135:O135"/>
    <mergeCell ref="P135:Q135"/>
    <mergeCell ref="R135:S135"/>
    <mergeCell ref="D134:E134"/>
    <mergeCell ref="F134:G134"/>
    <mergeCell ref="H134:I134"/>
    <mergeCell ref="J134:K134"/>
    <mergeCell ref="L134:M134"/>
    <mergeCell ref="N132:O132"/>
    <mergeCell ref="P132:Q132"/>
    <mergeCell ref="R132:S132"/>
    <mergeCell ref="D133:E133"/>
    <mergeCell ref="F133:G133"/>
    <mergeCell ref="H133:I133"/>
    <mergeCell ref="J133:K133"/>
    <mergeCell ref="L133:M133"/>
    <mergeCell ref="N133:O133"/>
    <mergeCell ref="P133:Q133"/>
    <mergeCell ref="R133:S133"/>
    <mergeCell ref="D132:E132"/>
    <mergeCell ref="F132:G132"/>
    <mergeCell ref="H132:I132"/>
    <mergeCell ref="J132:K132"/>
    <mergeCell ref="L132:M132"/>
    <mergeCell ref="J131:K131"/>
    <mergeCell ref="L131:M131"/>
    <mergeCell ref="N131:O131"/>
    <mergeCell ref="P131:Q131"/>
    <mergeCell ref="R131:S131"/>
    <mergeCell ref="L129:M129"/>
    <mergeCell ref="N129:O129"/>
    <mergeCell ref="P129:Q129"/>
    <mergeCell ref="R129:S129"/>
    <mergeCell ref="D130:E130"/>
    <mergeCell ref="F130:G130"/>
    <mergeCell ref="H130:I130"/>
    <mergeCell ref="J130:K130"/>
    <mergeCell ref="L130:M130"/>
    <mergeCell ref="N130:O130"/>
    <mergeCell ref="P130:Q130"/>
    <mergeCell ref="R130:S130"/>
    <mergeCell ref="L127:M127"/>
    <mergeCell ref="N127:O127"/>
    <mergeCell ref="P127:Q127"/>
    <mergeCell ref="R127:S127"/>
    <mergeCell ref="D128:E128"/>
    <mergeCell ref="F128:G128"/>
    <mergeCell ref="H128:I128"/>
    <mergeCell ref="J128:K128"/>
    <mergeCell ref="L128:M128"/>
    <mergeCell ref="N128:O128"/>
    <mergeCell ref="P128:Q128"/>
    <mergeCell ref="R128:S128"/>
    <mergeCell ref="B135:C135"/>
    <mergeCell ref="D125:E125"/>
    <mergeCell ref="F125:G125"/>
    <mergeCell ref="H125:I125"/>
    <mergeCell ref="J125:K125"/>
    <mergeCell ref="D127:E127"/>
    <mergeCell ref="F127:G127"/>
    <mergeCell ref="H127:I127"/>
    <mergeCell ref="J127:K127"/>
    <mergeCell ref="D129:E129"/>
    <mergeCell ref="F129:G129"/>
    <mergeCell ref="H129:I129"/>
    <mergeCell ref="J129:K129"/>
    <mergeCell ref="D131:E131"/>
    <mergeCell ref="F131:G131"/>
    <mergeCell ref="H131:I131"/>
    <mergeCell ref="B130:C130"/>
    <mergeCell ref="B131:C131"/>
    <mergeCell ref="B132:C132"/>
    <mergeCell ref="B133:C133"/>
    <mergeCell ref="B134:C134"/>
    <mergeCell ref="B125:C125"/>
    <mergeCell ref="B126:C126"/>
    <mergeCell ref="B127:C127"/>
    <mergeCell ref="B128:C128"/>
    <mergeCell ref="B129:C129"/>
    <mergeCell ref="B121:C121"/>
    <mergeCell ref="B122:C122"/>
    <mergeCell ref="B123:C123"/>
    <mergeCell ref="A124:S124"/>
    <mergeCell ref="N123:S123"/>
    <mergeCell ref="B117:C117"/>
    <mergeCell ref="B118:C118"/>
    <mergeCell ref="B119:C119"/>
    <mergeCell ref="B120:C120"/>
    <mergeCell ref="L125:M125"/>
    <mergeCell ref="N125:O125"/>
    <mergeCell ref="P125:Q125"/>
    <mergeCell ref="R125:S125"/>
    <mergeCell ref="D126:E126"/>
    <mergeCell ref="F126:G126"/>
    <mergeCell ref="H126:I126"/>
    <mergeCell ref="J126:K126"/>
    <mergeCell ref="L126:M126"/>
    <mergeCell ref="N126:O126"/>
    <mergeCell ref="P126:Q126"/>
    <mergeCell ref="R126:S126"/>
    <mergeCell ref="B110:C110"/>
    <mergeCell ref="B111:C111"/>
    <mergeCell ref="B116:C116"/>
    <mergeCell ref="B112:C112"/>
    <mergeCell ref="B113:C113"/>
    <mergeCell ref="B114:C114"/>
    <mergeCell ref="B115:C115"/>
    <mergeCell ref="A107:S107"/>
    <mergeCell ref="B108:C108"/>
    <mergeCell ref="B109:C109"/>
    <mergeCell ref="M102:S102"/>
    <mergeCell ref="M103:S103"/>
    <mergeCell ref="M104:S104"/>
    <mergeCell ref="A106:S106"/>
    <mergeCell ref="D104:F104"/>
    <mergeCell ref="G104:I104"/>
    <mergeCell ref="J104:L104"/>
    <mergeCell ref="D98:F98"/>
    <mergeCell ref="G98:I98"/>
    <mergeCell ref="J99:L99"/>
    <mergeCell ref="D100:F100"/>
    <mergeCell ref="G100:I100"/>
    <mergeCell ref="J100:L100"/>
    <mergeCell ref="M97:S97"/>
    <mergeCell ref="M98:S98"/>
    <mergeCell ref="M99:S99"/>
    <mergeCell ref="M100:S100"/>
    <mergeCell ref="M101:S101"/>
    <mergeCell ref="K86:S86"/>
    <mergeCell ref="K87:S87"/>
    <mergeCell ref="K88:S88"/>
    <mergeCell ref="J98:L98"/>
    <mergeCell ref="A94:S94"/>
    <mergeCell ref="D95:F95"/>
    <mergeCell ref="G95:I95"/>
    <mergeCell ref="J95:L95"/>
    <mergeCell ref="D96:F96"/>
    <mergeCell ref="G96:I96"/>
    <mergeCell ref="J96:L96"/>
    <mergeCell ref="M95:S95"/>
    <mergeCell ref="M96:S96"/>
    <mergeCell ref="M90:S90"/>
    <mergeCell ref="M91:S91"/>
    <mergeCell ref="M92:S92"/>
    <mergeCell ref="M93:S93"/>
    <mergeCell ref="D99:F99"/>
    <mergeCell ref="G99:I99"/>
    <mergeCell ref="M43:S43"/>
    <mergeCell ref="M44:S44"/>
    <mergeCell ref="M45:S45"/>
    <mergeCell ref="M46:S46"/>
    <mergeCell ref="M47:S47"/>
    <mergeCell ref="M48:S48"/>
    <mergeCell ref="M49:S49"/>
    <mergeCell ref="M50:S50"/>
    <mergeCell ref="M51:S51"/>
    <mergeCell ref="D97:F97"/>
    <mergeCell ref="G97:I97"/>
    <mergeCell ref="J97:L97"/>
    <mergeCell ref="D103:F103"/>
    <mergeCell ref="G103:I103"/>
    <mergeCell ref="J103:L103"/>
    <mergeCell ref="D101:F101"/>
    <mergeCell ref="G101:I101"/>
    <mergeCell ref="J101:L101"/>
    <mergeCell ref="D102:F102"/>
    <mergeCell ref="G102:I102"/>
    <mergeCell ref="J102:L102"/>
    <mergeCell ref="D47:F47"/>
    <mergeCell ref="D48:F48"/>
    <mergeCell ref="D49:F49"/>
    <mergeCell ref="D50:F50"/>
    <mergeCell ref="D51:F51"/>
    <mergeCell ref="D52:F52"/>
    <mergeCell ref="M52:S52"/>
    <mergeCell ref="K81:S81"/>
    <mergeCell ref="K82:S82"/>
    <mergeCell ref="M54:S54"/>
    <mergeCell ref="I75:J75"/>
    <mergeCell ref="M65:S65"/>
    <mergeCell ref="M66:S66"/>
    <mergeCell ref="M67:S67"/>
    <mergeCell ref="M68:S68"/>
    <mergeCell ref="M69:S69"/>
    <mergeCell ref="I76:J76"/>
    <mergeCell ref="I77:J77"/>
    <mergeCell ref="I78:J78"/>
    <mergeCell ref="I79:J79"/>
    <mergeCell ref="I80:J80"/>
    <mergeCell ref="I81:J81"/>
    <mergeCell ref="I82:J82"/>
    <mergeCell ref="M61:S61"/>
    <mergeCell ref="D43:F43"/>
    <mergeCell ref="G43:I43"/>
    <mergeCell ref="J43:L43"/>
    <mergeCell ref="D44:F44"/>
    <mergeCell ref="J52:L52"/>
    <mergeCell ref="J44:L44"/>
    <mergeCell ref="J45:L45"/>
    <mergeCell ref="J46:L46"/>
    <mergeCell ref="J47:L47"/>
    <mergeCell ref="J48:L48"/>
    <mergeCell ref="J49:L49"/>
    <mergeCell ref="J50:L50"/>
    <mergeCell ref="J51:L51"/>
    <mergeCell ref="G44:I44"/>
    <mergeCell ref="G45:I45"/>
    <mergeCell ref="G46:I46"/>
    <mergeCell ref="G47:I47"/>
    <mergeCell ref="G48:I48"/>
    <mergeCell ref="G49:I49"/>
    <mergeCell ref="G50:I50"/>
    <mergeCell ref="G51:I51"/>
    <mergeCell ref="G52:I52"/>
    <mergeCell ref="D45:F45"/>
    <mergeCell ref="D46:F46"/>
    <mergeCell ref="A42:S42"/>
    <mergeCell ref="E88:H88"/>
    <mergeCell ref="M40:S40"/>
    <mergeCell ref="M39:S39"/>
    <mergeCell ref="M41:S41"/>
    <mergeCell ref="M38:S38"/>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I88:J88"/>
    <mergeCell ref="I73:J73"/>
    <mergeCell ref="I74:J74"/>
    <mergeCell ref="I86:J86"/>
    <mergeCell ref="I87:J87"/>
    <mergeCell ref="E87:H87"/>
    <mergeCell ref="A71:S71"/>
    <mergeCell ref="K72:S72"/>
    <mergeCell ref="K73:S73"/>
    <mergeCell ref="K74:S74"/>
    <mergeCell ref="K75:S75"/>
    <mergeCell ref="K76:S76"/>
    <mergeCell ref="K77:S77"/>
    <mergeCell ref="K78:S78"/>
    <mergeCell ref="K79:S79"/>
    <mergeCell ref="K80:S80"/>
    <mergeCell ref="I72:J72"/>
    <mergeCell ref="K83:S83"/>
    <mergeCell ref="K84:S84"/>
    <mergeCell ref="K85:S85"/>
    <mergeCell ref="I83:J83"/>
    <mergeCell ref="I84:J84"/>
    <mergeCell ref="I85:J85"/>
    <mergeCell ref="G22:H22"/>
    <mergeCell ref="G23:H23"/>
    <mergeCell ref="G24:H24"/>
    <mergeCell ref="G25:H25"/>
    <mergeCell ref="G26:H26"/>
    <mergeCell ref="E22:F22"/>
    <mergeCell ref="E23:F23"/>
    <mergeCell ref="E24:F24"/>
    <mergeCell ref="E25:F25"/>
    <mergeCell ref="E26:F26"/>
    <mergeCell ref="K22:S22"/>
    <mergeCell ref="K23:S23"/>
    <mergeCell ref="K24:S24"/>
    <mergeCell ref="K25:S25"/>
    <mergeCell ref="K26:S26"/>
    <mergeCell ref="K27:S27"/>
    <mergeCell ref="I22:J22"/>
    <mergeCell ref="I23:J23"/>
    <mergeCell ref="I24:J24"/>
    <mergeCell ref="I25:J25"/>
    <mergeCell ref="I26:J26"/>
    <mergeCell ref="K32:S32"/>
    <mergeCell ref="K33:S33"/>
    <mergeCell ref="K34:S34"/>
    <mergeCell ref="K35:S35"/>
    <mergeCell ref="K36:S36"/>
    <mergeCell ref="K28:S28"/>
    <mergeCell ref="K29:S29"/>
    <mergeCell ref="K30:S30"/>
    <mergeCell ref="K31:S31"/>
    <mergeCell ref="I32:J32"/>
    <mergeCell ref="I33:J33"/>
    <mergeCell ref="I34:J34"/>
    <mergeCell ref="I35:J35"/>
    <mergeCell ref="I36:J36"/>
    <mergeCell ref="I27:J27"/>
    <mergeCell ref="I28:J28"/>
    <mergeCell ref="I29:J29"/>
    <mergeCell ref="I30:J30"/>
    <mergeCell ref="I31:J31"/>
    <mergeCell ref="G32:H32"/>
    <mergeCell ref="G33:H33"/>
    <mergeCell ref="G34:H34"/>
    <mergeCell ref="G35:H35"/>
    <mergeCell ref="G36:H36"/>
    <mergeCell ref="G27:H27"/>
    <mergeCell ref="G28:H28"/>
    <mergeCell ref="G29:H29"/>
    <mergeCell ref="G30:H30"/>
    <mergeCell ref="G31:H31"/>
    <mergeCell ref="E32:F32"/>
    <mergeCell ref="E33:F33"/>
    <mergeCell ref="E34:F34"/>
    <mergeCell ref="E35:F35"/>
    <mergeCell ref="E36:F36"/>
    <mergeCell ref="E27:F27"/>
    <mergeCell ref="E28:F28"/>
    <mergeCell ref="E29:F29"/>
    <mergeCell ref="E30:F30"/>
    <mergeCell ref="E31:F31"/>
    <mergeCell ref="E21:F21"/>
    <mergeCell ref="G20:H20"/>
    <mergeCell ref="G21:H21"/>
    <mergeCell ref="I20:J20"/>
    <mergeCell ref="I21:J21"/>
    <mergeCell ref="M14:S14"/>
    <mergeCell ref="M15:S15"/>
    <mergeCell ref="M16:S16"/>
    <mergeCell ref="M17:S17"/>
    <mergeCell ref="A19:S19"/>
    <mergeCell ref="K20:S20"/>
    <mergeCell ref="K21:S21"/>
    <mergeCell ref="H137:I137"/>
    <mergeCell ref="M62:S62"/>
    <mergeCell ref="M63:S63"/>
    <mergeCell ref="M64:S64"/>
    <mergeCell ref="A1:S1"/>
    <mergeCell ref="M2:S2"/>
    <mergeCell ref="M3:S3"/>
    <mergeCell ref="M55:S55"/>
    <mergeCell ref="M56:S56"/>
    <mergeCell ref="M57:S57"/>
    <mergeCell ref="M58:S58"/>
    <mergeCell ref="M59:S59"/>
    <mergeCell ref="M60:S60"/>
    <mergeCell ref="M9:S9"/>
    <mergeCell ref="M10:S10"/>
    <mergeCell ref="M11:S11"/>
    <mergeCell ref="M12:S12"/>
    <mergeCell ref="M13:S13"/>
    <mergeCell ref="M4:S4"/>
    <mergeCell ref="M5:S5"/>
    <mergeCell ref="M6:S6"/>
    <mergeCell ref="M7:S7"/>
    <mergeCell ref="M8:S8"/>
    <mergeCell ref="E20:F20"/>
  </mergeCells>
  <phoneticPr fontId="22" type="noConversion"/>
  <hyperlinks>
    <hyperlink ref="M3" r:id="rId1" xr:uid="{C17EA12C-9368-4E35-81AD-C8EAA5BD5DFA}"/>
    <hyperlink ref="M9" r:id="rId2" xr:uid="{A9070DCC-82A5-4CC3-95E6-8BB7D7651415}"/>
    <hyperlink ref="M10" r:id="rId3" xr:uid="{9CEB3E6F-36D1-4526-8DC9-6129A314EEC4}"/>
  </hyperlinks>
  <pageMargins left="0.7" right="0.7" top="0.75" bottom="0.75" header="0.3" footer="0.3"/>
  <pageSetup paperSize="9" orientation="portrait" horizontalDpi="4294967293" verticalDpi="0" r:id="rId4"/>
  <legacyDrawing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71D08-94B9-4BF0-A16A-E94B7B2ABB22}">
  <sheetPr>
    <tabColor theme="8"/>
  </sheetPr>
  <dimension ref="A1:M58"/>
  <sheetViews>
    <sheetView topLeftCell="A10" workbookViewId="0">
      <selection activeCell="A30" sqref="A30:M30"/>
    </sheetView>
  </sheetViews>
  <sheetFormatPr defaultRowHeight="14.4"/>
  <cols>
    <col min="1" max="1" width="31.44140625" customWidth="1"/>
    <col min="2" max="2" width="31.109375" bestFit="1" customWidth="1"/>
    <col min="3" max="3" width="11.109375" customWidth="1"/>
    <col min="7" max="7" width="74.88671875" customWidth="1"/>
  </cols>
  <sheetData>
    <row r="1" spans="1:13" s="1225" customFormat="1">
      <c r="A1" s="1225" t="s">
        <v>2342</v>
      </c>
    </row>
    <row r="2" spans="1:13" s="1225" customFormat="1"/>
    <row r="3" spans="1:13">
      <c r="A3" s="1246" t="s">
        <v>2344</v>
      </c>
      <c r="B3" s="921"/>
      <c r="C3" s="921"/>
      <c r="D3" s="921"/>
      <c r="E3" s="921"/>
      <c r="F3" s="921"/>
      <c r="G3" s="921"/>
      <c r="H3" s="921"/>
      <c r="I3" s="921"/>
      <c r="J3" s="921"/>
      <c r="K3" s="921"/>
      <c r="L3" s="921"/>
      <c r="M3" s="921"/>
    </row>
    <row r="4" spans="1:13">
      <c r="A4" s="222" t="s">
        <v>2291</v>
      </c>
      <c r="B4" s="222" t="s">
        <v>131</v>
      </c>
      <c r="C4" s="222" t="s">
        <v>101</v>
      </c>
      <c r="D4" s="222" t="s">
        <v>1007</v>
      </c>
      <c r="E4" s="222" t="s">
        <v>1086</v>
      </c>
      <c r="F4" s="222" t="s">
        <v>104</v>
      </c>
      <c r="G4" s="222" t="s">
        <v>516</v>
      </c>
    </row>
    <row r="5" spans="1:13">
      <c r="A5" t="s">
        <v>2347</v>
      </c>
      <c r="B5" t="s">
        <v>180</v>
      </c>
      <c r="C5">
        <v>2022</v>
      </c>
      <c r="D5" s="977">
        <v>108.5</v>
      </c>
      <c r="E5" t="s">
        <v>2337</v>
      </c>
      <c r="F5" s="1243" t="s">
        <v>2202</v>
      </c>
    </row>
    <row r="6" spans="1:13">
      <c r="A6" t="s">
        <v>2346</v>
      </c>
      <c r="B6" t="s">
        <v>180</v>
      </c>
      <c r="C6">
        <v>2022</v>
      </c>
      <c r="D6" s="1226">
        <v>106.5</v>
      </c>
      <c r="E6" t="s">
        <v>2337</v>
      </c>
      <c r="F6" s="1243" t="s">
        <v>2202</v>
      </c>
    </row>
    <row r="7" spans="1:13">
      <c r="A7" t="s">
        <v>2348</v>
      </c>
      <c r="B7" t="s">
        <v>180</v>
      </c>
      <c r="C7">
        <v>2022</v>
      </c>
      <c r="D7" s="977">
        <v>7.3</v>
      </c>
      <c r="E7" s="1243" t="s">
        <v>2337</v>
      </c>
      <c r="F7" s="1243" t="s">
        <v>2202</v>
      </c>
    </row>
    <row r="8" spans="1:13">
      <c r="A8" t="s">
        <v>2349</v>
      </c>
      <c r="B8" t="s">
        <v>180</v>
      </c>
      <c r="C8">
        <v>2022</v>
      </c>
      <c r="D8" s="977">
        <v>6.2</v>
      </c>
      <c r="E8" s="1243" t="s">
        <v>2337</v>
      </c>
      <c r="F8" s="1243" t="s">
        <v>2202</v>
      </c>
    </row>
    <row r="9" spans="1:13">
      <c r="A9" t="s">
        <v>2350</v>
      </c>
      <c r="B9" t="s">
        <v>180</v>
      </c>
      <c r="C9">
        <v>2022</v>
      </c>
      <c r="D9" s="977">
        <v>7.1</v>
      </c>
      <c r="E9" s="1243" t="s">
        <v>2337</v>
      </c>
      <c r="F9" s="1243" t="s">
        <v>2202</v>
      </c>
    </row>
    <row r="10" spans="1:13">
      <c r="A10" t="s">
        <v>2351</v>
      </c>
      <c r="B10" t="s">
        <v>180</v>
      </c>
      <c r="C10">
        <v>2022</v>
      </c>
      <c r="D10" s="977">
        <v>1</v>
      </c>
      <c r="E10" s="1243" t="s">
        <v>2337</v>
      </c>
      <c r="F10" s="1243" t="s">
        <v>2202</v>
      </c>
    </row>
    <row r="11" spans="1:13">
      <c r="A11" t="s">
        <v>2348</v>
      </c>
      <c r="B11" t="s">
        <v>2352</v>
      </c>
      <c r="C11">
        <v>2022</v>
      </c>
      <c r="D11" s="977">
        <v>51.5</v>
      </c>
      <c r="E11" s="1243" t="s">
        <v>2337</v>
      </c>
      <c r="F11" s="1243" t="s">
        <v>2202</v>
      </c>
    </row>
    <row r="12" spans="1:13">
      <c r="A12" t="s">
        <v>2349</v>
      </c>
      <c r="B12" t="s">
        <v>2352</v>
      </c>
      <c r="C12">
        <v>2022</v>
      </c>
      <c r="D12" s="977">
        <v>25.5</v>
      </c>
      <c r="E12" s="1243" t="s">
        <v>2337</v>
      </c>
      <c r="F12" s="1243" t="s">
        <v>2202</v>
      </c>
    </row>
    <row r="13" spans="1:13">
      <c r="A13" t="s">
        <v>2350</v>
      </c>
      <c r="B13" t="s">
        <v>2352</v>
      </c>
      <c r="C13">
        <v>2022</v>
      </c>
      <c r="D13" s="977">
        <v>1.9</v>
      </c>
      <c r="E13" s="1243" t="s">
        <v>2337</v>
      </c>
      <c r="F13" s="1243" t="s">
        <v>2202</v>
      </c>
    </row>
    <row r="14" spans="1:13">
      <c r="A14" t="s">
        <v>2351</v>
      </c>
      <c r="B14" t="s">
        <v>2352</v>
      </c>
      <c r="C14">
        <v>2022</v>
      </c>
      <c r="D14" s="977">
        <v>8</v>
      </c>
      <c r="E14" s="1243" t="s">
        <v>2337</v>
      </c>
      <c r="F14" s="1243" t="s">
        <v>2202</v>
      </c>
    </row>
    <row r="15" spans="1:13">
      <c r="A15" t="s">
        <v>2354</v>
      </c>
      <c r="B15" t="s">
        <v>180</v>
      </c>
      <c r="C15">
        <v>2023</v>
      </c>
      <c r="D15" s="1250">
        <v>0.25</v>
      </c>
      <c r="E15" s="1249"/>
      <c r="F15" s="1243" t="s">
        <v>2355</v>
      </c>
    </row>
    <row r="16" spans="1:13">
      <c r="A16" t="s">
        <v>2358</v>
      </c>
      <c r="B16" t="s">
        <v>180</v>
      </c>
      <c r="C16">
        <v>2023</v>
      </c>
      <c r="D16" s="1250">
        <v>0.02</v>
      </c>
      <c r="E16" s="1243"/>
      <c r="F16" s="1243" t="s">
        <v>2355</v>
      </c>
    </row>
    <row r="17" spans="1:13">
      <c r="A17" t="s">
        <v>2359</v>
      </c>
      <c r="B17" t="s">
        <v>180</v>
      </c>
      <c r="C17">
        <v>2023</v>
      </c>
      <c r="D17" s="1250">
        <v>0.08</v>
      </c>
      <c r="E17" s="1243"/>
      <c r="F17" s="1243" t="s">
        <v>2355</v>
      </c>
    </row>
    <row r="18" spans="1:13">
      <c r="A18" t="s">
        <v>2356</v>
      </c>
      <c r="B18" t="s">
        <v>180</v>
      </c>
      <c r="C18">
        <v>2023</v>
      </c>
      <c r="D18" s="1251">
        <v>1E-3</v>
      </c>
      <c r="E18" s="1243"/>
      <c r="F18" s="1249" t="s">
        <v>2357</v>
      </c>
    </row>
    <row r="19" spans="1:13" ht="13.8" customHeight="1">
      <c r="D19" s="1243"/>
    </row>
    <row r="20" spans="1:13" s="1244" customFormat="1" ht="13.8" customHeight="1">
      <c r="A20" s="1247" t="s">
        <v>2345</v>
      </c>
      <c r="D20" s="1245"/>
    </row>
    <row r="21" spans="1:13">
      <c r="A21" s="222" t="s">
        <v>2291</v>
      </c>
      <c r="B21" s="222" t="s">
        <v>131</v>
      </c>
      <c r="C21" s="222" t="s">
        <v>101</v>
      </c>
      <c r="D21" s="222" t="s">
        <v>1007</v>
      </c>
      <c r="E21" s="222" t="s">
        <v>1086</v>
      </c>
    </row>
    <row r="22" spans="1:13" ht="13.8" customHeight="1">
      <c r="A22" s="1175" t="s">
        <v>2343</v>
      </c>
      <c r="B22" t="s">
        <v>139</v>
      </c>
      <c r="C22">
        <v>2022</v>
      </c>
      <c r="D22" s="1258">
        <f>SUM(D5:D6)</f>
        <v>215</v>
      </c>
      <c r="E22" t="s">
        <v>2337</v>
      </c>
    </row>
    <row r="23" spans="1:13">
      <c r="A23" t="s">
        <v>2205</v>
      </c>
      <c r="B23" t="s">
        <v>139</v>
      </c>
      <c r="C23">
        <v>2022</v>
      </c>
      <c r="D23" s="1259">
        <f>D5/D22</f>
        <v>0.50465116279069766</v>
      </c>
    </row>
    <row r="24" spans="1:13">
      <c r="A24" t="s">
        <v>2206</v>
      </c>
      <c r="B24" t="s">
        <v>139</v>
      </c>
      <c r="C24">
        <v>2022</v>
      </c>
      <c r="D24" s="1259">
        <f>D6/D22</f>
        <v>0.49534883720930234</v>
      </c>
    </row>
    <row r="25" spans="1:13">
      <c r="A25" s="1175" t="s">
        <v>2353</v>
      </c>
      <c r="B25" s="1248" t="s">
        <v>180</v>
      </c>
      <c r="C25">
        <v>2022</v>
      </c>
      <c r="D25" s="1260">
        <f>SUM(D7:D10)</f>
        <v>21.6</v>
      </c>
      <c r="E25" t="s">
        <v>2337</v>
      </c>
    </row>
    <row r="26" spans="1:13">
      <c r="A26" s="1175" t="s">
        <v>2353</v>
      </c>
      <c r="B26" s="1248" t="s">
        <v>182</v>
      </c>
      <c r="C26">
        <v>2022</v>
      </c>
      <c r="D26" s="977">
        <f>SUM(D11:D14)</f>
        <v>86.9</v>
      </c>
      <c r="E26" t="s">
        <v>2337</v>
      </c>
    </row>
    <row r="27" spans="1:13">
      <c r="A27" s="222"/>
      <c r="B27" s="1242"/>
    </row>
    <row r="28" spans="1:13" s="1241" customFormat="1" ht="12" customHeight="1">
      <c r="A28" s="1241" t="s">
        <v>15</v>
      </c>
    </row>
    <row r="29" spans="1:13" s="1241" customFormat="1" ht="13.2" customHeight="1" thickBot="1"/>
    <row r="30" spans="1:13" ht="15" thickBot="1">
      <c r="A30" s="65" t="s">
        <v>129</v>
      </c>
      <c r="B30" s="107" t="s">
        <v>130</v>
      </c>
      <c r="C30" s="108" t="s">
        <v>131</v>
      </c>
      <c r="D30" s="109" t="s">
        <v>102</v>
      </c>
      <c r="E30" s="226" t="s">
        <v>132</v>
      </c>
      <c r="F30" s="108" t="s">
        <v>133</v>
      </c>
      <c r="G30" s="110" t="s">
        <v>104</v>
      </c>
      <c r="H30" s="111" t="s">
        <v>134</v>
      </c>
      <c r="I30" s="112" t="s">
        <v>135</v>
      </c>
      <c r="J30" s="112" t="s">
        <v>65</v>
      </c>
      <c r="K30" s="112" t="s">
        <v>67</v>
      </c>
      <c r="L30" s="112" t="s">
        <v>73</v>
      </c>
      <c r="M30" s="113" t="s">
        <v>79</v>
      </c>
    </row>
    <row r="31" spans="1:13">
      <c r="A31" s="935" t="s">
        <v>2044</v>
      </c>
      <c r="B31" s="936" t="s">
        <v>2201</v>
      </c>
      <c r="C31" s="936" t="s">
        <v>139</v>
      </c>
      <c r="D31" s="936" t="s">
        <v>139</v>
      </c>
      <c r="E31" s="963">
        <f>D23</f>
        <v>0.50465116279069766</v>
      </c>
      <c r="F31" s="936">
        <v>2</v>
      </c>
      <c r="G31" s="936" t="s">
        <v>2202</v>
      </c>
      <c r="H31" s="13">
        <v>1</v>
      </c>
      <c r="I31" s="13">
        <v>2</v>
      </c>
      <c r="J31" s="13">
        <v>2</v>
      </c>
      <c r="K31" s="13">
        <v>1</v>
      </c>
      <c r="L31" s="13">
        <v>2</v>
      </c>
      <c r="M31" s="289">
        <v>2</v>
      </c>
    </row>
    <row r="32" spans="1:13">
      <c r="A32" s="926" t="s">
        <v>190</v>
      </c>
      <c r="B32" s="224" t="s">
        <v>2203</v>
      </c>
      <c r="C32" s="224" t="s">
        <v>139</v>
      </c>
      <c r="D32" s="224" t="s">
        <v>139</v>
      </c>
      <c r="E32" s="964">
        <f>D23</f>
        <v>0.50465116279069766</v>
      </c>
      <c r="F32" s="224">
        <v>2</v>
      </c>
      <c r="G32" s="224" t="s">
        <v>2202</v>
      </c>
      <c r="H32" s="10">
        <v>1</v>
      </c>
      <c r="I32" s="10">
        <v>2</v>
      </c>
      <c r="J32" s="10">
        <v>2</v>
      </c>
      <c r="K32" s="10">
        <v>1</v>
      </c>
      <c r="L32" s="10">
        <v>2</v>
      </c>
      <c r="M32" s="290">
        <v>2</v>
      </c>
    </row>
    <row r="33" spans="1:13">
      <c r="A33" s="926" t="s">
        <v>242</v>
      </c>
      <c r="B33" s="224" t="s">
        <v>2204</v>
      </c>
      <c r="C33" s="224" t="s">
        <v>139</v>
      </c>
      <c r="D33" s="224" t="s">
        <v>139</v>
      </c>
      <c r="E33" s="964">
        <f>D23</f>
        <v>0.50465116279069766</v>
      </c>
      <c r="F33" s="224">
        <v>2</v>
      </c>
      <c r="G33" s="224" t="s">
        <v>2202</v>
      </c>
      <c r="H33" s="10">
        <v>1</v>
      </c>
      <c r="I33" s="10">
        <v>2</v>
      </c>
      <c r="J33" s="10">
        <v>2</v>
      </c>
      <c r="K33" s="10">
        <v>1</v>
      </c>
      <c r="L33" s="10">
        <v>2</v>
      </c>
      <c r="M33" s="290">
        <v>2</v>
      </c>
    </row>
    <row r="34" spans="1:13">
      <c r="A34" s="926" t="s">
        <v>343</v>
      </c>
      <c r="B34" s="224" t="s">
        <v>2204</v>
      </c>
      <c r="C34" s="224" t="s">
        <v>139</v>
      </c>
      <c r="D34" s="224" t="s">
        <v>139</v>
      </c>
      <c r="E34" s="965">
        <v>0.33810000000000001</v>
      </c>
      <c r="F34" s="224">
        <v>2</v>
      </c>
      <c r="G34" s="185" t="s">
        <v>163</v>
      </c>
      <c r="H34" s="938">
        <v>2</v>
      </c>
      <c r="I34" s="938">
        <v>2</v>
      </c>
      <c r="J34" s="938">
        <v>2</v>
      </c>
      <c r="K34" s="938">
        <v>3</v>
      </c>
      <c r="L34" s="938">
        <v>1</v>
      </c>
      <c r="M34" s="939">
        <v>2</v>
      </c>
    </row>
    <row r="35" spans="1:13" ht="15" thickBot="1">
      <c r="A35" s="937" t="s">
        <v>2178</v>
      </c>
      <c r="B35" s="934" t="s">
        <v>2181</v>
      </c>
      <c r="C35" s="934" t="s">
        <v>139</v>
      </c>
      <c r="D35" s="934" t="s">
        <v>139</v>
      </c>
      <c r="E35" s="966">
        <v>0.25</v>
      </c>
      <c r="F35" s="934">
        <v>2</v>
      </c>
      <c r="G35" s="934" t="s">
        <v>2210</v>
      </c>
      <c r="H35" s="940">
        <v>2</v>
      </c>
      <c r="I35" s="940">
        <v>2</v>
      </c>
      <c r="J35" s="940">
        <v>2</v>
      </c>
      <c r="K35" s="940">
        <v>3</v>
      </c>
      <c r="L35" s="940">
        <v>2</v>
      </c>
      <c r="M35" s="941">
        <v>2</v>
      </c>
    </row>
    <row r="36" spans="1:13">
      <c r="A36" s="923" t="s">
        <v>2201</v>
      </c>
      <c r="B36" s="924" t="s">
        <v>404</v>
      </c>
      <c r="C36" s="805" t="s">
        <v>139</v>
      </c>
      <c r="D36" s="805" t="s">
        <v>139</v>
      </c>
      <c r="E36" s="967">
        <f>$D$7/$D$5</f>
        <v>6.7281105990783407E-2</v>
      </c>
      <c r="F36" s="925">
        <v>2</v>
      </c>
      <c r="G36" s="924" t="s">
        <v>2202</v>
      </c>
      <c r="H36" s="13">
        <v>1</v>
      </c>
      <c r="I36" s="13">
        <v>2</v>
      </c>
      <c r="J36" s="13">
        <v>2</v>
      </c>
      <c r="K36" s="13">
        <v>1</v>
      </c>
      <c r="L36" s="13">
        <v>2</v>
      </c>
      <c r="M36" s="289">
        <v>2</v>
      </c>
    </row>
    <row r="37" spans="1:13">
      <c r="A37" s="926" t="s">
        <v>2201</v>
      </c>
      <c r="B37" s="922" t="s">
        <v>399</v>
      </c>
      <c r="C37" s="185" t="s">
        <v>139</v>
      </c>
      <c r="D37" s="185" t="s">
        <v>139</v>
      </c>
      <c r="E37" s="968">
        <f>$D$8/$D$5</f>
        <v>5.7142857142857141E-2</v>
      </c>
      <c r="F37" s="245">
        <v>3</v>
      </c>
      <c r="G37" s="922" t="s">
        <v>2202</v>
      </c>
      <c r="H37" s="10">
        <v>1</v>
      </c>
      <c r="I37" s="10">
        <v>2</v>
      </c>
      <c r="J37" s="10">
        <v>2</v>
      </c>
      <c r="K37" s="10">
        <v>1</v>
      </c>
      <c r="L37" s="10">
        <v>2</v>
      </c>
      <c r="M37" s="290">
        <v>2</v>
      </c>
    </row>
    <row r="38" spans="1:13">
      <c r="A38" s="926" t="s">
        <v>2201</v>
      </c>
      <c r="B38" s="922" t="s">
        <v>176</v>
      </c>
      <c r="C38" s="185" t="s">
        <v>139</v>
      </c>
      <c r="D38" s="185" t="s">
        <v>139</v>
      </c>
      <c r="E38" s="968">
        <v>1E-4</v>
      </c>
      <c r="F38" s="245">
        <v>3</v>
      </c>
      <c r="G38" s="922" t="s">
        <v>392</v>
      </c>
      <c r="H38" s="10">
        <v>1</v>
      </c>
      <c r="I38" s="10">
        <v>2</v>
      </c>
      <c r="J38" s="10">
        <v>2</v>
      </c>
      <c r="K38" s="10">
        <v>2</v>
      </c>
      <c r="L38" s="10">
        <v>2</v>
      </c>
      <c r="M38" s="290">
        <v>2</v>
      </c>
    </row>
    <row r="39" spans="1:13">
      <c r="A39" s="926" t="s">
        <v>2201</v>
      </c>
      <c r="B39" s="922" t="s">
        <v>184</v>
      </c>
      <c r="C39" s="185" t="s">
        <v>139</v>
      </c>
      <c r="D39" s="185" t="s">
        <v>139</v>
      </c>
      <c r="E39" s="968">
        <v>3.0000000000000001E-3</v>
      </c>
      <c r="F39" s="245">
        <v>2</v>
      </c>
      <c r="G39" s="185" t="s">
        <v>224</v>
      </c>
      <c r="H39" s="10">
        <v>1</v>
      </c>
      <c r="I39" s="10">
        <v>2</v>
      </c>
      <c r="J39" s="10">
        <v>2</v>
      </c>
      <c r="K39" s="10">
        <v>1</v>
      </c>
      <c r="L39" s="10">
        <v>2</v>
      </c>
      <c r="M39" s="290">
        <v>2</v>
      </c>
    </row>
    <row r="40" spans="1:13">
      <c r="A40" s="926" t="s">
        <v>2201</v>
      </c>
      <c r="B40" s="922" t="s">
        <v>179</v>
      </c>
      <c r="C40" s="185" t="s">
        <v>139</v>
      </c>
      <c r="D40" s="185" t="s">
        <v>139</v>
      </c>
      <c r="E40" s="968">
        <f>$D$9/$D$5</f>
        <v>6.5437788018433182E-2</v>
      </c>
      <c r="F40" s="245">
        <v>2</v>
      </c>
      <c r="G40" s="922" t="s">
        <v>2202</v>
      </c>
      <c r="H40" s="10">
        <v>1</v>
      </c>
      <c r="I40" s="10">
        <v>2</v>
      </c>
      <c r="J40" s="10">
        <v>2</v>
      </c>
      <c r="K40" s="10">
        <v>1</v>
      </c>
      <c r="L40" s="10">
        <v>2</v>
      </c>
      <c r="M40" s="290">
        <v>2</v>
      </c>
    </row>
    <row r="41" spans="1:13" ht="15" thickBot="1">
      <c r="A41" s="930" t="s">
        <v>2201</v>
      </c>
      <c r="B41" s="931" t="s">
        <v>245</v>
      </c>
      <c r="C41" s="857" t="s">
        <v>139</v>
      </c>
      <c r="D41" s="857" t="s">
        <v>139</v>
      </c>
      <c r="E41" s="1239" t="s">
        <v>150</v>
      </c>
      <c r="F41" s="932">
        <v>1</v>
      </c>
      <c r="G41" s="931" t="s">
        <v>2202</v>
      </c>
      <c r="H41" s="10"/>
      <c r="I41" s="10"/>
      <c r="J41" s="10"/>
      <c r="K41" s="10"/>
      <c r="L41" s="10"/>
      <c r="M41" s="290"/>
    </row>
    <row r="42" spans="1:13">
      <c r="A42" s="923" t="s">
        <v>2203</v>
      </c>
      <c r="B42" s="924" t="s">
        <v>404</v>
      </c>
      <c r="C42" s="805" t="s">
        <v>139</v>
      </c>
      <c r="D42" s="805" t="s">
        <v>139</v>
      </c>
      <c r="E42" s="967">
        <f>$D$7/$D$5</f>
        <v>6.7281105990783407E-2</v>
      </c>
      <c r="F42" s="925">
        <v>2</v>
      </c>
      <c r="G42" s="924" t="s">
        <v>2202</v>
      </c>
      <c r="H42" s="13">
        <v>1</v>
      </c>
      <c r="I42" s="13">
        <v>2</v>
      </c>
      <c r="J42" s="13">
        <v>2</v>
      </c>
      <c r="K42" s="13">
        <v>1</v>
      </c>
      <c r="L42" s="13">
        <v>2</v>
      </c>
      <c r="M42" s="289">
        <v>2</v>
      </c>
    </row>
    <row r="43" spans="1:13">
      <c r="A43" s="926" t="s">
        <v>2203</v>
      </c>
      <c r="B43" s="922" t="s">
        <v>399</v>
      </c>
      <c r="C43" s="185" t="s">
        <v>139</v>
      </c>
      <c r="D43" s="185" t="s">
        <v>139</v>
      </c>
      <c r="E43" s="968">
        <f>$D$8/$D$5</f>
        <v>5.7142857142857141E-2</v>
      </c>
      <c r="F43" s="245">
        <v>3</v>
      </c>
      <c r="G43" s="922" t="s">
        <v>2202</v>
      </c>
      <c r="H43" s="10">
        <v>1</v>
      </c>
      <c r="I43" s="10">
        <v>2</v>
      </c>
      <c r="J43" s="10">
        <v>2</v>
      </c>
      <c r="K43" s="10">
        <v>1</v>
      </c>
      <c r="L43" s="10">
        <v>2</v>
      </c>
      <c r="M43" s="290">
        <v>2</v>
      </c>
    </row>
    <row r="44" spans="1:13">
      <c r="A44" s="926" t="s">
        <v>2203</v>
      </c>
      <c r="B44" s="922" t="s">
        <v>176</v>
      </c>
      <c r="C44" s="185" t="s">
        <v>139</v>
      </c>
      <c r="D44" s="185" t="s">
        <v>139</v>
      </c>
      <c r="E44" s="968">
        <v>1E-4</v>
      </c>
      <c r="F44" s="245">
        <v>3</v>
      </c>
      <c r="G44" s="922" t="s">
        <v>392</v>
      </c>
      <c r="H44" s="10">
        <v>1</v>
      </c>
      <c r="I44" s="10">
        <v>2</v>
      </c>
      <c r="J44" s="10">
        <v>2</v>
      </c>
      <c r="K44" s="10">
        <v>2</v>
      </c>
      <c r="L44" s="10">
        <v>2</v>
      </c>
      <c r="M44" s="290">
        <v>2</v>
      </c>
    </row>
    <row r="45" spans="1:13">
      <c r="A45" s="926" t="s">
        <v>2203</v>
      </c>
      <c r="B45" s="922" t="s">
        <v>184</v>
      </c>
      <c r="C45" s="185" t="s">
        <v>139</v>
      </c>
      <c r="D45" s="185" t="s">
        <v>139</v>
      </c>
      <c r="E45" s="968">
        <v>3.0000000000000001E-3</v>
      </c>
      <c r="F45" s="245">
        <v>2</v>
      </c>
      <c r="G45" s="185" t="s">
        <v>224</v>
      </c>
      <c r="H45" s="10">
        <v>1</v>
      </c>
      <c r="I45" s="10">
        <v>2</v>
      </c>
      <c r="J45" s="10">
        <v>2</v>
      </c>
      <c r="K45" s="10">
        <v>1</v>
      </c>
      <c r="L45" s="10">
        <v>2</v>
      </c>
      <c r="M45" s="290">
        <v>2</v>
      </c>
    </row>
    <row r="46" spans="1:13">
      <c r="A46" s="926" t="s">
        <v>2203</v>
      </c>
      <c r="B46" s="922" t="s">
        <v>179</v>
      </c>
      <c r="C46" s="185" t="s">
        <v>139</v>
      </c>
      <c r="D46" s="185" t="s">
        <v>139</v>
      </c>
      <c r="E46" s="968">
        <f>$D$9/$D$5</f>
        <v>6.5437788018433182E-2</v>
      </c>
      <c r="F46" s="245">
        <v>2</v>
      </c>
      <c r="G46" s="922" t="s">
        <v>2202</v>
      </c>
      <c r="H46" s="10">
        <v>1</v>
      </c>
      <c r="I46" s="10">
        <v>2</v>
      </c>
      <c r="J46" s="10">
        <v>2</v>
      </c>
      <c r="K46" s="10">
        <v>1</v>
      </c>
      <c r="L46" s="10">
        <v>2</v>
      </c>
      <c r="M46" s="290">
        <v>2</v>
      </c>
    </row>
    <row r="47" spans="1:13" ht="15" thickBot="1">
      <c r="A47" s="930" t="s">
        <v>2203</v>
      </c>
      <c r="B47" s="931" t="s">
        <v>245</v>
      </c>
      <c r="C47" s="857" t="s">
        <v>139</v>
      </c>
      <c r="D47" s="857" t="s">
        <v>139</v>
      </c>
      <c r="E47" s="1239" t="s">
        <v>150</v>
      </c>
      <c r="F47" s="932">
        <v>1</v>
      </c>
      <c r="G47" s="931" t="s">
        <v>2202</v>
      </c>
      <c r="H47" s="10"/>
      <c r="I47" s="10"/>
      <c r="J47" s="10"/>
      <c r="K47" s="10"/>
      <c r="L47" s="10"/>
      <c r="M47" s="290"/>
    </row>
    <row r="48" spans="1:13">
      <c r="A48" s="923" t="s">
        <v>2204</v>
      </c>
      <c r="B48" s="924" t="s">
        <v>404</v>
      </c>
      <c r="C48" s="805" t="s">
        <v>139</v>
      </c>
      <c r="D48" s="805" t="s">
        <v>139</v>
      </c>
      <c r="E48" s="967">
        <f>$D$7/$D$5</f>
        <v>6.7281105990783407E-2</v>
      </c>
      <c r="F48" s="925">
        <v>2</v>
      </c>
      <c r="G48" s="924" t="s">
        <v>2202</v>
      </c>
      <c r="H48" s="13">
        <v>1</v>
      </c>
      <c r="I48" s="13">
        <v>2</v>
      </c>
      <c r="J48" s="13">
        <v>2</v>
      </c>
      <c r="K48" s="13">
        <v>1</v>
      </c>
      <c r="L48" s="13">
        <v>2</v>
      </c>
      <c r="M48" s="289">
        <v>2</v>
      </c>
    </row>
    <row r="49" spans="1:13">
      <c r="A49" s="926" t="s">
        <v>2204</v>
      </c>
      <c r="B49" s="922" t="s">
        <v>399</v>
      </c>
      <c r="C49" s="185" t="s">
        <v>139</v>
      </c>
      <c r="D49" s="185" t="s">
        <v>139</v>
      </c>
      <c r="E49" s="968">
        <f>$D$8/$D$5</f>
        <v>5.7142857142857141E-2</v>
      </c>
      <c r="F49" s="245">
        <v>3</v>
      </c>
      <c r="G49" s="922" t="s">
        <v>2202</v>
      </c>
      <c r="H49" s="10">
        <v>1</v>
      </c>
      <c r="I49" s="10">
        <v>2</v>
      </c>
      <c r="J49" s="10">
        <v>2</v>
      </c>
      <c r="K49" s="10">
        <v>1</v>
      </c>
      <c r="L49" s="10">
        <v>2</v>
      </c>
      <c r="M49" s="290">
        <v>2</v>
      </c>
    </row>
    <row r="50" spans="1:13">
      <c r="A50" s="926" t="s">
        <v>2204</v>
      </c>
      <c r="B50" s="922" t="s">
        <v>176</v>
      </c>
      <c r="C50" s="185" t="s">
        <v>139</v>
      </c>
      <c r="D50" s="185" t="s">
        <v>139</v>
      </c>
      <c r="E50" s="968">
        <v>1E-4</v>
      </c>
      <c r="F50" s="245">
        <v>3</v>
      </c>
      <c r="G50" s="922" t="s">
        <v>392</v>
      </c>
      <c r="H50" s="10">
        <v>1</v>
      </c>
      <c r="I50" s="10">
        <v>2</v>
      </c>
      <c r="J50" s="10">
        <v>2</v>
      </c>
      <c r="K50" s="10">
        <v>2</v>
      </c>
      <c r="L50" s="10">
        <v>2</v>
      </c>
      <c r="M50" s="290">
        <v>2</v>
      </c>
    </row>
    <row r="51" spans="1:13">
      <c r="A51" s="926" t="s">
        <v>2204</v>
      </c>
      <c r="B51" s="922" t="s">
        <v>184</v>
      </c>
      <c r="C51" s="185" t="s">
        <v>139</v>
      </c>
      <c r="D51" s="185" t="s">
        <v>139</v>
      </c>
      <c r="E51" s="968">
        <v>3.0000000000000001E-3</v>
      </c>
      <c r="F51" s="245">
        <v>2</v>
      </c>
      <c r="G51" s="185" t="s">
        <v>224</v>
      </c>
      <c r="H51" s="10">
        <v>1</v>
      </c>
      <c r="I51" s="10">
        <v>2</v>
      </c>
      <c r="J51" s="10">
        <v>2</v>
      </c>
      <c r="K51" s="10">
        <v>1</v>
      </c>
      <c r="L51" s="10">
        <v>2</v>
      </c>
      <c r="M51" s="290">
        <v>2</v>
      </c>
    </row>
    <row r="52" spans="1:13">
      <c r="A52" s="926" t="s">
        <v>2204</v>
      </c>
      <c r="B52" s="922" t="s">
        <v>179</v>
      </c>
      <c r="C52" s="185" t="s">
        <v>139</v>
      </c>
      <c r="D52" s="185" t="s">
        <v>139</v>
      </c>
      <c r="E52" s="968">
        <f>$D$9/$D$5</f>
        <v>6.5437788018433182E-2</v>
      </c>
      <c r="F52" s="245">
        <v>2</v>
      </c>
      <c r="G52" s="922" t="s">
        <v>2202</v>
      </c>
      <c r="H52" s="10">
        <v>1</v>
      </c>
      <c r="I52" s="10">
        <v>2</v>
      </c>
      <c r="J52" s="10">
        <v>2</v>
      </c>
      <c r="K52" s="10">
        <v>1</v>
      </c>
      <c r="L52" s="10">
        <v>2</v>
      </c>
      <c r="M52" s="290">
        <v>2</v>
      </c>
    </row>
    <row r="53" spans="1:13" ht="15" thickBot="1">
      <c r="A53" s="927" t="s">
        <v>2204</v>
      </c>
      <c r="B53" s="928" t="s">
        <v>245</v>
      </c>
      <c r="C53" s="863" t="s">
        <v>139</v>
      </c>
      <c r="D53" s="863" t="s">
        <v>139</v>
      </c>
      <c r="E53" s="1240" t="s">
        <v>150</v>
      </c>
      <c r="F53" s="929">
        <v>1</v>
      </c>
      <c r="G53" s="928" t="s">
        <v>2202</v>
      </c>
      <c r="H53" s="10"/>
      <c r="I53" s="10"/>
      <c r="J53" s="10"/>
      <c r="K53" s="10"/>
      <c r="L53" s="10"/>
      <c r="M53" s="290"/>
    </row>
    <row r="54" spans="1:13">
      <c r="A54" s="947" t="s">
        <v>2181</v>
      </c>
      <c r="B54" s="634" t="s">
        <v>2182</v>
      </c>
      <c r="C54" s="634" t="s">
        <v>139</v>
      </c>
      <c r="D54" s="634" t="s">
        <v>139</v>
      </c>
      <c r="E54" s="969">
        <f>D16+D17</f>
        <v>0.1</v>
      </c>
      <c r="F54" s="634">
        <v>2</v>
      </c>
      <c r="G54" s="433" t="s">
        <v>2210</v>
      </c>
      <c r="H54" s="66">
        <v>2</v>
      </c>
      <c r="I54" s="66">
        <v>2</v>
      </c>
      <c r="J54" s="66">
        <v>2</v>
      </c>
      <c r="K54" s="66">
        <v>3</v>
      </c>
      <c r="L54" s="66">
        <v>2</v>
      </c>
      <c r="M54" s="292">
        <v>2</v>
      </c>
    </row>
    <row r="55" spans="1:13">
      <c r="A55" s="633" t="s">
        <v>2181</v>
      </c>
      <c r="B55" s="310" t="s">
        <v>179</v>
      </c>
      <c r="C55" s="310" t="s">
        <v>139</v>
      </c>
      <c r="D55" s="310" t="s">
        <v>139</v>
      </c>
      <c r="E55" s="970" t="s">
        <v>150</v>
      </c>
      <c r="F55" s="310">
        <v>1</v>
      </c>
      <c r="G55" s="310"/>
      <c r="H55" s="10"/>
      <c r="I55" s="10"/>
      <c r="J55" s="10"/>
      <c r="K55" s="10"/>
      <c r="L55" s="10"/>
      <c r="M55" s="290"/>
    </row>
    <row r="56" spans="1:13">
      <c r="A56" s="633" t="s">
        <v>2181</v>
      </c>
      <c r="B56" s="310" t="s">
        <v>184</v>
      </c>
      <c r="C56" s="310" t="s">
        <v>139</v>
      </c>
      <c r="D56" s="310" t="s">
        <v>139</v>
      </c>
      <c r="E56" s="970">
        <v>3.0000000000000001E-3</v>
      </c>
      <c r="F56" s="310">
        <v>2</v>
      </c>
      <c r="G56" s="185" t="s">
        <v>224</v>
      </c>
      <c r="H56" s="10">
        <v>1</v>
      </c>
      <c r="I56" s="10">
        <v>2</v>
      </c>
      <c r="J56" s="10">
        <v>2</v>
      </c>
      <c r="K56" s="10">
        <v>1</v>
      </c>
      <c r="L56" s="10">
        <v>2</v>
      </c>
      <c r="M56" s="290">
        <v>2</v>
      </c>
    </row>
    <row r="57" spans="1:13">
      <c r="A57" s="633" t="s">
        <v>2181</v>
      </c>
      <c r="B57" s="310" t="s">
        <v>176</v>
      </c>
      <c r="C57" s="310" t="s">
        <v>139</v>
      </c>
      <c r="D57" s="310" t="s">
        <v>139</v>
      </c>
      <c r="E57" s="968">
        <v>1E-4</v>
      </c>
      <c r="F57" s="310">
        <v>3</v>
      </c>
      <c r="G57" s="185" t="s">
        <v>392</v>
      </c>
      <c r="H57" s="10">
        <v>1</v>
      </c>
      <c r="I57" s="10">
        <v>2</v>
      </c>
      <c r="J57" s="10">
        <v>2</v>
      </c>
      <c r="K57" s="10">
        <v>2</v>
      </c>
      <c r="L57" s="10">
        <v>2</v>
      </c>
      <c r="M57" s="290">
        <v>2</v>
      </c>
    </row>
    <row r="58" spans="1:13" ht="15" thickBot="1">
      <c r="A58" s="632" t="s">
        <v>2181</v>
      </c>
      <c r="B58" s="933" t="s">
        <v>399</v>
      </c>
      <c r="C58" s="933" t="s">
        <v>139</v>
      </c>
      <c r="D58" s="933" t="s">
        <v>139</v>
      </c>
      <c r="E58" s="971">
        <f>D18</f>
        <v>1E-3</v>
      </c>
      <c r="F58" s="933">
        <v>3</v>
      </c>
      <c r="G58" s="933" t="s">
        <v>2211</v>
      </c>
      <c r="H58" s="14">
        <v>2</v>
      </c>
      <c r="I58" s="14">
        <v>2</v>
      </c>
      <c r="J58" s="14">
        <v>2</v>
      </c>
      <c r="K58" s="14">
        <v>3</v>
      </c>
      <c r="L58" s="14">
        <v>2</v>
      </c>
      <c r="M58" s="291">
        <v>2</v>
      </c>
    </row>
  </sheetData>
  <mergeCells count="2">
    <mergeCell ref="A1:XFD2"/>
    <mergeCell ref="A28:XFD29"/>
  </mergeCells>
  <phoneticPr fontId="22" type="noConversion"/>
  <conditionalFormatting sqref="H31:M31">
    <cfRule type="dataBar" priority="21">
      <dataBar>
        <cfvo type="min"/>
        <cfvo type="num" val="4"/>
        <color rgb="FFFFC000"/>
      </dataBar>
      <extLst>
        <ext xmlns:x14="http://schemas.microsoft.com/office/spreadsheetml/2009/9/main" uri="{B025F937-C7B1-47D3-B67F-A62EFF666E3E}">
          <x14:id>{48805E7C-FA79-41FC-9984-11840964C25D}</x14:id>
        </ext>
      </extLst>
    </cfRule>
  </conditionalFormatting>
  <conditionalFormatting sqref="H31:M35">
    <cfRule type="containsBlanks" dxfId="141" priority="7" stopIfTrue="1">
      <formula>LEN(TRIM(H31))=0</formula>
    </cfRule>
    <cfRule type="cellIs" dxfId="140" priority="8" stopIfTrue="1" operator="notBetween">
      <formula>1</formula>
      <formula>4</formula>
    </cfRule>
  </conditionalFormatting>
  <conditionalFormatting sqref="H32:M32">
    <cfRule type="dataBar" priority="18">
      <dataBar>
        <cfvo type="min"/>
        <cfvo type="num" val="4"/>
        <color rgb="FFFFC000"/>
      </dataBar>
      <extLst>
        <ext xmlns:x14="http://schemas.microsoft.com/office/spreadsheetml/2009/9/main" uri="{B025F937-C7B1-47D3-B67F-A62EFF666E3E}">
          <x14:id>{91FFFE51-9C07-470D-A591-982DFAD6CAFF}</x14:id>
        </ext>
      </extLst>
    </cfRule>
  </conditionalFormatting>
  <conditionalFormatting sqref="H33:M33">
    <cfRule type="dataBar" priority="15">
      <dataBar>
        <cfvo type="min"/>
        <cfvo type="num" val="4"/>
        <color rgb="FFFFC000"/>
      </dataBar>
      <extLst>
        <ext xmlns:x14="http://schemas.microsoft.com/office/spreadsheetml/2009/9/main" uri="{B025F937-C7B1-47D3-B67F-A62EFF666E3E}">
          <x14:id>{D4A968AD-7870-4761-B59B-34EE9172B459}</x14:id>
        </ext>
      </extLst>
    </cfRule>
  </conditionalFormatting>
  <conditionalFormatting sqref="H34:M34">
    <cfRule type="dataBar" priority="12">
      <dataBar>
        <cfvo type="min"/>
        <cfvo type="num" val="4"/>
        <color rgb="FFFFC000"/>
      </dataBar>
      <extLst>
        <ext xmlns:x14="http://schemas.microsoft.com/office/spreadsheetml/2009/9/main" uri="{B025F937-C7B1-47D3-B67F-A62EFF666E3E}">
          <x14:id>{2B846569-2FBE-4685-A155-DC71282AE420}</x14:id>
        </ext>
      </extLst>
    </cfRule>
  </conditionalFormatting>
  <conditionalFormatting sqref="H35:M35">
    <cfRule type="dataBar" priority="9">
      <dataBar>
        <cfvo type="min"/>
        <cfvo type="num" val="4"/>
        <color rgb="FFFFC000"/>
      </dataBar>
      <extLst>
        <ext xmlns:x14="http://schemas.microsoft.com/office/spreadsheetml/2009/9/main" uri="{B025F937-C7B1-47D3-B67F-A62EFF666E3E}">
          <x14:id>{7A9822F9-6582-4C56-8670-6CC88CCECCB1}</x14:id>
        </ext>
      </extLst>
    </cfRule>
  </conditionalFormatting>
  <conditionalFormatting sqref="H36:M41">
    <cfRule type="dataBar" priority="33">
      <dataBar>
        <cfvo type="min"/>
        <cfvo type="num" val="4"/>
        <color rgb="FFFFC000"/>
      </dataBar>
      <extLst>
        <ext xmlns:x14="http://schemas.microsoft.com/office/spreadsheetml/2009/9/main" uri="{B025F937-C7B1-47D3-B67F-A62EFF666E3E}">
          <x14:id>{F90610C2-6E69-4F36-88E9-F658AF5C2F97}</x14:id>
        </ext>
      </extLst>
    </cfRule>
  </conditionalFormatting>
  <conditionalFormatting sqref="H36:M58">
    <cfRule type="containsBlanks" dxfId="139" priority="25" stopIfTrue="1">
      <formula>LEN(TRIM(H36))=0</formula>
    </cfRule>
    <cfRule type="cellIs" dxfId="138" priority="26" stopIfTrue="1" operator="notBetween">
      <formula>1</formula>
      <formula>4</formula>
    </cfRule>
  </conditionalFormatting>
  <conditionalFormatting sqref="H38:M38">
    <cfRule type="dataBar" priority="6">
      <dataBar>
        <cfvo type="min"/>
        <cfvo type="num" val="4"/>
        <color rgb="FFFFC000"/>
      </dataBar>
      <extLst>
        <ext xmlns:x14="http://schemas.microsoft.com/office/spreadsheetml/2009/9/main" uri="{B025F937-C7B1-47D3-B67F-A62EFF666E3E}">
          <x14:id>{BE9D8202-4A43-42F0-B6D2-C28F37041C9E}</x14:id>
        </ext>
      </extLst>
    </cfRule>
  </conditionalFormatting>
  <conditionalFormatting sqref="H41:M41">
    <cfRule type="dataBar" priority="1">
      <dataBar>
        <cfvo type="min"/>
        <cfvo type="num" val="4"/>
        <color rgb="FFFFC000"/>
      </dataBar>
      <extLst>
        <ext xmlns:x14="http://schemas.microsoft.com/office/spreadsheetml/2009/9/main" uri="{B025F937-C7B1-47D3-B67F-A62EFF666E3E}">
          <x14:id>{CECD1D66-319D-4A05-A7A2-C4CC2EE4A129}</x14:id>
        </ext>
      </extLst>
    </cfRule>
  </conditionalFormatting>
  <conditionalFormatting sqref="H42:M47">
    <cfRule type="dataBar" priority="30">
      <dataBar>
        <cfvo type="min"/>
        <cfvo type="num" val="4"/>
        <color rgb="FFFFC000"/>
      </dataBar>
      <extLst>
        <ext xmlns:x14="http://schemas.microsoft.com/office/spreadsheetml/2009/9/main" uri="{B025F937-C7B1-47D3-B67F-A62EFF666E3E}">
          <x14:id>{C2EAE793-B841-4FE5-94B7-4295CC370F18}</x14:id>
        </ext>
      </extLst>
    </cfRule>
  </conditionalFormatting>
  <conditionalFormatting sqref="H44:M44">
    <cfRule type="dataBar" priority="5">
      <dataBar>
        <cfvo type="min"/>
        <cfvo type="num" val="4"/>
        <color rgb="FFFFC000"/>
      </dataBar>
      <extLst>
        <ext xmlns:x14="http://schemas.microsoft.com/office/spreadsheetml/2009/9/main" uri="{B025F937-C7B1-47D3-B67F-A62EFF666E3E}">
          <x14:id>{961A415C-E17F-4A3E-87DC-8A8EDAD6A159}</x14:id>
        </ext>
      </extLst>
    </cfRule>
  </conditionalFormatting>
  <conditionalFormatting sqref="H47:M47">
    <cfRule type="dataBar" priority="3">
      <dataBar>
        <cfvo type="min"/>
        <cfvo type="num" val="4"/>
        <color rgb="FFFFC000"/>
      </dataBar>
      <extLst>
        <ext xmlns:x14="http://schemas.microsoft.com/office/spreadsheetml/2009/9/main" uri="{B025F937-C7B1-47D3-B67F-A62EFF666E3E}">
          <x14:id>{1B758F75-6B89-41CD-8A80-9345C614A61D}</x14:id>
        </ext>
      </extLst>
    </cfRule>
  </conditionalFormatting>
  <conditionalFormatting sqref="H48:M53">
    <cfRule type="dataBar" priority="27">
      <dataBar>
        <cfvo type="min"/>
        <cfvo type="num" val="4"/>
        <color rgb="FFFFC000"/>
      </dataBar>
      <extLst>
        <ext xmlns:x14="http://schemas.microsoft.com/office/spreadsheetml/2009/9/main" uri="{B025F937-C7B1-47D3-B67F-A62EFF666E3E}">
          <x14:id>{42DAA2AC-661B-4C50-8855-1729C6CC7E5B}</x14:id>
        </ext>
      </extLst>
    </cfRule>
  </conditionalFormatting>
  <conditionalFormatting sqref="H50:M50">
    <cfRule type="dataBar" priority="4">
      <dataBar>
        <cfvo type="min"/>
        <cfvo type="num" val="4"/>
        <color rgb="FFFFC000"/>
      </dataBar>
      <extLst>
        <ext xmlns:x14="http://schemas.microsoft.com/office/spreadsheetml/2009/9/main" uri="{B025F937-C7B1-47D3-B67F-A62EFF666E3E}">
          <x14:id>{5DBD93B4-7F0A-4C24-815D-7C7FFAC88F39}</x14:id>
        </ext>
      </extLst>
    </cfRule>
  </conditionalFormatting>
  <conditionalFormatting sqref="H53:M53">
    <cfRule type="dataBar" priority="2">
      <dataBar>
        <cfvo type="min"/>
        <cfvo type="num" val="4"/>
        <color rgb="FFFFC000"/>
      </dataBar>
      <extLst>
        <ext xmlns:x14="http://schemas.microsoft.com/office/spreadsheetml/2009/9/main" uri="{B025F937-C7B1-47D3-B67F-A62EFF666E3E}">
          <x14:id>{72854B98-2338-4F63-ABB5-816455F8C5D8}</x14:id>
        </ext>
      </extLst>
    </cfRule>
  </conditionalFormatting>
  <conditionalFormatting sqref="H54:M58">
    <cfRule type="dataBar" priority="8130">
      <dataBar>
        <cfvo type="min"/>
        <cfvo type="num" val="4"/>
        <color rgb="FFFFC000"/>
      </dataBar>
      <extLst>
        <ext xmlns:x14="http://schemas.microsoft.com/office/spreadsheetml/2009/9/main" uri="{B025F937-C7B1-47D3-B67F-A62EFF666E3E}">
          <x14:id>{1F990F9B-564D-4A3A-9AFE-5DCB20EBA5E5}</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8805E7C-FA79-41FC-9984-11840964C25D}">
            <x14:dataBar minLength="0" maxLength="100" gradient="0">
              <x14:cfvo type="autoMin"/>
              <x14:cfvo type="num">
                <xm:f>4</xm:f>
              </x14:cfvo>
              <x14:negativeFillColor rgb="FFFF0000"/>
              <x14:axisColor rgb="FF000000"/>
            </x14:dataBar>
          </x14:cfRule>
          <xm:sqref>H31:M31</xm:sqref>
        </x14:conditionalFormatting>
        <x14:conditionalFormatting xmlns:xm="http://schemas.microsoft.com/office/excel/2006/main">
          <x14:cfRule type="dataBar" id="{91FFFE51-9C07-470D-A591-982DFAD6CAFF}">
            <x14:dataBar minLength="0" maxLength="100" gradient="0">
              <x14:cfvo type="autoMin"/>
              <x14:cfvo type="num">
                <xm:f>4</xm:f>
              </x14:cfvo>
              <x14:negativeFillColor rgb="FFFF0000"/>
              <x14:axisColor rgb="FF000000"/>
            </x14:dataBar>
          </x14:cfRule>
          <xm:sqref>H32:M32</xm:sqref>
        </x14:conditionalFormatting>
        <x14:conditionalFormatting xmlns:xm="http://schemas.microsoft.com/office/excel/2006/main">
          <x14:cfRule type="dataBar" id="{D4A968AD-7870-4761-B59B-34EE9172B459}">
            <x14:dataBar minLength="0" maxLength="100" gradient="0">
              <x14:cfvo type="autoMin"/>
              <x14:cfvo type="num">
                <xm:f>4</xm:f>
              </x14:cfvo>
              <x14:negativeFillColor rgb="FFFF0000"/>
              <x14:axisColor rgb="FF000000"/>
            </x14:dataBar>
          </x14:cfRule>
          <xm:sqref>H33:M33</xm:sqref>
        </x14:conditionalFormatting>
        <x14:conditionalFormatting xmlns:xm="http://schemas.microsoft.com/office/excel/2006/main">
          <x14:cfRule type="dataBar" id="{2B846569-2FBE-4685-A155-DC71282AE420}">
            <x14:dataBar minLength="0" maxLength="100" gradient="0">
              <x14:cfvo type="autoMin"/>
              <x14:cfvo type="num">
                <xm:f>4</xm:f>
              </x14:cfvo>
              <x14:negativeFillColor rgb="FFFF0000"/>
              <x14:axisColor rgb="FF000000"/>
            </x14:dataBar>
          </x14:cfRule>
          <xm:sqref>H34:M34</xm:sqref>
        </x14:conditionalFormatting>
        <x14:conditionalFormatting xmlns:xm="http://schemas.microsoft.com/office/excel/2006/main">
          <x14:cfRule type="dataBar" id="{7A9822F9-6582-4C56-8670-6CC88CCECCB1}">
            <x14:dataBar minLength="0" maxLength="100" gradient="0">
              <x14:cfvo type="autoMin"/>
              <x14:cfvo type="num">
                <xm:f>4</xm:f>
              </x14:cfvo>
              <x14:negativeFillColor rgb="FFFF0000"/>
              <x14:axisColor rgb="FF000000"/>
            </x14:dataBar>
          </x14:cfRule>
          <xm:sqref>H35:M35</xm:sqref>
        </x14:conditionalFormatting>
        <x14:conditionalFormatting xmlns:xm="http://schemas.microsoft.com/office/excel/2006/main">
          <x14:cfRule type="dataBar" id="{F90610C2-6E69-4F36-88E9-F658AF5C2F97}">
            <x14:dataBar minLength="0" maxLength="100" gradient="0">
              <x14:cfvo type="autoMin"/>
              <x14:cfvo type="num">
                <xm:f>4</xm:f>
              </x14:cfvo>
              <x14:negativeFillColor rgb="FFFF0000"/>
              <x14:axisColor rgb="FF000000"/>
            </x14:dataBar>
          </x14:cfRule>
          <xm:sqref>H36:M41</xm:sqref>
        </x14:conditionalFormatting>
        <x14:conditionalFormatting xmlns:xm="http://schemas.microsoft.com/office/excel/2006/main">
          <x14:cfRule type="dataBar" id="{BE9D8202-4A43-42F0-B6D2-C28F37041C9E}">
            <x14:dataBar minLength="0" maxLength="100" gradient="0">
              <x14:cfvo type="autoMin"/>
              <x14:cfvo type="num">
                <xm:f>4</xm:f>
              </x14:cfvo>
              <x14:negativeFillColor rgb="FFFF0000"/>
              <x14:axisColor rgb="FF000000"/>
            </x14:dataBar>
          </x14:cfRule>
          <xm:sqref>H38:M38</xm:sqref>
        </x14:conditionalFormatting>
        <x14:conditionalFormatting xmlns:xm="http://schemas.microsoft.com/office/excel/2006/main">
          <x14:cfRule type="dataBar" id="{CECD1D66-319D-4A05-A7A2-C4CC2EE4A129}">
            <x14:dataBar minLength="0" maxLength="100" gradient="0">
              <x14:cfvo type="autoMin"/>
              <x14:cfvo type="num">
                <xm:f>4</xm:f>
              </x14:cfvo>
              <x14:negativeFillColor rgb="FFFF0000"/>
              <x14:axisColor rgb="FF000000"/>
            </x14:dataBar>
          </x14:cfRule>
          <xm:sqref>H41:M41</xm:sqref>
        </x14:conditionalFormatting>
        <x14:conditionalFormatting xmlns:xm="http://schemas.microsoft.com/office/excel/2006/main">
          <x14:cfRule type="dataBar" id="{C2EAE793-B841-4FE5-94B7-4295CC370F18}">
            <x14:dataBar minLength="0" maxLength="100" gradient="0">
              <x14:cfvo type="autoMin"/>
              <x14:cfvo type="num">
                <xm:f>4</xm:f>
              </x14:cfvo>
              <x14:negativeFillColor rgb="FFFF0000"/>
              <x14:axisColor rgb="FF000000"/>
            </x14:dataBar>
          </x14:cfRule>
          <xm:sqref>H42:M47</xm:sqref>
        </x14:conditionalFormatting>
        <x14:conditionalFormatting xmlns:xm="http://schemas.microsoft.com/office/excel/2006/main">
          <x14:cfRule type="dataBar" id="{961A415C-E17F-4A3E-87DC-8A8EDAD6A159}">
            <x14:dataBar minLength="0" maxLength="100" gradient="0">
              <x14:cfvo type="autoMin"/>
              <x14:cfvo type="num">
                <xm:f>4</xm:f>
              </x14:cfvo>
              <x14:negativeFillColor rgb="FFFF0000"/>
              <x14:axisColor rgb="FF000000"/>
            </x14:dataBar>
          </x14:cfRule>
          <xm:sqref>H44:M44</xm:sqref>
        </x14:conditionalFormatting>
        <x14:conditionalFormatting xmlns:xm="http://schemas.microsoft.com/office/excel/2006/main">
          <x14:cfRule type="dataBar" id="{1B758F75-6B89-41CD-8A80-9345C614A61D}">
            <x14:dataBar minLength="0" maxLength="100" gradient="0">
              <x14:cfvo type="autoMin"/>
              <x14:cfvo type="num">
                <xm:f>4</xm:f>
              </x14:cfvo>
              <x14:negativeFillColor rgb="FFFF0000"/>
              <x14:axisColor rgb="FF000000"/>
            </x14:dataBar>
          </x14:cfRule>
          <xm:sqref>H47:M47</xm:sqref>
        </x14:conditionalFormatting>
        <x14:conditionalFormatting xmlns:xm="http://schemas.microsoft.com/office/excel/2006/main">
          <x14:cfRule type="dataBar" id="{42DAA2AC-661B-4C50-8855-1729C6CC7E5B}">
            <x14:dataBar minLength="0" maxLength="100" gradient="0">
              <x14:cfvo type="autoMin"/>
              <x14:cfvo type="num">
                <xm:f>4</xm:f>
              </x14:cfvo>
              <x14:negativeFillColor rgb="FFFF0000"/>
              <x14:axisColor rgb="FF000000"/>
            </x14:dataBar>
          </x14:cfRule>
          <xm:sqref>H48:M53</xm:sqref>
        </x14:conditionalFormatting>
        <x14:conditionalFormatting xmlns:xm="http://schemas.microsoft.com/office/excel/2006/main">
          <x14:cfRule type="dataBar" id="{5DBD93B4-7F0A-4C24-815D-7C7FFAC88F39}">
            <x14:dataBar minLength="0" maxLength="100" gradient="0">
              <x14:cfvo type="autoMin"/>
              <x14:cfvo type="num">
                <xm:f>4</xm:f>
              </x14:cfvo>
              <x14:negativeFillColor rgb="FFFF0000"/>
              <x14:axisColor rgb="FF000000"/>
            </x14:dataBar>
          </x14:cfRule>
          <xm:sqref>H50:M50</xm:sqref>
        </x14:conditionalFormatting>
        <x14:conditionalFormatting xmlns:xm="http://schemas.microsoft.com/office/excel/2006/main">
          <x14:cfRule type="dataBar" id="{72854B98-2338-4F63-ABB5-816455F8C5D8}">
            <x14:dataBar minLength="0" maxLength="100" gradient="0">
              <x14:cfvo type="autoMin"/>
              <x14:cfvo type="num">
                <xm:f>4</xm:f>
              </x14:cfvo>
              <x14:negativeFillColor rgb="FFFF0000"/>
              <x14:axisColor rgb="FF000000"/>
            </x14:dataBar>
          </x14:cfRule>
          <xm:sqref>H53:M53</xm:sqref>
        </x14:conditionalFormatting>
        <x14:conditionalFormatting xmlns:xm="http://schemas.microsoft.com/office/excel/2006/main">
          <x14:cfRule type="dataBar" id="{1F990F9B-564D-4A3A-9AFE-5DCB20EBA5E5}">
            <x14:dataBar minLength="0" maxLength="100" gradient="0">
              <x14:cfvo type="autoMin"/>
              <x14:cfvo type="num">
                <xm:f>4</xm:f>
              </x14:cfvo>
              <x14:negativeFillColor rgb="FFFF0000"/>
              <x14:axisColor rgb="FF000000"/>
            </x14:dataBar>
          </x14:cfRule>
          <xm:sqref>H54:M58</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3EEBD-FF8C-4BD2-A1BB-F38347D62643}">
  <sheetPr>
    <tabColor theme="8"/>
  </sheetPr>
  <dimension ref="A1:AO505"/>
  <sheetViews>
    <sheetView zoomScale="80" zoomScaleNormal="80" workbookViewId="0">
      <selection activeCell="C25" sqref="C25"/>
    </sheetView>
  </sheetViews>
  <sheetFormatPr defaultRowHeight="14.4"/>
  <cols>
    <col min="1" max="1" width="14.33203125" customWidth="1"/>
    <col min="2" max="3" width="21.88671875" customWidth="1"/>
    <col min="5" max="5" width="10.88671875" customWidth="1"/>
    <col min="7" max="7" width="17.5546875" customWidth="1"/>
    <col min="8" max="8" width="14.33203125" customWidth="1"/>
    <col min="9" max="9" width="9.88671875" customWidth="1"/>
    <col min="10" max="10" width="8.44140625" customWidth="1"/>
    <col min="11" max="11" width="9.33203125" customWidth="1"/>
    <col min="12" max="12" width="9" customWidth="1"/>
    <col min="13" max="13" width="8.88671875" customWidth="1"/>
    <col min="14" max="14" width="8.33203125" customWidth="1"/>
    <col min="15" max="15" width="8.88671875" customWidth="1"/>
    <col min="16" max="16" width="27.6640625" customWidth="1"/>
    <col min="17" max="17" width="15.109375" customWidth="1"/>
    <col min="22" max="22" width="9.88671875" bestFit="1" customWidth="1"/>
    <col min="23" max="23" width="10.6640625" bestFit="1" customWidth="1"/>
    <col min="24" max="24" width="12.5546875" bestFit="1" customWidth="1"/>
    <col min="26" max="26" width="9.5546875" customWidth="1"/>
    <col min="32" max="32" width="34.109375" customWidth="1"/>
    <col min="33" max="33" width="21.44140625" customWidth="1"/>
    <col min="34" max="34" width="110" customWidth="1"/>
    <col min="35" max="35" width="8" customWidth="1"/>
    <col min="36" max="36" width="9.109375" hidden="1" customWidth="1"/>
    <col min="37" max="37" width="10.88671875" hidden="1" customWidth="1"/>
    <col min="38" max="41" width="9.109375" hidden="1" customWidth="1"/>
    <col min="44" max="44" width="80.109375" bestFit="1" customWidth="1"/>
  </cols>
  <sheetData>
    <row r="1" spans="1:32" s="642" customFormat="1" ht="15" customHeight="1"/>
    <row r="2" spans="1:32" s="642" customFormat="1" ht="25.8">
      <c r="A2" s="786" t="s">
        <v>505</v>
      </c>
    </row>
    <row r="3" spans="1:32" s="640" customFormat="1" ht="15" customHeight="1">
      <c r="A3" s="1068" t="s">
        <v>180</v>
      </c>
      <c r="B3" s="1068"/>
      <c r="C3" s="1068"/>
      <c r="D3" s="1068"/>
      <c r="E3" s="1068"/>
      <c r="F3" s="1068"/>
      <c r="G3" s="1068"/>
      <c r="H3" s="1068"/>
      <c r="I3" s="1068"/>
      <c r="J3" s="1068"/>
      <c r="K3" s="1068"/>
      <c r="L3" s="1068"/>
      <c r="M3" s="1068"/>
      <c r="N3" s="1068"/>
      <c r="O3" s="1068"/>
      <c r="P3" s="1068"/>
      <c r="Q3" s="1069" t="s">
        <v>182</v>
      </c>
      <c r="R3" s="1069"/>
      <c r="S3" s="1069"/>
      <c r="T3" s="1069"/>
      <c r="U3" s="1069"/>
      <c r="V3" s="1069"/>
      <c r="W3" s="1069"/>
      <c r="X3" s="1069"/>
      <c r="Y3" s="1069"/>
      <c r="Z3" s="1069"/>
      <c r="AA3" s="1069"/>
      <c r="AB3" s="1069"/>
      <c r="AC3" s="1069"/>
      <c r="AD3" s="1069"/>
      <c r="AE3" s="1069"/>
      <c r="AF3" s="1069"/>
    </row>
    <row r="4" spans="1:32" ht="15" customHeight="1" thickBot="1">
      <c r="A4" s="1068"/>
      <c r="B4" s="1068"/>
      <c r="C4" s="1068"/>
      <c r="D4" s="1068"/>
      <c r="E4" s="1068"/>
      <c r="F4" s="1068"/>
      <c r="G4" s="1068"/>
      <c r="H4" s="1068"/>
      <c r="I4" s="1068"/>
      <c r="J4" s="1068"/>
      <c r="K4" s="1068"/>
      <c r="L4" s="1068"/>
      <c r="M4" s="1068"/>
      <c r="N4" s="1068"/>
      <c r="O4" s="1068"/>
      <c r="P4" s="1068"/>
      <c r="Q4" s="1069"/>
      <c r="R4" s="1069"/>
      <c r="S4" s="1069"/>
      <c r="T4" s="1069"/>
      <c r="U4" s="1069"/>
      <c r="V4" s="1069"/>
      <c r="W4" s="1069"/>
      <c r="X4" s="1069"/>
      <c r="Y4" s="1069"/>
      <c r="Z4" s="1069"/>
      <c r="AA4" s="1069"/>
      <c r="AB4" s="1069"/>
      <c r="AC4" s="1069"/>
      <c r="AD4" s="1069"/>
      <c r="AE4" s="1069"/>
      <c r="AF4" s="1069"/>
    </row>
    <row r="5" spans="1:32" ht="15" thickBot="1">
      <c r="A5" s="107" t="s">
        <v>101</v>
      </c>
      <c r="B5" s="643" t="s">
        <v>506</v>
      </c>
      <c r="C5" s="108" t="s">
        <v>102</v>
      </c>
      <c r="D5" s="643" t="s">
        <v>507</v>
      </c>
      <c r="E5" s="643" t="s">
        <v>245</v>
      </c>
      <c r="F5" s="643" t="s">
        <v>508</v>
      </c>
      <c r="G5" s="643" t="s">
        <v>509</v>
      </c>
      <c r="H5" s="643" t="s">
        <v>510</v>
      </c>
      <c r="I5" s="108" t="s">
        <v>104</v>
      </c>
      <c r="J5" s="416" t="s">
        <v>105</v>
      </c>
      <c r="K5" s="417" t="s">
        <v>65</v>
      </c>
      <c r="L5" s="417" t="s">
        <v>67</v>
      </c>
      <c r="M5" s="417" t="s">
        <v>73</v>
      </c>
      <c r="N5" s="418" t="s">
        <v>79</v>
      </c>
      <c r="O5" s="419" t="s">
        <v>106</v>
      </c>
      <c r="P5" s="420" t="s">
        <v>107</v>
      </c>
      <c r="Q5" s="107" t="s">
        <v>101</v>
      </c>
      <c r="R5" s="641" t="s">
        <v>506</v>
      </c>
      <c r="S5" s="108" t="s">
        <v>102</v>
      </c>
      <c r="T5" s="641" t="s">
        <v>507</v>
      </c>
      <c r="U5" s="641" t="s">
        <v>245</v>
      </c>
      <c r="V5" s="641" t="s">
        <v>508</v>
      </c>
      <c r="W5" s="641" t="s">
        <v>509</v>
      </c>
      <c r="X5" s="641" t="s">
        <v>510</v>
      </c>
      <c r="Y5" s="110" t="s">
        <v>104</v>
      </c>
      <c r="Z5" s="45" t="s">
        <v>105</v>
      </c>
      <c r="AA5" s="46" t="s">
        <v>65</v>
      </c>
      <c r="AB5" s="46" t="s">
        <v>67</v>
      </c>
      <c r="AC5" s="46" t="s">
        <v>73</v>
      </c>
      <c r="AD5" s="47" t="s">
        <v>79</v>
      </c>
      <c r="AE5" s="50" t="s">
        <v>106</v>
      </c>
      <c r="AF5" s="49" t="s">
        <v>123</v>
      </c>
    </row>
    <row r="6" spans="1:32">
      <c r="A6" s="224">
        <v>1995</v>
      </c>
      <c r="B6" s="224">
        <v>1435</v>
      </c>
      <c r="C6" s="224" t="s">
        <v>85</v>
      </c>
      <c r="D6" s="224">
        <v>415</v>
      </c>
      <c r="E6" s="224">
        <v>1675</v>
      </c>
      <c r="F6" s="224">
        <v>175</v>
      </c>
      <c r="G6" s="224">
        <v>0.90540540540540537</v>
      </c>
      <c r="H6" s="224">
        <v>9.4594594594594628E-2</v>
      </c>
      <c r="I6" s="304" t="s">
        <v>110</v>
      </c>
      <c r="J6" s="29">
        <v>1</v>
      </c>
      <c r="K6" s="9">
        <v>1</v>
      </c>
      <c r="L6" s="9">
        <v>1</v>
      </c>
      <c r="M6" s="9">
        <v>2</v>
      </c>
      <c r="N6" s="43">
        <v>2</v>
      </c>
      <c r="O6" s="260">
        <f t="shared" ref="O6" si="0">IF( OR( ISBLANK(J6),ISBLANK(K6), ISBLANK(L6), ISBLANK(M6), ISBLANK(N6) ), "", 1.5*SQRT(   EXP(2.21*(J6-1)) + EXP(2.21*(K6-1)) + EXP(2.21*(L6-1)) + EXP(2.21*(M6-1)) + EXP(2.21*N6)   )/100*2.45 )</f>
        <v>0.35859414261160716</v>
      </c>
      <c r="P6" s="163" t="s">
        <v>111</v>
      </c>
      <c r="Q6" s="224">
        <v>2003</v>
      </c>
      <c r="R6" s="224">
        <v>12268</v>
      </c>
      <c r="S6" s="224" t="s">
        <v>85</v>
      </c>
      <c r="T6" s="224">
        <v>3879</v>
      </c>
      <c r="U6" s="224">
        <v>2517</v>
      </c>
      <c r="V6" s="224">
        <v>13630</v>
      </c>
      <c r="W6" s="224">
        <v>0.15588034929089001</v>
      </c>
      <c r="X6" s="224">
        <v>0.84411965070910999</v>
      </c>
      <c r="Y6" s="100" t="s">
        <v>126</v>
      </c>
      <c r="Z6" s="29">
        <v>1</v>
      </c>
      <c r="AA6" s="9">
        <v>1</v>
      </c>
      <c r="AB6" s="9">
        <v>1</v>
      </c>
      <c r="AC6" s="9">
        <v>2</v>
      </c>
      <c r="AD6" s="43">
        <v>2</v>
      </c>
      <c r="AE6" s="55">
        <v>0.35859414261160716</v>
      </c>
      <c r="AF6" s="52" t="s">
        <v>111</v>
      </c>
    </row>
    <row r="7" spans="1:32">
      <c r="A7" s="224">
        <v>1995</v>
      </c>
      <c r="B7" s="224">
        <v>290</v>
      </c>
      <c r="C7" s="224" t="s">
        <v>86</v>
      </c>
      <c r="D7" s="224">
        <v>130</v>
      </c>
      <c r="E7" s="224">
        <v>311</v>
      </c>
      <c r="F7" s="224">
        <v>109</v>
      </c>
      <c r="G7" s="224">
        <v>0.74047619047619051</v>
      </c>
      <c r="H7" s="224">
        <v>0.25952380952380949</v>
      </c>
      <c r="I7" s="304" t="s">
        <v>110</v>
      </c>
      <c r="J7" s="29">
        <v>1</v>
      </c>
      <c r="K7" s="9">
        <v>1</v>
      </c>
      <c r="L7" s="9">
        <v>1</v>
      </c>
      <c r="M7" s="9">
        <v>2</v>
      </c>
      <c r="N7" s="43">
        <v>2</v>
      </c>
      <c r="O7" s="260">
        <f t="shared" ref="O7:O70" si="1">IF( OR( ISBLANK(J7),ISBLANK(K7), ISBLANK(L7), ISBLANK(M7), ISBLANK(N7) ), "", 1.5*SQRT(   EXP(2.21*(J7-1)) + EXP(2.21*(K7-1)) + EXP(2.21*(L7-1)) + EXP(2.21*(M7-1)) + EXP(2.21*N7)   )/100*2.45 )</f>
        <v>0.35859414261160716</v>
      </c>
      <c r="P7" s="163" t="s">
        <v>111</v>
      </c>
      <c r="Q7" s="224">
        <v>2003</v>
      </c>
      <c r="R7" s="224">
        <v>5967</v>
      </c>
      <c r="S7" s="224" t="s">
        <v>86</v>
      </c>
      <c r="T7" s="224">
        <v>1318</v>
      </c>
      <c r="U7" s="224">
        <v>1137</v>
      </c>
      <c r="V7" s="224">
        <v>6148</v>
      </c>
      <c r="W7" s="224">
        <v>0.1560741249142073</v>
      </c>
      <c r="X7" s="224">
        <v>0.84392587508579275</v>
      </c>
      <c r="Y7" s="100" t="s">
        <v>126</v>
      </c>
      <c r="Z7" s="29">
        <v>1</v>
      </c>
      <c r="AA7" s="9">
        <v>1</v>
      </c>
      <c r="AB7" s="9">
        <v>1</v>
      </c>
      <c r="AC7" s="9">
        <v>2</v>
      </c>
      <c r="AD7" s="43">
        <v>2</v>
      </c>
      <c r="AE7" s="55">
        <v>0.35859414261160716</v>
      </c>
      <c r="AF7" s="52" t="s">
        <v>111</v>
      </c>
    </row>
    <row r="8" spans="1:32">
      <c r="A8" s="224">
        <v>1995</v>
      </c>
      <c r="B8" s="224">
        <v>852</v>
      </c>
      <c r="C8" s="224" t="s">
        <v>87</v>
      </c>
      <c r="D8" s="224">
        <v>145</v>
      </c>
      <c r="E8" s="224">
        <v>511</v>
      </c>
      <c r="F8" s="224">
        <v>486</v>
      </c>
      <c r="G8" s="224">
        <v>0.51253761283851551</v>
      </c>
      <c r="H8" s="224">
        <v>0.48746238716148449</v>
      </c>
      <c r="I8" s="304" t="s">
        <v>110</v>
      </c>
      <c r="J8" s="29">
        <v>1</v>
      </c>
      <c r="K8" s="9">
        <v>1</v>
      </c>
      <c r="L8" s="9">
        <v>1</v>
      </c>
      <c r="M8" s="9">
        <v>2</v>
      </c>
      <c r="N8" s="43">
        <v>2</v>
      </c>
      <c r="O8" s="260">
        <f t="shared" si="1"/>
        <v>0.35859414261160716</v>
      </c>
      <c r="P8" s="163" t="s">
        <v>111</v>
      </c>
      <c r="Q8" s="224">
        <v>2003</v>
      </c>
      <c r="R8" s="224">
        <v>8573</v>
      </c>
      <c r="S8" s="224" t="s">
        <v>87</v>
      </c>
      <c r="T8" s="224">
        <v>900</v>
      </c>
      <c r="U8" s="224">
        <v>1064</v>
      </c>
      <c r="V8" s="224">
        <v>8409</v>
      </c>
      <c r="W8" s="224">
        <v>0.1123192230549984</v>
      </c>
      <c r="X8" s="224">
        <v>0.88768077694500158</v>
      </c>
      <c r="Y8" s="100" t="s">
        <v>126</v>
      </c>
      <c r="Z8" s="29">
        <v>1</v>
      </c>
      <c r="AA8" s="9">
        <v>1</v>
      </c>
      <c r="AB8" s="9">
        <v>1</v>
      </c>
      <c r="AC8" s="9">
        <v>2</v>
      </c>
      <c r="AD8" s="43">
        <v>2</v>
      </c>
      <c r="AE8" s="55">
        <v>0.35859414261160716</v>
      </c>
      <c r="AF8" s="52" t="s">
        <v>111</v>
      </c>
    </row>
    <row r="9" spans="1:32">
      <c r="A9" s="224">
        <v>1995</v>
      </c>
      <c r="B9" s="224">
        <v>4</v>
      </c>
      <c r="C9" s="224" t="s">
        <v>88</v>
      </c>
      <c r="D9" s="224">
        <v>103</v>
      </c>
      <c r="E9" s="224">
        <v>81</v>
      </c>
      <c r="F9" s="224">
        <v>26</v>
      </c>
      <c r="G9" s="224">
        <v>0.7570093457943925</v>
      </c>
      <c r="H9" s="224">
        <v>0.2429906542056075</v>
      </c>
      <c r="I9" s="304" t="s">
        <v>110</v>
      </c>
      <c r="J9" s="29">
        <v>1</v>
      </c>
      <c r="K9" s="9">
        <v>1</v>
      </c>
      <c r="L9" s="9">
        <v>1</v>
      </c>
      <c r="M9" s="9">
        <v>2</v>
      </c>
      <c r="N9" s="43">
        <v>2</v>
      </c>
      <c r="O9" s="260">
        <f t="shared" si="1"/>
        <v>0.35859414261160716</v>
      </c>
      <c r="P9" s="163" t="s">
        <v>111</v>
      </c>
      <c r="Q9" s="224">
        <v>2003</v>
      </c>
      <c r="R9" s="224">
        <v>1922</v>
      </c>
      <c r="S9" s="224" t="s">
        <v>88</v>
      </c>
      <c r="T9" s="224">
        <v>92</v>
      </c>
      <c r="U9" s="224">
        <v>266</v>
      </c>
      <c r="V9" s="224">
        <v>1748</v>
      </c>
      <c r="W9" s="224">
        <v>0.13207547169811321</v>
      </c>
      <c r="X9" s="224">
        <v>0.86792452830188682</v>
      </c>
      <c r="Y9" s="100" t="s">
        <v>126</v>
      </c>
      <c r="Z9" s="29">
        <v>1</v>
      </c>
      <c r="AA9" s="9">
        <v>1</v>
      </c>
      <c r="AB9" s="9">
        <v>1</v>
      </c>
      <c r="AC9" s="9">
        <v>2</v>
      </c>
      <c r="AD9" s="43">
        <v>2</v>
      </c>
      <c r="AE9" s="55">
        <v>0.35859414261160716</v>
      </c>
      <c r="AF9" s="52" t="s">
        <v>111</v>
      </c>
    </row>
    <row r="10" spans="1:32">
      <c r="A10" s="224">
        <v>1995</v>
      </c>
      <c r="B10" s="224">
        <v>191</v>
      </c>
      <c r="C10" s="224" t="s">
        <v>89</v>
      </c>
      <c r="D10" s="224">
        <v>29</v>
      </c>
      <c r="E10" s="224">
        <v>69</v>
      </c>
      <c r="F10" s="224">
        <v>151</v>
      </c>
      <c r="G10" s="224">
        <v>0.31363636363636371</v>
      </c>
      <c r="H10" s="224">
        <v>0.68636363636363629</v>
      </c>
      <c r="I10" s="304" t="s">
        <v>110</v>
      </c>
      <c r="J10" s="29">
        <v>1</v>
      </c>
      <c r="K10" s="9">
        <v>1</v>
      </c>
      <c r="L10" s="9">
        <v>1</v>
      </c>
      <c r="M10" s="9">
        <v>2</v>
      </c>
      <c r="N10" s="43">
        <v>2</v>
      </c>
      <c r="O10" s="260">
        <f t="shared" si="1"/>
        <v>0.35859414261160716</v>
      </c>
      <c r="P10" s="163" t="s">
        <v>111</v>
      </c>
      <c r="Q10" s="224">
        <v>2003</v>
      </c>
      <c r="R10" s="224">
        <v>1482</v>
      </c>
      <c r="S10" s="224" t="s">
        <v>89</v>
      </c>
      <c r="T10" s="224">
        <v>40</v>
      </c>
      <c r="U10" s="224">
        <v>162</v>
      </c>
      <c r="V10" s="224">
        <v>1360</v>
      </c>
      <c r="W10" s="224">
        <v>0.1064388961892247</v>
      </c>
      <c r="X10" s="224">
        <v>0.89356110381077525</v>
      </c>
      <c r="Y10" s="100" t="s">
        <v>126</v>
      </c>
      <c r="Z10" s="29">
        <v>1</v>
      </c>
      <c r="AA10" s="9">
        <v>1</v>
      </c>
      <c r="AB10" s="9">
        <v>1</v>
      </c>
      <c r="AC10" s="9">
        <v>2</v>
      </c>
      <c r="AD10" s="43">
        <v>2</v>
      </c>
      <c r="AE10" s="55">
        <v>0.35859414261160716</v>
      </c>
      <c r="AF10" s="52" t="s">
        <v>111</v>
      </c>
    </row>
    <row r="11" spans="1:32">
      <c r="A11" s="224">
        <v>1995</v>
      </c>
      <c r="B11" s="224">
        <v>610</v>
      </c>
      <c r="C11" s="224" t="s">
        <v>90</v>
      </c>
      <c r="D11" s="224">
        <v>213</v>
      </c>
      <c r="E11" s="224">
        <v>389</v>
      </c>
      <c r="F11" s="224">
        <v>434</v>
      </c>
      <c r="G11" s="224">
        <v>0.47266099635479952</v>
      </c>
      <c r="H11" s="224">
        <v>0.52733900364520048</v>
      </c>
      <c r="I11" s="304" t="s">
        <v>110</v>
      </c>
      <c r="J11" s="29">
        <v>1</v>
      </c>
      <c r="K11" s="9">
        <v>1</v>
      </c>
      <c r="L11" s="9">
        <v>1</v>
      </c>
      <c r="M11" s="9">
        <v>2</v>
      </c>
      <c r="N11" s="43">
        <v>2</v>
      </c>
      <c r="O11" s="260">
        <f t="shared" si="1"/>
        <v>0.35859414261160716</v>
      </c>
      <c r="P11" s="163" t="s">
        <v>111</v>
      </c>
      <c r="Q11" s="224">
        <v>2003</v>
      </c>
      <c r="R11" s="224">
        <v>6604</v>
      </c>
      <c r="S11" s="224" t="s">
        <v>90</v>
      </c>
      <c r="T11" s="224">
        <v>323</v>
      </c>
      <c r="U11" s="224">
        <v>1354</v>
      </c>
      <c r="V11" s="224">
        <v>5573</v>
      </c>
      <c r="W11" s="224">
        <v>0.19546701313700021</v>
      </c>
      <c r="X11" s="224">
        <v>0.80453298686299979</v>
      </c>
      <c r="Y11" s="100" t="s">
        <v>126</v>
      </c>
      <c r="Z11" s="29">
        <v>1</v>
      </c>
      <c r="AA11" s="9">
        <v>1</v>
      </c>
      <c r="AB11" s="9">
        <v>1</v>
      </c>
      <c r="AC11" s="9">
        <v>2</v>
      </c>
      <c r="AD11" s="43">
        <v>2</v>
      </c>
      <c r="AE11" s="55">
        <v>0.35859414261160716</v>
      </c>
      <c r="AF11" s="52" t="s">
        <v>111</v>
      </c>
    </row>
    <row r="12" spans="1:32">
      <c r="A12" s="224">
        <v>1995</v>
      </c>
      <c r="B12" s="224">
        <v>0</v>
      </c>
      <c r="C12" s="224" t="s">
        <v>91</v>
      </c>
      <c r="D12" s="224">
        <v>0</v>
      </c>
      <c r="E12" s="224">
        <v>0</v>
      </c>
      <c r="F12" s="224">
        <v>0</v>
      </c>
      <c r="G12" s="224"/>
      <c r="H12" s="224"/>
      <c r="I12" s="304" t="s">
        <v>110</v>
      </c>
      <c r="J12" s="29">
        <v>1</v>
      </c>
      <c r="K12" s="9">
        <v>1</v>
      </c>
      <c r="L12" s="9">
        <v>1</v>
      </c>
      <c r="M12" s="9">
        <v>2</v>
      </c>
      <c r="N12" s="43">
        <v>2</v>
      </c>
      <c r="O12" s="260">
        <f t="shared" si="1"/>
        <v>0.35859414261160716</v>
      </c>
      <c r="P12" s="163" t="s">
        <v>111</v>
      </c>
      <c r="Q12" s="224">
        <v>2003</v>
      </c>
      <c r="R12" s="224">
        <v>2697</v>
      </c>
      <c r="S12" s="224" t="s">
        <v>91</v>
      </c>
      <c r="T12" s="224">
        <v>863</v>
      </c>
      <c r="U12" s="224">
        <v>297</v>
      </c>
      <c r="V12" s="224">
        <v>3263</v>
      </c>
      <c r="W12" s="224">
        <v>8.3426966292134835E-2</v>
      </c>
      <c r="X12" s="224">
        <v>0.91657303370786514</v>
      </c>
      <c r="Y12" s="100" t="s">
        <v>126</v>
      </c>
      <c r="Z12" s="29">
        <v>1</v>
      </c>
      <c r="AA12" s="9">
        <v>1</v>
      </c>
      <c r="AB12" s="9">
        <v>1</v>
      </c>
      <c r="AC12" s="9">
        <v>2</v>
      </c>
      <c r="AD12" s="43">
        <v>2</v>
      </c>
      <c r="AE12" s="55">
        <v>0.35859414261160716</v>
      </c>
      <c r="AF12" s="52" t="s">
        <v>111</v>
      </c>
    </row>
    <row r="13" spans="1:32">
      <c r="A13" s="224">
        <v>1995</v>
      </c>
      <c r="B13" s="224">
        <v>144</v>
      </c>
      <c r="C13" s="224" t="s">
        <v>94</v>
      </c>
      <c r="D13" s="224">
        <v>17</v>
      </c>
      <c r="E13" s="224">
        <v>161</v>
      </c>
      <c r="F13" s="224">
        <v>0</v>
      </c>
      <c r="G13" s="224">
        <v>1</v>
      </c>
      <c r="H13" s="224">
        <v>0</v>
      </c>
      <c r="I13" s="304" t="s">
        <v>110</v>
      </c>
      <c r="J13" s="29">
        <v>1</v>
      </c>
      <c r="K13" s="9">
        <v>1</v>
      </c>
      <c r="L13" s="9">
        <v>1</v>
      </c>
      <c r="M13" s="9">
        <v>2</v>
      </c>
      <c r="N13" s="43">
        <v>2</v>
      </c>
      <c r="O13" s="260">
        <f t="shared" si="1"/>
        <v>0.35859414261160716</v>
      </c>
      <c r="P13" s="163" t="s">
        <v>111</v>
      </c>
      <c r="Q13" s="224">
        <v>2003</v>
      </c>
      <c r="R13" s="224">
        <v>613</v>
      </c>
      <c r="S13" s="224" t="s">
        <v>94</v>
      </c>
      <c r="T13" s="224">
        <v>157</v>
      </c>
      <c r="U13" s="224">
        <v>122</v>
      </c>
      <c r="V13" s="224">
        <v>648</v>
      </c>
      <c r="W13" s="224">
        <v>0.15844155844155841</v>
      </c>
      <c r="X13" s="224">
        <v>0.84155844155844162</v>
      </c>
      <c r="Y13" s="100" t="s">
        <v>126</v>
      </c>
      <c r="Z13" s="29">
        <v>1</v>
      </c>
      <c r="AA13" s="9">
        <v>1</v>
      </c>
      <c r="AB13" s="9">
        <v>1</v>
      </c>
      <c r="AC13" s="9">
        <v>2</v>
      </c>
      <c r="AD13" s="43">
        <v>2</v>
      </c>
      <c r="AE13" s="55">
        <v>0.35859414261160716</v>
      </c>
      <c r="AF13" s="52" t="s">
        <v>111</v>
      </c>
    </row>
    <row r="14" spans="1:32">
      <c r="A14" s="224">
        <v>1995</v>
      </c>
      <c r="B14" s="224">
        <v>337</v>
      </c>
      <c r="C14" s="224" t="s">
        <v>96</v>
      </c>
      <c r="D14" s="224">
        <v>38</v>
      </c>
      <c r="E14" s="224">
        <v>110</v>
      </c>
      <c r="F14" s="224">
        <v>265</v>
      </c>
      <c r="G14" s="224">
        <v>0.29333333333333328</v>
      </c>
      <c r="H14" s="224">
        <v>0.70666666666666667</v>
      </c>
      <c r="I14" s="304" t="s">
        <v>110</v>
      </c>
      <c r="J14" s="29">
        <v>1</v>
      </c>
      <c r="K14" s="9">
        <v>1</v>
      </c>
      <c r="L14" s="9">
        <v>1</v>
      </c>
      <c r="M14" s="9">
        <v>2</v>
      </c>
      <c r="N14" s="43">
        <v>2</v>
      </c>
      <c r="O14" s="260">
        <f t="shared" si="1"/>
        <v>0.35859414261160716</v>
      </c>
      <c r="P14" s="163" t="s">
        <v>111</v>
      </c>
      <c r="Q14" s="224">
        <v>2003</v>
      </c>
      <c r="R14" s="224">
        <v>1330</v>
      </c>
      <c r="S14" s="224" t="s">
        <v>96</v>
      </c>
      <c r="T14" s="224">
        <v>85</v>
      </c>
      <c r="U14" s="224">
        <v>130</v>
      </c>
      <c r="V14" s="224">
        <v>1285</v>
      </c>
      <c r="W14" s="224">
        <v>9.187279151943463E-2</v>
      </c>
      <c r="X14" s="224">
        <v>0.90812720848056538</v>
      </c>
      <c r="Y14" s="100" t="s">
        <v>126</v>
      </c>
      <c r="Z14" s="29">
        <v>1</v>
      </c>
      <c r="AA14" s="9">
        <v>1</v>
      </c>
      <c r="AB14" s="9">
        <v>1</v>
      </c>
      <c r="AC14" s="9">
        <v>2</v>
      </c>
      <c r="AD14" s="43">
        <v>2</v>
      </c>
      <c r="AE14" s="55">
        <v>0.35859414261160716</v>
      </c>
      <c r="AF14" s="52" t="s">
        <v>111</v>
      </c>
    </row>
    <row r="15" spans="1:32">
      <c r="A15" s="224">
        <v>1995</v>
      </c>
      <c r="B15" s="224">
        <v>233</v>
      </c>
      <c r="C15" s="224" t="s">
        <v>97</v>
      </c>
      <c r="D15" s="224">
        <v>84</v>
      </c>
      <c r="E15" s="224">
        <v>116</v>
      </c>
      <c r="F15" s="224">
        <v>201</v>
      </c>
      <c r="G15" s="224">
        <v>0.36593059936908517</v>
      </c>
      <c r="H15" s="224">
        <v>0.63406940063091488</v>
      </c>
      <c r="I15" s="304" t="s">
        <v>110</v>
      </c>
      <c r="J15" s="29">
        <v>1</v>
      </c>
      <c r="K15" s="9">
        <v>1</v>
      </c>
      <c r="L15" s="9">
        <v>1</v>
      </c>
      <c r="M15" s="9">
        <v>2</v>
      </c>
      <c r="N15" s="43">
        <v>2</v>
      </c>
      <c r="O15" s="260">
        <f t="shared" si="1"/>
        <v>0.35859414261160716</v>
      </c>
      <c r="P15" s="163" t="s">
        <v>111</v>
      </c>
      <c r="Q15" s="224">
        <v>2003</v>
      </c>
      <c r="R15" s="224">
        <v>3121</v>
      </c>
      <c r="S15" s="224" t="s">
        <v>97</v>
      </c>
      <c r="T15" s="224">
        <v>316</v>
      </c>
      <c r="U15" s="224">
        <v>614</v>
      </c>
      <c r="V15" s="224">
        <v>2823</v>
      </c>
      <c r="W15" s="224">
        <v>0.17864416642420719</v>
      </c>
      <c r="X15" s="224">
        <v>0.82135583357579289</v>
      </c>
      <c r="Y15" s="100" t="s">
        <v>126</v>
      </c>
      <c r="Z15" s="29">
        <v>1</v>
      </c>
      <c r="AA15" s="9">
        <v>1</v>
      </c>
      <c r="AB15" s="9">
        <v>1</v>
      </c>
      <c r="AC15" s="9">
        <v>2</v>
      </c>
      <c r="AD15" s="43">
        <v>2</v>
      </c>
      <c r="AE15" s="55">
        <v>0.35859414261160716</v>
      </c>
      <c r="AF15" s="52" t="s">
        <v>111</v>
      </c>
    </row>
    <row r="16" spans="1:32">
      <c r="A16" s="224">
        <v>1995</v>
      </c>
      <c r="B16" s="224">
        <v>200</v>
      </c>
      <c r="C16" s="224" t="s">
        <v>95</v>
      </c>
      <c r="D16" s="224">
        <v>142</v>
      </c>
      <c r="E16" s="224">
        <v>187</v>
      </c>
      <c r="F16" s="224">
        <v>155</v>
      </c>
      <c r="G16" s="224">
        <v>0.54678362573099415</v>
      </c>
      <c r="H16" s="224">
        <v>0.45321637426900591</v>
      </c>
      <c r="I16" s="304" t="s">
        <v>110</v>
      </c>
      <c r="J16" s="29">
        <v>1</v>
      </c>
      <c r="K16" s="9">
        <v>1</v>
      </c>
      <c r="L16" s="9">
        <v>1</v>
      </c>
      <c r="M16" s="9">
        <v>2</v>
      </c>
      <c r="N16" s="43">
        <v>2</v>
      </c>
      <c r="O16" s="260">
        <f t="shared" si="1"/>
        <v>0.35859414261160716</v>
      </c>
      <c r="P16" s="163" t="s">
        <v>111</v>
      </c>
      <c r="Q16" s="224">
        <v>2003</v>
      </c>
      <c r="R16" s="224">
        <v>2162</v>
      </c>
      <c r="S16" s="224" t="s">
        <v>95</v>
      </c>
      <c r="T16" s="224">
        <v>263</v>
      </c>
      <c r="U16" s="224">
        <v>180</v>
      </c>
      <c r="V16" s="224">
        <v>2245</v>
      </c>
      <c r="W16" s="224">
        <v>7.422680412371134E-2</v>
      </c>
      <c r="X16" s="224">
        <v>0.9257731958762887</v>
      </c>
      <c r="Y16" s="100" t="s">
        <v>126</v>
      </c>
      <c r="Z16" s="29">
        <v>1</v>
      </c>
      <c r="AA16" s="9">
        <v>1</v>
      </c>
      <c r="AB16" s="9">
        <v>1</v>
      </c>
      <c r="AC16" s="9">
        <v>2</v>
      </c>
      <c r="AD16" s="43">
        <v>2</v>
      </c>
      <c r="AE16" s="55">
        <v>0.35859414261160716</v>
      </c>
      <c r="AF16" s="52" t="s">
        <v>111</v>
      </c>
    </row>
    <row r="17" spans="1:32">
      <c r="A17" s="224">
        <v>1995</v>
      </c>
      <c r="B17" s="224">
        <v>98</v>
      </c>
      <c r="C17" s="224" t="s">
        <v>93</v>
      </c>
      <c r="D17" s="224">
        <v>19</v>
      </c>
      <c r="E17" s="224">
        <v>27</v>
      </c>
      <c r="F17" s="224">
        <v>90</v>
      </c>
      <c r="G17" s="224">
        <v>0.23076923076923081</v>
      </c>
      <c r="H17" s="224">
        <v>0.76923076923076916</v>
      </c>
      <c r="I17" s="304" t="s">
        <v>110</v>
      </c>
      <c r="J17" s="29">
        <v>1</v>
      </c>
      <c r="K17" s="9">
        <v>1</v>
      </c>
      <c r="L17" s="9">
        <v>1</v>
      </c>
      <c r="M17" s="9">
        <v>2</v>
      </c>
      <c r="N17" s="43">
        <v>2</v>
      </c>
      <c r="O17" s="260">
        <f t="shared" si="1"/>
        <v>0.35859414261160716</v>
      </c>
      <c r="P17" s="163" t="s">
        <v>111</v>
      </c>
      <c r="Q17" s="224">
        <v>2003</v>
      </c>
      <c r="R17" s="224">
        <v>3056</v>
      </c>
      <c r="S17" s="224" t="s">
        <v>93</v>
      </c>
      <c r="T17" s="224">
        <v>60</v>
      </c>
      <c r="U17" s="224">
        <v>289</v>
      </c>
      <c r="V17" s="224">
        <v>2827</v>
      </c>
      <c r="W17" s="224">
        <v>9.2747111681643138E-2</v>
      </c>
      <c r="X17" s="224">
        <v>0.90725288831835682</v>
      </c>
      <c r="Y17" s="100" t="s">
        <v>126</v>
      </c>
      <c r="Z17" s="29">
        <v>1</v>
      </c>
      <c r="AA17" s="9">
        <v>1</v>
      </c>
      <c r="AB17" s="9">
        <v>1</v>
      </c>
      <c r="AC17" s="9">
        <v>2</v>
      </c>
      <c r="AD17" s="43">
        <v>2</v>
      </c>
      <c r="AE17" s="55">
        <v>0.35859414261160716</v>
      </c>
      <c r="AF17" s="52" t="s">
        <v>111</v>
      </c>
    </row>
    <row r="18" spans="1:32">
      <c r="A18" s="224">
        <v>1995</v>
      </c>
      <c r="B18" s="224">
        <v>1106</v>
      </c>
      <c r="C18" s="224" t="s">
        <v>98</v>
      </c>
      <c r="D18" s="224">
        <v>540</v>
      </c>
      <c r="E18" s="224">
        <v>1187</v>
      </c>
      <c r="F18" s="224">
        <v>459</v>
      </c>
      <c r="G18" s="224">
        <v>0.72114216281895505</v>
      </c>
      <c r="H18" s="224">
        <v>0.27885783718104501</v>
      </c>
      <c r="I18" s="304" t="s">
        <v>110</v>
      </c>
      <c r="J18" s="29">
        <v>1</v>
      </c>
      <c r="K18" s="9">
        <v>1</v>
      </c>
      <c r="L18" s="9">
        <v>1</v>
      </c>
      <c r="M18" s="9">
        <v>2</v>
      </c>
      <c r="N18" s="43">
        <v>2</v>
      </c>
      <c r="O18" s="260">
        <f t="shared" si="1"/>
        <v>0.35859414261160716</v>
      </c>
      <c r="P18" s="163" t="s">
        <v>111</v>
      </c>
      <c r="Q18" s="224">
        <v>2003</v>
      </c>
      <c r="R18" s="224">
        <v>13324</v>
      </c>
      <c r="S18" s="224" t="s">
        <v>98</v>
      </c>
      <c r="T18" s="224">
        <v>2016</v>
      </c>
      <c r="U18" s="224">
        <v>3207</v>
      </c>
      <c r="V18" s="224">
        <v>12133</v>
      </c>
      <c r="W18" s="224">
        <v>0.20906127770534549</v>
      </c>
      <c r="X18" s="224">
        <v>0.79093872229465445</v>
      </c>
      <c r="Y18" s="100" t="s">
        <v>126</v>
      </c>
      <c r="Z18" s="29">
        <v>1</v>
      </c>
      <c r="AA18" s="9">
        <v>1</v>
      </c>
      <c r="AB18" s="9">
        <v>1</v>
      </c>
      <c r="AC18" s="9">
        <v>2</v>
      </c>
      <c r="AD18" s="43">
        <v>2</v>
      </c>
      <c r="AE18" s="55">
        <v>0.35859414261160716</v>
      </c>
      <c r="AF18" s="52" t="s">
        <v>111</v>
      </c>
    </row>
    <row r="19" spans="1:32">
      <c r="A19" s="224">
        <v>1996</v>
      </c>
      <c r="B19" s="224">
        <v>1435</v>
      </c>
      <c r="C19" s="224" t="s">
        <v>85</v>
      </c>
      <c r="D19" s="224">
        <v>368</v>
      </c>
      <c r="E19" s="224">
        <v>1653</v>
      </c>
      <c r="F19" s="224">
        <v>150</v>
      </c>
      <c r="G19" s="224">
        <v>0.91680532445923457</v>
      </c>
      <c r="H19" s="224">
        <v>8.3194675540765428E-2</v>
      </c>
      <c r="I19" s="304" t="s">
        <v>110</v>
      </c>
      <c r="J19" s="29">
        <v>1</v>
      </c>
      <c r="K19" s="9">
        <v>1</v>
      </c>
      <c r="L19" s="9">
        <v>1</v>
      </c>
      <c r="M19" s="9">
        <v>2</v>
      </c>
      <c r="N19" s="43">
        <v>2</v>
      </c>
      <c r="O19" s="260">
        <f t="shared" si="1"/>
        <v>0.35859414261160716</v>
      </c>
      <c r="P19" s="163" t="s">
        <v>111</v>
      </c>
      <c r="Q19" s="224">
        <v>2004</v>
      </c>
      <c r="R19" s="224">
        <v>12405</v>
      </c>
      <c r="S19" s="224" t="s">
        <v>85</v>
      </c>
      <c r="T19" s="224">
        <v>3129</v>
      </c>
      <c r="U19" s="224">
        <v>2739</v>
      </c>
      <c r="V19" s="224">
        <v>12795</v>
      </c>
      <c r="W19" s="224">
        <v>0.17632290459636929</v>
      </c>
      <c r="X19" s="224">
        <v>0.82367709540363077</v>
      </c>
      <c r="Y19" s="100" t="s">
        <v>126</v>
      </c>
      <c r="Z19" s="29">
        <v>1</v>
      </c>
      <c r="AA19" s="9">
        <v>1</v>
      </c>
      <c r="AB19" s="9">
        <v>1</v>
      </c>
      <c r="AC19" s="9">
        <v>2</v>
      </c>
      <c r="AD19" s="43">
        <v>2</v>
      </c>
      <c r="AE19" s="55">
        <v>0.35859414261160716</v>
      </c>
      <c r="AF19" s="52" t="s">
        <v>111</v>
      </c>
    </row>
    <row r="20" spans="1:32">
      <c r="A20" s="224">
        <v>1996</v>
      </c>
      <c r="B20" s="224">
        <v>290</v>
      </c>
      <c r="C20" s="224" t="s">
        <v>86</v>
      </c>
      <c r="D20" s="224">
        <v>134</v>
      </c>
      <c r="E20" s="224">
        <v>321</v>
      </c>
      <c r="F20" s="224">
        <v>103</v>
      </c>
      <c r="G20" s="224">
        <v>0.75707547169811318</v>
      </c>
      <c r="H20" s="224">
        <v>0.24292452830188679</v>
      </c>
      <c r="I20" s="304" t="s">
        <v>110</v>
      </c>
      <c r="J20" s="29">
        <v>1</v>
      </c>
      <c r="K20" s="9">
        <v>1</v>
      </c>
      <c r="L20" s="9">
        <v>1</v>
      </c>
      <c r="M20" s="9">
        <v>2</v>
      </c>
      <c r="N20" s="43">
        <v>2</v>
      </c>
      <c r="O20" s="260">
        <f t="shared" si="1"/>
        <v>0.35859414261160716</v>
      </c>
      <c r="P20" s="163" t="s">
        <v>111</v>
      </c>
      <c r="Q20" s="224">
        <v>2004</v>
      </c>
      <c r="R20" s="224">
        <v>5842</v>
      </c>
      <c r="S20" s="224" t="s">
        <v>86</v>
      </c>
      <c r="T20" s="224">
        <v>1188</v>
      </c>
      <c r="U20" s="224">
        <v>1213</v>
      </c>
      <c r="V20" s="224">
        <v>5817</v>
      </c>
      <c r="W20" s="224">
        <v>0.17254623044096731</v>
      </c>
      <c r="X20" s="224">
        <v>0.82745376955903271</v>
      </c>
      <c r="Y20" s="100" t="s">
        <v>126</v>
      </c>
      <c r="Z20" s="29">
        <v>1</v>
      </c>
      <c r="AA20" s="9">
        <v>1</v>
      </c>
      <c r="AB20" s="9">
        <v>1</v>
      </c>
      <c r="AC20" s="9">
        <v>2</v>
      </c>
      <c r="AD20" s="43">
        <v>2</v>
      </c>
      <c r="AE20" s="55">
        <v>0.35859414261160716</v>
      </c>
      <c r="AF20" s="52" t="s">
        <v>111</v>
      </c>
    </row>
    <row r="21" spans="1:32">
      <c r="A21" s="224">
        <v>1996</v>
      </c>
      <c r="B21" s="224">
        <v>852</v>
      </c>
      <c r="C21" s="224" t="s">
        <v>87</v>
      </c>
      <c r="D21" s="224">
        <v>168</v>
      </c>
      <c r="E21" s="224">
        <v>537</v>
      </c>
      <c r="F21" s="224">
        <v>483</v>
      </c>
      <c r="G21" s="224">
        <v>0.52647058823529413</v>
      </c>
      <c r="H21" s="224">
        <v>0.47352941176470592</v>
      </c>
      <c r="I21" s="304" t="s">
        <v>110</v>
      </c>
      <c r="J21" s="29">
        <v>1</v>
      </c>
      <c r="K21" s="9">
        <v>1</v>
      </c>
      <c r="L21" s="9">
        <v>1</v>
      </c>
      <c r="M21" s="9">
        <v>2</v>
      </c>
      <c r="N21" s="43">
        <v>2</v>
      </c>
      <c r="O21" s="260">
        <f t="shared" si="1"/>
        <v>0.35859414261160716</v>
      </c>
      <c r="P21" s="163" t="s">
        <v>111</v>
      </c>
      <c r="Q21" s="224">
        <v>2004</v>
      </c>
      <c r="R21" s="224">
        <v>9177</v>
      </c>
      <c r="S21" s="224" t="s">
        <v>87</v>
      </c>
      <c r="T21" s="224">
        <v>909</v>
      </c>
      <c r="U21" s="224">
        <v>1168</v>
      </c>
      <c r="V21" s="224">
        <v>8918</v>
      </c>
      <c r="W21" s="224">
        <v>0.11580408487011699</v>
      </c>
      <c r="X21" s="224">
        <v>0.88419591512988305</v>
      </c>
      <c r="Y21" s="100" t="s">
        <v>126</v>
      </c>
      <c r="Z21" s="29">
        <v>1</v>
      </c>
      <c r="AA21" s="9">
        <v>1</v>
      </c>
      <c r="AB21" s="9">
        <v>1</v>
      </c>
      <c r="AC21" s="9">
        <v>2</v>
      </c>
      <c r="AD21" s="43">
        <v>2</v>
      </c>
      <c r="AE21" s="55">
        <v>0.35859414261160716</v>
      </c>
      <c r="AF21" s="52" t="s">
        <v>111</v>
      </c>
    </row>
    <row r="22" spans="1:32">
      <c r="A22" s="224">
        <v>1996</v>
      </c>
      <c r="B22" s="224">
        <v>4</v>
      </c>
      <c r="C22" s="224" t="s">
        <v>88</v>
      </c>
      <c r="D22" s="224">
        <v>113</v>
      </c>
      <c r="E22" s="224">
        <v>106</v>
      </c>
      <c r="F22" s="224">
        <v>11</v>
      </c>
      <c r="G22" s="224">
        <v>0.90598290598290598</v>
      </c>
      <c r="H22" s="224">
        <v>9.4017094017094016E-2</v>
      </c>
      <c r="I22" s="304" t="s">
        <v>110</v>
      </c>
      <c r="J22" s="29">
        <v>1</v>
      </c>
      <c r="K22" s="9">
        <v>1</v>
      </c>
      <c r="L22" s="9">
        <v>1</v>
      </c>
      <c r="M22" s="9">
        <v>2</v>
      </c>
      <c r="N22" s="43">
        <v>2</v>
      </c>
      <c r="O22" s="260">
        <f t="shared" si="1"/>
        <v>0.35859414261160716</v>
      </c>
      <c r="P22" s="163" t="s">
        <v>111</v>
      </c>
      <c r="Q22" s="224">
        <v>2004</v>
      </c>
      <c r="R22" s="224">
        <v>1637</v>
      </c>
      <c r="S22" s="224" t="s">
        <v>88</v>
      </c>
      <c r="T22" s="224">
        <v>166</v>
      </c>
      <c r="U22" s="224">
        <v>291</v>
      </c>
      <c r="V22" s="224">
        <v>1512</v>
      </c>
      <c r="W22" s="224">
        <v>0.16139767054908491</v>
      </c>
      <c r="X22" s="224">
        <v>0.83860232945091517</v>
      </c>
      <c r="Y22" s="100" t="s">
        <v>126</v>
      </c>
      <c r="Z22" s="29">
        <v>1</v>
      </c>
      <c r="AA22" s="9">
        <v>1</v>
      </c>
      <c r="AB22" s="9">
        <v>1</v>
      </c>
      <c r="AC22" s="9">
        <v>2</v>
      </c>
      <c r="AD22" s="43">
        <v>2</v>
      </c>
      <c r="AE22" s="55">
        <v>0.35859414261160716</v>
      </c>
      <c r="AF22" s="52" t="s">
        <v>111</v>
      </c>
    </row>
    <row r="23" spans="1:32">
      <c r="A23" s="224">
        <v>1996</v>
      </c>
      <c r="B23" s="224">
        <v>191</v>
      </c>
      <c r="C23" s="224" t="s">
        <v>89</v>
      </c>
      <c r="D23" s="224">
        <v>45</v>
      </c>
      <c r="E23" s="224">
        <v>49</v>
      </c>
      <c r="F23" s="224">
        <v>187</v>
      </c>
      <c r="G23" s="224">
        <v>0.2076271186440678</v>
      </c>
      <c r="H23" s="224">
        <v>0.7923728813559322</v>
      </c>
      <c r="I23" s="304" t="s">
        <v>110</v>
      </c>
      <c r="J23" s="29">
        <v>1</v>
      </c>
      <c r="K23" s="9">
        <v>1</v>
      </c>
      <c r="L23" s="9">
        <v>1</v>
      </c>
      <c r="M23" s="9">
        <v>2</v>
      </c>
      <c r="N23" s="43">
        <v>2</v>
      </c>
      <c r="O23" s="260">
        <f t="shared" si="1"/>
        <v>0.35859414261160716</v>
      </c>
      <c r="P23" s="163" t="s">
        <v>111</v>
      </c>
      <c r="Q23" s="224">
        <v>2004</v>
      </c>
      <c r="R23" s="224">
        <v>1334</v>
      </c>
      <c r="S23" s="224" t="s">
        <v>89</v>
      </c>
      <c r="T23" s="224">
        <v>50</v>
      </c>
      <c r="U23" s="224">
        <v>134</v>
      </c>
      <c r="V23" s="224">
        <v>1250</v>
      </c>
      <c r="W23" s="224">
        <v>9.6820809248554907E-2</v>
      </c>
      <c r="X23" s="224">
        <v>0.90317919075144504</v>
      </c>
      <c r="Y23" s="100" t="s">
        <v>126</v>
      </c>
      <c r="Z23" s="29">
        <v>1</v>
      </c>
      <c r="AA23" s="9">
        <v>1</v>
      </c>
      <c r="AB23" s="9">
        <v>1</v>
      </c>
      <c r="AC23" s="9">
        <v>2</v>
      </c>
      <c r="AD23" s="43">
        <v>2</v>
      </c>
      <c r="AE23" s="55">
        <v>0.35859414261160716</v>
      </c>
      <c r="AF23" s="52" t="s">
        <v>111</v>
      </c>
    </row>
    <row r="24" spans="1:32">
      <c r="A24" s="224">
        <v>1996</v>
      </c>
      <c r="B24" s="224">
        <v>610</v>
      </c>
      <c r="C24" s="224" t="s">
        <v>90</v>
      </c>
      <c r="D24" s="224">
        <v>287</v>
      </c>
      <c r="E24" s="224">
        <v>433</v>
      </c>
      <c r="F24" s="224">
        <v>464</v>
      </c>
      <c r="G24" s="224">
        <v>0.48272017837235232</v>
      </c>
      <c r="H24" s="224">
        <v>0.51727982162764774</v>
      </c>
      <c r="I24" s="304" t="s">
        <v>110</v>
      </c>
      <c r="J24" s="29">
        <v>1</v>
      </c>
      <c r="K24" s="9">
        <v>1</v>
      </c>
      <c r="L24" s="9">
        <v>1</v>
      </c>
      <c r="M24" s="9">
        <v>2</v>
      </c>
      <c r="N24" s="43">
        <v>2</v>
      </c>
      <c r="O24" s="260">
        <f t="shared" si="1"/>
        <v>0.35859414261160716</v>
      </c>
      <c r="P24" s="163" t="s">
        <v>111</v>
      </c>
      <c r="Q24" s="224">
        <v>2004</v>
      </c>
      <c r="R24" s="224">
        <v>6777</v>
      </c>
      <c r="S24" s="224" t="s">
        <v>90</v>
      </c>
      <c r="T24" s="224">
        <v>409</v>
      </c>
      <c r="U24" s="224">
        <v>1430</v>
      </c>
      <c r="V24" s="224">
        <v>5756</v>
      </c>
      <c r="W24" s="224">
        <v>0.19899805176732541</v>
      </c>
      <c r="X24" s="224">
        <v>0.80100194823267468</v>
      </c>
      <c r="Y24" s="100" t="s">
        <v>126</v>
      </c>
      <c r="Z24" s="29">
        <v>1</v>
      </c>
      <c r="AA24" s="9">
        <v>1</v>
      </c>
      <c r="AB24" s="9">
        <v>1</v>
      </c>
      <c r="AC24" s="9">
        <v>2</v>
      </c>
      <c r="AD24" s="43">
        <v>2</v>
      </c>
      <c r="AE24" s="55">
        <v>0.35859414261160716</v>
      </c>
      <c r="AF24" s="52" t="s">
        <v>111</v>
      </c>
    </row>
    <row r="25" spans="1:32">
      <c r="A25" s="224">
        <v>1996</v>
      </c>
      <c r="B25" s="224">
        <v>0</v>
      </c>
      <c r="C25" s="224" t="s">
        <v>91</v>
      </c>
      <c r="D25" s="224">
        <v>0</v>
      </c>
      <c r="E25" s="224">
        <v>0</v>
      </c>
      <c r="F25" s="224">
        <v>0</v>
      </c>
      <c r="G25" s="224"/>
      <c r="H25" s="224"/>
      <c r="I25" s="304" t="s">
        <v>110</v>
      </c>
      <c r="J25" s="29">
        <v>1</v>
      </c>
      <c r="K25" s="9">
        <v>1</v>
      </c>
      <c r="L25" s="9">
        <v>1</v>
      </c>
      <c r="M25" s="9">
        <v>2</v>
      </c>
      <c r="N25" s="43">
        <v>2</v>
      </c>
      <c r="O25" s="260">
        <f t="shared" si="1"/>
        <v>0.35859414261160716</v>
      </c>
      <c r="P25" s="163" t="s">
        <v>111</v>
      </c>
      <c r="Q25" s="224">
        <v>2004</v>
      </c>
      <c r="R25" s="224">
        <v>2786</v>
      </c>
      <c r="S25" s="224" t="s">
        <v>91</v>
      </c>
      <c r="T25" s="224">
        <v>991</v>
      </c>
      <c r="U25" s="224">
        <v>296</v>
      </c>
      <c r="V25" s="224">
        <v>3481</v>
      </c>
      <c r="W25" s="224">
        <v>7.8369075986232453E-2</v>
      </c>
      <c r="X25" s="224">
        <v>0.92163092401376756</v>
      </c>
      <c r="Y25" s="100" t="s">
        <v>126</v>
      </c>
      <c r="Z25" s="29">
        <v>1</v>
      </c>
      <c r="AA25" s="9">
        <v>1</v>
      </c>
      <c r="AB25" s="9">
        <v>1</v>
      </c>
      <c r="AC25" s="9">
        <v>2</v>
      </c>
      <c r="AD25" s="43">
        <v>2</v>
      </c>
      <c r="AE25" s="55">
        <v>0.35859414261160716</v>
      </c>
      <c r="AF25" s="52" t="s">
        <v>111</v>
      </c>
    </row>
    <row r="26" spans="1:32">
      <c r="A26" s="224">
        <v>1996</v>
      </c>
      <c r="B26" s="224">
        <v>149</v>
      </c>
      <c r="C26" s="224" t="s">
        <v>94</v>
      </c>
      <c r="D26" s="224">
        <v>17</v>
      </c>
      <c r="E26" s="224">
        <v>166</v>
      </c>
      <c r="F26" s="224">
        <v>0</v>
      </c>
      <c r="G26" s="224">
        <v>1</v>
      </c>
      <c r="H26" s="224">
        <v>0</v>
      </c>
      <c r="I26" s="304" t="s">
        <v>110</v>
      </c>
      <c r="J26" s="29">
        <v>1</v>
      </c>
      <c r="K26" s="9">
        <v>1</v>
      </c>
      <c r="L26" s="9">
        <v>1</v>
      </c>
      <c r="M26" s="9">
        <v>2</v>
      </c>
      <c r="N26" s="43">
        <v>2</v>
      </c>
      <c r="O26" s="260">
        <f t="shared" si="1"/>
        <v>0.35859414261160716</v>
      </c>
      <c r="P26" s="163" t="s">
        <v>111</v>
      </c>
      <c r="Q26" s="224">
        <v>2004</v>
      </c>
      <c r="R26" s="224">
        <v>724</v>
      </c>
      <c r="S26" s="224" t="s">
        <v>94</v>
      </c>
      <c r="T26" s="224">
        <v>178</v>
      </c>
      <c r="U26" s="224">
        <v>141</v>
      </c>
      <c r="V26" s="224">
        <v>761</v>
      </c>
      <c r="W26" s="224">
        <v>0.15631929046563189</v>
      </c>
      <c r="X26" s="224">
        <v>0.84368070953436813</v>
      </c>
      <c r="Y26" s="100" t="s">
        <v>126</v>
      </c>
      <c r="Z26" s="29">
        <v>1</v>
      </c>
      <c r="AA26" s="9">
        <v>1</v>
      </c>
      <c r="AB26" s="9">
        <v>1</v>
      </c>
      <c r="AC26" s="9">
        <v>2</v>
      </c>
      <c r="AD26" s="43">
        <v>2</v>
      </c>
      <c r="AE26" s="55">
        <v>0.35859414261160716</v>
      </c>
      <c r="AF26" s="52" t="s">
        <v>111</v>
      </c>
    </row>
    <row r="27" spans="1:32">
      <c r="A27" s="224">
        <v>1996</v>
      </c>
      <c r="B27" s="224">
        <v>337</v>
      </c>
      <c r="C27" s="224" t="s">
        <v>96</v>
      </c>
      <c r="D27" s="224">
        <v>47</v>
      </c>
      <c r="E27" s="224">
        <v>142</v>
      </c>
      <c r="F27" s="224">
        <v>242</v>
      </c>
      <c r="G27" s="224">
        <v>0.36979166666666669</v>
      </c>
      <c r="H27" s="224">
        <v>0.63020833333333326</v>
      </c>
      <c r="I27" s="304" t="s">
        <v>110</v>
      </c>
      <c r="J27" s="29">
        <v>1</v>
      </c>
      <c r="K27" s="9">
        <v>1</v>
      </c>
      <c r="L27" s="9">
        <v>1</v>
      </c>
      <c r="M27" s="9">
        <v>2</v>
      </c>
      <c r="N27" s="43">
        <v>2</v>
      </c>
      <c r="O27" s="260">
        <f t="shared" si="1"/>
        <v>0.35859414261160716</v>
      </c>
      <c r="P27" s="163" t="s">
        <v>111</v>
      </c>
      <c r="Q27" s="224">
        <v>2004</v>
      </c>
      <c r="R27" s="224">
        <v>1138</v>
      </c>
      <c r="S27" s="224" t="s">
        <v>96</v>
      </c>
      <c r="T27" s="224">
        <v>84</v>
      </c>
      <c r="U27" s="224">
        <v>186</v>
      </c>
      <c r="V27" s="224">
        <v>1036</v>
      </c>
      <c r="W27" s="224">
        <v>0.15220949263502459</v>
      </c>
      <c r="X27" s="224">
        <v>0.84779050736497541</v>
      </c>
      <c r="Y27" s="100" t="s">
        <v>126</v>
      </c>
      <c r="Z27" s="29">
        <v>1</v>
      </c>
      <c r="AA27" s="9">
        <v>1</v>
      </c>
      <c r="AB27" s="9">
        <v>1</v>
      </c>
      <c r="AC27" s="9">
        <v>2</v>
      </c>
      <c r="AD27" s="43">
        <v>2</v>
      </c>
      <c r="AE27" s="55">
        <v>0.35859414261160716</v>
      </c>
      <c r="AF27" s="52" t="s">
        <v>111</v>
      </c>
    </row>
    <row r="28" spans="1:32">
      <c r="A28" s="224">
        <v>1996</v>
      </c>
      <c r="B28" s="224">
        <v>233</v>
      </c>
      <c r="C28" s="224" t="s">
        <v>97</v>
      </c>
      <c r="D28" s="224">
        <v>86</v>
      </c>
      <c r="E28" s="224">
        <v>114</v>
      </c>
      <c r="F28" s="224">
        <v>205</v>
      </c>
      <c r="G28" s="224">
        <v>0.35736677115987459</v>
      </c>
      <c r="H28" s="224">
        <v>0.64263322884012541</v>
      </c>
      <c r="I28" s="304" t="s">
        <v>110</v>
      </c>
      <c r="J28" s="29">
        <v>1</v>
      </c>
      <c r="K28" s="9">
        <v>1</v>
      </c>
      <c r="L28" s="9">
        <v>1</v>
      </c>
      <c r="M28" s="9">
        <v>2</v>
      </c>
      <c r="N28" s="43">
        <v>2</v>
      </c>
      <c r="O28" s="260">
        <f t="shared" si="1"/>
        <v>0.35859414261160716</v>
      </c>
      <c r="P28" s="163" t="s">
        <v>111</v>
      </c>
      <c r="Q28" s="224">
        <v>2004</v>
      </c>
      <c r="R28" s="224">
        <v>2951</v>
      </c>
      <c r="S28" s="224" t="s">
        <v>97</v>
      </c>
      <c r="T28" s="224">
        <v>353</v>
      </c>
      <c r="U28" s="224">
        <v>695</v>
      </c>
      <c r="V28" s="224">
        <v>2609</v>
      </c>
      <c r="W28" s="224">
        <v>0.2103510895883777</v>
      </c>
      <c r="X28" s="224">
        <v>0.78964891041162222</v>
      </c>
      <c r="Y28" s="100" t="s">
        <v>126</v>
      </c>
      <c r="Z28" s="29">
        <v>1</v>
      </c>
      <c r="AA28" s="9">
        <v>1</v>
      </c>
      <c r="AB28" s="9">
        <v>1</v>
      </c>
      <c r="AC28" s="9">
        <v>2</v>
      </c>
      <c r="AD28" s="43">
        <v>2</v>
      </c>
      <c r="AE28" s="55">
        <v>0.35859414261160716</v>
      </c>
      <c r="AF28" s="52" t="s">
        <v>111</v>
      </c>
    </row>
    <row r="29" spans="1:32">
      <c r="A29" s="224">
        <v>1996</v>
      </c>
      <c r="B29" s="224">
        <v>200</v>
      </c>
      <c r="C29" s="224" t="s">
        <v>95</v>
      </c>
      <c r="D29" s="224">
        <v>138</v>
      </c>
      <c r="E29" s="224">
        <v>200</v>
      </c>
      <c r="F29" s="224">
        <v>138</v>
      </c>
      <c r="G29" s="224">
        <v>0.59171597633136097</v>
      </c>
      <c r="H29" s="224">
        <v>0.40828402366863897</v>
      </c>
      <c r="I29" s="304" t="s">
        <v>110</v>
      </c>
      <c r="J29" s="29">
        <v>1</v>
      </c>
      <c r="K29" s="9">
        <v>1</v>
      </c>
      <c r="L29" s="9">
        <v>1</v>
      </c>
      <c r="M29" s="9">
        <v>2</v>
      </c>
      <c r="N29" s="43">
        <v>2</v>
      </c>
      <c r="O29" s="260">
        <f t="shared" si="1"/>
        <v>0.35859414261160716</v>
      </c>
      <c r="P29" s="163" t="s">
        <v>111</v>
      </c>
      <c r="Q29" s="224">
        <v>2004</v>
      </c>
      <c r="R29" s="224">
        <v>2007</v>
      </c>
      <c r="S29" s="224" t="s">
        <v>95</v>
      </c>
      <c r="T29" s="224">
        <v>283</v>
      </c>
      <c r="U29" s="224">
        <v>243</v>
      </c>
      <c r="V29" s="224">
        <v>2047</v>
      </c>
      <c r="W29" s="224">
        <v>0.1061135371179039</v>
      </c>
      <c r="X29" s="224">
        <v>0.89388646288209606</v>
      </c>
      <c r="Y29" s="100" t="s">
        <v>126</v>
      </c>
      <c r="Z29" s="29">
        <v>1</v>
      </c>
      <c r="AA29" s="9">
        <v>1</v>
      </c>
      <c r="AB29" s="9">
        <v>1</v>
      </c>
      <c r="AC29" s="9">
        <v>2</v>
      </c>
      <c r="AD29" s="43">
        <v>2</v>
      </c>
      <c r="AE29" s="55">
        <v>0.35859414261160716</v>
      </c>
      <c r="AF29" s="52" t="s">
        <v>111</v>
      </c>
    </row>
    <row r="30" spans="1:32">
      <c r="A30" s="224">
        <v>1996</v>
      </c>
      <c r="B30" s="224">
        <v>98</v>
      </c>
      <c r="C30" s="224" t="s">
        <v>93</v>
      </c>
      <c r="D30" s="224">
        <v>20</v>
      </c>
      <c r="E30" s="224">
        <v>28</v>
      </c>
      <c r="F30" s="224">
        <v>90</v>
      </c>
      <c r="G30" s="224">
        <v>0.23728813559322029</v>
      </c>
      <c r="H30" s="224">
        <v>0.76271186440677963</v>
      </c>
      <c r="I30" s="304" t="s">
        <v>110</v>
      </c>
      <c r="J30" s="29">
        <v>1</v>
      </c>
      <c r="K30" s="9">
        <v>1</v>
      </c>
      <c r="L30" s="9">
        <v>1</v>
      </c>
      <c r="M30" s="9">
        <v>2</v>
      </c>
      <c r="N30" s="43">
        <v>2</v>
      </c>
      <c r="O30" s="260">
        <f t="shared" si="1"/>
        <v>0.35859414261160716</v>
      </c>
      <c r="P30" s="163" t="s">
        <v>111</v>
      </c>
      <c r="Q30" s="224">
        <v>2004</v>
      </c>
      <c r="R30" s="224">
        <v>3101</v>
      </c>
      <c r="S30" s="224" t="s">
        <v>93</v>
      </c>
      <c r="T30" s="224">
        <v>66</v>
      </c>
      <c r="U30" s="224">
        <v>329</v>
      </c>
      <c r="V30" s="224">
        <v>2838</v>
      </c>
      <c r="W30" s="224">
        <v>0.1038838017050837</v>
      </c>
      <c r="X30" s="224">
        <v>0.89611619829491629</v>
      </c>
      <c r="Y30" s="100" t="s">
        <v>126</v>
      </c>
      <c r="Z30" s="29">
        <v>1</v>
      </c>
      <c r="AA30" s="9">
        <v>1</v>
      </c>
      <c r="AB30" s="9">
        <v>1</v>
      </c>
      <c r="AC30" s="9">
        <v>2</v>
      </c>
      <c r="AD30" s="43">
        <v>2</v>
      </c>
      <c r="AE30" s="55">
        <v>0.35859414261160716</v>
      </c>
      <c r="AF30" s="52" t="s">
        <v>111</v>
      </c>
    </row>
    <row r="31" spans="1:32">
      <c r="A31" s="224">
        <v>1996</v>
      </c>
      <c r="B31" s="224">
        <v>1106</v>
      </c>
      <c r="C31" s="224" t="s">
        <v>98</v>
      </c>
      <c r="D31" s="224">
        <v>502</v>
      </c>
      <c r="E31" s="224">
        <v>1469</v>
      </c>
      <c r="F31" s="224">
        <v>139</v>
      </c>
      <c r="G31" s="224">
        <v>0.91355721393034828</v>
      </c>
      <c r="H31" s="224">
        <v>8.6442786069651723E-2</v>
      </c>
      <c r="I31" s="304" t="s">
        <v>110</v>
      </c>
      <c r="J31" s="29">
        <v>1</v>
      </c>
      <c r="K31" s="9">
        <v>1</v>
      </c>
      <c r="L31" s="9">
        <v>1</v>
      </c>
      <c r="M31" s="9">
        <v>2</v>
      </c>
      <c r="N31" s="43">
        <v>2</v>
      </c>
      <c r="O31" s="260">
        <f t="shared" si="1"/>
        <v>0.35859414261160716</v>
      </c>
      <c r="P31" s="163" t="s">
        <v>111</v>
      </c>
      <c r="Q31" s="224">
        <v>2004</v>
      </c>
      <c r="R31" s="224">
        <v>12742</v>
      </c>
      <c r="S31" s="224" t="s">
        <v>98</v>
      </c>
      <c r="T31" s="224">
        <v>2264</v>
      </c>
      <c r="U31" s="224">
        <v>3673</v>
      </c>
      <c r="V31" s="224">
        <v>11333</v>
      </c>
      <c r="W31" s="224">
        <v>0.2447687591630015</v>
      </c>
      <c r="X31" s="224">
        <v>0.75523124083699855</v>
      </c>
      <c r="Y31" s="100" t="s">
        <v>126</v>
      </c>
      <c r="Z31" s="29">
        <v>1</v>
      </c>
      <c r="AA31" s="9">
        <v>1</v>
      </c>
      <c r="AB31" s="9">
        <v>1</v>
      </c>
      <c r="AC31" s="9">
        <v>2</v>
      </c>
      <c r="AD31" s="43">
        <v>2</v>
      </c>
      <c r="AE31" s="55">
        <v>0.35859414261160716</v>
      </c>
      <c r="AF31" s="52" t="s">
        <v>111</v>
      </c>
    </row>
    <row r="32" spans="1:32">
      <c r="A32" s="224">
        <v>1997</v>
      </c>
      <c r="B32" s="224">
        <v>1435</v>
      </c>
      <c r="C32" s="224" t="s">
        <v>85</v>
      </c>
      <c r="D32" s="224">
        <v>405</v>
      </c>
      <c r="E32" s="224">
        <v>1808</v>
      </c>
      <c r="F32" s="224">
        <v>32</v>
      </c>
      <c r="G32" s="224">
        <v>0.9826086956521739</v>
      </c>
      <c r="H32" s="224">
        <v>1.7391304347826101E-2</v>
      </c>
      <c r="I32" s="304" t="s">
        <v>110</v>
      </c>
      <c r="J32" s="29">
        <v>1</v>
      </c>
      <c r="K32" s="9">
        <v>1</v>
      </c>
      <c r="L32" s="9">
        <v>1</v>
      </c>
      <c r="M32" s="9">
        <v>2</v>
      </c>
      <c r="N32" s="43">
        <v>2</v>
      </c>
      <c r="O32" s="260">
        <f t="shared" si="1"/>
        <v>0.35859414261160716</v>
      </c>
      <c r="P32" s="163" t="s">
        <v>111</v>
      </c>
      <c r="Q32" s="224">
        <v>2005</v>
      </c>
      <c r="R32" s="224">
        <v>12454</v>
      </c>
      <c r="S32" s="224" t="s">
        <v>85</v>
      </c>
      <c r="T32" s="224">
        <v>3634</v>
      </c>
      <c r="U32" s="224">
        <v>2757</v>
      </c>
      <c r="V32" s="224">
        <v>13331</v>
      </c>
      <c r="W32" s="224">
        <v>0.17136996519144701</v>
      </c>
      <c r="X32" s="224">
        <v>0.82863003480855291</v>
      </c>
      <c r="Y32" s="100" t="s">
        <v>126</v>
      </c>
      <c r="Z32" s="29">
        <v>1</v>
      </c>
      <c r="AA32" s="9">
        <v>1</v>
      </c>
      <c r="AB32" s="9">
        <v>1</v>
      </c>
      <c r="AC32" s="9">
        <v>2</v>
      </c>
      <c r="AD32" s="43">
        <v>2</v>
      </c>
      <c r="AE32" s="55">
        <v>0.35859414261160716</v>
      </c>
      <c r="AF32" s="52" t="s">
        <v>111</v>
      </c>
    </row>
    <row r="33" spans="1:32">
      <c r="A33" s="224">
        <v>1997</v>
      </c>
      <c r="B33" s="224">
        <v>290</v>
      </c>
      <c r="C33" s="224" t="s">
        <v>86</v>
      </c>
      <c r="D33" s="224">
        <v>148</v>
      </c>
      <c r="E33" s="224">
        <v>366</v>
      </c>
      <c r="F33" s="224">
        <v>72</v>
      </c>
      <c r="G33" s="224">
        <v>0.83561643835616439</v>
      </c>
      <c r="H33" s="224">
        <v>0.16438356164383561</v>
      </c>
      <c r="I33" s="304" t="s">
        <v>110</v>
      </c>
      <c r="J33" s="29">
        <v>1</v>
      </c>
      <c r="K33" s="9">
        <v>1</v>
      </c>
      <c r="L33" s="9">
        <v>1</v>
      </c>
      <c r="M33" s="9">
        <v>2</v>
      </c>
      <c r="N33" s="43">
        <v>2</v>
      </c>
      <c r="O33" s="260">
        <f t="shared" si="1"/>
        <v>0.35859414261160716</v>
      </c>
      <c r="P33" s="163" t="s">
        <v>111</v>
      </c>
      <c r="Q33" s="224">
        <v>2005</v>
      </c>
      <c r="R33" s="224">
        <v>5841</v>
      </c>
      <c r="S33" s="224" t="s">
        <v>86</v>
      </c>
      <c r="T33" s="224">
        <v>1341</v>
      </c>
      <c r="U33" s="224">
        <v>1366</v>
      </c>
      <c r="V33" s="224">
        <v>5816</v>
      </c>
      <c r="W33" s="224">
        <v>0.190197716513506</v>
      </c>
      <c r="X33" s="224">
        <v>0.80980228348649397</v>
      </c>
      <c r="Y33" s="100" t="s">
        <v>126</v>
      </c>
      <c r="Z33" s="29">
        <v>1</v>
      </c>
      <c r="AA33" s="9">
        <v>1</v>
      </c>
      <c r="AB33" s="9">
        <v>1</v>
      </c>
      <c r="AC33" s="9">
        <v>2</v>
      </c>
      <c r="AD33" s="43">
        <v>2</v>
      </c>
      <c r="AE33" s="55">
        <v>0.35859414261160716</v>
      </c>
      <c r="AF33" s="52" t="s">
        <v>111</v>
      </c>
    </row>
    <row r="34" spans="1:32">
      <c r="A34" s="224">
        <v>1997</v>
      </c>
      <c r="B34" s="224">
        <v>852</v>
      </c>
      <c r="C34" s="224" t="s">
        <v>87</v>
      </c>
      <c r="D34" s="224">
        <v>199</v>
      </c>
      <c r="E34" s="224">
        <v>453</v>
      </c>
      <c r="F34" s="224">
        <v>598</v>
      </c>
      <c r="G34" s="224">
        <v>0.43101807802093239</v>
      </c>
      <c r="H34" s="224">
        <v>0.5689819219790675</v>
      </c>
      <c r="I34" s="304" t="s">
        <v>110</v>
      </c>
      <c r="J34" s="29">
        <v>1</v>
      </c>
      <c r="K34" s="9">
        <v>1</v>
      </c>
      <c r="L34" s="9">
        <v>1</v>
      </c>
      <c r="M34" s="9">
        <v>2</v>
      </c>
      <c r="N34" s="43">
        <v>2</v>
      </c>
      <c r="O34" s="260">
        <f t="shared" si="1"/>
        <v>0.35859414261160716</v>
      </c>
      <c r="P34" s="163" t="s">
        <v>111</v>
      </c>
      <c r="Q34" s="224">
        <v>2005</v>
      </c>
      <c r="R34" s="224">
        <v>9359</v>
      </c>
      <c r="S34" s="224" t="s">
        <v>87</v>
      </c>
      <c r="T34" s="224">
        <v>1094</v>
      </c>
      <c r="U34" s="224">
        <v>1077</v>
      </c>
      <c r="V34" s="224">
        <v>9376</v>
      </c>
      <c r="W34" s="224">
        <v>0.10303262221371851</v>
      </c>
      <c r="X34" s="224">
        <v>0.89696737778628144</v>
      </c>
      <c r="Y34" s="100" t="s">
        <v>126</v>
      </c>
      <c r="Z34" s="29">
        <v>1</v>
      </c>
      <c r="AA34" s="9">
        <v>1</v>
      </c>
      <c r="AB34" s="9">
        <v>1</v>
      </c>
      <c r="AC34" s="9">
        <v>2</v>
      </c>
      <c r="AD34" s="43">
        <v>2</v>
      </c>
      <c r="AE34" s="55">
        <v>0.35859414261160716</v>
      </c>
      <c r="AF34" s="52" t="s">
        <v>111</v>
      </c>
    </row>
    <row r="35" spans="1:32">
      <c r="A35" s="224">
        <v>1997</v>
      </c>
      <c r="B35" s="224">
        <v>38</v>
      </c>
      <c r="C35" s="224" t="s">
        <v>88</v>
      </c>
      <c r="D35" s="224">
        <v>77</v>
      </c>
      <c r="E35" s="224">
        <v>115</v>
      </c>
      <c r="F35" s="224">
        <v>0</v>
      </c>
      <c r="G35" s="224">
        <v>1</v>
      </c>
      <c r="H35" s="224">
        <v>0</v>
      </c>
      <c r="I35" s="304" t="s">
        <v>110</v>
      </c>
      <c r="J35" s="29">
        <v>1</v>
      </c>
      <c r="K35" s="9">
        <v>1</v>
      </c>
      <c r="L35" s="9">
        <v>1</v>
      </c>
      <c r="M35" s="9">
        <v>2</v>
      </c>
      <c r="N35" s="43">
        <v>2</v>
      </c>
      <c r="O35" s="260">
        <f t="shared" si="1"/>
        <v>0.35859414261160716</v>
      </c>
      <c r="P35" s="163" t="s">
        <v>111</v>
      </c>
      <c r="Q35" s="224">
        <v>2005</v>
      </c>
      <c r="R35" s="224">
        <v>1714</v>
      </c>
      <c r="S35" s="224" t="s">
        <v>88</v>
      </c>
      <c r="T35" s="224">
        <v>126</v>
      </c>
      <c r="U35" s="224">
        <v>306</v>
      </c>
      <c r="V35" s="224">
        <v>1534</v>
      </c>
      <c r="W35" s="224">
        <v>0.166304347826087</v>
      </c>
      <c r="X35" s="224">
        <v>0.83369565217391306</v>
      </c>
      <c r="Y35" s="100" t="s">
        <v>126</v>
      </c>
      <c r="Z35" s="29">
        <v>1</v>
      </c>
      <c r="AA35" s="9">
        <v>1</v>
      </c>
      <c r="AB35" s="9">
        <v>1</v>
      </c>
      <c r="AC35" s="9">
        <v>2</v>
      </c>
      <c r="AD35" s="43">
        <v>2</v>
      </c>
      <c r="AE35" s="55">
        <v>0.35859414261160716</v>
      </c>
      <c r="AF35" s="52" t="s">
        <v>111</v>
      </c>
    </row>
    <row r="36" spans="1:32">
      <c r="A36" s="224">
        <v>1997</v>
      </c>
      <c r="B36" s="224">
        <v>191</v>
      </c>
      <c r="C36" s="224" t="s">
        <v>89</v>
      </c>
      <c r="D36" s="224">
        <v>43</v>
      </c>
      <c r="E36" s="224">
        <v>45</v>
      </c>
      <c r="F36" s="224">
        <v>189</v>
      </c>
      <c r="G36" s="224">
        <v>0.19230769230769229</v>
      </c>
      <c r="H36" s="224">
        <v>0.80769230769230771</v>
      </c>
      <c r="I36" s="304" t="s">
        <v>110</v>
      </c>
      <c r="J36" s="29">
        <v>1</v>
      </c>
      <c r="K36" s="9">
        <v>1</v>
      </c>
      <c r="L36" s="9">
        <v>1</v>
      </c>
      <c r="M36" s="9">
        <v>2</v>
      </c>
      <c r="N36" s="43">
        <v>2</v>
      </c>
      <c r="O36" s="260">
        <f t="shared" si="1"/>
        <v>0.35859414261160716</v>
      </c>
      <c r="P36" s="163" t="s">
        <v>111</v>
      </c>
      <c r="Q36" s="224">
        <v>2005</v>
      </c>
      <c r="R36" s="224">
        <v>1178</v>
      </c>
      <c r="S36" s="224" t="s">
        <v>89</v>
      </c>
      <c r="T36" s="224">
        <v>51</v>
      </c>
      <c r="U36" s="224">
        <v>116</v>
      </c>
      <c r="V36" s="224">
        <v>1113</v>
      </c>
      <c r="W36" s="224">
        <v>9.4385679414157847E-2</v>
      </c>
      <c r="X36" s="224">
        <v>0.90561432058584213</v>
      </c>
      <c r="Y36" s="100" t="s">
        <v>126</v>
      </c>
      <c r="Z36" s="29">
        <v>1</v>
      </c>
      <c r="AA36" s="9">
        <v>1</v>
      </c>
      <c r="AB36" s="9">
        <v>1</v>
      </c>
      <c r="AC36" s="9">
        <v>2</v>
      </c>
      <c r="AD36" s="43">
        <v>2</v>
      </c>
      <c r="AE36" s="55">
        <v>0.35859414261160716</v>
      </c>
      <c r="AF36" s="52" t="s">
        <v>111</v>
      </c>
    </row>
    <row r="37" spans="1:32">
      <c r="A37" s="224">
        <v>1997</v>
      </c>
      <c r="B37" s="224">
        <v>610</v>
      </c>
      <c r="C37" s="224" t="s">
        <v>90</v>
      </c>
      <c r="D37" s="224">
        <v>210</v>
      </c>
      <c r="E37" s="224">
        <v>414</v>
      </c>
      <c r="F37" s="224">
        <v>406</v>
      </c>
      <c r="G37" s="224">
        <v>0.50487804878048781</v>
      </c>
      <c r="H37" s="224">
        <v>0.49512195121951219</v>
      </c>
      <c r="I37" s="304" t="s">
        <v>110</v>
      </c>
      <c r="J37" s="29">
        <v>1</v>
      </c>
      <c r="K37" s="9">
        <v>1</v>
      </c>
      <c r="L37" s="9">
        <v>1</v>
      </c>
      <c r="M37" s="9">
        <v>2</v>
      </c>
      <c r="N37" s="43">
        <v>2</v>
      </c>
      <c r="O37" s="260">
        <f t="shared" si="1"/>
        <v>0.35859414261160716</v>
      </c>
      <c r="P37" s="163" t="s">
        <v>111</v>
      </c>
      <c r="Q37" s="224">
        <v>2005</v>
      </c>
      <c r="R37" s="224">
        <v>6608</v>
      </c>
      <c r="S37" s="224" t="s">
        <v>90</v>
      </c>
      <c r="T37" s="224">
        <v>420</v>
      </c>
      <c r="U37" s="224">
        <v>1529</v>
      </c>
      <c r="V37" s="224">
        <v>5499</v>
      </c>
      <c r="W37" s="224">
        <v>0.2175583380762664</v>
      </c>
      <c r="X37" s="224">
        <v>0.78244166192373366</v>
      </c>
      <c r="Y37" s="100" t="s">
        <v>126</v>
      </c>
      <c r="Z37" s="29">
        <v>1</v>
      </c>
      <c r="AA37" s="9">
        <v>1</v>
      </c>
      <c r="AB37" s="9">
        <v>1</v>
      </c>
      <c r="AC37" s="9">
        <v>2</v>
      </c>
      <c r="AD37" s="43">
        <v>2</v>
      </c>
      <c r="AE37" s="55">
        <v>0.35859414261160716</v>
      </c>
      <c r="AF37" s="52" t="s">
        <v>111</v>
      </c>
    </row>
    <row r="38" spans="1:32">
      <c r="A38" s="224">
        <v>1997</v>
      </c>
      <c r="B38" s="224">
        <v>0</v>
      </c>
      <c r="C38" s="224" t="s">
        <v>91</v>
      </c>
      <c r="D38" s="224">
        <v>0</v>
      </c>
      <c r="E38" s="224">
        <v>0</v>
      </c>
      <c r="F38" s="224">
        <v>0</v>
      </c>
      <c r="G38" s="224"/>
      <c r="H38" s="224"/>
      <c r="I38" s="304" t="s">
        <v>110</v>
      </c>
      <c r="J38" s="29">
        <v>1</v>
      </c>
      <c r="K38" s="9">
        <v>1</v>
      </c>
      <c r="L38" s="9">
        <v>1</v>
      </c>
      <c r="M38" s="9">
        <v>2</v>
      </c>
      <c r="N38" s="43">
        <v>2</v>
      </c>
      <c r="O38" s="260">
        <f t="shared" si="1"/>
        <v>0.35859414261160716</v>
      </c>
      <c r="P38" s="163" t="s">
        <v>111</v>
      </c>
      <c r="Q38" s="224">
        <v>2005</v>
      </c>
      <c r="R38" s="224">
        <v>4447</v>
      </c>
      <c r="S38" s="224" t="s">
        <v>91</v>
      </c>
      <c r="T38" s="224">
        <v>895</v>
      </c>
      <c r="U38" s="224">
        <v>321</v>
      </c>
      <c r="V38" s="224">
        <v>5021</v>
      </c>
      <c r="W38" s="224">
        <v>6.0089853987270687E-2</v>
      </c>
      <c r="X38" s="224">
        <v>0.93991014601272926</v>
      </c>
      <c r="Y38" s="100" t="s">
        <v>126</v>
      </c>
      <c r="Z38" s="29">
        <v>1</v>
      </c>
      <c r="AA38" s="9">
        <v>1</v>
      </c>
      <c r="AB38" s="9">
        <v>1</v>
      </c>
      <c r="AC38" s="9">
        <v>2</v>
      </c>
      <c r="AD38" s="43">
        <v>2</v>
      </c>
      <c r="AE38" s="55">
        <v>0.35859414261160716</v>
      </c>
      <c r="AF38" s="52" t="s">
        <v>111</v>
      </c>
    </row>
    <row r="39" spans="1:32">
      <c r="A39" s="224">
        <v>1997</v>
      </c>
      <c r="B39" s="224">
        <v>155</v>
      </c>
      <c r="C39" s="224" t="s">
        <v>94</v>
      </c>
      <c r="D39" s="224">
        <v>28</v>
      </c>
      <c r="E39" s="224">
        <v>183</v>
      </c>
      <c r="F39" s="224">
        <v>0</v>
      </c>
      <c r="G39" s="224">
        <v>1</v>
      </c>
      <c r="H39" s="224">
        <v>0</v>
      </c>
      <c r="I39" s="304" t="s">
        <v>110</v>
      </c>
      <c r="J39" s="29">
        <v>1</v>
      </c>
      <c r="K39" s="9">
        <v>1</v>
      </c>
      <c r="L39" s="9">
        <v>1</v>
      </c>
      <c r="M39" s="9">
        <v>2</v>
      </c>
      <c r="N39" s="43">
        <v>2</v>
      </c>
      <c r="O39" s="260">
        <f t="shared" si="1"/>
        <v>0.35859414261160716</v>
      </c>
      <c r="P39" s="163" t="s">
        <v>111</v>
      </c>
      <c r="Q39" s="224">
        <v>2005</v>
      </c>
      <c r="R39" s="224">
        <v>702</v>
      </c>
      <c r="S39" s="224" t="s">
        <v>94</v>
      </c>
      <c r="T39" s="224">
        <v>207</v>
      </c>
      <c r="U39" s="224">
        <v>176</v>
      </c>
      <c r="V39" s="224">
        <v>733</v>
      </c>
      <c r="W39" s="224">
        <v>0.19361936193619361</v>
      </c>
      <c r="X39" s="224">
        <v>0.80638063806380633</v>
      </c>
      <c r="Y39" s="100" t="s">
        <v>126</v>
      </c>
      <c r="Z39" s="29">
        <v>1</v>
      </c>
      <c r="AA39" s="9">
        <v>1</v>
      </c>
      <c r="AB39" s="9">
        <v>1</v>
      </c>
      <c r="AC39" s="9">
        <v>2</v>
      </c>
      <c r="AD39" s="43">
        <v>2</v>
      </c>
      <c r="AE39" s="55">
        <v>0.35859414261160716</v>
      </c>
      <c r="AF39" s="52" t="s">
        <v>111</v>
      </c>
    </row>
    <row r="40" spans="1:32">
      <c r="A40" s="224">
        <v>1997</v>
      </c>
      <c r="B40" s="224">
        <v>337</v>
      </c>
      <c r="C40" s="224" t="s">
        <v>96</v>
      </c>
      <c r="D40" s="224">
        <v>47</v>
      </c>
      <c r="E40" s="224">
        <v>193</v>
      </c>
      <c r="F40" s="224">
        <v>191</v>
      </c>
      <c r="G40" s="224">
        <v>0.50260416666666663</v>
      </c>
      <c r="H40" s="224">
        <v>0.49739583333333343</v>
      </c>
      <c r="I40" s="304" t="s">
        <v>110</v>
      </c>
      <c r="J40" s="29">
        <v>1</v>
      </c>
      <c r="K40" s="9">
        <v>1</v>
      </c>
      <c r="L40" s="9">
        <v>1</v>
      </c>
      <c r="M40" s="9">
        <v>2</v>
      </c>
      <c r="N40" s="43">
        <v>2</v>
      </c>
      <c r="O40" s="260">
        <f t="shared" si="1"/>
        <v>0.35859414261160716</v>
      </c>
      <c r="P40" s="163" t="s">
        <v>111</v>
      </c>
      <c r="Q40" s="224">
        <v>2005</v>
      </c>
      <c r="R40" s="224">
        <v>1194</v>
      </c>
      <c r="S40" s="224" t="s">
        <v>96</v>
      </c>
      <c r="T40" s="224">
        <v>92</v>
      </c>
      <c r="U40" s="224">
        <v>266</v>
      </c>
      <c r="V40" s="224">
        <v>1020</v>
      </c>
      <c r="W40" s="224">
        <v>0.20684292379471231</v>
      </c>
      <c r="X40" s="224">
        <v>0.79315707620528775</v>
      </c>
      <c r="Y40" s="100" t="s">
        <v>126</v>
      </c>
      <c r="Z40" s="29">
        <v>1</v>
      </c>
      <c r="AA40" s="9">
        <v>1</v>
      </c>
      <c r="AB40" s="9">
        <v>1</v>
      </c>
      <c r="AC40" s="9">
        <v>2</v>
      </c>
      <c r="AD40" s="43">
        <v>2</v>
      </c>
      <c r="AE40" s="55">
        <v>0.35859414261160716</v>
      </c>
      <c r="AF40" s="52" t="s">
        <v>111</v>
      </c>
    </row>
    <row r="41" spans="1:32">
      <c r="A41" s="224">
        <v>1997</v>
      </c>
      <c r="B41" s="224">
        <v>233</v>
      </c>
      <c r="C41" s="224" t="s">
        <v>97</v>
      </c>
      <c r="D41" s="224">
        <v>104</v>
      </c>
      <c r="E41" s="224">
        <v>148</v>
      </c>
      <c r="F41" s="224">
        <v>189</v>
      </c>
      <c r="G41" s="224">
        <v>0.43916913946587538</v>
      </c>
      <c r="H41" s="224">
        <v>0.56083086053412456</v>
      </c>
      <c r="I41" s="304" t="s">
        <v>110</v>
      </c>
      <c r="J41" s="29">
        <v>1</v>
      </c>
      <c r="K41" s="9">
        <v>1</v>
      </c>
      <c r="L41" s="9">
        <v>1</v>
      </c>
      <c r="M41" s="9">
        <v>2</v>
      </c>
      <c r="N41" s="43">
        <v>2</v>
      </c>
      <c r="O41" s="260">
        <f t="shared" si="1"/>
        <v>0.35859414261160716</v>
      </c>
      <c r="P41" s="163" t="s">
        <v>111</v>
      </c>
      <c r="Q41" s="224">
        <v>2005</v>
      </c>
      <c r="R41" s="224">
        <v>3495</v>
      </c>
      <c r="S41" s="224" t="s">
        <v>97</v>
      </c>
      <c r="T41" s="224">
        <v>358</v>
      </c>
      <c r="U41" s="224">
        <v>902</v>
      </c>
      <c r="V41" s="224">
        <v>2951</v>
      </c>
      <c r="W41" s="224">
        <v>0.2341032961328835</v>
      </c>
      <c r="X41" s="224">
        <v>0.7658967038671165</v>
      </c>
      <c r="Y41" s="100" t="s">
        <v>126</v>
      </c>
      <c r="Z41" s="29">
        <v>1</v>
      </c>
      <c r="AA41" s="9">
        <v>1</v>
      </c>
      <c r="AB41" s="9">
        <v>1</v>
      </c>
      <c r="AC41" s="9">
        <v>2</v>
      </c>
      <c r="AD41" s="43">
        <v>2</v>
      </c>
      <c r="AE41" s="55">
        <v>0.35859414261160716</v>
      </c>
      <c r="AF41" s="52" t="s">
        <v>111</v>
      </c>
    </row>
    <row r="42" spans="1:32">
      <c r="A42" s="224">
        <v>1997</v>
      </c>
      <c r="B42" s="224">
        <v>200</v>
      </c>
      <c r="C42" s="224" t="s">
        <v>95</v>
      </c>
      <c r="D42" s="224">
        <v>135</v>
      </c>
      <c r="E42" s="224">
        <v>203</v>
      </c>
      <c r="F42" s="224">
        <v>132</v>
      </c>
      <c r="G42" s="224">
        <v>0.60597014925373138</v>
      </c>
      <c r="H42" s="224">
        <v>0.39402985074626862</v>
      </c>
      <c r="I42" s="304" t="s">
        <v>110</v>
      </c>
      <c r="J42" s="29">
        <v>1</v>
      </c>
      <c r="K42" s="9">
        <v>1</v>
      </c>
      <c r="L42" s="9">
        <v>1</v>
      </c>
      <c r="M42" s="9">
        <v>2</v>
      </c>
      <c r="N42" s="43">
        <v>2</v>
      </c>
      <c r="O42" s="260">
        <f t="shared" si="1"/>
        <v>0.35859414261160716</v>
      </c>
      <c r="P42" s="163" t="s">
        <v>111</v>
      </c>
      <c r="Q42" s="224">
        <v>2005</v>
      </c>
      <c r="R42" s="224">
        <v>2366</v>
      </c>
      <c r="S42" s="224" t="s">
        <v>95</v>
      </c>
      <c r="T42" s="224">
        <v>289</v>
      </c>
      <c r="U42" s="224">
        <v>517</v>
      </c>
      <c r="V42" s="224">
        <v>2138</v>
      </c>
      <c r="W42" s="224">
        <v>0.19472693032015059</v>
      </c>
      <c r="X42" s="224">
        <v>0.80527306967984935</v>
      </c>
      <c r="Y42" s="100" t="s">
        <v>126</v>
      </c>
      <c r="Z42" s="29">
        <v>1</v>
      </c>
      <c r="AA42" s="9">
        <v>1</v>
      </c>
      <c r="AB42" s="9">
        <v>1</v>
      </c>
      <c r="AC42" s="9">
        <v>2</v>
      </c>
      <c r="AD42" s="43">
        <v>2</v>
      </c>
      <c r="AE42" s="55">
        <v>0.35859414261160716</v>
      </c>
      <c r="AF42" s="52" t="s">
        <v>111</v>
      </c>
    </row>
    <row r="43" spans="1:32">
      <c r="A43" s="224">
        <v>1997</v>
      </c>
      <c r="B43" s="224">
        <v>98</v>
      </c>
      <c r="C43" s="224" t="s">
        <v>93</v>
      </c>
      <c r="D43" s="224">
        <v>17</v>
      </c>
      <c r="E43" s="224">
        <v>31</v>
      </c>
      <c r="F43" s="224">
        <v>84</v>
      </c>
      <c r="G43" s="224">
        <v>0.26956521739130429</v>
      </c>
      <c r="H43" s="224">
        <v>0.73043478260869565</v>
      </c>
      <c r="I43" s="304" t="s">
        <v>110</v>
      </c>
      <c r="J43" s="29">
        <v>1</v>
      </c>
      <c r="K43" s="9">
        <v>1</v>
      </c>
      <c r="L43" s="9">
        <v>1</v>
      </c>
      <c r="M43" s="9">
        <v>2</v>
      </c>
      <c r="N43" s="43">
        <v>2</v>
      </c>
      <c r="O43" s="260">
        <f t="shared" si="1"/>
        <v>0.35859414261160716</v>
      </c>
      <c r="P43" s="163" t="s">
        <v>111</v>
      </c>
      <c r="Q43" s="224">
        <v>2005</v>
      </c>
      <c r="R43" s="224">
        <v>3361</v>
      </c>
      <c r="S43" s="224" t="s">
        <v>93</v>
      </c>
      <c r="T43" s="224">
        <v>69</v>
      </c>
      <c r="U43" s="224">
        <v>420</v>
      </c>
      <c r="V43" s="224">
        <v>3010</v>
      </c>
      <c r="W43" s="224">
        <v>0.1224489795918367</v>
      </c>
      <c r="X43" s="224">
        <v>0.87755102040816324</v>
      </c>
      <c r="Y43" s="100" t="s">
        <v>126</v>
      </c>
      <c r="Z43" s="29">
        <v>1</v>
      </c>
      <c r="AA43" s="9">
        <v>1</v>
      </c>
      <c r="AB43" s="9">
        <v>1</v>
      </c>
      <c r="AC43" s="9">
        <v>2</v>
      </c>
      <c r="AD43" s="43">
        <v>2</v>
      </c>
      <c r="AE43" s="55">
        <v>0.35859414261160716</v>
      </c>
      <c r="AF43" s="52" t="s">
        <v>111</v>
      </c>
    </row>
    <row r="44" spans="1:32">
      <c r="A44" s="224">
        <v>1997</v>
      </c>
      <c r="B44" s="224">
        <v>1233</v>
      </c>
      <c r="C44" s="224" t="s">
        <v>98</v>
      </c>
      <c r="D44" s="224">
        <v>556</v>
      </c>
      <c r="E44" s="224">
        <v>1789</v>
      </c>
      <c r="F44" s="224">
        <v>0</v>
      </c>
      <c r="G44" s="224">
        <v>1</v>
      </c>
      <c r="H44" s="224">
        <v>0</v>
      </c>
      <c r="I44" s="304" t="s">
        <v>110</v>
      </c>
      <c r="J44" s="29">
        <v>1</v>
      </c>
      <c r="K44" s="9">
        <v>1</v>
      </c>
      <c r="L44" s="9">
        <v>1</v>
      </c>
      <c r="M44" s="9">
        <v>2</v>
      </c>
      <c r="N44" s="43">
        <v>2</v>
      </c>
      <c r="O44" s="260">
        <f t="shared" si="1"/>
        <v>0.35859414261160716</v>
      </c>
      <c r="P44" s="163" t="s">
        <v>111</v>
      </c>
      <c r="Q44" s="224">
        <v>2005</v>
      </c>
      <c r="R44" s="224">
        <v>14639</v>
      </c>
      <c r="S44" s="224" t="s">
        <v>98</v>
      </c>
      <c r="T44" s="224">
        <v>2432</v>
      </c>
      <c r="U44" s="224">
        <v>4742</v>
      </c>
      <c r="V44" s="224">
        <v>12329</v>
      </c>
      <c r="W44" s="224">
        <v>0.27778103215980321</v>
      </c>
      <c r="X44" s="224">
        <v>0.7222189678401969</v>
      </c>
      <c r="Y44" s="100" t="s">
        <v>126</v>
      </c>
      <c r="Z44" s="29">
        <v>1</v>
      </c>
      <c r="AA44" s="9">
        <v>1</v>
      </c>
      <c r="AB44" s="9">
        <v>1</v>
      </c>
      <c r="AC44" s="9">
        <v>2</v>
      </c>
      <c r="AD44" s="43">
        <v>2</v>
      </c>
      <c r="AE44" s="55">
        <v>0.35859414261160716</v>
      </c>
      <c r="AF44" s="52" t="s">
        <v>111</v>
      </c>
    </row>
    <row r="45" spans="1:32">
      <c r="A45" s="224">
        <v>1998</v>
      </c>
      <c r="B45" s="224">
        <v>1435</v>
      </c>
      <c r="C45" s="224" t="s">
        <v>85</v>
      </c>
      <c r="D45" s="224">
        <v>403</v>
      </c>
      <c r="E45" s="224">
        <v>1601</v>
      </c>
      <c r="F45" s="224">
        <v>237</v>
      </c>
      <c r="G45" s="224">
        <v>0.87105549510337321</v>
      </c>
      <c r="H45" s="224">
        <v>0.12894450489662679</v>
      </c>
      <c r="I45" s="304" t="s">
        <v>110</v>
      </c>
      <c r="J45" s="29">
        <v>1</v>
      </c>
      <c r="K45" s="9">
        <v>1</v>
      </c>
      <c r="L45" s="9">
        <v>1</v>
      </c>
      <c r="M45" s="9">
        <v>2</v>
      </c>
      <c r="N45" s="43">
        <v>2</v>
      </c>
      <c r="O45" s="260">
        <f t="shared" si="1"/>
        <v>0.35859414261160716</v>
      </c>
      <c r="P45" s="163" t="s">
        <v>111</v>
      </c>
      <c r="Q45" s="224">
        <v>2006</v>
      </c>
      <c r="R45" s="224">
        <v>12651</v>
      </c>
      <c r="S45" s="224" t="s">
        <v>85</v>
      </c>
      <c r="T45" s="224">
        <v>4450</v>
      </c>
      <c r="U45" s="224">
        <v>2736</v>
      </c>
      <c r="V45" s="224">
        <v>14365</v>
      </c>
      <c r="W45" s="224">
        <v>0.15999064382199871</v>
      </c>
      <c r="X45" s="224">
        <v>0.84000935617800132</v>
      </c>
      <c r="Y45" s="100" t="s">
        <v>126</v>
      </c>
      <c r="Z45" s="29">
        <v>1</v>
      </c>
      <c r="AA45" s="9">
        <v>1</v>
      </c>
      <c r="AB45" s="9">
        <v>1</v>
      </c>
      <c r="AC45" s="9">
        <v>2</v>
      </c>
      <c r="AD45" s="43">
        <v>2</v>
      </c>
      <c r="AE45" s="55">
        <v>0.35859414261160716</v>
      </c>
      <c r="AF45" s="52" t="s">
        <v>111</v>
      </c>
    </row>
    <row r="46" spans="1:32">
      <c r="A46" s="224">
        <v>1998</v>
      </c>
      <c r="B46" s="224">
        <v>290</v>
      </c>
      <c r="C46" s="224" t="s">
        <v>86</v>
      </c>
      <c r="D46" s="224">
        <v>195</v>
      </c>
      <c r="E46" s="224">
        <v>424</v>
      </c>
      <c r="F46" s="224">
        <v>61</v>
      </c>
      <c r="G46" s="224">
        <v>0.87422680412371134</v>
      </c>
      <c r="H46" s="224">
        <v>0.12577319587628871</v>
      </c>
      <c r="I46" s="304" t="s">
        <v>110</v>
      </c>
      <c r="J46" s="29">
        <v>1</v>
      </c>
      <c r="K46" s="9">
        <v>1</v>
      </c>
      <c r="L46" s="9">
        <v>1</v>
      </c>
      <c r="M46" s="9">
        <v>2</v>
      </c>
      <c r="N46" s="43">
        <v>2</v>
      </c>
      <c r="O46" s="260">
        <f t="shared" si="1"/>
        <v>0.35859414261160716</v>
      </c>
      <c r="P46" s="163" t="s">
        <v>111</v>
      </c>
      <c r="Q46" s="224">
        <v>2006</v>
      </c>
      <c r="R46" s="224">
        <v>5682</v>
      </c>
      <c r="S46" s="224" t="s">
        <v>86</v>
      </c>
      <c r="T46" s="224">
        <v>1652</v>
      </c>
      <c r="U46" s="224">
        <v>1342</v>
      </c>
      <c r="V46" s="224">
        <v>5992</v>
      </c>
      <c r="W46" s="224">
        <v>0.18298336514862279</v>
      </c>
      <c r="X46" s="224">
        <v>0.81701663485137721</v>
      </c>
      <c r="Y46" s="100" t="s">
        <v>126</v>
      </c>
      <c r="Z46" s="29">
        <v>1</v>
      </c>
      <c r="AA46" s="9">
        <v>1</v>
      </c>
      <c r="AB46" s="9">
        <v>1</v>
      </c>
      <c r="AC46" s="9">
        <v>2</v>
      </c>
      <c r="AD46" s="43">
        <v>2</v>
      </c>
      <c r="AE46" s="55">
        <v>0.35859414261160716</v>
      </c>
      <c r="AF46" s="52" t="s">
        <v>111</v>
      </c>
    </row>
    <row r="47" spans="1:32">
      <c r="A47" s="224">
        <v>1998</v>
      </c>
      <c r="B47" s="224">
        <v>852</v>
      </c>
      <c r="C47" s="224" t="s">
        <v>87</v>
      </c>
      <c r="D47" s="224">
        <v>167</v>
      </c>
      <c r="E47" s="224">
        <v>432</v>
      </c>
      <c r="F47" s="224">
        <v>587</v>
      </c>
      <c r="G47" s="224">
        <v>0.42394504416094209</v>
      </c>
      <c r="H47" s="224">
        <v>0.57605495583905797</v>
      </c>
      <c r="I47" s="304" t="s">
        <v>110</v>
      </c>
      <c r="J47" s="29">
        <v>1</v>
      </c>
      <c r="K47" s="9">
        <v>1</v>
      </c>
      <c r="L47" s="9">
        <v>1</v>
      </c>
      <c r="M47" s="9">
        <v>2</v>
      </c>
      <c r="N47" s="43">
        <v>2</v>
      </c>
      <c r="O47" s="260">
        <f t="shared" si="1"/>
        <v>0.35859414261160716</v>
      </c>
      <c r="P47" s="163" t="s">
        <v>111</v>
      </c>
      <c r="Q47" s="224">
        <v>2006</v>
      </c>
      <c r="R47" s="224">
        <v>9780</v>
      </c>
      <c r="S47" s="224" t="s">
        <v>87</v>
      </c>
      <c r="T47" s="224">
        <v>1293</v>
      </c>
      <c r="U47" s="224">
        <v>1286</v>
      </c>
      <c r="V47" s="224">
        <v>9787</v>
      </c>
      <c r="W47" s="224">
        <v>0.1161383545561275</v>
      </c>
      <c r="X47" s="224">
        <v>0.88386164544387247</v>
      </c>
      <c r="Y47" s="100" t="s">
        <v>126</v>
      </c>
      <c r="Z47" s="29">
        <v>1</v>
      </c>
      <c r="AA47" s="9">
        <v>1</v>
      </c>
      <c r="AB47" s="9">
        <v>1</v>
      </c>
      <c r="AC47" s="9">
        <v>2</v>
      </c>
      <c r="AD47" s="43">
        <v>2</v>
      </c>
      <c r="AE47" s="55">
        <v>0.35859414261160716</v>
      </c>
      <c r="AF47" s="52" t="s">
        <v>111</v>
      </c>
    </row>
    <row r="48" spans="1:32">
      <c r="A48" s="224">
        <v>1998</v>
      </c>
      <c r="B48" s="224">
        <v>33</v>
      </c>
      <c r="C48" s="224" t="s">
        <v>88</v>
      </c>
      <c r="D48" s="224">
        <v>79</v>
      </c>
      <c r="E48" s="224">
        <v>112</v>
      </c>
      <c r="F48" s="224">
        <v>0</v>
      </c>
      <c r="G48" s="224">
        <v>1</v>
      </c>
      <c r="H48" s="224">
        <v>0</v>
      </c>
      <c r="I48" s="304" t="s">
        <v>110</v>
      </c>
      <c r="J48" s="29">
        <v>1</v>
      </c>
      <c r="K48" s="9">
        <v>1</v>
      </c>
      <c r="L48" s="9">
        <v>1</v>
      </c>
      <c r="M48" s="9">
        <v>2</v>
      </c>
      <c r="N48" s="43">
        <v>2</v>
      </c>
      <c r="O48" s="260">
        <f t="shared" si="1"/>
        <v>0.35859414261160716</v>
      </c>
      <c r="P48" s="163" t="s">
        <v>111</v>
      </c>
      <c r="Q48" s="224">
        <v>2006</v>
      </c>
      <c r="R48" s="224">
        <v>2239</v>
      </c>
      <c r="S48" s="224" t="s">
        <v>88</v>
      </c>
      <c r="T48" s="224">
        <v>158</v>
      </c>
      <c r="U48" s="224">
        <v>293</v>
      </c>
      <c r="V48" s="224">
        <v>2104</v>
      </c>
      <c r="W48" s="224">
        <v>0.1222361284939508</v>
      </c>
      <c r="X48" s="224">
        <v>0.87776387150604918</v>
      </c>
      <c r="Y48" s="100" t="s">
        <v>126</v>
      </c>
      <c r="Z48" s="29">
        <v>1</v>
      </c>
      <c r="AA48" s="9">
        <v>1</v>
      </c>
      <c r="AB48" s="9">
        <v>1</v>
      </c>
      <c r="AC48" s="9">
        <v>2</v>
      </c>
      <c r="AD48" s="43">
        <v>2</v>
      </c>
      <c r="AE48" s="55">
        <v>0.35859414261160716</v>
      </c>
      <c r="AF48" s="52" t="s">
        <v>111</v>
      </c>
    </row>
    <row r="49" spans="1:32">
      <c r="A49" s="224">
        <v>1998</v>
      </c>
      <c r="B49" s="224">
        <v>191</v>
      </c>
      <c r="C49" s="224" t="s">
        <v>89</v>
      </c>
      <c r="D49" s="224">
        <v>36</v>
      </c>
      <c r="E49" s="224">
        <v>46</v>
      </c>
      <c r="F49" s="224">
        <v>181</v>
      </c>
      <c r="G49" s="224">
        <v>0.20264317180616739</v>
      </c>
      <c r="H49" s="224">
        <v>0.79735682819383258</v>
      </c>
      <c r="I49" s="304" t="s">
        <v>110</v>
      </c>
      <c r="J49" s="29">
        <v>1</v>
      </c>
      <c r="K49" s="9">
        <v>1</v>
      </c>
      <c r="L49" s="9">
        <v>1</v>
      </c>
      <c r="M49" s="9">
        <v>2</v>
      </c>
      <c r="N49" s="43">
        <v>2</v>
      </c>
      <c r="O49" s="260">
        <f t="shared" si="1"/>
        <v>0.35859414261160716</v>
      </c>
      <c r="P49" s="163" t="s">
        <v>111</v>
      </c>
      <c r="Q49" s="224">
        <v>2006</v>
      </c>
      <c r="R49" s="224">
        <v>1225</v>
      </c>
      <c r="S49" s="224" t="s">
        <v>89</v>
      </c>
      <c r="T49" s="224">
        <v>41</v>
      </c>
      <c r="U49" s="224">
        <v>125</v>
      </c>
      <c r="V49" s="224">
        <v>1141</v>
      </c>
      <c r="W49" s="224">
        <v>9.873617693522907E-2</v>
      </c>
      <c r="X49" s="224">
        <v>0.90126382306477093</v>
      </c>
      <c r="Y49" s="100" t="s">
        <v>126</v>
      </c>
      <c r="Z49" s="29">
        <v>1</v>
      </c>
      <c r="AA49" s="9">
        <v>1</v>
      </c>
      <c r="AB49" s="9">
        <v>1</v>
      </c>
      <c r="AC49" s="9">
        <v>2</v>
      </c>
      <c r="AD49" s="43">
        <v>2</v>
      </c>
      <c r="AE49" s="55">
        <v>0.35859414261160716</v>
      </c>
      <c r="AF49" s="52" t="s">
        <v>111</v>
      </c>
    </row>
    <row r="50" spans="1:32">
      <c r="A50" s="224">
        <v>1998</v>
      </c>
      <c r="B50" s="224">
        <v>610</v>
      </c>
      <c r="C50" s="224" t="s">
        <v>90</v>
      </c>
      <c r="D50" s="224">
        <v>219</v>
      </c>
      <c r="E50" s="224">
        <v>398</v>
      </c>
      <c r="F50" s="224">
        <v>431</v>
      </c>
      <c r="G50" s="224">
        <v>0.48009650180940888</v>
      </c>
      <c r="H50" s="224">
        <v>0.51990349819059101</v>
      </c>
      <c r="I50" s="304" t="s">
        <v>110</v>
      </c>
      <c r="J50" s="29">
        <v>1</v>
      </c>
      <c r="K50" s="9">
        <v>1</v>
      </c>
      <c r="L50" s="9">
        <v>1</v>
      </c>
      <c r="M50" s="9">
        <v>2</v>
      </c>
      <c r="N50" s="43">
        <v>2</v>
      </c>
      <c r="O50" s="260">
        <f t="shared" si="1"/>
        <v>0.35859414261160716</v>
      </c>
      <c r="P50" s="163" t="s">
        <v>111</v>
      </c>
      <c r="Q50" s="224">
        <v>2006</v>
      </c>
      <c r="R50" s="224">
        <v>6599</v>
      </c>
      <c r="S50" s="224" t="s">
        <v>90</v>
      </c>
      <c r="T50" s="224">
        <v>551</v>
      </c>
      <c r="U50" s="224">
        <v>1275</v>
      </c>
      <c r="V50" s="224">
        <v>5875</v>
      </c>
      <c r="W50" s="224">
        <v>0.17832167832167831</v>
      </c>
      <c r="X50" s="224">
        <v>0.82167832167832167</v>
      </c>
      <c r="Y50" s="100" t="s">
        <v>126</v>
      </c>
      <c r="Z50" s="29">
        <v>1</v>
      </c>
      <c r="AA50" s="9">
        <v>1</v>
      </c>
      <c r="AB50" s="9">
        <v>1</v>
      </c>
      <c r="AC50" s="9">
        <v>2</v>
      </c>
      <c r="AD50" s="43">
        <v>2</v>
      </c>
      <c r="AE50" s="55">
        <v>0.35859414261160716</v>
      </c>
      <c r="AF50" s="52" t="s">
        <v>111</v>
      </c>
    </row>
    <row r="51" spans="1:32">
      <c r="A51" s="224">
        <v>1998</v>
      </c>
      <c r="B51" s="224">
        <v>0</v>
      </c>
      <c r="C51" s="224" t="s">
        <v>91</v>
      </c>
      <c r="D51" s="224">
        <v>0</v>
      </c>
      <c r="E51" s="224">
        <v>0</v>
      </c>
      <c r="F51" s="224">
        <v>0</v>
      </c>
      <c r="G51" s="224"/>
      <c r="H51" s="224"/>
      <c r="I51" s="304" t="s">
        <v>110</v>
      </c>
      <c r="J51" s="29">
        <v>1</v>
      </c>
      <c r="K51" s="9">
        <v>1</v>
      </c>
      <c r="L51" s="9">
        <v>1</v>
      </c>
      <c r="M51" s="9">
        <v>2</v>
      </c>
      <c r="N51" s="43">
        <v>2</v>
      </c>
      <c r="O51" s="260">
        <f t="shared" si="1"/>
        <v>0.35859414261160716</v>
      </c>
      <c r="P51" s="163" t="s">
        <v>111</v>
      </c>
      <c r="Q51" s="224">
        <v>2006</v>
      </c>
      <c r="R51" s="224">
        <v>2931</v>
      </c>
      <c r="S51" s="224" t="s">
        <v>91</v>
      </c>
      <c r="T51" s="224">
        <v>988</v>
      </c>
      <c r="U51" s="224">
        <v>334</v>
      </c>
      <c r="V51" s="224">
        <v>3585</v>
      </c>
      <c r="W51" s="224">
        <v>8.5225822914008681E-2</v>
      </c>
      <c r="X51" s="224">
        <v>0.91477417708599129</v>
      </c>
      <c r="Y51" s="100" t="s">
        <v>126</v>
      </c>
      <c r="Z51" s="29">
        <v>1</v>
      </c>
      <c r="AA51" s="9">
        <v>1</v>
      </c>
      <c r="AB51" s="9">
        <v>1</v>
      </c>
      <c r="AC51" s="9">
        <v>2</v>
      </c>
      <c r="AD51" s="43">
        <v>2</v>
      </c>
      <c r="AE51" s="55">
        <v>0.35859414261160716</v>
      </c>
      <c r="AF51" s="52" t="s">
        <v>111</v>
      </c>
    </row>
    <row r="52" spans="1:32">
      <c r="A52" s="224">
        <v>1998</v>
      </c>
      <c r="B52" s="224">
        <v>144</v>
      </c>
      <c r="C52" s="224" t="s">
        <v>94</v>
      </c>
      <c r="D52" s="224">
        <v>20</v>
      </c>
      <c r="E52" s="224">
        <v>164</v>
      </c>
      <c r="F52" s="224">
        <v>0</v>
      </c>
      <c r="G52" s="224">
        <v>1</v>
      </c>
      <c r="H52" s="224">
        <v>0</v>
      </c>
      <c r="I52" s="304" t="s">
        <v>110</v>
      </c>
      <c r="J52" s="29">
        <v>1</v>
      </c>
      <c r="K52" s="9">
        <v>1</v>
      </c>
      <c r="L52" s="9">
        <v>1</v>
      </c>
      <c r="M52" s="9">
        <v>2</v>
      </c>
      <c r="N52" s="43">
        <v>2</v>
      </c>
      <c r="O52" s="260">
        <f t="shared" si="1"/>
        <v>0.35859414261160716</v>
      </c>
      <c r="P52" s="163" t="s">
        <v>111</v>
      </c>
      <c r="Q52" s="224">
        <v>2006</v>
      </c>
      <c r="R52" s="224">
        <v>736</v>
      </c>
      <c r="S52" s="224" t="s">
        <v>94</v>
      </c>
      <c r="T52" s="224">
        <v>243</v>
      </c>
      <c r="U52" s="224">
        <v>165</v>
      </c>
      <c r="V52" s="224">
        <v>814</v>
      </c>
      <c r="W52" s="224">
        <v>0.1685393258426966</v>
      </c>
      <c r="X52" s="224">
        <v>0.8314606741573034</v>
      </c>
      <c r="Y52" s="100" t="s">
        <v>126</v>
      </c>
      <c r="Z52" s="29">
        <v>1</v>
      </c>
      <c r="AA52" s="9">
        <v>1</v>
      </c>
      <c r="AB52" s="9">
        <v>1</v>
      </c>
      <c r="AC52" s="9">
        <v>2</v>
      </c>
      <c r="AD52" s="43">
        <v>2</v>
      </c>
      <c r="AE52" s="55">
        <v>0.35859414261160716</v>
      </c>
      <c r="AF52" s="52" t="s">
        <v>111</v>
      </c>
    </row>
    <row r="53" spans="1:32">
      <c r="A53" s="224">
        <v>1998</v>
      </c>
      <c r="B53" s="224">
        <v>337</v>
      </c>
      <c r="C53" s="224" t="s">
        <v>96</v>
      </c>
      <c r="D53" s="224">
        <v>67</v>
      </c>
      <c r="E53" s="224">
        <v>210</v>
      </c>
      <c r="F53" s="224">
        <v>194</v>
      </c>
      <c r="G53" s="224">
        <v>0.51980198019801982</v>
      </c>
      <c r="H53" s="224">
        <v>0.48019801980198018</v>
      </c>
      <c r="I53" s="304" t="s">
        <v>110</v>
      </c>
      <c r="J53" s="29">
        <v>1</v>
      </c>
      <c r="K53" s="9">
        <v>1</v>
      </c>
      <c r="L53" s="9">
        <v>1</v>
      </c>
      <c r="M53" s="9">
        <v>2</v>
      </c>
      <c r="N53" s="43">
        <v>2</v>
      </c>
      <c r="O53" s="260">
        <f t="shared" si="1"/>
        <v>0.35859414261160716</v>
      </c>
      <c r="P53" s="163" t="s">
        <v>111</v>
      </c>
      <c r="Q53" s="224">
        <v>2006</v>
      </c>
      <c r="R53" s="224">
        <v>1135</v>
      </c>
      <c r="S53" s="224" t="s">
        <v>96</v>
      </c>
      <c r="T53" s="224">
        <v>92</v>
      </c>
      <c r="U53" s="224">
        <v>286</v>
      </c>
      <c r="V53" s="224">
        <v>941</v>
      </c>
      <c r="W53" s="224">
        <v>0.23308883455582721</v>
      </c>
      <c r="X53" s="224">
        <v>0.76691116544417282</v>
      </c>
      <c r="Y53" s="100" t="s">
        <v>126</v>
      </c>
      <c r="Z53" s="29">
        <v>1</v>
      </c>
      <c r="AA53" s="9">
        <v>1</v>
      </c>
      <c r="AB53" s="9">
        <v>1</v>
      </c>
      <c r="AC53" s="9">
        <v>2</v>
      </c>
      <c r="AD53" s="43">
        <v>2</v>
      </c>
      <c r="AE53" s="55">
        <v>0.35859414261160716</v>
      </c>
      <c r="AF53" s="52" t="s">
        <v>111</v>
      </c>
    </row>
    <row r="54" spans="1:32">
      <c r="A54" s="224">
        <v>1998</v>
      </c>
      <c r="B54" s="224">
        <v>233</v>
      </c>
      <c r="C54" s="224" t="s">
        <v>97</v>
      </c>
      <c r="D54" s="224">
        <v>96</v>
      </c>
      <c r="E54" s="224">
        <v>145</v>
      </c>
      <c r="F54" s="224">
        <v>184</v>
      </c>
      <c r="G54" s="224">
        <v>0.44072948328267469</v>
      </c>
      <c r="H54" s="224">
        <v>0.55927051671732531</v>
      </c>
      <c r="I54" s="304" t="s">
        <v>110</v>
      </c>
      <c r="J54" s="29">
        <v>1</v>
      </c>
      <c r="K54" s="9">
        <v>1</v>
      </c>
      <c r="L54" s="9">
        <v>1</v>
      </c>
      <c r="M54" s="9">
        <v>2</v>
      </c>
      <c r="N54" s="43">
        <v>2</v>
      </c>
      <c r="O54" s="260">
        <f t="shared" si="1"/>
        <v>0.35859414261160716</v>
      </c>
      <c r="P54" s="163" t="s">
        <v>111</v>
      </c>
      <c r="Q54" s="224">
        <v>2006</v>
      </c>
      <c r="R54" s="224">
        <v>3259</v>
      </c>
      <c r="S54" s="224" t="s">
        <v>97</v>
      </c>
      <c r="T54" s="224">
        <v>414</v>
      </c>
      <c r="U54" s="224">
        <v>764</v>
      </c>
      <c r="V54" s="224">
        <v>2909</v>
      </c>
      <c r="W54" s="224">
        <v>0.20800435611216991</v>
      </c>
      <c r="X54" s="224">
        <v>0.79199564388783017</v>
      </c>
      <c r="Y54" s="100" t="s">
        <v>126</v>
      </c>
      <c r="Z54" s="29">
        <v>1</v>
      </c>
      <c r="AA54" s="9">
        <v>1</v>
      </c>
      <c r="AB54" s="9">
        <v>1</v>
      </c>
      <c r="AC54" s="9">
        <v>2</v>
      </c>
      <c r="AD54" s="43">
        <v>2</v>
      </c>
      <c r="AE54" s="55">
        <v>0.35859414261160716</v>
      </c>
      <c r="AF54" s="52" t="s">
        <v>111</v>
      </c>
    </row>
    <row r="55" spans="1:32">
      <c r="A55" s="224">
        <v>1998</v>
      </c>
      <c r="B55" s="224">
        <v>200</v>
      </c>
      <c r="C55" s="224" t="s">
        <v>95</v>
      </c>
      <c r="D55" s="224">
        <v>141</v>
      </c>
      <c r="E55" s="224">
        <v>180</v>
      </c>
      <c r="F55" s="224">
        <v>161</v>
      </c>
      <c r="G55" s="224">
        <v>0.52785923753665687</v>
      </c>
      <c r="H55" s="224">
        <v>0.47214076246334308</v>
      </c>
      <c r="I55" s="304" t="s">
        <v>110</v>
      </c>
      <c r="J55" s="29">
        <v>1</v>
      </c>
      <c r="K55" s="9">
        <v>1</v>
      </c>
      <c r="L55" s="9">
        <v>1</v>
      </c>
      <c r="M55" s="9">
        <v>2</v>
      </c>
      <c r="N55" s="43">
        <v>2</v>
      </c>
      <c r="O55" s="260">
        <f t="shared" si="1"/>
        <v>0.35859414261160716</v>
      </c>
      <c r="P55" s="163" t="s">
        <v>111</v>
      </c>
      <c r="Q55" s="224">
        <v>2006</v>
      </c>
      <c r="R55" s="224">
        <v>2440</v>
      </c>
      <c r="S55" s="224" t="s">
        <v>95</v>
      </c>
      <c r="T55" s="224">
        <v>307</v>
      </c>
      <c r="U55" s="224">
        <v>341</v>
      </c>
      <c r="V55" s="224">
        <v>2406</v>
      </c>
      <c r="W55" s="224">
        <v>0.1241354204586822</v>
      </c>
      <c r="X55" s="224">
        <v>0.8758645795413178</v>
      </c>
      <c r="Y55" s="100" t="s">
        <v>126</v>
      </c>
      <c r="Z55" s="29">
        <v>1</v>
      </c>
      <c r="AA55" s="9">
        <v>1</v>
      </c>
      <c r="AB55" s="9">
        <v>1</v>
      </c>
      <c r="AC55" s="9">
        <v>2</v>
      </c>
      <c r="AD55" s="43">
        <v>2</v>
      </c>
      <c r="AE55" s="55">
        <v>0.35859414261160716</v>
      </c>
      <c r="AF55" s="52" t="s">
        <v>111</v>
      </c>
    </row>
    <row r="56" spans="1:32">
      <c r="A56" s="224">
        <v>1998</v>
      </c>
      <c r="B56" s="224">
        <v>98</v>
      </c>
      <c r="C56" s="224" t="s">
        <v>93</v>
      </c>
      <c r="D56" s="224">
        <v>16</v>
      </c>
      <c r="E56" s="224">
        <v>33</v>
      </c>
      <c r="F56" s="224">
        <v>81</v>
      </c>
      <c r="G56" s="224">
        <v>0.28947368421052633</v>
      </c>
      <c r="H56" s="224">
        <v>0.71052631578947367</v>
      </c>
      <c r="I56" s="304" t="s">
        <v>110</v>
      </c>
      <c r="J56" s="29">
        <v>1</v>
      </c>
      <c r="K56" s="9">
        <v>1</v>
      </c>
      <c r="L56" s="9">
        <v>1</v>
      </c>
      <c r="M56" s="9">
        <v>2</v>
      </c>
      <c r="N56" s="43">
        <v>2</v>
      </c>
      <c r="O56" s="260">
        <f t="shared" si="1"/>
        <v>0.35859414261160716</v>
      </c>
      <c r="P56" s="163" t="s">
        <v>111</v>
      </c>
      <c r="Q56" s="224">
        <v>2006</v>
      </c>
      <c r="R56" s="224">
        <v>3363</v>
      </c>
      <c r="S56" s="224" t="s">
        <v>93</v>
      </c>
      <c r="T56" s="224">
        <v>65</v>
      </c>
      <c r="U56" s="224">
        <v>369</v>
      </c>
      <c r="V56" s="224">
        <v>3059</v>
      </c>
      <c r="W56" s="224">
        <v>0.1076429404900817</v>
      </c>
      <c r="X56" s="224">
        <v>0.89235705950991828</v>
      </c>
      <c r="Y56" s="100" t="s">
        <v>126</v>
      </c>
      <c r="Z56" s="29">
        <v>1</v>
      </c>
      <c r="AA56" s="9">
        <v>1</v>
      </c>
      <c r="AB56" s="9">
        <v>1</v>
      </c>
      <c r="AC56" s="9">
        <v>2</v>
      </c>
      <c r="AD56" s="43">
        <v>2</v>
      </c>
      <c r="AE56" s="55">
        <v>0.35859414261160716</v>
      </c>
      <c r="AF56" s="52" t="s">
        <v>111</v>
      </c>
    </row>
    <row r="57" spans="1:32">
      <c r="A57" s="224">
        <v>1998</v>
      </c>
      <c r="B57" s="224">
        <v>1521</v>
      </c>
      <c r="C57" s="224" t="s">
        <v>98</v>
      </c>
      <c r="D57" s="224">
        <v>544</v>
      </c>
      <c r="E57" s="224">
        <v>2065</v>
      </c>
      <c r="F57" s="224">
        <v>0</v>
      </c>
      <c r="G57" s="224">
        <v>1</v>
      </c>
      <c r="H57" s="224">
        <v>0</v>
      </c>
      <c r="I57" s="304" t="s">
        <v>110</v>
      </c>
      <c r="J57" s="29">
        <v>1</v>
      </c>
      <c r="K57" s="9">
        <v>1</v>
      </c>
      <c r="L57" s="9">
        <v>1</v>
      </c>
      <c r="M57" s="9">
        <v>2</v>
      </c>
      <c r="N57" s="43">
        <v>2</v>
      </c>
      <c r="O57" s="260">
        <f t="shared" si="1"/>
        <v>0.35859414261160716</v>
      </c>
      <c r="P57" s="163" t="s">
        <v>111</v>
      </c>
      <c r="Q57" s="224">
        <v>2006</v>
      </c>
      <c r="R57" s="224">
        <v>16073</v>
      </c>
      <c r="S57" s="224" t="s">
        <v>98</v>
      </c>
      <c r="T57" s="224">
        <v>2561</v>
      </c>
      <c r="U57" s="224">
        <v>3795</v>
      </c>
      <c r="V57" s="224">
        <v>14839</v>
      </c>
      <c r="W57" s="224">
        <v>0.20365997638724909</v>
      </c>
      <c r="X57" s="224">
        <v>0.79634002361275091</v>
      </c>
      <c r="Y57" s="100" t="s">
        <v>126</v>
      </c>
      <c r="Z57" s="29">
        <v>1</v>
      </c>
      <c r="AA57" s="9">
        <v>1</v>
      </c>
      <c r="AB57" s="9">
        <v>1</v>
      </c>
      <c r="AC57" s="9">
        <v>2</v>
      </c>
      <c r="AD57" s="43">
        <v>2</v>
      </c>
      <c r="AE57" s="55">
        <v>0.35859414261160716</v>
      </c>
      <c r="AF57" s="52" t="s">
        <v>111</v>
      </c>
    </row>
    <row r="58" spans="1:32">
      <c r="A58" s="224">
        <v>1999</v>
      </c>
      <c r="B58" s="224">
        <v>1435</v>
      </c>
      <c r="C58" s="224" t="s">
        <v>85</v>
      </c>
      <c r="D58" s="224">
        <v>379</v>
      </c>
      <c r="E58" s="224">
        <v>1573</v>
      </c>
      <c r="F58" s="224">
        <v>241</v>
      </c>
      <c r="G58" s="224">
        <v>0.86714443219404636</v>
      </c>
      <c r="H58" s="224">
        <v>0.13285556780595359</v>
      </c>
      <c r="I58" s="304" t="s">
        <v>110</v>
      </c>
      <c r="J58" s="29">
        <v>1</v>
      </c>
      <c r="K58" s="9">
        <v>1</v>
      </c>
      <c r="L58" s="9">
        <v>1</v>
      </c>
      <c r="M58" s="9">
        <v>2</v>
      </c>
      <c r="N58" s="43">
        <v>2</v>
      </c>
      <c r="O58" s="260">
        <f t="shared" si="1"/>
        <v>0.35859414261160716</v>
      </c>
      <c r="P58" s="163" t="s">
        <v>111</v>
      </c>
      <c r="Q58" s="224">
        <v>2007</v>
      </c>
      <c r="R58" s="224">
        <v>15972</v>
      </c>
      <c r="S58" s="224" t="s">
        <v>85</v>
      </c>
      <c r="T58" s="224">
        <v>4175</v>
      </c>
      <c r="U58" s="224">
        <v>2969</v>
      </c>
      <c r="V58" s="224">
        <v>17178</v>
      </c>
      <c r="W58" s="224">
        <v>0.14736685362585</v>
      </c>
      <c r="X58" s="224">
        <v>0.85263314637415</v>
      </c>
      <c r="Y58" s="100" t="s">
        <v>126</v>
      </c>
      <c r="Z58" s="29">
        <v>1</v>
      </c>
      <c r="AA58" s="9">
        <v>1</v>
      </c>
      <c r="AB58" s="9">
        <v>1</v>
      </c>
      <c r="AC58" s="9">
        <v>2</v>
      </c>
      <c r="AD58" s="43">
        <v>2</v>
      </c>
      <c r="AE58" s="55">
        <v>0.35859414261160716</v>
      </c>
      <c r="AF58" s="52" t="s">
        <v>111</v>
      </c>
    </row>
    <row r="59" spans="1:32">
      <c r="A59" s="224">
        <v>1999</v>
      </c>
      <c r="B59" s="224">
        <v>290</v>
      </c>
      <c r="C59" s="224" t="s">
        <v>86</v>
      </c>
      <c r="D59" s="224">
        <v>170</v>
      </c>
      <c r="E59" s="224">
        <v>390</v>
      </c>
      <c r="F59" s="224">
        <v>70</v>
      </c>
      <c r="G59" s="224">
        <v>0.84782608695652173</v>
      </c>
      <c r="H59" s="224">
        <v>0.1521739130434783</v>
      </c>
      <c r="I59" s="304" t="s">
        <v>110</v>
      </c>
      <c r="J59" s="29">
        <v>1</v>
      </c>
      <c r="K59" s="9">
        <v>1</v>
      </c>
      <c r="L59" s="9">
        <v>1</v>
      </c>
      <c r="M59" s="9">
        <v>2</v>
      </c>
      <c r="N59" s="43">
        <v>2</v>
      </c>
      <c r="O59" s="260">
        <f t="shared" si="1"/>
        <v>0.35859414261160716</v>
      </c>
      <c r="P59" s="163" t="s">
        <v>111</v>
      </c>
      <c r="Q59" s="224">
        <v>2007</v>
      </c>
      <c r="R59" s="224">
        <v>6232</v>
      </c>
      <c r="S59" s="224" t="s">
        <v>86</v>
      </c>
      <c r="T59" s="224">
        <v>1552</v>
      </c>
      <c r="U59" s="224">
        <v>1402</v>
      </c>
      <c r="V59" s="224">
        <v>6382</v>
      </c>
      <c r="W59" s="224">
        <v>0.18011305241521069</v>
      </c>
      <c r="X59" s="224">
        <v>0.81988694758478931</v>
      </c>
      <c r="Y59" s="100" t="s">
        <v>126</v>
      </c>
      <c r="Z59" s="29">
        <v>1</v>
      </c>
      <c r="AA59" s="9">
        <v>1</v>
      </c>
      <c r="AB59" s="9">
        <v>1</v>
      </c>
      <c r="AC59" s="9">
        <v>2</v>
      </c>
      <c r="AD59" s="43">
        <v>2</v>
      </c>
      <c r="AE59" s="55">
        <v>0.35859414261160716</v>
      </c>
      <c r="AF59" s="52" t="s">
        <v>111</v>
      </c>
    </row>
    <row r="60" spans="1:32">
      <c r="A60" s="224">
        <v>1999</v>
      </c>
      <c r="B60" s="224">
        <v>852</v>
      </c>
      <c r="C60" s="224" t="s">
        <v>87</v>
      </c>
      <c r="D60" s="224">
        <v>180</v>
      </c>
      <c r="E60" s="224">
        <v>390</v>
      </c>
      <c r="F60" s="224">
        <v>642</v>
      </c>
      <c r="G60" s="224">
        <v>0.37790697674418611</v>
      </c>
      <c r="H60" s="224">
        <v>0.62209302325581395</v>
      </c>
      <c r="I60" s="304" t="s">
        <v>110</v>
      </c>
      <c r="J60" s="29">
        <v>1</v>
      </c>
      <c r="K60" s="9">
        <v>1</v>
      </c>
      <c r="L60" s="9">
        <v>1</v>
      </c>
      <c r="M60" s="9">
        <v>2</v>
      </c>
      <c r="N60" s="43">
        <v>2</v>
      </c>
      <c r="O60" s="260">
        <f t="shared" si="1"/>
        <v>0.35859414261160716</v>
      </c>
      <c r="P60" s="163" t="s">
        <v>111</v>
      </c>
      <c r="Q60" s="224">
        <v>2007</v>
      </c>
      <c r="R60" s="224">
        <v>11254</v>
      </c>
      <c r="S60" s="224" t="s">
        <v>87</v>
      </c>
      <c r="T60" s="224">
        <v>1332</v>
      </c>
      <c r="U60" s="224">
        <v>1039</v>
      </c>
      <c r="V60" s="224">
        <v>11547</v>
      </c>
      <c r="W60" s="224">
        <v>8.2552041951374541E-2</v>
      </c>
      <c r="X60" s="224">
        <v>0.91744795804862544</v>
      </c>
      <c r="Y60" s="100" t="s">
        <v>126</v>
      </c>
      <c r="Z60" s="29">
        <v>1</v>
      </c>
      <c r="AA60" s="9">
        <v>1</v>
      </c>
      <c r="AB60" s="9">
        <v>1</v>
      </c>
      <c r="AC60" s="9">
        <v>2</v>
      </c>
      <c r="AD60" s="43">
        <v>2</v>
      </c>
      <c r="AE60" s="55">
        <v>0.35859414261160716</v>
      </c>
      <c r="AF60" s="52" t="s">
        <v>111</v>
      </c>
    </row>
    <row r="61" spans="1:32">
      <c r="A61" s="224">
        <v>1999</v>
      </c>
      <c r="B61" s="224">
        <v>38</v>
      </c>
      <c r="C61" s="224" t="s">
        <v>88</v>
      </c>
      <c r="D61" s="224">
        <v>80</v>
      </c>
      <c r="E61" s="224">
        <v>118</v>
      </c>
      <c r="F61" s="224">
        <v>0</v>
      </c>
      <c r="G61" s="224">
        <v>1</v>
      </c>
      <c r="H61" s="224">
        <v>0</v>
      </c>
      <c r="I61" s="304" t="s">
        <v>110</v>
      </c>
      <c r="J61" s="29">
        <v>1</v>
      </c>
      <c r="K61" s="9">
        <v>1</v>
      </c>
      <c r="L61" s="9">
        <v>1</v>
      </c>
      <c r="M61" s="9">
        <v>2</v>
      </c>
      <c r="N61" s="43">
        <v>2</v>
      </c>
      <c r="O61" s="260">
        <f t="shared" si="1"/>
        <v>0.35859414261160716</v>
      </c>
      <c r="P61" s="163" t="s">
        <v>111</v>
      </c>
      <c r="Q61" s="224">
        <v>2007</v>
      </c>
      <c r="R61" s="224">
        <v>1934</v>
      </c>
      <c r="S61" s="224" t="s">
        <v>88</v>
      </c>
      <c r="T61" s="224">
        <v>125</v>
      </c>
      <c r="U61" s="224">
        <v>341</v>
      </c>
      <c r="V61" s="224">
        <v>1718</v>
      </c>
      <c r="W61" s="224">
        <v>0.16561437591063621</v>
      </c>
      <c r="X61" s="224">
        <v>0.83438562408936379</v>
      </c>
      <c r="Y61" s="100" t="s">
        <v>126</v>
      </c>
      <c r="Z61" s="29">
        <v>1</v>
      </c>
      <c r="AA61" s="9">
        <v>1</v>
      </c>
      <c r="AB61" s="9">
        <v>1</v>
      </c>
      <c r="AC61" s="9">
        <v>2</v>
      </c>
      <c r="AD61" s="43">
        <v>2</v>
      </c>
      <c r="AE61" s="55">
        <v>0.35859414261160716</v>
      </c>
      <c r="AF61" s="52" t="s">
        <v>111</v>
      </c>
    </row>
    <row r="62" spans="1:32">
      <c r="A62" s="224">
        <v>1999</v>
      </c>
      <c r="B62" s="224">
        <v>191</v>
      </c>
      <c r="C62" s="224" t="s">
        <v>89</v>
      </c>
      <c r="D62" s="224">
        <v>26</v>
      </c>
      <c r="E62" s="224">
        <v>102</v>
      </c>
      <c r="F62" s="224">
        <v>115</v>
      </c>
      <c r="G62" s="224">
        <v>0.47004608294930877</v>
      </c>
      <c r="H62" s="224">
        <v>0.52995391705069128</v>
      </c>
      <c r="I62" s="304" t="s">
        <v>110</v>
      </c>
      <c r="J62" s="29">
        <v>1</v>
      </c>
      <c r="K62" s="9">
        <v>1</v>
      </c>
      <c r="L62" s="9">
        <v>1</v>
      </c>
      <c r="M62" s="9">
        <v>2</v>
      </c>
      <c r="N62" s="43">
        <v>2</v>
      </c>
      <c r="O62" s="260">
        <f t="shared" si="1"/>
        <v>0.35859414261160716</v>
      </c>
      <c r="P62" s="163" t="s">
        <v>111</v>
      </c>
      <c r="Q62" s="224">
        <v>2007</v>
      </c>
      <c r="R62" s="224">
        <v>1527</v>
      </c>
      <c r="S62" s="224" t="s">
        <v>89</v>
      </c>
      <c r="T62" s="224">
        <v>45</v>
      </c>
      <c r="U62" s="224">
        <v>109</v>
      </c>
      <c r="V62" s="224">
        <v>1463</v>
      </c>
      <c r="W62" s="224">
        <v>6.9338422391857502E-2</v>
      </c>
      <c r="X62" s="224">
        <v>0.9306615776081425</v>
      </c>
      <c r="Y62" s="100" t="s">
        <v>126</v>
      </c>
      <c r="Z62" s="29">
        <v>1</v>
      </c>
      <c r="AA62" s="9">
        <v>1</v>
      </c>
      <c r="AB62" s="9">
        <v>1</v>
      </c>
      <c r="AC62" s="9">
        <v>2</v>
      </c>
      <c r="AD62" s="43">
        <v>2</v>
      </c>
      <c r="AE62" s="55">
        <v>0.35859414261160716</v>
      </c>
      <c r="AF62" s="52" t="s">
        <v>111</v>
      </c>
    </row>
    <row r="63" spans="1:32">
      <c r="A63" s="224">
        <v>1999</v>
      </c>
      <c r="B63" s="224">
        <v>610</v>
      </c>
      <c r="C63" s="224" t="s">
        <v>90</v>
      </c>
      <c r="D63" s="224">
        <v>245</v>
      </c>
      <c r="E63" s="224">
        <v>464</v>
      </c>
      <c r="F63" s="224">
        <v>391</v>
      </c>
      <c r="G63" s="224">
        <v>0.54269005847953211</v>
      </c>
      <c r="H63" s="224">
        <v>0.45730994152046789</v>
      </c>
      <c r="I63" s="304" t="s">
        <v>110</v>
      </c>
      <c r="J63" s="29">
        <v>1</v>
      </c>
      <c r="K63" s="9">
        <v>1</v>
      </c>
      <c r="L63" s="9">
        <v>1</v>
      </c>
      <c r="M63" s="9">
        <v>2</v>
      </c>
      <c r="N63" s="43">
        <v>2</v>
      </c>
      <c r="O63" s="260">
        <f t="shared" si="1"/>
        <v>0.35859414261160716</v>
      </c>
      <c r="P63" s="163" t="s">
        <v>111</v>
      </c>
      <c r="Q63" s="224">
        <v>2007</v>
      </c>
      <c r="R63" s="224">
        <v>6337</v>
      </c>
      <c r="S63" s="224" t="s">
        <v>90</v>
      </c>
      <c r="T63" s="224">
        <v>553</v>
      </c>
      <c r="U63" s="224">
        <v>1271</v>
      </c>
      <c r="V63" s="224">
        <v>5619</v>
      </c>
      <c r="W63" s="224">
        <v>0.18447024673439771</v>
      </c>
      <c r="X63" s="224">
        <v>0.81552975326560229</v>
      </c>
      <c r="Y63" s="100" t="s">
        <v>126</v>
      </c>
      <c r="Z63" s="29">
        <v>1</v>
      </c>
      <c r="AA63" s="9">
        <v>1</v>
      </c>
      <c r="AB63" s="9">
        <v>1</v>
      </c>
      <c r="AC63" s="9">
        <v>2</v>
      </c>
      <c r="AD63" s="43">
        <v>2</v>
      </c>
      <c r="AE63" s="55">
        <v>0.35859414261160716</v>
      </c>
      <c r="AF63" s="52" t="s">
        <v>111</v>
      </c>
    </row>
    <row r="64" spans="1:32">
      <c r="A64" s="224">
        <v>1999</v>
      </c>
      <c r="B64" s="224">
        <v>0</v>
      </c>
      <c r="C64" s="224" t="s">
        <v>91</v>
      </c>
      <c r="D64" s="224">
        <v>0</v>
      </c>
      <c r="E64" s="224">
        <v>0</v>
      </c>
      <c r="F64" s="224">
        <v>0</v>
      </c>
      <c r="G64" s="224"/>
      <c r="H64" s="224"/>
      <c r="I64" s="304" t="s">
        <v>110</v>
      </c>
      <c r="J64" s="29">
        <v>1</v>
      </c>
      <c r="K64" s="9">
        <v>1</v>
      </c>
      <c r="L64" s="9">
        <v>1</v>
      </c>
      <c r="M64" s="9">
        <v>2</v>
      </c>
      <c r="N64" s="43">
        <v>2</v>
      </c>
      <c r="O64" s="260">
        <f t="shared" si="1"/>
        <v>0.35859414261160716</v>
      </c>
      <c r="P64" s="163" t="s">
        <v>111</v>
      </c>
      <c r="Q64" s="224">
        <v>2007</v>
      </c>
      <c r="R64" s="224">
        <v>2864</v>
      </c>
      <c r="S64" s="224" t="s">
        <v>91</v>
      </c>
      <c r="T64" s="224">
        <v>1108</v>
      </c>
      <c r="U64" s="224">
        <v>324</v>
      </c>
      <c r="V64" s="224">
        <v>3648</v>
      </c>
      <c r="W64" s="224">
        <v>8.1570996978851965E-2</v>
      </c>
      <c r="X64" s="224">
        <v>0.91842900302114805</v>
      </c>
      <c r="Y64" s="100" t="s">
        <v>126</v>
      </c>
      <c r="Z64" s="29">
        <v>1</v>
      </c>
      <c r="AA64" s="9">
        <v>1</v>
      </c>
      <c r="AB64" s="9">
        <v>1</v>
      </c>
      <c r="AC64" s="9">
        <v>2</v>
      </c>
      <c r="AD64" s="43">
        <v>2</v>
      </c>
      <c r="AE64" s="55">
        <v>0.35859414261160716</v>
      </c>
      <c r="AF64" s="52" t="s">
        <v>111</v>
      </c>
    </row>
    <row r="65" spans="1:32">
      <c r="A65" s="224">
        <v>1999</v>
      </c>
      <c r="B65" s="224">
        <v>108</v>
      </c>
      <c r="C65" s="224" t="s">
        <v>94</v>
      </c>
      <c r="D65" s="224">
        <v>15</v>
      </c>
      <c r="E65" s="224">
        <v>123</v>
      </c>
      <c r="F65" s="224">
        <v>0</v>
      </c>
      <c r="G65" s="224">
        <v>1</v>
      </c>
      <c r="H65" s="224">
        <v>0</v>
      </c>
      <c r="I65" s="304" t="s">
        <v>110</v>
      </c>
      <c r="J65" s="29">
        <v>1</v>
      </c>
      <c r="K65" s="9">
        <v>1</v>
      </c>
      <c r="L65" s="9">
        <v>1</v>
      </c>
      <c r="M65" s="9">
        <v>2</v>
      </c>
      <c r="N65" s="43">
        <v>2</v>
      </c>
      <c r="O65" s="260">
        <f t="shared" si="1"/>
        <v>0.35859414261160716</v>
      </c>
      <c r="P65" s="163" t="s">
        <v>111</v>
      </c>
      <c r="Q65" s="224">
        <v>2007</v>
      </c>
      <c r="R65" s="224">
        <v>969</v>
      </c>
      <c r="S65" s="224" t="s">
        <v>94</v>
      </c>
      <c r="T65" s="224">
        <v>245</v>
      </c>
      <c r="U65" s="224">
        <v>167</v>
      </c>
      <c r="V65" s="224">
        <v>1047</v>
      </c>
      <c r="W65" s="224">
        <v>0.13756177924217461</v>
      </c>
      <c r="X65" s="224">
        <v>0.86243822075782539</v>
      </c>
      <c r="Y65" s="100" t="s">
        <v>126</v>
      </c>
      <c r="Z65" s="29">
        <v>1</v>
      </c>
      <c r="AA65" s="9">
        <v>1</v>
      </c>
      <c r="AB65" s="9">
        <v>1</v>
      </c>
      <c r="AC65" s="9">
        <v>2</v>
      </c>
      <c r="AD65" s="43">
        <v>2</v>
      </c>
      <c r="AE65" s="55">
        <v>0.35859414261160716</v>
      </c>
      <c r="AF65" s="52" t="s">
        <v>111</v>
      </c>
    </row>
    <row r="66" spans="1:32">
      <c r="A66" s="224">
        <v>1999</v>
      </c>
      <c r="B66" s="224">
        <v>337</v>
      </c>
      <c r="C66" s="224" t="s">
        <v>96</v>
      </c>
      <c r="D66" s="224">
        <v>39</v>
      </c>
      <c r="E66" s="224">
        <v>152</v>
      </c>
      <c r="F66" s="224">
        <v>224</v>
      </c>
      <c r="G66" s="224">
        <v>0.40425531914893609</v>
      </c>
      <c r="H66" s="224">
        <v>0.5957446808510638</v>
      </c>
      <c r="I66" s="304" t="s">
        <v>110</v>
      </c>
      <c r="J66" s="29">
        <v>1</v>
      </c>
      <c r="K66" s="9">
        <v>1</v>
      </c>
      <c r="L66" s="9">
        <v>1</v>
      </c>
      <c r="M66" s="9">
        <v>2</v>
      </c>
      <c r="N66" s="43">
        <v>2</v>
      </c>
      <c r="O66" s="260">
        <f t="shared" si="1"/>
        <v>0.35859414261160716</v>
      </c>
      <c r="P66" s="163" t="s">
        <v>111</v>
      </c>
      <c r="Q66" s="224">
        <v>2007</v>
      </c>
      <c r="R66" s="224">
        <v>1461</v>
      </c>
      <c r="S66" s="224" t="s">
        <v>96</v>
      </c>
      <c r="T66" s="224">
        <v>83</v>
      </c>
      <c r="U66" s="224">
        <v>288</v>
      </c>
      <c r="V66" s="224">
        <v>1256</v>
      </c>
      <c r="W66" s="224">
        <v>0.18652849740932639</v>
      </c>
      <c r="X66" s="224">
        <v>0.81347150259067358</v>
      </c>
      <c r="Y66" s="100" t="s">
        <v>126</v>
      </c>
      <c r="Z66" s="29">
        <v>1</v>
      </c>
      <c r="AA66" s="9">
        <v>1</v>
      </c>
      <c r="AB66" s="9">
        <v>1</v>
      </c>
      <c r="AC66" s="9">
        <v>2</v>
      </c>
      <c r="AD66" s="43">
        <v>2</v>
      </c>
      <c r="AE66" s="55">
        <v>0.35859414261160716</v>
      </c>
      <c r="AF66" s="52" t="s">
        <v>111</v>
      </c>
    </row>
    <row r="67" spans="1:32">
      <c r="A67" s="224">
        <v>1999</v>
      </c>
      <c r="B67" s="224">
        <v>233</v>
      </c>
      <c r="C67" s="224" t="s">
        <v>97</v>
      </c>
      <c r="D67" s="224">
        <v>117</v>
      </c>
      <c r="E67" s="224">
        <v>164</v>
      </c>
      <c r="F67" s="224">
        <v>186</v>
      </c>
      <c r="G67" s="224">
        <v>0.46857142857142858</v>
      </c>
      <c r="H67" s="224">
        <v>0.53142857142857136</v>
      </c>
      <c r="I67" s="304" t="s">
        <v>110</v>
      </c>
      <c r="J67" s="29">
        <v>1</v>
      </c>
      <c r="K67" s="9">
        <v>1</v>
      </c>
      <c r="L67" s="9">
        <v>1</v>
      </c>
      <c r="M67" s="9">
        <v>2</v>
      </c>
      <c r="N67" s="43">
        <v>2</v>
      </c>
      <c r="O67" s="260">
        <f t="shared" si="1"/>
        <v>0.35859414261160716</v>
      </c>
      <c r="P67" s="163" t="s">
        <v>111</v>
      </c>
      <c r="Q67" s="224">
        <v>2007</v>
      </c>
      <c r="R67" s="224">
        <v>3778</v>
      </c>
      <c r="S67" s="224" t="s">
        <v>97</v>
      </c>
      <c r="T67" s="224">
        <v>451</v>
      </c>
      <c r="U67" s="224">
        <v>791</v>
      </c>
      <c r="V67" s="224">
        <v>3438</v>
      </c>
      <c r="W67" s="224">
        <v>0.18704185386616221</v>
      </c>
      <c r="X67" s="224">
        <v>0.81295814613383777</v>
      </c>
      <c r="Y67" s="100" t="s">
        <v>126</v>
      </c>
      <c r="Z67" s="29">
        <v>1</v>
      </c>
      <c r="AA67" s="9">
        <v>1</v>
      </c>
      <c r="AB67" s="9">
        <v>1</v>
      </c>
      <c r="AC67" s="9">
        <v>2</v>
      </c>
      <c r="AD67" s="43">
        <v>2</v>
      </c>
      <c r="AE67" s="55">
        <v>0.35859414261160716</v>
      </c>
      <c r="AF67" s="52" t="s">
        <v>111</v>
      </c>
    </row>
    <row r="68" spans="1:32">
      <c r="A68" s="224">
        <v>1999</v>
      </c>
      <c r="B68" s="224">
        <v>200</v>
      </c>
      <c r="C68" s="224" t="s">
        <v>95</v>
      </c>
      <c r="D68" s="224">
        <v>58</v>
      </c>
      <c r="E68" s="224">
        <v>188</v>
      </c>
      <c r="F68" s="224">
        <v>70</v>
      </c>
      <c r="G68" s="224">
        <v>0.72868217054263562</v>
      </c>
      <c r="H68" s="224">
        <v>0.27131782945736438</v>
      </c>
      <c r="I68" s="304" t="s">
        <v>110</v>
      </c>
      <c r="J68" s="29">
        <v>1</v>
      </c>
      <c r="K68" s="9">
        <v>1</v>
      </c>
      <c r="L68" s="9">
        <v>1</v>
      </c>
      <c r="M68" s="9">
        <v>2</v>
      </c>
      <c r="N68" s="43">
        <v>2</v>
      </c>
      <c r="O68" s="260">
        <f t="shared" si="1"/>
        <v>0.35859414261160716</v>
      </c>
      <c r="P68" s="163" t="s">
        <v>111</v>
      </c>
      <c r="Q68" s="224">
        <v>2007</v>
      </c>
      <c r="R68" s="224">
        <v>2709</v>
      </c>
      <c r="S68" s="224" t="s">
        <v>95</v>
      </c>
      <c r="T68" s="224">
        <v>342</v>
      </c>
      <c r="U68" s="224">
        <v>342</v>
      </c>
      <c r="V68" s="224">
        <v>2709</v>
      </c>
      <c r="W68" s="224">
        <v>0.112094395280236</v>
      </c>
      <c r="X68" s="224">
        <v>0.88790560471976399</v>
      </c>
      <c r="Y68" s="100" t="s">
        <v>126</v>
      </c>
      <c r="Z68" s="29">
        <v>1</v>
      </c>
      <c r="AA68" s="9">
        <v>1</v>
      </c>
      <c r="AB68" s="9">
        <v>1</v>
      </c>
      <c r="AC68" s="9">
        <v>2</v>
      </c>
      <c r="AD68" s="43">
        <v>2</v>
      </c>
      <c r="AE68" s="55">
        <v>0.35859414261160716</v>
      </c>
      <c r="AF68" s="52" t="s">
        <v>111</v>
      </c>
    </row>
    <row r="69" spans="1:32">
      <c r="A69" s="224">
        <v>1999</v>
      </c>
      <c r="B69" s="224">
        <v>98</v>
      </c>
      <c r="C69" s="224" t="s">
        <v>93</v>
      </c>
      <c r="D69" s="224">
        <v>20</v>
      </c>
      <c r="E69" s="224">
        <v>36</v>
      </c>
      <c r="F69" s="224">
        <v>82</v>
      </c>
      <c r="G69" s="224">
        <v>0.30508474576271188</v>
      </c>
      <c r="H69" s="224">
        <v>0.69491525423728806</v>
      </c>
      <c r="I69" s="304" t="s">
        <v>110</v>
      </c>
      <c r="J69" s="29">
        <v>1</v>
      </c>
      <c r="K69" s="9">
        <v>1</v>
      </c>
      <c r="L69" s="9">
        <v>1</v>
      </c>
      <c r="M69" s="9">
        <v>2</v>
      </c>
      <c r="N69" s="43">
        <v>2</v>
      </c>
      <c r="O69" s="260">
        <f t="shared" si="1"/>
        <v>0.35859414261160716</v>
      </c>
      <c r="P69" s="163" t="s">
        <v>111</v>
      </c>
      <c r="Q69" s="224">
        <v>2007</v>
      </c>
      <c r="R69" s="224">
        <v>2550</v>
      </c>
      <c r="S69" s="224" t="s">
        <v>93</v>
      </c>
      <c r="T69" s="224">
        <v>76</v>
      </c>
      <c r="U69" s="224">
        <v>393</v>
      </c>
      <c r="V69" s="224">
        <v>2233</v>
      </c>
      <c r="W69" s="224">
        <v>0.14965727341964971</v>
      </c>
      <c r="X69" s="224">
        <v>0.85034272658035037</v>
      </c>
      <c r="Y69" s="100" t="s">
        <v>126</v>
      </c>
      <c r="Z69" s="29">
        <v>1</v>
      </c>
      <c r="AA69" s="9">
        <v>1</v>
      </c>
      <c r="AB69" s="9">
        <v>1</v>
      </c>
      <c r="AC69" s="9">
        <v>2</v>
      </c>
      <c r="AD69" s="43">
        <v>2</v>
      </c>
      <c r="AE69" s="55">
        <v>0.35859414261160716</v>
      </c>
      <c r="AF69" s="52" t="s">
        <v>111</v>
      </c>
    </row>
    <row r="70" spans="1:32">
      <c r="A70" s="224">
        <v>1999</v>
      </c>
      <c r="B70" s="224">
        <v>1633</v>
      </c>
      <c r="C70" s="224" t="s">
        <v>98</v>
      </c>
      <c r="D70" s="224">
        <v>511</v>
      </c>
      <c r="E70" s="224">
        <v>2144</v>
      </c>
      <c r="F70" s="224">
        <v>0</v>
      </c>
      <c r="G70" s="224">
        <v>1</v>
      </c>
      <c r="H70" s="224">
        <v>0</v>
      </c>
      <c r="I70" s="304" t="s">
        <v>110</v>
      </c>
      <c r="J70" s="29">
        <v>1</v>
      </c>
      <c r="K70" s="9">
        <v>1</v>
      </c>
      <c r="L70" s="9">
        <v>1</v>
      </c>
      <c r="M70" s="9">
        <v>2</v>
      </c>
      <c r="N70" s="43">
        <v>2</v>
      </c>
      <c r="O70" s="260">
        <f t="shared" si="1"/>
        <v>0.35859414261160716</v>
      </c>
      <c r="P70" s="163" t="s">
        <v>111</v>
      </c>
      <c r="Q70" s="224">
        <v>2007</v>
      </c>
      <c r="R70" s="224">
        <v>15706</v>
      </c>
      <c r="S70" s="224" t="s">
        <v>98</v>
      </c>
      <c r="T70" s="224">
        <v>2912</v>
      </c>
      <c r="U70" s="224">
        <v>4025</v>
      </c>
      <c r="V70" s="224">
        <v>14593</v>
      </c>
      <c r="W70" s="224">
        <v>0.21618863465463531</v>
      </c>
      <c r="X70" s="224">
        <v>0.78381136534536466</v>
      </c>
      <c r="Y70" s="100" t="s">
        <v>126</v>
      </c>
      <c r="Z70" s="29">
        <v>1</v>
      </c>
      <c r="AA70" s="9">
        <v>1</v>
      </c>
      <c r="AB70" s="9">
        <v>1</v>
      </c>
      <c r="AC70" s="9">
        <v>2</v>
      </c>
      <c r="AD70" s="43">
        <v>2</v>
      </c>
      <c r="AE70" s="55">
        <v>0.35859414261160716</v>
      </c>
      <c r="AF70" s="52" t="s">
        <v>111</v>
      </c>
    </row>
    <row r="71" spans="1:32">
      <c r="A71" s="224">
        <v>2000</v>
      </c>
      <c r="B71" s="224">
        <v>1435</v>
      </c>
      <c r="C71" s="224" t="s">
        <v>85</v>
      </c>
      <c r="D71" s="224">
        <v>388</v>
      </c>
      <c r="E71" s="224">
        <v>1012</v>
      </c>
      <c r="F71" s="224">
        <v>811</v>
      </c>
      <c r="G71" s="224">
        <v>0.55512890839275919</v>
      </c>
      <c r="H71" s="224">
        <v>0.44487109160724081</v>
      </c>
      <c r="I71" s="304" t="s">
        <v>110</v>
      </c>
      <c r="J71" s="29">
        <v>1</v>
      </c>
      <c r="K71" s="9">
        <v>1</v>
      </c>
      <c r="L71" s="9">
        <v>1</v>
      </c>
      <c r="M71" s="9">
        <v>2</v>
      </c>
      <c r="N71" s="43">
        <v>2</v>
      </c>
      <c r="O71" s="260">
        <f t="shared" ref="O71:O134" si="2">IF( OR( ISBLANK(J71),ISBLANK(K71), ISBLANK(L71), ISBLANK(M71), ISBLANK(N71) ), "", 1.5*SQRT(   EXP(2.21*(J71-1)) + EXP(2.21*(K71-1)) + EXP(2.21*(L71-1)) + EXP(2.21*(M71-1)) + EXP(2.21*N71)   )/100*2.45 )</f>
        <v>0.35859414261160716</v>
      </c>
      <c r="P71" s="163" t="s">
        <v>111</v>
      </c>
      <c r="Q71" s="224">
        <v>2008</v>
      </c>
      <c r="R71" s="224">
        <v>12855</v>
      </c>
      <c r="S71" s="224" t="s">
        <v>85</v>
      </c>
      <c r="T71" s="224">
        <v>3692</v>
      </c>
      <c r="U71" s="224">
        <v>2777</v>
      </c>
      <c r="V71" s="224">
        <v>13770</v>
      </c>
      <c r="W71" s="224">
        <v>0.1678249833806732</v>
      </c>
      <c r="X71" s="224">
        <v>0.8321750166193268</v>
      </c>
      <c r="Y71" s="100" t="s">
        <v>126</v>
      </c>
      <c r="Z71" s="29">
        <v>1</v>
      </c>
      <c r="AA71" s="9">
        <v>1</v>
      </c>
      <c r="AB71" s="9">
        <v>1</v>
      </c>
      <c r="AC71" s="9">
        <v>2</v>
      </c>
      <c r="AD71" s="43">
        <v>2</v>
      </c>
      <c r="AE71" s="55">
        <v>0.35859414261160716</v>
      </c>
      <c r="AF71" s="52" t="s">
        <v>111</v>
      </c>
    </row>
    <row r="72" spans="1:32">
      <c r="A72" s="224">
        <v>2000</v>
      </c>
      <c r="B72" s="224">
        <v>290</v>
      </c>
      <c r="C72" s="224" t="s">
        <v>86</v>
      </c>
      <c r="D72" s="224">
        <v>167</v>
      </c>
      <c r="E72" s="224">
        <v>278</v>
      </c>
      <c r="F72" s="224">
        <v>179</v>
      </c>
      <c r="G72" s="224">
        <v>0.60831509846827136</v>
      </c>
      <c r="H72" s="224">
        <v>0.39168490153172858</v>
      </c>
      <c r="I72" s="304" t="s">
        <v>110</v>
      </c>
      <c r="J72" s="29">
        <v>1</v>
      </c>
      <c r="K72" s="9">
        <v>1</v>
      </c>
      <c r="L72" s="9">
        <v>1</v>
      </c>
      <c r="M72" s="9">
        <v>2</v>
      </c>
      <c r="N72" s="43">
        <v>2</v>
      </c>
      <c r="O72" s="260">
        <f t="shared" si="2"/>
        <v>0.35859414261160716</v>
      </c>
      <c r="P72" s="163" t="s">
        <v>111</v>
      </c>
      <c r="Q72" s="224">
        <v>2008</v>
      </c>
      <c r="R72" s="224">
        <v>5693</v>
      </c>
      <c r="S72" s="224" t="s">
        <v>86</v>
      </c>
      <c r="T72" s="224">
        <v>1598</v>
      </c>
      <c r="U72" s="224">
        <v>1363</v>
      </c>
      <c r="V72" s="224">
        <v>5928</v>
      </c>
      <c r="W72" s="224">
        <v>0.18694280619942391</v>
      </c>
      <c r="X72" s="224">
        <v>0.81305719380057606</v>
      </c>
      <c r="Y72" s="100" t="s">
        <v>126</v>
      </c>
      <c r="Z72" s="29">
        <v>1</v>
      </c>
      <c r="AA72" s="9">
        <v>1</v>
      </c>
      <c r="AB72" s="9">
        <v>1</v>
      </c>
      <c r="AC72" s="9">
        <v>2</v>
      </c>
      <c r="AD72" s="43">
        <v>2</v>
      </c>
      <c r="AE72" s="55">
        <v>0.35859414261160716</v>
      </c>
      <c r="AF72" s="52" t="s">
        <v>111</v>
      </c>
    </row>
    <row r="73" spans="1:32">
      <c r="A73" s="224">
        <v>2000</v>
      </c>
      <c r="B73" s="224">
        <v>852</v>
      </c>
      <c r="C73" s="224" t="s">
        <v>87</v>
      </c>
      <c r="D73" s="224">
        <v>176</v>
      </c>
      <c r="E73" s="224">
        <v>396</v>
      </c>
      <c r="F73" s="224">
        <v>632</v>
      </c>
      <c r="G73" s="224">
        <v>0.38521400778210119</v>
      </c>
      <c r="H73" s="224">
        <v>0.61478599221789887</v>
      </c>
      <c r="I73" s="304" t="s">
        <v>110</v>
      </c>
      <c r="J73" s="29">
        <v>1</v>
      </c>
      <c r="K73" s="9">
        <v>1</v>
      </c>
      <c r="L73" s="9">
        <v>1</v>
      </c>
      <c r="M73" s="9">
        <v>2</v>
      </c>
      <c r="N73" s="43">
        <v>2</v>
      </c>
      <c r="O73" s="260">
        <f t="shared" si="2"/>
        <v>0.35859414261160716</v>
      </c>
      <c r="P73" s="163" t="s">
        <v>111</v>
      </c>
      <c r="Q73" s="224">
        <v>2008</v>
      </c>
      <c r="R73" s="224">
        <v>9960</v>
      </c>
      <c r="S73" s="224" t="s">
        <v>87</v>
      </c>
      <c r="T73" s="224">
        <v>1292</v>
      </c>
      <c r="U73" s="224">
        <v>1062</v>
      </c>
      <c r="V73" s="224">
        <v>10190</v>
      </c>
      <c r="W73" s="224">
        <v>9.4383220760753644E-2</v>
      </c>
      <c r="X73" s="224">
        <v>0.90561677923924633</v>
      </c>
      <c r="Y73" s="100" t="s">
        <v>126</v>
      </c>
      <c r="Z73" s="29">
        <v>1</v>
      </c>
      <c r="AA73" s="9">
        <v>1</v>
      </c>
      <c r="AB73" s="9">
        <v>1</v>
      </c>
      <c r="AC73" s="9">
        <v>2</v>
      </c>
      <c r="AD73" s="43">
        <v>2</v>
      </c>
      <c r="AE73" s="55">
        <v>0.35859414261160716</v>
      </c>
      <c r="AF73" s="52" t="s">
        <v>111</v>
      </c>
    </row>
    <row r="74" spans="1:32">
      <c r="A74" s="224">
        <v>2000</v>
      </c>
      <c r="B74" s="224">
        <v>18</v>
      </c>
      <c r="C74" s="224" t="s">
        <v>88</v>
      </c>
      <c r="D74" s="224">
        <v>76</v>
      </c>
      <c r="E74" s="224">
        <v>94</v>
      </c>
      <c r="F74" s="224">
        <v>0</v>
      </c>
      <c r="G74" s="224">
        <v>1</v>
      </c>
      <c r="H74" s="224">
        <v>0</v>
      </c>
      <c r="I74" s="304" t="s">
        <v>110</v>
      </c>
      <c r="J74" s="29">
        <v>1</v>
      </c>
      <c r="K74" s="9">
        <v>1</v>
      </c>
      <c r="L74" s="9">
        <v>1</v>
      </c>
      <c r="M74" s="9">
        <v>2</v>
      </c>
      <c r="N74" s="43">
        <v>2</v>
      </c>
      <c r="O74" s="260">
        <f t="shared" si="2"/>
        <v>0.35859414261160716</v>
      </c>
      <c r="P74" s="163" t="s">
        <v>111</v>
      </c>
      <c r="Q74" s="224">
        <v>2008</v>
      </c>
      <c r="R74" s="224">
        <v>1783</v>
      </c>
      <c r="S74" s="224" t="s">
        <v>88</v>
      </c>
      <c r="T74" s="224">
        <v>114</v>
      </c>
      <c r="U74" s="224">
        <v>282</v>
      </c>
      <c r="V74" s="224">
        <v>1615</v>
      </c>
      <c r="W74" s="224">
        <v>0.14865577227200841</v>
      </c>
      <c r="X74" s="224">
        <v>0.85134422772799156</v>
      </c>
      <c r="Y74" s="100" t="s">
        <v>126</v>
      </c>
      <c r="Z74" s="29">
        <v>1</v>
      </c>
      <c r="AA74" s="9">
        <v>1</v>
      </c>
      <c r="AB74" s="9">
        <v>1</v>
      </c>
      <c r="AC74" s="9">
        <v>2</v>
      </c>
      <c r="AD74" s="43">
        <v>2</v>
      </c>
      <c r="AE74" s="55">
        <v>0.35859414261160716</v>
      </c>
      <c r="AF74" s="52" t="s">
        <v>111</v>
      </c>
    </row>
    <row r="75" spans="1:32">
      <c r="A75" s="224">
        <v>2000</v>
      </c>
      <c r="B75" s="224">
        <v>191</v>
      </c>
      <c r="C75" s="224" t="s">
        <v>89</v>
      </c>
      <c r="D75" s="224">
        <v>17</v>
      </c>
      <c r="E75" s="224">
        <v>69</v>
      </c>
      <c r="F75" s="224">
        <v>139</v>
      </c>
      <c r="G75" s="224">
        <v>0.33173076923076922</v>
      </c>
      <c r="H75" s="224">
        <v>0.66826923076923084</v>
      </c>
      <c r="I75" s="304" t="s">
        <v>110</v>
      </c>
      <c r="J75" s="29">
        <v>1</v>
      </c>
      <c r="K75" s="9">
        <v>1</v>
      </c>
      <c r="L75" s="9">
        <v>1</v>
      </c>
      <c r="M75" s="9">
        <v>2</v>
      </c>
      <c r="N75" s="43">
        <v>2</v>
      </c>
      <c r="O75" s="260">
        <f t="shared" si="2"/>
        <v>0.35859414261160716</v>
      </c>
      <c r="P75" s="163" t="s">
        <v>111</v>
      </c>
      <c r="Q75" s="224">
        <v>2008</v>
      </c>
      <c r="R75" s="224">
        <v>1487</v>
      </c>
      <c r="S75" s="224" t="s">
        <v>89</v>
      </c>
      <c r="T75" s="224">
        <v>84</v>
      </c>
      <c r="U75" s="224">
        <v>105</v>
      </c>
      <c r="V75" s="224">
        <v>1466</v>
      </c>
      <c r="W75" s="224">
        <v>6.6836409929980897E-2</v>
      </c>
      <c r="X75" s="224">
        <v>0.93316359007001914</v>
      </c>
      <c r="Y75" s="100" t="s">
        <v>126</v>
      </c>
      <c r="Z75" s="29">
        <v>1</v>
      </c>
      <c r="AA75" s="9">
        <v>1</v>
      </c>
      <c r="AB75" s="9">
        <v>1</v>
      </c>
      <c r="AC75" s="9">
        <v>2</v>
      </c>
      <c r="AD75" s="43">
        <v>2</v>
      </c>
      <c r="AE75" s="55">
        <v>0.35859414261160716</v>
      </c>
      <c r="AF75" s="52" t="s">
        <v>111</v>
      </c>
    </row>
    <row r="76" spans="1:32">
      <c r="A76" s="224">
        <v>2000</v>
      </c>
      <c r="B76" s="224">
        <v>610</v>
      </c>
      <c r="C76" s="224" t="s">
        <v>90</v>
      </c>
      <c r="D76" s="224">
        <v>204</v>
      </c>
      <c r="E76" s="224">
        <v>472</v>
      </c>
      <c r="F76" s="224">
        <v>342</v>
      </c>
      <c r="G76" s="224">
        <v>0.57985257985257987</v>
      </c>
      <c r="H76" s="224">
        <v>0.42014742014742013</v>
      </c>
      <c r="I76" s="304" t="s">
        <v>110</v>
      </c>
      <c r="J76" s="29">
        <v>1</v>
      </c>
      <c r="K76" s="9">
        <v>1</v>
      </c>
      <c r="L76" s="9">
        <v>1</v>
      </c>
      <c r="M76" s="9">
        <v>2</v>
      </c>
      <c r="N76" s="43">
        <v>2</v>
      </c>
      <c r="O76" s="260">
        <f t="shared" si="2"/>
        <v>0.35859414261160716</v>
      </c>
      <c r="P76" s="163" t="s">
        <v>111</v>
      </c>
      <c r="Q76" s="224">
        <v>2008</v>
      </c>
      <c r="R76" s="224">
        <v>5913</v>
      </c>
      <c r="S76" s="224" t="s">
        <v>90</v>
      </c>
      <c r="T76" s="224">
        <v>669</v>
      </c>
      <c r="U76" s="224">
        <v>1369</v>
      </c>
      <c r="V76" s="224">
        <v>5213</v>
      </c>
      <c r="W76" s="224">
        <v>0.20799149194773631</v>
      </c>
      <c r="X76" s="224">
        <v>0.79200850805226375</v>
      </c>
      <c r="Y76" s="100" t="s">
        <v>126</v>
      </c>
      <c r="Z76" s="29">
        <v>1</v>
      </c>
      <c r="AA76" s="9">
        <v>1</v>
      </c>
      <c r="AB76" s="9">
        <v>1</v>
      </c>
      <c r="AC76" s="9">
        <v>2</v>
      </c>
      <c r="AD76" s="43">
        <v>2</v>
      </c>
      <c r="AE76" s="55">
        <v>0.35859414261160716</v>
      </c>
      <c r="AF76" s="52" t="s">
        <v>111</v>
      </c>
    </row>
    <row r="77" spans="1:32">
      <c r="A77" s="224">
        <v>2000</v>
      </c>
      <c r="B77" s="224">
        <v>149</v>
      </c>
      <c r="C77" s="224" t="s">
        <v>91</v>
      </c>
      <c r="D77" s="224">
        <v>115</v>
      </c>
      <c r="E77" s="224">
        <v>264</v>
      </c>
      <c r="F77" s="224">
        <v>0</v>
      </c>
      <c r="G77" s="224">
        <v>1</v>
      </c>
      <c r="H77" s="224">
        <v>0</v>
      </c>
      <c r="I77" s="304" t="s">
        <v>110</v>
      </c>
      <c r="J77" s="29">
        <v>1</v>
      </c>
      <c r="K77" s="9">
        <v>1</v>
      </c>
      <c r="L77" s="9">
        <v>1</v>
      </c>
      <c r="M77" s="9">
        <v>2</v>
      </c>
      <c r="N77" s="43">
        <v>2</v>
      </c>
      <c r="O77" s="260">
        <f t="shared" si="2"/>
        <v>0.35859414261160716</v>
      </c>
      <c r="P77" s="163" t="s">
        <v>111</v>
      </c>
      <c r="Q77" s="224">
        <v>2008</v>
      </c>
      <c r="R77" s="224">
        <v>3018</v>
      </c>
      <c r="S77" s="224" t="s">
        <v>91</v>
      </c>
      <c r="T77" s="224">
        <v>1161</v>
      </c>
      <c r="U77" s="224">
        <v>292</v>
      </c>
      <c r="V77" s="224">
        <v>3887</v>
      </c>
      <c r="W77" s="224">
        <v>6.9873175400813586E-2</v>
      </c>
      <c r="X77" s="224">
        <v>0.93012682459918639</v>
      </c>
      <c r="Y77" s="100" t="s">
        <v>126</v>
      </c>
      <c r="Z77" s="29">
        <v>1</v>
      </c>
      <c r="AA77" s="9">
        <v>1</v>
      </c>
      <c r="AB77" s="9">
        <v>1</v>
      </c>
      <c r="AC77" s="9">
        <v>2</v>
      </c>
      <c r="AD77" s="43">
        <v>2</v>
      </c>
      <c r="AE77" s="55">
        <v>0.35859414261160716</v>
      </c>
      <c r="AF77" s="52" t="s">
        <v>111</v>
      </c>
    </row>
    <row r="78" spans="1:32">
      <c r="A78" s="224">
        <v>2000</v>
      </c>
      <c r="B78" s="224">
        <v>109</v>
      </c>
      <c r="C78" s="224" t="s">
        <v>94</v>
      </c>
      <c r="D78" s="224">
        <v>16</v>
      </c>
      <c r="E78" s="224">
        <v>125</v>
      </c>
      <c r="F78" s="224">
        <v>0</v>
      </c>
      <c r="G78" s="224">
        <v>1</v>
      </c>
      <c r="H78" s="224">
        <v>0</v>
      </c>
      <c r="I78" s="304" t="s">
        <v>110</v>
      </c>
      <c r="J78" s="29">
        <v>1</v>
      </c>
      <c r="K78" s="9">
        <v>1</v>
      </c>
      <c r="L78" s="9">
        <v>1</v>
      </c>
      <c r="M78" s="9">
        <v>2</v>
      </c>
      <c r="N78" s="43">
        <v>2</v>
      </c>
      <c r="O78" s="260">
        <f t="shared" si="2"/>
        <v>0.35859414261160716</v>
      </c>
      <c r="P78" s="163" t="s">
        <v>111</v>
      </c>
      <c r="Q78" s="224">
        <v>2008</v>
      </c>
      <c r="R78" s="224">
        <v>860</v>
      </c>
      <c r="S78" s="224" t="s">
        <v>94</v>
      </c>
      <c r="T78" s="224">
        <v>257</v>
      </c>
      <c r="U78" s="224">
        <v>148</v>
      </c>
      <c r="V78" s="224">
        <v>969</v>
      </c>
      <c r="W78" s="224">
        <v>0.13249776186213069</v>
      </c>
      <c r="X78" s="224">
        <v>0.86750223813786931</v>
      </c>
      <c r="Y78" s="100" t="s">
        <v>126</v>
      </c>
      <c r="Z78" s="29">
        <v>1</v>
      </c>
      <c r="AA78" s="9">
        <v>1</v>
      </c>
      <c r="AB78" s="9">
        <v>1</v>
      </c>
      <c r="AC78" s="9">
        <v>2</v>
      </c>
      <c r="AD78" s="43">
        <v>2</v>
      </c>
      <c r="AE78" s="55">
        <v>0.35859414261160716</v>
      </c>
      <c r="AF78" s="52" t="s">
        <v>111</v>
      </c>
    </row>
    <row r="79" spans="1:32">
      <c r="A79" s="224">
        <v>2000</v>
      </c>
      <c r="B79" s="224">
        <v>337</v>
      </c>
      <c r="C79" s="224" t="s">
        <v>96</v>
      </c>
      <c r="D79" s="224">
        <v>49</v>
      </c>
      <c r="E79" s="224">
        <v>186</v>
      </c>
      <c r="F79" s="224">
        <v>200</v>
      </c>
      <c r="G79" s="224">
        <v>0.48186528497409331</v>
      </c>
      <c r="H79" s="224">
        <v>0.5181347150259068</v>
      </c>
      <c r="I79" s="304" t="s">
        <v>110</v>
      </c>
      <c r="J79" s="29">
        <v>1</v>
      </c>
      <c r="K79" s="9">
        <v>1</v>
      </c>
      <c r="L79" s="9">
        <v>1</v>
      </c>
      <c r="M79" s="9">
        <v>2</v>
      </c>
      <c r="N79" s="43">
        <v>2</v>
      </c>
      <c r="O79" s="260">
        <f t="shared" si="2"/>
        <v>0.35859414261160716</v>
      </c>
      <c r="P79" s="163" t="s">
        <v>111</v>
      </c>
      <c r="Q79" s="224">
        <v>2008</v>
      </c>
      <c r="R79" s="224">
        <v>1425</v>
      </c>
      <c r="S79" s="224" t="s">
        <v>96</v>
      </c>
      <c r="T79" s="224">
        <v>86</v>
      </c>
      <c r="U79" s="224">
        <v>275</v>
      </c>
      <c r="V79" s="224">
        <v>1236</v>
      </c>
      <c r="W79" s="224">
        <v>0.18199867637326281</v>
      </c>
      <c r="X79" s="224">
        <v>0.81800132362673728</v>
      </c>
      <c r="Y79" s="100" t="s">
        <v>126</v>
      </c>
      <c r="Z79" s="29">
        <v>1</v>
      </c>
      <c r="AA79" s="9">
        <v>1</v>
      </c>
      <c r="AB79" s="9">
        <v>1</v>
      </c>
      <c r="AC79" s="9">
        <v>2</v>
      </c>
      <c r="AD79" s="43">
        <v>2</v>
      </c>
      <c r="AE79" s="55">
        <v>0.35859414261160716</v>
      </c>
      <c r="AF79" s="52" t="s">
        <v>111</v>
      </c>
    </row>
    <row r="80" spans="1:32">
      <c r="A80" s="224">
        <v>2000</v>
      </c>
      <c r="B80" s="224">
        <v>233</v>
      </c>
      <c r="C80" s="224" t="s">
        <v>97</v>
      </c>
      <c r="D80" s="224">
        <v>116</v>
      </c>
      <c r="E80" s="224">
        <v>183</v>
      </c>
      <c r="F80" s="224">
        <v>166</v>
      </c>
      <c r="G80" s="224">
        <v>0.52435530085959881</v>
      </c>
      <c r="H80" s="224">
        <v>0.47564469914040119</v>
      </c>
      <c r="I80" s="304" t="s">
        <v>110</v>
      </c>
      <c r="J80" s="29">
        <v>1</v>
      </c>
      <c r="K80" s="9">
        <v>1</v>
      </c>
      <c r="L80" s="9">
        <v>1</v>
      </c>
      <c r="M80" s="9">
        <v>2</v>
      </c>
      <c r="N80" s="43">
        <v>2</v>
      </c>
      <c r="O80" s="260">
        <f t="shared" si="2"/>
        <v>0.35859414261160716</v>
      </c>
      <c r="P80" s="163" t="s">
        <v>111</v>
      </c>
      <c r="Q80" s="224">
        <v>2008</v>
      </c>
      <c r="R80" s="224">
        <v>4175</v>
      </c>
      <c r="S80" s="224" t="s">
        <v>97</v>
      </c>
      <c r="T80" s="224">
        <v>444</v>
      </c>
      <c r="U80" s="224">
        <v>786</v>
      </c>
      <c r="V80" s="224">
        <v>3833</v>
      </c>
      <c r="W80" s="224">
        <v>0.1701667027495129</v>
      </c>
      <c r="X80" s="224">
        <v>0.82983329725048716</v>
      </c>
      <c r="Y80" s="100" t="s">
        <v>126</v>
      </c>
      <c r="Z80" s="29">
        <v>1</v>
      </c>
      <c r="AA80" s="9">
        <v>1</v>
      </c>
      <c r="AB80" s="9">
        <v>1</v>
      </c>
      <c r="AC80" s="9">
        <v>2</v>
      </c>
      <c r="AD80" s="43">
        <v>2</v>
      </c>
      <c r="AE80" s="55">
        <v>0.35859414261160716</v>
      </c>
      <c r="AF80" s="52" t="s">
        <v>111</v>
      </c>
    </row>
    <row r="81" spans="1:32">
      <c r="A81" s="224">
        <v>2000</v>
      </c>
      <c r="B81" s="224">
        <v>200</v>
      </c>
      <c r="C81" s="224" t="s">
        <v>95</v>
      </c>
      <c r="D81" s="224">
        <v>57</v>
      </c>
      <c r="E81" s="224">
        <v>195</v>
      </c>
      <c r="F81" s="224">
        <v>62</v>
      </c>
      <c r="G81" s="224">
        <v>0.75875486381322954</v>
      </c>
      <c r="H81" s="224">
        <v>0.24124513618677049</v>
      </c>
      <c r="I81" s="304" t="s">
        <v>110</v>
      </c>
      <c r="J81" s="29">
        <v>1</v>
      </c>
      <c r="K81" s="9">
        <v>1</v>
      </c>
      <c r="L81" s="9">
        <v>1</v>
      </c>
      <c r="M81" s="9">
        <v>2</v>
      </c>
      <c r="N81" s="43">
        <v>2</v>
      </c>
      <c r="O81" s="260">
        <f t="shared" si="2"/>
        <v>0.35859414261160716</v>
      </c>
      <c r="P81" s="163" t="s">
        <v>111</v>
      </c>
      <c r="Q81" s="224">
        <v>2008</v>
      </c>
      <c r="R81" s="224">
        <v>2497</v>
      </c>
      <c r="S81" s="224" t="s">
        <v>95</v>
      </c>
      <c r="T81" s="224">
        <v>361</v>
      </c>
      <c r="U81" s="224">
        <v>304</v>
      </c>
      <c r="V81" s="224">
        <v>2554</v>
      </c>
      <c r="W81" s="224">
        <v>0.1063680895731281</v>
      </c>
      <c r="X81" s="224">
        <v>0.89363191042687196</v>
      </c>
      <c r="Y81" s="100" t="s">
        <v>126</v>
      </c>
      <c r="Z81" s="29">
        <v>1</v>
      </c>
      <c r="AA81" s="9">
        <v>1</v>
      </c>
      <c r="AB81" s="9">
        <v>1</v>
      </c>
      <c r="AC81" s="9">
        <v>2</v>
      </c>
      <c r="AD81" s="43">
        <v>2</v>
      </c>
      <c r="AE81" s="55">
        <v>0.35859414261160716</v>
      </c>
      <c r="AF81" s="52" t="s">
        <v>111</v>
      </c>
    </row>
    <row r="82" spans="1:32">
      <c r="A82" s="224">
        <v>2000</v>
      </c>
      <c r="B82" s="224">
        <v>98</v>
      </c>
      <c r="C82" s="224" t="s">
        <v>93</v>
      </c>
      <c r="D82" s="224">
        <v>26</v>
      </c>
      <c r="E82" s="224">
        <v>38</v>
      </c>
      <c r="F82" s="224">
        <v>86</v>
      </c>
      <c r="G82" s="224">
        <v>0.30645161290322581</v>
      </c>
      <c r="H82" s="224">
        <v>0.69354838709677424</v>
      </c>
      <c r="I82" s="304" t="s">
        <v>110</v>
      </c>
      <c r="J82" s="29">
        <v>1</v>
      </c>
      <c r="K82" s="9">
        <v>1</v>
      </c>
      <c r="L82" s="9">
        <v>1</v>
      </c>
      <c r="M82" s="9">
        <v>2</v>
      </c>
      <c r="N82" s="43">
        <v>2</v>
      </c>
      <c r="O82" s="260">
        <f t="shared" si="2"/>
        <v>0.35859414261160716</v>
      </c>
      <c r="P82" s="163" t="s">
        <v>111</v>
      </c>
      <c r="Q82" s="224">
        <v>2008</v>
      </c>
      <c r="R82" s="224">
        <v>2860</v>
      </c>
      <c r="S82" s="224" t="s">
        <v>93</v>
      </c>
      <c r="T82" s="224">
        <v>80</v>
      </c>
      <c r="U82" s="224">
        <v>399</v>
      </c>
      <c r="V82" s="224">
        <v>2541</v>
      </c>
      <c r="W82" s="224">
        <v>0.1357142857142857</v>
      </c>
      <c r="X82" s="224">
        <v>0.86428571428571432</v>
      </c>
      <c r="Y82" s="100" t="s">
        <v>126</v>
      </c>
      <c r="Z82" s="29">
        <v>1</v>
      </c>
      <c r="AA82" s="9">
        <v>1</v>
      </c>
      <c r="AB82" s="9">
        <v>1</v>
      </c>
      <c r="AC82" s="9">
        <v>2</v>
      </c>
      <c r="AD82" s="43">
        <v>2</v>
      </c>
      <c r="AE82" s="55">
        <v>0.35859414261160716</v>
      </c>
      <c r="AF82" s="52" t="s">
        <v>111</v>
      </c>
    </row>
    <row r="83" spans="1:32">
      <c r="A83" s="224">
        <v>2000</v>
      </c>
      <c r="B83" s="224">
        <v>1381</v>
      </c>
      <c r="C83" s="224" t="s">
        <v>98</v>
      </c>
      <c r="D83" s="224">
        <v>546</v>
      </c>
      <c r="E83" s="224">
        <v>1927</v>
      </c>
      <c r="F83" s="224">
        <v>0</v>
      </c>
      <c r="G83" s="224">
        <v>1</v>
      </c>
      <c r="H83" s="224">
        <v>0</v>
      </c>
      <c r="I83" s="304" t="s">
        <v>110</v>
      </c>
      <c r="J83" s="29">
        <v>1</v>
      </c>
      <c r="K83" s="9">
        <v>1</v>
      </c>
      <c r="L83" s="9">
        <v>1</v>
      </c>
      <c r="M83" s="9">
        <v>2</v>
      </c>
      <c r="N83" s="43">
        <v>2</v>
      </c>
      <c r="O83" s="260">
        <f t="shared" si="2"/>
        <v>0.35859414261160716</v>
      </c>
      <c r="P83" s="163" t="s">
        <v>111</v>
      </c>
      <c r="Q83" s="224">
        <v>2008</v>
      </c>
      <c r="R83" s="224">
        <v>15108</v>
      </c>
      <c r="S83" s="224" t="s">
        <v>98</v>
      </c>
      <c r="T83" s="224">
        <v>3399</v>
      </c>
      <c r="U83" s="224">
        <v>3914</v>
      </c>
      <c r="V83" s="224">
        <v>14593</v>
      </c>
      <c r="W83" s="224">
        <v>0.21148754525314739</v>
      </c>
      <c r="X83" s="224">
        <v>0.7885124547468525</v>
      </c>
      <c r="Y83" s="100" t="s">
        <v>126</v>
      </c>
      <c r="Z83" s="29">
        <v>1</v>
      </c>
      <c r="AA83" s="9">
        <v>1</v>
      </c>
      <c r="AB83" s="9">
        <v>1</v>
      </c>
      <c r="AC83" s="9">
        <v>2</v>
      </c>
      <c r="AD83" s="43">
        <v>2</v>
      </c>
      <c r="AE83" s="55">
        <v>0.35859414261160716</v>
      </c>
      <c r="AF83" s="52" t="s">
        <v>111</v>
      </c>
    </row>
    <row r="84" spans="1:32">
      <c r="A84" s="224">
        <v>2001</v>
      </c>
      <c r="B84" s="224">
        <v>1435</v>
      </c>
      <c r="C84" s="224" t="s">
        <v>85</v>
      </c>
      <c r="D84" s="224">
        <v>404</v>
      </c>
      <c r="E84" s="224">
        <v>1563</v>
      </c>
      <c r="F84" s="224">
        <v>276</v>
      </c>
      <c r="G84" s="224">
        <v>0.84991843393148447</v>
      </c>
      <c r="H84" s="224">
        <v>0.1500815660685155</v>
      </c>
      <c r="I84" s="304" t="s">
        <v>110</v>
      </c>
      <c r="J84" s="29">
        <v>1</v>
      </c>
      <c r="K84" s="9">
        <v>1</v>
      </c>
      <c r="L84" s="9">
        <v>1</v>
      </c>
      <c r="M84" s="9">
        <v>2</v>
      </c>
      <c r="N84" s="43">
        <v>2</v>
      </c>
      <c r="O84" s="260">
        <f t="shared" si="2"/>
        <v>0.35859414261160716</v>
      </c>
      <c r="P84" s="163" t="s">
        <v>111</v>
      </c>
      <c r="Q84" s="224">
        <v>2009</v>
      </c>
      <c r="R84" s="224">
        <v>11289</v>
      </c>
      <c r="S84" s="224" t="s">
        <v>85</v>
      </c>
      <c r="T84" s="224">
        <v>3276</v>
      </c>
      <c r="U84" s="224">
        <v>3152</v>
      </c>
      <c r="V84" s="224">
        <v>11413</v>
      </c>
      <c r="W84" s="224">
        <v>0.21640920013731549</v>
      </c>
      <c r="X84" s="224">
        <v>0.78359079986268454</v>
      </c>
      <c r="Y84" s="100" t="s">
        <v>126</v>
      </c>
      <c r="Z84" s="29">
        <v>1</v>
      </c>
      <c r="AA84" s="9">
        <v>1</v>
      </c>
      <c r="AB84" s="9">
        <v>1</v>
      </c>
      <c r="AC84" s="9">
        <v>2</v>
      </c>
      <c r="AD84" s="43">
        <v>2</v>
      </c>
      <c r="AE84" s="55">
        <v>0.35859414261160716</v>
      </c>
      <c r="AF84" s="52" t="s">
        <v>111</v>
      </c>
    </row>
    <row r="85" spans="1:32">
      <c r="A85" s="224">
        <v>2001</v>
      </c>
      <c r="B85" s="224">
        <v>290</v>
      </c>
      <c r="C85" s="224" t="s">
        <v>86</v>
      </c>
      <c r="D85" s="224">
        <v>135</v>
      </c>
      <c r="E85" s="224">
        <v>351</v>
      </c>
      <c r="F85" s="224">
        <v>74</v>
      </c>
      <c r="G85" s="224">
        <v>0.82588235294117651</v>
      </c>
      <c r="H85" s="224">
        <v>0.17411764705882349</v>
      </c>
      <c r="I85" s="304" t="s">
        <v>110</v>
      </c>
      <c r="J85" s="29">
        <v>1</v>
      </c>
      <c r="K85" s="9">
        <v>1</v>
      </c>
      <c r="L85" s="9">
        <v>1</v>
      </c>
      <c r="M85" s="9">
        <v>2</v>
      </c>
      <c r="N85" s="43">
        <v>2</v>
      </c>
      <c r="O85" s="260">
        <f t="shared" si="2"/>
        <v>0.35859414261160716</v>
      </c>
      <c r="P85" s="163" t="s">
        <v>111</v>
      </c>
      <c r="Q85" s="224">
        <v>2009</v>
      </c>
      <c r="R85" s="224">
        <v>5551</v>
      </c>
      <c r="S85" s="224" t="s">
        <v>86</v>
      </c>
      <c r="T85" s="224">
        <v>1953</v>
      </c>
      <c r="U85" s="224">
        <v>1625</v>
      </c>
      <c r="V85" s="224">
        <v>5879</v>
      </c>
      <c r="W85" s="224">
        <v>0.21655117270788909</v>
      </c>
      <c r="X85" s="224">
        <v>0.78344882729211085</v>
      </c>
      <c r="Y85" s="100" t="s">
        <v>126</v>
      </c>
      <c r="Z85" s="29">
        <v>1</v>
      </c>
      <c r="AA85" s="9">
        <v>1</v>
      </c>
      <c r="AB85" s="9">
        <v>1</v>
      </c>
      <c r="AC85" s="9">
        <v>2</v>
      </c>
      <c r="AD85" s="43">
        <v>2</v>
      </c>
      <c r="AE85" s="55">
        <v>0.35859414261160716</v>
      </c>
      <c r="AF85" s="52" t="s">
        <v>111</v>
      </c>
    </row>
    <row r="86" spans="1:32">
      <c r="A86" s="224">
        <v>2001</v>
      </c>
      <c r="B86" s="224">
        <v>852</v>
      </c>
      <c r="C86" s="224" t="s">
        <v>87</v>
      </c>
      <c r="D86" s="224">
        <v>169</v>
      </c>
      <c r="E86" s="224">
        <v>307</v>
      </c>
      <c r="F86" s="224">
        <v>714</v>
      </c>
      <c r="G86" s="224">
        <v>0.30068560235063663</v>
      </c>
      <c r="H86" s="224">
        <v>0.69931439764936343</v>
      </c>
      <c r="I86" s="304" t="s">
        <v>110</v>
      </c>
      <c r="J86" s="29">
        <v>1</v>
      </c>
      <c r="K86" s="9">
        <v>1</v>
      </c>
      <c r="L86" s="9">
        <v>1</v>
      </c>
      <c r="M86" s="9">
        <v>2</v>
      </c>
      <c r="N86" s="43">
        <v>2</v>
      </c>
      <c r="O86" s="260">
        <f t="shared" si="2"/>
        <v>0.35859414261160716</v>
      </c>
      <c r="P86" s="163" t="s">
        <v>111</v>
      </c>
      <c r="Q86" s="224">
        <v>2009</v>
      </c>
      <c r="R86" s="224">
        <v>9674</v>
      </c>
      <c r="S86" s="224" t="s">
        <v>87</v>
      </c>
      <c r="T86" s="224">
        <v>1367</v>
      </c>
      <c r="U86" s="224">
        <v>1369</v>
      </c>
      <c r="V86" s="224">
        <v>9672</v>
      </c>
      <c r="W86" s="224">
        <v>0.12399239199347881</v>
      </c>
      <c r="X86" s="224">
        <v>0.87600760800652111</v>
      </c>
      <c r="Y86" s="100" t="s">
        <v>126</v>
      </c>
      <c r="Z86" s="29">
        <v>1</v>
      </c>
      <c r="AA86" s="9">
        <v>1</v>
      </c>
      <c r="AB86" s="9">
        <v>1</v>
      </c>
      <c r="AC86" s="9">
        <v>2</v>
      </c>
      <c r="AD86" s="43">
        <v>2</v>
      </c>
      <c r="AE86" s="55">
        <v>0.35859414261160716</v>
      </c>
      <c r="AF86" s="52" t="s">
        <v>111</v>
      </c>
    </row>
    <row r="87" spans="1:32">
      <c r="A87" s="224">
        <v>2001</v>
      </c>
      <c r="B87" s="224">
        <v>4</v>
      </c>
      <c r="C87" s="224" t="s">
        <v>88</v>
      </c>
      <c r="D87" s="224">
        <v>75</v>
      </c>
      <c r="E87" s="224">
        <v>36</v>
      </c>
      <c r="F87" s="224">
        <v>43</v>
      </c>
      <c r="G87" s="224">
        <v>0.45569620253164561</v>
      </c>
      <c r="H87" s="224">
        <v>0.54430379746835444</v>
      </c>
      <c r="I87" s="304" t="s">
        <v>110</v>
      </c>
      <c r="J87" s="29">
        <v>1</v>
      </c>
      <c r="K87" s="9">
        <v>1</v>
      </c>
      <c r="L87" s="9">
        <v>1</v>
      </c>
      <c r="M87" s="9">
        <v>2</v>
      </c>
      <c r="N87" s="43">
        <v>2</v>
      </c>
      <c r="O87" s="260">
        <f t="shared" si="2"/>
        <v>0.35859414261160716</v>
      </c>
      <c r="P87" s="163" t="s">
        <v>111</v>
      </c>
      <c r="Q87" s="224">
        <v>2009</v>
      </c>
      <c r="R87" s="224">
        <v>1738</v>
      </c>
      <c r="S87" s="224" t="s">
        <v>88</v>
      </c>
      <c r="T87" s="224">
        <v>199</v>
      </c>
      <c r="U87" s="224">
        <v>332</v>
      </c>
      <c r="V87" s="224">
        <v>1605</v>
      </c>
      <c r="W87" s="224">
        <v>0.17139907072792979</v>
      </c>
      <c r="X87" s="224">
        <v>0.82860092927207019</v>
      </c>
      <c r="Y87" s="100" t="s">
        <v>126</v>
      </c>
      <c r="Z87" s="29">
        <v>1</v>
      </c>
      <c r="AA87" s="9">
        <v>1</v>
      </c>
      <c r="AB87" s="9">
        <v>1</v>
      </c>
      <c r="AC87" s="9">
        <v>2</v>
      </c>
      <c r="AD87" s="43">
        <v>2</v>
      </c>
      <c r="AE87" s="55">
        <v>0.35859414261160716</v>
      </c>
      <c r="AF87" s="52" t="s">
        <v>111</v>
      </c>
    </row>
    <row r="88" spans="1:32">
      <c r="A88" s="224">
        <v>2001</v>
      </c>
      <c r="B88" s="224">
        <v>191</v>
      </c>
      <c r="C88" s="224" t="s">
        <v>89</v>
      </c>
      <c r="D88" s="224">
        <v>27</v>
      </c>
      <c r="E88" s="224">
        <v>82</v>
      </c>
      <c r="F88" s="224">
        <v>136</v>
      </c>
      <c r="G88" s="224">
        <v>0.37614678899082571</v>
      </c>
      <c r="H88" s="224">
        <v>0.62385321100917435</v>
      </c>
      <c r="I88" s="304" t="s">
        <v>110</v>
      </c>
      <c r="J88" s="29">
        <v>1</v>
      </c>
      <c r="K88" s="9">
        <v>1</v>
      </c>
      <c r="L88" s="9">
        <v>1</v>
      </c>
      <c r="M88" s="9">
        <v>2</v>
      </c>
      <c r="N88" s="43">
        <v>2</v>
      </c>
      <c r="O88" s="260">
        <f t="shared" si="2"/>
        <v>0.35859414261160716</v>
      </c>
      <c r="P88" s="163" t="s">
        <v>111</v>
      </c>
      <c r="Q88" s="224">
        <v>2009</v>
      </c>
      <c r="R88" s="224">
        <v>1646</v>
      </c>
      <c r="S88" s="224" t="s">
        <v>89</v>
      </c>
      <c r="T88" s="224">
        <v>101</v>
      </c>
      <c r="U88" s="224">
        <v>115</v>
      </c>
      <c r="V88" s="224">
        <v>1632</v>
      </c>
      <c r="W88" s="224">
        <v>6.5827132226674301E-2</v>
      </c>
      <c r="X88" s="224">
        <v>0.93417286777332564</v>
      </c>
      <c r="Y88" s="100" t="s">
        <v>126</v>
      </c>
      <c r="Z88" s="29">
        <v>1</v>
      </c>
      <c r="AA88" s="9">
        <v>1</v>
      </c>
      <c r="AB88" s="9">
        <v>1</v>
      </c>
      <c r="AC88" s="9">
        <v>2</v>
      </c>
      <c r="AD88" s="43">
        <v>2</v>
      </c>
      <c r="AE88" s="55">
        <v>0.35859414261160716</v>
      </c>
      <c r="AF88" s="52" t="s">
        <v>111</v>
      </c>
    </row>
    <row r="89" spans="1:32">
      <c r="A89" s="224">
        <v>2001</v>
      </c>
      <c r="B89" s="224">
        <v>610</v>
      </c>
      <c r="C89" s="224" t="s">
        <v>90</v>
      </c>
      <c r="D89" s="224">
        <v>198</v>
      </c>
      <c r="E89" s="224">
        <v>449</v>
      </c>
      <c r="F89" s="224">
        <v>359</v>
      </c>
      <c r="G89" s="224">
        <v>0.55569306930693074</v>
      </c>
      <c r="H89" s="224">
        <v>0.44430693069306931</v>
      </c>
      <c r="I89" s="304" t="s">
        <v>110</v>
      </c>
      <c r="J89" s="29">
        <v>1</v>
      </c>
      <c r="K89" s="9">
        <v>1</v>
      </c>
      <c r="L89" s="9">
        <v>1</v>
      </c>
      <c r="M89" s="9">
        <v>2</v>
      </c>
      <c r="N89" s="43">
        <v>2</v>
      </c>
      <c r="O89" s="260">
        <f t="shared" si="2"/>
        <v>0.35859414261160716</v>
      </c>
      <c r="P89" s="163" t="s">
        <v>111</v>
      </c>
      <c r="Q89" s="224">
        <v>2009</v>
      </c>
      <c r="R89" s="224">
        <v>6033</v>
      </c>
      <c r="S89" s="224" t="s">
        <v>90</v>
      </c>
      <c r="T89" s="224">
        <v>580</v>
      </c>
      <c r="U89" s="224">
        <v>1284</v>
      </c>
      <c r="V89" s="224">
        <v>5329</v>
      </c>
      <c r="W89" s="224">
        <v>0.19416301224860119</v>
      </c>
      <c r="X89" s="224">
        <v>0.80583698775139878</v>
      </c>
      <c r="Y89" s="100" t="s">
        <v>126</v>
      </c>
      <c r="Z89" s="29">
        <v>1</v>
      </c>
      <c r="AA89" s="9">
        <v>1</v>
      </c>
      <c r="AB89" s="9">
        <v>1</v>
      </c>
      <c r="AC89" s="9">
        <v>2</v>
      </c>
      <c r="AD89" s="43">
        <v>2</v>
      </c>
      <c r="AE89" s="55">
        <v>0.35859414261160716</v>
      </c>
      <c r="AF89" s="52" t="s">
        <v>111</v>
      </c>
    </row>
    <row r="90" spans="1:32">
      <c r="A90" s="224">
        <v>2001</v>
      </c>
      <c r="B90" s="224">
        <v>129</v>
      </c>
      <c r="C90" s="224" t="s">
        <v>91</v>
      </c>
      <c r="D90" s="224">
        <v>126</v>
      </c>
      <c r="E90" s="224">
        <v>255</v>
      </c>
      <c r="F90" s="224">
        <v>0</v>
      </c>
      <c r="G90" s="224">
        <v>1</v>
      </c>
      <c r="H90" s="224">
        <v>0</v>
      </c>
      <c r="I90" s="304" t="s">
        <v>110</v>
      </c>
      <c r="J90" s="29">
        <v>1</v>
      </c>
      <c r="K90" s="9">
        <v>1</v>
      </c>
      <c r="L90" s="9">
        <v>1</v>
      </c>
      <c r="M90" s="9">
        <v>2</v>
      </c>
      <c r="N90" s="43">
        <v>2</v>
      </c>
      <c r="O90" s="260">
        <f t="shared" si="2"/>
        <v>0.35859414261160716</v>
      </c>
      <c r="P90" s="163" t="s">
        <v>111</v>
      </c>
      <c r="Q90" s="224">
        <v>2009</v>
      </c>
      <c r="R90" s="224">
        <v>2917</v>
      </c>
      <c r="S90" s="224" t="s">
        <v>91</v>
      </c>
      <c r="T90" s="224">
        <v>1397</v>
      </c>
      <c r="U90" s="224">
        <v>339</v>
      </c>
      <c r="V90" s="224">
        <v>3975</v>
      </c>
      <c r="W90" s="224">
        <v>7.8581363004172455E-2</v>
      </c>
      <c r="X90" s="224">
        <v>0.92141863699582749</v>
      </c>
      <c r="Y90" s="100" t="s">
        <v>126</v>
      </c>
      <c r="Z90" s="29">
        <v>1</v>
      </c>
      <c r="AA90" s="9">
        <v>1</v>
      </c>
      <c r="AB90" s="9">
        <v>1</v>
      </c>
      <c r="AC90" s="9">
        <v>2</v>
      </c>
      <c r="AD90" s="43">
        <v>2</v>
      </c>
      <c r="AE90" s="55">
        <v>0.35859414261160716</v>
      </c>
      <c r="AF90" s="52" t="s">
        <v>111</v>
      </c>
    </row>
    <row r="91" spans="1:32">
      <c r="A91" s="224">
        <v>2001</v>
      </c>
      <c r="B91" s="224">
        <v>88</v>
      </c>
      <c r="C91" s="224" t="s">
        <v>94</v>
      </c>
      <c r="D91" s="224">
        <v>19</v>
      </c>
      <c r="E91" s="224">
        <v>107</v>
      </c>
      <c r="F91" s="224">
        <v>0</v>
      </c>
      <c r="G91" s="224">
        <v>1</v>
      </c>
      <c r="H91" s="224">
        <v>0</v>
      </c>
      <c r="I91" s="304" t="s">
        <v>110</v>
      </c>
      <c r="J91" s="29">
        <v>1</v>
      </c>
      <c r="K91" s="9">
        <v>1</v>
      </c>
      <c r="L91" s="9">
        <v>1</v>
      </c>
      <c r="M91" s="9">
        <v>2</v>
      </c>
      <c r="N91" s="43">
        <v>2</v>
      </c>
      <c r="O91" s="260">
        <f t="shared" si="2"/>
        <v>0.35859414261160716</v>
      </c>
      <c r="P91" s="163" t="s">
        <v>111</v>
      </c>
      <c r="Q91" s="224">
        <v>2009</v>
      </c>
      <c r="R91" s="224">
        <v>698</v>
      </c>
      <c r="S91" s="224" t="s">
        <v>94</v>
      </c>
      <c r="T91" s="224">
        <v>238</v>
      </c>
      <c r="U91" s="224">
        <v>173</v>
      </c>
      <c r="V91" s="224">
        <v>763</v>
      </c>
      <c r="W91" s="224">
        <v>0.18482905982905981</v>
      </c>
      <c r="X91" s="224">
        <v>0.81517094017094016</v>
      </c>
      <c r="Y91" s="100" t="s">
        <v>126</v>
      </c>
      <c r="Z91" s="29">
        <v>1</v>
      </c>
      <c r="AA91" s="9">
        <v>1</v>
      </c>
      <c r="AB91" s="9">
        <v>1</v>
      </c>
      <c r="AC91" s="9">
        <v>2</v>
      </c>
      <c r="AD91" s="43">
        <v>2</v>
      </c>
      <c r="AE91" s="55">
        <v>0.35859414261160716</v>
      </c>
      <c r="AF91" s="52" t="s">
        <v>111</v>
      </c>
    </row>
    <row r="92" spans="1:32">
      <c r="A92" s="224">
        <v>2001</v>
      </c>
      <c r="B92" s="224">
        <v>337</v>
      </c>
      <c r="C92" s="224" t="s">
        <v>96</v>
      </c>
      <c r="D92" s="224">
        <v>54</v>
      </c>
      <c r="E92" s="224">
        <v>162</v>
      </c>
      <c r="F92" s="224">
        <v>229</v>
      </c>
      <c r="G92" s="224">
        <v>0.41432225063938621</v>
      </c>
      <c r="H92" s="224">
        <v>0.58567774936061379</v>
      </c>
      <c r="I92" s="304" t="s">
        <v>110</v>
      </c>
      <c r="J92" s="29">
        <v>1</v>
      </c>
      <c r="K92" s="9">
        <v>1</v>
      </c>
      <c r="L92" s="9">
        <v>1</v>
      </c>
      <c r="M92" s="9">
        <v>2</v>
      </c>
      <c r="N92" s="43">
        <v>2</v>
      </c>
      <c r="O92" s="260">
        <f t="shared" si="2"/>
        <v>0.35859414261160716</v>
      </c>
      <c r="P92" s="163" t="s">
        <v>111</v>
      </c>
      <c r="Q92" s="224">
        <v>2009</v>
      </c>
      <c r="R92" s="224">
        <v>1344</v>
      </c>
      <c r="S92" s="224" t="s">
        <v>96</v>
      </c>
      <c r="T92" s="224">
        <v>91</v>
      </c>
      <c r="U92" s="224">
        <v>352</v>
      </c>
      <c r="V92" s="224">
        <v>1083</v>
      </c>
      <c r="W92" s="224">
        <v>0.24529616724738679</v>
      </c>
      <c r="X92" s="224">
        <v>0.75470383275261321</v>
      </c>
      <c r="Y92" s="100" t="s">
        <v>126</v>
      </c>
      <c r="Z92" s="29">
        <v>1</v>
      </c>
      <c r="AA92" s="9">
        <v>1</v>
      </c>
      <c r="AB92" s="9">
        <v>1</v>
      </c>
      <c r="AC92" s="9">
        <v>2</v>
      </c>
      <c r="AD92" s="43">
        <v>2</v>
      </c>
      <c r="AE92" s="55">
        <v>0.35859414261160716</v>
      </c>
      <c r="AF92" s="52" t="s">
        <v>111</v>
      </c>
    </row>
    <row r="93" spans="1:32">
      <c r="A93" s="224">
        <v>2001</v>
      </c>
      <c r="B93" s="224">
        <v>233</v>
      </c>
      <c r="C93" s="224" t="s">
        <v>97</v>
      </c>
      <c r="D93" s="224">
        <v>102</v>
      </c>
      <c r="E93" s="224">
        <v>180</v>
      </c>
      <c r="F93" s="224">
        <v>155</v>
      </c>
      <c r="G93" s="224">
        <v>0.53731343283582089</v>
      </c>
      <c r="H93" s="224">
        <v>0.46268656716417911</v>
      </c>
      <c r="I93" s="304" t="s">
        <v>110</v>
      </c>
      <c r="J93" s="29">
        <v>1</v>
      </c>
      <c r="K93" s="9">
        <v>1</v>
      </c>
      <c r="L93" s="9">
        <v>1</v>
      </c>
      <c r="M93" s="9">
        <v>2</v>
      </c>
      <c r="N93" s="43">
        <v>2</v>
      </c>
      <c r="O93" s="260">
        <f t="shared" si="2"/>
        <v>0.35859414261160716</v>
      </c>
      <c r="P93" s="163" t="s">
        <v>111</v>
      </c>
      <c r="Q93" s="224">
        <v>2009</v>
      </c>
      <c r="R93" s="224">
        <v>3427</v>
      </c>
      <c r="S93" s="224" t="s">
        <v>97</v>
      </c>
      <c r="T93" s="224">
        <v>464</v>
      </c>
      <c r="U93" s="224">
        <v>734</v>
      </c>
      <c r="V93" s="224">
        <v>3157</v>
      </c>
      <c r="W93" s="224">
        <v>0.1886404523258802</v>
      </c>
      <c r="X93" s="224">
        <v>0.81135954767411977</v>
      </c>
      <c r="Y93" s="100" t="s">
        <v>126</v>
      </c>
      <c r="Z93" s="29">
        <v>1</v>
      </c>
      <c r="AA93" s="9">
        <v>1</v>
      </c>
      <c r="AB93" s="9">
        <v>1</v>
      </c>
      <c r="AC93" s="9">
        <v>2</v>
      </c>
      <c r="AD93" s="43">
        <v>2</v>
      </c>
      <c r="AE93" s="55">
        <v>0.35859414261160716</v>
      </c>
      <c r="AF93" s="52" t="s">
        <v>111</v>
      </c>
    </row>
    <row r="94" spans="1:32">
      <c r="A94" s="224">
        <v>2001</v>
      </c>
      <c r="B94" s="224">
        <v>200</v>
      </c>
      <c r="C94" s="224" t="s">
        <v>95</v>
      </c>
      <c r="D94" s="224">
        <v>43</v>
      </c>
      <c r="E94" s="224">
        <v>176</v>
      </c>
      <c r="F94" s="224">
        <v>67</v>
      </c>
      <c r="G94" s="224">
        <v>0.72427983539094654</v>
      </c>
      <c r="H94" s="224">
        <v>0.27572016460905352</v>
      </c>
      <c r="I94" s="304" t="s">
        <v>110</v>
      </c>
      <c r="J94" s="29">
        <v>1</v>
      </c>
      <c r="K94" s="9">
        <v>1</v>
      </c>
      <c r="L94" s="9">
        <v>1</v>
      </c>
      <c r="M94" s="9">
        <v>2</v>
      </c>
      <c r="N94" s="43">
        <v>2</v>
      </c>
      <c r="O94" s="260">
        <f t="shared" si="2"/>
        <v>0.35859414261160716</v>
      </c>
      <c r="P94" s="163" t="s">
        <v>111</v>
      </c>
      <c r="Q94" s="224">
        <v>2009</v>
      </c>
      <c r="R94" s="224">
        <v>2127</v>
      </c>
      <c r="S94" s="224" t="s">
        <v>95</v>
      </c>
      <c r="T94" s="224">
        <v>325</v>
      </c>
      <c r="U94" s="224">
        <v>535</v>
      </c>
      <c r="V94" s="224">
        <v>1917</v>
      </c>
      <c r="W94" s="224">
        <v>0.21818923327895601</v>
      </c>
      <c r="X94" s="224">
        <v>0.7818107667210441</v>
      </c>
      <c r="Y94" s="100" t="s">
        <v>126</v>
      </c>
      <c r="Z94" s="29">
        <v>1</v>
      </c>
      <c r="AA94" s="9">
        <v>1</v>
      </c>
      <c r="AB94" s="9">
        <v>1</v>
      </c>
      <c r="AC94" s="9">
        <v>2</v>
      </c>
      <c r="AD94" s="43">
        <v>2</v>
      </c>
      <c r="AE94" s="55">
        <v>0.35859414261160716</v>
      </c>
      <c r="AF94" s="52" t="s">
        <v>111</v>
      </c>
    </row>
    <row r="95" spans="1:32">
      <c r="A95" s="224">
        <v>2001</v>
      </c>
      <c r="B95" s="224">
        <v>98</v>
      </c>
      <c r="C95" s="224" t="s">
        <v>93</v>
      </c>
      <c r="D95" s="224">
        <v>23</v>
      </c>
      <c r="E95" s="224">
        <v>38</v>
      </c>
      <c r="F95" s="224">
        <v>83</v>
      </c>
      <c r="G95" s="224">
        <v>0.31404958677685951</v>
      </c>
      <c r="H95" s="224">
        <v>0.68595041322314043</v>
      </c>
      <c r="I95" s="304" t="s">
        <v>110</v>
      </c>
      <c r="J95" s="29">
        <v>1</v>
      </c>
      <c r="K95" s="9">
        <v>1</v>
      </c>
      <c r="L95" s="9">
        <v>1</v>
      </c>
      <c r="M95" s="9">
        <v>2</v>
      </c>
      <c r="N95" s="43">
        <v>2</v>
      </c>
      <c r="O95" s="260">
        <f t="shared" si="2"/>
        <v>0.35859414261160716</v>
      </c>
      <c r="P95" s="163" t="s">
        <v>111</v>
      </c>
      <c r="Q95" s="224">
        <v>2009</v>
      </c>
      <c r="R95" s="224">
        <v>2344</v>
      </c>
      <c r="S95" s="224" t="s">
        <v>93</v>
      </c>
      <c r="T95" s="224">
        <v>82</v>
      </c>
      <c r="U95" s="224">
        <v>345</v>
      </c>
      <c r="V95" s="224">
        <v>2081</v>
      </c>
      <c r="W95" s="224">
        <v>0.14220939818631489</v>
      </c>
      <c r="X95" s="224">
        <v>0.85779060181368505</v>
      </c>
      <c r="Y95" s="100" t="s">
        <v>126</v>
      </c>
      <c r="Z95" s="29">
        <v>1</v>
      </c>
      <c r="AA95" s="9">
        <v>1</v>
      </c>
      <c r="AB95" s="9">
        <v>1</v>
      </c>
      <c r="AC95" s="9">
        <v>2</v>
      </c>
      <c r="AD95" s="43">
        <v>2</v>
      </c>
      <c r="AE95" s="55">
        <v>0.35859414261160716</v>
      </c>
      <c r="AF95" s="52" t="s">
        <v>111</v>
      </c>
    </row>
    <row r="96" spans="1:32">
      <c r="A96" s="224">
        <v>2001</v>
      </c>
      <c r="B96" s="224">
        <v>1473</v>
      </c>
      <c r="C96" s="224" t="s">
        <v>98</v>
      </c>
      <c r="D96" s="224">
        <v>600</v>
      </c>
      <c r="E96" s="224">
        <v>2073</v>
      </c>
      <c r="F96" s="224">
        <v>0</v>
      </c>
      <c r="G96" s="224">
        <v>1</v>
      </c>
      <c r="H96" s="224">
        <v>0</v>
      </c>
      <c r="I96" s="304" t="s">
        <v>110</v>
      </c>
      <c r="J96" s="29">
        <v>1</v>
      </c>
      <c r="K96" s="9">
        <v>1</v>
      </c>
      <c r="L96" s="9">
        <v>1</v>
      </c>
      <c r="M96" s="9">
        <v>2</v>
      </c>
      <c r="N96" s="43">
        <v>2</v>
      </c>
      <c r="O96" s="260">
        <f t="shared" si="2"/>
        <v>0.35859414261160716</v>
      </c>
      <c r="P96" s="163" t="s">
        <v>111</v>
      </c>
      <c r="Q96" s="224">
        <v>2009</v>
      </c>
      <c r="R96" s="224">
        <v>15165</v>
      </c>
      <c r="S96" s="224" t="s">
        <v>98</v>
      </c>
      <c r="T96" s="224">
        <v>3768</v>
      </c>
      <c r="U96" s="224">
        <v>4126</v>
      </c>
      <c r="V96" s="224">
        <v>14807</v>
      </c>
      <c r="W96" s="224">
        <v>0.217926371943168</v>
      </c>
      <c r="X96" s="224">
        <v>0.782073628056832</v>
      </c>
      <c r="Y96" s="100" t="s">
        <v>126</v>
      </c>
      <c r="Z96" s="29">
        <v>1</v>
      </c>
      <c r="AA96" s="9">
        <v>1</v>
      </c>
      <c r="AB96" s="9">
        <v>1</v>
      </c>
      <c r="AC96" s="9">
        <v>2</v>
      </c>
      <c r="AD96" s="43">
        <v>2</v>
      </c>
      <c r="AE96" s="55">
        <v>0.35859414261160716</v>
      </c>
      <c r="AF96" s="52" t="s">
        <v>111</v>
      </c>
    </row>
    <row r="97" spans="1:32">
      <c r="A97" s="224">
        <v>2002</v>
      </c>
      <c r="B97" s="224">
        <v>1435</v>
      </c>
      <c r="C97" s="224" t="s">
        <v>85</v>
      </c>
      <c r="D97" s="224">
        <v>494</v>
      </c>
      <c r="E97" s="224">
        <v>1580</v>
      </c>
      <c r="F97" s="224">
        <v>349</v>
      </c>
      <c r="G97" s="224">
        <v>0.8190772420943494</v>
      </c>
      <c r="H97" s="224">
        <v>0.1809227579056506</v>
      </c>
      <c r="I97" s="304" t="s">
        <v>110</v>
      </c>
      <c r="J97" s="29">
        <v>1</v>
      </c>
      <c r="K97" s="9">
        <v>1</v>
      </c>
      <c r="L97" s="9">
        <v>1</v>
      </c>
      <c r="M97" s="9">
        <v>2</v>
      </c>
      <c r="N97" s="43">
        <v>2</v>
      </c>
      <c r="O97" s="260">
        <f t="shared" si="2"/>
        <v>0.35859414261160716</v>
      </c>
      <c r="P97" s="163" t="s">
        <v>111</v>
      </c>
      <c r="Q97" s="224">
        <v>2010</v>
      </c>
      <c r="R97" s="224">
        <v>12078</v>
      </c>
      <c r="S97" s="224" t="s">
        <v>85</v>
      </c>
      <c r="T97" s="224">
        <v>2773</v>
      </c>
      <c r="U97" s="224">
        <v>3048</v>
      </c>
      <c r="V97" s="224">
        <v>11803</v>
      </c>
      <c r="W97" s="224">
        <v>0.20523870446434581</v>
      </c>
      <c r="X97" s="224">
        <v>0.79476129553565422</v>
      </c>
      <c r="Y97" s="100" t="s">
        <v>126</v>
      </c>
      <c r="Z97" s="29">
        <v>1</v>
      </c>
      <c r="AA97" s="9">
        <v>1</v>
      </c>
      <c r="AB97" s="9">
        <v>1</v>
      </c>
      <c r="AC97" s="9">
        <v>2</v>
      </c>
      <c r="AD97" s="43">
        <v>2</v>
      </c>
      <c r="AE97" s="55">
        <v>0.35859414261160716</v>
      </c>
      <c r="AF97" s="52" t="s">
        <v>111</v>
      </c>
    </row>
    <row r="98" spans="1:32">
      <c r="A98" s="224">
        <v>2002</v>
      </c>
      <c r="B98" s="224">
        <v>290</v>
      </c>
      <c r="C98" s="224" t="s">
        <v>86</v>
      </c>
      <c r="D98" s="224">
        <v>146</v>
      </c>
      <c r="E98" s="224">
        <v>322</v>
      </c>
      <c r="F98" s="224">
        <v>114</v>
      </c>
      <c r="G98" s="224">
        <v>0.73853211009174313</v>
      </c>
      <c r="H98" s="224">
        <v>0.26146788990825692</v>
      </c>
      <c r="I98" s="304" t="s">
        <v>110</v>
      </c>
      <c r="J98" s="29">
        <v>1</v>
      </c>
      <c r="K98" s="9">
        <v>1</v>
      </c>
      <c r="L98" s="9">
        <v>1</v>
      </c>
      <c r="M98" s="9">
        <v>2</v>
      </c>
      <c r="N98" s="43">
        <v>2</v>
      </c>
      <c r="O98" s="260">
        <f t="shared" si="2"/>
        <v>0.35859414261160716</v>
      </c>
      <c r="P98" s="163" t="s">
        <v>111</v>
      </c>
      <c r="Q98" s="224">
        <v>2010</v>
      </c>
      <c r="R98" s="224">
        <v>5687</v>
      </c>
      <c r="S98" s="224" t="s">
        <v>86</v>
      </c>
      <c r="T98" s="224">
        <v>1804</v>
      </c>
      <c r="U98" s="224">
        <v>1572</v>
      </c>
      <c r="V98" s="224">
        <v>5919</v>
      </c>
      <c r="W98" s="224">
        <v>0.20985182218662399</v>
      </c>
      <c r="X98" s="224">
        <v>0.7901481778133761</v>
      </c>
      <c r="Y98" s="100" t="s">
        <v>126</v>
      </c>
      <c r="Z98" s="29">
        <v>1</v>
      </c>
      <c r="AA98" s="9">
        <v>1</v>
      </c>
      <c r="AB98" s="9">
        <v>1</v>
      </c>
      <c r="AC98" s="9">
        <v>2</v>
      </c>
      <c r="AD98" s="43">
        <v>2</v>
      </c>
      <c r="AE98" s="55">
        <v>0.35859414261160716</v>
      </c>
      <c r="AF98" s="52" t="s">
        <v>111</v>
      </c>
    </row>
    <row r="99" spans="1:32">
      <c r="A99" s="224">
        <v>2002</v>
      </c>
      <c r="B99" s="224">
        <v>852</v>
      </c>
      <c r="C99" s="224" t="s">
        <v>87</v>
      </c>
      <c r="D99" s="224">
        <v>243</v>
      </c>
      <c r="E99" s="224">
        <v>470</v>
      </c>
      <c r="F99" s="224">
        <v>625</v>
      </c>
      <c r="G99" s="224">
        <v>0.42922374429223742</v>
      </c>
      <c r="H99" s="224">
        <v>0.57077625570776258</v>
      </c>
      <c r="I99" s="304" t="s">
        <v>110</v>
      </c>
      <c r="J99" s="29">
        <v>1</v>
      </c>
      <c r="K99" s="9">
        <v>1</v>
      </c>
      <c r="L99" s="9">
        <v>1</v>
      </c>
      <c r="M99" s="9">
        <v>2</v>
      </c>
      <c r="N99" s="43">
        <v>2</v>
      </c>
      <c r="O99" s="260">
        <f t="shared" si="2"/>
        <v>0.35859414261160716</v>
      </c>
      <c r="P99" s="163" t="s">
        <v>111</v>
      </c>
      <c r="Q99" s="224">
        <v>2010</v>
      </c>
      <c r="R99" s="224">
        <v>9333</v>
      </c>
      <c r="S99" s="224" t="s">
        <v>87</v>
      </c>
      <c r="T99" s="224">
        <v>1342</v>
      </c>
      <c r="U99" s="224">
        <v>976</v>
      </c>
      <c r="V99" s="224">
        <v>9699</v>
      </c>
      <c r="W99" s="224">
        <v>9.1428571428571428E-2</v>
      </c>
      <c r="X99" s="224">
        <v>0.90857142857142859</v>
      </c>
      <c r="Y99" s="100" t="s">
        <v>126</v>
      </c>
      <c r="Z99" s="29">
        <v>1</v>
      </c>
      <c r="AA99" s="9">
        <v>1</v>
      </c>
      <c r="AB99" s="9">
        <v>1</v>
      </c>
      <c r="AC99" s="9">
        <v>2</v>
      </c>
      <c r="AD99" s="43">
        <v>2</v>
      </c>
      <c r="AE99" s="55">
        <v>0.35859414261160716</v>
      </c>
      <c r="AF99" s="52" t="s">
        <v>111</v>
      </c>
    </row>
    <row r="100" spans="1:32">
      <c r="A100" s="224">
        <v>2002</v>
      </c>
      <c r="B100" s="224">
        <v>19</v>
      </c>
      <c r="C100" s="224" t="s">
        <v>88</v>
      </c>
      <c r="D100" s="224">
        <v>73</v>
      </c>
      <c r="E100" s="224">
        <v>92</v>
      </c>
      <c r="F100" s="224">
        <v>0</v>
      </c>
      <c r="G100" s="224">
        <v>1</v>
      </c>
      <c r="H100" s="224">
        <v>0</v>
      </c>
      <c r="I100" s="304" t="s">
        <v>110</v>
      </c>
      <c r="J100" s="29">
        <v>1</v>
      </c>
      <c r="K100" s="9">
        <v>1</v>
      </c>
      <c r="L100" s="9">
        <v>1</v>
      </c>
      <c r="M100" s="9">
        <v>2</v>
      </c>
      <c r="N100" s="43">
        <v>2</v>
      </c>
      <c r="O100" s="260">
        <f t="shared" si="2"/>
        <v>0.35859414261160716</v>
      </c>
      <c r="P100" s="163" t="s">
        <v>111</v>
      </c>
      <c r="Q100" s="224">
        <v>2010</v>
      </c>
      <c r="R100" s="224">
        <v>1567</v>
      </c>
      <c r="S100" s="224" t="s">
        <v>88</v>
      </c>
      <c r="T100" s="224">
        <v>93</v>
      </c>
      <c r="U100" s="224">
        <v>321</v>
      </c>
      <c r="V100" s="224">
        <v>1339</v>
      </c>
      <c r="W100" s="224">
        <v>0.19337349397590359</v>
      </c>
      <c r="X100" s="224">
        <v>0.80662650602409636</v>
      </c>
      <c r="Y100" s="100" t="s">
        <v>126</v>
      </c>
      <c r="Z100" s="29">
        <v>1</v>
      </c>
      <c r="AA100" s="9">
        <v>1</v>
      </c>
      <c r="AB100" s="9">
        <v>1</v>
      </c>
      <c r="AC100" s="9">
        <v>2</v>
      </c>
      <c r="AD100" s="43">
        <v>2</v>
      </c>
      <c r="AE100" s="55">
        <v>0.35859414261160716</v>
      </c>
      <c r="AF100" s="52" t="s">
        <v>111</v>
      </c>
    </row>
    <row r="101" spans="1:32">
      <c r="A101" s="224">
        <v>2002</v>
      </c>
      <c r="B101" s="224">
        <v>191</v>
      </c>
      <c r="C101" s="224" t="s">
        <v>89</v>
      </c>
      <c r="D101" s="224">
        <v>30</v>
      </c>
      <c r="E101" s="224">
        <v>131</v>
      </c>
      <c r="F101" s="224">
        <v>90</v>
      </c>
      <c r="G101" s="224">
        <v>0.59276018099547512</v>
      </c>
      <c r="H101" s="224">
        <v>0.40723981900452488</v>
      </c>
      <c r="I101" s="304" t="s">
        <v>110</v>
      </c>
      <c r="J101" s="29">
        <v>1</v>
      </c>
      <c r="K101" s="9">
        <v>1</v>
      </c>
      <c r="L101" s="9">
        <v>1</v>
      </c>
      <c r="M101" s="9">
        <v>2</v>
      </c>
      <c r="N101" s="43">
        <v>2</v>
      </c>
      <c r="O101" s="260">
        <f t="shared" si="2"/>
        <v>0.35859414261160716</v>
      </c>
      <c r="P101" s="163" t="s">
        <v>111</v>
      </c>
      <c r="Q101" s="224">
        <v>2010</v>
      </c>
      <c r="R101" s="224">
        <v>1634</v>
      </c>
      <c r="S101" s="224" t="s">
        <v>89</v>
      </c>
      <c r="T101" s="224">
        <v>112</v>
      </c>
      <c r="U101" s="224">
        <v>126</v>
      </c>
      <c r="V101" s="224">
        <v>1620</v>
      </c>
      <c r="W101" s="224">
        <v>7.2164948453608241E-2</v>
      </c>
      <c r="X101" s="224">
        <v>0.92783505154639179</v>
      </c>
      <c r="Y101" s="100" t="s">
        <v>126</v>
      </c>
      <c r="Z101" s="29">
        <v>1</v>
      </c>
      <c r="AA101" s="9">
        <v>1</v>
      </c>
      <c r="AB101" s="9">
        <v>1</v>
      </c>
      <c r="AC101" s="9">
        <v>2</v>
      </c>
      <c r="AD101" s="43">
        <v>2</v>
      </c>
      <c r="AE101" s="55">
        <v>0.35859414261160716</v>
      </c>
      <c r="AF101" s="52" t="s">
        <v>111</v>
      </c>
    </row>
    <row r="102" spans="1:32">
      <c r="A102" s="224">
        <v>2002</v>
      </c>
      <c r="B102" s="224">
        <v>610</v>
      </c>
      <c r="C102" s="224" t="s">
        <v>90</v>
      </c>
      <c r="D102" s="224">
        <v>197</v>
      </c>
      <c r="E102" s="224">
        <v>474</v>
      </c>
      <c r="F102" s="224">
        <v>333</v>
      </c>
      <c r="G102" s="224">
        <v>0.58736059479553904</v>
      </c>
      <c r="H102" s="224">
        <v>0.41263940520446102</v>
      </c>
      <c r="I102" s="304" t="s">
        <v>110</v>
      </c>
      <c r="J102" s="29">
        <v>1</v>
      </c>
      <c r="K102" s="9">
        <v>1</v>
      </c>
      <c r="L102" s="9">
        <v>1</v>
      </c>
      <c r="M102" s="9">
        <v>2</v>
      </c>
      <c r="N102" s="43">
        <v>2</v>
      </c>
      <c r="O102" s="260">
        <f t="shared" si="2"/>
        <v>0.35859414261160716</v>
      </c>
      <c r="P102" s="163" t="s">
        <v>111</v>
      </c>
      <c r="Q102" s="224">
        <v>2010</v>
      </c>
      <c r="R102" s="224">
        <v>5949</v>
      </c>
      <c r="S102" s="224" t="s">
        <v>90</v>
      </c>
      <c r="T102" s="224">
        <v>444</v>
      </c>
      <c r="U102" s="224">
        <v>1461</v>
      </c>
      <c r="V102" s="224">
        <v>4932</v>
      </c>
      <c r="W102" s="224">
        <v>0.2285312060065697</v>
      </c>
      <c r="X102" s="224">
        <v>0.77146879399343038</v>
      </c>
      <c r="Y102" s="100" t="s">
        <v>126</v>
      </c>
      <c r="Z102" s="29">
        <v>1</v>
      </c>
      <c r="AA102" s="9">
        <v>1</v>
      </c>
      <c r="AB102" s="9">
        <v>1</v>
      </c>
      <c r="AC102" s="9">
        <v>2</v>
      </c>
      <c r="AD102" s="43">
        <v>2</v>
      </c>
      <c r="AE102" s="55">
        <v>0.35859414261160716</v>
      </c>
      <c r="AF102" s="52" t="s">
        <v>111</v>
      </c>
    </row>
    <row r="103" spans="1:32">
      <c r="A103" s="224">
        <v>2002</v>
      </c>
      <c r="B103" s="224">
        <v>144</v>
      </c>
      <c r="C103" s="224" t="s">
        <v>91</v>
      </c>
      <c r="D103" s="224">
        <v>118</v>
      </c>
      <c r="E103" s="224">
        <v>262</v>
      </c>
      <c r="F103" s="224">
        <v>0</v>
      </c>
      <c r="G103" s="224">
        <v>1</v>
      </c>
      <c r="H103" s="224">
        <v>0</v>
      </c>
      <c r="I103" s="304" t="s">
        <v>110</v>
      </c>
      <c r="J103" s="29">
        <v>1</v>
      </c>
      <c r="K103" s="9">
        <v>1</v>
      </c>
      <c r="L103" s="9">
        <v>1</v>
      </c>
      <c r="M103" s="9">
        <v>2</v>
      </c>
      <c r="N103" s="43">
        <v>2</v>
      </c>
      <c r="O103" s="260">
        <f t="shared" si="2"/>
        <v>0.35859414261160716</v>
      </c>
      <c r="P103" s="163" t="s">
        <v>111</v>
      </c>
      <c r="Q103" s="224">
        <v>2010</v>
      </c>
      <c r="R103" s="224">
        <v>3001</v>
      </c>
      <c r="S103" s="224" t="s">
        <v>91</v>
      </c>
      <c r="T103" s="224">
        <v>1193</v>
      </c>
      <c r="U103" s="224">
        <v>382</v>
      </c>
      <c r="V103" s="224">
        <v>3812</v>
      </c>
      <c r="W103" s="224">
        <v>9.1082498807820697E-2</v>
      </c>
      <c r="X103" s="224">
        <v>0.90891750119217929</v>
      </c>
      <c r="Y103" s="100" t="s">
        <v>126</v>
      </c>
      <c r="Z103" s="29">
        <v>1</v>
      </c>
      <c r="AA103" s="9">
        <v>1</v>
      </c>
      <c r="AB103" s="9">
        <v>1</v>
      </c>
      <c r="AC103" s="9">
        <v>2</v>
      </c>
      <c r="AD103" s="43">
        <v>2</v>
      </c>
      <c r="AE103" s="55">
        <v>0.35859414261160716</v>
      </c>
      <c r="AF103" s="52" t="s">
        <v>111</v>
      </c>
    </row>
    <row r="104" spans="1:32">
      <c r="A104" s="224">
        <v>2002</v>
      </c>
      <c r="B104" s="224">
        <v>68</v>
      </c>
      <c r="C104" s="224" t="s">
        <v>94</v>
      </c>
      <c r="D104" s="224">
        <v>30</v>
      </c>
      <c r="E104" s="224">
        <v>98</v>
      </c>
      <c r="F104" s="224">
        <v>0</v>
      </c>
      <c r="G104" s="224">
        <v>1</v>
      </c>
      <c r="H104" s="224">
        <v>0</v>
      </c>
      <c r="I104" s="304" t="s">
        <v>110</v>
      </c>
      <c r="J104" s="29">
        <v>1</v>
      </c>
      <c r="K104" s="9">
        <v>1</v>
      </c>
      <c r="L104" s="9">
        <v>1</v>
      </c>
      <c r="M104" s="9">
        <v>2</v>
      </c>
      <c r="N104" s="43">
        <v>2</v>
      </c>
      <c r="O104" s="260">
        <f t="shared" si="2"/>
        <v>0.35859414261160716</v>
      </c>
      <c r="P104" s="163" t="s">
        <v>111</v>
      </c>
      <c r="Q104" s="224">
        <v>2010</v>
      </c>
      <c r="R104" s="224">
        <v>691</v>
      </c>
      <c r="S104" s="224" t="s">
        <v>94</v>
      </c>
      <c r="T104" s="224">
        <v>182</v>
      </c>
      <c r="U104" s="224">
        <v>197</v>
      </c>
      <c r="V104" s="224">
        <v>676</v>
      </c>
      <c r="W104" s="224">
        <v>0.22565864833906071</v>
      </c>
      <c r="X104" s="224">
        <v>0.77434135166093931</v>
      </c>
      <c r="Y104" s="100" t="s">
        <v>126</v>
      </c>
      <c r="Z104" s="29">
        <v>1</v>
      </c>
      <c r="AA104" s="9">
        <v>1</v>
      </c>
      <c r="AB104" s="9">
        <v>1</v>
      </c>
      <c r="AC104" s="9">
        <v>2</v>
      </c>
      <c r="AD104" s="43">
        <v>2</v>
      </c>
      <c r="AE104" s="55">
        <v>0.35859414261160716</v>
      </c>
      <c r="AF104" s="52" t="s">
        <v>111</v>
      </c>
    </row>
    <row r="105" spans="1:32">
      <c r="A105" s="224">
        <v>2002</v>
      </c>
      <c r="B105" s="224">
        <v>337</v>
      </c>
      <c r="C105" s="224" t="s">
        <v>96</v>
      </c>
      <c r="D105" s="224">
        <v>62</v>
      </c>
      <c r="E105" s="224">
        <v>211</v>
      </c>
      <c r="F105" s="224">
        <v>188</v>
      </c>
      <c r="G105" s="224">
        <v>0.52882205513784464</v>
      </c>
      <c r="H105" s="224">
        <v>0.47117794486215542</v>
      </c>
      <c r="I105" s="304" t="s">
        <v>110</v>
      </c>
      <c r="J105" s="29">
        <v>1</v>
      </c>
      <c r="K105" s="9">
        <v>1</v>
      </c>
      <c r="L105" s="9">
        <v>1</v>
      </c>
      <c r="M105" s="9">
        <v>2</v>
      </c>
      <c r="N105" s="43">
        <v>2</v>
      </c>
      <c r="O105" s="260">
        <f t="shared" si="2"/>
        <v>0.35859414261160716</v>
      </c>
      <c r="P105" s="163" t="s">
        <v>111</v>
      </c>
      <c r="Q105" s="224">
        <v>2010</v>
      </c>
      <c r="R105" s="224">
        <v>1317</v>
      </c>
      <c r="S105" s="224" t="s">
        <v>96</v>
      </c>
      <c r="T105" s="224">
        <v>102</v>
      </c>
      <c r="U105" s="224">
        <v>335</v>
      </c>
      <c r="V105" s="224">
        <v>1084</v>
      </c>
      <c r="W105" s="224">
        <v>0.2360817477096547</v>
      </c>
      <c r="X105" s="224">
        <v>0.76391825229034538</v>
      </c>
      <c r="Y105" s="100" t="s">
        <v>126</v>
      </c>
      <c r="Z105" s="29">
        <v>1</v>
      </c>
      <c r="AA105" s="9">
        <v>1</v>
      </c>
      <c r="AB105" s="9">
        <v>1</v>
      </c>
      <c r="AC105" s="9">
        <v>2</v>
      </c>
      <c r="AD105" s="43">
        <v>2</v>
      </c>
      <c r="AE105" s="55">
        <v>0.35859414261160716</v>
      </c>
      <c r="AF105" s="52" t="s">
        <v>111</v>
      </c>
    </row>
    <row r="106" spans="1:32">
      <c r="A106" s="224">
        <v>2002</v>
      </c>
      <c r="B106" s="224">
        <v>233</v>
      </c>
      <c r="C106" s="224" t="s">
        <v>97</v>
      </c>
      <c r="D106" s="224">
        <v>179</v>
      </c>
      <c r="E106" s="224">
        <v>200</v>
      </c>
      <c r="F106" s="224">
        <v>212</v>
      </c>
      <c r="G106" s="224">
        <v>0.4854368932038835</v>
      </c>
      <c r="H106" s="224">
        <v>0.5145631067961165</v>
      </c>
      <c r="I106" s="304" t="s">
        <v>110</v>
      </c>
      <c r="J106" s="29">
        <v>1</v>
      </c>
      <c r="K106" s="9">
        <v>1</v>
      </c>
      <c r="L106" s="9">
        <v>1</v>
      </c>
      <c r="M106" s="9">
        <v>2</v>
      </c>
      <c r="N106" s="43">
        <v>2</v>
      </c>
      <c r="O106" s="260">
        <f t="shared" si="2"/>
        <v>0.35859414261160716</v>
      </c>
      <c r="P106" s="163" t="s">
        <v>111</v>
      </c>
      <c r="Q106" s="224">
        <v>2010</v>
      </c>
      <c r="R106" s="224">
        <v>3357</v>
      </c>
      <c r="S106" s="224" t="s">
        <v>97</v>
      </c>
      <c r="T106" s="224">
        <v>525</v>
      </c>
      <c r="U106" s="224">
        <v>916</v>
      </c>
      <c r="V106" s="224">
        <v>2966</v>
      </c>
      <c r="W106" s="224">
        <v>0.2359608449252962</v>
      </c>
      <c r="X106" s="224">
        <v>0.76403915507470377</v>
      </c>
      <c r="Y106" s="100" t="s">
        <v>126</v>
      </c>
      <c r="Z106" s="29">
        <v>1</v>
      </c>
      <c r="AA106" s="9">
        <v>1</v>
      </c>
      <c r="AB106" s="9">
        <v>1</v>
      </c>
      <c r="AC106" s="9">
        <v>2</v>
      </c>
      <c r="AD106" s="43">
        <v>2</v>
      </c>
      <c r="AE106" s="55">
        <v>0.35859414261160716</v>
      </c>
      <c r="AF106" s="52" t="s">
        <v>111</v>
      </c>
    </row>
    <row r="107" spans="1:32">
      <c r="A107" s="224">
        <v>2002</v>
      </c>
      <c r="B107" s="224">
        <v>200</v>
      </c>
      <c r="C107" s="224" t="s">
        <v>95</v>
      </c>
      <c r="D107" s="224">
        <v>44</v>
      </c>
      <c r="E107" s="224">
        <v>187</v>
      </c>
      <c r="F107" s="224">
        <v>57</v>
      </c>
      <c r="G107" s="224">
        <v>0.76639344262295084</v>
      </c>
      <c r="H107" s="224">
        <v>0.23360655737704919</v>
      </c>
      <c r="I107" s="304" t="s">
        <v>110</v>
      </c>
      <c r="J107" s="29">
        <v>1</v>
      </c>
      <c r="K107" s="9">
        <v>1</v>
      </c>
      <c r="L107" s="9">
        <v>1</v>
      </c>
      <c r="M107" s="9">
        <v>2</v>
      </c>
      <c r="N107" s="43">
        <v>2</v>
      </c>
      <c r="O107" s="260">
        <f t="shared" si="2"/>
        <v>0.35859414261160716</v>
      </c>
      <c r="P107" s="163" t="s">
        <v>111</v>
      </c>
      <c r="Q107" s="224">
        <v>2010</v>
      </c>
      <c r="R107" s="224">
        <v>2566</v>
      </c>
      <c r="S107" s="224" t="s">
        <v>95</v>
      </c>
      <c r="T107" s="224">
        <v>286</v>
      </c>
      <c r="U107" s="224">
        <v>639</v>
      </c>
      <c r="V107" s="224">
        <v>2213</v>
      </c>
      <c r="W107" s="224">
        <v>0.22405329593267881</v>
      </c>
      <c r="X107" s="224">
        <v>0.77594670406732114</v>
      </c>
      <c r="Y107" s="100" t="s">
        <v>126</v>
      </c>
      <c r="Z107" s="29">
        <v>1</v>
      </c>
      <c r="AA107" s="9">
        <v>1</v>
      </c>
      <c r="AB107" s="9">
        <v>1</v>
      </c>
      <c r="AC107" s="9">
        <v>2</v>
      </c>
      <c r="AD107" s="43">
        <v>2</v>
      </c>
      <c r="AE107" s="55">
        <v>0.35859414261160716</v>
      </c>
      <c r="AF107" s="52" t="s">
        <v>111</v>
      </c>
    </row>
    <row r="108" spans="1:32">
      <c r="A108" s="224">
        <v>2002</v>
      </c>
      <c r="B108" s="224">
        <v>98</v>
      </c>
      <c r="C108" s="224" t="s">
        <v>93</v>
      </c>
      <c r="D108" s="224">
        <v>20</v>
      </c>
      <c r="E108" s="224">
        <v>39</v>
      </c>
      <c r="F108" s="224">
        <v>79</v>
      </c>
      <c r="G108" s="224">
        <v>0.33050847457627119</v>
      </c>
      <c r="H108" s="224">
        <v>0.66949152542372881</v>
      </c>
      <c r="I108" s="304" t="s">
        <v>110</v>
      </c>
      <c r="J108" s="29">
        <v>1</v>
      </c>
      <c r="K108" s="9">
        <v>1</v>
      </c>
      <c r="L108" s="9">
        <v>1</v>
      </c>
      <c r="M108" s="9">
        <v>2</v>
      </c>
      <c r="N108" s="43">
        <v>2</v>
      </c>
      <c r="O108" s="260">
        <f t="shared" si="2"/>
        <v>0.35859414261160716</v>
      </c>
      <c r="P108" s="163" t="s">
        <v>111</v>
      </c>
      <c r="Q108" s="224">
        <v>2010</v>
      </c>
      <c r="R108" s="224">
        <v>2100</v>
      </c>
      <c r="S108" s="224" t="s">
        <v>93</v>
      </c>
      <c r="T108" s="224">
        <v>77</v>
      </c>
      <c r="U108" s="224">
        <v>424</v>
      </c>
      <c r="V108" s="224">
        <v>1753</v>
      </c>
      <c r="W108" s="224">
        <v>0.19476343592099221</v>
      </c>
      <c r="X108" s="224">
        <v>0.80523656407900779</v>
      </c>
      <c r="Y108" s="100" t="s">
        <v>126</v>
      </c>
      <c r="Z108" s="29">
        <v>1</v>
      </c>
      <c r="AA108" s="9">
        <v>1</v>
      </c>
      <c r="AB108" s="9">
        <v>1</v>
      </c>
      <c r="AC108" s="9">
        <v>2</v>
      </c>
      <c r="AD108" s="43">
        <v>2</v>
      </c>
      <c r="AE108" s="55">
        <v>0.35859414261160716</v>
      </c>
      <c r="AF108" s="52" t="s">
        <v>111</v>
      </c>
    </row>
    <row r="109" spans="1:32">
      <c r="A109" s="224">
        <v>2002</v>
      </c>
      <c r="B109" s="224">
        <v>1400</v>
      </c>
      <c r="C109" s="224" t="s">
        <v>98</v>
      </c>
      <c r="D109" s="224">
        <v>723</v>
      </c>
      <c r="E109" s="224">
        <v>2123</v>
      </c>
      <c r="F109" s="224">
        <v>0</v>
      </c>
      <c r="G109" s="224">
        <v>1</v>
      </c>
      <c r="H109" s="224">
        <v>0</v>
      </c>
      <c r="I109" s="304" t="s">
        <v>110</v>
      </c>
      <c r="J109" s="29">
        <v>1</v>
      </c>
      <c r="K109" s="9">
        <v>1</v>
      </c>
      <c r="L109" s="9">
        <v>1</v>
      </c>
      <c r="M109" s="9">
        <v>2</v>
      </c>
      <c r="N109" s="43">
        <v>2</v>
      </c>
      <c r="O109" s="260">
        <f t="shared" si="2"/>
        <v>0.35859414261160716</v>
      </c>
      <c r="P109" s="163" t="s">
        <v>111</v>
      </c>
      <c r="Q109" s="224">
        <v>2010</v>
      </c>
      <c r="R109" s="224">
        <v>14402</v>
      </c>
      <c r="S109" s="224" t="s">
        <v>98</v>
      </c>
      <c r="T109" s="224">
        <v>3675</v>
      </c>
      <c r="U109" s="224">
        <v>4621</v>
      </c>
      <c r="V109" s="224">
        <v>13456</v>
      </c>
      <c r="W109" s="224">
        <v>0.25562869945234268</v>
      </c>
      <c r="X109" s="224">
        <v>0.74437130054765732</v>
      </c>
      <c r="Y109" s="100" t="s">
        <v>126</v>
      </c>
      <c r="Z109" s="29">
        <v>1</v>
      </c>
      <c r="AA109" s="9">
        <v>1</v>
      </c>
      <c r="AB109" s="9">
        <v>1</v>
      </c>
      <c r="AC109" s="9">
        <v>2</v>
      </c>
      <c r="AD109" s="43">
        <v>2</v>
      </c>
      <c r="AE109" s="55">
        <v>0.35859414261160716</v>
      </c>
      <c r="AF109" s="52" t="s">
        <v>111</v>
      </c>
    </row>
    <row r="110" spans="1:32">
      <c r="A110" s="224">
        <v>2003</v>
      </c>
      <c r="B110" s="224">
        <v>1435</v>
      </c>
      <c r="C110" s="224" t="s">
        <v>85</v>
      </c>
      <c r="D110" s="224">
        <v>534</v>
      </c>
      <c r="E110" s="224">
        <v>1680</v>
      </c>
      <c r="F110" s="224">
        <v>289</v>
      </c>
      <c r="G110" s="224">
        <v>0.85322498730319962</v>
      </c>
      <c r="H110" s="224">
        <v>0.14677501269680041</v>
      </c>
      <c r="I110" s="304" t="s">
        <v>110</v>
      </c>
      <c r="J110" s="29">
        <v>1</v>
      </c>
      <c r="K110" s="9">
        <v>1</v>
      </c>
      <c r="L110" s="9">
        <v>1</v>
      </c>
      <c r="M110" s="9">
        <v>2</v>
      </c>
      <c r="N110" s="43">
        <v>2</v>
      </c>
      <c r="O110" s="260">
        <f t="shared" si="2"/>
        <v>0.35859414261160716</v>
      </c>
      <c r="P110" s="163" t="s">
        <v>111</v>
      </c>
      <c r="Q110" s="224">
        <v>2011</v>
      </c>
      <c r="R110" s="224">
        <v>12709</v>
      </c>
      <c r="S110" s="224" t="s">
        <v>85</v>
      </c>
      <c r="T110" s="224">
        <v>3130</v>
      </c>
      <c r="U110" s="224">
        <v>2773</v>
      </c>
      <c r="V110" s="224">
        <v>13066</v>
      </c>
      <c r="W110" s="224">
        <v>0.17507418397626109</v>
      </c>
      <c r="X110" s="224">
        <v>0.82492581602373893</v>
      </c>
      <c r="Y110" s="100" t="s">
        <v>126</v>
      </c>
      <c r="Z110" s="29">
        <v>1</v>
      </c>
      <c r="AA110" s="9">
        <v>1</v>
      </c>
      <c r="AB110" s="9">
        <v>1</v>
      </c>
      <c r="AC110" s="9">
        <v>2</v>
      </c>
      <c r="AD110" s="43">
        <v>2</v>
      </c>
      <c r="AE110" s="55">
        <v>0.35859414261160716</v>
      </c>
      <c r="AF110" s="52" t="s">
        <v>111</v>
      </c>
    </row>
    <row r="111" spans="1:32">
      <c r="A111" s="224">
        <v>2003</v>
      </c>
      <c r="B111" s="224">
        <v>290</v>
      </c>
      <c r="C111" s="224" t="s">
        <v>86</v>
      </c>
      <c r="D111" s="224">
        <v>157</v>
      </c>
      <c r="E111" s="224">
        <v>344</v>
      </c>
      <c r="F111" s="224">
        <v>103</v>
      </c>
      <c r="G111" s="224">
        <v>0.76957494407158833</v>
      </c>
      <c r="H111" s="224">
        <v>0.2304250559284117</v>
      </c>
      <c r="I111" s="304" t="s">
        <v>110</v>
      </c>
      <c r="J111" s="29">
        <v>1</v>
      </c>
      <c r="K111" s="9">
        <v>1</v>
      </c>
      <c r="L111" s="9">
        <v>1</v>
      </c>
      <c r="M111" s="9">
        <v>2</v>
      </c>
      <c r="N111" s="43">
        <v>2</v>
      </c>
      <c r="O111" s="260">
        <f t="shared" si="2"/>
        <v>0.35859414261160716</v>
      </c>
      <c r="P111" s="163" t="s">
        <v>111</v>
      </c>
      <c r="Q111" s="224">
        <v>2011</v>
      </c>
      <c r="R111" s="224">
        <v>5883</v>
      </c>
      <c r="S111" s="224" t="s">
        <v>86</v>
      </c>
      <c r="T111" s="224">
        <v>1771</v>
      </c>
      <c r="U111" s="224">
        <v>1337</v>
      </c>
      <c r="V111" s="224">
        <v>6317</v>
      </c>
      <c r="W111" s="224">
        <v>0.17467990593153909</v>
      </c>
      <c r="X111" s="224">
        <v>0.82532009406846096</v>
      </c>
      <c r="Y111" s="100" t="s">
        <v>126</v>
      </c>
      <c r="Z111" s="29">
        <v>1</v>
      </c>
      <c r="AA111" s="9">
        <v>1</v>
      </c>
      <c r="AB111" s="9">
        <v>1</v>
      </c>
      <c r="AC111" s="9">
        <v>2</v>
      </c>
      <c r="AD111" s="43">
        <v>2</v>
      </c>
      <c r="AE111" s="55">
        <v>0.35859414261160716</v>
      </c>
      <c r="AF111" s="52" t="s">
        <v>111</v>
      </c>
    </row>
    <row r="112" spans="1:32">
      <c r="A112" s="224">
        <v>2003</v>
      </c>
      <c r="B112" s="224">
        <v>852</v>
      </c>
      <c r="C112" s="224" t="s">
        <v>87</v>
      </c>
      <c r="D112" s="224">
        <v>190</v>
      </c>
      <c r="E112" s="224">
        <v>389</v>
      </c>
      <c r="F112" s="224">
        <v>653</v>
      </c>
      <c r="G112" s="224">
        <v>0.37332053742802301</v>
      </c>
      <c r="H112" s="224">
        <v>0.62667946257197693</v>
      </c>
      <c r="I112" s="304" t="s">
        <v>110</v>
      </c>
      <c r="J112" s="29">
        <v>1</v>
      </c>
      <c r="K112" s="9">
        <v>1</v>
      </c>
      <c r="L112" s="9">
        <v>1</v>
      </c>
      <c r="M112" s="9">
        <v>2</v>
      </c>
      <c r="N112" s="43">
        <v>2</v>
      </c>
      <c r="O112" s="260">
        <f t="shared" si="2"/>
        <v>0.35859414261160716</v>
      </c>
      <c r="P112" s="163" t="s">
        <v>111</v>
      </c>
      <c r="Q112" s="224">
        <v>2011</v>
      </c>
      <c r="R112" s="224">
        <v>10120</v>
      </c>
      <c r="S112" s="224" t="s">
        <v>87</v>
      </c>
      <c r="T112" s="224">
        <v>1720</v>
      </c>
      <c r="U112" s="224">
        <v>918</v>
      </c>
      <c r="V112" s="224">
        <v>10922</v>
      </c>
      <c r="W112" s="224">
        <v>7.7533783783783783E-2</v>
      </c>
      <c r="X112" s="224">
        <v>0.92246621621621627</v>
      </c>
      <c r="Y112" s="100" t="s">
        <v>126</v>
      </c>
      <c r="Z112" s="29">
        <v>1</v>
      </c>
      <c r="AA112" s="9">
        <v>1</v>
      </c>
      <c r="AB112" s="9">
        <v>1</v>
      </c>
      <c r="AC112" s="9">
        <v>2</v>
      </c>
      <c r="AD112" s="43">
        <v>2</v>
      </c>
      <c r="AE112" s="55">
        <v>0.35859414261160716</v>
      </c>
      <c r="AF112" s="52" t="s">
        <v>111</v>
      </c>
    </row>
    <row r="113" spans="1:32">
      <c r="A113" s="224">
        <v>2003</v>
      </c>
      <c r="B113" s="224">
        <v>4</v>
      </c>
      <c r="C113" s="224" t="s">
        <v>88</v>
      </c>
      <c r="D113" s="224">
        <v>68</v>
      </c>
      <c r="E113" s="224">
        <v>53</v>
      </c>
      <c r="F113" s="224">
        <v>19</v>
      </c>
      <c r="G113" s="224">
        <v>0.73611111111111116</v>
      </c>
      <c r="H113" s="224">
        <v>0.26388888888888878</v>
      </c>
      <c r="I113" s="304" t="s">
        <v>110</v>
      </c>
      <c r="J113" s="29">
        <v>1</v>
      </c>
      <c r="K113" s="9">
        <v>1</v>
      </c>
      <c r="L113" s="9">
        <v>1</v>
      </c>
      <c r="M113" s="9">
        <v>2</v>
      </c>
      <c r="N113" s="43">
        <v>2</v>
      </c>
      <c r="O113" s="260">
        <f t="shared" si="2"/>
        <v>0.35859414261160716</v>
      </c>
      <c r="P113" s="163" t="s">
        <v>111</v>
      </c>
      <c r="Q113" s="224">
        <v>2011</v>
      </c>
      <c r="R113" s="224">
        <v>1771</v>
      </c>
      <c r="S113" s="224" t="s">
        <v>88</v>
      </c>
      <c r="T113" s="224">
        <v>83</v>
      </c>
      <c r="U113" s="224">
        <v>283</v>
      </c>
      <c r="V113" s="224">
        <v>1571</v>
      </c>
      <c r="W113" s="224">
        <v>0.15264293419633229</v>
      </c>
      <c r="X113" s="224">
        <v>0.84735706580366776</v>
      </c>
      <c r="Y113" s="100" t="s">
        <v>126</v>
      </c>
      <c r="Z113" s="29">
        <v>1</v>
      </c>
      <c r="AA113" s="9">
        <v>1</v>
      </c>
      <c r="AB113" s="9">
        <v>1</v>
      </c>
      <c r="AC113" s="9">
        <v>2</v>
      </c>
      <c r="AD113" s="43">
        <v>2</v>
      </c>
      <c r="AE113" s="55">
        <v>0.35859414261160716</v>
      </c>
      <c r="AF113" s="52" t="s">
        <v>111</v>
      </c>
    </row>
    <row r="114" spans="1:32">
      <c r="A114" s="224">
        <v>2003</v>
      </c>
      <c r="B114" s="224">
        <v>191</v>
      </c>
      <c r="C114" s="224" t="s">
        <v>89</v>
      </c>
      <c r="D114" s="224">
        <v>34</v>
      </c>
      <c r="E114" s="224">
        <v>134</v>
      </c>
      <c r="F114" s="224">
        <v>91</v>
      </c>
      <c r="G114" s="224">
        <v>0.5955555555555555</v>
      </c>
      <c r="H114" s="224">
        <v>0.4044444444444445</v>
      </c>
      <c r="I114" s="304" t="s">
        <v>110</v>
      </c>
      <c r="J114" s="29">
        <v>1</v>
      </c>
      <c r="K114" s="9">
        <v>1</v>
      </c>
      <c r="L114" s="9">
        <v>1</v>
      </c>
      <c r="M114" s="9">
        <v>2</v>
      </c>
      <c r="N114" s="43">
        <v>2</v>
      </c>
      <c r="O114" s="260">
        <f t="shared" si="2"/>
        <v>0.35859414261160716</v>
      </c>
      <c r="P114" s="163" t="s">
        <v>111</v>
      </c>
      <c r="Q114" s="224">
        <v>2011</v>
      </c>
      <c r="R114" s="224">
        <v>1540</v>
      </c>
      <c r="S114" s="224" t="s">
        <v>89</v>
      </c>
      <c r="T114" s="224">
        <v>173</v>
      </c>
      <c r="U114" s="224">
        <v>107</v>
      </c>
      <c r="V114" s="224">
        <v>1606</v>
      </c>
      <c r="W114" s="224">
        <v>6.2463514302393462E-2</v>
      </c>
      <c r="X114" s="224">
        <v>0.9375364856976065</v>
      </c>
      <c r="Y114" s="100" t="s">
        <v>126</v>
      </c>
      <c r="Z114" s="29">
        <v>1</v>
      </c>
      <c r="AA114" s="9">
        <v>1</v>
      </c>
      <c r="AB114" s="9">
        <v>1</v>
      </c>
      <c r="AC114" s="9">
        <v>2</v>
      </c>
      <c r="AD114" s="43">
        <v>2</v>
      </c>
      <c r="AE114" s="55">
        <v>0.35859414261160716</v>
      </c>
      <c r="AF114" s="52" t="s">
        <v>111</v>
      </c>
    </row>
    <row r="115" spans="1:32">
      <c r="A115" s="224">
        <v>2003</v>
      </c>
      <c r="B115" s="224">
        <v>610</v>
      </c>
      <c r="C115" s="224" t="s">
        <v>90</v>
      </c>
      <c r="D115" s="224">
        <v>151</v>
      </c>
      <c r="E115" s="224">
        <v>517</v>
      </c>
      <c r="F115" s="224">
        <v>244</v>
      </c>
      <c r="G115" s="224">
        <v>0.67936925098554535</v>
      </c>
      <c r="H115" s="224">
        <v>0.32063074901445471</v>
      </c>
      <c r="I115" s="304" t="s">
        <v>110</v>
      </c>
      <c r="J115" s="29">
        <v>1</v>
      </c>
      <c r="K115" s="9">
        <v>1</v>
      </c>
      <c r="L115" s="9">
        <v>1</v>
      </c>
      <c r="M115" s="9">
        <v>2</v>
      </c>
      <c r="N115" s="43">
        <v>2</v>
      </c>
      <c r="O115" s="260">
        <f t="shared" si="2"/>
        <v>0.35859414261160716</v>
      </c>
      <c r="P115" s="163" t="s">
        <v>111</v>
      </c>
      <c r="Q115" s="224">
        <v>2011</v>
      </c>
      <c r="R115" s="224">
        <v>6241</v>
      </c>
      <c r="S115" s="224" t="s">
        <v>90</v>
      </c>
      <c r="T115" s="224">
        <v>599</v>
      </c>
      <c r="U115" s="224">
        <v>1652</v>
      </c>
      <c r="V115" s="224">
        <v>5188</v>
      </c>
      <c r="W115" s="224">
        <v>0.2415204678362573</v>
      </c>
      <c r="X115" s="224">
        <v>0.75847953216374275</v>
      </c>
      <c r="Y115" s="100" t="s">
        <v>126</v>
      </c>
      <c r="Z115" s="29">
        <v>1</v>
      </c>
      <c r="AA115" s="9">
        <v>1</v>
      </c>
      <c r="AB115" s="9">
        <v>1</v>
      </c>
      <c r="AC115" s="9">
        <v>2</v>
      </c>
      <c r="AD115" s="43">
        <v>2</v>
      </c>
      <c r="AE115" s="55">
        <v>0.35859414261160716</v>
      </c>
      <c r="AF115" s="52" t="s">
        <v>111</v>
      </c>
    </row>
    <row r="116" spans="1:32">
      <c r="A116" s="224">
        <v>2003</v>
      </c>
      <c r="B116" s="224">
        <v>167</v>
      </c>
      <c r="C116" s="224" t="s">
        <v>91</v>
      </c>
      <c r="D116" s="224">
        <v>119</v>
      </c>
      <c r="E116" s="224">
        <v>286</v>
      </c>
      <c r="F116" s="224">
        <v>0</v>
      </c>
      <c r="G116" s="224">
        <v>1</v>
      </c>
      <c r="H116" s="224">
        <v>0</v>
      </c>
      <c r="I116" s="304" t="s">
        <v>110</v>
      </c>
      <c r="J116" s="29">
        <v>1</v>
      </c>
      <c r="K116" s="9">
        <v>1</v>
      </c>
      <c r="L116" s="9">
        <v>1</v>
      </c>
      <c r="M116" s="9">
        <v>2</v>
      </c>
      <c r="N116" s="43">
        <v>2</v>
      </c>
      <c r="O116" s="260">
        <f t="shared" si="2"/>
        <v>0.35859414261160716</v>
      </c>
      <c r="P116" s="163" t="s">
        <v>111</v>
      </c>
      <c r="Q116" s="224">
        <v>2011</v>
      </c>
      <c r="R116" s="224">
        <v>2968</v>
      </c>
      <c r="S116" s="224" t="s">
        <v>91</v>
      </c>
      <c r="T116" s="224">
        <v>1095</v>
      </c>
      <c r="U116" s="224">
        <v>279</v>
      </c>
      <c r="V116" s="224">
        <v>3784</v>
      </c>
      <c r="W116" s="224">
        <v>6.8668471572729511E-2</v>
      </c>
      <c r="X116" s="224">
        <v>0.93133152842727052</v>
      </c>
      <c r="Y116" s="100" t="s">
        <v>126</v>
      </c>
      <c r="Z116" s="29">
        <v>1</v>
      </c>
      <c r="AA116" s="9">
        <v>1</v>
      </c>
      <c r="AB116" s="9">
        <v>1</v>
      </c>
      <c r="AC116" s="9">
        <v>2</v>
      </c>
      <c r="AD116" s="43">
        <v>2</v>
      </c>
      <c r="AE116" s="55">
        <v>0.35859414261160716</v>
      </c>
      <c r="AF116" s="52" t="s">
        <v>111</v>
      </c>
    </row>
    <row r="117" spans="1:32">
      <c r="A117" s="224">
        <v>2003</v>
      </c>
      <c r="B117" s="224">
        <v>83</v>
      </c>
      <c r="C117" s="224" t="s">
        <v>94</v>
      </c>
      <c r="D117" s="224">
        <v>31</v>
      </c>
      <c r="E117" s="224">
        <v>114</v>
      </c>
      <c r="F117" s="224">
        <v>0</v>
      </c>
      <c r="G117" s="224">
        <v>1</v>
      </c>
      <c r="H117" s="224">
        <v>0</v>
      </c>
      <c r="I117" s="304" t="s">
        <v>110</v>
      </c>
      <c r="J117" s="29">
        <v>1</v>
      </c>
      <c r="K117" s="9">
        <v>1</v>
      </c>
      <c r="L117" s="9">
        <v>1</v>
      </c>
      <c r="M117" s="9">
        <v>2</v>
      </c>
      <c r="N117" s="43">
        <v>2</v>
      </c>
      <c r="O117" s="260">
        <f t="shared" si="2"/>
        <v>0.35859414261160716</v>
      </c>
      <c r="P117" s="163" t="s">
        <v>111</v>
      </c>
      <c r="Q117" s="224">
        <v>2011</v>
      </c>
      <c r="R117" s="224">
        <v>790</v>
      </c>
      <c r="S117" s="224" t="s">
        <v>94</v>
      </c>
      <c r="T117" s="224">
        <v>225</v>
      </c>
      <c r="U117" s="224">
        <v>191</v>
      </c>
      <c r="V117" s="224">
        <v>824</v>
      </c>
      <c r="W117" s="224">
        <v>0.18817733990147781</v>
      </c>
      <c r="X117" s="224">
        <v>0.81182266009852211</v>
      </c>
      <c r="Y117" s="100" t="s">
        <v>126</v>
      </c>
      <c r="Z117" s="29">
        <v>1</v>
      </c>
      <c r="AA117" s="9">
        <v>1</v>
      </c>
      <c r="AB117" s="9">
        <v>1</v>
      </c>
      <c r="AC117" s="9">
        <v>2</v>
      </c>
      <c r="AD117" s="43">
        <v>2</v>
      </c>
      <c r="AE117" s="55">
        <v>0.35859414261160716</v>
      </c>
      <c r="AF117" s="52" t="s">
        <v>111</v>
      </c>
    </row>
    <row r="118" spans="1:32">
      <c r="A118" s="224">
        <v>2003</v>
      </c>
      <c r="B118" s="224">
        <v>337</v>
      </c>
      <c r="C118" s="224" t="s">
        <v>96</v>
      </c>
      <c r="D118" s="224">
        <v>78</v>
      </c>
      <c r="E118" s="224">
        <v>230</v>
      </c>
      <c r="F118" s="224">
        <v>185</v>
      </c>
      <c r="G118" s="224">
        <v>0.55421686746987953</v>
      </c>
      <c r="H118" s="224">
        <v>0.44578313253012047</v>
      </c>
      <c r="I118" s="304" t="s">
        <v>110</v>
      </c>
      <c r="J118" s="29">
        <v>1</v>
      </c>
      <c r="K118" s="9">
        <v>1</v>
      </c>
      <c r="L118" s="9">
        <v>1</v>
      </c>
      <c r="M118" s="9">
        <v>2</v>
      </c>
      <c r="N118" s="43">
        <v>2</v>
      </c>
      <c r="O118" s="260">
        <f t="shared" si="2"/>
        <v>0.35859414261160716</v>
      </c>
      <c r="P118" s="163" t="s">
        <v>111</v>
      </c>
      <c r="Q118" s="224">
        <v>2011</v>
      </c>
      <c r="R118" s="224">
        <v>1520</v>
      </c>
      <c r="S118" s="224" t="s">
        <v>96</v>
      </c>
      <c r="T118" s="224">
        <v>142</v>
      </c>
      <c r="U118" s="224">
        <v>282</v>
      </c>
      <c r="V118" s="224">
        <v>1380</v>
      </c>
      <c r="W118" s="224">
        <v>0.16967509025270761</v>
      </c>
      <c r="X118" s="224">
        <v>0.83032490974729245</v>
      </c>
      <c r="Y118" s="100" t="s">
        <v>126</v>
      </c>
      <c r="Z118" s="29">
        <v>1</v>
      </c>
      <c r="AA118" s="9">
        <v>1</v>
      </c>
      <c r="AB118" s="9">
        <v>1</v>
      </c>
      <c r="AC118" s="9">
        <v>2</v>
      </c>
      <c r="AD118" s="43">
        <v>2</v>
      </c>
      <c r="AE118" s="55">
        <v>0.35859414261160716</v>
      </c>
      <c r="AF118" s="52" t="s">
        <v>111</v>
      </c>
    </row>
    <row r="119" spans="1:32">
      <c r="A119" s="224">
        <v>2003</v>
      </c>
      <c r="B119" s="224">
        <v>233</v>
      </c>
      <c r="C119" s="224" t="s">
        <v>97</v>
      </c>
      <c r="D119" s="224">
        <v>117</v>
      </c>
      <c r="E119" s="224">
        <v>195</v>
      </c>
      <c r="F119" s="224">
        <v>155</v>
      </c>
      <c r="G119" s="224">
        <v>0.55714285714285716</v>
      </c>
      <c r="H119" s="224">
        <v>0.44285714285714278</v>
      </c>
      <c r="I119" s="304" t="s">
        <v>110</v>
      </c>
      <c r="J119" s="29">
        <v>1</v>
      </c>
      <c r="K119" s="9">
        <v>1</v>
      </c>
      <c r="L119" s="9">
        <v>1</v>
      </c>
      <c r="M119" s="9">
        <v>2</v>
      </c>
      <c r="N119" s="43">
        <v>2</v>
      </c>
      <c r="O119" s="260">
        <f t="shared" si="2"/>
        <v>0.35859414261160716</v>
      </c>
      <c r="P119" s="163" t="s">
        <v>111</v>
      </c>
      <c r="Q119" s="224">
        <v>2011</v>
      </c>
      <c r="R119" s="224">
        <v>3791</v>
      </c>
      <c r="S119" s="224" t="s">
        <v>97</v>
      </c>
      <c r="T119" s="224">
        <v>545</v>
      </c>
      <c r="U119" s="224">
        <v>886</v>
      </c>
      <c r="V119" s="224">
        <v>3450</v>
      </c>
      <c r="W119" s="224">
        <v>0.20433579335793359</v>
      </c>
      <c r="X119" s="224">
        <v>0.79566420664206639</v>
      </c>
      <c r="Y119" s="100" t="s">
        <v>126</v>
      </c>
      <c r="Z119" s="29">
        <v>1</v>
      </c>
      <c r="AA119" s="9">
        <v>1</v>
      </c>
      <c r="AB119" s="9">
        <v>1</v>
      </c>
      <c r="AC119" s="9">
        <v>2</v>
      </c>
      <c r="AD119" s="43">
        <v>2</v>
      </c>
      <c r="AE119" s="55">
        <v>0.35859414261160716</v>
      </c>
      <c r="AF119" s="52" t="s">
        <v>111</v>
      </c>
    </row>
    <row r="120" spans="1:32">
      <c r="A120" s="224">
        <v>2003</v>
      </c>
      <c r="B120" s="224">
        <v>200</v>
      </c>
      <c r="C120" s="224" t="s">
        <v>95</v>
      </c>
      <c r="D120" s="224">
        <v>57</v>
      </c>
      <c r="E120" s="224">
        <v>230</v>
      </c>
      <c r="F120" s="224">
        <v>27</v>
      </c>
      <c r="G120" s="224">
        <v>0.89494163424124518</v>
      </c>
      <c r="H120" s="224">
        <v>0.1050583657587548</v>
      </c>
      <c r="I120" s="304" t="s">
        <v>110</v>
      </c>
      <c r="J120" s="29">
        <v>1</v>
      </c>
      <c r="K120" s="9">
        <v>1</v>
      </c>
      <c r="L120" s="9">
        <v>1</v>
      </c>
      <c r="M120" s="9">
        <v>2</v>
      </c>
      <c r="N120" s="43">
        <v>2</v>
      </c>
      <c r="O120" s="260">
        <f t="shared" si="2"/>
        <v>0.35859414261160716</v>
      </c>
      <c r="P120" s="163" t="s">
        <v>111</v>
      </c>
      <c r="Q120" s="224">
        <v>2011</v>
      </c>
      <c r="R120" s="224">
        <v>2300</v>
      </c>
      <c r="S120" s="224" t="s">
        <v>95</v>
      </c>
      <c r="T120" s="224">
        <v>339</v>
      </c>
      <c r="U120" s="224">
        <v>578</v>
      </c>
      <c r="V120" s="224">
        <v>2061</v>
      </c>
      <c r="W120" s="224">
        <v>0.21902235695339139</v>
      </c>
      <c r="X120" s="224">
        <v>0.78097764304660855</v>
      </c>
      <c r="Y120" s="100" t="s">
        <v>126</v>
      </c>
      <c r="Z120" s="29">
        <v>1</v>
      </c>
      <c r="AA120" s="9">
        <v>1</v>
      </c>
      <c r="AB120" s="9">
        <v>1</v>
      </c>
      <c r="AC120" s="9">
        <v>2</v>
      </c>
      <c r="AD120" s="43">
        <v>2</v>
      </c>
      <c r="AE120" s="55">
        <v>0.35859414261160716</v>
      </c>
      <c r="AF120" s="52" t="s">
        <v>111</v>
      </c>
    </row>
    <row r="121" spans="1:32">
      <c r="A121" s="224">
        <v>2003</v>
      </c>
      <c r="B121" s="224">
        <v>98</v>
      </c>
      <c r="C121" s="224" t="s">
        <v>93</v>
      </c>
      <c r="D121" s="224">
        <v>19</v>
      </c>
      <c r="E121" s="224">
        <v>39</v>
      </c>
      <c r="F121" s="224">
        <v>78</v>
      </c>
      <c r="G121" s="224">
        <v>0.33333333333333331</v>
      </c>
      <c r="H121" s="224">
        <v>0.66666666666666674</v>
      </c>
      <c r="I121" s="304" t="s">
        <v>110</v>
      </c>
      <c r="J121" s="29">
        <v>1</v>
      </c>
      <c r="K121" s="9">
        <v>1</v>
      </c>
      <c r="L121" s="9">
        <v>1</v>
      </c>
      <c r="M121" s="9">
        <v>2</v>
      </c>
      <c r="N121" s="43">
        <v>2</v>
      </c>
      <c r="O121" s="260">
        <f t="shared" si="2"/>
        <v>0.35859414261160716</v>
      </c>
      <c r="P121" s="163" t="s">
        <v>111</v>
      </c>
      <c r="Q121" s="224">
        <v>2011</v>
      </c>
      <c r="R121" s="224">
        <v>2100</v>
      </c>
      <c r="S121" s="224" t="s">
        <v>93</v>
      </c>
      <c r="T121" s="224">
        <v>82</v>
      </c>
      <c r="U121" s="224">
        <v>402</v>
      </c>
      <c r="V121" s="224">
        <v>1780</v>
      </c>
      <c r="W121" s="224">
        <v>0.1842346471127406</v>
      </c>
      <c r="X121" s="224">
        <v>0.81576535288725938</v>
      </c>
      <c r="Y121" s="100" t="s">
        <v>126</v>
      </c>
      <c r="Z121" s="29">
        <v>1</v>
      </c>
      <c r="AA121" s="9">
        <v>1</v>
      </c>
      <c r="AB121" s="9">
        <v>1</v>
      </c>
      <c r="AC121" s="9">
        <v>2</v>
      </c>
      <c r="AD121" s="43">
        <v>2</v>
      </c>
      <c r="AE121" s="55">
        <v>0.35859414261160716</v>
      </c>
      <c r="AF121" s="52" t="s">
        <v>111</v>
      </c>
    </row>
    <row r="122" spans="1:32">
      <c r="A122" s="224">
        <v>2003</v>
      </c>
      <c r="B122" s="224">
        <v>1732</v>
      </c>
      <c r="C122" s="224" t="s">
        <v>98</v>
      </c>
      <c r="D122" s="224">
        <v>698</v>
      </c>
      <c r="E122" s="224">
        <v>2430</v>
      </c>
      <c r="F122" s="224">
        <v>0</v>
      </c>
      <c r="G122" s="224">
        <v>1</v>
      </c>
      <c r="H122" s="224">
        <v>0</v>
      </c>
      <c r="I122" s="304" t="s">
        <v>110</v>
      </c>
      <c r="J122" s="29">
        <v>1</v>
      </c>
      <c r="K122" s="9">
        <v>1</v>
      </c>
      <c r="L122" s="9">
        <v>1</v>
      </c>
      <c r="M122" s="9">
        <v>2</v>
      </c>
      <c r="N122" s="43">
        <v>2</v>
      </c>
      <c r="O122" s="260">
        <f t="shared" si="2"/>
        <v>0.35859414261160716</v>
      </c>
      <c r="P122" s="163" t="s">
        <v>111</v>
      </c>
      <c r="Q122" s="224">
        <v>2011</v>
      </c>
      <c r="R122" s="224">
        <v>14987</v>
      </c>
      <c r="S122" s="224" t="s">
        <v>98</v>
      </c>
      <c r="T122" s="224">
        <v>3989</v>
      </c>
      <c r="U122" s="224">
        <v>4694</v>
      </c>
      <c r="V122" s="224">
        <v>14282</v>
      </c>
      <c r="W122" s="224">
        <v>0.24736509274873519</v>
      </c>
      <c r="X122" s="224">
        <v>0.75263490725126481</v>
      </c>
      <c r="Y122" s="100" t="s">
        <v>126</v>
      </c>
      <c r="Z122" s="29">
        <v>1</v>
      </c>
      <c r="AA122" s="9">
        <v>1</v>
      </c>
      <c r="AB122" s="9">
        <v>1</v>
      </c>
      <c r="AC122" s="9">
        <v>2</v>
      </c>
      <c r="AD122" s="43">
        <v>2</v>
      </c>
      <c r="AE122" s="55">
        <v>0.35859414261160716</v>
      </c>
      <c r="AF122" s="52" t="s">
        <v>111</v>
      </c>
    </row>
    <row r="123" spans="1:32">
      <c r="A123" s="224">
        <v>2004</v>
      </c>
      <c r="B123" s="224">
        <v>1435</v>
      </c>
      <c r="C123" s="224" t="s">
        <v>85</v>
      </c>
      <c r="D123" s="224">
        <v>602</v>
      </c>
      <c r="E123" s="224">
        <v>1968</v>
      </c>
      <c r="F123" s="224">
        <v>69</v>
      </c>
      <c r="G123" s="224">
        <v>0.96612665684830634</v>
      </c>
      <c r="H123" s="224">
        <v>3.3873343151693658E-2</v>
      </c>
      <c r="I123" s="304" t="s">
        <v>110</v>
      </c>
      <c r="J123" s="29">
        <v>1</v>
      </c>
      <c r="K123" s="9">
        <v>1</v>
      </c>
      <c r="L123" s="9">
        <v>1</v>
      </c>
      <c r="M123" s="9">
        <v>2</v>
      </c>
      <c r="N123" s="43">
        <v>2</v>
      </c>
      <c r="O123" s="260">
        <f t="shared" si="2"/>
        <v>0.35859414261160716</v>
      </c>
      <c r="P123" s="163" t="s">
        <v>111</v>
      </c>
      <c r="Q123" s="224">
        <v>2012</v>
      </c>
      <c r="R123" s="224">
        <v>14019</v>
      </c>
      <c r="S123" s="224" t="s">
        <v>85</v>
      </c>
      <c r="T123" s="224">
        <v>2747</v>
      </c>
      <c r="U123" s="224">
        <v>2421</v>
      </c>
      <c r="V123" s="224">
        <v>14345</v>
      </c>
      <c r="W123" s="224">
        <v>0.14439937969700581</v>
      </c>
      <c r="X123" s="224">
        <v>0.85560062030299422</v>
      </c>
      <c r="Y123" s="100" t="s">
        <v>126</v>
      </c>
      <c r="Z123" s="29">
        <v>1</v>
      </c>
      <c r="AA123" s="9">
        <v>1</v>
      </c>
      <c r="AB123" s="9">
        <v>1</v>
      </c>
      <c r="AC123" s="9">
        <v>2</v>
      </c>
      <c r="AD123" s="43">
        <v>2</v>
      </c>
      <c r="AE123" s="55">
        <v>0.35859414261160716</v>
      </c>
      <c r="AF123" s="52" t="s">
        <v>111</v>
      </c>
    </row>
    <row r="124" spans="1:32">
      <c r="A124" s="224">
        <v>2004</v>
      </c>
      <c r="B124" s="224">
        <v>290</v>
      </c>
      <c r="C124" s="224" t="s">
        <v>86</v>
      </c>
      <c r="D124" s="224">
        <v>162</v>
      </c>
      <c r="E124" s="224">
        <v>328</v>
      </c>
      <c r="F124" s="224">
        <v>124</v>
      </c>
      <c r="G124" s="224">
        <v>0.72566371681415931</v>
      </c>
      <c r="H124" s="224">
        <v>0.27433628318584069</v>
      </c>
      <c r="I124" s="304" t="s">
        <v>110</v>
      </c>
      <c r="J124" s="29">
        <v>1</v>
      </c>
      <c r="K124" s="9">
        <v>1</v>
      </c>
      <c r="L124" s="9">
        <v>1</v>
      </c>
      <c r="M124" s="9">
        <v>2</v>
      </c>
      <c r="N124" s="43">
        <v>2</v>
      </c>
      <c r="O124" s="260">
        <f t="shared" si="2"/>
        <v>0.35859414261160716</v>
      </c>
      <c r="P124" s="163" t="s">
        <v>111</v>
      </c>
      <c r="Q124" s="224">
        <v>2012</v>
      </c>
      <c r="R124" s="224">
        <v>6391</v>
      </c>
      <c r="S124" s="224" t="s">
        <v>86</v>
      </c>
      <c r="T124" s="224">
        <v>918</v>
      </c>
      <c r="U124" s="224">
        <v>1412</v>
      </c>
      <c r="V124" s="224">
        <v>5897</v>
      </c>
      <c r="W124" s="224">
        <v>0.19318648241893549</v>
      </c>
      <c r="X124" s="224">
        <v>0.80681351758106445</v>
      </c>
      <c r="Y124" s="100" t="s">
        <v>126</v>
      </c>
      <c r="Z124" s="29">
        <v>1</v>
      </c>
      <c r="AA124" s="9">
        <v>1</v>
      </c>
      <c r="AB124" s="9">
        <v>1</v>
      </c>
      <c r="AC124" s="9">
        <v>2</v>
      </c>
      <c r="AD124" s="43">
        <v>2</v>
      </c>
      <c r="AE124" s="55">
        <v>0.35859414261160716</v>
      </c>
      <c r="AF124" s="52" t="s">
        <v>111</v>
      </c>
    </row>
    <row r="125" spans="1:32">
      <c r="A125" s="224">
        <v>2004</v>
      </c>
      <c r="B125" s="224">
        <v>852</v>
      </c>
      <c r="C125" s="224" t="s">
        <v>87</v>
      </c>
      <c r="D125" s="224">
        <v>190</v>
      </c>
      <c r="E125" s="224">
        <v>423</v>
      </c>
      <c r="F125" s="224">
        <v>619</v>
      </c>
      <c r="G125" s="224">
        <v>0.40595009596928983</v>
      </c>
      <c r="H125" s="224">
        <v>0.59404990403071012</v>
      </c>
      <c r="I125" s="304" t="s">
        <v>110</v>
      </c>
      <c r="J125" s="29">
        <v>1</v>
      </c>
      <c r="K125" s="9">
        <v>1</v>
      </c>
      <c r="L125" s="9">
        <v>1</v>
      </c>
      <c r="M125" s="9">
        <v>2</v>
      </c>
      <c r="N125" s="43">
        <v>2</v>
      </c>
      <c r="O125" s="260">
        <f t="shared" si="2"/>
        <v>0.35859414261160716</v>
      </c>
      <c r="P125" s="163" t="s">
        <v>111</v>
      </c>
      <c r="Q125" s="224">
        <v>2012</v>
      </c>
      <c r="R125" s="224">
        <v>9437</v>
      </c>
      <c r="S125" s="224" t="s">
        <v>87</v>
      </c>
      <c r="T125" s="224">
        <v>571</v>
      </c>
      <c r="U125" s="224">
        <v>993</v>
      </c>
      <c r="V125" s="224">
        <v>9015</v>
      </c>
      <c r="W125" s="224">
        <v>9.9220623501199035E-2</v>
      </c>
      <c r="X125" s="224">
        <v>0.90077937649880102</v>
      </c>
      <c r="Y125" s="100" t="s">
        <v>126</v>
      </c>
      <c r="Z125" s="29">
        <v>1</v>
      </c>
      <c r="AA125" s="9">
        <v>1</v>
      </c>
      <c r="AB125" s="9">
        <v>1</v>
      </c>
      <c r="AC125" s="9">
        <v>2</v>
      </c>
      <c r="AD125" s="43">
        <v>2</v>
      </c>
      <c r="AE125" s="55">
        <v>0.35859414261160716</v>
      </c>
      <c r="AF125" s="52" t="s">
        <v>111</v>
      </c>
    </row>
    <row r="126" spans="1:32">
      <c r="A126" s="224">
        <v>2004</v>
      </c>
      <c r="B126" s="224">
        <v>11</v>
      </c>
      <c r="C126" s="224" t="s">
        <v>88</v>
      </c>
      <c r="D126" s="224">
        <v>69</v>
      </c>
      <c r="E126" s="224">
        <v>80</v>
      </c>
      <c r="F126" s="224">
        <v>0</v>
      </c>
      <c r="G126" s="224">
        <v>1</v>
      </c>
      <c r="H126" s="224">
        <v>0</v>
      </c>
      <c r="I126" s="304" t="s">
        <v>110</v>
      </c>
      <c r="J126" s="29">
        <v>1</v>
      </c>
      <c r="K126" s="9">
        <v>1</v>
      </c>
      <c r="L126" s="9">
        <v>1</v>
      </c>
      <c r="M126" s="9">
        <v>2</v>
      </c>
      <c r="N126" s="43">
        <v>2</v>
      </c>
      <c r="O126" s="260">
        <f t="shared" si="2"/>
        <v>0.35859414261160716</v>
      </c>
      <c r="P126" s="163" t="s">
        <v>111</v>
      </c>
      <c r="Q126" s="224">
        <v>2012</v>
      </c>
      <c r="R126" s="224">
        <v>1864</v>
      </c>
      <c r="S126" s="224" t="s">
        <v>88</v>
      </c>
      <c r="T126" s="224">
        <v>128</v>
      </c>
      <c r="U126" s="224">
        <v>313</v>
      </c>
      <c r="V126" s="224">
        <v>1679</v>
      </c>
      <c r="W126" s="224">
        <v>0.15712851405622491</v>
      </c>
      <c r="X126" s="224">
        <v>0.84287148594377514</v>
      </c>
      <c r="Y126" s="100" t="s">
        <v>126</v>
      </c>
      <c r="Z126" s="29">
        <v>1</v>
      </c>
      <c r="AA126" s="9">
        <v>1</v>
      </c>
      <c r="AB126" s="9">
        <v>1</v>
      </c>
      <c r="AC126" s="9">
        <v>2</v>
      </c>
      <c r="AD126" s="43">
        <v>2</v>
      </c>
      <c r="AE126" s="55">
        <v>0.35859414261160716</v>
      </c>
      <c r="AF126" s="52" t="s">
        <v>111</v>
      </c>
    </row>
    <row r="127" spans="1:32">
      <c r="A127" s="224">
        <v>2004</v>
      </c>
      <c r="B127" s="224">
        <v>191</v>
      </c>
      <c r="C127" s="224" t="s">
        <v>89</v>
      </c>
      <c r="D127" s="224">
        <v>40</v>
      </c>
      <c r="E127" s="224">
        <v>154</v>
      </c>
      <c r="F127" s="224">
        <v>77</v>
      </c>
      <c r="G127" s="224">
        <v>0.66666666666666663</v>
      </c>
      <c r="H127" s="224">
        <v>0.33333333333333343</v>
      </c>
      <c r="I127" s="304" t="s">
        <v>110</v>
      </c>
      <c r="J127" s="29">
        <v>1</v>
      </c>
      <c r="K127" s="9">
        <v>1</v>
      </c>
      <c r="L127" s="9">
        <v>1</v>
      </c>
      <c r="M127" s="9">
        <v>2</v>
      </c>
      <c r="N127" s="43">
        <v>2</v>
      </c>
      <c r="O127" s="260">
        <f t="shared" si="2"/>
        <v>0.35859414261160716</v>
      </c>
      <c r="P127" s="163" t="s">
        <v>111</v>
      </c>
      <c r="Q127" s="224">
        <v>2012</v>
      </c>
      <c r="R127" s="224">
        <v>1872</v>
      </c>
      <c r="S127" s="224" t="s">
        <v>89</v>
      </c>
      <c r="T127" s="224">
        <v>95</v>
      </c>
      <c r="U127" s="224">
        <v>123</v>
      </c>
      <c r="V127" s="224">
        <v>1844</v>
      </c>
      <c r="W127" s="224">
        <v>6.2531774275546514E-2</v>
      </c>
      <c r="X127" s="224">
        <v>0.93746822572445354</v>
      </c>
      <c r="Y127" s="100" t="s">
        <v>126</v>
      </c>
      <c r="Z127" s="29">
        <v>1</v>
      </c>
      <c r="AA127" s="9">
        <v>1</v>
      </c>
      <c r="AB127" s="9">
        <v>1</v>
      </c>
      <c r="AC127" s="9">
        <v>2</v>
      </c>
      <c r="AD127" s="43">
        <v>2</v>
      </c>
      <c r="AE127" s="55">
        <v>0.35859414261160716</v>
      </c>
      <c r="AF127" s="52" t="s">
        <v>111</v>
      </c>
    </row>
    <row r="128" spans="1:32">
      <c r="A128" s="224">
        <v>2004</v>
      </c>
      <c r="B128" s="224">
        <v>610</v>
      </c>
      <c r="C128" s="224" t="s">
        <v>90</v>
      </c>
      <c r="D128" s="224">
        <v>162</v>
      </c>
      <c r="E128" s="224">
        <v>498</v>
      </c>
      <c r="F128" s="224">
        <v>274</v>
      </c>
      <c r="G128" s="224">
        <v>0.64507772020725385</v>
      </c>
      <c r="H128" s="224">
        <v>0.35492227979274621</v>
      </c>
      <c r="I128" s="304" t="s">
        <v>110</v>
      </c>
      <c r="J128" s="29">
        <v>1</v>
      </c>
      <c r="K128" s="9">
        <v>1</v>
      </c>
      <c r="L128" s="9">
        <v>1</v>
      </c>
      <c r="M128" s="9">
        <v>2</v>
      </c>
      <c r="N128" s="43">
        <v>2</v>
      </c>
      <c r="O128" s="260">
        <f t="shared" si="2"/>
        <v>0.35859414261160716</v>
      </c>
      <c r="P128" s="163" t="s">
        <v>111</v>
      </c>
      <c r="Q128" s="224">
        <v>2012</v>
      </c>
      <c r="R128" s="224">
        <v>8310</v>
      </c>
      <c r="S128" s="224" t="s">
        <v>90</v>
      </c>
      <c r="T128" s="224">
        <v>408</v>
      </c>
      <c r="U128" s="224">
        <v>1616</v>
      </c>
      <c r="V128" s="224">
        <v>7102</v>
      </c>
      <c r="W128" s="224">
        <v>0.18536361550814409</v>
      </c>
      <c r="X128" s="224">
        <v>0.81463638449185594</v>
      </c>
      <c r="Y128" s="100" t="s">
        <v>126</v>
      </c>
      <c r="Z128" s="29">
        <v>1</v>
      </c>
      <c r="AA128" s="9">
        <v>1</v>
      </c>
      <c r="AB128" s="9">
        <v>1</v>
      </c>
      <c r="AC128" s="9">
        <v>2</v>
      </c>
      <c r="AD128" s="43">
        <v>2</v>
      </c>
      <c r="AE128" s="55">
        <v>0.35859414261160716</v>
      </c>
      <c r="AF128" s="52" t="s">
        <v>111</v>
      </c>
    </row>
    <row r="129" spans="1:32">
      <c r="A129" s="224">
        <v>2004</v>
      </c>
      <c r="B129" s="224">
        <v>0</v>
      </c>
      <c r="C129" s="224" t="s">
        <v>91</v>
      </c>
      <c r="D129" s="224">
        <v>107</v>
      </c>
      <c r="E129" s="224">
        <v>101</v>
      </c>
      <c r="F129" s="224">
        <v>6</v>
      </c>
      <c r="G129" s="224">
        <v>0.94392523364485981</v>
      </c>
      <c r="H129" s="224">
        <v>5.6074766355140193E-2</v>
      </c>
      <c r="I129" s="304" t="s">
        <v>110</v>
      </c>
      <c r="J129" s="29">
        <v>1</v>
      </c>
      <c r="K129" s="9">
        <v>1</v>
      </c>
      <c r="L129" s="9">
        <v>1</v>
      </c>
      <c r="M129" s="9">
        <v>2</v>
      </c>
      <c r="N129" s="43">
        <v>2</v>
      </c>
      <c r="O129" s="260">
        <f t="shared" si="2"/>
        <v>0.35859414261160716</v>
      </c>
      <c r="P129" s="163" t="s">
        <v>111</v>
      </c>
      <c r="Q129" s="224">
        <v>2012</v>
      </c>
      <c r="R129" s="224">
        <v>2381</v>
      </c>
      <c r="S129" s="224" t="s">
        <v>91</v>
      </c>
      <c r="T129" s="224">
        <v>879</v>
      </c>
      <c r="U129" s="224">
        <v>227</v>
      </c>
      <c r="V129" s="224">
        <v>3033</v>
      </c>
      <c r="W129" s="224">
        <v>6.9631901840490798E-2</v>
      </c>
      <c r="X129" s="224">
        <v>0.93036809815950916</v>
      </c>
      <c r="Y129" s="100" t="s">
        <v>126</v>
      </c>
      <c r="Z129" s="29">
        <v>1</v>
      </c>
      <c r="AA129" s="9">
        <v>1</v>
      </c>
      <c r="AB129" s="9">
        <v>1</v>
      </c>
      <c r="AC129" s="9">
        <v>2</v>
      </c>
      <c r="AD129" s="43">
        <v>2</v>
      </c>
      <c r="AE129" s="55">
        <v>0.35859414261160716</v>
      </c>
      <c r="AF129" s="52" t="s">
        <v>111</v>
      </c>
    </row>
    <row r="130" spans="1:32">
      <c r="A130" s="224">
        <v>2004</v>
      </c>
      <c r="B130" s="224">
        <v>67</v>
      </c>
      <c r="C130" s="224" t="s">
        <v>94</v>
      </c>
      <c r="D130" s="224">
        <v>16</v>
      </c>
      <c r="E130" s="224">
        <v>83</v>
      </c>
      <c r="F130" s="224">
        <v>0</v>
      </c>
      <c r="G130" s="224">
        <v>1</v>
      </c>
      <c r="H130" s="224">
        <v>0</v>
      </c>
      <c r="I130" s="304" t="s">
        <v>110</v>
      </c>
      <c r="J130" s="29">
        <v>1</v>
      </c>
      <c r="K130" s="9">
        <v>1</v>
      </c>
      <c r="L130" s="9">
        <v>1</v>
      </c>
      <c r="M130" s="9">
        <v>2</v>
      </c>
      <c r="N130" s="43">
        <v>2</v>
      </c>
      <c r="O130" s="260">
        <f t="shared" si="2"/>
        <v>0.35859414261160716</v>
      </c>
      <c r="P130" s="163" t="s">
        <v>111</v>
      </c>
      <c r="Q130" s="224">
        <v>2012</v>
      </c>
      <c r="R130" s="224">
        <v>624</v>
      </c>
      <c r="S130" s="224" t="s">
        <v>94</v>
      </c>
      <c r="T130" s="224">
        <v>237</v>
      </c>
      <c r="U130" s="224">
        <v>157</v>
      </c>
      <c r="V130" s="224">
        <v>704</v>
      </c>
      <c r="W130" s="224">
        <v>0.1823461091753775</v>
      </c>
      <c r="X130" s="224">
        <v>0.81765389082462248</v>
      </c>
      <c r="Y130" s="100" t="s">
        <v>126</v>
      </c>
      <c r="Z130" s="29">
        <v>1</v>
      </c>
      <c r="AA130" s="9">
        <v>1</v>
      </c>
      <c r="AB130" s="9">
        <v>1</v>
      </c>
      <c r="AC130" s="9">
        <v>2</v>
      </c>
      <c r="AD130" s="43">
        <v>2</v>
      </c>
      <c r="AE130" s="55">
        <v>0.35859414261160716</v>
      </c>
      <c r="AF130" s="52" t="s">
        <v>111</v>
      </c>
    </row>
    <row r="131" spans="1:32">
      <c r="A131" s="224">
        <v>2004</v>
      </c>
      <c r="B131" s="224">
        <v>337</v>
      </c>
      <c r="C131" s="224" t="s">
        <v>96</v>
      </c>
      <c r="D131" s="224">
        <v>82</v>
      </c>
      <c r="E131" s="224">
        <v>265</v>
      </c>
      <c r="F131" s="224">
        <v>154</v>
      </c>
      <c r="G131" s="224">
        <v>0.63245823389021483</v>
      </c>
      <c r="H131" s="224">
        <v>0.36754176610978517</v>
      </c>
      <c r="I131" s="304" t="s">
        <v>110</v>
      </c>
      <c r="J131" s="29">
        <v>1</v>
      </c>
      <c r="K131" s="9">
        <v>1</v>
      </c>
      <c r="L131" s="9">
        <v>1</v>
      </c>
      <c r="M131" s="9">
        <v>2</v>
      </c>
      <c r="N131" s="43">
        <v>2</v>
      </c>
      <c r="O131" s="260">
        <f t="shared" si="2"/>
        <v>0.35859414261160716</v>
      </c>
      <c r="P131" s="163" t="s">
        <v>111</v>
      </c>
      <c r="Q131" s="224">
        <v>2012</v>
      </c>
      <c r="R131" s="224">
        <v>894</v>
      </c>
      <c r="S131" s="224" t="s">
        <v>96</v>
      </c>
      <c r="T131" s="224">
        <v>109</v>
      </c>
      <c r="U131" s="224">
        <v>296</v>
      </c>
      <c r="V131" s="224">
        <v>707</v>
      </c>
      <c r="W131" s="224">
        <v>0.29511465603190429</v>
      </c>
      <c r="X131" s="224">
        <v>0.70488534396809577</v>
      </c>
      <c r="Y131" s="100" t="s">
        <v>126</v>
      </c>
      <c r="Z131" s="29">
        <v>1</v>
      </c>
      <c r="AA131" s="9">
        <v>1</v>
      </c>
      <c r="AB131" s="9">
        <v>1</v>
      </c>
      <c r="AC131" s="9">
        <v>2</v>
      </c>
      <c r="AD131" s="43">
        <v>2</v>
      </c>
      <c r="AE131" s="55">
        <v>0.35859414261160716</v>
      </c>
      <c r="AF131" s="52" t="s">
        <v>111</v>
      </c>
    </row>
    <row r="132" spans="1:32">
      <c r="A132" s="224">
        <v>2004</v>
      </c>
      <c r="B132" s="224">
        <v>233</v>
      </c>
      <c r="C132" s="224" t="s">
        <v>97</v>
      </c>
      <c r="D132" s="224">
        <v>192</v>
      </c>
      <c r="E132" s="224">
        <v>275</v>
      </c>
      <c r="F132" s="224">
        <v>150</v>
      </c>
      <c r="G132" s="224">
        <v>0.6470588235294118</v>
      </c>
      <c r="H132" s="224">
        <v>0.3529411764705882</v>
      </c>
      <c r="I132" s="304" t="s">
        <v>110</v>
      </c>
      <c r="J132" s="29">
        <v>1</v>
      </c>
      <c r="K132" s="9">
        <v>1</v>
      </c>
      <c r="L132" s="9">
        <v>1</v>
      </c>
      <c r="M132" s="9">
        <v>2</v>
      </c>
      <c r="N132" s="43">
        <v>2</v>
      </c>
      <c r="O132" s="260">
        <f t="shared" si="2"/>
        <v>0.35859414261160716</v>
      </c>
      <c r="P132" s="163" t="s">
        <v>111</v>
      </c>
      <c r="Q132" s="224">
        <v>2012</v>
      </c>
      <c r="R132" s="224">
        <v>2542</v>
      </c>
      <c r="S132" s="224" t="s">
        <v>97</v>
      </c>
      <c r="T132" s="224">
        <v>348</v>
      </c>
      <c r="U132" s="224">
        <v>922</v>
      </c>
      <c r="V132" s="224">
        <v>1968</v>
      </c>
      <c r="W132" s="224">
        <v>0.31903114186851211</v>
      </c>
      <c r="X132" s="224">
        <v>0.68096885813148789</v>
      </c>
      <c r="Y132" s="100" t="s">
        <v>126</v>
      </c>
      <c r="Z132" s="29">
        <v>1</v>
      </c>
      <c r="AA132" s="9">
        <v>1</v>
      </c>
      <c r="AB132" s="9">
        <v>1</v>
      </c>
      <c r="AC132" s="9">
        <v>2</v>
      </c>
      <c r="AD132" s="43">
        <v>2</v>
      </c>
      <c r="AE132" s="55">
        <v>0.35859414261160716</v>
      </c>
      <c r="AF132" s="52" t="s">
        <v>111</v>
      </c>
    </row>
    <row r="133" spans="1:32">
      <c r="A133" s="224">
        <v>2004</v>
      </c>
      <c r="B133" s="224">
        <v>200</v>
      </c>
      <c r="C133" s="224" t="s">
        <v>95</v>
      </c>
      <c r="D133" s="224">
        <v>75</v>
      </c>
      <c r="E133" s="224">
        <v>247</v>
      </c>
      <c r="F133" s="224">
        <v>28</v>
      </c>
      <c r="G133" s="224">
        <v>0.89818181818181819</v>
      </c>
      <c r="H133" s="224">
        <v>0.10181818181818179</v>
      </c>
      <c r="I133" s="304" t="s">
        <v>110</v>
      </c>
      <c r="J133" s="29">
        <v>1</v>
      </c>
      <c r="K133" s="9">
        <v>1</v>
      </c>
      <c r="L133" s="9">
        <v>1</v>
      </c>
      <c r="M133" s="9">
        <v>2</v>
      </c>
      <c r="N133" s="43">
        <v>2</v>
      </c>
      <c r="O133" s="260">
        <f t="shared" si="2"/>
        <v>0.35859414261160716</v>
      </c>
      <c r="P133" s="163" t="s">
        <v>111</v>
      </c>
      <c r="Q133" s="224">
        <v>2012</v>
      </c>
      <c r="R133" s="224">
        <v>1900</v>
      </c>
      <c r="S133" s="224" t="s">
        <v>95</v>
      </c>
      <c r="T133" s="224">
        <v>311</v>
      </c>
      <c r="U133" s="224">
        <v>587</v>
      </c>
      <c r="V133" s="224">
        <v>1624</v>
      </c>
      <c r="W133" s="224">
        <v>0.26549072817729541</v>
      </c>
      <c r="X133" s="224">
        <v>0.73450927182270465</v>
      </c>
      <c r="Y133" s="100" t="s">
        <v>126</v>
      </c>
      <c r="Z133" s="29">
        <v>1</v>
      </c>
      <c r="AA133" s="9">
        <v>1</v>
      </c>
      <c r="AB133" s="9">
        <v>1</v>
      </c>
      <c r="AC133" s="9">
        <v>2</v>
      </c>
      <c r="AD133" s="43">
        <v>2</v>
      </c>
      <c r="AE133" s="55">
        <v>0.35859414261160716</v>
      </c>
      <c r="AF133" s="52" t="s">
        <v>111</v>
      </c>
    </row>
    <row r="134" spans="1:32">
      <c r="A134" s="224">
        <v>2004</v>
      </c>
      <c r="B134" s="224">
        <v>98</v>
      </c>
      <c r="C134" s="224" t="s">
        <v>93</v>
      </c>
      <c r="D134" s="224">
        <v>21</v>
      </c>
      <c r="E134" s="224">
        <v>40</v>
      </c>
      <c r="F134" s="224">
        <v>79</v>
      </c>
      <c r="G134" s="224">
        <v>0.33613445378151258</v>
      </c>
      <c r="H134" s="224">
        <v>0.66386554621848737</v>
      </c>
      <c r="I134" s="304" t="s">
        <v>110</v>
      </c>
      <c r="J134" s="29">
        <v>1</v>
      </c>
      <c r="K134" s="9">
        <v>1</v>
      </c>
      <c r="L134" s="9">
        <v>1</v>
      </c>
      <c r="M134" s="9">
        <v>2</v>
      </c>
      <c r="N134" s="43">
        <v>2</v>
      </c>
      <c r="O134" s="260">
        <f t="shared" si="2"/>
        <v>0.35859414261160716</v>
      </c>
      <c r="P134" s="163" t="s">
        <v>111</v>
      </c>
      <c r="Q134" s="224">
        <v>2012</v>
      </c>
      <c r="R134" s="224">
        <v>3589</v>
      </c>
      <c r="S134" s="224" t="s">
        <v>93</v>
      </c>
      <c r="T134" s="224">
        <v>80</v>
      </c>
      <c r="U134" s="224">
        <v>401</v>
      </c>
      <c r="V134" s="224">
        <v>3268</v>
      </c>
      <c r="W134" s="224">
        <v>0.1092940855819024</v>
      </c>
      <c r="X134" s="224">
        <v>0.89070591441809754</v>
      </c>
      <c r="Y134" s="100" t="s">
        <v>126</v>
      </c>
      <c r="Z134" s="29">
        <v>1</v>
      </c>
      <c r="AA134" s="9">
        <v>1</v>
      </c>
      <c r="AB134" s="9">
        <v>1</v>
      </c>
      <c r="AC134" s="9">
        <v>2</v>
      </c>
      <c r="AD134" s="43">
        <v>2</v>
      </c>
      <c r="AE134" s="55">
        <v>0.35859414261160716</v>
      </c>
      <c r="AF134" s="52" t="s">
        <v>111</v>
      </c>
    </row>
    <row r="135" spans="1:32">
      <c r="A135" s="224">
        <v>2004</v>
      </c>
      <c r="B135" s="224">
        <v>2287</v>
      </c>
      <c r="C135" s="224" t="s">
        <v>98</v>
      </c>
      <c r="D135" s="224">
        <v>802</v>
      </c>
      <c r="E135" s="224">
        <v>3089</v>
      </c>
      <c r="F135" s="224">
        <v>0</v>
      </c>
      <c r="G135" s="224">
        <v>1</v>
      </c>
      <c r="H135" s="224">
        <v>0</v>
      </c>
      <c r="I135" s="304" t="s">
        <v>110</v>
      </c>
      <c r="J135" s="29">
        <v>1</v>
      </c>
      <c r="K135" s="9">
        <v>1</v>
      </c>
      <c r="L135" s="9">
        <v>1</v>
      </c>
      <c r="M135" s="9">
        <v>2</v>
      </c>
      <c r="N135" s="43">
        <v>2</v>
      </c>
      <c r="O135" s="260">
        <f t="shared" ref="O135:O198" si="3">IF( OR( ISBLANK(J135),ISBLANK(K135), ISBLANK(L135), ISBLANK(M135), ISBLANK(N135) ), "", 1.5*SQRT(   EXP(2.21*(J135-1)) + EXP(2.21*(K135-1)) + EXP(2.21*(L135-1)) + EXP(2.21*(M135-1)) + EXP(2.21*N135)   )/100*2.45 )</f>
        <v>0.35859414261160716</v>
      </c>
      <c r="P135" s="163" t="s">
        <v>111</v>
      </c>
      <c r="Q135" s="224">
        <v>2012</v>
      </c>
      <c r="R135" s="224">
        <v>13706</v>
      </c>
      <c r="S135" s="224" t="s">
        <v>98</v>
      </c>
      <c r="T135" s="224">
        <v>1624</v>
      </c>
      <c r="U135" s="224">
        <v>4808</v>
      </c>
      <c r="V135" s="224">
        <v>10522</v>
      </c>
      <c r="W135" s="224">
        <v>0.31363339856490541</v>
      </c>
      <c r="X135" s="224">
        <v>0.68636660143509465</v>
      </c>
      <c r="Y135" s="100" t="s">
        <v>126</v>
      </c>
      <c r="Z135" s="29">
        <v>1</v>
      </c>
      <c r="AA135" s="9">
        <v>1</v>
      </c>
      <c r="AB135" s="9">
        <v>1</v>
      </c>
      <c r="AC135" s="9">
        <v>2</v>
      </c>
      <c r="AD135" s="43">
        <v>2</v>
      </c>
      <c r="AE135" s="55">
        <v>0.35859414261160716</v>
      </c>
      <c r="AF135" s="52" t="s">
        <v>111</v>
      </c>
    </row>
    <row r="136" spans="1:32">
      <c r="A136" s="224">
        <v>2005</v>
      </c>
      <c r="B136" s="224">
        <v>1435</v>
      </c>
      <c r="C136" s="224" t="s">
        <v>85</v>
      </c>
      <c r="D136" s="224">
        <v>700</v>
      </c>
      <c r="E136" s="224">
        <v>2019</v>
      </c>
      <c r="F136" s="224">
        <v>116</v>
      </c>
      <c r="G136" s="224">
        <v>0.94566744730679153</v>
      </c>
      <c r="H136" s="224">
        <v>5.4332552693208469E-2</v>
      </c>
      <c r="I136" s="304" t="s">
        <v>110</v>
      </c>
      <c r="J136" s="29">
        <v>1</v>
      </c>
      <c r="K136" s="9">
        <v>1</v>
      </c>
      <c r="L136" s="9">
        <v>1</v>
      </c>
      <c r="M136" s="9">
        <v>2</v>
      </c>
      <c r="N136" s="43">
        <v>2</v>
      </c>
      <c r="O136" s="260">
        <f t="shared" si="3"/>
        <v>0.35859414261160716</v>
      </c>
      <c r="P136" s="163" t="s">
        <v>111</v>
      </c>
      <c r="Q136" s="224">
        <v>2013</v>
      </c>
      <c r="R136" s="224">
        <v>12784</v>
      </c>
      <c r="S136" s="224" t="s">
        <v>85</v>
      </c>
      <c r="T136" s="224">
        <v>2361</v>
      </c>
      <c r="U136" s="224">
        <v>2472</v>
      </c>
      <c r="V136" s="224">
        <v>12673</v>
      </c>
      <c r="W136" s="224">
        <v>0.1632221855397821</v>
      </c>
      <c r="X136" s="224">
        <v>0.83677781446021793</v>
      </c>
      <c r="Y136" s="100" t="s">
        <v>126</v>
      </c>
      <c r="Z136" s="29">
        <v>1</v>
      </c>
      <c r="AA136" s="9">
        <v>1</v>
      </c>
      <c r="AB136" s="9">
        <v>1</v>
      </c>
      <c r="AC136" s="9">
        <v>2</v>
      </c>
      <c r="AD136" s="43">
        <v>2</v>
      </c>
      <c r="AE136" s="55">
        <v>0.35859414261160716</v>
      </c>
      <c r="AF136" s="52" t="s">
        <v>111</v>
      </c>
    </row>
    <row r="137" spans="1:32">
      <c r="A137" s="224">
        <v>2005</v>
      </c>
      <c r="B137" s="224">
        <v>290</v>
      </c>
      <c r="C137" s="224" t="s">
        <v>86</v>
      </c>
      <c r="D137" s="224">
        <v>172</v>
      </c>
      <c r="E137" s="224">
        <v>360</v>
      </c>
      <c r="F137" s="224">
        <v>102</v>
      </c>
      <c r="G137" s="224">
        <v>0.77922077922077926</v>
      </c>
      <c r="H137" s="224">
        <v>0.22077922077922069</v>
      </c>
      <c r="I137" s="304" t="s">
        <v>110</v>
      </c>
      <c r="J137" s="29">
        <v>1</v>
      </c>
      <c r="K137" s="9">
        <v>1</v>
      </c>
      <c r="L137" s="9">
        <v>1</v>
      </c>
      <c r="M137" s="9">
        <v>2</v>
      </c>
      <c r="N137" s="43">
        <v>2</v>
      </c>
      <c r="O137" s="260">
        <f t="shared" si="3"/>
        <v>0.35859414261160716</v>
      </c>
      <c r="P137" s="163" t="s">
        <v>111</v>
      </c>
      <c r="Q137" s="224">
        <v>2013</v>
      </c>
      <c r="R137" s="224">
        <v>6464</v>
      </c>
      <c r="S137" s="224" t="s">
        <v>86</v>
      </c>
      <c r="T137" s="224">
        <v>998</v>
      </c>
      <c r="U137" s="224">
        <v>1411</v>
      </c>
      <c r="V137" s="224">
        <v>6051</v>
      </c>
      <c r="W137" s="224">
        <v>0.18909139640846959</v>
      </c>
      <c r="X137" s="224">
        <v>0.81090860359153039</v>
      </c>
      <c r="Y137" s="100" t="s">
        <v>126</v>
      </c>
      <c r="Z137" s="29">
        <v>1</v>
      </c>
      <c r="AA137" s="9">
        <v>1</v>
      </c>
      <c r="AB137" s="9">
        <v>1</v>
      </c>
      <c r="AC137" s="9">
        <v>2</v>
      </c>
      <c r="AD137" s="43">
        <v>2</v>
      </c>
      <c r="AE137" s="55">
        <v>0.35859414261160716</v>
      </c>
      <c r="AF137" s="52" t="s">
        <v>111</v>
      </c>
    </row>
    <row r="138" spans="1:32">
      <c r="A138" s="224">
        <v>2005</v>
      </c>
      <c r="B138" s="224">
        <v>852</v>
      </c>
      <c r="C138" s="224" t="s">
        <v>87</v>
      </c>
      <c r="D138" s="224">
        <v>214</v>
      </c>
      <c r="E138" s="224">
        <v>510</v>
      </c>
      <c r="F138" s="224">
        <v>556</v>
      </c>
      <c r="G138" s="224">
        <v>0.47842401500938092</v>
      </c>
      <c r="H138" s="224">
        <v>0.52157598499061919</v>
      </c>
      <c r="I138" s="304" t="s">
        <v>110</v>
      </c>
      <c r="J138" s="29">
        <v>1</v>
      </c>
      <c r="K138" s="9">
        <v>1</v>
      </c>
      <c r="L138" s="9">
        <v>1</v>
      </c>
      <c r="M138" s="9">
        <v>2</v>
      </c>
      <c r="N138" s="43">
        <v>2</v>
      </c>
      <c r="O138" s="260">
        <f t="shared" si="3"/>
        <v>0.35859414261160716</v>
      </c>
      <c r="P138" s="163" t="s">
        <v>111</v>
      </c>
      <c r="Q138" s="224">
        <v>2013</v>
      </c>
      <c r="R138" s="224">
        <v>9631</v>
      </c>
      <c r="S138" s="224" t="s">
        <v>87</v>
      </c>
      <c r="T138" s="224">
        <v>487</v>
      </c>
      <c r="U138" s="224">
        <v>1134</v>
      </c>
      <c r="V138" s="224">
        <v>8984</v>
      </c>
      <c r="W138" s="224">
        <v>0.1120774856691046</v>
      </c>
      <c r="X138" s="224">
        <v>0.88792251433089542</v>
      </c>
      <c r="Y138" s="100" t="s">
        <v>126</v>
      </c>
      <c r="Z138" s="29">
        <v>1</v>
      </c>
      <c r="AA138" s="9">
        <v>1</v>
      </c>
      <c r="AB138" s="9">
        <v>1</v>
      </c>
      <c r="AC138" s="9">
        <v>2</v>
      </c>
      <c r="AD138" s="43">
        <v>2</v>
      </c>
      <c r="AE138" s="55">
        <v>0.35859414261160716</v>
      </c>
      <c r="AF138" s="52" t="s">
        <v>111</v>
      </c>
    </row>
    <row r="139" spans="1:32">
      <c r="A139" s="224">
        <v>2005</v>
      </c>
      <c r="B139" s="224">
        <v>4</v>
      </c>
      <c r="C139" s="224" t="s">
        <v>88</v>
      </c>
      <c r="D139" s="224">
        <v>96</v>
      </c>
      <c r="E139" s="224">
        <v>80</v>
      </c>
      <c r="F139" s="224">
        <v>20</v>
      </c>
      <c r="G139" s="224">
        <v>0.8</v>
      </c>
      <c r="H139" s="224">
        <v>0.2</v>
      </c>
      <c r="I139" s="304" t="s">
        <v>110</v>
      </c>
      <c r="J139" s="29">
        <v>1</v>
      </c>
      <c r="K139" s="9">
        <v>1</v>
      </c>
      <c r="L139" s="9">
        <v>1</v>
      </c>
      <c r="M139" s="9">
        <v>2</v>
      </c>
      <c r="N139" s="43">
        <v>2</v>
      </c>
      <c r="O139" s="260">
        <f t="shared" si="3"/>
        <v>0.35859414261160716</v>
      </c>
      <c r="P139" s="163" t="s">
        <v>111</v>
      </c>
      <c r="Q139" s="224">
        <v>2013</v>
      </c>
      <c r="R139" s="224">
        <v>1752</v>
      </c>
      <c r="S139" s="224" t="s">
        <v>88</v>
      </c>
      <c r="T139" s="224">
        <v>97</v>
      </c>
      <c r="U139" s="224">
        <v>326</v>
      </c>
      <c r="V139" s="224">
        <v>1523</v>
      </c>
      <c r="W139" s="224">
        <v>0.17631151974040021</v>
      </c>
      <c r="X139" s="224">
        <v>0.82368848025959984</v>
      </c>
      <c r="Y139" s="100" t="s">
        <v>126</v>
      </c>
      <c r="Z139" s="29">
        <v>1</v>
      </c>
      <c r="AA139" s="9">
        <v>1</v>
      </c>
      <c r="AB139" s="9">
        <v>1</v>
      </c>
      <c r="AC139" s="9">
        <v>2</v>
      </c>
      <c r="AD139" s="43">
        <v>2</v>
      </c>
      <c r="AE139" s="55">
        <v>0.35859414261160716</v>
      </c>
      <c r="AF139" s="52" t="s">
        <v>111</v>
      </c>
    </row>
    <row r="140" spans="1:32">
      <c r="A140" s="224">
        <v>2005</v>
      </c>
      <c r="B140" s="224">
        <v>191</v>
      </c>
      <c r="C140" s="224" t="s">
        <v>89</v>
      </c>
      <c r="D140" s="224">
        <v>32</v>
      </c>
      <c r="E140" s="224">
        <v>158</v>
      </c>
      <c r="F140" s="224">
        <v>65</v>
      </c>
      <c r="G140" s="224">
        <v>0.70852017937219736</v>
      </c>
      <c r="H140" s="224">
        <v>0.29147982062780259</v>
      </c>
      <c r="I140" s="304" t="s">
        <v>110</v>
      </c>
      <c r="J140" s="29">
        <v>1</v>
      </c>
      <c r="K140" s="9">
        <v>1</v>
      </c>
      <c r="L140" s="9">
        <v>1</v>
      </c>
      <c r="M140" s="9">
        <v>2</v>
      </c>
      <c r="N140" s="43">
        <v>2</v>
      </c>
      <c r="O140" s="260">
        <f t="shared" si="3"/>
        <v>0.35859414261160716</v>
      </c>
      <c r="P140" s="163" t="s">
        <v>111</v>
      </c>
      <c r="Q140" s="224">
        <v>2013</v>
      </c>
      <c r="R140" s="224">
        <v>1875</v>
      </c>
      <c r="S140" s="224" t="s">
        <v>89</v>
      </c>
      <c r="T140" s="224">
        <v>71</v>
      </c>
      <c r="U140" s="224">
        <v>140</v>
      </c>
      <c r="V140" s="224">
        <v>1806</v>
      </c>
      <c r="W140" s="224">
        <v>7.1942446043165464E-2</v>
      </c>
      <c r="X140" s="224">
        <v>0.92805755395683454</v>
      </c>
      <c r="Y140" s="100" t="s">
        <v>126</v>
      </c>
      <c r="Z140" s="29">
        <v>1</v>
      </c>
      <c r="AA140" s="9">
        <v>1</v>
      </c>
      <c r="AB140" s="9">
        <v>1</v>
      </c>
      <c r="AC140" s="9">
        <v>2</v>
      </c>
      <c r="AD140" s="43">
        <v>2</v>
      </c>
      <c r="AE140" s="55">
        <v>0.35859414261160716</v>
      </c>
      <c r="AF140" s="52" t="s">
        <v>111</v>
      </c>
    </row>
    <row r="141" spans="1:32">
      <c r="A141" s="224">
        <v>2005</v>
      </c>
      <c r="B141" s="224">
        <v>610</v>
      </c>
      <c r="C141" s="224" t="s">
        <v>90</v>
      </c>
      <c r="D141" s="224">
        <v>134</v>
      </c>
      <c r="E141" s="224">
        <v>496</v>
      </c>
      <c r="F141" s="224">
        <v>248</v>
      </c>
      <c r="G141" s="224">
        <v>0.66666666666666663</v>
      </c>
      <c r="H141" s="224">
        <v>0.33333333333333343</v>
      </c>
      <c r="I141" s="304" t="s">
        <v>110</v>
      </c>
      <c r="J141" s="29">
        <v>1</v>
      </c>
      <c r="K141" s="9">
        <v>1</v>
      </c>
      <c r="L141" s="9">
        <v>1</v>
      </c>
      <c r="M141" s="9">
        <v>2</v>
      </c>
      <c r="N141" s="43">
        <v>2</v>
      </c>
      <c r="O141" s="260">
        <f t="shared" si="3"/>
        <v>0.35859414261160716</v>
      </c>
      <c r="P141" s="163" t="s">
        <v>111</v>
      </c>
      <c r="Q141" s="224">
        <v>2013</v>
      </c>
      <c r="R141" s="224">
        <v>6758</v>
      </c>
      <c r="S141" s="224" t="s">
        <v>90</v>
      </c>
      <c r="T141" s="224">
        <v>392</v>
      </c>
      <c r="U141" s="224">
        <v>1631</v>
      </c>
      <c r="V141" s="224">
        <v>5519</v>
      </c>
      <c r="W141" s="224">
        <v>0.22811188811188809</v>
      </c>
      <c r="X141" s="224">
        <v>0.77188811188811191</v>
      </c>
      <c r="Y141" s="100" t="s">
        <v>126</v>
      </c>
      <c r="Z141" s="29">
        <v>1</v>
      </c>
      <c r="AA141" s="9">
        <v>1</v>
      </c>
      <c r="AB141" s="9">
        <v>1</v>
      </c>
      <c r="AC141" s="9">
        <v>2</v>
      </c>
      <c r="AD141" s="43">
        <v>2</v>
      </c>
      <c r="AE141" s="55">
        <v>0.35859414261160716</v>
      </c>
      <c r="AF141" s="52" t="s">
        <v>111</v>
      </c>
    </row>
    <row r="142" spans="1:32">
      <c r="A142" s="224">
        <v>2005</v>
      </c>
      <c r="B142" s="224">
        <v>156</v>
      </c>
      <c r="C142" s="224" t="s">
        <v>91</v>
      </c>
      <c r="D142" s="224">
        <v>161</v>
      </c>
      <c r="E142" s="224">
        <v>317</v>
      </c>
      <c r="F142" s="224">
        <v>0</v>
      </c>
      <c r="G142" s="224">
        <v>1</v>
      </c>
      <c r="H142" s="224">
        <v>0</v>
      </c>
      <c r="I142" s="304" t="s">
        <v>110</v>
      </c>
      <c r="J142" s="29">
        <v>1</v>
      </c>
      <c r="K142" s="9">
        <v>1</v>
      </c>
      <c r="L142" s="9">
        <v>1</v>
      </c>
      <c r="M142" s="9">
        <v>2</v>
      </c>
      <c r="N142" s="43">
        <v>2</v>
      </c>
      <c r="O142" s="260">
        <f t="shared" si="3"/>
        <v>0.35859414261160716</v>
      </c>
      <c r="P142" s="163" t="s">
        <v>111</v>
      </c>
      <c r="Q142" s="224">
        <v>2013</v>
      </c>
      <c r="R142" s="224">
        <v>2397</v>
      </c>
      <c r="S142" s="224" t="s">
        <v>91</v>
      </c>
      <c r="T142" s="224">
        <v>1106</v>
      </c>
      <c r="U142" s="224">
        <v>217</v>
      </c>
      <c r="V142" s="224">
        <v>3286</v>
      </c>
      <c r="W142" s="224">
        <v>6.1946902654867263E-2</v>
      </c>
      <c r="X142" s="224">
        <v>0.93805309734513276</v>
      </c>
      <c r="Y142" s="100" t="s">
        <v>126</v>
      </c>
      <c r="Z142" s="29">
        <v>1</v>
      </c>
      <c r="AA142" s="9">
        <v>1</v>
      </c>
      <c r="AB142" s="9">
        <v>1</v>
      </c>
      <c r="AC142" s="9">
        <v>2</v>
      </c>
      <c r="AD142" s="43">
        <v>2</v>
      </c>
      <c r="AE142" s="55">
        <v>0.35859414261160716</v>
      </c>
      <c r="AF142" s="52" t="s">
        <v>111</v>
      </c>
    </row>
    <row r="143" spans="1:32">
      <c r="A143" s="224">
        <v>2005</v>
      </c>
      <c r="B143" s="224">
        <v>78</v>
      </c>
      <c r="C143" s="224" t="s">
        <v>94</v>
      </c>
      <c r="D143" s="224">
        <v>16</v>
      </c>
      <c r="E143" s="224">
        <v>94</v>
      </c>
      <c r="F143" s="224">
        <v>0</v>
      </c>
      <c r="G143" s="224">
        <v>1</v>
      </c>
      <c r="H143" s="224">
        <v>0</v>
      </c>
      <c r="I143" s="304" t="s">
        <v>110</v>
      </c>
      <c r="J143" s="29">
        <v>1</v>
      </c>
      <c r="K143" s="9">
        <v>1</v>
      </c>
      <c r="L143" s="9">
        <v>1</v>
      </c>
      <c r="M143" s="9">
        <v>2</v>
      </c>
      <c r="N143" s="43">
        <v>2</v>
      </c>
      <c r="O143" s="260">
        <f t="shared" si="3"/>
        <v>0.35859414261160716</v>
      </c>
      <c r="P143" s="163" t="s">
        <v>111</v>
      </c>
      <c r="Q143" s="224">
        <v>2013</v>
      </c>
      <c r="R143" s="224">
        <v>468</v>
      </c>
      <c r="S143" s="224" t="s">
        <v>94</v>
      </c>
      <c r="T143" s="224">
        <v>172</v>
      </c>
      <c r="U143" s="224">
        <v>147</v>
      </c>
      <c r="V143" s="224">
        <v>493</v>
      </c>
      <c r="W143" s="224">
        <v>0.22968749999999999</v>
      </c>
      <c r="X143" s="224">
        <v>0.77031249999999996</v>
      </c>
      <c r="Y143" s="100" t="s">
        <v>126</v>
      </c>
      <c r="Z143" s="29">
        <v>1</v>
      </c>
      <c r="AA143" s="9">
        <v>1</v>
      </c>
      <c r="AB143" s="9">
        <v>1</v>
      </c>
      <c r="AC143" s="9">
        <v>2</v>
      </c>
      <c r="AD143" s="43">
        <v>2</v>
      </c>
      <c r="AE143" s="55">
        <v>0.35859414261160716</v>
      </c>
      <c r="AF143" s="52" t="s">
        <v>111</v>
      </c>
    </row>
    <row r="144" spans="1:32">
      <c r="A144" s="224">
        <v>2005</v>
      </c>
      <c r="B144" s="224">
        <v>337</v>
      </c>
      <c r="C144" s="224" t="s">
        <v>96</v>
      </c>
      <c r="D144" s="224">
        <v>84</v>
      </c>
      <c r="E144" s="224">
        <v>211</v>
      </c>
      <c r="F144" s="224">
        <v>210</v>
      </c>
      <c r="G144" s="224">
        <v>0.50118764845605701</v>
      </c>
      <c r="H144" s="224">
        <v>0.49881235154394299</v>
      </c>
      <c r="I144" s="304" t="s">
        <v>110</v>
      </c>
      <c r="J144" s="29">
        <v>1</v>
      </c>
      <c r="K144" s="9">
        <v>1</v>
      </c>
      <c r="L144" s="9">
        <v>1</v>
      </c>
      <c r="M144" s="9">
        <v>2</v>
      </c>
      <c r="N144" s="43">
        <v>2</v>
      </c>
      <c r="O144" s="260">
        <f t="shared" si="3"/>
        <v>0.35859414261160716</v>
      </c>
      <c r="P144" s="163" t="s">
        <v>111</v>
      </c>
      <c r="Q144" s="224">
        <v>2013</v>
      </c>
      <c r="R144" s="224">
        <v>837</v>
      </c>
      <c r="S144" s="224" t="s">
        <v>96</v>
      </c>
      <c r="T144" s="224">
        <v>65</v>
      </c>
      <c r="U144" s="224">
        <v>287</v>
      </c>
      <c r="V144" s="224">
        <v>615</v>
      </c>
      <c r="W144" s="224">
        <v>0.31818181818181818</v>
      </c>
      <c r="X144" s="224">
        <v>0.68181818181818188</v>
      </c>
      <c r="Y144" s="100" t="s">
        <v>126</v>
      </c>
      <c r="Z144" s="29">
        <v>1</v>
      </c>
      <c r="AA144" s="9">
        <v>1</v>
      </c>
      <c r="AB144" s="9">
        <v>1</v>
      </c>
      <c r="AC144" s="9">
        <v>2</v>
      </c>
      <c r="AD144" s="43">
        <v>2</v>
      </c>
      <c r="AE144" s="55">
        <v>0.35859414261160716</v>
      </c>
      <c r="AF144" s="52" t="s">
        <v>111</v>
      </c>
    </row>
    <row r="145" spans="1:32">
      <c r="A145" s="224">
        <v>2005</v>
      </c>
      <c r="B145" s="224">
        <v>233</v>
      </c>
      <c r="C145" s="224" t="s">
        <v>97</v>
      </c>
      <c r="D145" s="224">
        <v>187</v>
      </c>
      <c r="E145" s="224">
        <v>273</v>
      </c>
      <c r="F145" s="224">
        <v>147</v>
      </c>
      <c r="G145" s="224">
        <v>0.65</v>
      </c>
      <c r="H145" s="224">
        <v>0.35</v>
      </c>
      <c r="I145" s="304" t="s">
        <v>110</v>
      </c>
      <c r="J145" s="29">
        <v>1</v>
      </c>
      <c r="K145" s="9">
        <v>1</v>
      </c>
      <c r="L145" s="9">
        <v>1</v>
      </c>
      <c r="M145" s="9">
        <v>2</v>
      </c>
      <c r="N145" s="43">
        <v>2</v>
      </c>
      <c r="O145" s="260">
        <f t="shared" si="3"/>
        <v>0.35859414261160716</v>
      </c>
      <c r="P145" s="163" t="s">
        <v>111</v>
      </c>
      <c r="Q145" s="224">
        <v>2013</v>
      </c>
      <c r="R145" s="224">
        <v>2280</v>
      </c>
      <c r="S145" s="224" t="s">
        <v>97</v>
      </c>
      <c r="T145" s="224">
        <v>285</v>
      </c>
      <c r="U145" s="224">
        <v>944</v>
      </c>
      <c r="V145" s="224">
        <v>1621</v>
      </c>
      <c r="W145" s="224">
        <v>0.36803118908382071</v>
      </c>
      <c r="X145" s="224">
        <v>0.6319688109161794</v>
      </c>
      <c r="Y145" s="100" t="s">
        <v>126</v>
      </c>
      <c r="Z145" s="29">
        <v>1</v>
      </c>
      <c r="AA145" s="9">
        <v>1</v>
      </c>
      <c r="AB145" s="9">
        <v>1</v>
      </c>
      <c r="AC145" s="9">
        <v>2</v>
      </c>
      <c r="AD145" s="43">
        <v>2</v>
      </c>
      <c r="AE145" s="55">
        <v>0.35859414261160716</v>
      </c>
      <c r="AF145" s="52" t="s">
        <v>111</v>
      </c>
    </row>
    <row r="146" spans="1:32">
      <c r="A146" s="224">
        <v>2005</v>
      </c>
      <c r="B146" s="224">
        <v>200</v>
      </c>
      <c r="C146" s="224" t="s">
        <v>95</v>
      </c>
      <c r="D146" s="224">
        <v>111</v>
      </c>
      <c r="E146" s="224">
        <v>240</v>
      </c>
      <c r="F146" s="224">
        <v>71</v>
      </c>
      <c r="G146" s="224">
        <v>0.77170418006430863</v>
      </c>
      <c r="H146" s="224">
        <v>0.2282958199356914</v>
      </c>
      <c r="I146" s="304" t="s">
        <v>110</v>
      </c>
      <c r="J146" s="29">
        <v>1</v>
      </c>
      <c r="K146" s="9">
        <v>1</v>
      </c>
      <c r="L146" s="9">
        <v>1</v>
      </c>
      <c r="M146" s="9">
        <v>2</v>
      </c>
      <c r="N146" s="43">
        <v>2</v>
      </c>
      <c r="O146" s="260">
        <f t="shared" si="3"/>
        <v>0.35859414261160716</v>
      </c>
      <c r="P146" s="163" t="s">
        <v>111</v>
      </c>
      <c r="Q146" s="224">
        <v>2013</v>
      </c>
      <c r="R146" s="224">
        <v>1837</v>
      </c>
      <c r="S146" s="224" t="s">
        <v>95</v>
      </c>
      <c r="T146" s="224">
        <v>169</v>
      </c>
      <c r="U146" s="224">
        <v>549</v>
      </c>
      <c r="V146" s="224">
        <v>1457</v>
      </c>
      <c r="W146" s="224">
        <v>0.27367896311066803</v>
      </c>
      <c r="X146" s="224">
        <v>0.72632103688933203</v>
      </c>
      <c r="Y146" s="100" t="s">
        <v>126</v>
      </c>
      <c r="Z146" s="29">
        <v>1</v>
      </c>
      <c r="AA146" s="9">
        <v>1</v>
      </c>
      <c r="AB146" s="9">
        <v>1</v>
      </c>
      <c r="AC146" s="9">
        <v>2</v>
      </c>
      <c r="AD146" s="43">
        <v>2</v>
      </c>
      <c r="AE146" s="55">
        <v>0.35859414261160716</v>
      </c>
      <c r="AF146" s="52" t="s">
        <v>111</v>
      </c>
    </row>
    <row r="147" spans="1:32">
      <c r="A147" s="224">
        <v>2005</v>
      </c>
      <c r="B147" s="224">
        <v>98</v>
      </c>
      <c r="C147" s="224" t="s">
        <v>93</v>
      </c>
      <c r="D147" s="224">
        <v>65</v>
      </c>
      <c r="E147" s="224">
        <v>35</v>
      </c>
      <c r="F147" s="224">
        <v>128</v>
      </c>
      <c r="G147" s="224">
        <v>0.21472392638036811</v>
      </c>
      <c r="H147" s="224">
        <v>0.78527607361963192</v>
      </c>
      <c r="I147" s="304" t="s">
        <v>110</v>
      </c>
      <c r="J147" s="29">
        <v>1</v>
      </c>
      <c r="K147" s="9">
        <v>1</v>
      </c>
      <c r="L147" s="9">
        <v>1</v>
      </c>
      <c r="M147" s="9">
        <v>2</v>
      </c>
      <c r="N147" s="43">
        <v>2</v>
      </c>
      <c r="O147" s="260">
        <f t="shared" si="3"/>
        <v>0.35859414261160716</v>
      </c>
      <c r="P147" s="163" t="s">
        <v>111</v>
      </c>
      <c r="Q147" s="224">
        <v>2013</v>
      </c>
      <c r="R147" s="224">
        <v>2327</v>
      </c>
      <c r="S147" s="224" t="s">
        <v>93</v>
      </c>
      <c r="T147" s="224">
        <v>61</v>
      </c>
      <c r="U147" s="224">
        <v>404</v>
      </c>
      <c r="V147" s="224">
        <v>1984</v>
      </c>
      <c r="W147" s="224">
        <v>0.16917922948073699</v>
      </c>
      <c r="X147" s="224">
        <v>0.83082077051926295</v>
      </c>
      <c r="Y147" s="100" t="s">
        <v>126</v>
      </c>
      <c r="Z147" s="29">
        <v>1</v>
      </c>
      <c r="AA147" s="9">
        <v>1</v>
      </c>
      <c r="AB147" s="9">
        <v>1</v>
      </c>
      <c r="AC147" s="9">
        <v>2</v>
      </c>
      <c r="AD147" s="43">
        <v>2</v>
      </c>
      <c r="AE147" s="55">
        <v>0.35859414261160716</v>
      </c>
      <c r="AF147" s="52" t="s">
        <v>111</v>
      </c>
    </row>
    <row r="148" spans="1:32">
      <c r="A148" s="224">
        <v>2005</v>
      </c>
      <c r="B148" s="224">
        <v>2309</v>
      </c>
      <c r="C148" s="224" t="s">
        <v>98</v>
      </c>
      <c r="D148" s="224">
        <v>783</v>
      </c>
      <c r="E148" s="224">
        <v>3092</v>
      </c>
      <c r="F148" s="224">
        <v>0</v>
      </c>
      <c r="G148" s="224">
        <v>1</v>
      </c>
      <c r="H148" s="224">
        <v>0</v>
      </c>
      <c r="I148" s="304" t="s">
        <v>110</v>
      </c>
      <c r="J148" s="29">
        <v>1</v>
      </c>
      <c r="K148" s="9">
        <v>1</v>
      </c>
      <c r="L148" s="9">
        <v>1</v>
      </c>
      <c r="M148" s="9">
        <v>2</v>
      </c>
      <c r="N148" s="43">
        <v>2</v>
      </c>
      <c r="O148" s="260">
        <f t="shared" si="3"/>
        <v>0.35859414261160716</v>
      </c>
      <c r="P148" s="163" t="s">
        <v>111</v>
      </c>
      <c r="Q148" s="224">
        <v>2013</v>
      </c>
      <c r="R148" s="224">
        <v>11075</v>
      </c>
      <c r="S148" s="224" t="s">
        <v>98</v>
      </c>
      <c r="T148" s="224">
        <v>1270</v>
      </c>
      <c r="U148" s="224">
        <v>4844</v>
      </c>
      <c r="V148" s="224">
        <v>7501</v>
      </c>
      <c r="W148" s="224">
        <v>0.39238558120696643</v>
      </c>
      <c r="X148" s="224">
        <v>0.60761441879303368</v>
      </c>
      <c r="Y148" s="100" t="s">
        <v>126</v>
      </c>
      <c r="Z148" s="29">
        <v>1</v>
      </c>
      <c r="AA148" s="9">
        <v>1</v>
      </c>
      <c r="AB148" s="9">
        <v>1</v>
      </c>
      <c r="AC148" s="9">
        <v>2</v>
      </c>
      <c r="AD148" s="43">
        <v>2</v>
      </c>
      <c r="AE148" s="55">
        <v>0.35859414261160716</v>
      </c>
      <c r="AF148" s="52" t="s">
        <v>111</v>
      </c>
    </row>
    <row r="149" spans="1:32">
      <c r="A149" s="224">
        <v>2006</v>
      </c>
      <c r="B149" s="224">
        <v>1448</v>
      </c>
      <c r="C149" s="224" t="s">
        <v>85</v>
      </c>
      <c r="D149" s="224">
        <v>601</v>
      </c>
      <c r="E149" s="224">
        <v>2048</v>
      </c>
      <c r="F149" s="224">
        <v>1</v>
      </c>
      <c r="G149" s="224">
        <v>0.99951195705222062</v>
      </c>
      <c r="H149" s="224">
        <v>4.8804294777937679E-4</v>
      </c>
      <c r="I149" s="304" t="s">
        <v>110</v>
      </c>
      <c r="J149" s="29">
        <v>1</v>
      </c>
      <c r="K149" s="9">
        <v>1</v>
      </c>
      <c r="L149" s="9">
        <v>1</v>
      </c>
      <c r="M149" s="9">
        <v>2</v>
      </c>
      <c r="N149" s="43">
        <v>2</v>
      </c>
      <c r="O149" s="260">
        <f t="shared" si="3"/>
        <v>0.35859414261160716</v>
      </c>
      <c r="P149" s="163" t="s">
        <v>111</v>
      </c>
      <c r="Q149" s="224">
        <v>2014</v>
      </c>
      <c r="R149" s="224">
        <v>12281</v>
      </c>
      <c r="S149" s="224" t="s">
        <v>85</v>
      </c>
      <c r="T149" s="224">
        <v>3216</v>
      </c>
      <c r="U149" s="224">
        <v>2757</v>
      </c>
      <c r="V149" s="224">
        <v>12740</v>
      </c>
      <c r="W149" s="224">
        <v>0.17790540104536359</v>
      </c>
      <c r="X149" s="224">
        <v>0.82209459895463644</v>
      </c>
      <c r="Y149" s="100" t="s">
        <v>126</v>
      </c>
      <c r="Z149" s="29">
        <v>1</v>
      </c>
      <c r="AA149" s="9">
        <v>1</v>
      </c>
      <c r="AB149" s="9">
        <v>1</v>
      </c>
      <c r="AC149" s="9">
        <v>2</v>
      </c>
      <c r="AD149" s="43">
        <v>2</v>
      </c>
      <c r="AE149" s="55">
        <v>0.35859414261160716</v>
      </c>
      <c r="AF149" s="52" t="s">
        <v>111</v>
      </c>
    </row>
    <row r="150" spans="1:32">
      <c r="A150" s="224">
        <v>2006</v>
      </c>
      <c r="B150" s="224">
        <v>290</v>
      </c>
      <c r="C150" s="224" t="s">
        <v>86</v>
      </c>
      <c r="D150" s="224">
        <v>161</v>
      </c>
      <c r="E150" s="224">
        <v>351</v>
      </c>
      <c r="F150" s="224">
        <v>100</v>
      </c>
      <c r="G150" s="224">
        <v>0.7782705099778271</v>
      </c>
      <c r="H150" s="224">
        <v>0.2217294900221729</v>
      </c>
      <c r="I150" s="304" t="s">
        <v>110</v>
      </c>
      <c r="J150" s="29">
        <v>1</v>
      </c>
      <c r="K150" s="9">
        <v>1</v>
      </c>
      <c r="L150" s="9">
        <v>1</v>
      </c>
      <c r="M150" s="9">
        <v>2</v>
      </c>
      <c r="N150" s="43">
        <v>2</v>
      </c>
      <c r="O150" s="260">
        <f t="shared" si="3"/>
        <v>0.35859414261160716</v>
      </c>
      <c r="P150" s="163" t="s">
        <v>111</v>
      </c>
      <c r="Q150" s="224">
        <v>2014</v>
      </c>
      <c r="R150" s="224">
        <v>6150</v>
      </c>
      <c r="S150" s="224" t="s">
        <v>86</v>
      </c>
      <c r="T150" s="224">
        <v>1112</v>
      </c>
      <c r="U150" s="224">
        <v>1589</v>
      </c>
      <c r="V150" s="224">
        <v>5673</v>
      </c>
      <c r="W150" s="224">
        <v>0.21881024511153949</v>
      </c>
      <c r="X150" s="224">
        <v>0.78118975488846054</v>
      </c>
      <c r="Y150" s="100" t="s">
        <v>126</v>
      </c>
      <c r="Z150" s="29">
        <v>1</v>
      </c>
      <c r="AA150" s="9">
        <v>1</v>
      </c>
      <c r="AB150" s="9">
        <v>1</v>
      </c>
      <c r="AC150" s="9">
        <v>2</v>
      </c>
      <c r="AD150" s="43">
        <v>2</v>
      </c>
      <c r="AE150" s="55">
        <v>0.35859414261160716</v>
      </c>
      <c r="AF150" s="52" t="s">
        <v>111</v>
      </c>
    </row>
    <row r="151" spans="1:32">
      <c r="A151" s="224">
        <v>2006</v>
      </c>
      <c r="B151" s="224">
        <v>955</v>
      </c>
      <c r="C151" s="224" t="s">
        <v>87</v>
      </c>
      <c r="D151" s="224">
        <v>251</v>
      </c>
      <c r="E151" s="224">
        <v>418</v>
      </c>
      <c r="F151" s="224">
        <v>788</v>
      </c>
      <c r="G151" s="224">
        <v>0.34660033167495852</v>
      </c>
      <c r="H151" s="224">
        <v>0.65339966832504148</v>
      </c>
      <c r="I151" s="304" t="s">
        <v>110</v>
      </c>
      <c r="J151" s="29">
        <v>1</v>
      </c>
      <c r="K151" s="9">
        <v>1</v>
      </c>
      <c r="L151" s="9">
        <v>1</v>
      </c>
      <c r="M151" s="9">
        <v>2</v>
      </c>
      <c r="N151" s="43">
        <v>2</v>
      </c>
      <c r="O151" s="260">
        <f t="shared" si="3"/>
        <v>0.35859414261160716</v>
      </c>
      <c r="P151" s="163" t="s">
        <v>111</v>
      </c>
      <c r="Q151" s="224">
        <v>2014</v>
      </c>
      <c r="R151" s="224">
        <v>8482</v>
      </c>
      <c r="S151" s="224" t="s">
        <v>87</v>
      </c>
      <c r="T151" s="224">
        <v>718</v>
      </c>
      <c r="U151" s="224">
        <v>1051</v>
      </c>
      <c r="V151" s="224">
        <v>8149</v>
      </c>
      <c r="W151" s="224">
        <v>0.11423913043478259</v>
      </c>
      <c r="X151" s="224">
        <v>0.88576086956521738</v>
      </c>
      <c r="Y151" s="100" t="s">
        <v>126</v>
      </c>
      <c r="Z151" s="29">
        <v>1</v>
      </c>
      <c r="AA151" s="9">
        <v>1</v>
      </c>
      <c r="AB151" s="9">
        <v>1</v>
      </c>
      <c r="AC151" s="9">
        <v>2</v>
      </c>
      <c r="AD151" s="43">
        <v>2</v>
      </c>
      <c r="AE151" s="55">
        <v>0.35859414261160716</v>
      </c>
      <c r="AF151" s="52" t="s">
        <v>111</v>
      </c>
    </row>
    <row r="152" spans="1:32">
      <c r="A152" s="224">
        <v>2006</v>
      </c>
      <c r="B152" s="224">
        <v>13</v>
      </c>
      <c r="C152" s="224" t="s">
        <v>88</v>
      </c>
      <c r="D152" s="224">
        <v>52</v>
      </c>
      <c r="E152" s="224">
        <v>65</v>
      </c>
      <c r="F152" s="224">
        <v>0</v>
      </c>
      <c r="G152" s="224">
        <v>1</v>
      </c>
      <c r="H152" s="224">
        <v>0</v>
      </c>
      <c r="I152" s="304" t="s">
        <v>110</v>
      </c>
      <c r="J152" s="29">
        <v>1</v>
      </c>
      <c r="K152" s="9">
        <v>1</v>
      </c>
      <c r="L152" s="9">
        <v>1</v>
      </c>
      <c r="M152" s="9">
        <v>2</v>
      </c>
      <c r="N152" s="43">
        <v>2</v>
      </c>
      <c r="O152" s="260">
        <f t="shared" si="3"/>
        <v>0.35859414261160716</v>
      </c>
      <c r="P152" s="163" t="s">
        <v>111</v>
      </c>
      <c r="Q152" s="224">
        <v>2014</v>
      </c>
      <c r="R152" s="224">
        <v>1721</v>
      </c>
      <c r="S152" s="224" t="s">
        <v>88</v>
      </c>
      <c r="T152" s="224">
        <v>68</v>
      </c>
      <c r="U152" s="224">
        <v>282</v>
      </c>
      <c r="V152" s="224">
        <v>1507</v>
      </c>
      <c r="W152" s="224">
        <v>0.15762996087199549</v>
      </c>
      <c r="X152" s="224">
        <v>0.84237003912800446</v>
      </c>
      <c r="Y152" s="100" t="s">
        <v>126</v>
      </c>
      <c r="Z152" s="29">
        <v>1</v>
      </c>
      <c r="AA152" s="9">
        <v>1</v>
      </c>
      <c r="AB152" s="9">
        <v>1</v>
      </c>
      <c r="AC152" s="9">
        <v>2</v>
      </c>
      <c r="AD152" s="43">
        <v>2</v>
      </c>
      <c r="AE152" s="55">
        <v>0.35859414261160716</v>
      </c>
      <c r="AF152" s="52" t="s">
        <v>111</v>
      </c>
    </row>
    <row r="153" spans="1:32">
      <c r="A153" s="224">
        <v>2006</v>
      </c>
      <c r="B153" s="224">
        <v>191</v>
      </c>
      <c r="C153" s="224" t="s">
        <v>89</v>
      </c>
      <c r="D153" s="224">
        <v>41</v>
      </c>
      <c r="E153" s="224">
        <v>172</v>
      </c>
      <c r="F153" s="224">
        <v>60</v>
      </c>
      <c r="G153" s="224">
        <v>0.74137931034482762</v>
      </c>
      <c r="H153" s="224">
        <v>0.25862068965517238</v>
      </c>
      <c r="I153" s="304" t="s">
        <v>110</v>
      </c>
      <c r="J153" s="29">
        <v>1</v>
      </c>
      <c r="K153" s="9">
        <v>1</v>
      </c>
      <c r="L153" s="9">
        <v>1</v>
      </c>
      <c r="M153" s="9">
        <v>2</v>
      </c>
      <c r="N153" s="43">
        <v>2</v>
      </c>
      <c r="O153" s="260">
        <f t="shared" si="3"/>
        <v>0.35859414261160716</v>
      </c>
      <c r="P153" s="163" t="s">
        <v>111</v>
      </c>
      <c r="Q153" s="224">
        <v>2014</v>
      </c>
      <c r="R153" s="224">
        <v>2023</v>
      </c>
      <c r="S153" s="224" t="s">
        <v>89</v>
      </c>
      <c r="T153" s="224">
        <v>58</v>
      </c>
      <c r="U153" s="224">
        <v>130</v>
      </c>
      <c r="V153" s="224">
        <v>1951</v>
      </c>
      <c r="W153" s="224">
        <v>6.2469966362325803E-2</v>
      </c>
      <c r="X153" s="224">
        <v>0.93753003363767418</v>
      </c>
      <c r="Y153" s="100" t="s">
        <v>126</v>
      </c>
      <c r="Z153" s="29">
        <v>1</v>
      </c>
      <c r="AA153" s="9">
        <v>1</v>
      </c>
      <c r="AB153" s="9">
        <v>1</v>
      </c>
      <c r="AC153" s="9">
        <v>2</v>
      </c>
      <c r="AD153" s="43">
        <v>2</v>
      </c>
      <c r="AE153" s="55">
        <v>0.35859414261160716</v>
      </c>
      <c r="AF153" s="52" t="s">
        <v>111</v>
      </c>
    </row>
    <row r="154" spans="1:32">
      <c r="A154" s="224">
        <v>2006</v>
      </c>
      <c r="B154" s="224">
        <v>610</v>
      </c>
      <c r="C154" s="224" t="s">
        <v>90</v>
      </c>
      <c r="D154" s="224">
        <v>130</v>
      </c>
      <c r="E154" s="224">
        <v>533</v>
      </c>
      <c r="F154" s="224">
        <v>207</v>
      </c>
      <c r="G154" s="224">
        <v>0.72027027027027024</v>
      </c>
      <c r="H154" s="224">
        <v>0.27972972972972981</v>
      </c>
      <c r="I154" s="304" t="s">
        <v>110</v>
      </c>
      <c r="J154" s="29">
        <v>1</v>
      </c>
      <c r="K154" s="9">
        <v>1</v>
      </c>
      <c r="L154" s="9">
        <v>1</v>
      </c>
      <c r="M154" s="9">
        <v>2</v>
      </c>
      <c r="N154" s="43">
        <v>2</v>
      </c>
      <c r="O154" s="260">
        <f t="shared" si="3"/>
        <v>0.35859414261160716</v>
      </c>
      <c r="P154" s="163" t="s">
        <v>111</v>
      </c>
      <c r="Q154" s="224">
        <v>2014</v>
      </c>
      <c r="R154" s="224">
        <v>7535</v>
      </c>
      <c r="S154" s="224" t="s">
        <v>90</v>
      </c>
      <c r="T154" s="224">
        <v>378</v>
      </c>
      <c r="U154" s="224">
        <v>1847</v>
      </c>
      <c r="V154" s="224">
        <v>6066</v>
      </c>
      <c r="W154" s="224">
        <v>0.23341337040313409</v>
      </c>
      <c r="X154" s="224">
        <v>0.76658662959686596</v>
      </c>
      <c r="Y154" s="100" t="s">
        <v>126</v>
      </c>
      <c r="Z154" s="29">
        <v>1</v>
      </c>
      <c r="AA154" s="9">
        <v>1</v>
      </c>
      <c r="AB154" s="9">
        <v>1</v>
      </c>
      <c r="AC154" s="9">
        <v>2</v>
      </c>
      <c r="AD154" s="43">
        <v>2</v>
      </c>
      <c r="AE154" s="55">
        <v>0.35859414261160716</v>
      </c>
      <c r="AF154" s="52" t="s">
        <v>111</v>
      </c>
    </row>
    <row r="155" spans="1:32">
      <c r="A155" s="224">
        <v>2006</v>
      </c>
      <c r="B155" s="224">
        <v>177</v>
      </c>
      <c r="C155" s="224" t="s">
        <v>91</v>
      </c>
      <c r="D155" s="224">
        <v>157</v>
      </c>
      <c r="E155" s="224">
        <v>334</v>
      </c>
      <c r="F155" s="224">
        <v>0</v>
      </c>
      <c r="G155" s="224">
        <v>1</v>
      </c>
      <c r="H155" s="224">
        <v>0</v>
      </c>
      <c r="I155" s="304" t="s">
        <v>110</v>
      </c>
      <c r="J155" s="29">
        <v>1</v>
      </c>
      <c r="K155" s="9">
        <v>1</v>
      </c>
      <c r="L155" s="9">
        <v>1</v>
      </c>
      <c r="M155" s="9">
        <v>2</v>
      </c>
      <c r="N155" s="43">
        <v>2</v>
      </c>
      <c r="O155" s="260">
        <f t="shared" si="3"/>
        <v>0.35859414261160716</v>
      </c>
      <c r="P155" s="163" t="s">
        <v>111</v>
      </c>
      <c r="Q155" s="224">
        <v>2014</v>
      </c>
      <c r="R155" s="224">
        <v>2830</v>
      </c>
      <c r="S155" s="224" t="s">
        <v>91</v>
      </c>
      <c r="T155" s="224">
        <v>960</v>
      </c>
      <c r="U155" s="224">
        <v>280</v>
      </c>
      <c r="V155" s="224">
        <v>3510</v>
      </c>
      <c r="W155" s="224">
        <v>7.3878627968337732E-2</v>
      </c>
      <c r="X155" s="224">
        <v>0.92612137203166223</v>
      </c>
      <c r="Y155" s="100" t="s">
        <v>126</v>
      </c>
      <c r="Z155" s="29">
        <v>1</v>
      </c>
      <c r="AA155" s="9">
        <v>1</v>
      </c>
      <c r="AB155" s="9">
        <v>1</v>
      </c>
      <c r="AC155" s="9">
        <v>2</v>
      </c>
      <c r="AD155" s="43">
        <v>2</v>
      </c>
      <c r="AE155" s="55">
        <v>0.35859414261160716</v>
      </c>
      <c r="AF155" s="52" t="s">
        <v>111</v>
      </c>
    </row>
    <row r="156" spans="1:32">
      <c r="A156" s="224">
        <v>2006</v>
      </c>
      <c r="B156" s="224">
        <v>122</v>
      </c>
      <c r="C156" s="224" t="s">
        <v>94</v>
      </c>
      <c r="D156" s="224">
        <v>15</v>
      </c>
      <c r="E156" s="224">
        <v>137</v>
      </c>
      <c r="F156" s="224">
        <v>0</v>
      </c>
      <c r="G156" s="224">
        <v>1</v>
      </c>
      <c r="H156" s="224">
        <v>0</v>
      </c>
      <c r="I156" s="304" t="s">
        <v>110</v>
      </c>
      <c r="J156" s="29">
        <v>1</v>
      </c>
      <c r="K156" s="9">
        <v>1</v>
      </c>
      <c r="L156" s="9">
        <v>1</v>
      </c>
      <c r="M156" s="9">
        <v>2</v>
      </c>
      <c r="N156" s="43">
        <v>2</v>
      </c>
      <c r="O156" s="260">
        <f t="shared" si="3"/>
        <v>0.35859414261160716</v>
      </c>
      <c r="P156" s="163" t="s">
        <v>111</v>
      </c>
      <c r="Q156" s="224">
        <v>2014</v>
      </c>
      <c r="R156" s="224">
        <v>737</v>
      </c>
      <c r="S156" s="224" t="s">
        <v>94</v>
      </c>
      <c r="T156" s="224">
        <v>179</v>
      </c>
      <c r="U156" s="224">
        <v>160</v>
      </c>
      <c r="V156" s="224">
        <v>756</v>
      </c>
      <c r="W156" s="224">
        <v>0.1746724890829694</v>
      </c>
      <c r="X156" s="224">
        <v>0.8253275109170306</v>
      </c>
      <c r="Y156" s="100" t="s">
        <v>126</v>
      </c>
      <c r="Z156" s="29">
        <v>1</v>
      </c>
      <c r="AA156" s="9">
        <v>1</v>
      </c>
      <c r="AB156" s="9">
        <v>1</v>
      </c>
      <c r="AC156" s="9">
        <v>2</v>
      </c>
      <c r="AD156" s="43">
        <v>2</v>
      </c>
      <c r="AE156" s="55">
        <v>0.35859414261160716</v>
      </c>
      <c r="AF156" s="52" t="s">
        <v>111</v>
      </c>
    </row>
    <row r="157" spans="1:32">
      <c r="A157" s="224">
        <v>2006</v>
      </c>
      <c r="B157" s="224">
        <v>204</v>
      </c>
      <c r="C157" s="224" t="s">
        <v>96</v>
      </c>
      <c r="D157" s="224">
        <v>75</v>
      </c>
      <c r="E157" s="224">
        <v>214</v>
      </c>
      <c r="F157" s="224">
        <v>65</v>
      </c>
      <c r="G157" s="224">
        <v>0.76702508960573479</v>
      </c>
      <c r="H157" s="224">
        <v>0.23297491039426521</v>
      </c>
      <c r="I157" s="304" t="s">
        <v>110</v>
      </c>
      <c r="J157" s="29">
        <v>1</v>
      </c>
      <c r="K157" s="9">
        <v>1</v>
      </c>
      <c r="L157" s="9">
        <v>1</v>
      </c>
      <c r="M157" s="9">
        <v>2</v>
      </c>
      <c r="N157" s="43">
        <v>2</v>
      </c>
      <c r="O157" s="260">
        <f t="shared" si="3"/>
        <v>0.35859414261160716</v>
      </c>
      <c r="P157" s="163" t="s">
        <v>111</v>
      </c>
      <c r="Q157" s="224">
        <v>2014</v>
      </c>
      <c r="R157" s="224">
        <v>1092</v>
      </c>
      <c r="S157" s="224" t="s">
        <v>96</v>
      </c>
      <c r="T157" s="224">
        <v>95</v>
      </c>
      <c r="U157" s="224">
        <v>290</v>
      </c>
      <c r="V157" s="224">
        <v>897</v>
      </c>
      <c r="W157" s="224">
        <v>0.2443133951137321</v>
      </c>
      <c r="X157" s="224">
        <v>0.75568660488626793</v>
      </c>
      <c r="Y157" s="100" t="s">
        <v>126</v>
      </c>
      <c r="Z157" s="29">
        <v>1</v>
      </c>
      <c r="AA157" s="9">
        <v>1</v>
      </c>
      <c r="AB157" s="9">
        <v>1</v>
      </c>
      <c r="AC157" s="9">
        <v>2</v>
      </c>
      <c r="AD157" s="43">
        <v>2</v>
      </c>
      <c r="AE157" s="55">
        <v>0.35859414261160716</v>
      </c>
      <c r="AF157" s="52" t="s">
        <v>111</v>
      </c>
    </row>
    <row r="158" spans="1:32">
      <c r="A158" s="224">
        <v>2006</v>
      </c>
      <c r="B158" s="224">
        <v>126</v>
      </c>
      <c r="C158" s="224" t="s">
        <v>97</v>
      </c>
      <c r="D158" s="224">
        <v>202</v>
      </c>
      <c r="E158" s="224">
        <v>288</v>
      </c>
      <c r="F158" s="224">
        <v>40</v>
      </c>
      <c r="G158" s="224">
        <v>0.87804878048780488</v>
      </c>
      <c r="H158" s="224">
        <v>0.12195121951219511</v>
      </c>
      <c r="I158" s="304" t="s">
        <v>110</v>
      </c>
      <c r="J158" s="29">
        <v>1</v>
      </c>
      <c r="K158" s="9">
        <v>1</v>
      </c>
      <c r="L158" s="9">
        <v>1</v>
      </c>
      <c r="M158" s="9">
        <v>2</v>
      </c>
      <c r="N158" s="43">
        <v>2</v>
      </c>
      <c r="O158" s="260">
        <f t="shared" si="3"/>
        <v>0.35859414261160716</v>
      </c>
      <c r="P158" s="163" t="s">
        <v>111</v>
      </c>
      <c r="Q158" s="224">
        <v>2014</v>
      </c>
      <c r="R158" s="224">
        <v>3176</v>
      </c>
      <c r="S158" s="224" t="s">
        <v>97</v>
      </c>
      <c r="T158" s="224">
        <v>329</v>
      </c>
      <c r="U158" s="224">
        <v>907</v>
      </c>
      <c r="V158" s="224">
        <v>2598</v>
      </c>
      <c r="W158" s="224">
        <v>0.2587731811697575</v>
      </c>
      <c r="X158" s="224">
        <v>0.74122681883024244</v>
      </c>
      <c r="Y158" s="100" t="s">
        <v>126</v>
      </c>
      <c r="Z158" s="29">
        <v>1</v>
      </c>
      <c r="AA158" s="9">
        <v>1</v>
      </c>
      <c r="AB158" s="9">
        <v>1</v>
      </c>
      <c r="AC158" s="9">
        <v>2</v>
      </c>
      <c r="AD158" s="43">
        <v>2</v>
      </c>
      <c r="AE158" s="55">
        <v>0.35859414261160716</v>
      </c>
      <c r="AF158" s="52" t="s">
        <v>111</v>
      </c>
    </row>
    <row r="159" spans="1:32">
      <c r="A159" s="224">
        <v>2006</v>
      </c>
      <c r="B159" s="224">
        <v>241</v>
      </c>
      <c r="C159" s="224" t="s">
        <v>95</v>
      </c>
      <c r="D159" s="224">
        <v>81</v>
      </c>
      <c r="E159" s="224">
        <v>272</v>
      </c>
      <c r="F159" s="224">
        <v>50</v>
      </c>
      <c r="G159" s="224">
        <v>0.84472049689440998</v>
      </c>
      <c r="H159" s="224">
        <v>0.15527950310558999</v>
      </c>
      <c r="I159" s="304" t="s">
        <v>110</v>
      </c>
      <c r="J159" s="29">
        <v>1</v>
      </c>
      <c r="K159" s="9">
        <v>1</v>
      </c>
      <c r="L159" s="9">
        <v>1</v>
      </c>
      <c r="M159" s="9">
        <v>2</v>
      </c>
      <c r="N159" s="43">
        <v>2</v>
      </c>
      <c r="O159" s="260">
        <f t="shared" si="3"/>
        <v>0.35859414261160716</v>
      </c>
      <c r="P159" s="163" t="s">
        <v>111</v>
      </c>
      <c r="Q159" s="224">
        <v>2014</v>
      </c>
      <c r="R159" s="224">
        <v>2491</v>
      </c>
      <c r="S159" s="224" t="s">
        <v>95</v>
      </c>
      <c r="T159" s="224">
        <v>214</v>
      </c>
      <c r="U159" s="224">
        <v>600</v>
      </c>
      <c r="V159" s="224">
        <v>2105</v>
      </c>
      <c r="W159" s="224">
        <v>0.22181146025878001</v>
      </c>
      <c r="X159" s="224">
        <v>0.77818853974121993</v>
      </c>
      <c r="Y159" s="100" t="s">
        <v>126</v>
      </c>
      <c r="Z159" s="29">
        <v>1</v>
      </c>
      <c r="AA159" s="9">
        <v>1</v>
      </c>
      <c r="AB159" s="9">
        <v>1</v>
      </c>
      <c r="AC159" s="9">
        <v>2</v>
      </c>
      <c r="AD159" s="43">
        <v>2</v>
      </c>
      <c r="AE159" s="55">
        <v>0.35859414261160716</v>
      </c>
      <c r="AF159" s="52" t="s">
        <v>111</v>
      </c>
    </row>
    <row r="160" spans="1:32">
      <c r="A160" s="224">
        <v>2006</v>
      </c>
      <c r="B160" s="224">
        <v>98</v>
      </c>
      <c r="C160" s="224" t="s">
        <v>93</v>
      </c>
      <c r="D160" s="224">
        <v>60</v>
      </c>
      <c r="E160" s="224">
        <v>46</v>
      </c>
      <c r="F160" s="224">
        <v>112</v>
      </c>
      <c r="G160" s="224">
        <v>0.29113924050632911</v>
      </c>
      <c r="H160" s="224">
        <v>0.70886075949367089</v>
      </c>
      <c r="I160" s="304" t="s">
        <v>110</v>
      </c>
      <c r="J160" s="29">
        <v>1</v>
      </c>
      <c r="K160" s="9">
        <v>1</v>
      </c>
      <c r="L160" s="9">
        <v>1</v>
      </c>
      <c r="M160" s="9">
        <v>2</v>
      </c>
      <c r="N160" s="43">
        <v>2</v>
      </c>
      <c r="O160" s="260">
        <f t="shared" si="3"/>
        <v>0.35859414261160716</v>
      </c>
      <c r="P160" s="163" t="s">
        <v>111</v>
      </c>
      <c r="Q160" s="224">
        <v>2014</v>
      </c>
      <c r="R160" s="224">
        <v>3000</v>
      </c>
      <c r="S160" s="224" t="s">
        <v>93</v>
      </c>
      <c r="T160" s="224">
        <v>66</v>
      </c>
      <c r="U160" s="224">
        <v>426</v>
      </c>
      <c r="V160" s="224">
        <v>2640</v>
      </c>
      <c r="W160" s="224">
        <v>0.13894324853228959</v>
      </c>
      <c r="X160" s="224">
        <v>0.86105675146771032</v>
      </c>
      <c r="Y160" s="100" t="s">
        <v>126</v>
      </c>
      <c r="Z160" s="29">
        <v>1</v>
      </c>
      <c r="AA160" s="9">
        <v>1</v>
      </c>
      <c r="AB160" s="9">
        <v>1</v>
      </c>
      <c r="AC160" s="9">
        <v>2</v>
      </c>
      <c r="AD160" s="43">
        <v>2</v>
      </c>
      <c r="AE160" s="55">
        <v>0.35859414261160716</v>
      </c>
      <c r="AF160" s="52" t="s">
        <v>111</v>
      </c>
    </row>
    <row r="161" spans="1:32">
      <c r="A161" s="224">
        <v>2006</v>
      </c>
      <c r="B161" s="224">
        <v>2399</v>
      </c>
      <c r="C161" s="224" t="s">
        <v>98</v>
      </c>
      <c r="D161" s="224">
        <v>841</v>
      </c>
      <c r="E161" s="224">
        <v>3240</v>
      </c>
      <c r="F161" s="224">
        <v>0</v>
      </c>
      <c r="G161" s="224">
        <v>1</v>
      </c>
      <c r="H161" s="224">
        <v>0</v>
      </c>
      <c r="I161" s="304" t="s">
        <v>110</v>
      </c>
      <c r="J161" s="29">
        <v>1</v>
      </c>
      <c r="K161" s="9">
        <v>1</v>
      </c>
      <c r="L161" s="9">
        <v>1</v>
      </c>
      <c r="M161" s="9">
        <v>2</v>
      </c>
      <c r="N161" s="43">
        <v>2</v>
      </c>
      <c r="O161" s="260">
        <f t="shared" si="3"/>
        <v>0.35859414261160716</v>
      </c>
      <c r="P161" s="163" t="s">
        <v>111</v>
      </c>
      <c r="Q161" s="224">
        <v>2014</v>
      </c>
      <c r="R161" s="224">
        <v>13212</v>
      </c>
      <c r="S161" s="224" t="s">
        <v>98</v>
      </c>
      <c r="T161" s="224">
        <v>1633</v>
      </c>
      <c r="U161" s="224">
        <v>4942</v>
      </c>
      <c r="V161" s="224">
        <v>9903</v>
      </c>
      <c r="W161" s="224">
        <v>0.33290670259346578</v>
      </c>
      <c r="X161" s="224">
        <v>0.66709329740653422</v>
      </c>
      <c r="Y161" s="100" t="s">
        <v>126</v>
      </c>
      <c r="Z161" s="29">
        <v>1</v>
      </c>
      <c r="AA161" s="9">
        <v>1</v>
      </c>
      <c r="AB161" s="9">
        <v>1</v>
      </c>
      <c r="AC161" s="9">
        <v>2</v>
      </c>
      <c r="AD161" s="43">
        <v>2</v>
      </c>
      <c r="AE161" s="55">
        <v>0.35859414261160716</v>
      </c>
      <c r="AF161" s="52" t="s">
        <v>111</v>
      </c>
    </row>
    <row r="162" spans="1:32">
      <c r="A162" s="224">
        <v>2007</v>
      </c>
      <c r="B162" s="224">
        <v>1685</v>
      </c>
      <c r="C162" s="224" t="s">
        <v>85</v>
      </c>
      <c r="D162" s="224">
        <v>651</v>
      </c>
      <c r="E162" s="224">
        <v>2114</v>
      </c>
      <c r="F162" s="224">
        <v>222</v>
      </c>
      <c r="G162" s="224">
        <v>0.90496575342465757</v>
      </c>
      <c r="H162" s="224">
        <v>9.5034246575342429E-2</v>
      </c>
      <c r="I162" s="304" t="s">
        <v>110</v>
      </c>
      <c r="J162" s="29">
        <v>1</v>
      </c>
      <c r="K162" s="9">
        <v>1</v>
      </c>
      <c r="L162" s="9">
        <v>1</v>
      </c>
      <c r="M162" s="9">
        <v>2</v>
      </c>
      <c r="N162" s="43">
        <v>2</v>
      </c>
      <c r="O162" s="260">
        <f t="shared" si="3"/>
        <v>0.35859414261160716</v>
      </c>
      <c r="P162" s="163" t="s">
        <v>111</v>
      </c>
      <c r="Q162" s="224">
        <v>2015</v>
      </c>
      <c r="R162" s="224">
        <v>12194</v>
      </c>
      <c r="S162" s="224" t="s">
        <v>85</v>
      </c>
      <c r="T162" s="224">
        <v>3427</v>
      </c>
      <c r="U162" s="224">
        <v>2694</v>
      </c>
      <c r="V162" s="224">
        <v>12927</v>
      </c>
      <c r="W162" s="224">
        <v>0.17246014979834839</v>
      </c>
      <c r="X162" s="224">
        <v>0.82753985020165166</v>
      </c>
      <c r="Y162" s="100" t="s">
        <v>126</v>
      </c>
      <c r="Z162" s="29">
        <v>1</v>
      </c>
      <c r="AA162" s="9">
        <v>1</v>
      </c>
      <c r="AB162" s="9">
        <v>1</v>
      </c>
      <c r="AC162" s="9">
        <v>2</v>
      </c>
      <c r="AD162" s="43">
        <v>2</v>
      </c>
      <c r="AE162" s="55">
        <v>0.35859414261160716</v>
      </c>
      <c r="AF162" s="52" t="s">
        <v>111</v>
      </c>
    </row>
    <row r="163" spans="1:32">
      <c r="A163" s="224">
        <v>2007</v>
      </c>
      <c r="B163" s="224">
        <v>290</v>
      </c>
      <c r="C163" s="224" t="s">
        <v>86</v>
      </c>
      <c r="D163" s="224">
        <v>160</v>
      </c>
      <c r="E163" s="224">
        <v>380</v>
      </c>
      <c r="F163" s="224">
        <v>70</v>
      </c>
      <c r="G163" s="224">
        <v>0.84444444444444444</v>
      </c>
      <c r="H163" s="224">
        <v>0.15555555555555561</v>
      </c>
      <c r="I163" s="304" t="s">
        <v>110</v>
      </c>
      <c r="J163" s="29">
        <v>1</v>
      </c>
      <c r="K163" s="9">
        <v>1</v>
      </c>
      <c r="L163" s="9">
        <v>1</v>
      </c>
      <c r="M163" s="9">
        <v>2</v>
      </c>
      <c r="N163" s="43">
        <v>2</v>
      </c>
      <c r="O163" s="260">
        <f t="shared" si="3"/>
        <v>0.35859414261160716</v>
      </c>
      <c r="P163" s="163" t="s">
        <v>111</v>
      </c>
      <c r="Q163" s="224">
        <v>2015</v>
      </c>
      <c r="R163" s="224">
        <v>5847</v>
      </c>
      <c r="S163" s="224" t="s">
        <v>86</v>
      </c>
      <c r="T163" s="224">
        <v>1146</v>
      </c>
      <c r="U163" s="224">
        <v>1354</v>
      </c>
      <c r="V163" s="224">
        <v>5639</v>
      </c>
      <c r="W163" s="224">
        <v>0.1936221936221936</v>
      </c>
      <c r="X163" s="224">
        <v>0.80637780637780643</v>
      </c>
      <c r="Y163" s="100" t="s">
        <v>126</v>
      </c>
      <c r="Z163" s="29">
        <v>1</v>
      </c>
      <c r="AA163" s="9">
        <v>1</v>
      </c>
      <c r="AB163" s="9">
        <v>1</v>
      </c>
      <c r="AC163" s="9">
        <v>2</v>
      </c>
      <c r="AD163" s="43">
        <v>2</v>
      </c>
      <c r="AE163" s="55">
        <v>0.35859414261160716</v>
      </c>
      <c r="AF163" s="52" t="s">
        <v>111</v>
      </c>
    </row>
    <row r="164" spans="1:32">
      <c r="A164" s="224">
        <v>2007</v>
      </c>
      <c r="B164" s="224">
        <v>1021</v>
      </c>
      <c r="C164" s="224" t="s">
        <v>87</v>
      </c>
      <c r="D164" s="224">
        <v>239</v>
      </c>
      <c r="E164" s="224">
        <v>313</v>
      </c>
      <c r="F164" s="224">
        <v>947</v>
      </c>
      <c r="G164" s="224">
        <v>0.24841269841269839</v>
      </c>
      <c r="H164" s="224">
        <v>0.75158730158730158</v>
      </c>
      <c r="I164" s="304" t="s">
        <v>110</v>
      </c>
      <c r="J164" s="29">
        <v>1</v>
      </c>
      <c r="K164" s="9">
        <v>1</v>
      </c>
      <c r="L164" s="9">
        <v>1</v>
      </c>
      <c r="M164" s="9">
        <v>2</v>
      </c>
      <c r="N164" s="43">
        <v>2</v>
      </c>
      <c r="O164" s="260">
        <f t="shared" si="3"/>
        <v>0.35859414261160716</v>
      </c>
      <c r="P164" s="163" t="s">
        <v>111</v>
      </c>
      <c r="Q164" s="224">
        <v>2015</v>
      </c>
      <c r="R164" s="224">
        <v>8085</v>
      </c>
      <c r="S164" s="224" t="s">
        <v>87</v>
      </c>
      <c r="T164" s="224">
        <v>886</v>
      </c>
      <c r="U164" s="224">
        <v>1027</v>
      </c>
      <c r="V164" s="224">
        <v>7944</v>
      </c>
      <c r="W164" s="224">
        <v>0.11447999108237659</v>
      </c>
      <c r="X164" s="224">
        <v>0.88552000891762339</v>
      </c>
      <c r="Y164" s="100" t="s">
        <v>126</v>
      </c>
      <c r="Z164" s="29">
        <v>1</v>
      </c>
      <c r="AA164" s="9">
        <v>1</v>
      </c>
      <c r="AB164" s="9">
        <v>1</v>
      </c>
      <c r="AC164" s="9">
        <v>2</v>
      </c>
      <c r="AD164" s="43">
        <v>2</v>
      </c>
      <c r="AE164" s="55">
        <v>0.35859414261160716</v>
      </c>
      <c r="AF164" s="52" t="s">
        <v>111</v>
      </c>
    </row>
    <row r="165" spans="1:32">
      <c r="A165" s="224">
        <v>2007</v>
      </c>
      <c r="B165" s="224">
        <v>8</v>
      </c>
      <c r="C165" s="224" t="s">
        <v>88</v>
      </c>
      <c r="D165" s="224">
        <v>58</v>
      </c>
      <c r="E165" s="224">
        <v>66</v>
      </c>
      <c r="F165" s="224">
        <v>0</v>
      </c>
      <c r="G165" s="224">
        <v>1</v>
      </c>
      <c r="H165" s="224">
        <v>0</v>
      </c>
      <c r="I165" s="304" t="s">
        <v>110</v>
      </c>
      <c r="J165" s="29">
        <v>1</v>
      </c>
      <c r="K165" s="9">
        <v>1</v>
      </c>
      <c r="L165" s="9">
        <v>1</v>
      </c>
      <c r="M165" s="9">
        <v>2</v>
      </c>
      <c r="N165" s="43">
        <v>2</v>
      </c>
      <c r="O165" s="260">
        <f t="shared" si="3"/>
        <v>0.35859414261160716</v>
      </c>
      <c r="P165" s="163" t="s">
        <v>111</v>
      </c>
      <c r="Q165" s="224">
        <v>2015</v>
      </c>
      <c r="R165" s="224">
        <v>1554</v>
      </c>
      <c r="S165" s="224" t="s">
        <v>88</v>
      </c>
      <c r="T165" s="224">
        <v>93</v>
      </c>
      <c r="U165" s="224">
        <v>288</v>
      </c>
      <c r="V165" s="224">
        <v>1359</v>
      </c>
      <c r="W165" s="224">
        <v>0.1748633879781421</v>
      </c>
      <c r="X165" s="224">
        <v>0.82513661202185795</v>
      </c>
      <c r="Y165" s="100" t="s">
        <v>126</v>
      </c>
      <c r="Z165" s="29">
        <v>1</v>
      </c>
      <c r="AA165" s="9">
        <v>1</v>
      </c>
      <c r="AB165" s="9">
        <v>1</v>
      </c>
      <c r="AC165" s="9">
        <v>2</v>
      </c>
      <c r="AD165" s="43">
        <v>2</v>
      </c>
      <c r="AE165" s="55">
        <v>0.35859414261160716</v>
      </c>
      <c r="AF165" s="52" t="s">
        <v>111</v>
      </c>
    </row>
    <row r="166" spans="1:32">
      <c r="A166" s="224">
        <v>2007</v>
      </c>
      <c r="B166" s="224">
        <v>191</v>
      </c>
      <c r="C166" s="224" t="s">
        <v>89</v>
      </c>
      <c r="D166" s="224">
        <v>41</v>
      </c>
      <c r="E166" s="224">
        <v>152</v>
      </c>
      <c r="F166" s="224">
        <v>80</v>
      </c>
      <c r="G166" s="224">
        <v>0.65517241379310343</v>
      </c>
      <c r="H166" s="224">
        <v>0.34482758620689657</v>
      </c>
      <c r="I166" s="304" t="s">
        <v>110</v>
      </c>
      <c r="J166" s="29">
        <v>1</v>
      </c>
      <c r="K166" s="9">
        <v>1</v>
      </c>
      <c r="L166" s="9">
        <v>1</v>
      </c>
      <c r="M166" s="9">
        <v>2</v>
      </c>
      <c r="N166" s="43">
        <v>2</v>
      </c>
      <c r="O166" s="260">
        <f t="shared" si="3"/>
        <v>0.35859414261160716</v>
      </c>
      <c r="P166" s="163" t="s">
        <v>111</v>
      </c>
      <c r="Q166" s="224">
        <v>2015</v>
      </c>
      <c r="R166" s="224">
        <v>1624</v>
      </c>
      <c r="S166" s="224" t="s">
        <v>89</v>
      </c>
      <c r="T166" s="224">
        <v>72</v>
      </c>
      <c r="U166" s="224">
        <v>127</v>
      </c>
      <c r="V166" s="224">
        <v>1569</v>
      </c>
      <c r="W166" s="224">
        <v>7.4882075471698117E-2</v>
      </c>
      <c r="X166" s="224">
        <v>0.92511792452830188</v>
      </c>
      <c r="Y166" s="100" t="s">
        <v>126</v>
      </c>
      <c r="Z166" s="29">
        <v>1</v>
      </c>
      <c r="AA166" s="9">
        <v>1</v>
      </c>
      <c r="AB166" s="9">
        <v>1</v>
      </c>
      <c r="AC166" s="9">
        <v>2</v>
      </c>
      <c r="AD166" s="43">
        <v>2</v>
      </c>
      <c r="AE166" s="55">
        <v>0.35859414261160716</v>
      </c>
      <c r="AF166" s="52" t="s">
        <v>111</v>
      </c>
    </row>
    <row r="167" spans="1:32">
      <c r="A167" s="224">
        <v>2007</v>
      </c>
      <c r="B167" s="224">
        <v>610</v>
      </c>
      <c r="C167" s="224" t="s">
        <v>90</v>
      </c>
      <c r="D167" s="224">
        <v>148</v>
      </c>
      <c r="E167" s="224">
        <v>651</v>
      </c>
      <c r="F167" s="224">
        <v>107</v>
      </c>
      <c r="G167" s="224">
        <v>0.85883905013192607</v>
      </c>
      <c r="H167" s="224">
        <v>0.1411609498680739</v>
      </c>
      <c r="I167" s="304" t="s">
        <v>110</v>
      </c>
      <c r="J167" s="29">
        <v>1</v>
      </c>
      <c r="K167" s="9">
        <v>1</v>
      </c>
      <c r="L167" s="9">
        <v>1</v>
      </c>
      <c r="M167" s="9">
        <v>2</v>
      </c>
      <c r="N167" s="43">
        <v>2</v>
      </c>
      <c r="O167" s="260">
        <f t="shared" si="3"/>
        <v>0.35859414261160716</v>
      </c>
      <c r="P167" s="163" t="s">
        <v>111</v>
      </c>
      <c r="Q167" s="224">
        <v>2015</v>
      </c>
      <c r="R167" s="224">
        <v>7154</v>
      </c>
      <c r="S167" s="224" t="s">
        <v>90</v>
      </c>
      <c r="T167" s="224">
        <v>388</v>
      </c>
      <c r="U167" s="224">
        <v>1655</v>
      </c>
      <c r="V167" s="224">
        <v>5887</v>
      </c>
      <c r="W167" s="224">
        <v>0.21943781490320871</v>
      </c>
      <c r="X167" s="224">
        <v>0.78056218509679132</v>
      </c>
      <c r="Y167" s="100" t="s">
        <v>126</v>
      </c>
      <c r="Z167" s="29">
        <v>1</v>
      </c>
      <c r="AA167" s="9">
        <v>1</v>
      </c>
      <c r="AB167" s="9">
        <v>1</v>
      </c>
      <c r="AC167" s="9">
        <v>2</v>
      </c>
      <c r="AD167" s="43">
        <v>2</v>
      </c>
      <c r="AE167" s="55">
        <v>0.35859414261160716</v>
      </c>
      <c r="AF167" s="52" t="s">
        <v>111</v>
      </c>
    </row>
    <row r="168" spans="1:32">
      <c r="A168" s="224">
        <v>2007</v>
      </c>
      <c r="B168" s="224">
        <v>209</v>
      </c>
      <c r="C168" s="224" t="s">
        <v>91</v>
      </c>
      <c r="D168" s="224">
        <v>116</v>
      </c>
      <c r="E168" s="224">
        <v>325</v>
      </c>
      <c r="F168" s="224">
        <v>0</v>
      </c>
      <c r="G168" s="224">
        <v>1</v>
      </c>
      <c r="H168" s="224">
        <v>0</v>
      </c>
      <c r="I168" s="304" t="s">
        <v>110</v>
      </c>
      <c r="J168" s="29">
        <v>1</v>
      </c>
      <c r="K168" s="9">
        <v>1</v>
      </c>
      <c r="L168" s="9">
        <v>1</v>
      </c>
      <c r="M168" s="9">
        <v>2</v>
      </c>
      <c r="N168" s="43">
        <v>2</v>
      </c>
      <c r="O168" s="260">
        <f t="shared" si="3"/>
        <v>0.35859414261160716</v>
      </c>
      <c r="P168" s="163" t="s">
        <v>111</v>
      </c>
      <c r="Q168" s="224">
        <v>2015</v>
      </c>
      <c r="R168" s="224">
        <v>2872</v>
      </c>
      <c r="S168" s="224" t="s">
        <v>91</v>
      </c>
      <c r="T168" s="224">
        <v>871</v>
      </c>
      <c r="U168" s="224">
        <v>326</v>
      </c>
      <c r="V168" s="224">
        <v>3417</v>
      </c>
      <c r="W168" s="224">
        <v>8.7095912369756875E-2</v>
      </c>
      <c r="X168" s="224">
        <v>0.91290408763024311</v>
      </c>
      <c r="Y168" s="100" t="s">
        <v>126</v>
      </c>
      <c r="Z168" s="29">
        <v>1</v>
      </c>
      <c r="AA168" s="9">
        <v>1</v>
      </c>
      <c r="AB168" s="9">
        <v>1</v>
      </c>
      <c r="AC168" s="9">
        <v>2</v>
      </c>
      <c r="AD168" s="43">
        <v>2</v>
      </c>
      <c r="AE168" s="55">
        <v>0.35859414261160716</v>
      </c>
      <c r="AF168" s="52" t="s">
        <v>111</v>
      </c>
    </row>
    <row r="169" spans="1:32">
      <c r="A169" s="224">
        <v>2007</v>
      </c>
      <c r="B169" s="224">
        <v>140</v>
      </c>
      <c r="C169" s="224" t="s">
        <v>94</v>
      </c>
      <c r="D169" s="224">
        <v>18</v>
      </c>
      <c r="E169" s="224">
        <v>158</v>
      </c>
      <c r="F169" s="224">
        <v>0</v>
      </c>
      <c r="G169" s="224">
        <v>1</v>
      </c>
      <c r="H169" s="224">
        <v>0</v>
      </c>
      <c r="I169" s="304" t="s">
        <v>110</v>
      </c>
      <c r="J169" s="29">
        <v>1</v>
      </c>
      <c r="K169" s="9">
        <v>1</v>
      </c>
      <c r="L169" s="9">
        <v>1</v>
      </c>
      <c r="M169" s="9">
        <v>2</v>
      </c>
      <c r="N169" s="43">
        <v>2</v>
      </c>
      <c r="O169" s="260">
        <f t="shared" si="3"/>
        <v>0.35859414261160716</v>
      </c>
      <c r="P169" s="163" t="s">
        <v>111</v>
      </c>
      <c r="Q169" s="224">
        <v>2015</v>
      </c>
      <c r="R169" s="224">
        <v>400</v>
      </c>
      <c r="S169" s="224" t="s">
        <v>94</v>
      </c>
      <c r="T169" s="224">
        <v>163</v>
      </c>
      <c r="U169" s="224">
        <v>156</v>
      </c>
      <c r="V169" s="224">
        <v>407</v>
      </c>
      <c r="W169" s="224">
        <v>0.27708703374777982</v>
      </c>
      <c r="X169" s="224">
        <v>0.72291296625222023</v>
      </c>
      <c r="Y169" s="100" t="s">
        <v>126</v>
      </c>
      <c r="Z169" s="29">
        <v>1</v>
      </c>
      <c r="AA169" s="9">
        <v>1</v>
      </c>
      <c r="AB169" s="9">
        <v>1</v>
      </c>
      <c r="AC169" s="9">
        <v>2</v>
      </c>
      <c r="AD169" s="43">
        <v>2</v>
      </c>
      <c r="AE169" s="55">
        <v>0.35859414261160716</v>
      </c>
      <c r="AF169" s="52" t="s">
        <v>111</v>
      </c>
    </row>
    <row r="170" spans="1:32">
      <c r="A170" s="224">
        <v>2007</v>
      </c>
      <c r="B170" s="224">
        <v>337</v>
      </c>
      <c r="C170" s="224" t="s">
        <v>96</v>
      </c>
      <c r="D170" s="224">
        <v>80</v>
      </c>
      <c r="E170" s="224">
        <v>217</v>
      </c>
      <c r="F170" s="224">
        <v>200</v>
      </c>
      <c r="G170" s="224">
        <v>0.52038369304556353</v>
      </c>
      <c r="H170" s="224">
        <v>0.47961630695443652</v>
      </c>
      <c r="I170" s="304" t="s">
        <v>110</v>
      </c>
      <c r="J170" s="29">
        <v>1</v>
      </c>
      <c r="K170" s="9">
        <v>1</v>
      </c>
      <c r="L170" s="9">
        <v>1</v>
      </c>
      <c r="M170" s="9">
        <v>2</v>
      </c>
      <c r="N170" s="43">
        <v>2</v>
      </c>
      <c r="O170" s="260">
        <f t="shared" si="3"/>
        <v>0.35859414261160716</v>
      </c>
      <c r="P170" s="163" t="s">
        <v>111</v>
      </c>
      <c r="Q170" s="224">
        <v>2015</v>
      </c>
      <c r="R170" s="224">
        <v>973</v>
      </c>
      <c r="S170" s="224" t="s">
        <v>96</v>
      </c>
      <c r="T170" s="224">
        <v>82</v>
      </c>
      <c r="U170" s="224">
        <v>262</v>
      </c>
      <c r="V170" s="224">
        <v>793</v>
      </c>
      <c r="W170" s="224">
        <v>0.24834123222748819</v>
      </c>
      <c r="X170" s="224">
        <v>0.75165876777251184</v>
      </c>
      <c r="Y170" s="100" t="s">
        <v>126</v>
      </c>
      <c r="Z170" s="29">
        <v>1</v>
      </c>
      <c r="AA170" s="9">
        <v>1</v>
      </c>
      <c r="AB170" s="9">
        <v>1</v>
      </c>
      <c r="AC170" s="9">
        <v>2</v>
      </c>
      <c r="AD170" s="43">
        <v>2</v>
      </c>
      <c r="AE170" s="55">
        <v>0.35859414261160716</v>
      </c>
      <c r="AF170" s="52" t="s">
        <v>111</v>
      </c>
    </row>
    <row r="171" spans="1:32">
      <c r="A171" s="224">
        <v>2007</v>
      </c>
      <c r="B171" s="224">
        <v>139</v>
      </c>
      <c r="C171" s="224" t="s">
        <v>97</v>
      </c>
      <c r="D171" s="224">
        <v>204</v>
      </c>
      <c r="E171" s="224">
        <v>269</v>
      </c>
      <c r="F171" s="224">
        <v>74</v>
      </c>
      <c r="G171" s="224">
        <v>0.78425655976676389</v>
      </c>
      <c r="H171" s="224">
        <v>0.21574344023323611</v>
      </c>
      <c r="I171" s="304" t="s">
        <v>110</v>
      </c>
      <c r="J171" s="29">
        <v>1</v>
      </c>
      <c r="K171" s="9">
        <v>1</v>
      </c>
      <c r="L171" s="9">
        <v>1</v>
      </c>
      <c r="M171" s="9">
        <v>2</v>
      </c>
      <c r="N171" s="43">
        <v>2</v>
      </c>
      <c r="O171" s="260">
        <f t="shared" si="3"/>
        <v>0.35859414261160716</v>
      </c>
      <c r="P171" s="163" t="s">
        <v>111</v>
      </c>
      <c r="Q171" s="224">
        <v>2015</v>
      </c>
      <c r="R171" s="224">
        <v>2282</v>
      </c>
      <c r="S171" s="224" t="s">
        <v>97</v>
      </c>
      <c r="T171" s="224">
        <v>324</v>
      </c>
      <c r="U171" s="224">
        <v>912</v>
      </c>
      <c r="V171" s="224">
        <v>1694</v>
      </c>
      <c r="W171" s="224">
        <v>0.34996162701458172</v>
      </c>
      <c r="X171" s="224">
        <v>0.65003837298541822</v>
      </c>
      <c r="Y171" s="100" t="s">
        <v>126</v>
      </c>
      <c r="Z171" s="29">
        <v>1</v>
      </c>
      <c r="AA171" s="9">
        <v>1</v>
      </c>
      <c r="AB171" s="9">
        <v>1</v>
      </c>
      <c r="AC171" s="9">
        <v>2</v>
      </c>
      <c r="AD171" s="43">
        <v>2</v>
      </c>
      <c r="AE171" s="55">
        <v>0.35859414261160716</v>
      </c>
      <c r="AF171" s="52" t="s">
        <v>111</v>
      </c>
    </row>
    <row r="172" spans="1:32">
      <c r="A172" s="224">
        <v>2007</v>
      </c>
      <c r="B172" s="224">
        <v>219</v>
      </c>
      <c r="C172" s="224" t="s">
        <v>95</v>
      </c>
      <c r="D172" s="224">
        <v>121</v>
      </c>
      <c r="E172" s="224">
        <v>261</v>
      </c>
      <c r="F172" s="224">
        <v>79</v>
      </c>
      <c r="G172" s="224">
        <v>0.76764705882352946</v>
      </c>
      <c r="H172" s="224">
        <v>0.23235294117647051</v>
      </c>
      <c r="I172" s="304" t="s">
        <v>110</v>
      </c>
      <c r="J172" s="29">
        <v>1</v>
      </c>
      <c r="K172" s="9">
        <v>1</v>
      </c>
      <c r="L172" s="9">
        <v>1</v>
      </c>
      <c r="M172" s="9">
        <v>2</v>
      </c>
      <c r="N172" s="43">
        <v>2</v>
      </c>
      <c r="O172" s="260">
        <f t="shared" si="3"/>
        <v>0.35859414261160716</v>
      </c>
      <c r="P172" s="163" t="s">
        <v>111</v>
      </c>
      <c r="Q172" s="224">
        <v>2015</v>
      </c>
      <c r="R172" s="224">
        <v>2444</v>
      </c>
      <c r="S172" s="224" t="s">
        <v>95</v>
      </c>
      <c r="T172" s="224">
        <v>236</v>
      </c>
      <c r="U172" s="224">
        <v>599</v>
      </c>
      <c r="V172" s="224">
        <v>2081</v>
      </c>
      <c r="W172" s="224">
        <v>0.22350746268656721</v>
      </c>
      <c r="X172" s="224">
        <v>0.77649253731343282</v>
      </c>
      <c r="Y172" s="100" t="s">
        <v>126</v>
      </c>
      <c r="Z172" s="29">
        <v>1</v>
      </c>
      <c r="AA172" s="9">
        <v>1</v>
      </c>
      <c r="AB172" s="9">
        <v>1</v>
      </c>
      <c r="AC172" s="9">
        <v>2</v>
      </c>
      <c r="AD172" s="43">
        <v>2</v>
      </c>
      <c r="AE172" s="55">
        <v>0.35859414261160716</v>
      </c>
      <c r="AF172" s="52" t="s">
        <v>111</v>
      </c>
    </row>
    <row r="173" spans="1:32">
      <c r="A173" s="224">
        <v>2007</v>
      </c>
      <c r="B173" s="224">
        <v>98</v>
      </c>
      <c r="C173" s="224" t="s">
        <v>93</v>
      </c>
      <c r="D173" s="224">
        <v>30</v>
      </c>
      <c r="E173" s="224">
        <v>45</v>
      </c>
      <c r="F173" s="224">
        <v>83</v>
      </c>
      <c r="G173" s="224">
        <v>0.3515625</v>
      </c>
      <c r="H173" s="224">
        <v>0.6484375</v>
      </c>
      <c r="I173" s="304" t="s">
        <v>110</v>
      </c>
      <c r="J173" s="29">
        <v>1</v>
      </c>
      <c r="K173" s="9">
        <v>1</v>
      </c>
      <c r="L173" s="9">
        <v>1</v>
      </c>
      <c r="M173" s="9">
        <v>2</v>
      </c>
      <c r="N173" s="43">
        <v>2</v>
      </c>
      <c r="O173" s="260">
        <f t="shared" si="3"/>
        <v>0.35859414261160716</v>
      </c>
      <c r="P173" s="163" t="s">
        <v>111</v>
      </c>
      <c r="Q173" s="224">
        <v>2015</v>
      </c>
      <c r="R173" s="224">
        <v>2400</v>
      </c>
      <c r="S173" s="224" t="s">
        <v>93</v>
      </c>
      <c r="T173" s="224">
        <v>64</v>
      </c>
      <c r="U173" s="224">
        <v>449</v>
      </c>
      <c r="V173" s="224">
        <v>2015</v>
      </c>
      <c r="W173" s="224">
        <v>0.18222402597402601</v>
      </c>
      <c r="X173" s="224">
        <v>0.81777597402597402</v>
      </c>
      <c r="Y173" s="100" t="s">
        <v>126</v>
      </c>
      <c r="Z173" s="29">
        <v>1</v>
      </c>
      <c r="AA173" s="9">
        <v>1</v>
      </c>
      <c r="AB173" s="9">
        <v>1</v>
      </c>
      <c r="AC173" s="9">
        <v>2</v>
      </c>
      <c r="AD173" s="43">
        <v>2</v>
      </c>
      <c r="AE173" s="55">
        <v>0.35859414261160716</v>
      </c>
      <c r="AF173" s="52" t="s">
        <v>111</v>
      </c>
    </row>
    <row r="174" spans="1:32">
      <c r="A174" s="224">
        <v>2007</v>
      </c>
      <c r="B174" s="224">
        <v>2337</v>
      </c>
      <c r="C174" s="224" t="s">
        <v>98</v>
      </c>
      <c r="D174" s="224">
        <v>953</v>
      </c>
      <c r="E174" s="224">
        <v>3290</v>
      </c>
      <c r="F174" s="224">
        <v>0</v>
      </c>
      <c r="G174" s="224">
        <v>1</v>
      </c>
      <c r="H174" s="224">
        <v>0</v>
      </c>
      <c r="I174" s="304" t="s">
        <v>110</v>
      </c>
      <c r="J174" s="29">
        <v>1</v>
      </c>
      <c r="K174" s="9">
        <v>1</v>
      </c>
      <c r="L174" s="9">
        <v>1</v>
      </c>
      <c r="M174" s="9">
        <v>2</v>
      </c>
      <c r="N174" s="43">
        <v>2</v>
      </c>
      <c r="O174" s="260">
        <f t="shared" si="3"/>
        <v>0.35859414261160716</v>
      </c>
      <c r="P174" s="163" t="s">
        <v>111</v>
      </c>
      <c r="Q174" s="224">
        <v>2015</v>
      </c>
      <c r="R174" s="224">
        <v>12995</v>
      </c>
      <c r="S174" s="224" t="s">
        <v>98</v>
      </c>
      <c r="T174" s="224">
        <v>1809</v>
      </c>
      <c r="U174" s="224">
        <v>5127</v>
      </c>
      <c r="V174" s="224">
        <v>9677</v>
      </c>
      <c r="W174" s="224">
        <v>0.34632531748176171</v>
      </c>
      <c r="X174" s="224">
        <v>0.65367468251823824</v>
      </c>
      <c r="Y174" s="100" t="s">
        <v>126</v>
      </c>
      <c r="Z174" s="29">
        <v>1</v>
      </c>
      <c r="AA174" s="9">
        <v>1</v>
      </c>
      <c r="AB174" s="9">
        <v>1</v>
      </c>
      <c r="AC174" s="9">
        <v>2</v>
      </c>
      <c r="AD174" s="43">
        <v>2</v>
      </c>
      <c r="AE174" s="55">
        <v>0.35859414261160716</v>
      </c>
      <c r="AF174" s="52" t="s">
        <v>111</v>
      </c>
    </row>
    <row r="175" spans="1:32">
      <c r="A175" s="224">
        <v>2008</v>
      </c>
      <c r="B175" s="224">
        <v>1680</v>
      </c>
      <c r="C175" s="224" t="s">
        <v>85</v>
      </c>
      <c r="D175" s="224">
        <v>662</v>
      </c>
      <c r="E175" s="224">
        <v>2342</v>
      </c>
      <c r="F175" s="224">
        <v>0</v>
      </c>
      <c r="G175" s="224">
        <v>1</v>
      </c>
      <c r="H175" s="224">
        <v>0</v>
      </c>
      <c r="I175" s="304" t="s">
        <v>110</v>
      </c>
      <c r="J175" s="29">
        <v>1</v>
      </c>
      <c r="K175" s="9">
        <v>1</v>
      </c>
      <c r="L175" s="9">
        <v>1</v>
      </c>
      <c r="M175" s="9">
        <v>2</v>
      </c>
      <c r="N175" s="43">
        <v>2</v>
      </c>
      <c r="O175" s="260">
        <f t="shared" si="3"/>
        <v>0.35859414261160716</v>
      </c>
      <c r="P175" s="163" t="s">
        <v>111</v>
      </c>
      <c r="Q175" s="224">
        <v>2016</v>
      </c>
      <c r="R175" s="224">
        <v>12146</v>
      </c>
      <c r="S175" s="224" t="s">
        <v>85</v>
      </c>
      <c r="T175" s="224">
        <v>3642</v>
      </c>
      <c r="U175" s="224">
        <v>2815</v>
      </c>
      <c r="V175" s="224">
        <v>12973</v>
      </c>
      <c r="W175" s="224">
        <v>0.178299974664302</v>
      </c>
      <c r="X175" s="224">
        <v>0.82170002533569797</v>
      </c>
      <c r="Y175" s="100" t="s">
        <v>126</v>
      </c>
      <c r="Z175" s="29">
        <v>1</v>
      </c>
      <c r="AA175" s="9">
        <v>1</v>
      </c>
      <c r="AB175" s="9">
        <v>1</v>
      </c>
      <c r="AC175" s="9">
        <v>2</v>
      </c>
      <c r="AD175" s="43">
        <v>2</v>
      </c>
      <c r="AE175" s="55">
        <v>0.35859414261160716</v>
      </c>
      <c r="AF175" s="52" t="s">
        <v>111</v>
      </c>
    </row>
    <row r="176" spans="1:32">
      <c r="A176" s="224">
        <v>2008</v>
      </c>
      <c r="B176" s="224">
        <v>290</v>
      </c>
      <c r="C176" s="224" t="s">
        <v>86</v>
      </c>
      <c r="D176" s="224">
        <v>151</v>
      </c>
      <c r="E176" s="224">
        <v>337</v>
      </c>
      <c r="F176" s="224">
        <v>104</v>
      </c>
      <c r="G176" s="224">
        <v>0.76417233560090703</v>
      </c>
      <c r="H176" s="224">
        <v>0.235827664399093</v>
      </c>
      <c r="I176" s="304" t="s">
        <v>110</v>
      </c>
      <c r="J176" s="29">
        <v>1</v>
      </c>
      <c r="K176" s="9">
        <v>1</v>
      </c>
      <c r="L176" s="9">
        <v>1</v>
      </c>
      <c r="M176" s="9">
        <v>2</v>
      </c>
      <c r="N176" s="43">
        <v>2</v>
      </c>
      <c r="O176" s="260">
        <f t="shared" si="3"/>
        <v>0.35859414261160716</v>
      </c>
      <c r="P176" s="163" t="s">
        <v>111</v>
      </c>
      <c r="Q176" s="224">
        <v>2016</v>
      </c>
      <c r="R176" s="224">
        <v>5815</v>
      </c>
      <c r="S176" s="224" t="s">
        <v>86</v>
      </c>
      <c r="T176" s="224">
        <v>1070</v>
      </c>
      <c r="U176" s="224">
        <v>1277</v>
      </c>
      <c r="V176" s="224">
        <v>5608</v>
      </c>
      <c r="W176" s="224">
        <v>0.18547567175018159</v>
      </c>
      <c r="X176" s="224">
        <v>0.81452432824981846</v>
      </c>
      <c r="Y176" s="100" t="s">
        <v>126</v>
      </c>
      <c r="Z176" s="29">
        <v>1</v>
      </c>
      <c r="AA176" s="9">
        <v>1</v>
      </c>
      <c r="AB176" s="9">
        <v>1</v>
      </c>
      <c r="AC176" s="9">
        <v>2</v>
      </c>
      <c r="AD176" s="43">
        <v>2</v>
      </c>
      <c r="AE176" s="55">
        <v>0.35859414261160716</v>
      </c>
      <c r="AF176" s="52" t="s">
        <v>111</v>
      </c>
    </row>
    <row r="177" spans="1:32">
      <c r="A177" s="224">
        <v>2008</v>
      </c>
      <c r="B177" s="224">
        <v>852</v>
      </c>
      <c r="C177" s="224" t="s">
        <v>87</v>
      </c>
      <c r="D177" s="224">
        <v>235</v>
      </c>
      <c r="E177" s="224">
        <v>164</v>
      </c>
      <c r="F177" s="224">
        <v>923</v>
      </c>
      <c r="G177" s="224">
        <v>0.15087396504139841</v>
      </c>
      <c r="H177" s="224">
        <v>0.84912603495860162</v>
      </c>
      <c r="I177" s="304" t="s">
        <v>110</v>
      </c>
      <c r="J177" s="29">
        <v>1</v>
      </c>
      <c r="K177" s="9">
        <v>1</v>
      </c>
      <c r="L177" s="9">
        <v>1</v>
      </c>
      <c r="M177" s="9">
        <v>2</v>
      </c>
      <c r="N177" s="43">
        <v>2</v>
      </c>
      <c r="O177" s="260">
        <f t="shared" si="3"/>
        <v>0.35859414261160716</v>
      </c>
      <c r="P177" s="163" t="s">
        <v>111</v>
      </c>
      <c r="Q177" s="224">
        <v>2016</v>
      </c>
      <c r="R177" s="224">
        <v>8396</v>
      </c>
      <c r="S177" s="224" t="s">
        <v>87</v>
      </c>
      <c r="T177" s="224">
        <v>968</v>
      </c>
      <c r="U177" s="224">
        <v>994</v>
      </c>
      <c r="V177" s="224">
        <v>8370</v>
      </c>
      <c r="W177" s="224">
        <v>0.10615121742844939</v>
      </c>
      <c r="X177" s="224">
        <v>0.89384878257155065</v>
      </c>
      <c r="Y177" s="100" t="s">
        <v>126</v>
      </c>
      <c r="Z177" s="29">
        <v>1</v>
      </c>
      <c r="AA177" s="9">
        <v>1</v>
      </c>
      <c r="AB177" s="9">
        <v>1</v>
      </c>
      <c r="AC177" s="9">
        <v>2</v>
      </c>
      <c r="AD177" s="43">
        <v>2</v>
      </c>
      <c r="AE177" s="55">
        <v>0.35859414261160716</v>
      </c>
      <c r="AF177" s="52" t="s">
        <v>111</v>
      </c>
    </row>
    <row r="178" spans="1:32">
      <c r="A178" s="224">
        <v>2008</v>
      </c>
      <c r="B178" s="224">
        <v>25</v>
      </c>
      <c r="C178" s="224" t="s">
        <v>88</v>
      </c>
      <c r="D178" s="224">
        <v>43</v>
      </c>
      <c r="E178" s="224">
        <v>68</v>
      </c>
      <c r="F178" s="224">
        <v>0</v>
      </c>
      <c r="G178" s="224">
        <v>1</v>
      </c>
      <c r="H178" s="224">
        <v>0</v>
      </c>
      <c r="I178" s="304" t="s">
        <v>110</v>
      </c>
      <c r="J178" s="29">
        <v>1</v>
      </c>
      <c r="K178" s="9">
        <v>1</v>
      </c>
      <c r="L178" s="9">
        <v>1</v>
      </c>
      <c r="M178" s="9">
        <v>2</v>
      </c>
      <c r="N178" s="43">
        <v>2</v>
      </c>
      <c r="O178" s="260">
        <f t="shared" si="3"/>
        <v>0.35859414261160716</v>
      </c>
      <c r="P178" s="163" t="s">
        <v>111</v>
      </c>
      <c r="Q178" s="224">
        <v>2016</v>
      </c>
      <c r="R178" s="224">
        <v>1781</v>
      </c>
      <c r="S178" s="224" t="s">
        <v>88</v>
      </c>
      <c r="T178" s="224">
        <v>63</v>
      </c>
      <c r="U178" s="224">
        <v>299</v>
      </c>
      <c r="V178" s="224">
        <v>1545</v>
      </c>
      <c r="W178" s="224">
        <v>0.1621475054229935</v>
      </c>
      <c r="X178" s="224">
        <v>0.8378524945770065</v>
      </c>
      <c r="Y178" s="100" t="s">
        <v>126</v>
      </c>
      <c r="Z178" s="29">
        <v>1</v>
      </c>
      <c r="AA178" s="9">
        <v>1</v>
      </c>
      <c r="AB178" s="9">
        <v>1</v>
      </c>
      <c r="AC178" s="9">
        <v>2</v>
      </c>
      <c r="AD178" s="43">
        <v>2</v>
      </c>
      <c r="AE178" s="55">
        <v>0.35859414261160716</v>
      </c>
      <c r="AF178" s="52" t="s">
        <v>111</v>
      </c>
    </row>
    <row r="179" spans="1:32">
      <c r="A179" s="224">
        <v>2008</v>
      </c>
      <c r="B179" s="224">
        <v>191</v>
      </c>
      <c r="C179" s="224" t="s">
        <v>89</v>
      </c>
      <c r="D179" s="224">
        <v>31</v>
      </c>
      <c r="E179" s="224">
        <v>141</v>
      </c>
      <c r="F179" s="224">
        <v>81</v>
      </c>
      <c r="G179" s="224">
        <v>0.63513513513513509</v>
      </c>
      <c r="H179" s="224">
        <v>0.36486486486486491</v>
      </c>
      <c r="I179" s="304" t="s">
        <v>110</v>
      </c>
      <c r="J179" s="29">
        <v>1</v>
      </c>
      <c r="K179" s="9">
        <v>1</v>
      </c>
      <c r="L179" s="9">
        <v>1</v>
      </c>
      <c r="M179" s="9">
        <v>2</v>
      </c>
      <c r="N179" s="43">
        <v>2</v>
      </c>
      <c r="O179" s="260">
        <f t="shared" si="3"/>
        <v>0.35859414261160716</v>
      </c>
      <c r="P179" s="163" t="s">
        <v>111</v>
      </c>
      <c r="Q179" s="224">
        <v>2016</v>
      </c>
      <c r="R179" s="224">
        <v>1544</v>
      </c>
      <c r="S179" s="224" t="s">
        <v>89</v>
      </c>
      <c r="T179" s="224">
        <v>69</v>
      </c>
      <c r="U179" s="224">
        <v>112</v>
      </c>
      <c r="V179" s="224">
        <v>1501</v>
      </c>
      <c r="W179" s="224">
        <v>6.9435833849969E-2</v>
      </c>
      <c r="X179" s="224">
        <v>0.93056416615003101</v>
      </c>
      <c r="Y179" s="100" t="s">
        <v>126</v>
      </c>
      <c r="Z179" s="29">
        <v>1</v>
      </c>
      <c r="AA179" s="9">
        <v>1</v>
      </c>
      <c r="AB179" s="9">
        <v>1</v>
      </c>
      <c r="AC179" s="9">
        <v>2</v>
      </c>
      <c r="AD179" s="43">
        <v>2</v>
      </c>
      <c r="AE179" s="55">
        <v>0.35859414261160716</v>
      </c>
      <c r="AF179" s="52" t="s">
        <v>111</v>
      </c>
    </row>
    <row r="180" spans="1:32">
      <c r="A180" s="224">
        <v>2008</v>
      </c>
      <c r="B180" s="224">
        <v>610</v>
      </c>
      <c r="C180" s="224" t="s">
        <v>90</v>
      </c>
      <c r="D180" s="224">
        <v>124</v>
      </c>
      <c r="E180" s="224">
        <v>642</v>
      </c>
      <c r="F180" s="224">
        <v>92</v>
      </c>
      <c r="G180" s="224">
        <v>0.87465940054495916</v>
      </c>
      <c r="H180" s="224">
        <v>0.12534059945504081</v>
      </c>
      <c r="I180" s="304" t="s">
        <v>110</v>
      </c>
      <c r="J180" s="29">
        <v>1</v>
      </c>
      <c r="K180" s="9">
        <v>1</v>
      </c>
      <c r="L180" s="9">
        <v>1</v>
      </c>
      <c r="M180" s="9">
        <v>2</v>
      </c>
      <c r="N180" s="43">
        <v>2</v>
      </c>
      <c r="O180" s="260">
        <f t="shared" si="3"/>
        <v>0.35859414261160716</v>
      </c>
      <c r="P180" s="163" t="s">
        <v>111</v>
      </c>
      <c r="Q180" s="224">
        <v>2016</v>
      </c>
      <c r="R180" s="224">
        <v>5989</v>
      </c>
      <c r="S180" s="224" t="s">
        <v>90</v>
      </c>
      <c r="T180" s="224">
        <v>316</v>
      </c>
      <c r="U180" s="224">
        <v>1644</v>
      </c>
      <c r="V180" s="224">
        <v>4661</v>
      </c>
      <c r="W180" s="224">
        <v>0.26074544012688339</v>
      </c>
      <c r="X180" s="224">
        <v>0.73925455987311661</v>
      </c>
      <c r="Y180" s="100" t="s">
        <v>126</v>
      </c>
      <c r="Z180" s="29">
        <v>1</v>
      </c>
      <c r="AA180" s="9">
        <v>1</v>
      </c>
      <c r="AB180" s="9">
        <v>1</v>
      </c>
      <c r="AC180" s="9">
        <v>2</v>
      </c>
      <c r="AD180" s="43">
        <v>2</v>
      </c>
      <c r="AE180" s="55">
        <v>0.35859414261160716</v>
      </c>
      <c r="AF180" s="52" t="s">
        <v>111</v>
      </c>
    </row>
    <row r="181" spans="1:32">
      <c r="A181" s="224">
        <v>2008</v>
      </c>
      <c r="B181" s="224">
        <v>176</v>
      </c>
      <c r="C181" s="224" t="s">
        <v>91</v>
      </c>
      <c r="D181" s="224">
        <v>94</v>
      </c>
      <c r="E181" s="224">
        <v>270</v>
      </c>
      <c r="F181" s="224">
        <v>0</v>
      </c>
      <c r="G181" s="224">
        <v>1</v>
      </c>
      <c r="H181" s="224">
        <v>0</v>
      </c>
      <c r="I181" s="304" t="s">
        <v>110</v>
      </c>
      <c r="J181" s="29">
        <v>1</v>
      </c>
      <c r="K181" s="9">
        <v>1</v>
      </c>
      <c r="L181" s="9">
        <v>1</v>
      </c>
      <c r="M181" s="9">
        <v>2</v>
      </c>
      <c r="N181" s="43">
        <v>2</v>
      </c>
      <c r="O181" s="260">
        <f t="shared" si="3"/>
        <v>0.35859414261160716</v>
      </c>
      <c r="P181" s="163" t="s">
        <v>111</v>
      </c>
      <c r="Q181" s="224">
        <v>2016</v>
      </c>
      <c r="R181" s="224">
        <v>2830</v>
      </c>
      <c r="S181" s="224" t="s">
        <v>91</v>
      </c>
      <c r="T181" s="224">
        <v>706</v>
      </c>
      <c r="U181" s="224">
        <v>325</v>
      </c>
      <c r="V181" s="224">
        <v>3211</v>
      </c>
      <c r="W181" s="224">
        <v>9.1911764705882359E-2</v>
      </c>
      <c r="X181" s="224">
        <v>0.90808823529411764</v>
      </c>
      <c r="Y181" s="100" t="s">
        <v>126</v>
      </c>
      <c r="Z181" s="29">
        <v>1</v>
      </c>
      <c r="AA181" s="9">
        <v>1</v>
      </c>
      <c r="AB181" s="9">
        <v>1</v>
      </c>
      <c r="AC181" s="9">
        <v>2</v>
      </c>
      <c r="AD181" s="43">
        <v>2</v>
      </c>
      <c r="AE181" s="55">
        <v>0.35859414261160716</v>
      </c>
      <c r="AF181" s="52" t="s">
        <v>111</v>
      </c>
    </row>
    <row r="182" spans="1:32">
      <c r="A182" s="224">
        <v>2008</v>
      </c>
      <c r="B182" s="224">
        <v>128</v>
      </c>
      <c r="C182" s="224" t="s">
        <v>94</v>
      </c>
      <c r="D182" s="224">
        <v>23</v>
      </c>
      <c r="E182" s="224">
        <v>151</v>
      </c>
      <c r="F182" s="224">
        <v>0</v>
      </c>
      <c r="G182" s="224">
        <v>1</v>
      </c>
      <c r="H182" s="224">
        <v>0</v>
      </c>
      <c r="I182" s="304" t="s">
        <v>110</v>
      </c>
      <c r="J182" s="29">
        <v>1</v>
      </c>
      <c r="K182" s="9">
        <v>1</v>
      </c>
      <c r="L182" s="9">
        <v>1</v>
      </c>
      <c r="M182" s="9">
        <v>2</v>
      </c>
      <c r="N182" s="43">
        <v>2</v>
      </c>
      <c r="O182" s="260">
        <f t="shared" si="3"/>
        <v>0.35859414261160716</v>
      </c>
      <c r="P182" s="163" t="s">
        <v>111</v>
      </c>
      <c r="Q182" s="224">
        <v>2016</v>
      </c>
      <c r="R182" s="224">
        <v>551</v>
      </c>
      <c r="S182" s="224" t="s">
        <v>94</v>
      </c>
      <c r="T182" s="224">
        <v>158</v>
      </c>
      <c r="U182" s="224">
        <v>163</v>
      </c>
      <c r="V182" s="224">
        <v>546</v>
      </c>
      <c r="W182" s="224">
        <v>0.22990126939351199</v>
      </c>
      <c r="X182" s="224">
        <v>0.77009873060648804</v>
      </c>
      <c r="Y182" s="100" t="s">
        <v>126</v>
      </c>
      <c r="Z182" s="29">
        <v>1</v>
      </c>
      <c r="AA182" s="9">
        <v>1</v>
      </c>
      <c r="AB182" s="9">
        <v>1</v>
      </c>
      <c r="AC182" s="9">
        <v>2</v>
      </c>
      <c r="AD182" s="43">
        <v>2</v>
      </c>
      <c r="AE182" s="55">
        <v>0.35859414261160716</v>
      </c>
      <c r="AF182" s="52" t="s">
        <v>111</v>
      </c>
    </row>
    <row r="183" spans="1:32">
      <c r="A183" s="224">
        <v>2008</v>
      </c>
      <c r="B183" s="224">
        <v>337</v>
      </c>
      <c r="C183" s="224" t="s">
        <v>96</v>
      </c>
      <c r="D183" s="224">
        <v>117</v>
      </c>
      <c r="E183" s="224">
        <v>200</v>
      </c>
      <c r="F183" s="224">
        <v>254</v>
      </c>
      <c r="G183" s="224">
        <v>0.44052863436123352</v>
      </c>
      <c r="H183" s="224">
        <v>0.55947136563876654</v>
      </c>
      <c r="I183" s="304" t="s">
        <v>110</v>
      </c>
      <c r="J183" s="29">
        <v>1</v>
      </c>
      <c r="K183" s="9">
        <v>1</v>
      </c>
      <c r="L183" s="9">
        <v>1</v>
      </c>
      <c r="M183" s="9">
        <v>2</v>
      </c>
      <c r="N183" s="43">
        <v>2</v>
      </c>
      <c r="O183" s="260">
        <f t="shared" si="3"/>
        <v>0.35859414261160716</v>
      </c>
      <c r="P183" s="163" t="s">
        <v>111</v>
      </c>
      <c r="Q183" s="224">
        <v>2016</v>
      </c>
      <c r="R183" s="224">
        <v>1139</v>
      </c>
      <c r="S183" s="224" t="s">
        <v>96</v>
      </c>
      <c r="T183" s="224">
        <v>101</v>
      </c>
      <c r="U183" s="224">
        <v>233</v>
      </c>
      <c r="V183" s="224">
        <v>1007</v>
      </c>
      <c r="W183" s="224">
        <v>0.18790322580645161</v>
      </c>
      <c r="X183" s="224">
        <v>0.81209677419354842</v>
      </c>
      <c r="Y183" s="100" t="s">
        <v>126</v>
      </c>
      <c r="Z183" s="29">
        <v>1</v>
      </c>
      <c r="AA183" s="9">
        <v>1</v>
      </c>
      <c r="AB183" s="9">
        <v>1</v>
      </c>
      <c r="AC183" s="9">
        <v>2</v>
      </c>
      <c r="AD183" s="43">
        <v>2</v>
      </c>
      <c r="AE183" s="55">
        <v>0.35859414261160716</v>
      </c>
      <c r="AF183" s="52" t="s">
        <v>111</v>
      </c>
    </row>
    <row r="184" spans="1:32">
      <c r="A184" s="224">
        <v>2008</v>
      </c>
      <c r="B184" s="224">
        <v>125</v>
      </c>
      <c r="C184" s="224" t="s">
        <v>97</v>
      </c>
      <c r="D184" s="224">
        <v>197</v>
      </c>
      <c r="E184" s="224">
        <v>298</v>
      </c>
      <c r="F184" s="224">
        <v>24</v>
      </c>
      <c r="G184" s="224">
        <v>0.92546583850931674</v>
      </c>
      <c r="H184" s="224">
        <v>7.4534161490683259E-2</v>
      </c>
      <c r="I184" s="304" t="s">
        <v>110</v>
      </c>
      <c r="J184" s="29">
        <v>1</v>
      </c>
      <c r="K184" s="9">
        <v>1</v>
      </c>
      <c r="L184" s="9">
        <v>1</v>
      </c>
      <c r="M184" s="9">
        <v>2</v>
      </c>
      <c r="N184" s="43">
        <v>2</v>
      </c>
      <c r="O184" s="260">
        <f t="shared" si="3"/>
        <v>0.35859414261160716</v>
      </c>
      <c r="P184" s="163" t="s">
        <v>111</v>
      </c>
      <c r="Q184" s="224">
        <v>2016</v>
      </c>
      <c r="R184" s="224">
        <v>1965</v>
      </c>
      <c r="S184" s="224" t="s">
        <v>97</v>
      </c>
      <c r="T184" s="224">
        <v>309</v>
      </c>
      <c r="U184" s="224">
        <v>961</v>
      </c>
      <c r="V184" s="224">
        <v>1313</v>
      </c>
      <c r="W184" s="224">
        <v>0.42260334212840811</v>
      </c>
      <c r="X184" s="224">
        <v>0.57739665787159189</v>
      </c>
      <c r="Y184" s="100" t="s">
        <v>126</v>
      </c>
      <c r="Z184" s="29">
        <v>1</v>
      </c>
      <c r="AA184" s="9">
        <v>1</v>
      </c>
      <c r="AB184" s="9">
        <v>1</v>
      </c>
      <c r="AC184" s="9">
        <v>2</v>
      </c>
      <c r="AD184" s="43">
        <v>2</v>
      </c>
      <c r="AE184" s="55">
        <v>0.35859414261160716</v>
      </c>
      <c r="AF184" s="52" t="s">
        <v>111</v>
      </c>
    </row>
    <row r="185" spans="1:32">
      <c r="A185" s="224">
        <v>2008</v>
      </c>
      <c r="B185" s="224">
        <v>199</v>
      </c>
      <c r="C185" s="224" t="s">
        <v>95</v>
      </c>
      <c r="D185" s="224">
        <v>101</v>
      </c>
      <c r="E185" s="224">
        <v>238</v>
      </c>
      <c r="F185" s="224">
        <v>62</v>
      </c>
      <c r="G185" s="224">
        <v>0.79333333333333333</v>
      </c>
      <c r="H185" s="224">
        <v>0.20666666666666669</v>
      </c>
      <c r="I185" s="304" t="s">
        <v>110</v>
      </c>
      <c r="J185" s="29">
        <v>1</v>
      </c>
      <c r="K185" s="9">
        <v>1</v>
      </c>
      <c r="L185" s="9">
        <v>1</v>
      </c>
      <c r="M185" s="9">
        <v>2</v>
      </c>
      <c r="N185" s="43">
        <v>2</v>
      </c>
      <c r="O185" s="260">
        <f t="shared" si="3"/>
        <v>0.35859414261160716</v>
      </c>
      <c r="P185" s="163" t="s">
        <v>111</v>
      </c>
      <c r="Q185" s="224">
        <v>2016</v>
      </c>
      <c r="R185" s="224">
        <v>2397</v>
      </c>
      <c r="S185" s="224" t="s">
        <v>95</v>
      </c>
      <c r="T185" s="224">
        <v>249</v>
      </c>
      <c r="U185" s="224">
        <v>629</v>
      </c>
      <c r="V185" s="224">
        <v>2017</v>
      </c>
      <c r="W185" s="224">
        <v>0.2377173091458806</v>
      </c>
      <c r="X185" s="224">
        <v>0.76228269085411937</v>
      </c>
      <c r="Y185" s="100" t="s">
        <v>126</v>
      </c>
      <c r="Z185" s="29">
        <v>1</v>
      </c>
      <c r="AA185" s="9">
        <v>1</v>
      </c>
      <c r="AB185" s="9">
        <v>1</v>
      </c>
      <c r="AC185" s="9">
        <v>2</v>
      </c>
      <c r="AD185" s="43">
        <v>2</v>
      </c>
      <c r="AE185" s="55">
        <v>0.35859414261160716</v>
      </c>
      <c r="AF185" s="52" t="s">
        <v>111</v>
      </c>
    </row>
    <row r="186" spans="1:32">
      <c r="A186" s="224">
        <v>2008</v>
      </c>
      <c r="B186" s="224">
        <v>98</v>
      </c>
      <c r="C186" s="224" t="s">
        <v>93</v>
      </c>
      <c r="D186" s="224">
        <v>28</v>
      </c>
      <c r="E186" s="224">
        <v>71</v>
      </c>
      <c r="F186" s="224">
        <v>55</v>
      </c>
      <c r="G186" s="224">
        <v>0.56349206349206349</v>
      </c>
      <c r="H186" s="224">
        <v>0.43650793650793651</v>
      </c>
      <c r="I186" s="304" t="s">
        <v>110</v>
      </c>
      <c r="J186" s="29">
        <v>1</v>
      </c>
      <c r="K186" s="9">
        <v>1</v>
      </c>
      <c r="L186" s="9">
        <v>1</v>
      </c>
      <c r="M186" s="9">
        <v>2</v>
      </c>
      <c r="N186" s="43">
        <v>2</v>
      </c>
      <c r="O186" s="260">
        <f t="shared" si="3"/>
        <v>0.35859414261160716</v>
      </c>
      <c r="P186" s="163" t="s">
        <v>111</v>
      </c>
      <c r="Q186" s="224">
        <v>2016</v>
      </c>
      <c r="R186" s="224">
        <v>2400</v>
      </c>
      <c r="S186" s="224" t="s">
        <v>93</v>
      </c>
      <c r="T186" s="224">
        <v>55</v>
      </c>
      <c r="U186" s="224">
        <v>473</v>
      </c>
      <c r="V186" s="224">
        <v>1982</v>
      </c>
      <c r="W186" s="224">
        <v>0.19266802443991851</v>
      </c>
      <c r="X186" s="224">
        <v>0.80733197556008141</v>
      </c>
      <c r="Y186" s="100" t="s">
        <v>126</v>
      </c>
      <c r="Z186" s="29">
        <v>1</v>
      </c>
      <c r="AA186" s="9">
        <v>1</v>
      </c>
      <c r="AB186" s="9">
        <v>1</v>
      </c>
      <c r="AC186" s="9">
        <v>2</v>
      </c>
      <c r="AD186" s="43">
        <v>2</v>
      </c>
      <c r="AE186" s="55">
        <v>0.35859414261160716</v>
      </c>
      <c r="AF186" s="52" t="s">
        <v>111</v>
      </c>
    </row>
    <row r="187" spans="1:32">
      <c r="A187" s="224">
        <v>2008</v>
      </c>
      <c r="B187" s="224">
        <v>2137</v>
      </c>
      <c r="C187" s="224" t="s">
        <v>98</v>
      </c>
      <c r="D187" s="224">
        <v>868</v>
      </c>
      <c r="E187" s="224">
        <v>3005</v>
      </c>
      <c r="F187" s="224">
        <v>0</v>
      </c>
      <c r="G187" s="224">
        <v>1</v>
      </c>
      <c r="H187" s="224">
        <v>0</v>
      </c>
      <c r="I187" s="304" t="s">
        <v>110</v>
      </c>
      <c r="J187" s="29">
        <v>1</v>
      </c>
      <c r="K187" s="9">
        <v>1</v>
      </c>
      <c r="L187" s="9">
        <v>1</v>
      </c>
      <c r="M187" s="9">
        <v>2</v>
      </c>
      <c r="N187" s="43">
        <v>2</v>
      </c>
      <c r="O187" s="260">
        <f t="shared" si="3"/>
        <v>0.35859414261160716</v>
      </c>
      <c r="P187" s="163" t="s">
        <v>111</v>
      </c>
      <c r="Q187" s="224">
        <v>2016</v>
      </c>
      <c r="R187" s="224">
        <v>12878</v>
      </c>
      <c r="S187" s="224" t="s">
        <v>98</v>
      </c>
      <c r="T187" s="224">
        <v>1838</v>
      </c>
      <c r="U187" s="224">
        <v>5352</v>
      </c>
      <c r="V187" s="224">
        <v>9364</v>
      </c>
      <c r="W187" s="224">
        <v>0.36368578418048381</v>
      </c>
      <c r="X187" s="224">
        <v>0.63631421581951619</v>
      </c>
      <c r="Y187" s="100" t="s">
        <v>126</v>
      </c>
      <c r="Z187" s="29">
        <v>1</v>
      </c>
      <c r="AA187" s="9">
        <v>1</v>
      </c>
      <c r="AB187" s="9">
        <v>1</v>
      </c>
      <c r="AC187" s="9">
        <v>2</v>
      </c>
      <c r="AD187" s="43">
        <v>2</v>
      </c>
      <c r="AE187" s="55">
        <v>0.35859414261160716</v>
      </c>
      <c r="AF187" s="52" t="s">
        <v>111</v>
      </c>
    </row>
    <row r="188" spans="1:32">
      <c r="A188" s="224">
        <v>2009</v>
      </c>
      <c r="B188" s="224">
        <v>1560</v>
      </c>
      <c r="C188" s="224" t="s">
        <v>85</v>
      </c>
      <c r="D188" s="224">
        <v>593</v>
      </c>
      <c r="E188" s="224">
        <v>2141</v>
      </c>
      <c r="F188" s="224">
        <v>12</v>
      </c>
      <c r="G188" s="224">
        <v>0.99442638179284715</v>
      </c>
      <c r="H188" s="224">
        <v>5.5736182071528528E-3</v>
      </c>
      <c r="I188" s="304" t="s">
        <v>110</v>
      </c>
      <c r="J188" s="29">
        <v>1</v>
      </c>
      <c r="K188" s="9">
        <v>1</v>
      </c>
      <c r="L188" s="9">
        <v>1</v>
      </c>
      <c r="M188" s="9">
        <v>2</v>
      </c>
      <c r="N188" s="43">
        <v>2</v>
      </c>
      <c r="O188" s="260">
        <f t="shared" si="3"/>
        <v>0.35859414261160716</v>
      </c>
      <c r="P188" s="163" t="s">
        <v>111</v>
      </c>
      <c r="Q188" s="224">
        <v>2017</v>
      </c>
      <c r="R188" s="224">
        <v>12829</v>
      </c>
      <c r="S188" s="224" t="s">
        <v>85</v>
      </c>
      <c r="T188" s="224">
        <v>1911</v>
      </c>
      <c r="U188" s="224">
        <v>2919</v>
      </c>
      <c r="V188" s="224">
        <v>11821</v>
      </c>
      <c r="W188" s="224">
        <v>0.1980325644504749</v>
      </c>
      <c r="X188" s="224">
        <v>0.8019674355495251</v>
      </c>
      <c r="Y188" s="100" t="s">
        <v>126</v>
      </c>
      <c r="Z188" s="29">
        <v>1</v>
      </c>
      <c r="AA188" s="9">
        <v>1</v>
      </c>
      <c r="AB188" s="9">
        <v>1</v>
      </c>
      <c r="AC188" s="9">
        <v>2</v>
      </c>
      <c r="AD188" s="43">
        <v>2</v>
      </c>
      <c r="AE188" s="55">
        <v>0.35859414261160716</v>
      </c>
      <c r="AF188" s="52" t="s">
        <v>111</v>
      </c>
    </row>
    <row r="189" spans="1:32">
      <c r="A189" s="224">
        <v>2009</v>
      </c>
      <c r="B189" s="224">
        <v>290</v>
      </c>
      <c r="C189" s="224" t="s">
        <v>86</v>
      </c>
      <c r="D189" s="224">
        <v>162</v>
      </c>
      <c r="E189" s="224">
        <v>355</v>
      </c>
      <c r="F189" s="224">
        <v>97</v>
      </c>
      <c r="G189" s="224">
        <v>0.78539823008849563</v>
      </c>
      <c r="H189" s="224">
        <v>0.2146017699115044</v>
      </c>
      <c r="I189" s="304" t="s">
        <v>110</v>
      </c>
      <c r="J189" s="29">
        <v>1</v>
      </c>
      <c r="K189" s="9">
        <v>1</v>
      </c>
      <c r="L189" s="9">
        <v>1</v>
      </c>
      <c r="M189" s="9">
        <v>2</v>
      </c>
      <c r="N189" s="43">
        <v>2</v>
      </c>
      <c r="O189" s="260">
        <f t="shared" si="3"/>
        <v>0.35859414261160716</v>
      </c>
      <c r="P189" s="163" t="s">
        <v>111</v>
      </c>
      <c r="Q189" s="224">
        <v>2017</v>
      </c>
      <c r="R189" s="224">
        <v>6009</v>
      </c>
      <c r="S189" s="224" t="s">
        <v>86</v>
      </c>
      <c r="T189" s="224">
        <v>1075</v>
      </c>
      <c r="U189" s="224">
        <v>1373</v>
      </c>
      <c r="V189" s="224">
        <v>5711</v>
      </c>
      <c r="W189" s="224">
        <v>0.1938170525127047</v>
      </c>
      <c r="X189" s="224">
        <v>0.80618294748729535</v>
      </c>
      <c r="Y189" s="100" t="s">
        <v>126</v>
      </c>
      <c r="Z189" s="29">
        <v>1</v>
      </c>
      <c r="AA189" s="9">
        <v>1</v>
      </c>
      <c r="AB189" s="9">
        <v>1</v>
      </c>
      <c r="AC189" s="9">
        <v>2</v>
      </c>
      <c r="AD189" s="43">
        <v>2</v>
      </c>
      <c r="AE189" s="55">
        <v>0.35859414261160716</v>
      </c>
      <c r="AF189" s="52" t="s">
        <v>111</v>
      </c>
    </row>
    <row r="190" spans="1:32">
      <c r="A190" s="224">
        <v>2009</v>
      </c>
      <c r="B190" s="224">
        <v>852</v>
      </c>
      <c r="C190" s="224" t="s">
        <v>87</v>
      </c>
      <c r="D190" s="224">
        <v>246</v>
      </c>
      <c r="E190" s="224">
        <v>172</v>
      </c>
      <c r="F190" s="224">
        <v>926</v>
      </c>
      <c r="G190" s="224">
        <v>0.15664845173041889</v>
      </c>
      <c r="H190" s="224">
        <v>0.84335154826958103</v>
      </c>
      <c r="I190" s="304" t="s">
        <v>110</v>
      </c>
      <c r="J190" s="29">
        <v>1</v>
      </c>
      <c r="K190" s="9">
        <v>1</v>
      </c>
      <c r="L190" s="9">
        <v>1</v>
      </c>
      <c r="M190" s="9">
        <v>2</v>
      </c>
      <c r="N190" s="43">
        <v>2</v>
      </c>
      <c r="O190" s="260">
        <f t="shared" si="3"/>
        <v>0.35859414261160716</v>
      </c>
      <c r="P190" s="163" t="s">
        <v>111</v>
      </c>
      <c r="Q190" s="224">
        <v>2017</v>
      </c>
      <c r="R190" s="224">
        <v>9425</v>
      </c>
      <c r="S190" s="224" t="s">
        <v>87</v>
      </c>
      <c r="T190" s="224">
        <v>467</v>
      </c>
      <c r="U190" s="224">
        <v>1050</v>
      </c>
      <c r="V190" s="224">
        <v>8842</v>
      </c>
      <c r="W190" s="224">
        <v>0.1061463809138698</v>
      </c>
      <c r="X190" s="224">
        <v>0.89385361908613015</v>
      </c>
      <c r="Y190" s="100" t="s">
        <v>126</v>
      </c>
      <c r="Z190" s="29">
        <v>1</v>
      </c>
      <c r="AA190" s="9">
        <v>1</v>
      </c>
      <c r="AB190" s="9">
        <v>1</v>
      </c>
      <c r="AC190" s="9">
        <v>2</v>
      </c>
      <c r="AD190" s="43">
        <v>2</v>
      </c>
      <c r="AE190" s="55">
        <v>0.35859414261160716</v>
      </c>
      <c r="AF190" s="52" t="s">
        <v>111</v>
      </c>
    </row>
    <row r="191" spans="1:32">
      <c r="A191" s="224">
        <v>2009</v>
      </c>
      <c r="B191" s="224">
        <v>9</v>
      </c>
      <c r="C191" s="224" t="s">
        <v>88</v>
      </c>
      <c r="D191" s="224">
        <v>41</v>
      </c>
      <c r="E191" s="224">
        <v>50</v>
      </c>
      <c r="F191" s="224">
        <v>0</v>
      </c>
      <c r="G191" s="224">
        <v>1</v>
      </c>
      <c r="H191" s="224">
        <v>0</v>
      </c>
      <c r="I191" s="304" t="s">
        <v>110</v>
      </c>
      <c r="J191" s="29">
        <v>1</v>
      </c>
      <c r="K191" s="9">
        <v>1</v>
      </c>
      <c r="L191" s="9">
        <v>1</v>
      </c>
      <c r="M191" s="9">
        <v>2</v>
      </c>
      <c r="N191" s="43">
        <v>2</v>
      </c>
      <c r="O191" s="260">
        <f t="shared" si="3"/>
        <v>0.35859414261160716</v>
      </c>
      <c r="P191" s="163" t="s">
        <v>111</v>
      </c>
      <c r="Q191" s="224">
        <v>2017</v>
      </c>
      <c r="R191" s="224">
        <v>1814</v>
      </c>
      <c r="S191" s="224" t="s">
        <v>88</v>
      </c>
      <c r="T191" s="224">
        <v>216</v>
      </c>
      <c r="U191" s="224">
        <v>279</v>
      </c>
      <c r="V191" s="224">
        <v>1751</v>
      </c>
      <c r="W191" s="224">
        <v>0.13743842364532019</v>
      </c>
      <c r="X191" s="224">
        <v>0.86256157635467978</v>
      </c>
      <c r="Y191" s="100" t="s">
        <v>126</v>
      </c>
      <c r="Z191" s="29">
        <v>1</v>
      </c>
      <c r="AA191" s="9">
        <v>1</v>
      </c>
      <c r="AB191" s="9">
        <v>1</v>
      </c>
      <c r="AC191" s="9">
        <v>2</v>
      </c>
      <c r="AD191" s="43">
        <v>2</v>
      </c>
      <c r="AE191" s="55">
        <v>0.35859414261160716</v>
      </c>
      <c r="AF191" s="52" t="s">
        <v>111</v>
      </c>
    </row>
    <row r="192" spans="1:32">
      <c r="A192" s="224">
        <v>2009</v>
      </c>
      <c r="B192" s="224">
        <v>191</v>
      </c>
      <c r="C192" s="224" t="s">
        <v>89</v>
      </c>
      <c r="D192" s="224">
        <v>28</v>
      </c>
      <c r="E192" s="224">
        <v>147</v>
      </c>
      <c r="F192" s="224">
        <v>72</v>
      </c>
      <c r="G192" s="224">
        <v>0.67123287671232879</v>
      </c>
      <c r="H192" s="224">
        <v>0.32876712328767121</v>
      </c>
      <c r="I192" s="304" t="s">
        <v>110</v>
      </c>
      <c r="J192" s="29">
        <v>1</v>
      </c>
      <c r="K192" s="9">
        <v>1</v>
      </c>
      <c r="L192" s="9">
        <v>1</v>
      </c>
      <c r="M192" s="9">
        <v>2</v>
      </c>
      <c r="N192" s="43">
        <v>2</v>
      </c>
      <c r="O192" s="260">
        <f t="shared" si="3"/>
        <v>0.35859414261160716</v>
      </c>
      <c r="P192" s="163" t="s">
        <v>111</v>
      </c>
      <c r="Q192" s="224">
        <v>2017</v>
      </c>
      <c r="R192" s="224">
        <v>1611</v>
      </c>
      <c r="S192" s="224" t="s">
        <v>89</v>
      </c>
      <c r="T192" s="224">
        <v>46</v>
      </c>
      <c r="U192" s="224">
        <v>115</v>
      </c>
      <c r="V192" s="224">
        <v>1542</v>
      </c>
      <c r="W192" s="224">
        <v>6.9402534701267352E-2</v>
      </c>
      <c r="X192" s="224">
        <v>0.93059746529873266</v>
      </c>
      <c r="Y192" s="100" t="s">
        <v>126</v>
      </c>
      <c r="Z192" s="29">
        <v>1</v>
      </c>
      <c r="AA192" s="9">
        <v>1</v>
      </c>
      <c r="AB192" s="9">
        <v>1</v>
      </c>
      <c r="AC192" s="9">
        <v>2</v>
      </c>
      <c r="AD192" s="43">
        <v>2</v>
      </c>
      <c r="AE192" s="55">
        <v>0.35859414261160716</v>
      </c>
      <c r="AF192" s="52" t="s">
        <v>111</v>
      </c>
    </row>
    <row r="193" spans="1:32">
      <c r="A193" s="224">
        <v>2009</v>
      </c>
      <c r="B193" s="224">
        <v>610</v>
      </c>
      <c r="C193" s="224" t="s">
        <v>90</v>
      </c>
      <c r="D193" s="224">
        <v>159</v>
      </c>
      <c r="E193" s="224">
        <v>593</v>
      </c>
      <c r="F193" s="224">
        <v>176</v>
      </c>
      <c r="G193" s="224">
        <v>0.77113133940182055</v>
      </c>
      <c r="H193" s="224">
        <v>0.22886866059817951</v>
      </c>
      <c r="I193" s="304" t="s">
        <v>110</v>
      </c>
      <c r="J193" s="29">
        <v>1</v>
      </c>
      <c r="K193" s="9">
        <v>1</v>
      </c>
      <c r="L193" s="9">
        <v>1</v>
      </c>
      <c r="M193" s="9">
        <v>2</v>
      </c>
      <c r="N193" s="43">
        <v>2</v>
      </c>
      <c r="O193" s="260">
        <f t="shared" si="3"/>
        <v>0.35859414261160716</v>
      </c>
      <c r="P193" s="163" t="s">
        <v>111</v>
      </c>
      <c r="Q193" s="224">
        <v>2017</v>
      </c>
      <c r="R193" s="224">
        <v>6797</v>
      </c>
      <c r="S193" s="224" t="s">
        <v>90</v>
      </c>
      <c r="T193" s="224">
        <v>297</v>
      </c>
      <c r="U193" s="224">
        <v>1652</v>
      </c>
      <c r="V193" s="224">
        <v>5442</v>
      </c>
      <c r="W193" s="224">
        <v>0.23287285029602481</v>
      </c>
      <c r="X193" s="224">
        <v>0.76712714970397522</v>
      </c>
      <c r="Y193" s="100" t="s">
        <v>126</v>
      </c>
      <c r="Z193" s="29">
        <v>1</v>
      </c>
      <c r="AA193" s="9">
        <v>1</v>
      </c>
      <c r="AB193" s="9">
        <v>1</v>
      </c>
      <c r="AC193" s="9">
        <v>2</v>
      </c>
      <c r="AD193" s="43">
        <v>2</v>
      </c>
      <c r="AE193" s="55">
        <v>0.35859414261160716</v>
      </c>
      <c r="AF193" s="52" t="s">
        <v>111</v>
      </c>
    </row>
    <row r="194" spans="1:32">
      <c r="A194" s="224">
        <v>2009</v>
      </c>
      <c r="B194" s="224">
        <v>184</v>
      </c>
      <c r="C194" s="224" t="s">
        <v>91</v>
      </c>
      <c r="D194" s="224">
        <v>92</v>
      </c>
      <c r="E194" s="224">
        <v>276</v>
      </c>
      <c r="F194" s="224">
        <v>0</v>
      </c>
      <c r="G194" s="224">
        <v>1</v>
      </c>
      <c r="H194" s="224">
        <v>0</v>
      </c>
      <c r="I194" s="304" t="s">
        <v>110</v>
      </c>
      <c r="J194" s="29">
        <v>1</v>
      </c>
      <c r="K194" s="9">
        <v>1</v>
      </c>
      <c r="L194" s="9">
        <v>1</v>
      </c>
      <c r="M194" s="9">
        <v>2</v>
      </c>
      <c r="N194" s="43">
        <v>2</v>
      </c>
      <c r="O194" s="260">
        <f t="shared" si="3"/>
        <v>0.35859414261160716</v>
      </c>
      <c r="P194" s="163" t="s">
        <v>111</v>
      </c>
      <c r="Q194" s="224">
        <v>2017</v>
      </c>
      <c r="R194" s="224">
        <v>2891</v>
      </c>
      <c r="S194" s="224" t="s">
        <v>91</v>
      </c>
      <c r="T194" s="224">
        <v>909</v>
      </c>
      <c r="U194" s="224">
        <v>292</v>
      </c>
      <c r="V194" s="224">
        <v>3508</v>
      </c>
      <c r="W194" s="224">
        <v>7.6842105263157892E-2</v>
      </c>
      <c r="X194" s="224">
        <v>0.92315789473684207</v>
      </c>
      <c r="Y194" s="100" t="s">
        <v>126</v>
      </c>
      <c r="Z194" s="29">
        <v>1</v>
      </c>
      <c r="AA194" s="9">
        <v>1</v>
      </c>
      <c r="AB194" s="9">
        <v>1</v>
      </c>
      <c r="AC194" s="9">
        <v>2</v>
      </c>
      <c r="AD194" s="43">
        <v>2</v>
      </c>
      <c r="AE194" s="55">
        <v>0.35859414261160716</v>
      </c>
      <c r="AF194" s="52" t="s">
        <v>111</v>
      </c>
    </row>
    <row r="195" spans="1:32">
      <c r="A195" s="224">
        <v>2009</v>
      </c>
      <c r="B195" s="224">
        <v>109</v>
      </c>
      <c r="C195" s="224" t="s">
        <v>94</v>
      </c>
      <c r="D195" s="224">
        <v>23</v>
      </c>
      <c r="E195" s="224">
        <v>132</v>
      </c>
      <c r="F195" s="224">
        <v>0</v>
      </c>
      <c r="G195" s="224">
        <v>1</v>
      </c>
      <c r="H195" s="224">
        <v>0</v>
      </c>
      <c r="I195" s="304" t="s">
        <v>110</v>
      </c>
      <c r="J195" s="29">
        <v>1</v>
      </c>
      <c r="K195" s="9">
        <v>1</v>
      </c>
      <c r="L195" s="9">
        <v>1</v>
      </c>
      <c r="M195" s="9">
        <v>2</v>
      </c>
      <c r="N195" s="43">
        <v>2</v>
      </c>
      <c r="O195" s="260">
        <f t="shared" si="3"/>
        <v>0.35859414261160716</v>
      </c>
      <c r="P195" s="163" t="s">
        <v>111</v>
      </c>
      <c r="Q195" s="224">
        <v>2017</v>
      </c>
      <c r="R195" s="224">
        <v>683</v>
      </c>
      <c r="S195" s="224" t="s">
        <v>94</v>
      </c>
      <c r="T195" s="224">
        <v>213</v>
      </c>
      <c r="U195" s="224">
        <v>192</v>
      </c>
      <c r="V195" s="224">
        <v>704</v>
      </c>
      <c r="W195" s="224">
        <v>0.2142857142857143</v>
      </c>
      <c r="X195" s="224">
        <v>0.7857142857142857</v>
      </c>
      <c r="Y195" s="100" t="s">
        <v>126</v>
      </c>
      <c r="Z195" s="29">
        <v>1</v>
      </c>
      <c r="AA195" s="9">
        <v>1</v>
      </c>
      <c r="AB195" s="9">
        <v>1</v>
      </c>
      <c r="AC195" s="9">
        <v>2</v>
      </c>
      <c r="AD195" s="43">
        <v>2</v>
      </c>
      <c r="AE195" s="55">
        <v>0.35859414261160716</v>
      </c>
      <c r="AF195" s="52" t="s">
        <v>111</v>
      </c>
    </row>
    <row r="196" spans="1:32">
      <c r="A196" s="224">
        <v>2009</v>
      </c>
      <c r="B196" s="224">
        <v>337</v>
      </c>
      <c r="C196" s="224" t="s">
        <v>96</v>
      </c>
      <c r="D196" s="224">
        <v>50</v>
      </c>
      <c r="E196" s="224">
        <v>184</v>
      </c>
      <c r="F196" s="224">
        <v>203</v>
      </c>
      <c r="G196" s="224">
        <v>0.47545219638242892</v>
      </c>
      <c r="H196" s="224">
        <v>0.52454780361757103</v>
      </c>
      <c r="I196" s="304" t="s">
        <v>110</v>
      </c>
      <c r="J196" s="29">
        <v>1</v>
      </c>
      <c r="K196" s="9">
        <v>1</v>
      </c>
      <c r="L196" s="9">
        <v>1</v>
      </c>
      <c r="M196" s="9">
        <v>2</v>
      </c>
      <c r="N196" s="43">
        <v>2</v>
      </c>
      <c r="O196" s="260">
        <f t="shared" si="3"/>
        <v>0.35859414261160716</v>
      </c>
      <c r="P196" s="163" t="s">
        <v>111</v>
      </c>
      <c r="Q196" s="224">
        <v>2017</v>
      </c>
      <c r="R196" s="224">
        <v>1203</v>
      </c>
      <c r="S196" s="224" t="s">
        <v>96</v>
      </c>
      <c r="T196" s="224">
        <v>106</v>
      </c>
      <c r="U196" s="224">
        <v>237</v>
      </c>
      <c r="V196" s="224">
        <v>1072</v>
      </c>
      <c r="W196" s="224">
        <v>0.18105423987776931</v>
      </c>
      <c r="X196" s="224">
        <v>0.81894576012223075</v>
      </c>
      <c r="Y196" s="100" t="s">
        <v>126</v>
      </c>
      <c r="Z196" s="29">
        <v>1</v>
      </c>
      <c r="AA196" s="9">
        <v>1</v>
      </c>
      <c r="AB196" s="9">
        <v>1</v>
      </c>
      <c r="AC196" s="9">
        <v>2</v>
      </c>
      <c r="AD196" s="43">
        <v>2</v>
      </c>
      <c r="AE196" s="55">
        <v>0.35859414261160716</v>
      </c>
      <c r="AF196" s="52" t="s">
        <v>111</v>
      </c>
    </row>
    <row r="197" spans="1:32">
      <c r="A197" s="224">
        <v>2009</v>
      </c>
      <c r="B197" s="224">
        <v>126</v>
      </c>
      <c r="C197" s="224" t="s">
        <v>97</v>
      </c>
      <c r="D197" s="224">
        <v>173</v>
      </c>
      <c r="E197" s="224">
        <v>281</v>
      </c>
      <c r="F197" s="224">
        <v>18</v>
      </c>
      <c r="G197" s="224">
        <v>0.93979933110367897</v>
      </c>
      <c r="H197" s="224">
        <v>6.020066889632103E-2</v>
      </c>
      <c r="I197" s="304" t="s">
        <v>110</v>
      </c>
      <c r="J197" s="29">
        <v>1</v>
      </c>
      <c r="K197" s="9">
        <v>1</v>
      </c>
      <c r="L197" s="9">
        <v>1</v>
      </c>
      <c r="M197" s="9">
        <v>2</v>
      </c>
      <c r="N197" s="43">
        <v>2</v>
      </c>
      <c r="O197" s="260">
        <f t="shared" si="3"/>
        <v>0.35859414261160716</v>
      </c>
      <c r="P197" s="163" t="s">
        <v>111</v>
      </c>
      <c r="Q197" s="224">
        <v>2017</v>
      </c>
      <c r="R197" s="224">
        <v>3038</v>
      </c>
      <c r="S197" s="224" t="s">
        <v>97</v>
      </c>
      <c r="T197" s="224">
        <v>306</v>
      </c>
      <c r="U197" s="224">
        <v>1053</v>
      </c>
      <c r="V197" s="224">
        <v>2291</v>
      </c>
      <c r="W197" s="224">
        <v>0.31489234449760772</v>
      </c>
      <c r="X197" s="224">
        <v>0.68510765550239228</v>
      </c>
      <c r="Y197" s="100" t="s">
        <v>126</v>
      </c>
      <c r="Z197" s="29">
        <v>1</v>
      </c>
      <c r="AA197" s="9">
        <v>1</v>
      </c>
      <c r="AB197" s="9">
        <v>1</v>
      </c>
      <c r="AC197" s="9">
        <v>2</v>
      </c>
      <c r="AD197" s="43">
        <v>2</v>
      </c>
      <c r="AE197" s="55">
        <v>0.35859414261160716</v>
      </c>
      <c r="AF197" s="52" t="s">
        <v>111</v>
      </c>
    </row>
    <row r="198" spans="1:32">
      <c r="A198" s="224">
        <v>2009</v>
      </c>
      <c r="B198" s="224">
        <v>205</v>
      </c>
      <c r="C198" s="224" t="s">
        <v>95</v>
      </c>
      <c r="D198" s="224">
        <v>41</v>
      </c>
      <c r="E198" s="224">
        <v>246</v>
      </c>
      <c r="F198" s="224">
        <v>0</v>
      </c>
      <c r="G198" s="224">
        <v>1</v>
      </c>
      <c r="H198" s="224">
        <v>0</v>
      </c>
      <c r="I198" s="304" t="s">
        <v>110</v>
      </c>
      <c r="J198" s="29">
        <v>1</v>
      </c>
      <c r="K198" s="9">
        <v>1</v>
      </c>
      <c r="L198" s="9">
        <v>1</v>
      </c>
      <c r="M198" s="9">
        <v>2</v>
      </c>
      <c r="N198" s="43">
        <v>2</v>
      </c>
      <c r="O198" s="260">
        <f t="shared" si="3"/>
        <v>0.35859414261160716</v>
      </c>
      <c r="P198" s="163" t="s">
        <v>111</v>
      </c>
      <c r="Q198" s="224">
        <v>2017</v>
      </c>
      <c r="R198" s="224">
        <v>2283</v>
      </c>
      <c r="S198" s="224" t="s">
        <v>95</v>
      </c>
      <c r="T198" s="224">
        <v>214</v>
      </c>
      <c r="U198" s="224">
        <v>650</v>
      </c>
      <c r="V198" s="224">
        <v>1847</v>
      </c>
      <c r="W198" s="224">
        <v>0.26031237484981978</v>
      </c>
      <c r="X198" s="224">
        <v>0.73968762515018027</v>
      </c>
      <c r="Y198" s="100" t="s">
        <v>126</v>
      </c>
      <c r="Z198" s="29">
        <v>1</v>
      </c>
      <c r="AA198" s="9">
        <v>1</v>
      </c>
      <c r="AB198" s="9">
        <v>1</v>
      </c>
      <c r="AC198" s="9">
        <v>2</v>
      </c>
      <c r="AD198" s="43">
        <v>2</v>
      </c>
      <c r="AE198" s="55">
        <v>0.35859414261160716</v>
      </c>
      <c r="AF198" s="52" t="s">
        <v>111</v>
      </c>
    </row>
    <row r="199" spans="1:32">
      <c r="A199" s="224">
        <v>2009</v>
      </c>
      <c r="B199" s="224">
        <v>69</v>
      </c>
      <c r="C199" s="224" t="s">
        <v>93</v>
      </c>
      <c r="D199" s="224">
        <v>35</v>
      </c>
      <c r="E199" s="224">
        <v>59</v>
      </c>
      <c r="F199" s="224">
        <v>45</v>
      </c>
      <c r="G199" s="224">
        <v>0.56730769230769229</v>
      </c>
      <c r="H199" s="224">
        <v>0.43269230769230771</v>
      </c>
      <c r="I199" s="304" t="s">
        <v>110</v>
      </c>
      <c r="J199" s="29">
        <v>1</v>
      </c>
      <c r="K199" s="9">
        <v>1</v>
      </c>
      <c r="L199" s="9">
        <v>1</v>
      </c>
      <c r="M199" s="9">
        <v>2</v>
      </c>
      <c r="N199" s="43">
        <v>2</v>
      </c>
      <c r="O199" s="260">
        <f t="shared" ref="O199:O262" si="4">IF( OR( ISBLANK(J199),ISBLANK(K199), ISBLANK(L199), ISBLANK(M199), ISBLANK(N199) ), "", 1.5*SQRT(   EXP(2.21*(J199-1)) + EXP(2.21*(K199-1)) + EXP(2.21*(L199-1)) + EXP(2.21*(M199-1)) + EXP(2.21*N199)   )/100*2.45 )</f>
        <v>0.35859414261160716</v>
      </c>
      <c r="P199" s="163" t="s">
        <v>111</v>
      </c>
      <c r="Q199" s="224">
        <v>2017</v>
      </c>
      <c r="R199" s="224">
        <v>2871</v>
      </c>
      <c r="S199" s="224" t="s">
        <v>93</v>
      </c>
      <c r="T199" s="224">
        <v>52</v>
      </c>
      <c r="U199" s="224">
        <v>503</v>
      </c>
      <c r="V199" s="224">
        <v>2420</v>
      </c>
      <c r="W199" s="224">
        <v>0.17208347588094419</v>
      </c>
      <c r="X199" s="224">
        <v>0.82791652411905581</v>
      </c>
      <c r="Y199" s="100" t="s">
        <v>126</v>
      </c>
      <c r="Z199" s="29">
        <v>1</v>
      </c>
      <c r="AA199" s="9">
        <v>1</v>
      </c>
      <c r="AB199" s="9">
        <v>1</v>
      </c>
      <c r="AC199" s="9">
        <v>2</v>
      </c>
      <c r="AD199" s="43">
        <v>2</v>
      </c>
      <c r="AE199" s="55">
        <v>0.35859414261160716</v>
      </c>
      <c r="AF199" s="52" t="s">
        <v>111</v>
      </c>
    </row>
    <row r="200" spans="1:32">
      <c r="A200" s="224">
        <v>2009</v>
      </c>
      <c r="B200" s="224">
        <v>2139</v>
      </c>
      <c r="C200" s="224" t="s">
        <v>98</v>
      </c>
      <c r="D200" s="224">
        <v>701</v>
      </c>
      <c r="E200" s="224">
        <v>2840</v>
      </c>
      <c r="F200" s="224">
        <v>0</v>
      </c>
      <c r="G200" s="224">
        <v>1</v>
      </c>
      <c r="H200" s="224">
        <v>0</v>
      </c>
      <c r="I200" s="304" t="s">
        <v>110</v>
      </c>
      <c r="J200" s="29">
        <v>1</v>
      </c>
      <c r="K200" s="9">
        <v>1</v>
      </c>
      <c r="L200" s="9">
        <v>1</v>
      </c>
      <c r="M200" s="9">
        <v>2</v>
      </c>
      <c r="N200" s="43">
        <v>2</v>
      </c>
      <c r="O200" s="260">
        <f t="shared" si="4"/>
        <v>0.35859414261160716</v>
      </c>
      <c r="P200" s="163" t="s">
        <v>111</v>
      </c>
      <c r="Q200" s="224">
        <v>2017</v>
      </c>
      <c r="R200" s="224">
        <v>14059</v>
      </c>
      <c r="S200" s="224" t="s">
        <v>98</v>
      </c>
      <c r="T200" s="224">
        <v>1465</v>
      </c>
      <c r="U200" s="224">
        <v>5454</v>
      </c>
      <c r="V200" s="224">
        <v>10070</v>
      </c>
      <c r="W200" s="224">
        <v>0.35132697758309722</v>
      </c>
      <c r="X200" s="224">
        <v>0.64867302241690283</v>
      </c>
      <c r="Y200" s="100" t="s">
        <v>126</v>
      </c>
      <c r="Z200" s="29">
        <v>1</v>
      </c>
      <c r="AA200" s="9">
        <v>1</v>
      </c>
      <c r="AB200" s="9">
        <v>1</v>
      </c>
      <c r="AC200" s="9">
        <v>2</v>
      </c>
      <c r="AD200" s="43">
        <v>2</v>
      </c>
      <c r="AE200" s="55">
        <v>0.35859414261160716</v>
      </c>
      <c r="AF200" s="52" t="s">
        <v>111</v>
      </c>
    </row>
    <row r="201" spans="1:32">
      <c r="A201" s="224">
        <v>2010</v>
      </c>
      <c r="B201" s="224">
        <v>1474</v>
      </c>
      <c r="C201" s="224" t="s">
        <v>85</v>
      </c>
      <c r="D201" s="224">
        <v>706</v>
      </c>
      <c r="E201" s="224">
        <v>2108</v>
      </c>
      <c r="F201" s="224">
        <v>72</v>
      </c>
      <c r="G201" s="224">
        <v>0.96697247706422018</v>
      </c>
      <c r="H201" s="224">
        <v>3.3027522935779818E-2</v>
      </c>
      <c r="I201" s="304" t="s">
        <v>110</v>
      </c>
      <c r="J201" s="29">
        <v>1</v>
      </c>
      <c r="K201" s="9">
        <v>1</v>
      </c>
      <c r="L201" s="9">
        <v>1</v>
      </c>
      <c r="M201" s="9">
        <v>2</v>
      </c>
      <c r="N201" s="43">
        <v>2</v>
      </c>
      <c r="O201" s="260">
        <f t="shared" si="4"/>
        <v>0.35859414261160716</v>
      </c>
      <c r="P201" s="163" t="s">
        <v>111</v>
      </c>
      <c r="Q201" s="224">
        <v>2018</v>
      </c>
      <c r="R201" s="224">
        <v>12829</v>
      </c>
      <c r="S201" s="224" t="s">
        <v>85</v>
      </c>
      <c r="T201" s="224">
        <v>2104</v>
      </c>
      <c r="U201" s="224">
        <v>2874</v>
      </c>
      <c r="V201" s="224">
        <v>12059</v>
      </c>
      <c r="W201" s="224">
        <v>0.1924596531172571</v>
      </c>
      <c r="X201" s="224">
        <v>0.8075403468827429</v>
      </c>
      <c r="Y201" s="100" t="s">
        <v>126</v>
      </c>
      <c r="Z201" s="29">
        <v>1</v>
      </c>
      <c r="AA201" s="9">
        <v>1</v>
      </c>
      <c r="AB201" s="9">
        <v>1</v>
      </c>
      <c r="AC201" s="9">
        <v>2</v>
      </c>
      <c r="AD201" s="43">
        <v>2</v>
      </c>
      <c r="AE201" s="55">
        <v>0.35859414261160716</v>
      </c>
      <c r="AF201" s="52" t="s">
        <v>111</v>
      </c>
    </row>
    <row r="202" spans="1:32">
      <c r="A202" s="224">
        <v>2010</v>
      </c>
      <c r="B202" s="224">
        <v>290</v>
      </c>
      <c r="C202" s="224" t="s">
        <v>86</v>
      </c>
      <c r="D202" s="224">
        <v>182</v>
      </c>
      <c r="E202" s="224">
        <v>366</v>
      </c>
      <c r="F202" s="224">
        <v>106</v>
      </c>
      <c r="G202" s="224">
        <v>0.77542372881355937</v>
      </c>
      <c r="H202" s="224">
        <v>0.22457627118644061</v>
      </c>
      <c r="I202" s="304" t="s">
        <v>110</v>
      </c>
      <c r="J202" s="29">
        <v>1</v>
      </c>
      <c r="K202" s="9">
        <v>1</v>
      </c>
      <c r="L202" s="9">
        <v>1</v>
      </c>
      <c r="M202" s="9">
        <v>2</v>
      </c>
      <c r="N202" s="43">
        <v>2</v>
      </c>
      <c r="O202" s="260">
        <f t="shared" si="4"/>
        <v>0.35859414261160716</v>
      </c>
      <c r="P202" s="163" t="s">
        <v>111</v>
      </c>
      <c r="Q202" s="224">
        <v>2018</v>
      </c>
      <c r="R202" s="224">
        <v>6009</v>
      </c>
      <c r="S202" s="224" t="s">
        <v>86</v>
      </c>
      <c r="T202" s="224">
        <v>967</v>
      </c>
      <c r="U202" s="224">
        <v>1382</v>
      </c>
      <c r="V202" s="224">
        <v>5594</v>
      </c>
      <c r="W202" s="224">
        <v>0.1981077981651376</v>
      </c>
      <c r="X202" s="224">
        <v>0.80189220183486243</v>
      </c>
      <c r="Y202" s="100" t="s">
        <v>126</v>
      </c>
      <c r="Z202" s="29">
        <v>1</v>
      </c>
      <c r="AA202" s="9">
        <v>1</v>
      </c>
      <c r="AB202" s="9">
        <v>1</v>
      </c>
      <c r="AC202" s="9">
        <v>2</v>
      </c>
      <c r="AD202" s="43">
        <v>2</v>
      </c>
      <c r="AE202" s="55">
        <v>0.35859414261160716</v>
      </c>
      <c r="AF202" s="52" t="s">
        <v>111</v>
      </c>
    </row>
    <row r="203" spans="1:32">
      <c r="A203" s="224">
        <v>2010</v>
      </c>
      <c r="B203" s="224">
        <v>852</v>
      </c>
      <c r="C203" s="224" t="s">
        <v>87</v>
      </c>
      <c r="D203" s="224">
        <v>225</v>
      </c>
      <c r="E203" s="224">
        <v>185</v>
      </c>
      <c r="F203" s="224">
        <v>892</v>
      </c>
      <c r="G203" s="224">
        <v>0.17177344475394621</v>
      </c>
      <c r="H203" s="224">
        <v>0.82822655524605382</v>
      </c>
      <c r="I203" s="304" t="s">
        <v>110</v>
      </c>
      <c r="J203" s="29">
        <v>1</v>
      </c>
      <c r="K203" s="9">
        <v>1</v>
      </c>
      <c r="L203" s="9">
        <v>1</v>
      </c>
      <c r="M203" s="9">
        <v>2</v>
      </c>
      <c r="N203" s="43">
        <v>2</v>
      </c>
      <c r="O203" s="260">
        <f t="shared" si="4"/>
        <v>0.35859414261160716</v>
      </c>
      <c r="P203" s="163" t="s">
        <v>111</v>
      </c>
      <c r="Q203" s="224">
        <v>2018</v>
      </c>
      <c r="R203" s="224">
        <v>9425</v>
      </c>
      <c r="S203" s="224" t="s">
        <v>87</v>
      </c>
      <c r="T203" s="224">
        <v>423</v>
      </c>
      <c r="U203" s="224">
        <v>1044</v>
      </c>
      <c r="V203" s="224">
        <v>8804</v>
      </c>
      <c r="W203" s="224">
        <v>0.1060113728675873</v>
      </c>
      <c r="X203" s="224">
        <v>0.89398862713241267</v>
      </c>
      <c r="Y203" s="100" t="s">
        <v>126</v>
      </c>
      <c r="Z203" s="29">
        <v>1</v>
      </c>
      <c r="AA203" s="9">
        <v>1</v>
      </c>
      <c r="AB203" s="9">
        <v>1</v>
      </c>
      <c r="AC203" s="9">
        <v>2</v>
      </c>
      <c r="AD203" s="43">
        <v>2</v>
      </c>
      <c r="AE203" s="55">
        <v>0.35859414261160716</v>
      </c>
      <c r="AF203" s="52" t="s">
        <v>111</v>
      </c>
    </row>
    <row r="204" spans="1:32">
      <c r="A204" s="224">
        <v>2010</v>
      </c>
      <c r="B204" s="224">
        <v>4</v>
      </c>
      <c r="C204" s="224" t="s">
        <v>88</v>
      </c>
      <c r="D204" s="224">
        <v>41</v>
      </c>
      <c r="E204" s="224">
        <v>14</v>
      </c>
      <c r="F204" s="224">
        <v>31</v>
      </c>
      <c r="G204" s="224">
        <v>0.31111111111111112</v>
      </c>
      <c r="H204" s="224">
        <v>0.68888888888888888</v>
      </c>
      <c r="I204" s="304" t="s">
        <v>110</v>
      </c>
      <c r="J204" s="29">
        <v>1</v>
      </c>
      <c r="K204" s="9">
        <v>1</v>
      </c>
      <c r="L204" s="9">
        <v>1</v>
      </c>
      <c r="M204" s="9">
        <v>2</v>
      </c>
      <c r="N204" s="43">
        <v>2</v>
      </c>
      <c r="O204" s="260">
        <f t="shared" si="4"/>
        <v>0.35859414261160716</v>
      </c>
      <c r="P204" s="163" t="s">
        <v>111</v>
      </c>
      <c r="Q204" s="224">
        <v>2018</v>
      </c>
      <c r="R204" s="224">
        <v>1814</v>
      </c>
      <c r="S204" s="224" t="s">
        <v>88</v>
      </c>
      <c r="T204" s="224">
        <v>198</v>
      </c>
      <c r="U204" s="224">
        <v>300</v>
      </c>
      <c r="V204" s="224">
        <v>1712</v>
      </c>
      <c r="W204" s="224">
        <v>0.14910536779324049</v>
      </c>
      <c r="X204" s="224">
        <v>0.85089463220675943</v>
      </c>
      <c r="Y204" s="100" t="s">
        <v>126</v>
      </c>
      <c r="Z204" s="29">
        <v>1</v>
      </c>
      <c r="AA204" s="9">
        <v>1</v>
      </c>
      <c r="AB204" s="9">
        <v>1</v>
      </c>
      <c r="AC204" s="9">
        <v>2</v>
      </c>
      <c r="AD204" s="43">
        <v>2</v>
      </c>
      <c r="AE204" s="55">
        <v>0.35859414261160716</v>
      </c>
      <c r="AF204" s="52" t="s">
        <v>111</v>
      </c>
    </row>
    <row r="205" spans="1:32">
      <c r="A205" s="224">
        <v>2010</v>
      </c>
      <c r="B205" s="224">
        <v>191</v>
      </c>
      <c r="C205" s="224" t="s">
        <v>89</v>
      </c>
      <c r="D205" s="224">
        <v>28</v>
      </c>
      <c r="E205" s="224">
        <v>158</v>
      </c>
      <c r="F205" s="224">
        <v>61</v>
      </c>
      <c r="G205" s="224">
        <v>0.72146118721461183</v>
      </c>
      <c r="H205" s="224">
        <v>0.27853881278538822</v>
      </c>
      <c r="I205" s="304" t="s">
        <v>110</v>
      </c>
      <c r="J205" s="29">
        <v>1</v>
      </c>
      <c r="K205" s="9">
        <v>1</v>
      </c>
      <c r="L205" s="9">
        <v>1</v>
      </c>
      <c r="M205" s="9">
        <v>2</v>
      </c>
      <c r="N205" s="43">
        <v>2</v>
      </c>
      <c r="O205" s="260">
        <f t="shared" si="4"/>
        <v>0.35859414261160716</v>
      </c>
      <c r="P205" s="163" t="s">
        <v>111</v>
      </c>
      <c r="Q205" s="224">
        <v>2018</v>
      </c>
      <c r="R205" s="224">
        <v>1611</v>
      </c>
      <c r="S205" s="224" t="s">
        <v>89</v>
      </c>
      <c r="T205" s="224">
        <v>48</v>
      </c>
      <c r="U205" s="224">
        <v>96</v>
      </c>
      <c r="V205" s="224">
        <v>1563</v>
      </c>
      <c r="W205" s="224">
        <v>5.7866184448462928E-2</v>
      </c>
      <c r="X205" s="224">
        <v>0.94213381555153708</v>
      </c>
      <c r="Y205" s="100" t="s">
        <v>126</v>
      </c>
      <c r="Z205" s="29">
        <v>1</v>
      </c>
      <c r="AA205" s="9">
        <v>1</v>
      </c>
      <c r="AB205" s="9">
        <v>1</v>
      </c>
      <c r="AC205" s="9">
        <v>2</v>
      </c>
      <c r="AD205" s="43">
        <v>2</v>
      </c>
      <c r="AE205" s="55">
        <v>0.35859414261160716</v>
      </c>
      <c r="AF205" s="52" t="s">
        <v>111</v>
      </c>
    </row>
    <row r="206" spans="1:32">
      <c r="A206" s="224">
        <v>2010</v>
      </c>
      <c r="B206" s="224">
        <v>610</v>
      </c>
      <c r="C206" s="224" t="s">
        <v>90</v>
      </c>
      <c r="D206" s="224">
        <v>121</v>
      </c>
      <c r="E206" s="224">
        <v>667</v>
      </c>
      <c r="F206" s="224">
        <v>64</v>
      </c>
      <c r="G206" s="224">
        <v>0.91244870041039672</v>
      </c>
      <c r="H206" s="224">
        <v>8.7551299589603282E-2</v>
      </c>
      <c r="I206" s="304" t="s">
        <v>110</v>
      </c>
      <c r="J206" s="29">
        <v>1</v>
      </c>
      <c r="K206" s="9">
        <v>1</v>
      </c>
      <c r="L206" s="9">
        <v>1</v>
      </c>
      <c r="M206" s="9">
        <v>2</v>
      </c>
      <c r="N206" s="43">
        <v>2</v>
      </c>
      <c r="O206" s="260">
        <f t="shared" si="4"/>
        <v>0.35859414261160716</v>
      </c>
      <c r="P206" s="163" t="s">
        <v>111</v>
      </c>
      <c r="Q206" s="224">
        <v>2018</v>
      </c>
      <c r="R206" s="224">
        <v>6797</v>
      </c>
      <c r="S206" s="224" t="s">
        <v>90</v>
      </c>
      <c r="T206" s="224">
        <v>267</v>
      </c>
      <c r="U206" s="224">
        <v>1585</v>
      </c>
      <c r="V206" s="224">
        <v>5479</v>
      </c>
      <c r="W206" s="224">
        <v>0.22437712344280861</v>
      </c>
      <c r="X206" s="224">
        <v>0.77562287655719142</v>
      </c>
      <c r="Y206" s="100" t="s">
        <v>126</v>
      </c>
      <c r="Z206" s="29">
        <v>1</v>
      </c>
      <c r="AA206" s="9">
        <v>1</v>
      </c>
      <c r="AB206" s="9">
        <v>1</v>
      </c>
      <c r="AC206" s="9">
        <v>2</v>
      </c>
      <c r="AD206" s="43">
        <v>2</v>
      </c>
      <c r="AE206" s="55">
        <v>0.35859414261160716</v>
      </c>
      <c r="AF206" s="52" t="s">
        <v>111</v>
      </c>
    </row>
    <row r="207" spans="1:32">
      <c r="A207" s="224">
        <v>2010</v>
      </c>
      <c r="B207" s="224">
        <v>356</v>
      </c>
      <c r="C207" s="224" t="s">
        <v>91</v>
      </c>
      <c r="D207" s="224">
        <v>55</v>
      </c>
      <c r="E207" s="224">
        <v>411</v>
      </c>
      <c r="F207" s="224">
        <v>0</v>
      </c>
      <c r="G207" s="224">
        <v>1</v>
      </c>
      <c r="H207" s="224">
        <v>0</v>
      </c>
      <c r="I207" s="304" t="s">
        <v>110</v>
      </c>
      <c r="J207" s="29">
        <v>1</v>
      </c>
      <c r="K207" s="9">
        <v>1</v>
      </c>
      <c r="L207" s="9">
        <v>1</v>
      </c>
      <c r="M207" s="9">
        <v>2</v>
      </c>
      <c r="N207" s="43">
        <v>2</v>
      </c>
      <c r="O207" s="260">
        <f t="shared" si="4"/>
        <v>0.35859414261160716</v>
      </c>
      <c r="P207" s="163" t="s">
        <v>111</v>
      </c>
      <c r="Q207" s="224">
        <v>2018</v>
      </c>
      <c r="R207" s="224">
        <v>2891</v>
      </c>
      <c r="S207" s="224" t="s">
        <v>91</v>
      </c>
      <c r="T207" s="224">
        <v>831</v>
      </c>
      <c r="U207" s="224">
        <v>317</v>
      </c>
      <c r="V207" s="224">
        <v>3405</v>
      </c>
      <c r="W207" s="224">
        <v>8.5169263836646969E-2</v>
      </c>
      <c r="X207" s="224">
        <v>0.91483073616335298</v>
      </c>
      <c r="Y207" s="100" t="s">
        <v>126</v>
      </c>
      <c r="Z207" s="29">
        <v>1</v>
      </c>
      <c r="AA207" s="9">
        <v>1</v>
      </c>
      <c r="AB207" s="9">
        <v>1</v>
      </c>
      <c r="AC207" s="9">
        <v>2</v>
      </c>
      <c r="AD207" s="43">
        <v>2</v>
      </c>
      <c r="AE207" s="55">
        <v>0.35859414261160716</v>
      </c>
      <c r="AF207" s="52" t="s">
        <v>111</v>
      </c>
    </row>
    <row r="208" spans="1:32">
      <c r="A208" s="224">
        <v>2010</v>
      </c>
      <c r="B208" s="224">
        <v>55</v>
      </c>
      <c r="C208" s="224" t="s">
        <v>94</v>
      </c>
      <c r="D208" s="224">
        <v>20</v>
      </c>
      <c r="E208" s="224">
        <v>75</v>
      </c>
      <c r="F208" s="224">
        <v>0</v>
      </c>
      <c r="G208" s="224">
        <v>1</v>
      </c>
      <c r="H208" s="224">
        <v>0</v>
      </c>
      <c r="I208" s="304" t="s">
        <v>110</v>
      </c>
      <c r="J208" s="29">
        <v>1</v>
      </c>
      <c r="K208" s="9">
        <v>1</v>
      </c>
      <c r="L208" s="9">
        <v>1</v>
      </c>
      <c r="M208" s="9">
        <v>2</v>
      </c>
      <c r="N208" s="43">
        <v>2</v>
      </c>
      <c r="O208" s="260">
        <f t="shared" si="4"/>
        <v>0.35859414261160716</v>
      </c>
      <c r="P208" s="163" t="s">
        <v>111</v>
      </c>
      <c r="Q208" s="224">
        <v>2018</v>
      </c>
      <c r="R208" s="224">
        <v>683</v>
      </c>
      <c r="S208" s="224" t="s">
        <v>94</v>
      </c>
      <c r="T208" s="224">
        <v>194</v>
      </c>
      <c r="U208" s="224">
        <v>201</v>
      </c>
      <c r="V208" s="224">
        <v>676</v>
      </c>
      <c r="W208" s="224">
        <v>0.22919042189281641</v>
      </c>
      <c r="X208" s="224">
        <v>0.77080957810718354</v>
      </c>
      <c r="Y208" s="100" t="s">
        <v>126</v>
      </c>
      <c r="Z208" s="29">
        <v>1</v>
      </c>
      <c r="AA208" s="9">
        <v>1</v>
      </c>
      <c r="AB208" s="9">
        <v>1</v>
      </c>
      <c r="AC208" s="9">
        <v>2</v>
      </c>
      <c r="AD208" s="43">
        <v>2</v>
      </c>
      <c r="AE208" s="55">
        <v>0.35859414261160716</v>
      </c>
      <c r="AF208" s="52" t="s">
        <v>111</v>
      </c>
    </row>
    <row r="209" spans="1:32">
      <c r="A209" s="224">
        <v>2010</v>
      </c>
      <c r="B209" s="224">
        <v>250</v>
      </c>
      <c r="C209" s="224" t="s">
        <v>96</v>
      </c>
      <c r="D209" s="224">
        <v>34</v>
      </c>
      <c r="E209" s="224">
        <v>194</v>
      </c>
      <c r="F209" s="224">
        <v>90</v>
      </c>
      <c r="G209" s="224">
        <v>0.68309859154929575</v>
      </c>
      <c r="H209" s="224">
        <v>0.31690140845070419</v>
      </c>
      <c r="I209" s="304" t="s">
        <v>110</v>
      </c>
      <c r="J209" s="29">
        <v>1</v>
      </c>
      <c r="K209" s="9">
        <v>1</v>
      </c>
      <c r="L209" s="9">
        <v>1</v>
      </c>
      <c r="M209" s="9">
        <v>2</v>
      </c>
      <c r="N209" s="43">
        <v>2</v>
      </c>
      <c r="O209" s="260">
        <f t="shared" si="4"/>
        <v>0.35859414261160716</v>
      </c>
      <c r="P209" s="163" t="s">
        <v>111</v>
      </c>
      <c r="Q209" s="224">
        <v>2018</v>
      </c>
      <c r="R209" s="224">
        <v>1203</v>
      </c>
      <c r="S209" s="224" t="s">
        <v>96</v>
      </c>
      <c r="T209" s="224">
        <v>103</v>
      </c>
      <c r="U209" s="224">
        <v>240</v>
      </c>
      <c r="V209" s="224">
        <v>1066</v>
      </c>
      <c r="W209" s="224">
        <v>0.18376722817764171</v>
      </c>
      <c r="X209" s="224">
        <v>0.81623277182235832</v>
      </c>
      <c r="Y209" s="100" t="s">
        <v>126</v>
      </c>
      <c r="Z209" s="29">
        <v>1</v>
      </c>
      <c r="AA209" s="9">
        <v>1</v>
      </c>
      <c r="AB209" s="9">
        <v>1</v>
      </c>
      <c r="AC209" s="9">
        <v>2</v>
      </c>
      <c r="AD209" s="43">
        <v>2</v>
      </c>
      <c r="AE209" s="55">
        <v>0.35859414261160716</v>
      </c>
      <c r="AF209" s="52" t="s">
        <v>111</v>
      </c>
    </row>
    <row r="210" spans="1:32">
      <c r="A210" s="224">
        <v>2010</v>
      </c>
      <c r="B210" s="224">
        <v>188</v>
      </c>
      <c r="C210" s="224" t="s">
        <v>97</v>
      </c>
      <c r="D210" s="224">
        <v>204</v>
      </c>
      <c r="E210" s="224">
        <v>324</v>
      </c>
      <c r="F210" s="224">
        <v>68</v>
      </c>
      <c r="G210" s="224">
        <v>0.82653061224489799</v>
      </c>
      <c r="H210" s="224">
        <v>0.17346938775510201</v>
      </c>
      <c r="I210" s="304" t="s">
        <v>110</v>
      </c>
      <c r="J210" s="29">
        <v>1</v>
      </c>
      <c r="K210" s="9">
        <v>1</v>
      </c>
      <c r="L210" s="9">
        <v>1</v>
      </c>
      <c r="M210" s="9">
        <v>2</v>
      </c>
      <c r="N210" s="43">
        <v>2</v>
      </c>
      <c r="O210" s="260">
        <f t="shared" si="4"/>
        <v>0.35859414261160716</v>
      </c>
      <c r="P210" s="163" t="s">
        <v>111</v>
      </c>
      <c r="Q210" s="224">
        <v>2018</v>
      </c>
      <c r="R210" s="224">
        <v>3038</v>
      </c>
      <c r="S210" s="224" t="s">
        <v>97</v>
      </c>
      <c r="T210" s="224">
        <v>489</v>
      </c>
      <c r="U210" s="224">
        <v>1063</v>
      </c>
      <c r="V210" s="224">
        <v>2464</v>
      </c>
      <c r="W210" s="224">
        <v>0.30138928267649562</v>
      </c>
      <c r="X210" s="224">
        <v>0.69861071732350433</v>
      </c>
      <c r="Y210" s="100" t="s">
        <v>126</v>
      </c>
      <c r="Z210" s="29">
        <v>1</v>
      </c>
      <c r="AA210" s="9">
        <v>1</v>
      </c>
      <c r="AB210" s="9">
        <v>1</v>
      </c>
      <c r="AC210" s="9">
        <v>2</v>
      </c>
      <c r="AD210" s="43">
        <v>2</v>
      </c>
      <c r="AE210" s="55">
        <v>0.35859414261160716</v>
      </c>
      <c r="AF210" s="52" t="s">
        <v>111</v>
      </c>
    </row>
    <row r="211" spans="1:32">
      <c r="A211" s="224">
        <v>2010</v>
      </c>
      <c r="B211" s="224">
        <v>247</v>
      </c>
      <c r="C211" s="224" t="s">
        <v>95</v>
      </c>
      <c r="D211" s="224">
        <v>52</v>
      </c>
      <c r="E211" s="224">
        <v>299</v>
      </c>
      <c r="F211" s="224">
        <v>0</v>
      </c>
      <c r="G211" s="224">
        <v>1</v>
      </c>
      <c r="H211" s="224">
        <v>0</v>
      </c>
      <c r="I211" s="304" t="s">
        <v>110</v>
      </c>
      <c r="J211" s="29">
        <v>1</v>
      </c>
      <c r="K211" s="9">
        <v>1</v>
      </c>
      <c r="L211" s="9">
        <v>1</v>
      </c>
      <c r="M211" s="9">
        <v>2</v>
      </c>
      <c r="N211" s="43">
        <v>2</v>
      </c>
      <c r="O211" s="260">
        <f t="shared" si="4"/>
        <v>0.35859414261160716</v>
      </c>
      <c r="P211" s="163" t="s">
        <v>111</v>
      </c>
      <c r="Q211" s="224">
        <v>2018</v>
      </c>
      <c r="R211" s="224">
        <v>2283</v>
      </c>
      <c r="S211" s="224" t="s">
        <v>95</v>
      </c>
      <c r="T211" s="224">
        <v>242</v>
      </c>
      <c r="U211" s="224">
        <v>648</v>
      </c>
      <c r="V211" s="224">
        <v>1877</v>
      </c>
      <c r="W211" s="224">
        <v>0.25663366336633658</v>
      </c>
      <c r="X211" s="224">
        <v>0.74336633663366336</v>
      </c>
      <c r="Y211" s="100" t="s">
        <v>126</v>
      </c>
      <c r="Z211" s="29">
        <v>1</v>
      </c>
      <c r="AA211" s="9">
        <v>1</v>
      </c>
      <c r="AB211" s="9">
        <v>1</v>
      </c>
      <c r="AC211" s="9">
        <v>2</v>
      </c>
      <c r="AD211" s="43">
        <v>2</v>
      </c>
      <c r="AE211" s="55">
        <v>0.35859414261160716</v>
      </c>
      <c r="AF211" s="52" t="s">
        <v>111</v>
      </c>
    </row>
    <row r="212" spans="1:32">
      <c r="A212" s="224">
        <v>2010</v>
      </c>
      <c r="B212" s="224">
        <v>78</v>
      </c>
      <c r="C212" s="224" t="s">
        <v>93</v>
      </c>
      <c r="D212" s="224">
        <v>25</v>
      </c>
      <c r="E212" s="224">
        <v>73</v>
      </c>
      <c r="F212" s="224">
        <v>30</v>
      </c>
      <c r="G212" s="224">
        <v>0.70873786407766992</v>
      </c>
      <c r="H212" s="224">
        <v>0.29126213592233008</v>
      </c>
      <c r="I212" s="304" t="s">
        <v>110</v>
      </c>
      <c r="J212" s="29">
        <v>1</v>
      </c>
      <c r="K212" s="9">
        <v>1</v>
      </c>
      <c r="L212" s="9">
        <v>1</v>
      </c>
      <c r="M212" s="9">
        <v>2</v>
      </c>
      <c r="N212" s="43">
        <v>2</v>
      </c>
      <c r="O212" s="260">
        <f t="shared" si="4"/>
        <v>0.35859414261160716</v>
      </c>
      <c r="P212" s="163" t="s">
        <v>111</v>
      </c>
      <c r="Q212" s="224">
        <v>2018</v>
      </c>
      <c r="R212" s="224">
        <v>2871</v>
      </c>
      <c r="S212" s="224" t="s">
        <v>93</v>
      </c>
      <c r="T212" s="224">
        <v>56</v>
      </c>
      <c r="U212" s="224">
        <v>506</v>
      </c>
      <c r="V212" s="224">
        <v>2421</v>
      </c>
      <c r="W212" s="224">
        <v>0.1728732490604715</v>
      </c>
      <c r="X212" s="224">
        <v>0.82712675093952859</v>
      </c>
      <c r="Y212" s="100" t="s">
        <v>126</v>
      </c>
      <c r="Z212" s="29">
        <v>1</v>
      </c>
      <c r="AA212" s="9">
        <v>1</v>
      </c>
      <c r="AB212" s="9">
        <v>1</v>
      </c>
      <c r="AC212" s="9">
        <v>2</v>
      </c>
      <c r="AD212" s="43">
        <v>2</v>
      </c>
      <c r="AE212" s="55">
        <v>0.35859414261160716</v>
      </c>
      <c r="AF212" s="52" t="s">
        <v>111</v>
      </c>
    </row>
    <row r="213" spans="1:32">
      <c r="A213" s="224">
        <v>2010</v>
      </c>
      <c r="B213" s="224">
        <v>2132</v>
      </c>
      <c r="C213" s="224" t="s">
        <v>98</v>
      </c>
      <c r="D213" s="224">
        <v>784</v>
      </c>
      <c r="E213" s="224">
        <v>2916</v>
      </c>
      <c r="F213" s="224">
        <v>0</v>
      </c>
      <c r="G213" s="224">
        <v>1</v>
      </c>
      <c r="H213" s="224">
        <v>0</v>
      </c>
      <c r="I213" s="304" t="s">
        <v>110</v>
      </c>
      <c r="J213" s="29">
        <v>1</v>
      </c>
      <c r="K213" s="9">
        <v>1</v>
      </c>
      <c r="L213" s="9">
        <v>1</v>
      </c>
      <c r="M213" s="9">
        <v>2</v>
      </c>
      <c r="N213" s="43">
        <v>2</v>
      </c>
      <c r="O213" s="260">
        <f t="shared" si="4"/>
        <v>0.35859414261160716</v>
      </c>
      <c r="P213" s="163" t="s">
        <v>111</v>
      </c>
      <c r="Q213" s="224">
        <v>2018</v>
      </c>
      <c r="R213" s="224">
        <v>14059</v>
      </c>
      <c r="S213" s="224" t="s">
        <v>98</v>
      </c>
      <c r="T213" s="224">
        <v>1475</v>
      </c>
      <c r="U213" s="224">
        <v>5441</v>
      </c>
      <c r="V213" s="224">
        <v>10093</v>
      </c>
      <c r="W213" s="224">
        <v>0.35026393717007848</v>
      </c>
      <c r="X213" s="224">
        <v>0.64973606282992147</v>
      </c>
      <c r="Y213" s="100" t="s">
        <v>126</v>
      </c>
      <c r="Z213" s="29">
        <v>1</v>
      </c>
      <c r="AA213" s="9">
        <v>1</v>
      </c>
      <c r="AB213" s="9">
        <v>1</v>
      </c>
      <c r="AC213" s="9">
        <v>2</v>
      </c>
      <c r="AD213" s="43">
        <v>2</v>
      </c>
      <c r="AE213" s="55">
        <v>0.35859414261160716</v>
      </c>
      <c r="AF213" s="52" t="s">
        <v>111</v>
      </c>
    </row>
    <row r="214" spans="1:32">
      <c r="A214" s="224">
        <v>2011</v>
      </c>
      <c r="B214" s="224">
        <v>1435</v>
      </c>
      <c r="C214" s="224" t="s">
        <v>85</v>
      </c>
      <c r="D214" s="224">
        <v>756</v>
      </c>
      <c r="E214" s="224">
        <v>1875</v>
      </c>
      <c r="F214" s="224">
        <v>316</v>
      </c>
      <c r="G214" s="224">
        <v>0.85577361935189411</v>
      </c>
      <c r="H214" s="224">
        <v>0.14422638064810589</v>
      </c>
      <c r="I214" s="304" t="s">
        <v>110</v>
      </c>
      <c r="J214" s="29">
        <v>1</v>
      </c>
      <c r="K214" s="9">
        <v>1</v>
      </c>
      <c r="L214" s="9">
        <v>1</v>
      </c>
      <c r="M214" s="9">
        <v>2</v>
      </c>
      <c r="N214" s="43">
        <v>2</v>
      </c>
      <c r="O214" s="260">
        <f t="shared" si="4"/>
        <v>0.35859414261160716</v>
      </c>
      <c r="P214" s="163" t="s">
        <v>111</v>
      </c>
      <c r="Q214" s="224">
        <v>2019</v>
      </c>
      <c r="R214" s="224">
        <v>12829</v>
      </c>
      <c r="S214" s="224" t="s">
        <v>85</v>
      </c>
      <c r="T214" s="224">
        <v>3179</v>
      </c>
      <c r="U214" s="224">
        <v>2507</v>
      </c>
      <c r="V214" s="224">
        <v>13501</v>
      </c>
      <c r="W214" s="224">
        <v>0.15660919540229881</v>
      </c>
      <c r="X214" s="224">
        <v>0.84339080459770122</v>
      </c>
      <c r="Y214" s="100" t="s">
        <v>126</v>
      </c>
      <c r="Z214" s="29">
        <v>1</v>
      </c>
      <c r="AA214" s="9">
        <v>1</v>
      </c>
      <c r="AB214" s="9">
        <v>1</v>
      </c>
      <c r="AC214" s="9">
        <v>2</v>
      </c>
      <c r="AD214" s="43">
        <v>2</v>
      </c>
      <c r="AE214" s="55">
        <v>0.35859414261160716</v>
      </c>
      <c r="AF214" s="52" t="s">
        <v>111</v>
      </c>
    </row>
    <row r="215" spans="1:32">
      <c r="A215" s="224">
        <v>2011</v>
      </c>
      <c r="B215" s="224">
        <v>290</v>
      </c>
      <c r="C215" s="224" t="s">
        <v>86</v>
      </c>
      <c r="D215" s="224">
        <v>165</v>
      </c>
      <c r="E215" s="224">
        <v>356</v>
      </c>
      <c r="F215" s="224">
        <v>99</v>
      </c>
      <c r="G215" s="224">
        <v>0.78241758241758241</v>
      </c>
      <c r="H215" s="224">
        <v>0.21758241758241759</v>
      </c>
      <c r="I215" s="304" t="s">
        <v>110</v>
      </c>
      <c r="J215" s="29">
        <v>1</v>
      </c>
      <c r="K215" s="9">
        <v>1</v>
      </c>
      <c r="L215" s="9">
        <v>1</v>
      </c>
      <c r="M215" s="9">
        <v>2</v>
      </c>
      <c r="N215" s="43">
        <v>2</v>
      </c>
      <c r="O215" s="260">
        <f t="shared" si="4"/>
        <v>0.35859414261160716</v>
      </c>
      <c r="P215" s="163" t="s">
        <v>111</v>
      </c>
      <c r="Q215" s="224">
        <v>2019</v>
      </c>
      <c r="R215" s="224">
        <v>6009</v>
      </c>
      <c r="S215" s="224" t="s">
        <v>86</v>
      </c>
      <c r="T215" s="224">
        <v>1314</v>
      </c>
      <c r="U215" s="224">
        <v>1237</v>
      </c>
      <c r="V215" s="224">
        <v>6086</v>
      </c>
      <c r="W215" s="224">
        <v>0.1689198415949747</v>
      </c>
      <c r="X215" s="224">
        <v>0.83108015840502525</v>
      </c>
      <c r="Y215" s="100" t="s">
        <v>126</v>
      </c>
      <c r="Z215" s="29">
        <v>1</v>
      </c>
      <c r="AA215" s="9">
        <v>1</v>
      </c>
      <c r="AB215" s="9">
        <v>1</v>
      </c>
      <c r="AC215" s="9">
        <v>2</v>
      </c>
      <c r="AD215" s="43">
        <v>2</v>
      </c>
      <c r="AE215" s="55">
        <v>0.35859414261160716</v>
      </c>
      <c r="AF215" s="52" t="s">
        <v>111</v>
      </c>
    </row>
    <row r="216" spans="1:32">
      <c r="A216" s="224">
        <v>2011</v>
      </c>
      <c r="B216" s="224">
        <v>852</v>
      </c>
      <c r="C216" s="224" t="s">
        <v>87</v>
      </c>
      <c r="D216" s="224">
        <v>300</v>
      </c>
      <c r="E216" s="224">
        <v>241</v>
      </c>
      <c r="F216" s="224">
        <v>911</v>
      </c>
      <c r="G216" s="224">
        <v>0.2092013888888889</v>
      </c>
      <c r="H216" s="224">
        <v>0.79079861111111116</v>
      </c>
      <c r="I216" s="304" t="s">
        <v>110</v>
      </c>
      <c r="J216" s="29">
        <v>1</v>
      </c>
      <c r="K216" s="9">
        <v>1</v>
      </c>
      <c r="L216" s="9">
        <v>1</v>
      </c>
      <c r="M216" s="9">
        <v>2</v>
      </c>
      <c r="N216" s="43">
        <v>2</v>
      </c>
      <c r="O216" s="260">
        <f t="shared" si="4"/>
        <v>0.35859414261160716</v>
      </c>
      <c r="P216" s="163" t="s">
        <v>111</v>
      </c>
      <c r="Q216" s="224">
        <v>2019</v>
      </c>
      <c r="R216" s="224">
        <v>9425</v>
      </c>
      <c r="S216" s="224" t="s">
        <v>87</v>
      </c>
      <c r="T216" s="224">
        <v>938</v>
      </c>
      <c r="U216" s="224">
        <v>1032</v>
      </c>
      <c r="V216" s="224">
        <v>9331</v>
      </c>
      <c r="W216" s="224">
        <v>9.9585062240663894E-2</v>
      </c>
      <c r="X216" s="224">
        <v>0.90041493775933612</v>
      </c>
      <c r="Y216" s="100" t="s">
        <v>126</v>
      </c>
      <c r="Z216" s="29">
        <v>1</v>
      </c>
      <c r="AA216" s="9">
        <v>1</v>
      </c>
      <c r="AB216" s="9">
        <v>1</v>
      </c>
      <c r="AC216" s="9">
        <v>2</v>
      </c>
      <c r="AD216" s="43">
        <v>2</v>
      </c>
      <c r="AE216" s="55">
        <v>0.35859414261160716</v>
      </c>
      <c r="AF216" s="52" t="s">
        <v>111</v>
      </c>
    </row>
    <row r="217" spans="1:32">
      <c r="A217" s="224">
        <v>2011</v>
      </c>
      <c r="B217" s="224">
        <v>4</v>
      </c>
      <c r="C217" s="224" t="s">
        <v>88</v>
      </c>
      <c r="D217" s="224">
        <v>48</v>
      </c>
      <c r="E217" s="224">
        <v>16</v>
      </c>
      <c r="F217" s="224">
        <v>36</v>
      </c>
      <c r="G217" s="224">
        <v>0.30769230769230771</v>
      </c>
      <c r="H217" s="224">
        <v>0.69230769230769229</v>
      </c>
      <c r="I217" s="304" t="s">
        <v>110</v>
      </c>
      <c r="J217" s="29">
        <v>1</v>
      </c>
      <c r="K217" s="9">
        <v>1</v>
      </c>
      <c r="L217" s="9">
        <v>1</v>
      </c>
      <c r="M217" s="9">
        <v>2</v>
      </c>
      <c r="N217" s="43">
        <v>2</v>
      </c>
      <c r="O217" s="260">
        <f t="shared" si="4"/>
        <v>0.35859414261160716</v>
      </c>
      <c r="P217" s="163" t="s">
        <v>111</v>
      </c>
      <c r="Q217" s="224">
        <v>2019</v>
      </c>
      <c r="R217" s="224">
        <v>1814</v>
      </c>
      <c r="S217" s="224" t="s">
        <v>88</v>
      </c>
      <c r="T217" s="224">
        <v>127</v>
      </c>
      <c r="U217" s="224">
        <v>317</v>
      </c>
      <c r="V217" s="224">
        <v>1624</v>
      </c>
      <c r="W217" s="224">
        <v>0.16331787738279241</v>
      </c>
      <c r="X217" s="224">
        <v>0.83668212261720765</v>
      </c>
      <c r="Y217" s="100" t="s">
        <v>126</v>
      </c>
      <c r="Z217" s="29">
        <v>1</v>
      </c>
      <c r="AA217" s="9">
        <v>1</v>
      </c>
      <c r="AB217" s="9">
        <v>1</v>
      </c>
      <c r="AC217" s="9">
        <v>2</v>
      </c>
      <c r="AD217" s="43">
        <v>2</v>
      </c>
      <c r="AE217" s="55">
        <v>0.35859414261160716</v>
      </c>
      <c r="AF217" s="52" t="s">
        <v>111</v>
      </c>
    </row>
    <row r="218" spans="1:32">
      <c r="A218" s="224">
        <v>2011</v>
      </c>
      <c r="B218" s="224">
        <v>191</v>
      </c>
      <c r="C218" s="224" t="s">
        <v>89</v>
      </c>
      <c r="D218" s="224">
        <v>36</v>
      </c>
      <c r="E218" s="224">
        <v>166</v>
      </c>
      <c r="F218" s="224">
        <v>61</v>
      </c>
      <c r="G218" s="224">
        <v>0.7312775330396476</v>
      </c>
      <c r="H218" s="224">
        <v>0.2687224669603524</v>
      </c>
      <c r="I218" s="304" t="s">
        <v>110</v>
      </c>
      <c r="J218" s="29">
        <v>1</v>
      </c>
      <c r="K218" s="9">
        <v>1</v>
      </c>
      <c r="L218" s="9">
        <v>1</v>
      </c>
      <c r="M218" s="9">
        <v>2</v>
      </c>
      <c r="N218" s="43">
        <v>2</v>
      </c>
      <c r="O218" s="260">
        <f t="shared" si="4"/>
        <v>0.35859414261160716</v>
      </c>
      <c r="P218" s="163" t="s">
        <v>111</v>
      </c>
      <c r="Q218" s="224">
        <v>2019</v>
      </c>
      <c r="R218" s="224">
        <v>1611</v>
      </c>
      <c r="S218" s="224" t="s">
        <v>89</v>
      </c>
      <c r="T218" s="224">
        <v>78</v>
      </c>
      <c r="U218" s="224">
        <v>84</v>
      </c>
      <c r="V218" s="224">
        <v>1605</v>
      </c>
      <c r="W218" s="224">
        <v>4.9733570159857902E-2</v>
      </c>
      <c r="X218" s="224">
        <v>0.95026642984014209</v>
      </c>
      <c r="Y218" s="100" t="s">
        <v>126</v>
      </c>
      <c r="Z218" s="29">
        <v>1</v>
      </c>
      <c r="AA218" s="9">
        <v>1</v>
      </c>
      <c r="AB218" s="9">
        <v>1</v>
      </c>
      <c r="AC218" s="9">
        <v>2</v>
      </c>
      <c r="AD218" s="43">
        <v>2</v>
      </c>
      <c r="AE218" s="55">
        <v>0.35859414261160716</v>
      </c>
      <c r="AF218" s="52" t="s">
        <v>111</v>
      </c>
    </row>
    <row r="219" spans="1:32">
      <c r="A219" s="224">
        <v>2011</v>
      </c>
      <c r="B219" s="224">
        <v>610</v>
      </c>
      <c r="C219" s="224" t="s">
        <v>90</v>
      </c>
      <c r="D219" s="224">
        <v>122</v>
      </c>
      <c r="E219" s="224">
        <v>675</v>
      </c>
      <c r="F219" s="224">
        <v>57</v>
      </c>
      <c r="G219" s="224">
        <v>0.92213114754098358</v>
      </c>
      <c r="H219" s="224">
        <v>7.7868852459016424E-2</v>
      </c>
      <c r="I219" s="304" t="s">
        <v>110</v>
      </c>
      <c r="J219" s="29">
        <v>1</v>
      </c>
      <c r="K219" s="9">
        <v>1</v>
      </c>
      <c r="L219" s="9">
        <v>1</v>
      </c>
      <c r="M219" s="9">
        <v>2</v>
      </c>
      <c r="N219" s="43">
        <v>2</v>
      </c>
      <c r="O219" s="260">
        <f t="shared" si="4"/>
        <v>0.35859414261160716</v>
      </c>
      <c r="P219" s="163" t="s">
        <v>111</v>
      </c>
      <c r="Q219" s="224">
        <v>2019</v>
      </c>
      <c r="R219" s="224">
        <v>6797</v>
      </c>
      <c r="S219" s="224" t="s">
        <v>90</v>
      </c>
      <c r="T219" s="224">
        <v>438</v>
      </c>
      <c r="U219" s="224">
        <v>1635</v>
      </c>
      <c r="V219" s="224">
        <v>5600</v>
      </c>
      <c r="W219" s="224">
        <v>0.225984796129924</v>
      </c>
      <c r="X219" s="224">
        <v>0.77401520387007605</v>
      </c>
      <c r="Y219" s="100" t="s">
        <v>126</v>
      </c>
      <c r="Z219" s="29">
        <v>1</v>
      </c>
      <c r="AA219" s="9">
        <v>1</v>
      </c>
      <c r="AB219" s="9">
        <v>1</v>
      </c>
      <c r="AC219" s="9">
        <v>2</v>
      </c>
      <c r="AD219" s="43">
        <v>2</v>
      </c>
      <c r="AE219" s="55">
        <v>0.35859414261160716</v>
      </c>
      <c r="AF219" s="52" t="s">
        <v>111</v>
      </c>
    </row>
    <row r="220" spans="1:32">
      <c r="A220" s="224">
        <v>2011</v>
      </c>
      <c r="B220" s="224">
        <v>389</v>
      </c>
      <c r="C220" s="224" t="s">
        <v>91</v>
      </c>
      <c r="D220" s="224">
        <v>60</v>
      </c>
      <c r="E220" s="224">
        <v>449</v>
      </c>
      <c r="F220" s="224">
        <v>0</v>
      </c>
      <c r="G220" s="224">
        <v>1</v>
      </c>
      <c r="H220" s="224">
        <v>0</v>
      </c>
      <c r="I220" s="304" t="s">
        <v>110</v>
      </c>
      <c r="J220" s="29">
        <v>1</v>
      </c>
      <c r="K220" s="9">
        <v>1</v>
      </c>
      <c r="L220" s="9">
        <v>1</v>
      </c>
      <c r="M220" s="9">
        <v>2</v>
      </c>
      <c r="N220" s="43">
        <v>2</v>
      </c>
      <c r="O220" s="260">
        <f t="shared" si="4"/>
        <v>0.35859414261160716</v>
      </c>
      <c r="P220" s="163" t="s">
        <v>111</v>
      </c>
      <c r="Q220" s="224">
        <v>2019</v>
      </c>
      <c r="R220" s="224">
        <v>2891</v>
      </c>
      <c r="S220" s="224" t="s">
        <v>91</v>
      </c>
      <c r="T220" s="224">
        <v>980</v>
      </c>
      <c r="U220" s="224">
        <v>370</v>
      </c>
      <c r="V220" s="224">
        <v>3501</v>
      </c>
      <c r="W220" s="224">
        <v>9.5582536812193225E-2</v>
      </c>
      <c r="X220" s="224">
        <v>0.9044174631878068</v>
      </c>
      <c r="Y220" s="100" t="s">
        <v>126</v>
      </c>
      <c r="Z220" s="29">
        <v>1</v>
      </c>
      <c r="AA220" s="9">
        <v>1</v>
      </c>
      <c r="AB220" s="9">
        <v>1</v>
      </c>
      <c r="AC220" s="9">
        <v>2</v>
      </c>
      <c r="AD220" s="43">
        <v>2</v>
      </c>
      <c r="AE220" s="55">
        <v>0.35859414261160716</v>
      </c>
      <c r="AF220" s="52" t="s">
        <v>111</v>
      </c>
    </row>
    <row r="221" spans="1:32">
      <c r="A221" s="224">
        <v>2011</v>
      </c>
      <c r="B221" s="224">
        <v>141</v>
      </c>
      <c r="C221" s="224" t="s">
        <v>94</v>
      </c>
      <c r="D221" s="224">
        <v>18</v>
      </c>
      <c r="E221" s="224">
        <v>159</v>
      </c>
      <c r="F221" s="224">
        <v>0</v>
      </c>
      <c r="G221" s="224">
        <v>1</v>
      </c>
      <c r="H221" s="224">
        <v>0</v>
      </c>
      <c r="I221" s="304" t="s">
        <v>110</v>
      </c>
      <c r="J221" s="29">
        <v>1</v>
      </c>
      <c r="K221" s="9">
        <v>1</v>
      </c>
      <c r="L221" s="9">
        <v>1</v>
      </c>
      <c r="M221" s="9">
        <v>2</v>
      </c>
      <c r="N221" s="43">
        <v>2</v>
      </c>
      <c r="O221" s="260">
        <f t="shared" si="4"/>
        <v>0.35859414261160716</v>
      </c>
      <c r="P221" s="163" t="s">
        <v>111</v>
      </c>
      <c r="Q221" s="224">
        <v>2019</v>
      </c>
      <c r="R221" s="224">
        <v>683</v>
      </c>
      <c r="S221" s="224" t="s">
        <v>94</v>
      </c>
      <c r="T221" s="224">
        <v>203</v>
      </c>
      <c r="U221" s="224">
        <v>217</v>
      </c>
      <c r="V221" s="224">
        <v>669</v>
      </c>
      <c r="W221" s="224">
        <v>0.24492099322799099</v>
      </c>
      <c r="X221" s="224">
        <v>0.75507900677200901</v>
      </c>
      <c r="Y221" s="100" t="s">
        <v>126</v>
      </c>
      <c r="Z221" s="29">
        <v>1</v>
      </c>
      <c r="AA221" s="9">
        <v>1</v>
      </c>
      <c r="AB221" s="9">
        <v>1</v>
      </c>
      <c r="AC221" s="9">
        <v>2</v>
      </c>
      <c r="AD221" s="43">
        <v>2</v>
      </c>
      <c r="AE221" s="55">
        <v>0.35859414261160716</v>
      </c>
      <c r="AF221" s="52" t="s">
        <v>111</v>
      </c>
    </row>
    <row r="222" spans="1:32">
      <c r="A222" s="224">
        <v>2011</v>
      </c>
      <c r="B222" s="224">
        <v>337</v>
      </c>
      <c r="C222" s="224" t="s">
        <v>96</v>
      </c>
      <c r="D222" s="224">
        <v>48</v>
      </c>
      <c r="E222" s="224">
        <v>206</v>
      </c>
      <c r="F222" s="224">
        <v>179</v>
      </c>
      <c r="G222" s="224">
        <v>0.53506493506493502</v>
      </c>
      <c r="H222" s="224">
        <v>0.46493506493506498</v>
      </c>
      <c r="I222" s="304" t="s">
        <v>110</v>
      </c>
      <c r="J222" s="29">
        <v>1</v>
      </c>
      <c r="K222" s="9">
        <v>1</v>
      </c>
      <c r="L222" s="9">
        <v>1</v>
      </c>
      <c r="M222" s="9">
        <v>2</v>
      </c>
      <c r="N222" s="43">
        <v>2</v>
      </c>
      <c r="O222" s="260">
        <f t="shared" si="4"/>
        <v>0.35859414261160716</v>
      </c>
      <c r="P222" s="163" t="s">
        <v>111</v>
      </c>
      <c r="Q222" s="224">
        <v>2019</v>
      </c>
      <c r="R222" s="224">
        <v>1203</v>
      </c>
      <c r="S222" s="224" t="s">
        <v>96</v>
      </c>
      <c r="T222" s="224">
        <v>95</v>
      </c>
      <c r="U222" s="224">
        <v>259</v>
      </c>
      <c r="V222" s="224">
        <v>1039</v>
      </c>
      <c r="W222" s="224">
        <v>0.19953775038520799</v>
      </c>
      <c r="X222" s="224">
        <v>0.80046224961479195</v>
      </c>
      <c r="Y222" s="100" t="s">
        <v>126</v>
      </c>
      <c r="Z222" s="29">
        <v>1</v>
      </c>
      <c r="AA222" s="9">
        <v>1</v>
      </c>
      <c r="AB222" s="9">
        <v>1</v>
      </c>
      <c r="AC222" s="9">
        <v>2</v>
      </c>
      <c r="AD222" s="43">
        <v>2</v>
      </c>
      <c r="AE222" s="55">
        <v>0.35859414261160716</v>
      </c>
      <c r="AF222" s="52" t="s">
        <v>111</v>
      </c>
    </row>
    <row r="223" spans="1:32">
      <c r="A223" s="224">
        <v>2011</v>
      </c>
      <c r="B223" s="224">
        <v>252</v>
      </c>
      <c r="C223" s="224" t="s">
        <v>97</v>
      </c>
      <c r="D223" s="224">
        <v>196</v>
      </c>
      <c r="E223" s="224">
        <v>324</v>
      </c>
      <c r="F223" s="224">
        <v>124</v>
      </c>
      <c r="G223" s="224">
        <v>0.7232142857142857</v>
      </c>
      <c r="H223" s="224">
        <v>0.2767857142857143</v>
      </c>
      <c r="I223" s="304" t="s">
        <v>110</v>
      </c>
      <c r="J223" s="29">
        <v>1</v>
      </c>
      <c r="K223" s="9">
        <v>1</v>
      </c>
      <c r="L223" s="9">
        <v>1</v>
      </c>
      <c r="M223" s="9">
        <v>2</v>
      </c>
      <c r="N223" s="43">
        <v>2</v>
      </c>
      <c r="O223" s="260">
        <f t="shared" si="4"/>
        <v>0.35859414261160716</v>
      </c>
      <c r="P223" s="163" t="s">
        <v>111</v>
      </c>
      <c r="Q223" s="224">
        <v>2019</v>
      </c>
      <c r="R223" s="224">
        <v>3038</v>
      </c>
      <c r="S223" s="224" t="s">
        <v>97</v>
      </c>
      <c r="T223" s="224">
        <v>394</v>
      </c>
      <c r="U223" s="224">
        <v>1077</v>
      </c>
      <c r="V223" s="224">
        <v>2355</v>
      </c>
      <c r="W223" s="224">
        <v>0.3138111888111888</v>
      </c>
      <c r="X223" s="224">
        <v>0.68618881118881125</v>
      </c>
      <c r="Y223" s="100" t="s">
        <v>126</v>
      </c>
      <c r="Z223" s="29">
        <v>1</v>
      </c>
      <c r="AA223" s="9">
        <v>1</v>
      </c>
      <c r="AB223" s="9">
        <v>1</v>
      </c>
      <c r="AC223" s="9">
        <v>2</v>
      </c>
      <c r="AD223" s="43">
        <v>2</v>
      </c>
      <c r="AE223" s="55">
        <v>0.35859414261160716</v>
      </c>
      <c r="AF223" s="52" t="s">
        <v>111</v>
      </c>
    </row>
    <row r="224" spans="1:32">
      <c r="A224" s="224">
        <v>2011</v>
      </c>
      <c r="B224" s="224">
        <v>240</v>
      </c>
      <c r="C224" s="224" t="s">
        <v>95</v>
      </c>
      <c r="D224" s="224">
        <v>53</v>
      </c>
      <c r="E224" s="224">
        <v>293</v>
      </c>
      <c r="F224" s="224">
        <v>0</v>
      </c>
      <c r="G224" s="224">
        <v>1</v>
      </c>
      <c r="H224" s="224">
        <v>0</v>
      </c>
      <c r="I224" s="304" t="s">
        <v>110</v>
      </c>
      <c r="J224" s="29">
        <v>1</v>
      </c>
      <c r="K224" s="9">
        <v>1</v>
      </c>
      <c r="L224" s="9">
        <v>1</v>
      </c>
      <c r="M224" s="9">
        <v>2</v>
      </c>
      <c r="N224" s="43">
        <v>2</v>
      </c>
      <c r="O224" s="260">
        <f t="shared" si="4"/>
        <v>0.35859414261160716</v>
      </c>
      <c r="P224" s="163" t="s">
        <v>111</v>
      </c>
      <c r="Q224" s="224">
        <v>2019</v>
      </c>
      <c r="R224" s="224">
        <v>2283</v>
      </c>
      <c r="S224" s="224" t="s">
        <v>95</v>
      </c>
      <c r="T224" s="224">
        <v>280</v>
      </c>
      <c r="U224" s="224">
        <v>607</v>
      </c>
      <c r="V224" s="224">
        <v>1956</v>
      </c>
      <c r="W224" s="224">
        <v>0.2368318376902068</v>
      </c>
      <c r="X224" s="224">
        <v>0.76316816230979323</v>
      </c>
      <c r="Y224" s="100" t="s">
        <v>126</v>
      </c>
      <c r="Z224" s="29">
        <v>1</v>
      </c>
      <c r="AA224" s="9">
        <v>1</v>
      </c>
      <c r="AB224" s="9">
        <v>1</v>
      </c>
      <c r="AC224" s="9">
        <v>2</v>
      </c>
      <c r="AD224" s="43">
        <v>2</v>
      </c>
      <c r="AE224" s="55">
        <v>0.35859414261160716</v>
      </c>
      <c r="AF224" s="52" t="s">
        <v>111</v>
      </c>
    </row>
    <row r="225" spans="1:32">
      <c r="A225" s="224">
        <v>2011</v>
      </c>
      <c r="B225" s="224">
        <v>101</v>
      </c>
      <c r="C225" s="224" t="s">
        <v>93</v>
      </c>
      <c r="D225" s="224">
        <v>30</v>
      </c>
      <c r="E225" s="224">
        <v>78</v>
      </c>
      <c r="F225" s="224">
        <v>53</v>
      </c>
      <c r="G225" s="224">
        <v>0.59541984732824427</v>
      </c>
      <c r="H225" s="224">
        <v>0.40458015267175568</v>
      </c>
      <c r="I225" s="304" t="s">
        <v>110</v>
      </c>
      <c r="J225" s="29">
        <v>1</v>
      </c>
      <c r="K225" s="9">
        <v>1</v>
      </c>
      <c r="L225" s="9">
        <v>1</v>
      </c>
      <c r="M225" s="9">
        <v>2</v>
      </c>
      <c r="N225" s="43">
        <v>2</v>
      </c>
      <c r="O225" s="260">
        <f t="shared" si="4"/>
        <v>0.35859414261160716</v>
      </c>
      <c r="P225" s="163" t="s">
        <v>111</v>
      </c>
      <c r="Q225" s="224">
        <v>2019</v>
      </c>
      <c r="R225" s="224">
        <v>2871</v>
      </c>
      <c r="S225" s="224" t="s">
        <v>93</v>
      </c>
      <c r="T225" s="224">
        <v>68</v>
      </c>
      <c r="U225" s="224">
        <v>488</v>
      </c>
      <c r="V225" s="224">
        <v>2451</v>
      </c>
      <c r="W225" s="224">
        <v>0.16604287172507659</v>
      </c>
      <c r="X225" s="224">
        <v>0.83395712827492341</v>
      </c>
      <c r="Y225" s="100" t="s">
        <v>126</v>
      </c>
      <c r="Z225" s="29">
        <v>1</v>
      </c>
      <c r="AA225" s="9">
        <v>1</v>
      </c>
      <c r="AB225" s="9">
        <v>1</v>
      </c>
      <c r="AC225" s="9">
        <v>2</v>
      </c>
      <c r="AD225" s="43">
        <v>2</v>
      </c>
      <c r="AE225" s="55">
        <v>0.35859414261160716</v>
      </c>
      <c r="AF225" s="52" t="s">
        <v>111</v>
      </c>
    </row>
    <row r="226" spans="1:32">
      <c r="A226" s="224">
        <v>2011</v>
      </c>
      <c r="B226" s="224">
        <v>2115</v>
      </c>
      <c r="C226" s="224" t="s">
        <v>98</v>
      </c>
      <c r="D226" s="224">
        <v>907</v>
      </c>
      <c r="E226" s="224">
        <v>3022</v>
      </c>
      <c r="F226" s="224">
        <v>0</v>
      </c>
      <c r="G226" s="224">
        <v>1</v>
      </c>
      <c r="H226" s="224">
        <v>0</v>
      </c>
      <c r="I226" s="304" t="s">
        <v>110</v>
      </c>
      <c r="J226" s="29">
        <v>1</v>
      </c>
      <c r="K226" s="9">
        <v>1</v>
      </c>
      <c r="L226" s="9">
        <v>1</v>
      </c>
      <c r="M226" s="9">
        <v>2</v>
      </c>
      <c r="N226" s="43">
        <v>2</v>
      </c>
      <c r="O226" s="260">
        <f t="shared" si="4"/>
        <v>0.35859414261160716</v>
      </c>
      <c r="P226" s="163" t="s">
        <v>111</v>
      </c>
      <c r="Q226" s="224">
        <v>2019</v>
      </c>
      <c r="R226" s="224">
        <v>14059</v>
      </c>
      <c r="S226" s="224" t="s">
        <v>98</v>
      </c>
      <c r="T226" s="224">
        <v>2300</v>
      </c>
      <c r="U226" s="224">
        <v>5655</v>
      </c>
      <c r="V226" s="224">
        <v>10704</v>
      </c>
      <c r="W226" s="224">
        <v>0.34568127636163581</v>
      </c>
      <c r="X226" s="224">
        <v>0.65431872363836419</v>
      </c>
      <c r="Y226" s="100" t="s">
        <v>126</v>
      </c>
      <c r="Z226" s="29">
        <v>1</v>
      </c>
      <c r="AA226" s="9">
        <v>1</v>
      </c>
      <c r="AB226" s="9">
        <v>1</v>
      </c>
      <c r="AC226" s="9">
        <v>2</v>
      </c>
      <c r="AD226" s="43">
        <v>2</v>
      </c>
      <c r="AE226" s="55">
        <v>0.35859414261160716</v>
      </c>
      <c r="AF226" s="52" t="s">
        <v>111</v>
      </c>
    </row>
    <row r="227" spans="1:32">
      <c r="A227" s="224">
        <v>2012</v>
      </c>
      <c r="B227" s="224">
        <v>1807</v>
      </c>
      <c r="C227" s="224" t="s">
        <v>85</v>
      </c>
      <c r="D227" s="224">
        <v>853</v>
      </c>
      <c r="E227" s="224">
        <v>1821</v>
      </c>
      <c r="F227" s="224">
        <v>839</v>
      </c>
      <c r="G227" s="224">
        <v>0.68458646616541352</v>
      </c>
      <c r="H227" s="224">
        <v>0.31541353383458648</v>
      </c>
      <c r="I227" s="304" t="s">
        <v>110</v>
      </c>
      <c r="J227" s="29">
        <v>1</v>
      </c>
      <c r="K227" s="9">
        <v>1</v>
      </c>
      <c r="L227" s="9">
        <v>1</v>
      </c>
      <c r="M227" s="9">
        <v>2</v>
      </c>
      <c r="N227" s="43">
        <v>2</v>
      </c>
      <c r="O227" s="260">
        <f t="shared" si="4"/>
        <v>0.35859414261160716</v>
      </c>
      <c r="P227" s="163" t="s">
        <v>111</v>
      </c>
      <c r="Q227" s="224">
        <v>2020</v>
      </c>
      <c r="R227" s="224">
        <v>13493</v>
      </c>
      <c r="S227" s="224" t="s">
        <v>85</v>
      </c>
      <c r="T227" s="224">
        <v>2799</v>
      </c>
      <c r="U227" s="224">
        <v>2887</v>
      </c>
      <c r="V227" s="224">
        <v>13405</v>
      </c>
      <c r="W227" s="224">
        <v>0.17720353547753501</v>
      </c>
      <c r="X227" s="224">
        <v>0.82279646452246502</v>
      </c>
      <c r="Y227" s="100" t="s">
        <v>126</v>
      </c>
      <c r="Z227" s="29">
        <v>1</v>
      </c>
      <c r="AA227" s="9">
        <v>1</v>
      </c>
      <c r="AB227" s="9">
        <v>1</v>
      </c>
      <c r="AC227" s="9">
        <v>2</v>
      </c>
      <c r="AD227" s="43">
        <v>2</v>
      </c>
      <c r="AE227" s="55">
        <v>0.35859414261160716</v>
      </c>
      <c r="AF227" s="52" t="s">
        <v>111</v>
      </c>
    </row>
    <row r="228" spans="1:32">
      <c r="A228" s="224">
        <v>2012</v>
      </c>
      <c r="B228" s="224">
        <v>290</v>
      </c>
      <c r="C228" s="224" t="s">
        <v>86</v>
      </c>
      <c r="D228" s="224">
        <v>190</v>
      </c>
      <c r="E228" s="224">
        <v>440</v>
      </c>
      <c r="F228" s="224">
        <v>40</v>
      </c>
      <c r="G228" s="224">
        <v>0.91666666666666663</v>
      </c>
      <c r="H228" s="224">
        <v>8.333333333333337E-2</v>
      </c>
      <c r="I228" s="304" t="s">
        <v>110</v>
      </c>
      <c r="J228" s="29">
        <v>1</v>
      </c>
      <c r="K228" s="9">
        <v>1</v>
      </c>
      <c r="L228" s="9">
        <v>1</v>
      </c>
      <c r="M228" s="9">
        <v>2</v>
      </c>
      <c r="N228" s="43">
        <v>2</v>
      </c>
      <c r="O228" s="260">
        <f t="shared" si="4"/>
        <v>0.35859414261160716</v>
      </c>
      <c r="P228" s="163" t="s">
        <v>111</v>
      </c>
      <c r="Q228" s="224">
        <v>2020</v>
      </c>
      <c r="R228" s="224">
        <v>6387</v>
      </c>
      <c r="S228" s="224" t="s">
        <v>86</v>
      </c>
      <c r="T228" s="224">
        <v>971</v>
      </c>
      <c r="U228" s="224">
        <v>1419</v>
      </c>
      <c r="V228" s="224">
        <v>5939</v>
      </c>
      <c r="W228" s="224">
        <v>0.19285131829301441</v>
      </c>
      <c r="X228" s="224">
        <v>0.80714868170698562</v>
      </c>
      <c r="Y228" s="100" t="s">
        <v>126</v>
      </c>
      <c r="Z228" s="29">
        <v>1</v>
      </c>
      <c r="AA228" s="9">
        <v>1</v>
      </c>
      <c r="AB228" s="9">
        <v>1</v>
      </c>
      <c r="AC228" s="9">
        <v>2</v>
      </c>
      <c r="AD228" s="43">
        <v>2</v>
      </c>
      <c r="AE228" s="55">
        <v>0.35859414261160716</v>
      </c>
      <c r="AF228" s="52" t="s">
        <v>111</v>
      </c>
    </row>
    <row r="229" spans="1:32">
      <c r="A229" s="224">
        <v>2012</v>
      </c>
      <c r="B229" s="224">
        <v>631</v>
      </c>
      <c r="C229" s="224" t="s">
        <v>87</v>
      </c>
      <c r="D229" s="224">
        <v>258</v>
      </c>
      <c r="E229" s="224">
        <v>259</v>
      </c>
      <c r="F229" s="224">
        <v>630</v>
      </c>
      <c r="G229" s="224">
        <v>0.29133858267716528</v>
      </c>
      <c r="H229" s="224">
        <v>0.70866141732283472</v>
      </c>
      <c r="I229" s="304" t="s">
        <v>110</v>
      </c>
      <c r="J229" s="29">
        <v>1</v>
      </c>
      <c r="K229" s="9">
        <v>1</v>
      </c>
      <c r="L229" s="9">
        <v>1</v>
      </c>
      <c r="M229" s="9">
        <v>2</v>
      </c>
      <c r="N229" s="43">
        <v>2</v>
      </c>
      <c r="O229" s="260">
        <f t="shared" si="4"/>
        <v>0.35859414261160716</v>
      </c>
      <c r="P229" s="163" t="s">
        <v>111</v>
      </c>
      <c r="Q229" s="224">
        <v>2020</v>
      </c>
      <c r="R229" s="224">
        <v>10055</v>
      </c>
      <c r="S229" s="224" t="s">
        <v>87</v>
      </c>
      <c r="T229" s="224">
        <v>490</v>
      </c>
      <c r="U229" s="224">
        <v>1186</v>
      </c>
      <c r="V229" s="224">
        <v>9359</v>
      </c>
      <c r="W229" s="224">
        <v>0.11247036510194409</v>
      </c>
      <c r="X229" s="224">
        <v>0.88752963489805592</v>
      </c>
      <c r="Y229" s="100" t="s">
        <v>126</v>
      </c>
      <c r="Z229" s="29">
        <v>1</v>
      </c>
      <c r="AA229" s="9">
        <v>1</v>
      </c>
      <c r="AB229" s="9">
        <v>1</v>
      </c>
      <c r="AC229" s="9">
        <v>2</v>
      </c>
      <c r="AD229" s="43">
        <v>2</v>
      </c>
      <c r="AE229" s="55">
        <v>0.35859414261160716</v>
      </c>
      <c r="AF229" s="52" t="s">
        <v>111</v>
      </c>
    </row>
    <row r="230" spans="1:32">
      <c r="A230" s="224">
        <v>2012</v>
      </c>
      <c r="B230" s="224">
        <v>1</v>
      </c>
      <c r="C230" s="224" t="s">
        <v>88</v>
      </c>
      <c r="D230" s="224">
        <v>44</v>
      </c>
      <c r="E230" s="224">
        <v>11</v>
      </c>
      <c r="F230" s="224">
        <v>34</v>
      </c>
      <c r="G230" s="224">
        <v>0.24444444444444441</v>
      </c>
      <c r="H230" s="224">
        <v>0.75555555555555554</v>
      </c>
      <c r="I230" s="304" t="s">
        <v>110</v>
      </c>
      <c r="J230" s="29">
        <v>1</v>
      </c>
      <c r="K230" s="9">
        <v>1</v>
      </c>
      <c r="L230" s="9">
        <v>1</v>
      </c>
      <c r="M230" s="9">
        <v>2</v>
      </c>
      <c r="N230" s="43">
        <v>2</v>
      </c>
      <c r="O230" s="260">
        <f t="shared" si="4"/>
        <v>0.35859414261160716</v>
      </c>
      <c r="P230" s="163" t="s">
        <v>111</v>
      </c>
      <c r="Q230" s="224">
        <v>2020</v>
      </c>
      <c r="R230" s="224">
        <v>1995</v>
      </c>
      <c r="S230" s="224" t="s">
        <v>88</v>
      </c>
      <c r="T230" s="224">
        <v>149</v>
      </c>
      <c r="U230" s="224">
        <v>350</v>
      </c>
      <c r="V230" s="224">
        <v>1794</v>
      </c>
      <c r="W230" s="224">
        <v>0.1632462686567164</v>
      </c>
      <c r="X230" s="224">
        <v>0.83675373134328357</v>
      </c>
      <c r="Y230" s="100" t="s">
        <v>126</v>
      </c>
      <c r="Z230" s="29">
        <v>1</v>
      </c>
      <c r="AA230" s="9">
        <v>1</v>
      </c>
      <c r="AB230" s="9">
        <v>1</v>
      </c>
      <c r="AC230" s="9">
        <v>2</v>
      </c>
      <c r="AD230" s="43">
        <v>2</v>
      </c>
      <c r="AE230" s="55">
        <v>0.35859414261160716</v>
      </c>
      <c r="AF230" s="52" t="s">
        <v>111</v>
      </c>
    </row>
    <row r="231" spans="1:32">
      <c r="A231" s="224">
        <v>2012</v>
      </c>
      <c r="B231" s="224">
        <v>191</v>
      </c>
      <c r="C231" s="224" t="s">
        <v>89</v>
      </c>
      <c r="D231" s="224">
        <v>38</v>
      </c>
      <c r="E231" s="224">
        <v>172</v>
      </c>
      <c r="F231" s="224">
        <v>57</v>
      </c>
      <c r="G231" s="224">
        <v>0.75109170305676853</v>
      </c>
      <c r="H231" s="224">
        <v>0.24890829694323149</v>
      </c>
      <c r="I231" s="304" t="s">
        <v>110</v>
      </c>
      <c r="J231" s="29">
        <v>1</v>
      </c>
      <c r="K231" s="9">
        <v>1</v>
      </c>
      <c r="L231" s="9">
        <v>1</v>
      </c>
      <c r="M231" s="9">
        <v>2</v>
      </c>
      <c r="N231" s="43">
        <v>2</v>
      </c>
      <c r="O231" s="260">
        <f t="shared" si="4"/>
        <v>0.35859414261160716</v>
      </c>
      <c r="P231" s="163" t="s">
        <v>111</v>
      </c>
      <c r="Q231" s="224">
        <v>2020</v>
      </c>
      <c r="R231" s="224">
        <v>1855</v>
      </c>
      <c r="S231" s="224" t="s">
        <v>89</v>
      </c>
      <c r="T231" s="224">
        <v>62</v>
      </c>
      <c r="U231" s="224">
        <v>96</v>
      </c>
      <c r="V231" s="224">
        <v>1821</v>
      </c>
      <c r="W231" s="224">
        <v>5.0078247261345847E-2</v>
      </c>
      <c r="X231" s="224">
        <v>0.94992175273865409</v>
      </c>
      <c r="Y231" s="100" t="s">
        <v>126</v>
      </c>
      <c r="Z231" s="29">
        <v>1</v>
      </c>
      <c r="AA231" s="9">
        <v>1</v>
      </c>
      <c r="AB231" s="9">
        <v>1</v>
      </c>
      <c r="AC231" s="9">
        <v>2</v>
      </c>
      <c r="AD231" s="43">
        <v>2</v>
      </c>
      <c r="AE231" s="55">
        <v>0.35859414261160716</v>
      </c>
      <c r="AF231" s="52" t="s">
        <v>111</v>
      </c>
    </row>
    <row r="232" spans="1:32">
      <c r="A232" s="224">
        <v>2012</v>
      </c>
      <c r="B232" s="224">
        <v>610</v>
      </c>
      <c r="C232" s="224" t="s">
        <v>90</v>
      </c>
      <c r="D232" s="224">
        <v>181</v>
      </c>
      <c r="E232" s="224">
        <v>682</v>
      </c>
      <c r="F232" s="224">
        <v>109</v>
      </c>
      <c r="G232" s="224">
        <v>0.86219974715549941</v>
      </c>
      <c r="H232" s="224">
        <v>0.13780025284450059</v>
      </c>
      <c r="I232" s="304" t="s">
        <v>110</v>
      </c>
      <c r="J232" s="29">
        <v>1</v>
      </c>
      <c r="K232" s="9">
        <v>1</v>
      </c>
      <c r="L232" s="9">
        <v>1</v>
      </c>
      <c r="M232" s="9">
        <v>2</v>
      </c>
      <c r="N232" s="43">
        <v>2</v>
      </c>
      <c r="O232" s="260">
        <f t="shared" si="4"/>
        <v>0.35859414261160716</v>
      </c>
      <c r="P232" s="163" t="s">
        <v>111</v>
      </c>
      <c r="Q232" s="224">
        <v>2020</v>
      </c>
      <c r="R232" s="224">
        <v>7974</v>
      </c>
      <c r="S232" s="224" t="s">
        <v>90</v>
      </c>
      <c r="T232" s="224">
        <v>378</v>
      </c>
      <c r="U232" s="224">
        <v>1704</v>
      </c>
      <c r="V232" s="224">
        <v>6648</v>
      </c>
      <c r="W232" s="224">
        <v>0.2040229885057471</v>
      </c>
      <c r="X232" s="224">
        <v>0.79597701149425282</v>
      </c>
      <c r="Y232" s="100" t="s">
        <v>126</v>
      </c>
      <c r="Z232" s="29">
        <v>1</v>
      </c>
      <c r="AA232" s="9">
        <v>1</v>
      </c>
      <c r="AB232" s="9">
        <v>1</v>
      </c>
      <c r="AC232" s="9">
        <v>2</v>
      </c>
      <c r="AD232" s="43">
        <v>2</v>
      </c>
      <c r="AE232" s="55">
        <v>0.35859414261160716</v>
      </c>
      <c r="AF232" s="52" t="s">
        <v>111</v>
      </c>
    </row>
    <row r="233" spans="1:32">
      <c r="A233" s="224">
        <v>2012</v>
      </c>
      <c r="B233" s="224">
        <v>208</v>
      </c>
      <c r="C233" s="224" t="s">
        <v>91</v>
      </c>
      <c r="D233" s="224">
        <v>77</v>
      </c>
      <c r="E233" s="224">
        <v>285</v>
      </c>
      <c r="F233" s="224">
        <v>0</v>
      </c>
      <c r="G233" s="224">
        <v>1</v>
      </c>
      <c r="H233" s="224">
        <v>0</v>
      </c>
      <c r="I233" s="304" t="s">
        <v>110</v>
      </c>
      <c r="J233" s="29">
        <v>1</v>
      </c>
      <c r="K233" s="9">
        <v>1</v>
      </c>
      <c r="L233" s="9">
        <v>1</v>
      </c>
      <c r="M233" s="9">
        <v>2</v>
      </c>
      <c r="N233" s="43">
        <v>2</v>
      </c>
      <c r="O233" s="260">
        <f t="shared" si="4"/>
        <v>0.35859414261160716</v>
      </c>
      <c r="P233" s="163" t="s">
        <v>111</v>
      </c>
      <c r="Q233" s="224">
        <v>2020</v>
      </c>
      <c r="R233" s="224">
        <v>2519</v>
      </c>
      <c r="S233" s="224" t="s">
        <v>91</v>
      </c>
      <c r="T233" s="224">
        <v>853</v>
      </c>
      <c r="U233" s="224">
        <v>407</v>
      </c>
      <c r="V233" s="224">
        <v>2965</v>
      </c>
      <c r="W233" s="224">
        <v>0.120699881376038</v>
      </c>
      <c r="X233" s="224">
        <v>0.87930011862396207</v>
      </c>
      <c r="Y233" s="100" t="s">
        <v>126</v>
      </c>
      <c r="Z233" s="29">
        <v>1</v>
      </c>
      <c r="AA233" s="9">
        <v>1</v>
      </c>
      <c r="AB233" s="9">
        <v>1</v>
      </c>
      <c r="AC233" s="9">
        <v>2</v>
      </c>
      <c r="AD233" s="43">
        <v>2</v>
      </c>
      <c r="AE233" s="55">
        <v>0.35859414261160716</v>
      </c>
      <c r="AF233" s="52" t="s">
        <v>111</v>
      </c>
    </row>
    <row r="234" spans="1:32">
      <c r="A234" s="224">
        <v>2012</v>
      </c>
      <c r="B234" s="224">
        <v>143</v>
      </c>
      <c r="C234" s="224" t="s">
        <v>94</v>
      </c>
      <c r="D234" s="224">
        <v>20</v>
      </c>
      <c r="E234" s="224">
        <v>163</v>
      </c>
      <c r="F234" s="224">
        <v>0</v>
      </c>
      <c r="G234" s="224">
        <v>1</v>
      </c>
      <c r="H234" s="224">
        <v>0</v>
      </c>
      <c r="I234" s="304" t="s">
        <v>110</v>
      </c>
      <c r="J234" s="29">
        <v>1</v>
      </c>
      <c r="K234" s="9">
        <v>1</v>
      </c>
      <c r="L234" s="9">
        <v>1</v>
      </c>
      <c r="M234" s="9">
        <v>2</v>
      </c>
      <c r="N234" s="43">
        <v>2</v>
      </c>
      <c r="O234" s="260">
        <f t="shared" si="4"/>
        <v>0.35859414261160716</v>
      </c>
      <c r="P234" s="163" t="s">
        <v>111</v>
      </c>
      <c r="Q234" s="224">
        <v>2020</v>
      </c>
      <c r="R234" s="224">
        <v>661</v>
      </c>
      <c r="S234" s="224" t="s">
        <v>94</v>
      </c>
      <c r="T234" s="224">
        <v>172</v>
      </c>
      <c r="U234" s="224">
        <v>199</v>
      </c>
      <c r="V234" s="224">
        <v>634</v>
      </c>
      <c r="W234" s="224">
        <v>0.23889555822328931</v>
      </c>
      <c r="X234" s="224">
        <v>0.76110444177671066</v>
      </c>
      <c r="Y234" s="100" t="s">
        <v>126</v>
      </c>
      <c r="Z234" s="29">
        <v>1</v>
      </c>
      <c r="AA234" s="9">
        <v>1</v>
      </c>
      <c r="AB234" s="9">
        <v>1</v>
      </c>
      <c r="AC234" s="9">
        <v>2</v>
      </c>
      <c r="AD234" s="43">
        <v>2</v>
      </c>
      <c r="AE234" s="55">
        <v>0.35859414261160716</v>
      </c>
      <c r="AF234" s="52" t="s">
        <v>111</v>
      </c>
    </row>
    <row r="235" spans="1:32">
      <c r="A235" s="224">
        <v>2012</v>
      </c>
      <c r="B235" s="224">
        <v>306</v>
      </c>
      <c r="C235" s="224" t="s">
        <v>96</v>
      </c>
      <c r="D235" s="224">
        <v>46</v>
      </c>
      <c r="E235" s="224">
        <v>238</v>
      </c>
      <c r="F235" s="224">
        <v>114</v>
      </c>
      <c r="G235" s="224">
        <v>0.67613636363636365</v>
      </c>
      <c r="H235" s="224">
        <v>0.32386363636363641</v>
      </c>
      <c r="I235" s="304" t="s">
        <v>110</v>
      </c>
      <c r="J235" s="29">
        <v>1</v>
      </c>
      <c r="K235" s="9">
        <v>1</v>
      </c>
      <c r="L235" s="9">
        <v>1</v>
      </c>
      <c r="M235" s="9">
        <v>2</v>
      </c>
      <c r="N235" s="43">
        <v>2</v>
      </c>
      <c r="O235" s="260">
        <f t="shared" si="4"/>
        <v>0.35859414261160716</v>
      </c>
      <c r="P235" s="163" t="s">
        <v>111</v>
      </c>
      <c r="Q235" s="224">
        <v>2020</v>
      </c>
      <c r="R235" s="224">
        <v>1130</v>
      </c>
      <c r="S235" s="224" t="s">
        <v>96</v>
      </c>
      <c r="T235" s="224">
        <v>88</v>
      </c>
      <c r="U235" s="224">
        <v>274</v>
      </c>
      <c r="V235" s="224">
        <v>944</v>
      </c>
      <c r="W235" s="224">
        <v>0.22495894909688011</v>
      </c>
      <c r="X235" s="224">
        <v>0.77504105090311981</v>
      </c>
      <c r="Y235" s="100" t="s">
        <v>126</v>
      </c>
      <c r="Z235" s="29">
        <v>1</v>
      </c>
      <c r="AA235" s="9">
        <v>1</v>
      </c>
      <c r="AB235" s="9">
        <v>1</v>
      </c>
      <c r="AC235" s="9">
        <v>2</v>
      </c>
      <c r="AD235" s="43">
        <v>2</v>
      </c>
      <c r="AE235" s="55">
        <v>0.35859414261160716</v>
      </c>
      <c r="AF235" s="52" t="s">
        <v>111</v>
      </c>
    </row>
    <row r="236" spans="1:32">
      <c r="A236" s="224">
        <v>2012</v>
      </c>
      <c r="B236" s="224">
        <v>232</v>
      </c>
      <c r="C236" s="224" t="s">
        <v>97</v>
      </c>
      <c r="D236" s="224">
        <v>187</v>
      </c>
      <c r="E236" s="224">
        <v>308</v>
      </c>
      <c r="F236" s="224">
        <v>111</v>
      </c>
      <c r="G236" s="224">
        <v>0.73508353221957046</v>
      </c>
      <c r="H236" s="224">
        <v>0.26491646778042949</v>
      </c>
      <c r="I236" s="304" t="s">
        <v>110</v>
      </c>
      <c r="J236" s="29">
        <v>1</v>
      </c>
      <c r="K236" s="9">
        <v>1</v>
      </c>
      <c r="L236" s="9">
        <v>1</v>
      </c>
      <c r="M236" s="9">
        <v>2</v>
      </c>
      <c r="N236" s="43">
        <v>2</v>
      </c>
      <c r="O236" s="260">
        <f t="shared" si="4"/>
        <v>0.35859414261160716</v>
      </c>
      <c r="P236" s="163" t="s">
        <v>111</v>
      </c>
      <c r="Q236" s="224">
        <v>2020</v>
      </c>
      <c r="R236" s="224">
        <v>2463</v>
      </c>
      <c r="S236" s="224" t="s">
        <v>97</v>
      </c>
      <c r="T236" s="224">
        <v>418</v>
      </c>
      <c r="U236" s="224">
        <v>1073</v>
      </c>
      <c r="V236" s="224">
        <v>1808</v>
      </c>
      <c r="W236" s="224">
        <v>0.37244012495661227</v>
      </c>
      <c r="X236" s="224">
        <v>0.62755987504338773</v>
      </c>
      <c r="Y236" s="100" t="s">
        <v>126</v>
      </c>
      <c r="Z236" s="29">
        <v>1</v>
      </c>
      <c r="AA236" s="9">
        <v>1</v>
      </c>
      <c r="AB236" s="9">
        <v>1</v>
      </c>
      <c r="AC236" s="9">
        <v>2</v>
      </c>
      <c r="AD236" s="43">
        <v>2</v>
      </c>
      <c r="AE236" s="55">
        <v>0.35859414261160716</v>
      </c>
      <c r="AF236" s="52" t="s">
        <v>111</v>
      </c>
    </row>
    <row r="237" spans="1:32">
      <c r="A237" s="224">
        <v>2012</v>
      </c>
      <c r="B237" s="224">
        <v>221</v>
      </c>
      <c r="C237" s="224" t="s">
        <v>95</v>
      </c>
      <c r="D237" s="224">
        <v>55</v>
      </c>
      <c r="E237" s="224">
        <v>276</v>
      </c>
      <c r="F237" s="224">
        <v>0</v>
      </c>
      <c r="G237" s="224">
        <v>1</v>
      </c>
      <c r="H237" s="224">
        <v>0</v>
      </c>
      <c r="I237" s="304" t="s">
        <v>110</v>
      </c>
      <c r="J237" s="29">
        <v>1</v>
      </c>
      <c r="K237" s="9">
        <v>1</v>
      </c>
      <c r="L237" s="9">
        <v>1</v>
      </c>
      <c r="M237" s="9">
        <v>2</v>
      </c>
      <c r="N237" s="43">
        <v>2</v>
      </c>
      <c r="O237" s="260">
        <f t="shared" si="4"/>
        <v>0.35859414261160716</v>
      </c>
      <c r="P237" s="163" t="s">
        <v>111</v>
      </c>
      <c r="Q237" s="224">
        <v>2020</v>
      </c>
      <c r="R237" s="224">
        <v>2139</v>
      </c>
      <c r="S237" s="224" t="s">
        <v>95</v>
      </c>
      <c r="T237" s="224">
        <v>292</v>
      </c>
      <c r="U237" s="224">
        <v>602</v>
      </c>
      <c r="V237" s="224">
        <v>1829</v>
      </c>
      <c r="W237" s="224">
        <v>0.24763471822295349</v>
      </c>
      <c r="X237" s="224">
        <v>0.75236528177704654</v>
      </c>
      <c r="Y237" s="100" t="s">
        <v>126</v>
      </c>
      <c r="Z237" s="29">
        <v>1</v>
      </c>
      <c r="AA237" s="9">
        <v>1</v>
      </c>
      <c r="AB237" s="9">
        <v>1</v>
      </c>
      <c r="AC237" s="9">
        <v>2</v>
      </c>
      <c r="AD237" s="43">
        <v>2</v>
      </c>
      <c r="AE237" s="55">
        <v>0.35859414261160716</v>
      </c>
      <c r="AF237" s="52" t="s">
        <v>111</v>
      </c>
    </row>
    <row r="238" spans="1:32">
      <c r="A238" s="224">
        <v>2012</v>
      </c>
      <c r="B238" s="224">
        <v>86</v>
      </c>
      <c r="C238" s="224" t="s">
        <v>93</v>
      </c>
      <c r="D238" s="224">
        <v>28</v>
      </c>
      <c r="E238" s="224">
        <v>88</v>
      </c>
      <c r="F238" s="224">
        <v>26</v>
      </c>
      <c r="G238" s="224">
        <v>0.77192982456140347</v>
      </c>
      <c r="H238" s="224">
        <v>0.22807017543859651</v>
      </c>
      <c r="I238" s="304" t="s">
        <v>110</v>
      </c>
      <c r="J238" s="29">
        <v>1</v>
      </c>
      <c r="K238" s="9">
        <v>1</v>
      </c>
      <c r="L238" s="9">
        <v>1</v>
      </c>
      <c r="M238" s="9">
        <v>2</v>
      </c>
      <c r="N238" s="43">
        <v>2</v>
      </c>
      <c r="O238" s="260">
        <f t="shared" si="4"/>
        <v>0.35859414261160716</v>
      </c>
      <c r="P238" s="163" t="s">
        <v>111</v>
      </c>
      <c r="Q238" s="224">
        <v>2020</v>
      </c>
      <c r="R238" s="224">
        <v>3825</v>
      </c>
      <c r="S238" s="224" t="s">
        <v>93</v>
      </c>
      <c r="T238" s="224">
        <v>66</v>
      </c>
      <c r="U238" s="224">
        <v>465</v>
      </c>
      <c r="V238" s="224">
        <v>3426</v>
      </c>
      <c r="W238" s="224">
        <v>0.1195065535851966</v>
      </c>
      <c r="X238" s="224">
        <v>0.88049344641480343</v>
      </c>
      <c r="Y238" s="100" t="s">
        <v>126</v>
      </c>
      <c r="Z238" s="29">
        <v>1</v>
      </c>
      <c r="AA238" s="9">
        <v>1</v>
      </c>
      <c r="AB238" s="9">
        <v>1</v>
      </c>
      <c r="AC238" s="9">
        <v>2</v>
      </c>
      <c r="AD238" s="43">
        <v>2</v>
      </c>
      <c r="AE238" s="55">
        <v>0.35859414261160716</v>
      </c>
      <c r="AF238" s="52" t="s">
        <v>111</v>
      </c>
    </row>
    <row r="239" spans="1:32">
      <c r="A239" s="224">
        <v>2012</v>
      </c>
      <c r="B239" s="224">
        <v>2322</v>
      </c>
      <c r="C239" s="224" t="s">
        <v>98</v>
      </c>
      <c r="D239" s="224">
        <v>922</v>
      </c>
      <c r="E239" s="224">
        <v>3244</v>
      </c>
      <c r="F239" s="224">
        <v>0</v>
      </c>
      <c r="G239" s="224">
        <v>1</v>
      </c>
      <c r="H239" s="224">
        <v>0</v>
      </c>
      <c r="I239" s="304" t="s">
        <v>110</v>
      </c>
      <c r="J239" s="29">
        <v>1</v>
      </c>
      <c r="K239" s="9">
        <v>1</v>
      </c>
      <c r="L239" s="9">
        <v>1</v>
      </c>
      <c r="M239" s="9">
        <v>2</v>
      </c>
      <c r="N239" s="43">
        <v>2</v>
      </c>
      <c r="O239" s="260">
        <f t="shared" si="4"/>
        <v>0.35859414261160716</v>
      </c>
      <c r="P239" s="163" t="s">
        <v>111</v>
      </c>
      <c r="Q239" s="224">
        <v>2020</v>
      </c>
      <c r="R239" s="224">
        <v>13872</v>
      </c>
      <c r="S239" s="224" t="s">
        <v>98</v>
      </c>
      <c r="T239" s="224">
        <v>1580</v>
      </c>
      <c r="U239" s="224">
        <v>5860</v>
      </c>
      <c r="V239" s="224">
        <v>9592</v>
      </c>
      <c r="W239" s="224">
        <v>0.37923893347139531</v>
      </c>
      <c r="X239" s="224">
        <v>0.62076106652860474</v>
      </c>
      <c r="Y239" s="100" t="s">
        <v>126</v>
      </c>
      <c r="Z239" s="29">
        <v>1</v>
      </c>
      <c r="AA239" s="9">
        <v>1</v>
      </c>
      <c r="AB239" s="9">
        <v>1</v>
      </c>
      <c r="AC239" s="9">
        <v>2</v>
      </c>
      <c r="AD239" s="43">
        <v>2</v>
      </c>
      <c r="AE239" s="55">
        <v>0.35859414261160716</v>
      </c>
      <c r="AF239" s="52" t="s">
        <v>111</v>
      </c>
    </row>
    <row r="240" spans="1:32">
      <c r="A240" s="224">
        <v>2013</v>
      </c>
      <c r="B240" s="224">
        <v>1347</v>
      </c>
      <c r="C240" s="224" t="s">
        <v>85</v>
      </c>
      <c r="D240" s="224">
        <v>984</v>
      </c>
      <c r="E240" s="224">
        <v>1727</v>
      </c>
      <c r="F240" s="224">
        <v>604</v>
      </c>
      <c r="G240" s="224">
        <v>0.74088374088374087</v>
      </c>
      <c r="H240" s="224">
        <v>0.25911625911625907</v>
      </c>
      <c r="I240" s="304" t="s">
        <v>110</v>
      </c>
      <c r="J240" s="29">
        <v>1</v>
      </c>
      <c r="K240" s="9">
        <v>1</v>
      </c>
      <c r="L240" s="9">
        <v>1</v>
      </c>
      <c r="M240" s="9">
        <v>2</v>
      </c>
      <c r="N240" s="43">
        <v>2</v>
      </c>
      <c r="O240" s="260">
        <f t="shared" si="4"/>
        <v>0.35859414261160716</v>
      </c>
      <c r="P240" s="163" t="s">
        <v>111</v>
      </c>
      <c r="Q240" s="224">
        <v>2021</v>
      </c>
      <c r="R240" s="224">
        <v>13666</v>
      </c>
      <c r="S240" s="224" t="s">
        <v>85</v>
      </c>
      <c r="T240" s="224">
        <v>2883</v>
      </c>
      <c r="U240" s="224">
        <v>2568</v>
      </c>
      <c r="V240" s="224">
        <v>13981</v>
      </c>
      <c r="W240" s="224">
        <v>0.15517553930751099</v>
      </c>
      <c r="X240" s="224">
        <v>0.84482446069248895</v>
      </c>
      <c r="Y240" s="100" t="s">
        <v>126</v>
      </c>
      <c r="Z240" s="29">
        <v>1</v>
      </c>
      <c r="AA240" s="9">
        <v>1</v>
      </c>
      <c r="AB240" s="9">
        <v>1</v>
      </c>
      <c r="AC240" s="9">
        <v>2</v>
      </c>
      <c r="AD240" s="43">
        <v>2</v>
      </c>
      <c r="AE240" s="55">
        <v>0.35859414261160716</v>
      </c>
      <c r="AF240" s="52" t="s">
        <v>111</v>
      </c>
    </row>
    <row r="241" spans="1:32">
      <c r="A241" s="224">
        <v>2013</v>
      </c>
      <c r="B241" s="224">
        <v>290</v>
      </c>
      <c r="C241" s="224" t="s">
        <v>86</v>
      </c>
      <c r="D241" s="224">
        <v>222</v>
      </c>
      <c r="E241" s="224">
        <v>396</v>
      </c>
      <c r="F241" s="224">
        <v>116</v>
      </c>
      <c r="G241" s="224">
        <v>0.7734375</v>
      </c>
      <c r="H241" s="224">
        <v>0.2265625</v>
      </c>
      <c r="I241" s="304" t="s">
        <v>110</v>
      </c>
      <c r="J241" s="29">
        <v>1</v>
      </c>
      <c r="K241" s="9">
        <v>1</v>
      </c>
      <c r="L241" s="9">
        <v>1</v>
      </c>
      <c r="M241" s="9">
        <v>2</v>
      </c>
      <c r="N241" s="43">
        <v>2</v>
      </c>
      <c r="O241" s="260">
        <f t="shared" si="4"/>
        <v>0.35859414261160716</v>
      </c>
      <c r="P241" s="163" t="s">
        <v>111</v>
      </c>
      <c r="Q241" s="224">
        <v>2021</v>
      </c>
      <c r="R241" s="224">
        <v>6722</v>
      </c>
      <c r="S241" s="224" t="s">
        <v>86</v>
      </c>
      <c r="T241" s="224">
        <v>1213</v>
      </c>
      <c r="U241" s="224">
        <v>1136</v>
      </c>
      <c r="V241" s="224">
        <v>6799</v>
      </c>
      <c r="W241" s="224">
        <v>0.14316320100819149</v>
      </c>
      <c r="X241" s="224">
        <v>0.85683679899180842</v>
      </c>
      <c r="Y241" s="100" t="s">
        <v>126</v>
      </c>
      <c r="Z241" s="29">
        <v>1</v>
      </c>
      <c r="AA241" s="9">
        <v>1</v>
      </c>
      <c r="AB241" s="9">
        <v>1</v>
      </c>
      <c r="AC241" s="9">
        <v>2</v>
      </c>
      <c r="AD241" s="43">
        <v>2</v>
      </c>
      <c r="AE241" s="55">
        <v>0.35859414261160716</v>
      </c>
      <c r="AF241" s="52" t="s">
        <v>111</v>
      </c>
    </row>
    <row r="242" spans="1:32">
      <c r="A242" s="224">
        <v>2013</v>
      </c>
      <c r="B242" s="224">
        <v>613</v>
      </c>
      <c r="C242" s="224" t="s">
        <v>87</v>
      </c>
      <c r="D242" s="224">
        <v>232</v>
      </c>
      <c r="E242" s="224">
        <v>257</v>
      </c>
      <c r="F242" s="224">
        <v>588</v>
      </c>
      <c r="G242" s="224">
        <v>0.30414201183431949</v>
      </c>
      <c r="H242" s="224">
        <v>0.69585798816568045</v>
      </c>
      <c r="I242" s="304" t="s">
        <v>110</v>
      </c>
      <c r="J242" s="29">
        <v>1</v>
      </c>
      <c r="K242" s="9">
        <v>1</v>
      </c>
      <c r="L242" s="9">
        <v>1</v>
      </c>
      <c r="M242" s="9">
        <v>2</v>
      </c>
      <c r="N242" s="43">
        <v>2</v>
      </c>
      <c r="O242" s="260">
        <f t="shared" si="4"/>
        <v>0.35859414261160716</v>
      </c>
      <c r="P242" s="163" t="s">
        <v>111</v>
      </c>
      <c r="Q242" s="224">
        <v>2021</v>
      </c>
      <c r="R242" s="224">
        <v>9482</v>
      </c>
      <c r="S242" s="224" t="s">
        <v>87</v>
      </c>
      <c r="T242" s="224">
        <v>617</v>
      </c>
      <c r="U242" s="224">
        <v>998</v>
      </c>
      <c r="V242" s="224">
        <v>9101</v>
      </c>
      <c r="W242" s="224">
        <v>9.8821665511436771E-2</v>
      </c>
      <c r="X242" s="224">
        <v>0.90117833448856322</v>
      </c>
      <c r="Y242" s="100" t="s">
        <v>126</v>
      </c>
      <c r="Z242" s="29">
        <v>1</v>
      </c>
      <c r="AA242" s="9">
        <v>1</v>
      </c>
      <c r="AB242" s="9">
        <v>1</v>
      </c>
      <c r="AC242" s="9">
        <v>2</v>
      </c>
      <c r="AD242" s="43">
        <v>2</v>
      </c>
      <c r="AE242" s="55">
        <v>0.35859414261160716</v>
      </c>
      <c r="AF242" s="52" t="s">
        <v>111</v>
      </c>
    </row>
    <row r="243" spans="1:32">
      <c r="A243" s="224">
        <v>2013</v>
      </c>
      <c r="B243" s="224">
        <v>1</v>
      </c>
      <c r="C243" s="224" t="s">
        <v>88</v>
      </c>
      <c r="D243" s="224">
        <v>47</v>
      </c>
      <c r="E243" s="224">
        <v>13</v>
      </c>
      <c r="F243" s="224">
        <v>35</v>
      </c>
      <c r="G243" s="224">
        <v>0.27083333333333331</v>
      </c>
      <c r="H243" s="224">
        <v>0.72916666666666674</v>
      </c>
      <c r="I243" s="304" t="s">
        <v>110</v>
      </c>
      <c r="J243" s="29">
        <v>1</v>
      </c>
      <c r="K243" s="9">
        <v>1</v>
      </c>
      <c r="L243" s="9">
        <v>1</v>
      </c>
      <c r="M243" s="9">
        <v>2</v>
      </c>
      <c r="N243" s="43">
        <v>2</v>
      </c>
      <c r="O243" s="260">
        <f t="shared" si="4"/>
        <v>0.35859414261160716</v>
      </c>
      <c r="P243" s="163" t="s">
        <v>111</v>
      </c>
      <c r="Q243" s="224">
        <v>2021</v>
      </c>
      <c r="R243" s="224">
        <v>2057</v>
      </c>
      <c r="S243" s="224" t="s">
        <v>88</v>
      </c>
      <c r="T243" s="224">
        <v>117</v>
      </c>
      <c r="U243" s="224">
        <v>353</v>
      </c>
      <c r="V243" s="224">
        <v>1821</v>
      </c>
      <c r="W243" s="224">
        <v>0.16237350505979761</v>
      </c>
      <c r="X243" s="224">
        <v>0.83762649494020236</v>
      </c>
      <c r="Y243" s="100" t="s">
        <v>126</v>
      </c>
      <c r="Z243" s="29">
        <v>1</v>
      </c>
      <c r="AA243" s="9">
        <v>1</v>
      </c>
      <c r="AB243" s="9">
        <v>1</v>
      </c>
      <c r="AC243" s="9">
        <v>2</v>
      </c>
      <c r="AD243" s="43">
        <v>2</v>
      </c>
      <c r="AE243" s="55">
        <v>0.35859414261160716</v>
      </c>
      <c r="AF243" s="52" t="s">
        <v>111</v>
      </c>
    </row>
    <row r="244" spans="1:32">
      <c r="A244" s="224">
        <v>2013</v>
      </c>
      <c r="B244" s="224">
        <v>191</v>
      </c>
      <c r="C244" s="224" t="s">
        <v>89</v>
      </c>
      <c r="D244" s="224">
        <v>37</v>
      </c>
      <c r="E244" s="224">
        <v>172</v>
      </c>
      <c r="F244" s="224">
        <v>56</v>
      </c>
      <c r="G244" s="224">
        <v>0.75438596491228072</v>
      </c>
      <c r="H244" s="224">
        <v>0.24561403508771931</v>
      </c>
      <c r="I244" s="304" t="s">
        <v>110</v>
      </c>
      <c r="J244" s="29">
        <v>1</v>
      </c>
      <c r="K244" s="9">
        <v>1</v>
      </c>
      <c r="L244" s="9">
        <v>1</v>
      </c>
      <c r="M244" s="9">
        <v>2</v>
      </c>
      <c r="N244" s="43">
        <v>2</v>
      </c>
      <c r="O244" s="260">
        <f t="shared" si="4"/>
        <v>0.35859414261160716</v>
      </c>
      <c r="P244" s="163" t="s">
        <v>111</v>
      </c>
      <c r="Q244" s="224">
        <v>2021</v>
      </c>
      <c r="R244" s="224">
        <v>1923</v>
      </c>
      <c r="S244" s="224" t="s">
        <v>89</v>
      </c>
      <c r="T244" s="224">
        <v>180</v>
      </c>
      <c r="U244" s="224">
        <v>78</v>
      </c>
      <c r="V244" s="224">
        <v>2025</v>
      </c>
      <c r="W244" s="224">
        <v>3.7089871611982878E-2</v>
      </c>
      <c r="X244" s="224">
        <v>0.96291012838801715</v>
      </c>
      <c r="Y244" s="100" t="s">
        <v>126</v>
      </c>
      <c r="Z244" s="29">
        <v>1</v>
      </c>
      <c r="AA244" s="9">
        <v>1</v>
      </c>
      <c r="AB244" s="9">
        <v>1</v>
      </c>
      <c r="AC244" s="9">
        <v>2</v>
      </c>
      <c r="AD244" s="43">
        <v>2</v>
      </c>
      <c r="AE244" s="55">
        <v>0.35859414261160716</v>
      </c>
      <c r="AF244" s="52" t="s">
        <v>111</v>
      </c>
    </row>
    <row r="245" spans="1:32">
      <c r="A245" s="224">
        <v>2013</v>
      </c>
      <c r="B245" s="224">
        <v>610</v>
      </c>
      <c r="C245" s="224" t="s">
        <v>90</v>
      </c>
      <c r="D245" s="224">
        <v>164</v>
      </c>
      <c r="E245" s="224">
        <v>684</v>
      </c>
      <c r="F245" s="224">
        <v>90</v>
      </c>
      <c r="G245" s="224">
        <v>0.88372093023255816</v>
      </c>
      <c r="H245" s="224">
        <v>0.1162790697674418</v>
      </c>
      <c r="I245" s="304" t="s">
        <v>110</v>
      </c>
      <c r="J245" s="29">
        <v>1</v>
      </c>
      <c r="K245" s="9">
        <v>1</v>
      </c>
      <c r="L245" s="9">
        <v>1</v>
      </c>
      <c r="M245" s="9">
        <v>2</v>
      </c>
      <c r="N245" s="43">
        <v>2</v>
      </c>
      <c r="O245" s="260">
        <f t="shared" si="4"/>
        <v>0.35859414261160716</v>
      </c>
      <c r="P245" s="163" t="s">
        <v>111</v>
      </c>
      <c r="Q245" s="224">
        <v>2021</v>
      </c>
      <c r="R245" s="224">
        <v>7971</v>
      </c>
      <c r="S245" s="224" t="s">
        <v>90</v>
      </c>
      <c r="T245" s="224">
        <v>508</v>
      </c>
      <c r="U245" s="224">
        <v>1465</v>
      </c>
      <c r="V245" s="224">
        <v>7014</v>
      </c>
      <c r="W245" s="224">
        <v>0.17277980893973349</v>
      </c>
      <c r="X245" s="224">
        <v>0.82722019106026656</v>
      </c>
      <c r="Y245" s="100" t="s">
        <v>126</v>
      </c>
      <c r="Z245" s="29">
        <v>1</v>
      </c>
      <c r="AA245" s="9">
        <v>1</v>
      </c>
      <c r="AB245" s="9">
        <v>1</v>
      </c>
      <c r="AC245" s="9">
        <v>2</v>
      </c>
      <c r="AD245" s="43">
        <v>2</v>
      </c>
      <c r="AE245" s="55">
        <v>0.35859414261160716</v>
      </c>
      <c r="AF245" s="52" t="s">
        <v>111</v>
      </c>
    </row>
    <row r="246" spans="1:32">
      <c r="A246" s="224">
        <v>2013</v>
      </c>
      <c r="B246" s="224">
        <v>343</v>
      </c>
      <c r="C246" s="224" t="s">
        <v>91</v>
      </c>
      <c r="D246" s="224">
        <v>40</v>
      </c>
      <c r="E246" s="224">
        <v>383</v>
      </c>
      <c r="F246" s="224">
        <v>0</v>
      </c>
      <c r="G246" s="224">
        <v>1</v>
      </c>
      <c r="H246" s="224">
        <v>0</v>
      </c>
      <c r="I246" s="304" t="s">
        <v>110</v>
      </c>
      <c r="J246" s="29">
        <v>1</v>
      </c>
      <c r="K246" s="9">
        <v>1</v>
      </c>
      <c r="L246" s="9">
        <v>1</v>
      </c>
      <c r="M246" s="9">
        <v>2</v>
      </c>
      <c r="N246" s="43">
        <v>2</v>
      </c>
      <c r="O246" s="260">
        <f t="shared" si="4"/>
        <v>0.35859414261160716</v>
      </c>
      <c r="P246" s="163" t="s">
        <v>111</v>
      </c>
      <c r="Q246" s="224">
        <v>2021</v>
      </c>
      <c r="R246" s="224">
        <v>2802</v>
      </c>
      <c r="S246" s="224" t="s">
        <v>91</v>
      </c>
      <c r="T246" s="224">
        <v>824</v>
      </c>
      <c r="U246" s="224">
        <v>469</v>
      </c>
      <c r="V246" s="224">
        <v>3157</v>
      </c>
      <c r="W246" s="224">
        <v>0.12934362934362931</v>
      </c>
      <c r="X246" s="224">
        <v>0.87065637065637069</v>
      </c>
      <c r="Y246" s="100" t="s">
        <v>126</v>
      </c>
      <c r="Z246" s="29">
        <v>1</v>
      </c>
      <c r="AA246" s="9">
        <v>1</v>
      </c>
      <c r="AB246" s="9">
        <v>1</v>
      </c>
      <c r="AC246" s="9">
        <v>2</v>
      </c>
      <c r="AD246" s="43">
        <v>2</v>
      </c>
      <c r="AE246" s="55">
        <v>0.35859414261160716</v>
      </c>
      <c r="AF246" s="52" t="s">
        <v>111</v>
      </c>
    </row>
    <row r="247" spans="1:32">
      <c r="A247" s="224">
        <v>2013</v>
      </c>
      <c r="B247" s="224">
        <v>156</v>
      </c>
      <c r="C247" s="224" t="s">
        <v>94</v>
      </c>
      <c r="D247" s="224">
        <v>15</v>
      </c>
      <c r="E247" s="224">
        <v>171</v>
      </c>
      <c r="F247" s="224">
        <v>0</v>
      </c>
      <c r="G247" s="224">
        <v>1</v>
      </c>
      <c r="H247" s="224">
        <v>0</v>
      </c>
      <c r="I247" s="304" t="s">
        <v>110</v>
      </c>
      <c r="J247" s="29">
        <v>1</v>
      </c>
      <c r="K247" s="9">
        <v>1</v>
      </c>
      <c r="L247" s="9">
        <v>1</v>
      </c>
      <c r="M247" s="9">
        <v>2</v>
      </c>
      <c r="N247" s="43">
        <v>2</v>
      </c>
      <c r="O247" s="260">
        <f t="shared" si="4"/>
        <v>0.35859414261160716</v>
      </c>
      <c r="P247" s="163" t="s">
        <v>111</v>
      </c>
      <c r="Q247" s="224">
        <v>2021</v>
      </c>
      <c r="R247" s="224">
        <v>710</v>
      </c>
      <c r="S247" s="224" t="s">
        <v>94</v>
      </c>
      <c r="T247" s="224">
        <v>228</v>
      </c>
      <c r="U247" s="224">
        <v>267</v>
      </c>
      <c r="V247" s="224">
        <v>671</v>
      </c>
      <c r="W247" s="224">
        <v>0.28464818763326227</v>
      </c>
      <c r="X247" s="224">
        <v>0.71535181236673773</v>
      </c>
      <c r="Y247" s="100" t="s">
        <v>126</v>
      </c>
      <c r="Z247" s="29">
        <v>1</v>
      </c>
      <c r="AA247" s="9">
        <v>1</v>
      </c>
      <c r="AB247" s="9">
        <v>1</v>
      </c>
      <c r="AC247" s="9">
        <v>2</v>
      </c>
      <c r="AD247" s="43">
        <v>2</v>
      </c>
      <c r="AE247" s="55">
        <v>0.35859414261160716</v>
      </c>
      <c r="AF247" s="52" t="s">
        <v>111</v>
      </c>
    </row>
    <row r="248" spans="1:32">
      <c r="A248" s="224">
        <v>2013</v>
      </c>
      <c r="B248" s="224">
        <v>337</v>
      </c>
      <c r="C248" s="224" t="s">
        <v>96</v>
      </c>
      <c r="D248" s="224">
        <v>42</v>
      </c>
      <c r="E248" s="224">
        <v>233</v>
      </c>
      <c r="F248" s="224">
        <v>146</v>
      </c>
      <c r="G248" s="224">
        <v>0.61477572559366755</v>
      </c>
      <c r="H248" s="224">
        <v>0.38522427440633239</v>
      </c>
      <c r="I248" s="304" t="s">
        <v>110</v>
      </c>
      <c r="J248" s="29">
        <v>1</v>
      </c>
      <c r="K248" s="9">
        <v>1</v>
      </c>
      <c r="L248" s="9">
        <v>1</v>
      </c>
      <c r="M248" s="9">
        <v>2</v>
      </c>
      <c r="N248" s="43">
        <v>2</v>
      </c>
      <c r="O248" s="260">
        <f t="shared" si="4"/>
        <v>0.35859414261160716</v>
      </c>
      <c r="P248" s="163" t="s">
        <v>111</v>
      </c>
      <c r="Q248" s="224">
        <v>2021</v>
      </c>
      <c r="R248" s="224">
        <v>1323</v>
      </c>
      <c r="S248" s="224" t="s">
        <v>96</v>
      </c>
      <c r="T248" s="224">
        <v>103</v>
      </c>
      <c r="U248" s="224">
        <v>280</v>
      </c>
      <c r="V248" s="224">
        <v>1146</v>
      </c>
      <c r="W248" s="224">
        <v>0.19635343618513321</v>
      </c>
      <c r="X248" s="224">
        <v>0.80364656381486677</v>
      </c>
      <c r="Y248" s="100" t="s">
        <v>126</v>
      </c>
      <c r="Z248" s="29">
        <v>1</v>
      </c>
      <c r="AA248" s="9">
        <v>1</v>
      </c>
      <c r="AB248" s="9">
        <v>1</v>
      </c>
      <c r="AC248" s="9">
        <v>2</v>
      </c>
      <c r="AD248" s="43">
        <v>2</v>
      </c>
      <c r="AE248" s="55">
        <v>0.35859414261160716</v>
      </c>
      <c r="AF248" s="52" t="s">
        <v>111</v>
      </c>
    </row>
    <row r="249" spans="1:32">
      <c r="A249" s="224">
        <v>2013</v>
      </c>
      <c r="B249" s="224">
        <v>246</v>
      </c>
      <c r="C249" s="224" t="s">
        <v>97</v>
      </c>
      <c r="D249" s="224">
        <v>176</v>
      </c>
      <c r="E249" s="224">
        <v>321</v>
      </c>
      <c r="F249" s="224">
        <v>101</v>
      </c>
      <c r="G249" s="224">
        <v>0.76066350710900477</v>
      </c>
      <c r="H249" s="224">
        <v>0.23933649289099521</v>
      </c>
      <c r="I249" s="304" t="s">
        <v>110</v>
      </c>
      <c r="J249" s="29">
        <v>1</v>
      </c>
      <c r="K249" s="9">
        <v>1</v>
      </c>
      <c r="L249" s="9">
        <v>1</v>
      </c>
      <c r="M249" s="9">
        <v>2</v>
      </c>
      <c r="N249" s="43">
        <v>2</v>
      </c>
      <c r="O249" s="260">
        <f t="shared" si="4"/>
        <v>0.35859414261160716</v>
      </c>
      <c r="P249" s="163" t="s">
        <v>111</v>
      </c>
      <c r="Q249" s="224">
        <v>2021</v>
      </c>
      <c r="R249" s="224">
        <v>2546</v>
      </c>
      <c r="S249" s="224" t="s">
        <v>97</v>
      </c>
      <c r="T249" s="224">
        <v>408</v>
      </c>
      <c r="U249" s="224">
        <v>1133</v>
      </c>
      <c r="V249" s="224">
        <v>1821</v>
      </c>
      <c r="W249" s="224">
        <v>0.38354773188896413</v>
      </c>
      <c r="X249" s="224">
        <v>0.61645226811103582</v>
      </c>
      <c r="Y249" s="100" t="s">
        <v>126</v>
      </c>
      <c r="Z249" s="29">
        <v>1</v>
      </c>
      <c r="AA249" s="9">
        <v>1</v>
      </c>
      <c r="AB249" s="9">
        <v>1</v>
      </c>
      <c r="AC249" s="9">
        <v>2</v>
      </c>
      <c r="AD249" s="43">
        <v>2</v>
      </c>
      <c r="AE249" s="55">
        <v>0.35859414261160716</v>
      </c>
      <c r="AF249" s="52" t="s">
        <v>111</v>
      </c>
    </row>
    <row r="250" spans="1:32">
      <c r="A250" s="224">
        <v>2013</v>
      </c>
      <c r="B250" s="224">
        <v>248</v>
      </c>
      <c r="C250" s="224" t="s">
        <v>95</v>
      </c>
      <c r="D250" s="224">
        <v>54</v>
      </c>
      <c r="E250" s="224">
        <v>302</v>
      </c>
      <c r="F250" s="224">
        <v>0</v>
      </c>
      <c r="G250" s="224">
        <v>1</v>
      </c>
      <c r="H250" s="224">
        <v>0</v>
      </c>
      <c r="I250" s="304" t="s">
        <v>110</v>
      </c>
      <c r="J250" s="29">
        <v>1</v>
      </c>
      <c r="K250" s="9">
        <v>1</v>
      </c>
      <c r="L250" s="9">
        <v>1</v>
      </c>
      <c r="M250" s="9">
        <v>2</v>
      </c>
      <c r="N250" s="43">
        <v>2</v>
      </c>
      <c r="O250" s="260">
        <f t="shared" si="4"/>
        <v>0.35859414261160716</v>
      </c>
      <c r="P250" s="163" t="s">
        <v>111</v>
      </c>
      <c r="Q250" s="224">
        <v>2021</v>
      </c>
      <c r="R250" s="224">
        <v>2149</v>
      </c>
      <c r="S250" s="224" t="s">
        <v>95</v>
      </c>
      <c r="T250" s="224">
        <v>317</v>
      </c>
      <c r="U250" s="224">
        <v>669</v>
      </c>
      <c r="V250" s="224">
        <v>1797</v>
      </c>
      <c r="W250" s="224">
        <v>0.27128953771289538</v>
      </c>
      <c r="X250" s="224">
        <v>0.72871046228710457</v>
      </c>
      <c r="Y250" s="100" t="s">
        <v>126</v>
      </c>
      <c r="Z250" s="29">
        <v>1</v>
      </c>
      <c r="AA250" s="9">
        <v>1</v>
      </c>
      <c r="AB250" s="9">
        <v>1</v>
      </c>
      <c r="AC250" s="9">
        <v>2</v>
      </c>
      <c r="AD250" s="43">
        <v>2</v>
      </c>
      <c r="AE250" s="55">
        <v>0.35859414261160716</v>
      </c>
      <c r="AF250" s="52" t="s">
        <v>111</v>
      </c>
    </row>
    <row r="251" spans="1:32">
      <c r="A251" s="224">
        <v>2013</v>
      </c>
      <c r="B251" s="224">
        <v>120</v>
      </c>
      <c r="C251" s="224" t="s">
        <v>93</v>
      </c>
      <c r="D251" s="224">
        <v>26</v>
      </c>
      <c r="E251" s="224">
        <v>88</v>
      </c>
      <c r="F251" s="224">
        <v>58</v>
      </c>
      <c r="G251" s="224">
        <v>0.60273972602739723</v>
      </c>
      <c r="H251" s="224">
        <v>0.39726027397260277</v>
      </c>
      <c r="I251" s="304" t="s">
        <v>110</v>
      </c>
      <c r="J251" s="29">
        <v>1</v>
      </c>
      <c r="K251" s="9">
        <v>1</v>
      </c>
      <c r="L251" s="9">
        <v>1</v>
      </c>
      <c r="M251" s="9">
        <v>2</v>
      </c>
      <c r="N251" s="43">
        <v>2</v>
      </c>
      <c r="O251" s="260">
        <f t="shared" si="4"/>
        <v>0.35859414261160716</v>
      </c>
      <c r="P251" s="163" t="s">
        <v>111</v>
      </c>
      <c r="Q251" s="224">
        <v>2021</v>
      </c>
      <c r="R251" s="224">
        <v>3554</v>
      </c>
      <c r="S251" s="224" t="s">
        <v>93</v>
      </c>
      <c r="T251" s="224">
        <v>72</v>
      </c>
      <c r="U251" s="224">
        <v>494</v>
      </c>
      <c r="V251" s="224">
        <v>3132</v>
      </c>
      <c r="W251" s="224">
        <v>0.13623827909542199</v>
      </c>
      <c r="X251" s="224">
        <v>0.86376172090457803</v>
      </c>
      <c r="Y251" s="100" t="s">
        <v>126</v>
      </c>
      <c r="Z251" s="29">
        <v>1</v>
      </c>
      <c r="AA251" s="9">
        <v>1</v>
      </c>
      <c r="AB251" s="9">
        <v>1</v>
      </c>
      <c r="AC251" s="9">
        <v>2</v>
      </c>
      <c r="AD251" s="43">
        <v>2</v>
      </c>
      <c r="AE251" s="55">
        <v>0.35859414261160716</v>
      </c>
      <c r="AF251" s="52" t="s">
        <v>111</v>
      </c>
    </row>
    <row r="252" spans="1:32">
      <c r="A252" s="224">
        <v>2013</v>
      </c>
      <c r="B252" s="224">
        <v>2021</v>
      </c>
      <c r="C252" s="224" t="s">
        <v>98</v>
      </c>
      <c r="D252" s="224">
        <v>1210</v>
      </c>
      <c r="E252" s="224">
        <v>3231</v>
      </c>
      <c r="F252" s="224">
        <v>0</v>
      </c>
      <c r="G252" s="224">
        <v>1</v>
      </c>
      <c r="H252" s="224">
        <v>0</v>
      </c>
      <c r="I252" s="304" t="s">
        <v>110</v>
      </c>
      <c r="J252" s="29">
        <v>1</v>
      </c>
      <c r="K252" s="9">
        <v>1</v>
      </c>
      <c r="L252" s="9">
        <v>1</v>
      </c>
      <c r="M252" s="9">
        <v>2</v>
      </c>
      <c r="N252" s="43">
        <v>2</v>
      </c>
      <c r="O252" s="260">
        <f t="shared" si="4"/>
        <v>0.35859414261160716</v>
      </c>
      <c r="P252" s="163" t="s">
        <v>111</v>
      </c>
      <c r="Q252" s="224">
        <v>2021</v>
      </c>
      <c r="R252" s="224">
        <v>15065</v>
      </c>
      <c r="S252" s="224" t="s">
        <v>98</v>
      </c>
      <c r="T252" s="224">
        <v>1687</v>
      </c>
      <c r="U252" s="224">
        <v>5812</v>
      </c>
      <c r="V252" s="224">
        <v>10940</v>
      </c>
      <c r="W252" s="224">
        <v>0.34694364851957982</v>
      </c>
      <c r="X252" s="224">
        <v>0.65305635148042018</v>
      </c>
      <c r="Y252" s="100" t="s">
        <v>126</v>
      </c>
      <c r="Z252" s="29">
        <v>1</v>
      </c>
      <c r="AA252" s="9">
        <v>1</v>
      </c>
      <c r="AB252" s="9">
        <v>1</v>
      </c>
      <c r="AC252" s="9">
        <v>2</v>
      </c>
      <c r="AD252" s="43">
        <v>2</v>
      </c>
      <c r="AE252" s="55">
        <v>0.35859414261160716</v>
      </c>
      <c r="AF252" s="52" t="s">
        <v>111</v>
      </c>
    </row>
    <row r="253" spans="1:32">
      <c r="A253" s="224">
        <v>2014</v>
      </c>
      <c r="B253" s="224">
        <v>1317</v>
      </c>
      <c r="C253" s="224" t="s">
        <v>85</v>
      </c>
      <c r="D253" s="224">
        <v>1013</v>
      </c>
      <c r="E253" s="224">
        <v>1768</v>
      </c>
      <c r="F253" s="224">
        <v>562</v>
      </c>
      <c r="G253" s="224">
        <v>0.75879828326180254</v>
      </c>
      <c r="H253" s="224">
        <v>0.24120171673819751</v>
      </c>
      <c r="I253" s="304" t="s">
        <v>110</v>
      </c>
      <c r="J253" s="29">
        <v>1</v>
      </c>
      <c r="K253" s="9">
        <v>1</v>
      </c>
      <c r="L253" s="9">
        <v>1</v>
      </c>
      <c r="M253" s="9">
        <v>2</v>
      </c>
      <c r="N253" s="43">
        <v>2</v>
      </c>
      <c r="O253" s="260">
        <f t="shared" si="4"/>
        <v>0.35859414261160716</v>
      </c>
      <c r="P253" s="163" t="s">
        <v>111</v>
      </c>
    </row>
    <row r="254" spans="1:32">
      <c r="A254" s="224">
        <v>2014</v>
      </c>
      <c r="B254" s="224">
        <v>290</v>
      </c>
      <c r="C254" s="224" t="s">
        <v>86</v>
      </c>
      <c r="D254" s="224">
        <v>192</v>
      </c>
      <c r="E254" s="224">
        <v>407</v>
      </c>
      <c r="F254" s="224">
        <v>75</v>
      </c>
      <c r="G254" s="224">
        <v>0.84439834024896265</v>
      </c>
      <c r="H254" s="224">
        <v>0.15560165975103729</v>
      </c>
      <c r="I254" s="304" t="s">
        <v>110</v>
      </c>
      <c r="J254" s="29">
        <v>1</v>
      </c>
      <c r="K254" s="9">
        <v>1</v>
      </c>
      <c r="L254" s="9">
        <v>1</v>
      </c>
      <c r="M254" s="9">
        <v>2</v>
      </c>
      <c r="N254" s="43">
        <v>2</v>
      </c>
      <c r="O254" s="260">
        <f t="shared" si="4"/>
        <v>0.35859414261160716</v>
      </c>
      <c r="P254" s="163" t="s">
        <v>111</v>
      </c>
    </row>
    <row r="255" spans="1:32">
      <c r="A255" s="224">
        <v>2014</v>
      </c>
      <c r="B255" s="224">
        <v>852</v>
      </c>
      <c r="C255" s="224" t="s">
        <v>87</v>
      </c>
      <c r="D255" s="224">
        <v>207</v>
      </c>
      <c r="E255" s="224">
        <v>239</v>
      </c>
      <c r="F255" s="224">
        <v>820</v>
      </c>
      <c r="G255" s="224">
        <v>0.22568460812086871</v>
      </c>
      <c r="H255" s="224">
        <v>0.77431539187913123</v>
      </c>
      <c r="I255" s="304" t="s">
        <v>110</v>
      </c>
      <c r="J255" s="29">
        <v>1</v>
      </c>
      <c r="K255" s="9">
        <v>1</v>
      </c>
      <c r="L255" s="9">
        <v>1</v>
      </c>
      <c r="M255" s="9">
        <v>2</v>
      </c>
      <c r="N255" s="43">
        <v>2</v>
      </c>
      <c r="O255" s="260">
        <f t="shared" si="4"/>
        <v>0.35859414261160716</v>
      </c>
      <c r="P255" s="163" t="s">
        <v>111</v>
      </c>
    </row>
    <row r="256" spans="1:32">
      <c r="A256" s="224">
        <v>2014</v>
      </c>
      <c r="B256" s="224">
        <v>4</v>
      </c>
      <c r="C256" s="224" t="s">
        <v>88</v>
      </c>
      <c r="D256" s="224">
        <v>47</v>
      </c>
      <c r="E256" s="224">
        <v>13</v>
      </c>
      <c r="F256" s="224">
        <v>38</v>
      </c>
      <c r="G256" s="224">
        <v>0.25490196078431371</v>
      </c>
      <c r="H256" s="224">
        <v>0.74509803921568629</v>
      </c>
      <c r="I256" s="304" t="s">
        <v>110</v>
      </c>
      <c r="J256" s="29">
        <v>1</v>
      </c>
      <c r="K256" s="9">
        <v>1</v>
      </c>
      <c r="L256" s="9">
        <v>1</v>
      </c>
      <c r="M256" s="9">
        <v>2</v>
      </c>
      <c r="N256" s="43">
        <v>2</v>
      </c>
      <c r="O256" s="260">
        <f t="shared" si="4"/>
        <v>0.35859414261160716</v>
      </c>
      <c r="P256" s="163" t="s">
        <v>111</v>
      </c>
    </row>
    <row r="257" spans="1:16">
      <c r="A257" s="224">
        <v>2014</v>
      </c>
      <c r="B257" s="224">
        <v>191</v>
      </c>
      <c r="C257" s="224" t="s">
        <v>89</v>
      </c>
      <c r="D257" s="224">
        <v>43</v>
      </c>
      <c r="E257" s="224">
        <v>218</v>
      </c>
      <c r="F257" s="224">
        <v>16</v>
      </c>
      <c r="G257" s="224">
        <v>0.93162393162393164</v>
      </c>
      <c r="H257" s="224">
        <v>6.8376068376068355E-2</v>
      </c>
      <c r="I257" s="304" t="s">
        <v>110</v>
      </c>
      <c r="J257" s="29">
        <v>1</v>
      </c>
      <c r="K257" s="9">
        <v>1</v>
      </c>
      <c r="L257" s="9">
        <v>1</v>
      </c>
      <c r="M257" s="9">
        <v>2</v>
      </c>
      <c r="N257" s="43">
        <v>2</v>
      </c>
      <c r="O257" s="260">
        <f t="shared" si="4"/>
        <v>0.35859414261160716</v>
      </c>
      <c r="P257" s="163" t="s">
        <v>111</v>
      </c>
    </row>
    <row r="258" spans="1:16">
      <c r="A258" s="224">
        <v>2014</v>
      </c>
      <c r="B258" s="224">
        <v>610</v>
      </c>
      <c r="C258" s="224" t="s">
        <v>90</v>
      </c>
      <c r="D258" s="224">
        <v>142</v>
      </c>
      <c r="E258" s="224">
        <v>647</v>
      </c>
      <c r="F258" s="224">
        <v>105</v>
      </c>
      <c r="G258" s="224">
        <v>0.8603723404255319</v>
      </c>
      <c r="H258" s="224">
        <v>0.1396276595744681</v>
      </c>
      <c r="I258" s="304" t="s">
        <v>110</v>
      </c>
      <c r="J258" s="29">
        <v>1</v>
      </c>
      <c r="K258" s="9">
        <v>1</v>
      </c>
      <c r="L258" s="9">
        <v>1</v>
      </c>
      <c r="M258" s="9">
        <v>2</v>
      </c>
      <c r="N258" s="43">
        <v>2</v>
      </c>
      <c r="O258" s="260">
        <f t="shared" si="4"/>
        <v>0.35859414261160716</v>
      </c>
      <c r="P258" s="163" t="s">
        <v>111</v>
      </c>
    </row>
    <row r="259" spans="1:16">
      <c r="A259" s="224">
        <v>2014</v>
      </c>
      <c r="B259" s="224">
        <v>359</v>
      </c>
      <c r="C259" s="224" t="s">
        <v>91</v>
      </c>
      <c r="D259" s="224">
        <v>64</v>
      </c>
      <c r="E259" s="224">
        <v>423</v>
      </c>
      <c r="F259" s="224">
        <v>0</v>
      </c>
      <c r="G259" s="224">
        <v>1</v>
      </c>
      <c r="H259" s="224">
        <v>0</v>
      </c>
      <c r="I259" s="304" t="s">
        <v>110</v>
      </c>
      <c r="J259" s="29">
        <v>1</v>
      </c>
      <c r="K259" s="9">
        <v>1</v>
      </c>
      <c r="L259" s="9">
        <v>1</v>
      </c>
      <c r="M259" s="9">
        <v>2</v>
      </c>
      <c r="N259" s="43">
        <v>2</v>
      </c>
      <c r="O259" s="260">
        <f t="shared" si="4"/>
        <v>0.35859414261160716</v>
      </c>
      <c r="P259" s="163" t="s">
        <v>111</v>
      </c>
    </row>
    <row r="260" spans="1:16">
      <c r="A260" s="224">
        <v>2014</v>
      </c>
      <c r="B260" s="224">
        <v>137</v>
      </c>
      <c r="C260" s="224" t="s">
        <v>94</v>
      </c>
      <c r="D260" s="224">
        <v>18</v>
      </c>
      <c r="E260" s="224">
        <v>155</v>
      </c>
      <c r="F260" s="224">
        <v>0</v>
      </c>
      <c r="G260" s="224">
        <v>1</v>
      </c>
      <c r="H260" s="224">
        <v>0</v>
      </c>
      <c r="I260" s="304" t="s">
        <v>110</v>
      </c>
      <c r="J260" s="29">
        <v>1</v>
      </c>
      <c r="K260" s="9">
        <v>1</v>
      </c>
      <c r="L260" s="9">
        <v>1</v>
      </c>
      <c r="M260" s="9">
        <v>2</v>
      </c>
      <c r="N260" s="43">
        <v>2</v>
      </c>
      <c r="O260" s="260">
        <f t="shared" si="4"/>
        <v>0.35859414261160716</v>
      </c>
      <c r="P260" s="163" t="s">
        <v>111</v>
      </c>
    </row>
    <row r="261" spans="1:16">
      <c r="A261" s="224">
        <v>2014</v>
      </c>
      <c r="B261" s="224">
        <v>337</v>
      </c>
      <c r="C261" s="224" t="s">
        <v>96</v>
      </c>
      <c r="D261" s="224">
        <v>39</v>
      </c>
      <c r="E261" s="224">
        <v>237</v>
      </c>
      <c r="F261" s="224">
        <v>139</v>
      </c>
      <c r="G261" s="224">
        <v>0.63031914893617025</v>
      </c>
      <c r="H261" s="224">
        <v>0.36968085106382981</v>
      </c>
      <c r="I261" s="304" t="s">
        <v>110</v>
      </c>
      <c r="J261" s="29">
        <v>1</v>
      </c>
      <c r="K261" s="9">
        <v>1</v>
      </c>
      <c r="L261" s="9">
        <v>1</v>
      </c>
      <c r="M261" s="9">
        <v>2</v>
      </c>
      <c r="N261" s="43">
        <v>2</v>
      </c>
      <c r="O261" s="260">
        <f t="shared" si="4"/>
        <v>0.35859414261160716</v>
      </c>
      <c r="P261" s="163" t="s">
        <v>111</v>
      </c>
    </row>
    <row r="262" spans="1:16">
      <c r="A262" s="224">
        <v>2014</v>
      </c>
      <c r="B262" s="224">
        <v>249</v>
      </c>
      <c r="C262" s="224" t="s">
        <v>97</v>
      </c>
      <c r="D262" s="224">
        <v>204</v>
      </c>
      <c r="E262" s="224">
        <v>336</v>
      </c>
      <c r="F262" s="224">
        <v>117</v>
      </c>
      <c r="G262" s="224">
        <v>0.74172185430463577</v>
      </c>
      <c r="H262" s="224">
        <v>0.25827814569536423</v>
      </c>
      <c r="I262" s="304" t="s">
        <v>110</v>
      </c>
      <c r="J262" s="29">
        <v>1</v>
      </c>
      <c r="K262" s="9">
        <v>1</v>
      </c>
      <c r="L262" s="9">
        <v>1</v>
      </c>
      <c r="M262" s="9">
        <v>2</v>
      </c>
      <c r="N262" s="43">
        <v>2</v>
      </c>
      <c r="O262" s="260">
        <f t="shared" si="4"/>
        <v>0.35859414261160716</v>
      </c>
      <c r="P262" s="163" t="s">
        <v>111</v>
      </c>
    </row>
    <row r="263" spans="1:16">
      <c r="A263" s="224">
        <v>2014</v>
      </c>
      <c r="B263" s="224">
        <v>254</v>
      </c>
      <c r="C263" s="224" t="s">
        <v>95</v>
      </c>
      <c r="D263" s="224">
        <v>56</v>
      </c>
      <c r="E263" s="224">
        <v>310</v>
      </c>
      <c r="F263" s="224">
        <v>0</v>
      </c>
      <c r="G263" s="224">
        <v>1</v>
      </c>
      <c r="H263" s="224">
        <v>0</v>
      </c>
      <c r="I263" s="304" t="s">
        <v>110</v>
      </c>
      <c r="J263" s="29">
        <v>1</v>
      </c>
      <c r="K263" s="9">
        <v>1</v>
      </c>
      <c r="L263" s="9">
        <v>1</v>
      </c>
      <c r="M263" s="9">
        <v>2</v>
      </c>
      <c r="N263" s="43">
        <v>2</v>
      </c>
      <c r="O263" s="260">
        <f t="shared" ref="O263:O326" si="5">IF( OR( ISBLANK(J263),ISBLANK(K263), ISBLANK(L263), ISBLANK(M263), ISBLANK(N263) ), "", 1.5*SQRT(   EXP(2.21*(J263-1)) + EXP(2.21*(K263-1)) + EXP(2.21*(L263-1)) + EXP(2.21*(M263-1)) + EXP(2.21*N263)   )/100*2.45 )</f>
        <v>0.35859414261160716</v>
      </c>
      <c r="P263" s="163" t="s">
        <v>111</v>
      </c>
    </row>
    <row r="264" spans="1:16">
      <c r="A264" s="224">
        <v>2014</v>
      </c>
      <c r="B264" s="224">
        <v>102</v>
      </c>
      <c r="C264" s="224" t="s">
        <v>93</v>
      </c>
      <c r="D264" s="224">
        <v>29</v>
      </c>
      <c r="E264" s="224">
        <v>108</v>
      </c>
      <c r="F264" s="224">
        <v>23</v>
      </c>
      <c r="G264" s="224">
        <v>0.82442748091603058</v>
      </c>
      <c r="H264" s="224">
        <v>0.1755725190839694</v>
      </c>
      <c r="I264" s="304" t="s">
        <v>110</v>
      </c>
      <c r="J264" s="29">
        <v>1</v>
      </c>
      <c r="K264" s="9">
        <v>1</v>
      </c>
      <c r="L264" s="9">
        <v>1</v>
      </c>
      <c r="M264" s="9">
        <v>2</v>
      </c>
      <c r="N264" s="43">
        <v>2</v>
      </c>
      <c r="O264" s="260">
        <f t="shared" si="5"/>
        <v>0.35859414261160716</v>
      </c>
      <c r="P264" s="163" t="s">
        <v>111</v>
      </c>
    </row>
    <row r="265" spans="1:16">
      <c r="A265" s="224">
        <v>2014</v>
      </c>
      <c r="B265" s="224">
        <v>2236</v>
      </c>
      <c r="C265" s="224" t="s">
        <v>98</v>
      </c>
      <c r="D265" s="224">
        <v>912</v>
      </c>
      <c r="E265" s="224">
        <v>3148</v>
      </c>
      <c r="F265" s="224">
        <v>0</v>
      </c>
      <c r="G265" s="224">
        <v>1</v>
      </c>
      <c r="H265" s="224">
        <v>0</v>
      </c>
      <c r="I265" s="304" t="s">
        <v>110</v>
      </c>
      <c r="J265" s="29">
        <v>1</v>
      </c>
      <c r="K265" s="9">
        <v>1</v>
      </c>
      <c r="L265" s="9">
        <v>1</v>
      </c>
      <c r="M265" s="9">
        <v>2</v>
      </c>
      <c r="N265" s="43">
        <v>2</v>
      </c>
      <c r="O265" s="260">
        <f t="shared" si="5"/>
        <v>0.35859414261160716</v>
      </c>
      <c r="P265" s="163" t="s">
        <v>111</v>
      </c>
    </row>
    <row r="266" spans="1:16">
      <c r="A266" s="224">
        <v>2015</v>
      </c>
      <c r="B266" s="224">
        <v>1455</v>
      </c>
      <c r="C266" s="224" t="s">
        <v>85</v>
      </c>
      <c r="D266" s="224">
        <v>1105</v>
      </c>
      <c r="E266" s="224">
        <v>1753</v>
      </c>
      <c r="F266" s="224">
        <v>807</v>
      </c>
      <c r="G266" s="224">
        <v>0.68476562500000004</v>
      </c>
      <c r="H266" s="224">
        <v>0.31523437500000001</v>
      </c>
      <c r="I266" s="304" t="s">
        <v>110</v>
      </c>
      <c r="J266" s="29">
        <v>1</v>
      </c>
      <c r="K266" s="9">
        <v>1</v>
      </c>
      <c r="L266" s="9">
        <v>1</v>
      </c>
      <c r="M266" s="9">
        <v>2</v>
      </c>
      <c r="N266" s="43">
        <v>2</v>
      </c>
      <c r="O266" s="260">
        <f t="shared" si="5"/>
        <v>0.35859414261160716</v>
      </c>
      <c r="P266" s="163" t="s">
        <v>111</v>
      </c>
    </row>
    <row r="267" spans="1:16">
      <c r="A267" s="224">
        <v>2015</v>
      </c>
      <c r="B267" s="224">
        <v>290</v>
      </c>
      <c r="C267" s="224" t="s">
        <v>86</v>
      </c>
      <c r="D267" s="224">
        <v>217</v>
      </c>
      <c r="E267" s="224">
        <v>403</v>
      </c>
      <c r="F267" s="224">
        <v>104</v>
      </c>
      <c r="G267" s="224">
        <v>0.79487179487179482</v>
      </c>
      <c r="H267" s="224">
        <v>0.2051282051282052</v>
      </c>
      <c r="I267" s="304" t="s">
        <v>110</v>
      </c>
      <c r="J267" s="29">
        <v>1</v>
      </c>
      <c r="K267" s="9">
        <v>1</v>
      </c>
      <c r="L267" s="9">
        <v>1</v>
      </c>
      <c r="M267" s="9">
        <v>2</v>
      </c>
      <c r="N267" s="43">
        <v>2</v>
      </c>
      <c r="O267" s="260">
        <f t="shared" si="5"/>
        <v>0.35859414261160716</v>
      </c>
      <c r="P267" s="163" t="s">
        <v>111</v>
      </c>
    </row>
    <row r="268" spans="1:16">
      <c r="A268" s="224">
        <v>2015</v>
      </c>
      <c r="B268" s="224">
        <v>852</v>
      </c>
      <c r="C268" s="224" t="s">
        <v>87</v>
      </c>
      <c r="D268" s="224">
        <v>247</v>
      </c>
      <c r="E268" s="224">
        <v>225</v>
      </c>
      <c r="F268" s="224">
        <v>874</v>
      </c>
      <c r="G268" s="224">
        <v>0.20473157415832571</v>
      </c>
      <c r="H268" s="224">
        <v>0.79526842584167423</v>
      </c>
      <c r="I268" s="304" t="s">
        <v>110</v>
      </c>
      <c r="J268" s="29">
        <v>1</v>
      </c>
      <c r="K268" s="9">
        <v>1</v>
      </c>
      <c r="L268" s="9">
        <v>1</v>
      </c>
      <c r="M268" s="9">
        <v>2</v>
      </c>
      <c r="N268" s="43">
        <v>2</v>
      </c>
      <c r="O268" s="260">
        <f t="shared" si="5"/>
        <v>0.35859414261160716</v>
      </c>
      <c r="P268" s="163" t="s">
        <v>111</v>
      </c>
    </row>
    <row r="269" spans="1:16">
      <c r="A269" s="224">
        <v>2015</v>
      </c>
      <c r="B269" s="224">
        <v>4</v>
      </c>
      <c r="C269" s="224" t="s">
        <v>88</v>
      </c>
      <c r="D269" s="224">
        <v>50</v>
      </c>
      <c r="E269" s="224">
        <v>22</v>
      </c>
      <c r="F269" s="224">
        <v>32</v>
      </c>
      <c r="G269" s="224">
        <v>0.40740740740740738</v>
      </c>
      <c r="H269" s="224">
        <v>0.59259259259259256</v>
      </c>
      <c r="I269" s="304" t="s">
        <v>110</v>
      </c>
      <c r="J269" s="29">
        <v>1</v>
      </c>
      <c r="K269" s="9">
        <v>1</v>
      </c>
      <c r="L269" s="9">
        <v>1</v>
      </c>
      <c r="M269" s="9">
        <v>2</v>
      </c>
      <c r="N269" s="43">
        <v>2</v>
      </c>
      <c r="O269" s="260">
        <f t="shared" si="5"/>
        <v>0.35859414261160716</v>
      </c>
      <c r="P269" s="163" t="s">
        <v>111</v>
      </c>
    </row>
    <row r="270" spans="1:16">
      <c r="A270" s="224">
        <v>2015</v>
      </c>
      <c r="B270" s="224">
        <v>191</v>
      </c>
      <c r="C270" s="224" t="s">
        <v>89</v>
      </c>
      <c r="D270" s="224">
        <v>46</v>
      </c>
      <c r="E270" s="224">
        <v>234</v>
      </c>
      <c r="F270" s="224">
        <v>3</v>
      </c>
      <c r="G270" s="224">
        <v>0.98734177215189878</v>
      </c>
      <c r="H270" s="224">
        <v>1.2658227848101221E-2</v>
      </c>
      <c r="I270" s="304" t="s">
        <v>110</v>
      </c>
      <c r="J270" s="29">
        <v>1</v>
      </c>
      <c r="K270" s="9">
        <v>1</v>
      </c>
      <c r="L270" s="9">
        <v>1</v>
      </c>
      <c r="M270" s="9">
        <v>2</v>
      </c>
      <c r="N270" s="43">
        <v>2</v>
      </c>
      <c r="O270" s="260">
        <f t="shared" si="5"/>
        <v>0.35859414261160716</v>
      </c>
      <c r="P270" s="163" t="s">
        <v>111</v>
      </c>
    </row>
    <row r="271" spans="1:16">
      <c r="A271" s="224">
        <v>2015</v>
      </c>
      <c r="B271" s="224">
        <v>610</v>
      </c>
      <c r="C271" s="224" t="s">
        <v>90</v>
      </c>
      <c r="D271" s="224">
        <v>163</v>
      </c>
      <c r="E271" s="224">
        <v>707</v>
      </c>
      <c r="F271" s="224">
        <v>66</v>
      </c>
      <c r="G271" s="224">
        <v>0.91461836998706336</v>
      </c>
      <c r="H271" s="224">
        <v>8.5381630012936638E-2</v>
      </c>
      <c r="I271" s="304" t="s">
        <v>110</v>
      </c>
      <c r="J271" s="29">
        <v>1</v>
      </c>
      <c r="K271" s="9">
        <v>1</v>
      </c>
      <c r="L271" s="9">
        <v>1</v>
      </c>
      <c r="M271" s="9">
        <v>2</v>
      </c>
      <c r="N271" s="43">
        <v>2</v>
      </c>
      <c r="O271" s="260">
        <f t="shared" si="5"/>
        <v>0.35859414261160716</v>
      </c>
      <c r="P271" s="163" t="s">
        <v>111</v>
      </c>
    </row>
    <row r="272" spans="1:16">
      <c r="A272" s="224">
        <v>2015</v>
      </c>
      <c r="B272" s="224">
        <v>421</v>
      </c>
      <c r="C272" s="224" t="s">
        <v>91</v>
      </c>
      <c r="D272" s="224">
        <v>76</v>
      </c>
      <c r="E272" s="224">
        <v>497</v>
      </c>
      <c r="F272" s="224">
        <v>0</v>
      </c>
      <c r="G272" s="224">
        <v>1</v>
      </c>
      <c r="H272" s="224">
        <v>0</v>
      </c>
      <c r="I272" s="304" t="s">
        <v>110</v>
      </c>
      <c r="J272" s="29">
        <v>1</v>
      </c>
      <c r="K272" s="9">
        <v>1</v>
      </c>
      <c r="L272" s="9">
        <v>1</v>
      </c>
      <c r="M272" s="9">
        <v>2</v>
      </c>
      <c r="N272" s="43">
        <v>2</v>
      </c>
      <c r="O272" s="260">
        <f t="shared" si="5"/>
        <v>0.35859414261160716</v>
      </c>
      <c r="P272" s="163" t="s">
        <v>111</v>
      </c>
    </row>
    <row r="273" spans="1:16">
      <c r="A273" s="224">
        <v>2015</v>
      </c>
      <c r="B273" s="224">
        <v>159</v>
      </c>
      <c r="C273" s="224" t="s">
        <v>94</v>
      </c>
      <c r="D273" s="224">
        <v>17</v>
      </c>
      <c r="E273" s="224">
        <v>176</v>
      </c>
      <c r="F273" s="224">
        <v>0</v>
      </c>
      <c r="G273" s="224">
        <v>1</v>
      </c>
      <c r="H273" s="224">
        <v>0</v>
      </c>
      <c r="I273" s="304" t="s">
        <v>110</v>
      </c>
      <c r="J273" s="29">
        <v>1</v>
      </c>
      <c r="K273" s="9">
        <v>1</v>
      </c>
      <c r="L273" s="9">
        <v>1</v>
      </c>
      <c r="M273" s="9">
        <v>2</v>
      </c>
      <c r="N273" s="43">
        <v>2</v>
      </c>
      <c r="O273" s="260">
        <f t="shared" si="5"/>
        <v>0.35859414261160716</v>
      </c>
      <c r="P273" s="163" t="s">
        <v>111</v>
      </c>
    </row>
    <row r="274" spans="1:16">
      <c r="A274" s="224">
        <v>2015</v>
      </c>
      <c r="B274" s="224">
        <v>337</v>
      </c>
      <c r="C274" s="224" t="s">
        <v>96</v>
      </c>
      <c r="D274" s="224">
        <v>42</v>
      </c>
      <c r="E274" s="224">
        <v>225</v>
      </c>
      <c r="F274" s="224">
        <v>154</v>
      </c>
      <c r="G274" s="224">
        <v>0.59366754617414252</v>
      </c>
      <c r="H274" s="224">
        <v>0.40633245382585748</v>
      </c>
      <c r="I274" s="304" t="s">
        <v>110</v>
      </c>
      <c r="J274" s="29">
        <v>1</v>
      </c>
      <c r="K274" s="9">
        <v>1</v>
      </c>
      <c r="L274" s="9">
        <v>1</v>
      </c>
      <c r="M274" s="9">
        <v>2</v>
      </c>
      <c r="N274" s="43">
        <v>2</v>
      </c>
      <c r="O274" s="260">
        <f t="shared" si="5"/>
        <v>0.35859414261160716</v>
      </c>
      <c r="P274" s="163" t="s">
        <v>111</v>
      </c>
    </row>
    <row r="275" spans="1:16">
      <c r="A275" s="224">
        <v>2015</v>
      </c>
      <c r="B275" s="224">
        <v>280</v>
      </c>
      <c r="C275" s="224" t="s">
        <v>97</v>
      </c>
      <c r="D275" s="224">
        <v>204</v>
      </c>
      <c r="E275" s="224">
        <v>337</v>
      </c>
      <c r="F275" s="224">
        <v>147</v>
      </c>
      <c r="G275" s="224">
        <v>0.69628099173553715</v>
      </c>
      <c r="H275" s="224">
        <v>0.30371900826446291</v>
      </c>
      <c r="I275" s="304" t="s">
        <v>110</v>
      </c>
      <c r="J275" s="29">
        <v>1</v>
      </c>
      <c r="K275" s="9">
        <v>1</v>
      </c>
      <c r="L275" s="9">
        <v>1</v>
      </c>
      <c r="M275" s="9">
        <v>2</v>
      </c>
      <c r="N275" s="43">
        <v>2</v>
      </c>
      <c r="O275" s="260">
        <f t="shared" si="5"/>
        <v>0.35859414261160716</v>
      </c>
      <c r="P275" s="163" t="s">
        <v>111</v>
      </c>
    </row>
    <row r="276" spans="1:16">
      <c r="A276" s="224">
        <v>2015</v>
      </c>
      <c r="B276" s="224">
        <v>270</v>
      </c>
      <c r="C276" s="224" t="s">
        <v>95</v>
      </c>
      <c r="D276" s="224">
        <v>54</v>
      </c>
      <c r="E276" s="224">
        <v>324</v>
      </c>
      <c r="F276" s="224">
        <v>0</v>
      </c>
      <c r="G276" s="224">
        <v>1</v>
      </c>
      <c r="H276" s="224">
        <v>0</v>
      </c>
      <c r="I276" s="304" t="s">
        <v>110</v>
      </c>
      <c r="J276" s="29">
        <v>1</v>
      </c>
      <c r="K276" s="9">
        <v>1</v>
      </c>
      <c r="L276" s="9">
        <v>1</v>
      </c>
      <c r="M276" s="9">
        <v>2</v>
      </c>
      <c r="N276" s="43">
        <v>2</v>
      </c>
      <c r="O276" s="260">
        <f t="shared" si="5"/>
        <v>0.35859414261160716</v>
      </c>
      <c r="P276" s="163" t="s">
        <v>111</v>
      </c>
    </row>
    <row r="277" spans="1:16">
      <c r="A277" s="224">
        <v>2015</v>
      </c>
      <c r="B277" s="224">
        <v>116</v>
      </c>
      <c r="C277" s="224" t="s">
        <v>93</v>
      </c>
      <c r="D277" s="224">
        <v>32</v>
      </c>
      <c r="E277" s="224">
        <v>125</v>
      </c>
      <c r="F277" s="224">
        <v>23</v>
      </c>
      <c r="G277" s="224">
        <v>0.84459459459459463</v>
      </c>
      <c r="H277" s="224">
        <v>0.1554054054054054</v>
      </c>
      <c r="I277" s="304" t="s">
        <v>110</v>
      </c>
      <c r="J277" s="29">
        <v>1</v>
      </c>
      <c r="K277" s="9">
        <v>1</v>
      </c>
      <c r="L277" s="9">
        <v>1</v>
      </c>
      <c r="M277" s="9">
        <v>2</v>
      </c>
      <c r="N277" s="43">
        <v>2</v>
      </c>
      <c r="O277" s="260">
        <f t="shared" si="5"/>
        <v>0.35859414261160716</v>
      </c>
      <c r="P277" s="163" t="s">
        <v>111</v>
      </c>
    </row>
    <row r="278" spans="1:16">
      <c r="A278" s="224">
        <v>2015</v>
      </c>
      <c r="B278" s="224">
        <v>2411</v>
      </c>
      <c r="C278" s="224" t="s">
        <v>98</v>
      </c>
      <c r="D278" s="224">
        <v>983</v>
      </c>
      <c r="E278" s="224">
        <v>3394</v>
      </c>
      <c r="F278" s="224">
        <v>0</v>
      </c>
      <c r="G278" s="224">
        <v>1</v>
      </c>
      <c r="H278" s="224">
        <v>0</v>
      </c>
      <c r="I278" s="304" t="s">
        <v>110</v>
      </c>
      <c r="J278" s="29">
        <v>1</v>
      </c>
      <c r="K278" s="9">
        <v>1</v>
      </c>
      <c r="L278" s="9">
        <v>1</v>
      </c>
      <c r="M278" s="9">
        <v>2</v>
      </c>
      <c r="N278" s="43">
        <v>2</v>
      </c>
      <c r="O278" s="260">
        <f t="shared" si="5"/>
        <v>0.35859414261160716</v>
      </c>
      <c r="P278" s="163" t="s">
        <v>111</v>
      </c>
    </row>
    <row r="279" spans="1:16">
      <c r="A279" s="224">
        <v>2016</v>
      </c>
      <c r="B279" s="224">
        <v>1633</v>
      </c>
      <c r="C279" s="224" t="s">
        <v>85</v>
      </c>
      <c r="D279" s="224">
        <v>1245</v>
      </c>
      <c r="E279" s="224">
        <v>1995</v>
      </c>
      <c r="F279" s="224">
        <v>883</v>
      </c>
      <c r="G279" s="224">
        <v>0.69318971507991656</v>
      </c>
      <c r="H279" s="224">
        <v>0.30681028492008339</v>
      </c>
      <c r="I279" s="304" t="s">
        <v>110</v>
      </c>
      <c r="J279" s="29">
        <v>1</v>
      </c>
      <c r="K279" s="9">
        <v>1</v>
      </c>
      <c r="L279" s="9">
        <v>1</v>
      </c>
      <c r="M279" s="9">
        <v>2</v>
      </c>
      <c r="N279" s="43">
        <v>2</v>
      </c>
      <c r="O279" s="260">
        <f t="shared" si="5"/>
        <v>0.35859414261160716</v>
      </c>
      <c r="P279" s="163" t="s">
        <v>111</v>
      </c>
    </row>
    <row r="280" spans="1:16">
      <c r="A280" s="224">
        <v>2016</v>
      </c>
      <c r="B280" s="224">
        <v>290</v>
      </c>
      <c r="C280" s="224" t="s">
        <v>86</v>
      </c>
      <c r="D280" s="224">
        <v>223</v>
      </c>
      <c r="E280" s="224">
        <v>447</v>
      </c>
      <c r="F280" s="224">
        <v>66</v>
      </c>
      <c r="G280" s="224">
        <v>0.87134502923976609</v>
      </c>
      <c r="H280" s="224">
        <v>0.12865497076023391</v>
      </c>
      <c r="I280" s="304" t="s">
        <v>110</v>
      </c>
      <c r="J280" s="29">
        <v>1</v>
      </c>
      <c r="K280" s="9">
        <v>1</v>
      </c>
      <c r="L280" s="9">
        <v>1</v>
      </c>
      <c r="M280" s="9">
        <v>2</v>
      </c>
      <c r="N280" s="43">
        <v>2</v>
      </c>
      <c r="O280" s="260">
        <f t="shared" si="5"/>
        <v>0.35859414261160716</v>
      </c>
      <c r="P280" s="163" t="s">
        <v>111</v>
      </c>
    </row>
    <row r="281" spans="1:16">
      <c r="A281" s="224">
        <v>2016</v>
      </c>
      <c r="B281" s="224">
        <v>852</v>
      </c>
      <c r="C281" s="224" t="s">
        <v>87</v>
      </c>
      <c r="D281" s="224">
        <v>279</v>
      </c>
      <c r="E281" s="224">
        <v>250</v>
      </c>
      <c r="F281" s="224">
        <v>881</v>
      </c>
      <c r="G281" s="224">
        <v>0.22104332449160041</v>
      </c>
      <c r="H281" s="224">
        <v>0.77895667550839964</v>
      </c>
      <c r="I281" s="304" t="s">
        <v>110</v>
      </c>
      <c r="J281" s="29">
        <v>1</v>
      </c>
      <c r="K281" s="9">
        <v>1</v>
      </c>
      <c r="L281" s="9">
        <v>1</v>
      </c>
      <c r="M281" s="9">
        <v>2</v>
      </c>
      <c r="N281" s="43">
        <v>2</v>
      </c>
      <c r="O281" s="260">
        <f t="shared" si="5"/>
        <v>0.35859414261160716</v>
      </c>
      <c r="P281" s="163" t="s">
        <v>111</v>
      </c>
    </row>
    <row r="282" spans="1:16">
      <c r="A282" s="224">
        <v>2016</v>
      </c>
      <c r="B282" s="224">
        <v>4</v>
      </c>
      <c r="C282" s="224" t="s">
        <v>88</v>
      </c>
      <c r="D282" s="224">
        <v>46</v>
      </c>
      <c r="E282" s="224">
        <v>18</v>
      </c>
      <c r="F282" s="224">
        <v>32</v>
      </c>
      <c r="G282" s="224">
        <v>0.36</v>
      </c>
      <c r="H282" s="224">
        <v>0.64</v>
      </c>
      <c r="I282" s="304" t="s">
        <v>110</v>
      </c>
      <c r="J282" s="29">
        <v>1</v>
      </c>
      <c r="K282" s="9">
        <v>1</v>
      </c>
      <c r="L282" s="9">
        <v>1</v>
      </c>
      <c r="M282" s="9">
        <v>2</v>
      </c>
      <c r="N282" s="43">
        <v>2</v>
      </c>
      <c r="O282" s="260">
        <f t="shared" si="5"/>
        <v>0.35859414261160716</v>
      </c>
      <c r="P282" s="163" t="s">
        <v>111</v>
      </c>
    </row>
    <row r="283" spans="1:16">
      <c r="A283" s="224">
        <v>2016</v>
      </c>
      <c r="B283" s="224">
        <v>185</v>
      </c>
      <c r="C283" s="224" t="s">
        <v>89</v>
      </c>
      <c r="D283" s="224">
        <v>51</v>
      </c>
      <c r="E283" s="224">
        <v>236</v>
      </c>
      <c r="F283" s="224">
        <v>0</v>
      </c>
      <c r="G283" s="224">
        <v>1</v>
      </c>
      <c r="H283" s="224">
        <v>0</v>
      </c>
      <c r="I283" s="304" t="s">
        <v>110</v>
      </c>
      <c r="J283" s="29">
        <v>1</v>
      </c>
      <c r="K283" s="9">
        <v>1</v>
      </c>
      <c r="L283" s="9">
        <v>1</v>
      </c>
      <c r="M283" s="9">
        <v>2</v>
      </c>
      <c r="N283" s="43">
        <v>2</v>
      </c>
      <c r="O283" s="260">
        <f t="shared" si="5"/>
        <v>0.35859414261160716</v>
      </c>
      <c r="P283" s="163" t="s">
        <v>111</v>
      </c>
    </row>
    <row r="284" spans="1:16">
      <c r="A284" s="224">
        <v>2016</v>
      </c>
      <c r="B284" s="224">
        <v>610</v>
      </c>
      <c r="C284" s="224" t="s">
        <v>90</v>
      </c>
      <c r="D284" s="224">
        <v>185</v>
      </c>
      <c r="E284" s="224">
        <v>766</v>
      </c>
      <c r="F284" s="224">
        <v>29</v>
      </c>
      <c r="G284" s="224">
        <v>0.96352201257861636</v>
      </c>
      <c r="H284" s="224">
        <v>3.647798742138364E-2</v>
      </c>
      <c r="I284" s="304" t="s">
        <v>110</v>
      </c>
      <c r="J284" s="29">
        <v>1</v>
      </c>
      <c r="K284" s="9">
        <v>1</v>
      </c>
      <c r="L284" s="9">
        <v>1</v>
      </c>
      <c r="M284" s="9">
        <v>2</v>
      </c>
      <c r="N284" s="43">
        <v>2</v>
      </c>
      <c r="O284" s="260">
        <f t="shared" si="5"/>
        <v>0.35859414261160716</v>
      </c>
      <c r="P284" s="163" t="s">
        <v>111</v>
      </c>
    </row>
    <row r="285" spans="1:16">
      <c r="A285" s="224">
        <v>2016</v>
      </c>
      <c r="B285" s="224">
        <v>386</v>
      </c>
      <c r="C285" s="224" t="s">
        <v>91</v>
      </c>
      <c r="D285" s="224">
        <v>95</v>
      </c>
      <c r="E285" s="224">
        <v>481</v>
      </c>
      <c r="F285" s="224">
        <v>0</v>
      </c>
      <c r="G285" s="224">
        <v>1</v>
      </c>
      <c r="H285" s="224">
        <v>0</v>
      </c>
      <c r="I285" s="304" t="s">
        <v>110</v>
      </c>
      <c r="J285" s="29">
        <v>1</v>
      </c>
      <c r="K285" s="9">
        <v>1</v>
      </c>
      <c r="L285" s="9">
        <v>1</v>
      </c>
      <c r="M285" s="9">
        <v>2</v>
      </c>
      <c r="N285" s="43">
        <v>2</v>
      </c>
      <c r="O285" s="260">
        <f t="shared" si="5"/>
        <v>0.35859414261160716</v>
      </c>
      <c r="P285" s="163" t="s">
        <v>111</v>
      </c>
    </row>
    <row r="286" spans="1:16">
      <c r="A286" s="224">
        <v>2016</v>
      </c>
      <c r="B286" s="224">
        <v>155</v>
      </c>
      <c r="C286" s="224" t="s">
        <v>94</v>
      </c>
      <c r="D286" s="224">
        <v>22</v>
      </c>
      <c r="E286" s="224">
        <v>177</v>
      </c>
      <c r="F286" s="224">
        <v>0</v>
      </c>
      <c r="G286" s="224">
        <v>1</v>
      </c>
      <c r="H286" s="224">
        <v>0</v>
      </c>
      <c r="I286" s="304" t="s">
        <v>110</v>
      </c>
      <c r="J286" s="29">
        <v>1</v>
      </c>
      <c r="K286" s="9">
        <v>1</v>
      </c>
      <c r="L286" s="9">
        <v>1</v>
      </c>
      <c r="M286" s="9">
        <v>2</v>
      </c>
      <c r="N286" s="43">
        <v>2</v>
      </c>
      <c r="O286" s="260">
        <f t="shared" si="5"/>
        <v>0.35859414261160716</v>
      </c>
      <c r="P286" s="163" t="s">
        <v>111</v>
      </c>
    </row>
    <row r="287" spans="1:16">
      <c r="A287" s="224">
        <v>2016</v>
      </c>
      <c r="B287" s="224">
        <v>337</v>
      </c>
      <c r="C287" s="224" t="s">
        <v>96</v>
      </c>
      <c r="D287" s="224">
        <v>48</v>
      </c>
      <c r="E287" s="224">
        <v>247</v>
      </c>
      <c r="F287" s="224">
        <v>138</v>
      </c>
      <c r="G287" s="224">
        <v>0.64155844155844155</v>
      </c>
      <c r="H287" s="224">
        <v>0.35844155844155839</v>
      </c>
      <c r="I287" s="304" t="s">
        <v>110</v>
      </c>
      <c r="J287" s="29">
        <v>1</v>
      </c>
      <c r="K287" s="9">
        <v>1</v>
      </c>
      <c r="L287" s="9">
        <v>1</v>
      </c>
      <c r="M287" s="9">
        <v>2</v>
      </c>
      <c r="N287" s="43">
        <v>2</v>
      </c>
      <c r="O287" s="260">
        <f t="shared" si="5"/>
        <v>0.35859414261160716</v>
      </c>
      <c r="P287" s="163" t="s">
        <v>111</v>
      </c>
    </row>
    <row r="288" spans="1:16">
      <c r="A288" s="224">
        <v>2016</v>
      </c>
      <c r="B288" s="224">
        <v>373</v>
      </c>
      <c r="C288" s="224" t="s">
        <v>97</v>
      </c>
      <c r="D288" s="224">
        <v>236</v>
      </c>
      <c r="E288" s="224">
        <v>378</v>
      </c>
      <c r="F288" s="224">
        <v>231</v>
      </c>
      <c r="G288" s="224">
        <v>0.62068965517241381</v>
      </c>
      <c r="H288" s="224">
        <v>0.37931034482758619</v>
      </c>
      <c r="I288" s="304" t="s">
        <v>110</v>
      </c>
      <c r="J288" s="29">
        <v>1</v>
      </c>
      <c r="K288" s="9">
        <v>1</v>
      </c>
      <c r="L288" s="9">
        <v>1</v>
      </c>
      <c r="M288" s="9">
        <v>2</v>
      </c>
      <c r="N288" s="43">
        <v>2</v>
      </c>
      <c r="O288" s="260">
        <f t="shared" si="5"/>
        <v>0.35859414261160716</v>
      </c>
      <c r="P288" s="163" t="s">
        <v>111</v>
      </c>
    </row>
    <row r="289" spans="1:16">
      <c r="A289" s="224">
        <v>2016</v>
      </c>
      <c r="B289" s="224">
        <v>258</v>
      </c>
      <c r="C289" s="224" t="s">
        <v>95</v>
      </c>
      <c r="D289" s="224">
        <v>70</v>
      </c>
      <c r="E289" s="224">
        <v>328</v>
      </c>
      <c r="F289" s="224">
        <v>0</v>
      </c>
      <c r="G289" s="224">
        <v>1</v>
      </c>
      <c r="H289" s="224">
        <v>0</v>
      </c>
      <c r="I289" s="304" t="s">
        <v>110</v>
      </c>
      <c r="J289" s="29">
        <v>1</v>
      </c>
      <c r="K289" s="9">
        <v>1</v>
      </c>
      <c r="L289" s="9">
        <v>1</v>
      </c>
      <c r="M289" s="9">
        <v>2</v>
      </c>
      <c r="N289" s="43">
        <v>2</v>
      </c>
      <c r="O289" s="260">
        <f t="shared" si="5"/>
        <v>0.35859414261160716</v>
      </c>
      <c r="P289" s="163" t="s">
        <v>111</v>
      </c>
    </row>
    <row r="290" spans="1:16">
      <c r="A290" s="224">
        <v>2016</v>
      </c>
      <c r="B290" s="224">
        <v>121</v>
      </c>
      <c r="C290" s="224" t="s">
        <v>93</v>
      </c>
      <c r="D290" s="224">
        <v>39</v>
      </c>
      <c r="E290" s="224">
        <v>107</v>
      </c>
      <c r="F290" s="224">
        <v>53</v>
      </c>
      <c r="G290" s="224">
        <v>0.66874999999999996</v>
      </c>
      <c r="H290" s="224">
        <v>0.33124999999999999</v>
      </c>
      <c r="I290" s="304" t="s">
        <v>110</v>
      </c>
      <c r="J290" s="29">
        <v>1</v>
      </c>
      <c r="K290" s="9">
        <v>1</v>
      </c>
      <c r="L290" s="9">
        <v>1</v>
      </c>
      <c r="M290" s="9">
        <v>2</v>
      </c>
      <c r="N290" s="43">
        <v>2</v>
      </c>
      <c r="O290" s="260">
        <f t="shared" si="5"/>
        <v>0.35859414261160716</v>
      </c>
      <c r="P290" s="163" t="s">
        <v>111</v>
      </c>
    </row>
    <row r="291" spans="1:16">
      <c r="A291" s="224">
        <v>2016</v>
      </c>
      <c r="B291" s="224">
        <v>2513</v>
      </c>
      <c r="C291" s="224" t="s">
        <v>98</v>
      </c>
      <c r="D291" s="224">
        <v>1123</v>
      </c>
      <c r="E291" s="224">
        <v>3636</v>
      </c>
      <c r="F291" s="224">
        <v>0</v>
      </c>
      <c r="G291" s="224">
        <v>1</v>
      </c>
      <c r="H291" s="224">
        <v>0</v>
      </c>
      <c r="I291" s="304" t="s">
        <v>110</v>
      </c>
      <c r="J291" s="29">
        <v>1</v>
      </c>
      <c r="K291" s="9">
        <v>1</v>
      </c>
      <c r="L291" s="9">
        <v>1</v>
      </c>
      <c r="M291" s="9">
        <v>2</v>
      </c>
      <c r="N291" s="43">
        <v>2</v>
      </c>
      <c r="O291" s="260">
        <f t="shared" si="5"/>
        <v>0.35859414261160716</v>
      </c>
      <c r="P291" s="163" t="s">
        <v>111</v>
      </c>
    </row>
    <row r="292" spans="1:16">
      <c r="A292" s="224">
        <v>2017</v>
      </c>
      <c r="B292" s="224">
        <v>786</v>
      </c>
      <c r="C292" s="224" t="s">
        <v>85</v>
      </c>
      <c r="D292" s="224">
        <v>1197</v>
      </c>
      <c r="E292" s="224">
        <v>1983</v>
      </c>
      <c r="F292" s="224">
        <v>0</v>
      </c>
      <c r="G292" s="224">
        <v>1</v>
      </c>
      <c r="H292" s="224">
        <v>0</v>
      </c>
      <c r="I292" s="304" t="s">
        <v>110</v>
      </c>
      <c r="J292" s="29">
        <v>1</v>
      </c>
      <c r="K292" s="9">
        <v>1</v>
      </c>
      <c r="L292" s="9">
        <v>1</v>
      </c>
      <c r="M292" s="9">
        <v>2</v>
      </c>
      <c r="N292" s="43">
        <v>2</v>
      </c>
      <c r="O292" s="260">
        <f t="shared" si="5"/>
        <v>0.35859414261160716</v>
      </c>
      <c r="P292" s="163" t="s">
        <v>111</v>
      </c>
    </row>
    <row r="293" spans="1:16">
      <c r="A293" s="224">
        <v>2017</v>
      </c>
      <c r="B293" s="224">
        <v>290</v>
      </c>
      <c r="C293" s="224" t="s">
        <v>86</v>
      </c>
      <c r="D293" s="224">
        <v>231</v>
      </c>
      <c r="E293" s="224">
        <v>418</v>
      </c>
      <c r="F293" s="224">
        <v>103</v>
      </c>
      <c r="G293" s="224">
        <v>0.80230326295585408</v>
      </c>
      <c r="H293" s="224">
        <v>0.19769673704414589</v>
      </c>
      <c r="I293" s="304" t="s">
        <v>110</v>
      </c>
      <c r="J293" s="29">
        <v>1</v>
      </c>
      <c r="K293" s="9">
        <v>1</v>
      </c>
      <c r="L293" s="9">
        <v>1</v>
      </c>
      <c r="M293" s="9">
        <v>2</v>
      </c>
      <c r="N293" s="43">
        <v>2</v>
      </c>
      <c r="O293" s="260">
        <f t="shared" si="5"/>
        <v>0.35859414261160716</v>
      </c>
      <c r="P293" s="163" t="s">
        <v>111</v>
      </c>
    </row>
    <row r="294" spans="1:16">
      <c r="A294" s="224">
        <v>2017</v>
      </c>
      <c r="B294" s="224">
        <v>852</v>
      </c>
      <c r="C294" s="224" t="s">
        <v>87</v>
      </c>
      <c r="D294" s="224">
        <v>316</v>
      </c>
      <c r="E294" s="224">
        <v>308</v>
      </c>
      <c r="F294" s="224">
        <v>860</v>
      </c>
      <c r="G294" s="224">
        <v>0.2636986301369863</v>
      </c>
      <c r="H294" s="224">
        <v>0.73630136986301364</v>
      </c>
      <c r="I294" s="304" t="s">
        <v>110</v>
      </c>
      <c r="J294" s="29">
        <v>1</v>
      </c>
      <c r="K294" s="9">
        <v>1</v>
      </c>
      <c r="L294" s="9">
        <v>1</v>
      </c>
      <c r="M294" s="9">
        <v>2</v>
      </c>
      <c r="N294" s="43">
        <v>2</v>
      </c>
      <c r="O294" s="260">
        <f t="shared" si="5"/>
        <v>0.35859414261160716</v>
      </c>
      <c r="P294" s="163" t="s">
        <v>111</v>
      </c>
    </row>
    <row r="295" spans="1:16">
      <c r="A295" s="224">
        <v>2017</v>
      </c>
      <c r="B295" s="224">
        <v>4</v>
      </c>
      <c r="C295" s="224" t="s">
        <v>88</v>
      </c>
      <c r="D295" s="224">
        <v>43</v>
      </c>
      <c r="E295" s="224">
        <v>16</v>
      </c>
      <c r="F295" s="224">
        <v>31</v>
      </c>
      <c r="G295" s="224">
        <v>0.34042553191489361</v>
      </c>
      <c r="H295" s="224">
        <v>0.65957446808510634</v>
      </c>
      <c r="I295" s="304" t="s">
        <v>110</v>
      </c>
      <c r="J295" s="29">
        <v>1</v>
      </c>
      <c r="K295" s="9">
        <v>1</v>
      </c>
      <c r="L295" s="9">
        <v>1</v>
      </c>
      <c r="M295" s="9">
        <v>2</v>
      </c>
      <c r="N295" s="43">
        <v>2</v>
      </c>
      <c r="O295" s="260">
        <f t="shared" si="5"/>
        <v>0.35859414261160716</v>
      </c>
      <c r="P295" s="163" t="s">
        <v>111</v>
      </c>
    </row>
    <row r="296" spans="1:16">
      <c r="A296" s="224">
        <v>2017</v>
      </c>
      <c r="B296" s="224">
        <v>199</v>
      </c>
      <c r="C296" s="224" t="s">
        <v>89</v>
      </c>
      <c r="D296" s="224">
        <v>53</v>
      </c>
      <c r="E296" s="224">
        <v>252</v>
      </c>
      <c r="F296" s="224">
        <v>0</v>
      </c>
      <c r="G296" s="224">
        <v>1</v>
      </c>
      <c r="H296" s="224">
        <v>0</v>
      </c>
      <c r="I296" s="304" t="s">
        <v>110</v>
      </c>
      <c r="J296" s="29">
        <v>1</v>
      </c>
      <c r="K296" s="9">
        <v>1</v>
      </c>
      <c r="L296" s="9">
        <v>1</v>
      </c>
      <c r="M296" s="9">
        <v>2</v>
      </c>
      <c r="N296" s="43">
        <v>2</v>
      </c>
      <c r="O296" s="260">
        <f t="shared" si="5"/>
        <v>0.35859414261160716</v>
      </c>
      <c r="P296" s="163" t="s">
        <v>111</v>
      </c>
    </row>
    <row r="297" spans="1:16">
      <c r="A297" s="224">
        <v>2017</v>
      </c>
      <c r="B297" s="224">
        <v>610</v>
      </c>
      <c r="C297" s="224" t="s">
        <v>90</v>
      </c>
      <c r="D297" s="224">
        <v>212</v>
      </c>
      <c r="E297" s="224">
        <v>765</v>
      </c>
      <c r="F297" s="224">
        <v>57</v>
      </c>
      <c r="G297" s="224">
        <v>0.93065693430656937</v>
      </c>
      <c r="H297" s="224">
        <v>6.9343065693430628E-2</v>
      </c>
      <c r="I297" s="304" t="s">
        <v>110</v>
      </c>
      <c r="J297" s="29">
        <v>1</v>
      </c>
      <c r="K297" s="9">
        <v>1</v>
      </c>
      <c r="L297" s="9">
        <v>1</v>
      </c>
      <c r="M297" s="9">
        <v>2</v>
      </c>
      <c r="N297" s="43">
        <v>2</v>
      </c>
      <c r="O297" s="260">
        <f t="shared" si="5"/>
        <v>0.35859414261160716</v>
      </c>
      <c r="P297" s="163" t="s">
        <v>111</v>
      </c>
    </row>
    <row r="298" spans="1:16">
      <c r="A298" s="224">
        <v>2017</v>
      </c>
      <c r="B298" s="224">
        <v>331</v>
      </c>
      <c r="C298" s="224" t="s">
        <v>91</v>
      </c>
      <c r="D298" s="224">
        <v>112</v>
      </c>
      <c r="E298" s="224">
        <v>443</v>
      </c>
      <c r="F298" s="224">
        <v>0</v>
      </c>
      <c r="G298" s="224">
        <v>1</v>
      </c>
      <c r="H298" s="224">
        <v>0</v>
      </c>
      <c r="I298" s="304" t="s">
        <v>110</v>
      </c>
      <c r="J298" s="29">
        <v>1</v>
      </c>
      <c r="K298" s="9">
        <v>1</v>
      </c>
      <c r="L298" s="9">
        <v>1</v>
      </c>
      <c r="M298" s="9">
        <v>2</v>
      </c>
      <c r="N298" s="43">
        <v>2</v>
      </c>
      <c r="O298" s="260">
        <f t="shared" si="5"/>
        <v>0.35859414261160716</v>
      </c>
      <c r="P298" s="163" t="s">
        <v>111</v>
      </c>
    </row>
    <row r="299" spans="1:16">
      <c r="A299" s="224">
        <v>2017</v>
      </c>
      <c r="B299" s="224">
        <v>193</v>
      </c>
      <c r="C299" s="224" t="s">
        <v>94</v>
      </c>
      <c r="D299" s="224">
        <v>29</v>
      </c>
      <c r="E299" s="224">
        <v>222</v>
      </c>
      <c r="F299" s="224">
        <v>0</v>
      </c>
      <c r="G299" s="224">
        <v>1</v>
      </c>
      <c r="H299" s="224">
        <v>0</v>
      </c>
      <c r="I299" s="304" t="s">
        <v>110</v>
      </c>
      <c r="J299" s="29">
        <v>1</v>
      </c>
      <c r="K299" s="9">
        <v>1</v>
      </c>
      <c r="L299" s="9">
        <v>1</v>
      </c>
      <c r="M299" s="9">
        <v>2</v>
      </c>
      <c r="N299" s="43">
        <v>2</v>
      </c>
      <c r="O299" s="260">
        <f t="shared" si="5"/>
        <v>0.35859414261160716</v>
      </c>
      <c r="P299" s="163" t="s">
        <v>111</v>
      </c>
    </row>
    <row r="300" spans="1:16">
      <c r="A300" s="224">
        <v>2017</v>
      </c>
      <c r="B300" s="224">
        <v>337</v>
      </c>
      <c r="C300" s="224" t="s">
        <v>96</v>
      </c>
      <c r="D300" s="224">
        <v>53</v>
      </c>
      <c r="E300" s="224">
        <v>289</v>
      </c>
      <c r="F300" s="224">
        <v>101</v>
      </c>
      <c r="G300" s="224">
        <v>0.74102564102564106</v>
      </c>
      <c r="H300" s="224">
        <v>0.25897435897435889</v>
      </c>
      <c r="I300" s="304" t="s">
        <v>110</v>
      </c>
      <c r="J300" s="29">
        <v>1</v>
      </c>
      <c r="K300" s="9">
        <v>1</v>
      </c>
      <c r="L300" s="9">
        <v>1</v>
      </c>
      <c r="M300" s="9">
        <v>2</v>
      </c>
      <c r="N300" s="43">
        <v>2</v>
      </c>
      <c r="O300" s="260">
        <f t="shared" si="5"/>
        <v>0.35859414261160716</v>
      </c>
      <c r="P300" s="163" t="s">
        <v>111</v>
      </c>
    </row>
    <row r="301" spans="1:16">
      <c r="A301" s="224">
        <v>2017</v>
      </c>
      <c r="B301" s="224">
        <v>313</v>
      </c>
      <c r="C301" s="224" t="s">
        <v>97</v>
      </c>
      <c r="D301" s="224">
        <v>232</v>
      </c>
      <c r="E301" s="224">
        <v>392</v>
      </c>
      <c r="F301" s="224">
        <v>153</v>
      </c>
      <c r="G301" s="224">
        <v>0.7192660550458716</v>
      </c>
      <c r="H301" s="224">
        <v>0.2807339449541284</v>
      </c>
      <c r="I301" s="304" t="s">
        <v>110</v>
      </c>
      <c r="J301" s="29">
        <v>1</v>
      </c>
      <c r="K301" s="9">
        <v>1</v>
      </c>
      <c r="L301" s="9">
        <v>1</v>
      </c>
      <c r="M301" s="9">
        <v>2</v>
      </c>
      <c r="N301" s="43">
        <v>2</v>
      </c>
      <c r="O301" s="260">
        <f t="shared" si="5"/>
        <v>0.35859414261160716</v>
      </c>
      <c r="P301" s="163" t="s">
        <v>111</v>
      </c>
    </row>
    <row r="302" spans="1:16">
      <c r="A302" s="224">
        <v>2017</v>
      </c>
      <c r="B302" s="224">
        <v>280</v>
      </c>
      <c r="C302" s="224" t="s">
        <v>95</v>
      </c>
      <c r="D302" s="224">
        <v>72</v>
      </c>
      <c r="E302" s="224">
        <v>352</v>
      </c>
      <c r="F302" s="224">
        <v>0</v>
      </c>
      <c r="G302" s="224">
        <v>1</v>
      </c>
      <c r="H302" s="224">
        <v>0</v>
      </c>
      <c r="I302" s="304" t="s">
        <v>110</v>
      </c>
      <c r="J302" s="29">
        <v>1</v>
      </c>
      <c r="K302" s="9">
        <v>1</v>
      </c>
      <c r="L302" s="9">
        <v>1</v>
      </c>
      <c r="M302" s="9">
        <v>2</v>
      </c>
      <c r="N302" s="43">
        <v>2</v>
      </c>
      <c r="O302" s="260">
        <f t="shared" si="5"/>
        <v>0.35859414261160716</v>
      </c>
      <c r="P302" s="163" t="s">
        <v>111</v>
      </c>
    </row>
    <row r="303" spans="1:16">
      <c r="A303" s="224">
        <v>2017</v>
      </c>
      <c r="B303" s="224">
        <v>124</v>
      </c>
      <c r="C303" s="224" t="s">
        <v>93</v>
      </c>
      <c r="D303" s="224">
        <v>41</v>
      </c>
      <c r="E303" s="224">
        <v>123</v>
      </c>
      <c r="F303" s="224">
        <v>42</v>
      </c>
      <c r="G303" s="224">
        <v>0.74545454545454548</v>
      </c>
      <c r="H303" s="224">
        <v>0.25454545454545452</v>
      </c>
      <c r="I303" s="304" t="s">
        <v>110</v>
      </c>
      <c r="J303" s="29">
        <v>1</v>
      </c>
      <c r="K303" s="9">
        <v>1</v>
      </c>
      <c r="L303" s="9">
        <v>1</v>
      </c>
      <c r="M303" s="9">
        <v>2</v>
      </c>
      <c r="N303" s="43">
        <v>2</v>
      </c>
      <c r="O303" s="260">
        <f t="shared" si="5"/>
        <v>0.35859414261160716</v>
      </c>
      <c r="P303" s="163" t="s">
        <v>111</v>
      </c>
    </row>
    <row r="304" spans="1:16">
      <c r="A304" s="224">
        <v>2017</v>
      </c>
      <c r="B304" s="224">
        <v>2566</v>
      </c>
      <c r="C304" s="224" t="s">
        <v>98</v>
      </c>
      <c r="D304" s="224">
        <v>1172</v>
      </c>
      <c r="E304" s="224">
        <v>3738</v>
      </c>
      <c r="F304" s="224">
        <v>0</v>
      </c>
      <c r="G304" s="224">
        <v>1</v>
      </c>
      <c r="H304" s="224">
        <v>0</v>
      </c>
      <c r="I304" s="304" t="s">
        <v>110</v>
      </c>
      <c r="J304" s="29">
        <v>1</v>
      </c>
      <c r="K304" s="9">
        <v>1</v>
      </c>
      <c r="L304" s="9">
        <v>1</v>
      </c>
      <c r="M304" s="9">
        <v>2</v>
      </c>
      <c r="N304" s="43">
        <v>2</v>
      </c>
      <c r="O304" s="260">
        <f t="shared" si="5"/>
        <v>0.35859414261160716</v>
      </c>
      <c r="P304" s="163" t="s">
        <v>111</v>
      </c>
    </row>
    <row r="305" spans="1:16">
      <c r="A305" s="224">
        <v>2018</v>
      </c>
      <c r="B305" s="224">
        <v>1661</v>
      </c>
      <c r="C305" s="224" t="s">
        <v>85</v>
      </c>
      <c r="D305" s="224">
        <v>1084</v>
      </c>
      <c r="E305" s="224">
        <v>2031</v>
      </c>
      <c r="F305" s="224">
        <v>714</v>
      </c>
      <c r="G305" s="224">
        <v>0.73989071038251364</v>
      </c>
      <c r="H305" s="224">
        <v>0.26010928961748642</v>
      </c>
      <c r="I305" s="304" t="s">
        <v>110</v>
      </c>
      <c r="J305" s="29">
        <v>1</v>
      </c>
      <c r="K305" s="9">
        <v>1</v>
      </c>
      <c r="L305" s="9">
        <v>1</v>
      </c>
      <c r="M305" s="9">
        <v>2</v>
      </c>
      <c r="N305" s="43">
        <v>2</v>
      </c>
      <c r="O305" s="260">
        <f t="shared" si="5"/>
        <v>0.35859414261160716</v>
      </c>
      <c r="P305" s="163" t="s">
        <v>111</v>
      </c>
    </row>
    <row r="306" spans="1:16">
      <c r="A306" s="224">
        <v>2018</v>
      </c>
      <c r="B306" s="224">
        <v>290</v>
      </c>
      <c r="C306" s="224" t="s">
        <v>86</v>
      </c>
      <c r="D306" s="224">
        <v>243</v>
      </c>
      <c r="E306" s="224">
        <v>460</v>
      </c>
      <c r="F306" s="224">
        <v>73</v>
      </c>
      <c r="G306" s="224">
        <v>0.8630393996247655</v>
      </c>
      <c r="H306" s="224">
        <v>0.1369606003752345</v>
      </c>
      <c r="I306" s="304" t="s">
        <v>110</v>
      </c>
      <c r="J306" s="29">
        <v>1</v>
      </c>
      <c r="K306" s="9">
        <v>1</v>
      </c>
      <c r="L306" s="9">
        <v>1</v>
      </c>
      <c r="M306" s="9">
        <v>2</v>
      </c>
      <c r="N306" s="43">
        <v>2</v>
      </c>
      <c r="O306" s="260">
        <f t="shared" si="5"/>
        <v>0.35859414261160716</v>
      </c>
      <c r="P306" s="163" t="s">
        <v>111</v>
      </c>
    </row>
    <row r="307" spans="1:16">
      <c r="A307" s="224">
        <v>2018</v>
      </c>
      <c r="B307" s="224">
        <v>1105</v>
      </c>
      <c r="C307" s="224" t="s">
        <v>87</v>
      </c>
      <c r="D307" s="224">
        <v>323</v>
      </c>
      <c r="E307" s="224">
        <v>276</v>
      </c>
      <c r="F307" s="224">
        <v>1152</v>
      </c>
      <c r="G307" s="224">
        <v>0.19327731092436981</v>
      </c>
      <c r="H307" s="224">
        <v>0.80672268907563027</v>
      </c>
      <c r="I307" s="304" t="s">
        <v>110</v>
      </c>
      <c r="J307" s="29">
        <v>1</v>
      </c>
      <c r="K307" s="9">
        <v>1</v>
      </c>
      <c r="L307" s="9">
        <v>1</v>
      </c>
      <c r="M307" s="9">
        <v>2</v>
      </c>
      <c r="N307" s="43">
        <v>2</v>
      </c>
      <c r="O307" s="260">
        <f t="shared" si="5"/>
        <v>0.35859414261160716</v>
      </c>
      <c r="P307" s="163" t="s">
        <v>111</v>
      </c>
    </row>
    <row r="308" spans="1:16">
      <c r="A308" s="224">
        <v>2018</v>
      </c>
      <c r="B308" s="224">
        <v>4</v>
      </c>
      <c r="C308" s="224" t="s">
        <v>88</v>
      </c>
      <c r="D308" s="224">
        <v>41</v>
      </c>
      <c r="E308" s="224">
        <v>17</v>
      </c>
      <c r="F308" s="224">
        <v>28</v>
      </c>
      <c r="G308" s="224">
        <v>0.37777777777777782</v>
      </c>
      <c r="H308" s="224">
        <v>0.62222222222222223</v>
      </c>
      <c r="I308" s="304" t="s">
        <v>110</v>
      </c>
      <c r="J308" s="29">
        <v>1</v>
      </c>
      <c r="K308" s="9">
        <v>1</v>
      </c>
      <c r="L308" s="9">
        <v>1</v>
      </c>
      <c r="M308" s="9">
        <v>2</v>
      </c>
      <c r="N308" s="43">
        <v>2</v>
      </c>
      <c r="O308" s="260">
        <f t="shared" si="5"/>
        <v>0.35859414261160716</v>
      </c>
      <c r="P308" s="163" t="s">
        <v>111</v>
      </c>
    </row>
    <row r="309" spans="1:16">
      <c r="A309" s="224">
        <v>2018</v>
      </c>
      <c r="B309" s="224">
        <v>185</v>
      </c>
      <c r="C309" s="224" t="s">
        <v>89</v>
      </c>
      <c r="D309" s="224">
        <v>56</v>
      </c>
      <c r="E309" s="224">
        <v>241</v>
      </c>
      <c r="F309" s="224">
        <v>0</v>
      </c>
      <c r="G309" s="224">
        <v>1</v>
      </c>
      <c r="H309" s="224">
        <v>0</v>
      </c>
      <c r="I309" s="304" t="s">
        <v>110</v>
      </c>
      <c r="J309" s="29">
        <v>1</v>
      </c>
      <c r="K309" s="9">
        <v>1</v>
      </c>
      <c r="L309" s="9">
        <v>1</v>
      </c>
      <c r="M309" s="9">
        <v>2</v>
      </c>
      <c r="N309" s="43">
        <v>2</v>
      </c>
      <c r="O309" s="260">
        <f t="shared" si="5"/>
        <v>0.35859414261160716</v>
      </c>
      <c r="P309" s="163" t="s">
        <v>111</v>
      </c>
    </row>
    <row r="310" spans="1:16">
      <c r="A310" s="224">
        <v>2018</v>
      </c>
      <c r="B310" s="224">
        <v>610</v>
      </c>
      <c r="C310" s="224" t="s">
        <v>90</v>
      </c>
      <c r="D310" s="224">
        <v>221</v>
      </c>
      <c r="E310" s="224">
        <v>794</v>
      </c>
      <c r="F310" s="224">
        <v>37</v>
      </c>
      <c r="G310" s="224">
        <v>0.95547533092659442</v>
      </c>
      <c r="H310" s="224">
        <v>4.4524669073405583E-2</v>
      </c>
      <c r="I310" s="304" t="s">
        <v>110</v>
      </c>
      <c r="J310" s="29">
        <v>1</v>
      </c>
      <c r="K310" s="9">
        <v>1</v>
      </c>
      <c r="L310" s="9">
        <v>1</v>
      </c>
      <c r="M310" s="9">
        <v>2</v>
      </c>
      <c r="N310" s="43">
        <v>2</v>
      </c>
      <c r="O310" s="260">
        <f t="shared" si="5"/>
        <v>0.35859414261160716</v>
      </c>
      <c r="P310" s="163" t="s">
        <v>111</v>
      </c>
    </row>
    <row r="311" spans="1:16">
      <c r="A311" s="224">
        <v>2018</v>
      </c>
      <c r="B311" s="224">
        <v>516</v>
      </c>
      <c r="C311" s="224" t="s">
        <v>91</v>
      </c>
      <c r="D311" s="224">
        <v>103</v>
      </c>
      <c r="E311" s="224">
        <v>619</v>
      </c>
      <c r="F311" s="224">
        <v>0</v>
      </c>
      <c r="G311" s="224">
        <v>1</v>
      </c>
      <c r="H311" s="224">
        <v>0</v>
      </c>
      <c r="I311" s="304" t="s">
        <v>110</v>
      </c>
      <c r="J311" s="29">
        <v>1</v>
      </c>
      <c r="K311" s="9">
        <v>1</v>
      </c>
      <c r="L311" s="9">
        <v>1</v>
      </c>
      <c r="M311" s="9">
        <v>2</v>
      </c>
      <c r="N311" s="43">
        <v>2</v>
      </c>
      <c r="O311" s="260">
        <f t="shared" si="5"/>
        <v>0.35859414261160716</v>
      </c>
      <c r="P311" s="163" t="s">
        <v>111</v>
      </c>
    </row>
    <row r="312" spans="1:16">
      <c r="A312" s="224">
        <v>2018</v>
      </c>
      <c r="B312" s="224">
        <v>192</v>
      </c>
      <c r="C312" s="224" t="s">
        <v>94</v>
      </c>
      <c r="D312" s="224">
        <v>35</v>
      </c>
      <c r="E312" s="224">
        <v>227</v>
      </c>
      <c r="F312" s="224">
        <v>0</v>
      </c>
      <c r="G312" s="224">
        <v>1</v>
      </c>
      <c r="H312" s="224">
        <v>0</v>
      </c>
      <c r="I312" s="304" t="s">
        <v>110</v>
      </c>
      <c r="J312" s="29">
        <v>1</v>
      </c>
      <c r="K312" s="9">
        <v>1</v>
      </c>
      <c r="L312" s="9">
        <v>1</v>
      </c>
      <c r="M312" s="9">
        <v>2</v>
      </c>
      <c r="N312" s="43">
        <v>2</v>
      </c>
      <c r="O312" s="260">
        <f t="shared" si="5"/>
        <v>0.35859414261160716</v>
      </c>
      <c r="P312" s="163" t="s">
        <v>111</v>
      </c>
    </row>
    <row r="313" spans="1:16">
      <c r="A313" s="224">
        <v>2018</v>
      </c>
      <c r="B313" s="224">
        <v>337</v>
      </c>
      <c r="C313" s="224" t="s">
        <v>96</v>
      </c>
      <c r="D313" s="224">
        <v>55</v>
      </c>
      <c r="E313" s="224">
        <v>269</v>
      </c>
      <c r="F313" s="224">
        <v>123</v>
      </c>
      <c r="G313" s="224">
        <v>0.68622448979591832</v>
      </c>
      <c r="H313" s="224">
        <v>0.31377551020408168</v>
      </c>
      <c r="I313" s="304" t="s">
        <v>110</v>
      </c>
      <c r="J313" s="29">
        <v>1</v>
      </c>
      <c r="K313" s="9">
        <v>1</v>
      </c>
      <c r="L313" s="9">
        <v>1</v>
      </c>
      <c r="M313" s="9">
        <v>2</v>
      </c>
      <c r="N313" s="43">
        <v>2</v>
      </c>
      <c r="O313" s="260">
        <f t="shared" si="5"/>
        <v>0.35859414261160716</v>
      </c>
      <c r="P313" s="163" t="s">
        <v>111</v>
      </c>
    </row>
    <row r="314" spans="1:16">
      <c r="A314" s="224">
        <v>2018</v>
      </c>
      <c r="B314" s="224">
        <v>355</v>
      </c>
      <c r="C314" s="224" t="s">
        <v>97</v>
      </c>
      <c r="D314" s="224">
        <v>229</v>
      </c>
      <c r="E314" s="224">
        <v>395</v>
      </c>
      <c r="F314" s="224">
        <v>189</v>
      </c>
      <c r="G314" s="224">
        <v>0.67636986301369861</v>
      </c>
      <c r="H314" s="224">
        <v>0.32363013698630139</v>
      </c>
      <c r="I314" s="304" t="s">
        <v>110</v>
      </c>
      <c r="J314" s="29">
        <v>1</v>
      </c>
      <c r="K314" s="9">
        <v>1</v>
      </c>
      <c r="L314" s="9">
        <v>1</v>
      </c>
      <c r="M314" s="9">
        <v>2</v>
      </c>
      <c r="N314" s="43">
        <v>2</v>
      </c>
      <c r="O314" s="260">
        <f t="shared" si="5"/>
        <v>0.35859414261160716</v>
      </c>
      <c r="P314" s="163" t="s">
        <v>111</v>
      </c>
    </row>
    <row r="315" spans="1:16">
      <c r="A315" s="224">
        <v>2018</v>
      </c>
      <c r="B315" s="224">
        <v>257</v>
      </c>
      <c r="C315" s="224" t="s">
        <v>95</v>
      </c>
      <c r="D315" s="224">
        <v>80</v>
      </c>
      <c r="E315" s="224">
        <v>337</v>
      </c>
      <c r="F315" s="224">
        <v>0</v>
      </c>
      <c r="G315" s="224">
        <v>1</v>
      </c>
      <c r="H315" s="224">
        <v>0</v>
      </c>
      <c r="I315" s="304" t="s">
        <v>110</v>
      </c>
      <c r="J315" s="29">
        <v>1</v>
      </c>
      <c r="K315" s="9">
        <v>1</v>
      </c>
      <c r="L315" s="9">
        <v>1</v>
      </c>
      <c r="M315" s="9">
        <v>2</v>
      </c>
      <c r="N315" s="43">
        <v>2</v>
      </c>
      <c r="O315" s="260">
        <f t="shared" si="5"/>
        <v>0.35859414261160716</v>
      </c>
      <c r="P315" s="163" t="s">
        <v>111</v>
      </c>
    </row>
    <row r="316" spans="1:16">
      <c r="A316" s="224">
        <v>2018</v>
      </c>
      <c r="B316" s="224">
        <v>104</v>
      </c>
      <c r="C316" s="224" t="s">
        <v>93</v>
      </c>
      <c r="D316" s="224">
        <v>42</v>
      </c>
      <c r="E316" s="224">
        <v>95</v>
      </c>
      <c r="F316" s="224">
        <v>51</v>
      </c>
      <c r="G316" s="224">
        <v>0.65068493150684936</v>
      </c>
      <c r="H316" s="224">
        <v>0.34931506849315058</v>
      </c>
      <c r="I316" s="304" t="s">
        <v>110</v>
      </c>
      <c r="J316" s="29">
        <v>1</v>
      </c>
      <c r="K316" s="9">
        <v>1</v>
      </c>
      <c r="L316" s="9">
        <v>1</v>
      </c>
      <c r="M316" s="9">
        <v>2</v>
      </c>
      <c r="N316" s="43">
        <v>2</v>
      </c>
      <c r="O316" s="260">
        <f t="shared" si="5"/>
        <v>0.35859414261160716</v>
      </c>
      <c r="P316" s="163" t="s">
        <v>111</v>
      </c>
    </row>
    <row r="317" spans="1:16">
      <c r="A317" s="224">
        <v>2018</v>
      </c>
      <c r="B317" s="224">
        <v>2403</v>
      </c>
      <c r="C317" s="224" t="s">
        <v>98</v>
      </c>
      <c r="D317" s="224">
        <v>1272</v>
      </c>
      <c r="E317" s="224">
        <v>3675</v>
      </c>
      <c r="F317" s="224">
        <v>0</v>
      </c>
      <c r="G317" s="224">
        <v>1</v>
      </c>
      <c r="H317" s="224">
        <v>0</v>
      </c>
      <c r="I317" s="304" t="s">
        <v>110</v>
      </c>
      <c r="J317" s="29">
        <v>1</v>
      </c>
      <c r="K317" s="9">
        <v>1</v>
      </c>
      <c r="L317" s="9">
        <v>1</v>
      </c>
      <c r="M317" s="9">
        <v>2</v>
      </c>
      <c r="N317" s="43">
        <v>2</v>
      </c>
      <c r="O317" s="260">
        <f t="shared" si="5"/>
        <v>0.35859414261160716</v>
      </c>
      <c r="P317" s="163" t="s">
        <v>111</v>
      </c>
    </row>
    <row r="318" spans="1:16">
      <c r="A318" s="224">
        <v>2019</v>
      </c>
      <c r="B318" s="224">
        <v>1278</v>
      </c>
      <c r="C318" s="224" t="s">
        <v>85</v>
      </c>
      <c r="D318" s="224">
        <v>942</v>
      </c>
      <c r="E318" s="224">
        <v>1985</v>
      </c>
      <c r="F318" s="224">
        <v>235</v>
      </c>
      <c r="G318" s="224">
        <v>0.89414414414414412</v>
      </c>
      <c r="H318" s="224">
        <v>0.1058558558558559</v>
      </c>
      <c r="I318" s="304" t="s">
        <v>110</v>
      </c>
      <c r="J318" s="29">
        <v>1</v>
      </c>
      <c r="K318" s="9">
        <v>1</v>
      </c>
      <c r="L318" s="9">
        <v>1</v>
      </c>
      <c r="M318" s="9">
        <v>2</v>
      </c>
      <c r="N318" s="43">
        <v>2</v>
      </c>
      <c r="O318" s="260">
        <f t="shared" si="5"/>
        <v>0.35859414261160716</v>
      </c>
      <c r="P318" s="163" t="s">
        <v>111</v>
      </c>
    </row>
    <row r="319" spans="1:16">
      <c r="A319" s="224">
        <v>2019</v>
      </c>
      <c r="B319" s="224">
        <v>266</v>
      </c>
      <c r="C319" s="224" t="s">
        <v>86</v>
      </c>
      <c r="D319" s="224">
        <v>270</v>
      </c>
      <c r="E319" s="224">
        <v>453</v>
      </c>
      <c r="F319" s="224">
        <v>83</v>
      </c>
      <c r="G319" s="224">
        <v>0.84514925373134331</v>
      </c>
      <c r="H319" s="224">
        <v>0.15485074626865669</v>
      </c>
      <c r="I319" s="304" t="s">
        <v>110</v>
      </c>
      <c r="J319" s="29">
        <v>1</v>
      </c>
      <c r="K319" s="9">
        <v>1</v>
      </c>
      <c r="L319" s="9">
        <v>1</v>
      </c>
      <c r="M319" s="9">
        <v>2</v>
      </c>
      <c r="N319" s="43">
        <v>2</v>
      </c>
      <c r="O319" s="260">
        <f t="shared" si="5"/>
        <v>0.35859414261160716</v>
      </c>
      <c r="P319" s="163" t="s">
        <v>111</v>
      </c>
    </row>
    <row r="320" spans="1:16">
      <c r="A320" s="224">
        <v>2019</v>
      </c>
      <c r="B320" s="224">
        <v>936</v>
      </c>
      <c r="C320" s="224" t="s">
        <v>87</v>
      </c>
      <c r="D320" s="224">
        <v>302</v>
      </c>
      <c r="E320" s="224">
        <v>268</v>
      </c>
      <c r="F320" s="224">
        <v>970</v>
      </c>
      <c r="G320" s="224">
        <v>0.2164781906300485</v>
      </c>
      <c r="H320" s="224">
        <v>0.78352180936995153</v>
      </c>
      <c r="I320" s="304" t="s">
        <v>110</v>
      </c>
      <c r="J320" s="29">
        <v>1</v>
      </c>
      <c r="K320" s="9">
        <v>1</v>
      </c>
      <c r="L320" s="9">
        <v>1</v>
      </c>
      <c r="M320" s="9">
        <v>2</v>
      </c>
      <c r="N320" s="43">
        <v>2</v>
      </c>
      <c r="O320" s="260">
        <f t="shared" si="5"/>
        <v>0.35859414261160716</v>
      </c>
      <c r="P320" s="163" t="s">
        <v>111</v>
      </c>
    </row>
    <row r="321" spans="1:16">
      <c r="A321" s="224">
        <v>2019</v>
      </c>
      <c r="B321" s="224">
        <v>4</v>
      </c>
      <c r="C321" s="224" t="s">
        <v>88</v>
      </c>
      <c r="D321" s="224">
        <v>111</v>
      </c>
      <c r="E321" s="224">
        <v>17</v>
      </c>
      <c r="F321" s="224">
        <v>98</v>
      </c>
      <c r="G321" s="224">
        <v>0.14782608695652169</v>
      </c>
      <c r="H321" s="224">
        <v>0.85217391304347823</v>
      </c>
      <c r="I321" s="304" t="s">
        <v>110</v>
      </c>
      <c r="J321" s="29">
        <v>1</v>
      </c>
      <c r="K321" s="9">
        <v>1</v>
      </c>
      <c r="L321" s="9">
        <v>1</v>
      </c>
      <c r="M321" s="9">
        <v>2</v>
      </c>
      <c r="N321" s="43">
        <v>2</v>
      </c>
      <c r="O321" s="260">
        <f t="shared" si="5"/>
        <v>0.35859414261160716</v>
      </c>
      <c r="P321" s="163" t="s">
        <v>111</v>
      </c>
    </row>
    <row r="322" spans="1:16">
      <c r="A322" s="224">
        <v>2019</v>
      </c>
      <c r="B322" s="224">
        <v>306</v>
      </c>
      <c r="C322" s="224" t="s">
        <v>89</v>
      </c>
      <c r="D322" s="224">
        <v>56</v>
      </c>
      <c r="E322" s="224">
        <v>241</v>
      </c>
      <c r="F322" s="224">
        <v>121</v>
      </c>
      <c r="G322" s="224">
        <v>0.66574585635359118</v>
      </c>
      <c r="H322" s="224">
        <v>0.33425414364640882</v>
      </c>
      <c r="I322" s="304" t="s">
        <v>110</v>
      </c>
      <c r="J322" s="29">
        <v>1</v>
      </c>
      <c r="K322" s="9">
        <v>1</v>
      </c>
      <c r="L322" s="9">
        <v>1</v>
      </c>
      <c r="M322" s="9">
        <v>2</v>
      </c>
      <c r="N322" s="43">
        <v>2</v>
      </c>
      <c r="O322" s="260">
        <f t="shared" si="5"/>
        <v>0.35859414261160716</v>
      </c>
      <c r="P322" s="163" t="s">
        <v>111</v>
      </c>
    </row>
    <row r="323" spans="1:16">
      <c r="A323" s="224">
        <v>2019</v>
      </c>
      <c r="B323" s="224">
        <v>610</v>
      </c>
      <c r="C323" s="224" t="s">
        <v>90</v>
      </c>
      <c r="D323" s="224">
        <v>217</v>
      </c>
      <c r="E323" s="224">
        <v>703</v>
      </c>
      <c r="F323" s="224">
        <v>124</v>
      </c>
      <c r="G323" s="224">
        <v>0.85006045949214026</v>
      </c>
      <c r="H323" s="224">
        <v>0.14993954050785971</v>
      </c>
      <c r="I323" s="304" t="s">
        <v>110</v>
      </c>
      <c r="J323" s="29">
        <v>1</v>
      </c>
      <c r="K323" s="9">
        <v>1</v>
      </c>
      <c r="L323" s="9">
        <v>1</v>
      </c>
      <c r="M323" s="9">
        <v>2</v>
      </c>
      <c r="N323" s="43">
        <v>2</v>
      </c>
      <c r="O323" s="260">
        <f t="shared" si="5"/>
        <v>0.35859414261160716</v>
      </c>
      <c r="P323" s="163" t="s">
        <v>111</v>
      </c>
    </row>
    <row r="324" spans="1:16">
      <c r="A324" s="224">
        <v>2019</v>
      </c>
      <c r="B324" s="224">
        <v>443</v>
      </c>
      <c r="C324" s="224" t="s">
        <v>91</v>
      </c>
      <c r="D324" s="224">
        <v>134</v>
      </c>
      <c r="E324" s="224">
        <v>577</v>
      </c>
      <c r="F324" s="224">
        <v>0</v>
      </c>
      <c r="G324" s="224">
        <v>1</v>
      </c>
      <c r="H324" s="224">
        <v>0</v>
      </c>
      <c r="I324" s="304" t="s">
        <v>110</v>
      </c>
      <c r="J324" s="29">
        <v>1</v>
      </c>
      <c r="K324" s="9">
        <v>1</v>
      </c>
      <c r="L324" s="9">
        <v>1</v>
      </c>
      <c r="M324" s="9">
        <v>2</v>
      </c>
      <c r="N324" s="43">
        <v>2</v>
      </c>
      <c r="O324" s="260">
        <f t="shared" si="5"/>
        <v>0.35859414261160716</v>
      </c>
      <c r="P324" s="163" t="s">
        <v>111</v>
      </c>
    </row>
    <row r="325" spans="1:16">
      <c r="A325" s="224">
        <v>2019</v>
      </c>
      <c r="B325" s="224">
        <v>202</v>
      </c>
      <c r="C325" s="224" t="s">
        <v>94</v>
      </c>
      <c r="D325" s="224">
        <v>17</v>
      </c>
      <c r="E325" s="224">
        <v>219</v>
      </c>
      <c r="F325" s="224">
        <v>0</v>
      </c>
      <c r="G325" s="224">
        <v>1</v>
      </c>
      <c r="H325" s="224">
        <v>0</v>
      </c>
      <c r="I325" s="304" t="s">
        <v>110</v>
      </c>
      <c r="J325" s="29">
        <v>1</v>
      </c>
      <c r="K325" s="9">
        <v>1</v>
      </c>
      <c r="L325" s="9">
        <v>1</v>
      </c>
      <c r="M325" s="9">
        <v>2</v>
      </c>
      <c r="N325" s="43">
        <v>2</v>
      </c>
      <c r="O325" s="260">
        <f t="shared" si="5"/>
        <v>0.35859414261160716</v>
      </c>
      <c r="P325" s="163" t="s">
        <v>111</v>
      </c>
    </row>
    <row r="326" spans="1:16">
      <c r="A326" s="224">
        <v>2019</v>
      </c>
      <c r="B326" s="224">
        <v>448</v>
      </c>
      <c r="C326" s="224" t="s">
        <v>96</v>
      </c>
      <c r="D326" s="224">
        <v>70</v>
      </c>
      <c r="E326" s="224">
        <v>224</v>
      </c>
      <c r="F326" s="224">
        <v>294</v>
      </c>
      <c r="G326" s="224">
        <v>0.43243243243243251</v>
      </c>
      <c r="H326" s="224">
        <v>0.56756756756756754</v>
      </c>
      <c r="I326" s="304" t="s">
        <v>110</v>
      </c>
      <c r="J326" s="29">
        <v>1</v>
      </c>
      <c r="K326" s="9">
        <v>1</v>
      </c>
      <c r="L326" s="9">
        <v>1</v>
      </c>
      <c r="M326" s="9">
        <v>2</v>
      </c>
      <c r="N326" s="43">
        <v>2</v>
      </c>
      <c r="O326" s="260">
        <f t="shared" si="5"/>
        <v>0.35859414261160716</v>
      </c>
      <c r="P326" s="163" t="s">
        <v>111</v>
      </c>
    </row>
    <row r="327" spans="1:16">
      <c r="A327" s="224">
        <v>2019</v>
      </c>
      <c r="B327" s="224">
        <v>360</v>
      </c>
      <c r="C327" s="224" t="s">
        <v>97</v>
      </c>
      <c r="D327" s="224">
        <v>243</v>
      </c>
      <c r="E327" s="224">
        <v>404</v>
      </c>
      <c r="F327" s="224">
        <v>199</v>
      </c>
      <c r="G327" s="224">
        <v>0.66998341625207292</v>
      </c>
      <c r="H327" s="224">
        <v>0.33001658374792708</v>
      </c>
      <c r="I327" s="304" t="s">
        <v>110</v>
      </c>
      <c r="J327" s="29">
        <v>1</v>
      </c>
      <c r="K327" s="9">
        <v>1</v>
      </c>
      <c r="L327" s="9">
        <v>1</v>
      </c>
      <c r="M327" s="9">
        <v>2</v>
      </c>
      <c r="N327" s="43">
        <v>2</v>
      </c>
      <c r="O327" s="260">
        <f t="shared" ref="O327:O356" si="6">IF( OR( ISBLANK(J327),ISBLANK(K327), ISBLANK(L327), ISBLANK(M327), ISBLANK(N327) ), "", 1.5*SQRT(   EXP(2.21*(J327-1)) + EXP(2.21*(K327-1)) + EXP(2.21*(L327-1)) + EXP(2.21*(M327-1)) + EXP(2.21*N327)   )/100*2.45 )</f>
        <v>0.35859414261160716</v>
      </c>
      <c r="P327" s="163" t="s">
        <v>111</v>
      </c>
    </row>
    <row r="328" spans="1:16">
      <c r="A328" s="224">
        <v>2019</v>
      </c>
      <c r="B328" s="224">
        <v>165</v>
      </c>
      <c r="C328" s="224" t="s">
        <v>95</v>
      </c>
      <c r="D328" s="224">
        <v>79</v>
      </c>
      <c r="E328" s="224">
        <v>244</v>
      </c>
      <c r="F328" s="224">
        <v>0</v>
      </c>
      <c r="G328" s="224">
        <v>1</v>
      </c>
      <c r="H328" s="224">
        <v>0</v>
      </c>
      <c r="I328" s="304" t="s">
        <v>110</v>
      </c>
      <c r="J328" s="29">
        <v>1</v>
      </c>
      <c r="K328" s="9">
        <v>1</v>
      </c>
      <c r="L328" s="9">
        <v>1</v>
      </c>
      <c r="M328" s="9">
        <v>2</v>
      </c>
      <c r="N328" s="43">
        <v>2</v>
      </c>
      <c r="O328" s="260">
        <f t="shared" si="6"/>
        <v>0.35859414261160716</v>
      </c>
      <c r="P328" s="163" t="s">
        <v>111</v>
      </c>
    </row>
    <row r="329" spans="1:16">
      <c r="A329" s="224">
        <v>2019</v>
      </c>
      <c r="B329" s="224">
        <v>98</v>
      </c>
      <c r="C329" s="224" t="s">
        <v>93</v>
      </c>
      <c r="D329" s="224">
        <v>40</v>
      </c>
      <c r="E329" s="224">
        <v>93</v>
      </c>
      <c r="F329" s="224">
        <v>45</v>
      </c>
      <c r="G329" s="224">
        <v>0.67391304347826086</v>
      </c>
      <c r="H329" s="224">
        <v>0.32608695652173908</v>
      </c>
      <c r="I329" s="304" t="s">
        <v>110</v>
      </c>
      <c r="J329" s="29">
        <v>1</v>
      </c>
      <c r="K329" s="9">
        <v>1</v>
      </c>
      <c r="L329" s="9">
        <v>1</v>
      </c>
      <c r="M329" s="9">
        <v>2</v>
      </c>
      <c r="N329" s="43">
        <v>2</v>
      </c>
      <c r="O329" s="260">
        <f t="shared" si="6"/>
        <v>0.35859414261160716</v>
      </c>
      <c r="P329" s="163" t="s">
        <v>111</v>
      </c>
    </row>
    <row r="330" spans="1:16">
      <c r="A330" s="224">
        <v>2019</v>
      </c>
      <c r="B330" s="224">
        <v>2309</v>
      </c>
      <c r="C330" s="224" t="s">
        <v>98</v>
      </c>
      <c r="D330" s="224">
        <v>1386</v>
      </c>
      <c r="E330" s="224">
        <v>3695</v>
      </c>
      <c r="F330" s="224">
        <v>0</v>
      </c>
      <c r="G330" s="224">
        <v>1</v>
      </c>
      <c r="H330" s="224">
        <v>0</v>
      </c>
      <c r="I330" s="304" t="s">
        <v>110</v>
      </c>
      <c r="J330" s="29">
        <v>1</v>
      </c>
      <c r="K330" s="9">
        <v>1</v>
      </c>
      <c r="L330" s="9">
        <v>1</v>
      </c>
      <c r="M330" s="9">
        <v>2</v>
      </c>
      <c r="N330" s="43">
        <v>2</v>
      </c>
      <c r="O330" s="260">
        <f t="shared" si="6"/>
        <v>0.35859414261160716</v>
      </c>
      <c r="P330" s="163" t="s">
        <v>111</v>
      </c>
    </row>
    <row r="331" spans="1:16">
      <c r="A331" s="224">
        <v>2020</v>
      </c>
      <c r="B331" s="224">
        <v>1665</v>
      </c>
      <c r="C331" s="224" t="s">
        <v>85</v>
      </c>
      <c r="D331" s="224">
        <v>713</v>
      </c>
      <c r="E331" s="224">
        <v>2073</v>
      </c>
      <c r="F331" s="224">
        <v>305</v>
      </c>
      <c r="G331" s="224">
        <v>0.87174095878889823</v>
      </c>
      <c r="H331" s="224">
        <v>0.12825904121110179</v>
      </c>
      <c r="I331" s="304" t="s">
        <v>110</v>
      </c>
      <c r="J331" s="29">
        <v>1</v>
      </c>
      <c r="K331" s="9">
        <v>1</v>
      </c>
      <c r="L331" s="9">
        <v>1</v>
      </c>
      <c r="M331" s="9">
        <v>2</v>
      </c>
      <c r="N331" s="43">
        <v>2</v>
      </c>
      <c r="O331" s="260">
        <f t="shared" si="6"/>
        <v>0.35859414261160716</v>
      </c>
      <c r="P331" s="163" t="s">
        <v>111</v>
      </c>
    </row>
    <row r="332" spans="1:16">
      <c r="A332" s="224">
        <v>2020</v>
      </c>
      <c r="B332" s="224">
        <v>315</v>
      </c>
      <c r="C332" s="224" t="s">
        <v>86</v>
      </c>
      <c r="D332" s="224">
        <v>239</v>
      </c>
      <c r="E332" s="224">
        <v>530</v>
      </c>
      <c r="F332" s="224">
        <v>24</v>
      </c>
      <c r="G332" s="224">
        <v>0.95667870036101088</v>
      </c>
      <c r="H332" s="224">
        <v>4.3321299638989119E-2</v>
      </c>
      <c r="I332" s="304" t="s">
        <v>110</v>
      </c>
      <c r="J332" s="29">
        <v>1</v>
      </c>
      <c r="K332" s="9">
        <v>1</v>
      </c>
      <c r="L332" s="9">
        <v>1</v>
      </c>
      <c r="M332" s="9">
        <v>2</v>
      </c>
      <c r="N332" s="43">
        <v>2</v>
      </c>
      <c r="O332" s="260">
        <f t="shared" si="6"/>
        <v>0.35859414261160716</v>
      </c>
      <c r="P332" s="163" t="s">
        <v>111</v>
      </c>
    </row>
    <row r="333" spans="1:16">
      <c r="A333" s="224">
        <v>2020</v>
      </c>
      <c r="B333" s="224">
        <v>701</v>
      </c>
      <c r="C333" s="224" t="s">
        <v>87</v>
      </c>
      <c r="D333" s="224">
        <v>303</v>
      </c>
      <c r="E333" s="224">
        <v>259</v>
      </c>
      <c r="F333" s="224">
        <v>745</v>
      </c>
      <c r="G333" s="224">
        <v>0.25796812749003978</v>
      </c>
      <c r="H333" s="224">
        <v>0.74203187250996017</v>
      </c>
      <c r="I333" s="304" t="s">
        <v>110</v>
      </c>
      <c r="J333" s="29">
        <v>1</v>
      </c>
      <c r="K333" s="9">
        <v>1</v>
      </c>
      <c r="L333" s="9">
        <v>1</v>
      </c>
      <c r="M333" s="9">
        <v>2</v>
      </c>
      <c r="N333" s="43">
        <v>2</v>
      </c>
      <c r="O333" s="260">
        <f t="shared" si="6"/>
        <v>0.35859414261160716</v>
      </c>
      <c r="P333" s="163" t="s">
        <v>111</v>
      </c>
    </row>
    <row r="334" spans="1:16">
      <c r="A334" s="224">
        <v>2020</v>
      </c>
      <c r="B334" s="224">
        <v>4</v>
      </c>
      <c r="C334" s="224" t="s">
        <v>88</v>
      </c>
      <c r="D334" s="224">
        <v>34</v>
      </c>
      <c r="E334" s="224">
        <v>19</v>
      </c>
      <c r="F334" s="224">
        <v>19</v>
      </c>
      <c r="G334" s="224">
        <v>0.5</v>
      </c>
      <c r="H334" s="224">
        <v>0.5</v>
      </c>
      <c r="I334" s="304" t="s">
        <v>110</v>
      </c>
      <c r="J334" s="29">
        <v>1</v>
      </c>
      <c r="K334" s="9">
        <v>1</v>
      </c>
      <c r="L334" s="9">
        <v>1</v>
      </c>
      <c r="M334" s="9">
        <v>2</v>
      </c>
      <c r="N334" s="43">
        <v>2</v>
      </c>
      <c r="O334" s="260">
        <f t="shared" si="6"/>
        <v>0.35859414261160716</v>
      </c>
      <c r="P334" s="163" t="s">
        <v>111</v>
      </c>
    </row>
    <row r="335" spans="1:16">
      <c r="A335" s="224">
        <v>2020</v>
      </c>
      <c r="B335" s="224">
        <v>317</v>
      </c>
      <c r="C335" s="224" t="s">
        <v>89</v>
      </c>
      <c r="D335" s="224">
        <v>48</v>
      </c>
      <c r="E335" s="224">
        <v>265</v>
      </c>
      <c r="F335" s="224">
        <v>100</v>
      </c>
      <c r="G335" s="224">
        <v>0.72602739726027399</v>
      </c>
      <c r="H335" s="224">
        <v>0.27397260273972601</v>
      </c>
      <c r="I335" s="304" t="s">
        <v>110</v>
      </c>
      <c r="J335" s="29">
        <v>1</v>
      </c>
      <c r="K335" s="9">
        <v>1</v>
      </c>
      <c r="L335" s="9">
        <v>1</v>
      </c>
      <c r="M335" s="9">
        <v>2</v>
      </c>
      <c r="N335" s="43">
        <v>2</v>
      </c>
      <c r="O335" s="260">
        <f t="shared" si="6"/>
        <v>0.35859414261160716</v>
      </c>
      <c r="P335" s="163" t="s">
        <v>111</v>
      </c>
    </row>
    <row r="336" spans="1:16">
      <c r="A336" s="224">
        <v>2020</v>
      </c>
      <c r="B336" s="224">
        <v>610</v>
      </c>
      <c r="C336" s="224" t="s">
        <v>90</v>
      </c>
      <c r="D336" s="224">
        <v>186</v>
      </c>
      <c r="E336" s="224">
        <v>756</v>
      </c>
      <c r="F336" s="224">
        <v>40</v>
      </c>
      <c r="G336" s="224">
        <v>0.94974874371859297</v>
      </c>
      <c r="H336" s="224">
        <v>5.0251256281407031E-2</v>
      </c>
      <c r="I336" s="304" t="s">
        <v>110</v>
      </c>
      <c r="J336" s="29">
        <v>1</v>
      </c>
      <c r="K336" s="9">
        <v>1</v>
      </c>
      <c r="L336" s="9">
        <v>1</v>
      </c>
      <c r="M336" s="9">
        <v>2</v>
      </c>
      <c r="N336" s="43">
        <v>2</v>
      </c>
      <c r="O336" s="260">
        <f t="shared" si="6"/>
        <v>0.35859414261160716</v>
      </c>
      <c r="P336" s="163" t="s">
        <v>111</v>
      </c>
    </row>
    <row r="337" spans="1:16">
      <c r="A337" s="224">
        <v>2020</v>
      </c>
      <c r="B337" s="224">
        <v>474</v>
      </c>
      <c r="C337" s="224" t="s">
        <v>91</v>
      </c>
      <c r="D337" s="224">
        <v>130</v>
      </c>
      <c r="E337" s="224">
        <v>604</v>
      </c>
      <c r="F337" s="224">
        <v>0</v>
      </c>
      <c r="G337" s="224">
        <v>1</v>
      </c>
      <c r="H337" s="224">
        <v>0</v>
      </c>
      <c r="I337" s="304" t="s">
        <v>110</v>
      </c>
      <c r="J337" s="29">
        <v>1</v>
      </c>
      <c r="K337" s="9">
        <v>1</v>
      </c>
      <c r="L337" s="9">
        <v>1</v>
      </c>
      <c r="M337" s="9">
        <v>2</v>
      </c>
      <c r="N337" s="43">
        <v>2</v>
      </c>
      <c r="O337" s="260">
        <f t="shared" si="6"/>
        <v>0.35859414261160716</v>
      </c>
      <c r="P337" s="163" t="s">
        <v>111</v>
      </c>
    </row>
    <row r="338" spans="1:16">
      <c r="A338" s="224">
        <v>2020</v>
      </c>
      <c r="B338" s="224">
        <v>184</v>
      </c>
      <c r="C338" s="224" t="s">
        <v>94</v>
      </c>
      <c r="D338" s="224">
        <v>16</v>
      </c>
      <c r="E338" s="224">
        <v>200</v>
      </c>
      <c r="F338" s="224">
        <v>0</v>
      </c>
      <c r="G338" s="224">
        <v>1</v>
      </c>
      <c r="H338" s="224">
        <v>0</v>
      </c>
      <c r="I338" s="304" t="s">
        <v>110</v>
      </c>
      <c r="J338" s="29">
        <v>1</v>
      </c>
      <c r="K338" s="9">
        <v>1</v>
      </c>
      <c r="L338" s="9">
        <v>1</v>
      </c>
      <c r="M338" s="9">
        <v>2</v>
      </c>
      <c r="N338" s="43">
        <v>2</v>
      </c>
      <c r="O338" s="260">
        <f t="shared" si="6"/>
        <v>0.35859414261160716</v>
      </c>
      <c r="P338" s="163" t="s">
        <v>111</v>
      </c>
    </row>
    <row r="339" spans="1:16">
      <c r="A339" s="224">
        <v>2020</v>
      </c>
      <c r="B339" s="224">
        <v>337</v>
      </c>
      <c r="C339" s="224" t="s">
        <v>96</v>
      </c>
      <c r="D339" s="224">
        <v>65</v>
      </c>
      <c r="E339" s="224">
        <v>259</v>
      </c>
      <c r="F339" s="224">
        <v>143</v>
      </c>
      <c r="G339" s="224">
        <v>0.64427860696517414</v>
      </c>
      <c r="H339" s="224">
        <v>0.35572139303482592</v>
      </c>
      <c r="I339" s="304" t="s">
        <v>110</v>
      </c>
      <c r="J339" s="29">
        <v>1</v>
      </c>
      <c r="K339" s="9">
        <v>1</v>
      </c>
      <c r="L339" s="9">
        <v>1</v>
      </c>
      <c r="M339" s="9">
        <v>2</v>
      </c>
      <c r="N339" s="43">
        <v>2</v>
      </c>
      <c r="O339" s="260">
        <f t="shared" si="6"/>
        <v>0.35859414261160716</v>
      </c>
      <c r="P339" s="163" t="s">
        <v>111</v>
      </c>
    </row>
    <row r="340" spans="1:16">
      <c r="A340" s="224">
        <v>2020</v>
      </c>
      <c r="B340" s="224">
        <v>344</v>
      </c>
      <c r="C340" s="224" t="s">
        <v>97</v>
      </c>
      <c r="D340" s="224">
        <v>242</v>
      </c>
      <c r="E340" s="224">
        <v>376</v>
      </c>
      <c r="F340" s="224">
        <v>210</v>
      </c>
      <c r="G340" s="224">
        <v>0.64163822525597269</v>
      </c>
      <c r="H340" s="224">
        <v>0.35836177474402731</v>
      </c>
      <c r="I340" s="304" t="s">
        <v>110</v>
      </c>
      <c r="J340" s="29">
        <v>1</v>
      </c>
      <c r="K340" s="9">
        <v>1</v>
      </c>
      <c r="L340" s="9">
        <v>1</v>
      </c>
      <c r="M340" s="9">
        <v>2</v>
      </c>
      <c r="N340" s="43">
        <v>2</v>
      </c>
      <c r="O340" s="260">
        <f t="shared" si="6"/>
        <v>0.35859414261160716</v>
      </c>
      <c r="P340" s="163" t="s">
        <v>111</v>
      </c>
    </row>
    <row r="341" spans="1:16">
      <c r="A341" s="224">
        <v>2020</v>
      </c>
      <c r="B341" s="224">
        <v>200</v>
      </c>
      <c r="C341" s="224" t="s">
        <v>95</v>
      </c>
      <c r="D341" s="224">
        <v>71</v>
      </c>
      <c r="E341" s="224">
        <v>222</v>
      </c>
      <c r="F341" s="224">
        <v>49</v>
      </c>
      <c r="G341" s="224">
        <v>0.81918819188191883</v>
      </c>
      <c r="H341" s="224">
        <v>0.1808118081180812</v>
      </c>
      <c r="I341" s="304" t="s">
        <v>110</v>
      </c>
      <c r="J341" s="29">
        <v>1</v>
      </c>
      <c r="K341" s="9">
        <v>1</v>
      </c>
      <c r="L341" s="9">
        <v>1</v>
      </c>
      <c r="M341" s="9">
        <v>2</v>
      </c>
      <c r="N341" s="43">
        <v>2</v>
      </c>
      <c r="O341" s="260">
        <f t="shared" si="6"/>
        <v>0.35859414261160716</v>
      </c>
      <c r="P341" s="163" t="s">
        <v>111</v>
      </c>
    </row>
    <row r="342" spans="1:16">
      <c r="A342" s="224">
        <v>2020</v>
      </c>
      <c r="B342" s="224">
        <v>80</v>
      </c>
      <c r="C342" s="224" t="s">
        <v>93</v>
      </c>
      <c r="D342" s="224">
        <v>43</v>
      </c>
      <c r="E342" s="224">
        <v>85</v>
      </c>
      <c r="F342" s="224">
        <v>38</v>
      </c>
      <c r="G342" s="224">
        <v>0.69105691056910568</v>
      </c>
      <c r="H342" s="224">
        <v>0.30894308943089432</v>
      </c>
      <c r="I342" s="304" t="s">
        <v>110</v>
      </c>
      <c r="J342" s="29">
        <v>1</v>
      </c>
      <c r="K342" s="9">
        <v>1</v>
      </c>
      <c r="L342" s="9">
        <v>1</v>
      </c>
      <c r="M342" s="9">
        <v>2</v>
      </c>
      <c r="N342" s="43">
        <v>2</v>
      </c>
      <c r="O342" s="260">
        <f t="shared" si="6"/>
        <v>0.35859414261160716</v>
      </c>
      <c r="P342" s="163" t="s">
        <v>111</v>
      </c>
    </row>
    <row r="343" spans="1:16">
      <c r="A343" s="224">
        <v>2020</v>
      </c>
      <c r="B343" s="224">
        <v>2520</v>
      </c>
      <c r="C343" s="224" t="s">
        <v>98</v>
      </c>
      <c r="D343" s="224">
        <v>1355</v>
      </c>
      <c r="E343" s="224">
        <v>3875</v>
      </c>
      <c r="F343" s="224">
        <v>0</v>
      </c>
      <c r="G343" s="224">
        <v>1</v>
      </c>
      <c r="H343" s="224">
        <v>0</v>
      </c>
      <c r="I343" s="304" t="s">
        <v>110</v>
      </c>
      <c r="J343" s="29">
        <v>1</v>
      </c>
      <c r="K343" s="9">
        <v>1</v>
      </c>
      <c r="L343" s="9">
        <v>1</v>
      </c>
      <c r="M343" s="9">
        <v>2</v>
      </c>
      <c r="N343" s="43">
        <v>2</v>
      </c>
      <c r="O343" s="260">
        <f t="shared" si="6"/>
        <v>0.35859414261160716</v>
      </c>
      <c r="P343" s="163" t="s">
        <v>111</v>
      </c>
    </row>
    <row r="344" spans="1:16">
      <c r="A344" s="224">
        <v>2021</v>
      </c>
      <c r="B344" s="224">
        <v>1559</v>
      </c>
      <c r="C344" s="224" t="s">
        <v>85</v>
      </c>
      <c r="D344" s="224">
        <v>1052</v>
      </c>
      <c r="E344" s="224">
        <v>2156</v>
      </c>
      <c r="F344" s="224">
        <v>455</v>
      </c>
      <c r="G344" s="224">
        <v>0.82573726541554959</v>
      </c>
      <c r="H344" s="224">
        <v>0.17426273458445041</v>
      </c>
      <c r="I344" s="304" t="s">
        <v>110</v>
      </c>
      <c r="J344" s="29">
        <v>1</v>
      </c>
      <c r="K344" s="9">
        <v>1</v>
      </c>
      <c r="L344" s="9">
        <v>1</v>
      </c>
      <c r="M344" s="9">
        <v>2</v>
      </c>
      <c r="N344" s="43">
        <v>2</v>
      </c>
      <c r="O344" s="260">
        <f t="shared" si="6"/>
        <v>0.35859414261160716</v>
      </c>
      <c r="P344" s="163" t="s">
        <v>111</v>
      </c>
    </row>
    <row r="345" spans="1:16">
      <c r="A345" s="224">
        <v>2021</v>
      </c>
      <c r="B345" s="224">
        <v>290</v>
      </c>
      <c r="C345" s="224" t="s">
        <v>86</v>
      </c>
      <c r="D345" s="224">
        <v>261</v>
      </c>
      <c r="E345" s="224">
        <v>456</v>
      </c>
      <c r="F345" s="224">
        <v>95</v>
      </c>
      <c r="G345" s="224">
        <v>0.82758620689655171</v>
      </c>
      <c r="H345" s="224">
        <v>0.17241379310344829</v>
      </c>
      <c r="I345" s="304" t="s">
        <v>110</v>
      </c>
      <c r="J345" s="29">
        <v>1</v>
      </c>
      <c r="K345" s="9">
        <v>1</v>
      </c>
      <c r="L345" s="9">
        <v>1</v>
      </c>
      <c r="M345" s="9">
        <v>2</v>
      </c>
      <c r="N345" s="43">
        <v>2</v>
      </c>
      <c r="O345" s="260">
        <f t="shared" si="6"/>
        <v>0.35859414261160716</v>
      </c>
      <c r="P345" s="163" t="s">
        <v>111</v>
      </c>
    </row>
    <row r="346" spans="1:16">
      <c r="A346" s="224">
        <v>2021</v>
      </c>
      <c r="B346" s="224">
        <v>852</v>
      </c>
      <c r="C346" s="224" t="s">
        <v>87</v>
      </c>
      <c r="D346" s="224">
        <v>371</v>
      </c>
      <c r="E346" s="224">
        <v>346</v>
      </c>
      <c r="F346" s="224">
        <v>877</v>
      </c>
      <c r="G346" s="224">
        <v>0.28291087489779232</v>
      </c>
      <c r="H346" s="224">
        <v>0.71708912510220768</v>
      </c>
      <c r="I346" s="304" t="s">
        <v>110</v>
      </c>
      <c r="J346" s="29">
        <v>1</v>
      </c>
      <c r="K346" s="9">
        <v>1</v>
      </c>
      <c r="L346" s="9">
        <v>1</v>
      </c>
      <c r="M346" s="9">
        <v>2</v>
      </c>
      <c r="N346" s="43">
        <v>2</v>
      </c>
      <c r="O346" s="260">
        <f t="shared" si="6"/>
        <v>0.35859414261160716</v>
      </c>
      <c r="P346" s="163" t="s">
        <v>111</v>
      </c>
    </row>
    <row r="347" spans="1:16">
      <c r="A347" s="224">
        <v>2021</v>
      </c>
      <c r="B347" s="224">
        <v>9</v>
      </c>
      <c r="C347" s="224" t="s">
        <v>88</v>
      </c>
      <c r="D347" s="224">
        <v>35</v>
      </c>
      <c r="E347" s="224">
        <v>29</v>
      </c>
      <c r="F347" s="224">
        <v>15</v>
      </c>
      <c r="G347" s="224">
        <v>0.65909090909090906</v>
      </c>
      <c r="H347" s="224">
        <v>0.34090909090909088</v>
      </c>
      <c r="I347" s="304" t="s">
        <v>110</v>
      </c>
      <c r="J347" s="29">
        <v>1</v>
      </c>
      <c r="K347" s="9">
        <v>1</v>
      </c>
      <c r="L347" s="9">
        <v>1</v>
      </c>
      <c r="M347" s="9">
        <v>2</v>
      </c>
      <c r="N347" s="43">
        <v>2</v>
      </c>
      <c r="O347" s="260">
        <f t="shared" si="6"/>
        <v>0.35859414261160716</v>
      </c>
      <c r="P347" s="163" t="s">
        <v>111</v>
      </c>
    </row>
    <row r="348" spans="1:16">
      <c r="A348" s="224">
        <v>2021</v>
      </c>
      <c r="B348" s="224">
        <v>231</v>
      </c>
      <c r="C348" s="224" t="s">
        <v>89</v>
      </c>
      <c r="D348" s="224">
        <v>55</v>
      </c>
      <c r="E348" s="224">
        <v>286</v>
      </c>
      <c r="F348" s="224">
        <v>0</v>
      </c>
      <c r="G348" s="224">
        <v>1</v>
      </c>
      <c r="H348" s="224">
        <v>0</v>
      </c>
      <c r="I348" s="304" t="s">
        <v>110</v>
      </c>
      <c r="J348" s="29">
        <v>1</v>
      </c>
      <c r="K348" s="9">
        <v>1</v>
      </c>
      <c r="L348" s="9">
        <v>1</v>
      </c>
      <c r="M348" s="9">
        <v>2</v>
      </c>
      <c r="N348" s="43">
        <v>2</v>
      </c>
      <c r="O348" s="260">
        <f t="shared" si="6"/>
        <v>0.35859414261160716</v>
      </c>
      <c r="P348" s="163" t="s">
        <v>111</v>
      </c>
    </row>
    <row r="349" spans="1:16">
      <c r="A349" s="224">
        <v>2021</v>
      </c>
      <c r="B349" s="224">
        <v>610</v>
      </c>
      <c r="C349" s="224" t="s">
        <v>90</v>
      </c>
      <c r="D349" s="224">
        <v>198</v>
      </c>
      <c r="E349" s="224">
        <v>599</v>
      </c>
      <c r="F349" s="224">
        <v>209</v>
      </c>
      <c r="G349" s="224">
        <v>0.74133663366336633</v>
      </c>
      <c r="H349" s="224">
        <v>0.25866336633663373</v>
      </c>
      <c r="I349" s="304" t="s">
        <v>110</v>
      </c>
      <c r="J349" s="29">
        <v>1</v>
      </c>
      <c r="K349" s="9">
        <v>1</v>
      </c>
      <c r="L349" s="9">
        <v>1</v>
      </c>
      <c r="M349" s="9">
        <v>2</v>
      </c>
      <c r="N349" s="43">
        <v>2</v>
      </c>
      <c r="O349" s="260">
        <f t="shared" si="6"/>
        <v>0.35859414261160716</v>
      </c>
      <c r="P349" s="163" t="s">
        <v>111</v>
      </c>
    </row>
    <row r="350" spans="1:16">
      <c r="A350" s="224">
        <v>2021</v>
      </c>
      <c r="B350" s="224">
        <v>576</v>
      </c>
      <c r="C350" s="224" t="s">
        <v>91</v>
      </c>
      <c r="D350" s="224">
        <v>124</v>
      </c>
      <c r="E350" s="224">
        <v>700</v>
      </c>
      <c r="F350" s="224">
        <v>0</v>
      </c>
      <c r="G350" s="224">
        <v>1</v>
      </c>
      <c r="H350" s="224">
        <v>0</v>
      </c>
      <c r="I350" s="304" t="s">
        <v>110</v>
      </c>
      <c r="J350" s="29">
        <v>1</v>
      </c>
      <c r="K350" s="9">
        <v>1</v>
      </c>
      <c r="L350" s="9">
        <v>1</v>
      </c>
      <c r="M350" s="9">
        <v>2</v>
      </c>
      <c r="N350" s="43">
        <v>2</v>
      </c>
      <c r="O350" s="260">
        <f t="shared" si="6"/>
        <v>0.35859414261160716</v>
      </c>
      <c r="P350" s="163" t="s">
        <v>111</v>
      </c>
    </row>
    <row r="351" spans="1:16">
      <c r="A351" s="224">
        <v>2021</v>
      </c>
      <c r="B351" s="224">
        <v>210</v>
      </c>
      <c r="C351" s="224" t="s">
        <v>94</v>
      </c>
      <c r="D351" s="224">
        <v>18</v>
      </c>
      <c r="E351" s="224">
        <v>228</v>
      </c>
      <c r="F351" s="224">
        <v>0</v>
      </c>
      <c r="G351" s="224">
        <v>1</v>
      </c>
      <c r="H351" s="224">
        <v>0</v>
      </c>
      <c r="I351" s="304" t="s">
        <v>110</v>
      </c>
      <c r="J351" s="29">
        <v>1</v>
      </c>
      <c r="K351" s="9">
        <v>1</v>
      </c>
      <c r="L351" s="9">
        <v>1</v>
      </c>
      <c r="M351" s="9">
        <v>2</v>
      </c>
      <c r="N351" s="43">
        <v>2</v>
      </c>
      <c r="O351" s="260">
        <f t="shared" si="6"/>
        <v>0.35859414261160716</v>
      </c>
      <c r="P351" s="163" t="s">
        <v>111</v>
      </c>
    </row>
    <row r="352" spans="1:16">
      <c r="A352" s="224">
        <v>2021</v>
      </c>
      <c r="B352" s="224">
        <v>477</v>
      </c>
      <c r="C352" s="224" t="s">
        <v>96</v>
      </c>
      <c r="D352" s="224">
        <v>79</v>
      </c>
      <c r="E352" s="224">
        <v>268</v>
      </c>
      <c r="F352" s="224">
        <v>288</v>
      </c>
      <c r="G352" s="224">
        <v>0.48201438848920858</v>
      </c>
      <c r="H352" s="224">
        <v>0.51798561151079137</v>
      </c>
      <c r="I352" s="304" t="s">
        <v>110</v>
      </c>
      <c r="J352" s="29">
        <v>1</v>
      </c>
      <c r="K352" s="9">
        <v>1</v>
      </c>
      <c r="L352" s="9">
        <v>1</v>
      </c>
      <c r="M352" s="9">
        <v>2</v>
      </c>
      <c r="N352" s="43">
        <v>2</v>
      </c>
      <c r="O352" s="260">
        <f t="shared" si="6"/>
        <v>0.35859414261160716</v>
      </c>
      <c r="P352" s="163" t="s">
        <v>111</v>
      </c>
    </row>
    <row r="353" spans="1:16">
      <c r="A353" s="224">
        <v>2021</v>
      </c>
      <c r="B353" s="224">
        <v>184</v>
      </c>
      <c r="C353" s="224" t="s">
        <v>97</v>
      </c>
      <c r="D353" s="224">
        <v>243</v>
      </c>
      <c r="E353" s="224">
        <v>427</v>
      </c>
      <c r="F353" s="224">
        <v>0</v>
      </c>
      <c r="G353" s="224">
        <v>1</v>
      </c>
      <c r="H353" s="224">
        <v>0</v>
      </c>
      <c r="I353" s="304" t="s">
        <v>110</v>
      </c>
      <c r="J353" s="29">
        <v>1</v>
      </c>
      <c r="K353" s="9">
        <v>1</v>
      </c>
      <c r="L353" s="9">
        <v>1</v>
      </c>
      <c r="M353" s="9">
        <v>2</v>
      </c>
      <c r="N353" s="43">
        <v>2</v>
      </c>
      <c r="O353" s="260">
        <f t="shared" si="6"/>
        <v>0.35859414261160716</v>
      </c>
      <c r="P353" s="163" t="s">
        <v>111</v>
      </c>
    </row>
    <row r="354" spans="1:16">
      <c r="A354" s="224">
        <v>2021</v>
      </c>
      <c r="B354" s="224">
        <v>200</v>
      </c>
      <c r="C354" s="224" t="s">
        <v>95</v>
      </c>
      <c r="D354" s="224">
        <v>92</v>
      </c>
      <c r="E354" s="224">
        <v>254</v>
      </c>
      <c r="F354" s="224">
        <v>38</v>
      </c>
      <c r="G354" s="224">
        <v>0.86986301369863017</v>
      </c>
      <c r="H354" s="224">
        <v>0.1301369863013698</v>
      </c>
      <c r="I354" s="304" t="s">
        <v>110</v>
      </c>
      <c r="J354" s="29">
        <v>1</v>
      </c>
      <c r="K354" s="9">
        <v>1</v>
      </c>
      <c r="L354" s="9">
        <v>1</v>
      </c>
      <c r="M354" s="9">
        <v>2</v>
      </c>
      <c r="N354" s="43">
        <v>2</v>
      </c>
      <c r="O354" s="260">
        <f t="shared" si="6"/>
        <v>0.35859414261160716</v>
      </c>
      <c r="P354" s="163" t="s">
        <v>111</v>
      </c>
    </row>
    <row r="355" spans="1:16">
      <c r="A355" s="224">
        <v>2021</v>
      </c>
      <c r="B355" s="224">
        <v>82</v>
      </c>
      <c r="C355" s="224" t="s">
        <v>93</v>
      </c>
      <c r="D355" s="224">
        <v>50</v>
      </c>
      <c r="E355" s="224">
        <v>100</v>
      </c>
      <c r="F355" s="224">
        <v>32</v>
      </c>
      <c r="G355" s="224">
        <v>0.75757575757575757</v>
      </c>
      <c r="H355" s="224">
        <v>0.2424242424242424</v>
      </c>
      <c r="I355" s="304" t="s">
        <v>110</v>
      </c>
      <c r="J355" s="29">
        <v>1</v>
      </c>
      <c r="K355" s="9">
        <v>1</v>
      </c>
      <c r="L355" s="9">
        <v>1</v>
      </c>
      <c r="M355" s="9">
        <v>2</v>
      </c>
      <c r="N355" s="43">
        <v>2</v>
      </c>
      <c r="O355" s="260">
        <f t="shared" si="6"/>
        <v>0.35859414261160716</v>
      </c>
      <c r="P355" s="163" t="s">
        <v>111</v>
      </c>
    </row>
    <row r="356" spans="1:16">
      <c r="A356" s="224">
        <v>2021</v>
      </c>
      <c r="B356" s="224">
        <v>2480</v>
      </c>
      <c r="C356" s="224" t="s">
        <v>98</v>
      </c>
      <c r="D356" s="224">
        <v>1446</v>
      </c>
      <c r="E356" s="224">
        <v>3926</v>
      </c>
      <c r="F356" s="224">
        <v>0</v>
      </c>
      <c r="G356" s="224">
        <v>1</v>
      </c>
      <c r="H356" s="224">
        <v>0</v>
      </c>
      <c r="I356" s="304" t="s">
        <v>110</v>
      </c>
      <c r="J356" s="29">
        <v>1</v>
      </c>
      <c r="K356" s="9">
        <v>1</v>
      </c>
      <c r="L356" s="9">
        <v>1</v>
      </c>
      <c r="M356" s="9">
        <v>2</v>
      </c>
      <c r="N356" s="43">
        <v>2</v>
      </c>
      <c r="O356" s="260">
        <f t="shared" si="6"/>
        <v>0.35859414261160716</v>
      </c>
      <c r="P356" s="163" t="s">
        <v>111</v>
      </c>
    </row>
    <row r="358" spans="1:16" s="1009" customFormat="1">
      <c r="A358" s="1014" t="s">
        <v>15</v>
      </c>
    </row>
    <row r="359" spans="1:16" s="1009" customFormat="1" ht="15" thickBot="1"/>
    <row r="360" spans="1:16" ht="15" thickBot="1">
      <c r="A360" s="65" t="s">
        <v>129</v>
      </c>
      <c r="B360" s="107" t="s">
        <v>130</v>
      </c>
      <c r="C360" s="108" t="s">
        <v>131</v>
      </c>
      <c r="D360" s="109" t="s">
        <v>102</v>
      </c>
      <c r="E360" s="226" t="s">
        <v>132</v>
      </c>
      <c r="F360" s="108" t="s">
        <v>133</v>
      </c>
      <c r="G360" s="110" t="s">
        <v>104</v>
      </c>
      <c r="H360" s="111" t="s">
        <v>134</v>
      </c>
      <c r="I360" s="112" t="s">
        <v>135</v>
      </c>
      <c r="J360" s="112" t="s">
        <v>65</v>
      </c>
      <c r="K360" s="112" t="s">
        <v>67</v>
      </c>
      <c r="L360" s="112" t="s">
        <v>73</v>
      </c>
      <c r="M360" s="113" t="s">
        <v>79</v>
      </c>
      <c r="N360" s="114" t="s">
        <v>136</v>
      </c>
      <c r="O360" s="114" t="s">
        <v>137</v>
      </c>
      <c r="P360" s="115" t="s">
        <v>123</v>
      </c>
    </row>
    <row r="361" spans="1:16" ht="15" thickBot="1">
      <c r="A361" s="150" t="s">
        <v>109</v>
      </c>
      <c r="B361" s="33" t="s">
        <v>256</v>
      </c>
      <c r="C361" s="39" t="s">
        <v>139</v>
      </c>
      <c r="D361" s="33" t="s">
        <v>139</v>
      </c>
      <c r="E361" s="256" t="s">
        <v>150</v>
      </c>
      <c r="F361" s="33">
        <v>1</v>
      </c>
      <c r="G361" s="39"/>
      <c r="H361" s="250">
        <v>1</v>
      </c>
      <c r="I361" s="13"/>
      <c r="J361" s="13">
        <v>1</v>
      </c>
      <c r="K361" s="13">
        <v>1</v>
      </c>
      <c r="L361" s="13">
        <v>2</v>
      </c>
      <c r="M361" s="289">
        <v>2</v>
      </c>
      <c r="N361" s="422">
        <v>0.35859414261160716</v>
      </c>
      <c r="O361" s="494" t="s">
        <v>249</v>
      </c>
      <c r="P361" s="343"/>
    </row>
    <row r="362" spans="1:16" ht="15" thickBot="1">
      <c r="A362" s="228" t="s">
        <v>114</v>
      </c>
      <c r="B362" s="165" t="s">
        <v>256</v>
      </c>
      <c r="C362" s="166" t="s">
        <v>139</v>
      </c>
      <c r="D362" s="165" t="s">
        <v>139</v>
      </c>
      <c r="E362" s="288">
        <v>1</v>
      </c>
      <c r="F362" s="165">
        <v>1</v>
      </c>
      <c r="G362" s="166"/>
      <c r="H362" s="253">
        <v>1</v>
      </c>
      <c r="I362" s="70"/>
      <c r="J362" s="70">
        <v>1</v>
      </c>
      <c r="K362" s="70">
        <v>1</v>
      </c>
      <c r="L362" s="70">
        <v>2</v>
      </c>
      <c r="M362" s="285">
        <v>2</v>
      </c>
      <c r="N362" s="402">
        <v>0.35859414261160716</v>
      </c>
      <c r="O362" s="494" t="s">
        <v>249</v>
      </c>
      <c r="P362" s="348"/>
    </row>
    <row r="363" spans="1:16" ht="15" thickBot="1">
      <c r="A363" s="230" t="s">
        <v>259</v>
      </c>
      <c r="B363" s="60" t="s">
        <v>260</v>
      </c>
      <c r="C363" s="161" t="s">
        <v>139</v>
      </c>
      <c r="D363" s="60" t="s">
        <v>139</v>
      </c>
      <c r="E363" s="258" t="s">
        <v>150</v>
      </c>
      <c r="F363" s="60">
        <v>1</v>
      </c>
      <c r="G363" s="161"/>
      <c r="H363" s="251"/>
      <c r="I363" s="66"/>
      <c r="J363" s="66"/>
      <c r="K363" s="66"/>
      <c r="L363" s="66"/>
      <c r="M363" s="292"/>
      <c r="N363" s="402" t="s">
        <v>249</v>
      </c>
      <c r="O363" s="494" t="s">
        <v>249</v>
      </c>
      <c r="P363" s="229"/>
    </row>
    <row r="364" spans="1:16" ht="15" thickBot="1">
      <c r="A364" s="228" t="s">
        <v>261</v>
      </c>
      <c r="B364" s="165" t="s">
        <v>254</v>
      </c>
      <c r="C364" s="166" t="s">
        <v>139</v>
      </c>
      <c r="D364" s="165" t="s">
        <v>139</v>
      </c>
      <c r="E364" s="288">
        <v>1</v>
      </c>
      <c r="F364" s="165">
        <v>2</v>
      </c>
      <c r="G364" s="166"/>
      <c r="H364" s="248">
        <v>2</v>
      </c>
      <c r="I364" s="15">
        <v>2</v>
      </c>
      <c r="J364" s="15">
        <v>2</v>
      </c>
      <c r="K364" s="15">
        <v>3</v>
      </c>
      <c r="L364" s="15">
        <v>3</v>
      </c>
      <c r="M364" s="293">
        <v>2</v>
      </c>
      <c r="N364" s="402">
        <v>0.60108474454521421</v>
      </c>
      <c r="O364" s="494">
        <v>0.60108474454521421</v>
      </c>
      <c r="P364" s="348"/>
    </row>
    <row r="365" spans="1:16" ht="15" thickBot="1">
      <c r="A365" s="230" t="s">
        <v>262</v>
      </c>
      <c r="B365" s="60" t="s">
        <v>258</v>
      </c>
      <c r="C365" s="161" t="s">
        <v>139</v>
      </c>
      <c r="D365" s="60" t="s">
        <v>139</v>
      </c>
      <c r="E365" s="258">
        <v>0.25</v>
      </c>
      <c r="F365" s="60">
        <v>2</v>
      </c>
      <c r="G365" s="161" t="s">
        <v>263</v>
      </c>
      <c r="H365" s="251">
        <v>2</v>
      </c>
      <c r="I365" s="66">
        <v>2</v>
      </c>
      <c r="J365" s="66">
        <v>3</v>
      </c>
      <c r="K365" s="66">
        <v>3</v>
      </c>
      <c r="L365" s="66">
        <v>2</v>
      </c>
      <c r="M365" s="292">
        <v>3</v>
      </c>
      <c r="N365" s="402">
        <v>1.1278755061256258</v>
      </c>
      <c r="O365" s="494">
        <v>1.1278755061256258</v>
      </c>
      <c r="P365" s="229"/>
    </row>
    <row r="366" spans="1:16" ht="15" thickBot="1">
      <c r="A366" s="227" t="s">
        <v>262</v>
      </c>
      <c r="B366" s="149" t="s">
        <v>251</v>
      </c>
      <c r="C366" s="153" t="s">
        <v>139</v>
      </c>
      <c r="D366" s="227" t="s">
        <v>139</v>
      </c>
      <c r="E366" s="238">
        <v>0.75</v>
      </c>
      <c r="F366" s="149">
        <v>2</v>
      </c>
      <c r="G366" s="153" t="s">
        <v>263</v>
      </c>
      <c r="H366" s="248">
        <v>2</v>
      </c>
      <c r="I366" s="15">
        <v>2</v>
      </c>
      <c r="J366" s="15">
        <v>3</v>
      </c>
      <c r="K366" s="15">
        <v>3</v>
      </c>
      <c r="L366" s="15">
        <v>2</v>
      </c>
      <c r="M366" s="293">
        <v>3</v>
      </c>
      <c r="N366" s="421">
        <v>1.1278755061256258</v>
      </c>
      <c r="O366" s="503">
        <v>1.1278755061256258</v>
      </c>
      <c r="P366" s="502"/>
    </row>
    <row r="367" spans="1:16" ht="15" thickBot="1">
      <c r="A367" s="152" t="s">
        <v>256</v>
      </c>
      <c r="B367" s="35" t="s">
        <v>259</v>
      </c>
      <c r="C367" s="41" t="s">
        <v>139</v>
      </c>
      <c r="D367" s="35" t="s">
        <v>139</v>
      </c>
      <c r="E367" s="257" t="s">
        <v>150</v>
      </c>
      <c r="F367" s="35">
        <v>1</v>
      </c>
      <c r="G367" s="41"/>
      <c r="H367" s="252"/>
      <c r="I367" s="14"/>
      <c r="J367" s="14"/>
      <c r="K367" s="14"/>
      <c r="L367" s="14"/>
      <c r="M367" s="291"/>
      <c r="N367" s="425" t="str">
        <f t="shared" ref="N367:N381" si="7">IF( OR( ISBLANK(H367),ISBLANK(J367), ISBLANK(K367), ISBLANK(L367), ISBLANK(M367) ), "", 1.5*SQRT(   EXP(2.21*(H367-1)) + EXP(2.21*(J367-1)) + EXP(2.21*(K367-1)) + EXP(2.21*(L367-1)) + EXP(2.21*M367)   )/100*2.45 )</f>
        <v/>
      </c>
      <c r="O367" s="495" t="str">
        <f>IF( OR( ISBLANK(I367),ISBLANK(J367), ISBLANK(K367), ISBLANK(L367), ISBLANK(M367) ), "", 1.5*SQRT( EXP(2.21*(I367-1)) + EXP(2.21*(J367-1)) + EXP(2.21*(K367-1)) + EXP(2.21*(L367-1)) + EXP(2.21*M367)   )/100*2.45 )</f>
        <v/>
      </c>
      <c r="P367" s="62"/>
    </row>
    <row r="368" spans="1:16">
      <c r="A368" s="645" t="s">
        <v>256</v>
      </c>
      <c r="B368" s="77" t="s">
        <v>267</v>
      </c>
      <c r="C368" s="318" t="s">
        <v>180</v>
      </c>
      <c r="D368" s="77" t="s">
        <v>85</v>
      </c>
      <c r="E368" s="646">
        <v>0.89414414414414412</v>
      </c>
      <c r="F368" s="229">
        <v>1</v>
      </c>
      <c r="G368" t="s">
        <v>511</v>
      </c>
      <c r="H368" s="251">
        <v>1</v>
      </c>
      <c r="I368" s="651"/>
      <c r="J368" s="66">
        <v>1</v>
      </c>
      <c r="K368" s="66">
        <v>1</v>
      </c>
      <c r="L368" s="66">
        <v>2</v>
      </c>
      <c r="M368" s="66">
        <v>2</v>
      </c>
      <c r="N368" s="435">
        <f t="shared" si="7"/>
        <v>0.35859414261160716</v>
      </c>
      <c r="O368" s="647"/>
      <c r="P368" s="615" t="s">
        <v>512</v>
      </c>
    </row>
    <row r="369" spans="1:19">
      <c r="A369" s="97" t="s">
        <v>256</v>
      </c>
      <c r="B369" s="68" t="s">
        <v>267</v>
      </c>
      <c r="C369" s="304" t="s">
        <v>180</v>
      </c>
      <c r="D369" s="68" t="s">
        <v>86</v>
      </c>
      <c r="E369" s="644">
        <v>0.84514925373134331</v>
      </c>
      <c r="F369" s="63">
        <v>1</v>
      </c>
      <c r="G369" t="s">
        <v>511</v>
      </c>
      <c r="H369" s="249">
        <v>1</v>
      </c>
      <c r="I369" s="652"/>
      <c r="J369" s="10">
        <v>1</v>
      </c>
      <c r="K369" s="10">
        <v>1</v>
      </c>
      <c r="L369" s="10">
        <v>2</v>
      </c>
      <c r="M369" s="10">
        <v>2</v>
      </c>
      <c r="N369" s="402">
        <f t="shared" si="7"/>
        <v>0.35859414261160716</v>
      </c>
      <c r="O369" s="499"/>
      <c r="P369" s="100" t="s">
        <v>512</v>
      </c>
    </row>
    <row r="370" spans="1:19">
      <c r="A370" s="97" t="s">
        <v>256</v>
      </c>
      <c r="B370" s="68" t="s">
        <v>267</v>
      </c>
      <c r="C370" s="304" t="s">
        <v>180</v>
      </c>
      <c r="D370" s="68" t="s">
        <v>87</v>
      </c>
      <c r="E370" s="644">
        <v>0.2164781906300485</v>
      </c>
      <c r="F370" s="63">
        <v>1</v>
      </c>
      <c r="G370" t="s">
        <v>511</v>
      </c>
      <c r="H370" s="249">
        <v>1</v>
      </c>
      <c r="I370" s="652"/>
      <c r="J370" s="10">
        <v>1</v>
      </c>
      <c r="K370" s="10">
        <v>1</v>
      </c>
      <c r="L370" s="10">
        <v>2</v>
      </c>
      <c r="M370" s="10">
        <v>2</v>
      </c>
      <c r="N370" s="402">
        <f t="shared" si="7"/>
        <v>0.35859414261160716</v>
      </c>
      <c r="O370" s="499"/>
      <c r="P370" s="100" t="s">
        <v>512</v>
      </c>
    </row>
    <row r="371" spans="1:19">
      <c r="A371" s="97" t="s">
        <v>256</v>
      </c>
      <c r="B371" s="68" t="s">
        <v>267</v>
      </c>
      <c r="C371" s="304" t="s">
        <v>180</v>
      </c>
      <c r="D371" s="68" t="s">
        <v>88</v>
      </c>
      <c r="E371" s="644">
        <v>0.14782608695652169</v>
      </c>
      <c r="F371" s="63">
        <v>1</v>
      </c>
      <c r="G371" t="s">
        <v>511</v>
      </c>
      <c r="H371" s="249">
        <v>1</v>
      </c>
      <c r="I371" s="652"/>
      <c r="J371" s="10">
        <v>1</v>
      </c>
      <c r="K371" s="10">
        <v>1</v>
      </c>
      <c r="L371" s="10">
        <v>2</v>
      </c>
      <c r="M371" s="10">
        <v>2</v>
      </c>
      <c r="N371" s="402">
        <f t="shared" si="7"/>
        <v>0.35859414261160716</v>
      </c>
      <c r="O371" s="499"/>
      <c r="P371" s="100" t="s">
        <v>512</v>
      </c>
    </row>
    <row r="372" spans="1:19">
      <c r="A372" s="97" t="s">
        <v>256</v>
      </c>
      <c r="B372" s="68" t="s">
        <v>267</v>
      </c>
      <c r="C372" s="304" t="s">
        <v>180</v>
      </c>
      <c r="D372" s="68" t="s">
        <v>89</v>
      </c>
      <c r="E372" s="644">
        <v>0.66574585635359118</v>
      </c>
      <c r="F372" s="63">
        <v>1</v>
      </c>
      <c r="G372" t="s">
        <v>511</v>
      </c>
      <c r="H372" s="249">
        <v>1</v>
      </c>
      <c r="I372" s="652"/>
      <c r="J372" s="10">
        <v>1</v>
      </c>
      <c r="K372" s="10">
        <v>1</v>
      </c>
      <c r="L372" s="10">
        <v>2</v>
      </c>
      <c r="M372" s="10">
        <v>2</v>
      </c>
      <c r="N372" s="402">
        <f t="shared" si="7"/>
        <v>0.35859414261160716</v>
      </c>
      <c r="O372" s="499"/>
      <c r="P372" s="100" t="s">
        <v>512</v>
      </c>
      <c r="S372">
        <f>(14810.17/75907000)*100</f>
        <v>1.9510941019932285E-2</v>
      </c>
    </row>
    <row r="373" spans="1:19">
      <c r="A373" s="97" t="s">
        <v>256</v>
      </c>
      <c r="B373" s="68" t="s">
        <v>267</v>
      </c>
      <c r="C373" s="304" t="s">
        <v>180</v>
      </c>
      <c r="D373" s="68" t="s">
        <v>90</v>
      </c>
      <c r="E373" s="644">
        <v>0.85006045949214026</v>
      </c>
      <c r="F373" s="63">
        <v>1</v>
      </c>
      <c r="G373" t="s">
        <v>511</v>
      </c>
      <c r="H373" s="249">
        <v>1</v>
      </c>
      <c r="I373" s="652"/>
      <c r="J373" s="10">
        <v>1</v>
      </c>
      <c r="K373" s="10">
        <v>1</v>
      </c>
      <c r="L373" s="10">
        <v>2</v>
      </c>
      <c r="M373" s="10">
        <v>2</v>
      </c>
      <c r="N373" s="402">
        <f t="shared" si="7"/>
        <v>0.35859414261160716</v>
      </c>
      <c r="O373" s="499"/>
      <c r="P373" s="100" t="s">
        <v>512</v>
      </c>
    </row>
    <row r="374" spans="1:19">
      <c r="A374" s="97" t="s">
        <v>256</v>
      </c>
      <c r="B374" s="68" t="s">
        <v>267</v>
      </c>
      <c r="C374" s="304" t="s">
        <v>180</v>
      </c>
      <c r="D374" s="68" t="s">
        <v>91</v>
      </c>
      <c r="E374" s="644">
        <v>1</v>
      </c>
      <c r="F374" s="63">
        <v>1</v>
      </c>
      <c r="G374" t="s">
        <v>511</v>
      </c>
      <c r="H374" s="249">
        <v>1</v>
      </c>
      <c r="I374" s="652"/>
      <c r="J374" s="10">
        <v>1</v>
      </c>
      <c r="K374" s="10">
        <v>1</v>
      </c>
      <c r="L374" s="10">
        <v>2</v>
      </c>
      <c r="M374" s="10">
        <v>2</v>
      </c>
      <c r="N374" s="402">
        <f t="shared" si="7"/>
        <v>0.35859414261160716</v>
      </c>
      <c r="O374" s="499"/>
      <c r="P374" s="100" t="s">
        <v>512</v>
      </c>
    </row>
    <row r="375" spans="1:19">
      <c r="A375" s="97" t="s">
        <v>256</v>
      </c>
      <c r="B375" s="68" t="s">
        <v>267</v>
      </c>
      <c r="C375" s="304" t="s">
        <v>180</v>
      </c>
      <c r="D375" s="68" t="s">
        <v>94</v>
      </c>
      <c r="E375" s="644">
        <v>1</v>
      </c>
      <c r="F375" s="63">
        <v>1</v>
      </c>
      <c r="G375" t="s">
        <v>511</v>
      </c>
      <c r="H375" s="249">
        <v>1</v>
      </c>
      <c r="I375" s="652"/>
      <c r="J375" s="10">
        <v>1</v>
      </c>
      <c r="K375" s="10">
        <v>1</v>
      </c>
      <c r="L375" s="10">
        <v>2</v>
      </c>
      <c r="M375" s="10">
        <v>2</v>
      </c>
      <c r="N375" s="402">
        <f t="shared" si="7"/>
        <v>0.35859414261160716</v>
      </c>
      <c r="O375" s="499"/>
      <c r="P375" s="100" t="s">
        <v>512</v>
      </c>
    </row>
    <row r="376" spans="1:19">
      <c r="A376" s="97" t="s">
        <v>256</v>
      </c>
      <c r="B376" s="68" t="s">
        <v>267</v>
      </c>
      <c r="C376" s="304" t="s">
        <v>180</v>
      </c>
      <c r="D376" s="68" t="s">
        <v>96</v>
      </c>
      <c r="E376" s="644">
        <v>0.43243243243243251</v>
      </c>
      <c r="F376" s="63">
        <v>1</v>
      </c>
      <c r="G376" t="s">
        <v>511</v>
      </c>
      <c r="H376" s="249">
        <v>1</v>
      </c>
      <c r="I376" s="652"/>
      <c r="J376" s="10">
        <v>1</v>
      </c>
      <c r="K376" s="10">
        <v>1</v>
      </c>
      <c r="L376" s="10">
        <v>2</v>
      </c>
      <c r="M376" s="10">
        <v>2</v>
      </c>
      <c r="N376" s="402">
        <f t="shared" si="7"/>
        <v>0.35859414261160716</v>
      </c>
      <c r="O376" s="499"/>
      <c r="P376" s="100" t="s">
        <v>512</v>
      </c>
    </row>
    <row r="377" spans="1:19">
      <c r="A377" s="97" t="s">
        <v>256</v>
      </c>
      <c r="B377" s="68" t="s">
        <v>267</v>
      </c>
      <c r="C377" s="304" t="s">
        <v>180</v>
      </c>
      <c r="D377" s="68" t="s">
        <v>97</v>
      </c>
      <c r="E377" s="644">
        <v>0.66998341625207292</v>
      </c>
      <c r="F377" s="63">
        <v>1</v>
      </c>
      <c r="G377" t="s">
        <v>511</v>
      </c>
      <c r="H377" s="249">
        <v>1</v>
      </c>
      <c r="I377" s="652"/>
      <c r="J377" s="10">
        <v>1</v>
      </c>
      <c r="K377" s="10">
        <v>1</v>
      </c>
      <c r="L377" s="10">
        <v>2</v>
      </c>
      <c r="M377" s="10">
        <v>2</v>
      </c>
      <c r="N377" s="402">
        <f t="shared" si="7"/>
        <v>0.35859414261160716</v>
      </c>
      <c r="O377" s="499"/>
      <c r="P377" s="100" t="s">
        <v>512</v>
      </c>
    </row>
    <row r="378" spans="1:19">
      <c r="A378" s="97" t="s">
        <v>256</v>
      </c>
      <c r="B378" s="68" t="s">
        <v>267</v>
      </c>
      <c r="C378" s="304" t="s">
        <v>180</v>
      </c>
      <c r="D378" s="68" t="s">
        <v>95</v>
      </c>
      <c r="E378" s="644">
        <v>1</v>
      </c>
      <c r="F378" s="63">
        <v>1</v>
      </c>
      <c r="G378" t="s">
        <v>511</v>
      </c>
      <c r="H378" s="249">
        <v>1</v>
      </c>
      <c r="I378" s="652"/>
      <c r="J378" s="10">
        <v>1</v>
      </c>
      <c r="K378" s="10">
        <v>1</v>
      </c>
      <c r="L378" s="10">
        <v>2</v>
      </c>
      <c r="M378" s="10">
        <v>2</v>
      </c>
      <c r="N378" s="402">
        <f t="shared" si="7"/>
        <v>0.35859414261160716</v>
      </c>
      <c r="O378" s="499"/>
      <c r="P378" s="100" t="s">
        <v>512</v>
      </c>
    </row>
    <row r="379" spans="1:19">
      <c r="A379" s="97" t="s">
        <v>256</v>
      </c>
      <c r="B379" s="68" t="s">
        <v>267</v>
      </c>
      <c r="C379" s="304" t="s">
        <v>180</v>
      </c>
      <c r="D379" s="68" t="s">
        <v>93</v>
      </c>
      <c r="E379" s="644">
        <v>0.67391304347826086</v>
      </c>
      <c r="F379" s="63">
        <v>1</v>
      </c>
      <c r="G379" t="s">
        <v>511</v>
      </c>
      <c r="H379" s="249">
        <v>1</v>
      </c>
      <c r="I379" s="652"/>
      <c r="J379" s="10">
        <v>1</v>
      </c>
      <c r="K379" s="10">
        <v>1</v>
      </c>
      <c r="L379" s="10">
        <v>2</v>
      </c>
      <c r="M379" s="10">
        <v>2</v>
      </c>
      <c r="N379" s="402">
        <f t="shared" si="7"/>
        <v>0.35859414261160716</v>
      </c>
      <c r="O379" s="499"/>
      <c r="P379" s="100" t="s">
        <v>512</v>
      </c>
    </row>
    <row r="380" spans="1:19">
      <c r="A380" s="97" t="s">
        <v>256</v>
      </c>
      <c r="B380" s="68" t="s">
        <v>267</v>
      </c>
      <c r="C380" s="304" t="s">
        <v>180</v>
      </c>
      <c r="D380" s="68" t="s">
        <v>98</v>
      </c>
      <c r="E380" s="644">
        <v>1</v>
      </c>
      <c r="F380" s="63">
        <v>1</v>
      </c>
      <c r="G380" t="s">
        <v>511</v>
      </c>
      <c r="H380" s="249">
        <v>1</v>
      </c>
      <c r="I380" s="652"/>
      <c r="J380" s="10">
        <v>1</v>
      </c>
      <c r="K380" s="10">
        <v>1</v>
      </c>
      <c r="L380" s="10">
        <v>2</v>
      </c>
      <c r="M380" s="10">
        <v>2</v>
      </c>
      <c r="N380" s="402">
        <f t="shared" si="7"/>
        <v>0.35859414261160716</v>
      </c>
      <c r="O380" s="499"/>
      <c r="P380" s="100" t="s">
        <v>512</v>
      </c>
    </row>
    <row r="381" spans="1:19">
      <c r="A381" s="97" t="s">
        <v>256</v>
      </c>
      <c r="B381" s="68" t="s">
        <v>267</v>
      </c>
      <c r="C381" s="304" t="s">
        <v>182</v>
      </c>
      <c r="D381" s="68" t="s">
        <v>85</v>
      </c>
      <c r="E381" s="644">
        <v>0.15660919540229881</v>
      </c>
      <c r="F381" s="34">
        <v>1</v>
      </c>
      <c r="G381" t="s">
        <v>511</v>
      </c>
      <c r="H381" s="249">
        <v>1</v>
      </c>
      <c r="I381" s="650"/>
      <c r="J381" s="10">
        <v>1</v>
      </c>
      <c r="K381" s="10">
        <v>1</v>
      </c>
      <c r="L381" s="10">
        <v>2</v>
      </c>
      <c r="M381" s="10">
        <v>2</v>
      </c>
      <c r="N381" s="402">
        <f t="shared" si="7"/>
        <v>0.35859414261160716</v>
      </c>
      <c r="O381" s="499"/>
      <c r="P381" s="100" t="s">
        <v>512</v>
      </c>
    </row>
    <row r="382" spans="1:19">
      <c r="A382" s="97" t="s">
        <v>256</v>
      </c>
      <c r="B382" s="68" t="s">
        <v>267</v>
      </c>
      <c r="C382" s="304" t="s">
        <v>182</v>
      </c>
      <c r="D382" s="68" t="s">
        <v>86</v>
      </c>
      <c r="E382" s="644">
        <v>0.1689198415949747</v>
      </c>
      <c r="F382" s="34">
        <v>1</v>
      </c>
      <c r="G382" t="s">
        <v>511</v>
      </c>
      <c r="I382" s="249">
        <v>1</v>
      </c>
      <c r="J382" s="10">
        <v>1</v>
      </c>
      <c r="K382" s="10">
        <v>1</v>
      </c>
      <c r="L382" s="10">
        <v>2</v>
      </c>
      <c r="M382" s="10">
        <v>2</v>
      </c>
      <c r="N382" s="402">
        <f t="shared" ref="N382:N393" si="8">IF( OR( ISBLANK(I382),ISBLANK(J382), ISBLANK(K382), ISBLANK(L382), ISBLANK(M382) ), "", 1.5*SQRT(   EXP(2.21*(I382-1)) + EXP(2.21*(J382-1)) + EXP(2.21*(K382-1)) + EXP(2.21*(L382-1)) + EXP(2.21*M382)   )/100*2.45 )</f>
        <v>0.35859414261160716</v>
      </c>
      <c r="O382" s="499"/>
      <c r="P382" s="100" t="s">
        <v>512</v>
      </c>
    </row>
    <row r="383" spans="1:19">
      <c r="A383" s="97" t="s">
        <v>256</v>
      </c>
      <c r="B383" s="68" t="s">
        <v>267</v>
      </c>
      <c r="C383" s="304" t="s">
        <v>182</v>
      </c>
      <c r="D383" s="68" t="s">
        <v>87</v>
      </c>
      <c r="E383" s="644">
        <v>9.9585062240663894E-2</v>
      </c>
      <c r="F383" s="34">
        <v>1</v>
      </c>
      <c r="G383" t="s">
        <v>511</v>
      </c>
      <c r="I383" s="249">
        <v>1</v>
      </c>
      <c r="J383" s="10">
        <v>1</v>
      </c>
      <c r="K383" s="10">
        <v>1</v>
      </c>
      <c r="L383" s="10">
        <v>2</v>
      </c>
      <c r="M383" s="10">
        <v>2</v>
      </c>
      <c r="N383" s="402">
        <f t="shared" si="8"/>
        <v>0.35859414261160716</v>
      </c>
      <c r="O383" s="499"/>
      <c r="P383" s="100" t="s">
        <v>512</v>
      </c>
    </row>
    <row r="384" spans="1:19">
      <c r="A384" s="97" t="s">
        <v>256</v>
      </c>
      <c r="B384" s="68" t="s">
        <v>267</v>
      </c>
      <c r="C384" s="304" t="s">
        <v>182</v>
      </c>
      <c r="D384" s="68" t="s">
        <v>88</v>
      </c>
      <c r="E384" s="644">
        <v>0.16331787738279241</v>
      </c>
      <c r="F384" s="34">
        <v>1</v>
      </c>
      <c r="G384" t="s">
        <v>511</v>
      </c>
      <c r="I384" s="249">
        <v>1</v>
      </c>
      <c r="J384" s="10">
        <v>1</v>
      </c>
      <c r="K384" s="10">
        <v>1</v>
      </c>
      <c r="L384" s="10">
        <v>2</v>
      </c>
      <c r="M384" s="10">
        <v>2</v>
      </c>
      <c r="N384" s="402">
        <f t="shared" si="8"/>
        <v>0.35859414261160716</v>
      </c>
      <c r="O384" s="499"/>
      <c r="P384" s="100" t="s">
        <v>512</v>
      </c>
    </row>
    <row r="385" spans="1:16">
      <c r="A385" s="97" t="s">
        <v>256</v>
      </c>
      <c r="B385" s="68" t="s">
        <v>267</v>
      </c>
      <c r="C385" s="304" t="s">
        <v>182</v>
      </c>
      <c r="D385" s="68" t="s">
        <v>89</v>
      </c>
      <c r="E385" s="644">
        <v>4.9733570159857902E-2</v>
      </c>
      <c r="F385" s="34">
        <v>1</v>
      </c>
      <c r="G385" t="s">
        <v>511</v>
      </c>
      <c r="I385" s="249">
        <v>1</v>
      </c>
      <c r="J385" s="10">
        <v>1</v>
      </c>
      <c r="K385" s="10">
        <v>1</v>
      </c>
      <c r="L385" s="10">
        <v>2</v>
      </c>
      <c r="M385" s="10">
        <v>2</v>
      </c>
      <c r="N385" s="402">
        <f t="shared" si="8"/>
        <v>0.35859414261160716</v>
      </c>
      <c r="O385" s="499"/>
      <c r="P385" s="100" t="s">
        <v>512</v>
      </c>
    </row>
    <row r="386" spans="1:16">
      <c r="A386" s="97" t="s">
        <v>256</v>
      </c>
      <c r="B386" s="68" t="s">
        <v>267</v>
      </c>
      <c r="C386" s="304" t="s">
        <v>182</v>
      </c>
      <c r="D386" s="68" t="s">
        <v>90</v>
      </c>
      <c r="E386" s="644">
        <v>0.225984796129924</v>
      </c>
      <c r="F386" s="34">
        <v>1</v>
      </c>
      <c r="G386" t="s">
        <v>511</v>
      </c>
      <c r="I386" s="249">
        <v>1</v>
      </c>
      <c r="J386" s="10">
        <v>1</v>
      </c>
      <c r="K386" s="10">
        <v>1</v>
      </c>
      <c r="L386" s="10">
        <v>2</v>
      </c>
      <c r="M386" s="10">
        <v>2</v>
      </c>
      <c r="N386" s="402">
        <f t="shared" si="8"/>
        <v>0.35859414261160716</v>
      </c>
      <c r="O386" s="499"/>
      <c r="P386" s="100" t="s">
        <v>512</v>
      </c>
    </row>
    <row r="387" spans="1:16">
      <c r="A387" s="97" t="s">
        <v>256</v>
      </c>
      <c r="B387" s="68" t="s">
        <v>267</v>
      </c>
      <c r="C387" s="304" t="s">
        <v>182</v>
      </c>
      <c r="D387" s="68" t="s">
        <v>91</v>
      </c>
      <c r="E387" s="644">
        <v>9.5582536812193225E-2</v>
      </c>
      <c r="F387" s="34">
        <v>1</v>
      </c>
      <c r="G387" t="s">
        <v>511</v>
      </c>
      <c r="I387" s="249">
        <v>1</v>
      </c>
      <c r="J387" s="10">
        <v>1</v>
      </c>
      <c r="K387" s="10">
        <v>1</v>
      </c>
      <c r="L387" s="10">
        <v>2</v>
      </c>
      <c r="M387" s="10">
        <v>2</v>
      </c>
      <c r="N387" s="402">
        <f t="shared" si="8"/>
        <v>0.35859414261160716</v>
      </c>
      <c r="O387" s="499"/>
      <c r="P387" s="100" t="s">
        <v>512</v>
      </c>
    </row>
    <row r="388" spans="1:16">
      <c r="A388" s="97" t="s">
        <v>256</v>
      </c>
      <c r="B388" s="68" t="s">
        <v>267</v>
      </c>
      <c r="C388" s="304" t="s">
        <v>182</v>
      </c>
      <c r="D388" s="68" t="s">
        <v>94</v>
      </c>
      <c r="E388" s="644">
        <v>0.24492099322799099</v>
      </c>
      <c r="F388" s="34">
        <v>1</v>
      </c>
      <c r="G388" t="s">
        <v>511</v>
      </c>
      <c r="I388" s="249">
        <v>1</v>
      </c>
      <c r="J388" s="10">
        <v>1</v>
      </c>
      <c r="K388" s="10">
        <v>1</v>
      </c>
      <c r="L388" s="10">
        <v>2</v>
      </c>
      <c r="M388" s="10">
        <v>2</v>
      </c>
      <c r="N388" s="402">
        <f t="shared" si="8"/>
        <v>0.35859414261160716</v>
      </c>
      <c r="O388" s="499"/>
      <c r="P388" s="100" t="s">
        <v>512</v>
      </c>
    </row>
    <row r="389" spans="1:16">
      <c r="A389" s="97" t="s">
        <v>256</v>
      </c>
      <c r="B389" s="68" t="s">
        <v>267</v>
      </c>
      <c r="C389" s="304" t="s">
        <v>182</v>
      </c>
      <c r="D389" s="68" t="s">
        <v>96</v>
      </c>
      <c r="E389" s="644">
        <v>0.19953775038520799</v>
      </c>
      <c r="F389" s="34">
        <v>1</v>
      </c>
      <c r="G389" t="s">
        <v>511</v>
      </c>
      <c r="I389" s="249">
        <v>1</v>
      </c>
      <c r="J389" s="10">
        <v>1</v>
      </c>
      <c r="K389" s="10">
        <v>1</v>
      </c>
      <c r="L389" s="10">
        <v>2</v>
      </c>
      <c r="M389" s="10">
        <v>2</v>
      </c>
      <c r="N389" s="402">
        <f t="shared" si="8"/>
        <v>0.35859414261160716</v>
      </c>
      <c r="O389" s="499"/>
      <c r="P389" s="100" t="s">
        <v>512</v>
      </c>
    </row>
    <row r="390" spans="1:16">
      <c r="A390" s="97" t="s">
        <v>256</v>
      </c>
      <c r="B390" s="68" t="s">
        <v>267</v>
      </c>
      <c r="C390" s="304" t="s">
        <v>182</v>
      </c>
      <c r="D390" s="68" t="s">
        <v>97</v>
      </c>
      <c r="E390" s="644">
        <v>0.3138111888111888</v>
      </c>
      <c r="F390" s="34">
        <v>1</v>
      </c>
      <c r="G390" t="s">
        <v>511</v>
      </c>
      <c r="I390" s="249">
        <v>1</v>
      </c>
      <c r="J390" s="10">
        <v>1</v>
      </c>
      <c r="K390" s="10">
        <v>1</v>
      </c>
      <c r="L390" s="10">
        <v>2</v>
      </c>
      <c r="M390" s="10">
        <v>2</v>
      </c>
      <c r="N390" s="402">
        <f t="shared" si="8"/>
        <v>0.35859414261160716</v>
      </c>
      <c r="O390" s="499"/>
      <c r="P390" s="100" t="s">
        <v>512</v>
      </c>
    </row>
    <row r="391" spans="1:16">
      <c r="A391" s="97" t="s">
        <v>256</v>
      </c>
      <c r="B391" s="68" t="s">
        <v>267</v>
      </c>
      <c r="C391" s="304" t="s">
        <v>182</v>
      </c>
      <c r="D391" s="68" t="s">
        <v>95</v>
      </c>
      <c r="E391" s="644">
        <v>0.2368318376902068</v>
      </c>
      <c r="F391" s="34">
        <v>1</v>
      </c>
      <c r="G391" t="s">
        <v>511</v>
      </c>
      <c r="I391" s="249">
        <v>1</v>
      </c>
      <c r="J391" s="10">
        <v>1</v>
      </c>
      <c r="K391" s="10">
        <v>1</v>
      </c>
      <c r="L391" s="10">
        <v>2</v>
      </c>
      <c r="M391" s="10">
        <v>2</v>
      </c>
      <c r="N391" s="402">
        <f t="shared" si="8"/>
        <v>0.35859414261160716</v>
      </c>
      <c r="O391" s="499"/>
      <c r="P391" s="100" t="s">
        <v>512</v>
      </c>
    </row>
    <row r="392" spans="1:16">
      <c r="A392" s="97" t="s">
        <v>256</v>
      </c>
      <c r="B392" s="68" t="s">
        <v>267</v>
      </c>
      <c r="C392" s="304" t="s">
        <v>182</v>
      </c>
      <c r="D392" s="68" t="s">
        <v>93</v>
      </c>
      <c r="E392" s="644">
        <v>0.16604287172507659</v>
      </c>
      <c r="F392" s="34">
        <v>1</v>
      </c>
      <c r="G392" t="s">
        <v>511</v>
      </c>
      <c r="I392" s="249">
        <v>1</v>
      </c>
      <c r="J392" s="10">
        <v>1</v>
      </c>
      <c r="K392" s="10">
        <v>1</v>
      </c>
      <c r="L392" s="10">
        <v>2</v>
      </c>
      <c r="M392" s="10">
        <v>2</v>
      </c>
      <c r="N392" s="402">
        <f t="shared" si="8"/>
        <v>0.35859414261160716</v>
      </c>
      <c r="O392" s="499"/>
      <c r="P392" s="100" t="s">
        <v>512</v>
      </c>
    </row>
    <row r="393" spans="1:16" ht="15" thickBot="1">
      <c r="A393" s="98" t="s">
        <v>256</v>
      </c>
      <c r="B393" s="72" t="s">
        <v>267</v>
      </c>
      <c r="C393" s="317" t="s">
        <v>182</v>
      </c>
      <c r="D393" s="72" t="s">
        <v>98</v>
      </c>
      <c r="E393" s="644">
        <v>0.34568127636163581</v>
      </c>
      <c r="F393" s="35">
        <v>1</v>
      </c>
      <c r="G393" s="501" t="s">
        <v>511</v>
      </c>
      <c r="H393" s="648"/>
      <c r="I393" s="252">
        <v>1</v>
      </c>
      <c r="J393" s="14">
        <v>1</v>
      </c>
      <c r="K393" s="14">
        <v>1</v>
      </c>
      <c r="L393" s="14">
        <v>2</v>
      </c>
      <c r="M393" s="14">
        <v>2</v>
      </c>
      <c r="N393" s="425">
        <f t="shared" si="8"/>
        <v>0.35859414261160716</v>
      </c>
      <c r="O393" s="500"/>
      <c r="P393" s="100" t="s">
        <v>512</v>
      </c>
    </row>
    <row r="394" spans="1:16">
      <c r="A394" s="7"/>
      <c r="B394" s="7"/>
      <c r="C394" s="1"/>
      <c r="D394" s="7"/>
      <c r="E394" s="120"/>
      <c r="F394" s="7"/>
      <c r="G394" s="7"/>
      <c r="H394" s="7"/>
      <c r="I394" s="7"/>
      <c r="J394" s="7"/>
      <c r="K394" s="7"/>
      <c r="L394" s="7"/>
      <c r="M394" s="7"/>
      <c r="N394" s="7"/>
      <c r="O394" s="7"/>
      <c r="P394" s="7"/>
    </row>
    <row r="395" spans="1:16" s="411" customFormat="1">
      <c r="A395" s="764" t="s">
        <v>1977</v>
      </c>
      <c r="B395" s="761"/>
      <c r="C395" s="762"/>
      <c r="D395" s="761"/>
      <c r="E395" s="763"/>
      <c r="F395" s="761"/>
      <c r="G395" s="761"/>
      <c r="H395" s="761"/>
      <c r="I395" s="761"/>
      <c r="J395" s="761"/>
      <c r="K395" s="761"/>
      <c r="L395" s="761"/>
      <c r="M395" s="761"/>
      <c r="N395" s="761"/>
      <c r="O395" s="761"/>
      <c r="P395" s="761"/>
    </row>
    <row r="396" spans="1:16">
      <c r="A396" s="9" t="s">
        <v>256</v>
      </c>
      <c r="B396" s="9" t="s">
        <v>262</v>
      </c>
      <c r="C396" s="9" t="s">
        <v>139</v>
      </c>
      <c r="D396" s="9" t="s">
        <v>139</v>
      </c>
      <c r="E396" s="765">
        <v>9.9999999999999995E-7</v>
      </c>
      <c r="F396" s="9">
        <v>2</v>
      </c>
      <c r="G396" s="186" t="s">
        <v>1974</v>
      </c>
      <c r="H396" s="10">
        <v>2</v>
      </c>
      <c r="I396" s="10">
        <v>2</v>
      </c>
      <c r="J396" s="10">
        <v>3</v>
      </c>
      <c r="K396" s="10">
        <v>3</v>
      </c>
      <c r="L396" s="10">
        <v>3</v>
      </c>
      <c r="M396" s="10">
        <v>2</v>
      </c>
      <c r="N396" s="402">
        <f t="shared" ref="N396:N407" si="9">IF( OR( ISBLANK(H396),ISBLANK(J396), ISBLANK(K396), ISBLANK(L396), ISBLANK(M396) ), "", 1.5*SQRT(   EXP(2.21*(H396-1)) + EXP(2.21*(J396-1)) + EXP(2.21*(K396-1)) + EXP(2.21*(L396-1)) + EXP(2.21*M396)   )/100*2.45 )</f>
        <v>0.67913051197703389</v>
      </c>
      <c r="O396" s="402">
        <f t="shared" ref="O396:O407" si="10">IF( OR( ISBLANK(I396),ISBLANK(J396), ISBLANK(K396), ISBLANK(L396), ISBLANK(M396) ), "", 1.5*SQRT( EXP(2.21*(I396-1)) + EXP(2.21*(J396-1)) + EXP(2.21*(K396-1)) + EXP(2.21*(L396-1)) + EXP(2.21*M396)   )/100*2.45 )</f>
        <v>0.67913051197703389</v>
      </c>
      <c r="P396" s="759" t="s">
        <v>1972</v>
      </c>
    </row>
    <row r="397" spans="1:16">
      <c r="A397" s="9" t="s">
        <v>256</v>
      </c>
      <c r="B397" s="9" t="s">
        <v>262</v>
      </c>
      <c r="C397" s="9" t="s">
        <v>139</v>
      </c>
      <c r="D397" s="9" t="s">
        <v>139</v>
      </c>
      <c r="E397" s="766">
        <f>0.05*(1-0.088)/100</f>
        <v>4.5600000000000003E-4</v>
      </c>
      <c r="F397" s="9">
        <v>2</v>
      </c>
      <c r="G397" s="186" t="s">
        <v>1974</v>
      </c>
      <c r="H397" s="10">
        <v>2</v>
      </c>
      <c r="I397" s="10">
        <v>2</v>
      </c>
      <c r="J397" s="10">
        <v>3</v>
      </c>
      <c r="K397" s="10">
        <v>3</v>
      </c>
      <c r="L397" s="10">
        <v>3</v>
      </c>
      <c r="M397" s="10">
        <v>2</v>
      </c>
      <c r="N397" s="402">
        <f t="shared" si="9"/>
        <v>0.67913051197703389</v>
      </c>
      <c r="O397" s="402">
        <f t="shared" si="10"/>
        <v>0.67913051197703389</v>
      </c>
      <c r="P397" s="759" t="s">
        <v>1972</v>
      </c>
    </row>
    <row r="398" spans="1:16">
      <c r="A398" s="224" t="s">
        <v>256</v>
      </c>
      <c r="B398" s="224" t="s">
        <v>410</v>
      </c>
      <c r="C398" s="224" t="s">
        <v>139</v>
      </c>
      <c r="D398" s="224" t="s">
        <v>139</v>
      </c>
      <c r="E398" s="765">
        <v>9.9999999999999995E-7</v>
      </c>
      <c r="F398" s="307">
        <v>2</v>
      </c>
      <c r="G398" s="186" t="s">
        <v>1978</v>
      </c>
      <c r="H398" s="224">
        <v>2</v>
      </c>
      <c r="I398" s="224">
        <v>2</v>
      </c>
      <c r="J398" s="224">
        <v>3</v>
      </c>
      <c r="K398" s="224">
        <v>3</v>
      </c>
      <c r="L398" s="224">
        <v>3</v>
      </c>
      <c r="M398" s="224">
        <v>2</v>
      </c>
      <c r="N398" s="402">
        <f t="shared" si="9"/>
        <v>0.67913051197703389</v>
      </c>
      <c r="O398" s="402">
        <f t="shared" si="10"/>
        <v>0.67913051197703389</v>
      </c>
      <c r="P398" s="224"/>
    </row>
    <row r="399" spans="1:16">
      <c r="A399" s="224" t="s">
        <v>256</v>
      </c>
      <c r="B399" s="224" t="s">
        <v>410</v>
      </c>
      <c r="C399" s="224" t="s">
        <v>139</v>
      </c>
      <c r="D399" s="224" t="s">
        <v>139</v>
      </c>
      <c r="E399" s="766">
        <f>0.05*0.088/100</f>
        <v>4.4000000000000006E-5</v>
      </c>
      <c r="F399" s="307">
        <v>2</v>
      </c>
      <c r="G399" s="186" t="s">
        <v>1978</v>
      </c>
      <c r="H399" s="224">
        <v>2</v>
      </c>
      <c r="I399" s="224">
        <v>2</v>
      </c>
      <c r="J399" s="224">
        <v>3</v>
      </c>
      <c r="K399" s="224">
        <v>3</v>
      </c>
      <c r="L399" s="224">
        <v>3</v>
      </c>
      <c r="M399" s="224">
        <v>2</v>
      </c>
      <c r="N399" s="402">
        <f t="shared" si="9"/>
        <v>0.67913051197703389</v>
      </c>
      <c r="O399" s="402">
        <f t="shared" si="10"/>
        <v>0.67913051197703389</v>
      </c>
      <c r="P399" s="224" t="s">
        <v>1979</v>
      </c>
    </row>
    <row r="400" spans="1:16">
      <c r="A400" s="9" t="s">
        <v>262</v>
      </c>
      <c r="B400" s="9" t="s">
        <v>258</v>
      </c>
      <c r="C400" s="9" t="s">
        <v>139</v>
      </c>
      <c r="D400" s="9" t="s">
        <v>139</v>
      </c>
      <c r="E400" s="242">
        <v>0.25</v>
      </c>
      <c r="F400" s="9">
        <v>2</v>
      </c>
      <c r="G400" s="186" t="s">
        <v>1975</v>
      </c>
      <c r="H400" s="10">
        <v>2</v>
      </c>
      <c r="I400" s="10">
        <v>2</v>
      </c>
      <c r="J400" s="10">
        <v>3</v>
      </c>
      <c r="K400" s="10">
        <v>3</v>
      </c>
      <c r="L400" s="10">
        <v>3</v>
      </c>
      <c r="M400" s="10">
        <v>2</v>
      </c>
      <c r="N400" s="402">
        <f t="shared" si="9"/>
        <v>0.67913051197703389</v>
      </c>
      <c r="O400" s="402">
        <f t="shared" si="10"/>
        <v>0.67913051197703389</v>
      </c>
      <c r="P400" s="9" t="s">
        <v>1973</v>
      </c>
    </row>
    <row r="401" spans="1:16">
      <c r="A401" s="9" t="s">
        <v>262</v>
      </c>
      <c r="B401" s="9" t="s">
        <v>251</v>
      </c>
      <c r="C401" s="9" t="s">
        <v>139</v>
      </c>
      <c r="D401" s="9" t="s">
        <v>139</v>
      </c>
      <c r="E401" s="242">
        <v>0.75</v>
      </c>
      <c r="F401" s="9">
        <v>2</v>
      </c>
      <c r="G401" s="186" t="s">
        <v>1975</v>
      </c>
      <c r="H401" s="10">
        <v>2</v>
      </c>
      <c r="I401" s="10">
        <v>2</v>
      </c>
      <c r="J401" s="10">
        <v>3</v>
      </c>
      <c r="K401" s="10">
        <v>3</v>
      </c>
      <c r="L401" s="10">
        <v>3</v>
      </c>
      <c r="M401" s="10">
        <v>2</v>
      </c>
      <c r="N401" s="402">
        <f t="shared" si="9"/>
        <v>0.67913051197703389</v>
      </c>
      <c r="O401" s="402">
        <f t="shared" si="10"/>
        <v>0.67913051197703389</v>
      </c>
      <c r="P401" s="9" t="s">
        <v>1973</v>
      </c>
    </row>
    <row r="402" spans="1:16">
      <c r="A402" s="9" t="s">
        <v>259</v>
      </c>
      <c r="B402" s="9" t="s">
        <v>261</v>
      </c>
      <c r="C402" s="9" t="s">
        <v>139</v>
      </c>
      <c r="D402" s="9" t="s">
        <v>139</v>
      </c>
      <c r="E402" s="766">
        <v>9.9999999999999995E-7</v>
      </c>
      <c r="F402" s="247">
        <v>2</v>
      </c>
      <c r="G402" s="186" t="s">
        <v>1974</v>
      </c>
      <c r="H402" s="172">
        <v>2</v>
      </c>
      <c r="I402" s="10">
        <v>2</v>
      </c>
      <c r="J402" s="10">
        <v>3</v>
      </c>
      <c r="K402" s="10">
        <v>3</v>
      </c>
      <c r="L402" s="10">
        <v>3</v>
      </c>
      <c r="M402" s="10">
        <v>2</v>
      </c>
      <c r="N402" s="402">
        <f t="shared" si="9"/>
        <v>0.67913051197703389</v>
      </c>
      <c r="O402" s="402">
        <f t="shared" si="10"/>
        <v>0.67913051197703389</v>
      </c>
      <c r="P402" s="759" t="s">
        <v>1972</v>
      </c>
    </row>
    <row r="403" spans="1:16">
      <c r="A403" s="9" t="s">
        <v>259</v>
      </c>
      <c r="B403" s="9" t="s">
        <v>261</v>
      </c>
      <c r="C403" s="9" t="s">
        <v>139</v>
      </c>
      <c r="D403" s="9" t="s">
        <v>139</v>
      </c>
      <c r="E403" s="766">
        <v>4.0000000000000002E-4</v>
      </c>
      <c r="F403" s="247">
        <v>2</v>
      </c>
      <c r="G403" s="186" t="s">
        <v>1974</v>
      </c>
      <c r="H403" s="172">
        <v>2</v>
      </c>
      <c r="I403" s="10">
        <v>2</v>
      </c>
      <c r="J403" s="10">
        <v>3</v>
      </c>
      <c r="K403" s="10">
        <v>3</v>
      </c>
      <c r="L403" s="10">
        <v>3</v>
      </c>
      <c r="M403" s="10">
        <v>2</v>
      </c>
      <c r="N403" s="402">
        <f t="shared" si="9"/>
        <v>0.67913051197703389</v>
      </c>
      <c r="O403" s="402">
        <f t="shared" si="10"/>
        <v>0.67913051197703389</v>
      </c>
      <c r="P403" s="759" t="s">
        <v>1972</v>
      </c>
    </row>
    <row r="404" spans="1:16">
      <c r="A404" s="119" t="s">
        <v>109</v>
      </c>
      <c r="B404" s="119" t="s">
        <v>261</v>
      </c>
      <c r="C404" s="119" t="s">
        <v>139</v>
      </c>
      <c r="D404" s="119" t="s">
        <v>139</v>
      </c>
      <c r="E404" s="775">
        <v>9.9999999999999995E-7</v>
      </c>
      <c r="F404" s="309">
        <v>2</v>
      </c>
      <c r="G404" s="186" t="s">
        <v>1974</v>
      </c>
      <c r="H404" s="175">
        <v>2</v>
      </c>
      <c r="I404" s="15">
        <v>2</v>
      </c>
      <c r="J404" s="15">
        <v>3</v>
      </c>
      <c r="K404" s="15">
        <v>3</v>
      </c>
      <c r="L404" s="15">
        <v>3</v>
      </c>
      <c r="M404" s="15">
        <v>2</v>
      </c>
      <c r="N404" s="421">
        <f t="shared" si="9"/>
        <v>0.67913051197703389</v>
      </c>
      <c r="O404" s="421">
        <f t="shared" si="10"/>
        <v>0.67913051197703389</v>
      </c>
      <c r="P404" s="119" t="s">
        <v>504</v>
      </c>
    </row>
    <row r="405" spans="1:16">
      <c r="A405" s="9" t="s">
        <v>109</v>
      </c>
      <c r="B405" s="9" t="s">
        <v>261</v>
      </c>
      <c r="C405" s="9" t="s">
        <v>139</v>
      </c>
      <c r="D405" s="9" t="s">
        <v>139</v>
      </c>
      <c r="E405" s="766">
        <v>4.0000000000000002E-4</v>
      </c>
      <c r="F405" s="247">
        <v>2</v>
      </c>
      <c r="G405" s="186" t="s">
        <v>1974</v>
      </c>
      <c r="H405" s="172">
        <v>2</v>
      </c>
      <c r="I405" s="10">
        <v>2</v>
      </c>
      <c r="J405" s="10">
        <v>3</v>
      </c>
      <c r="K405" s="10">
        <v>3</v>
      </c>
      <c r="L405" s="10">
        <v>3</v>
      </c>
      <c r="M405" s="10">
        <v>2</v>
      </c>
      <c r="N405" s="402">
        <f t="shared" si="9"/>
        <v>0.67913051197703389</v>
      </c>
      <c r="O405" s="402">
        <f t="shared" si="10"/>
        <v>0.67913051197703389</v>
      </c>
      <c r="P405" s="9" t="s">
        <v>504</v>
      </c>
    </row>
    <row r="406" spans="1:16" ht="15.75" customHeight="1">
      <c r="A406" s="9" t="s">
        <v>261</v>
      </c>
      <c r="B406" s="9" t="s">
        <v>254</v>
      </c>
      <c r="C406" s="9" t="s">
        <v>139</v>
      </c>
      <c r="D406" s="9" t="s">
        <v>139</v>
      </c>
      <c r="E406" s="766">
        <v>4.0000000000000001E-3</v>
      </c>
      <c r="F406" s="247">
        <v>2</v>
      </c>
      <c r="G406" s="186" t="s">
        <v>1975</v>
      </c>
      <c r="H406" s="172">
        <v>2</v>
      </c>
      <c r="I406" s="10">
        <v>2</v>
      </c>
      <c r="J406" s="10">
        <v>3</v>
      </c>
      <c r="K406" s="10">
        <v>3</v>
      </c>
      <c r="L406" s="10">
        <v>3</v>
      </c>
      <c r="M406" s="10">
        <v>2</v>
      </c>
      <c r="N406" s="402">
        <f t="shared" si="9"/>
        <v>0.67913051197703389</v>
      </c>
      <c r="O406" s="402">
        <f t="shared" si="10"/>
        <v>0.67913051197703389</v>
      </c>
      <c r="P406" s="9" t="s">
        <v>1973</v>
      </c>
    </row>
    <row r="407" spans="1:16" ht="15.75" customHeight="1">
      <c r="A407" s="9" t="s">
        <v>261</v>
      </c>
      <c r="B407" s="9" t="s">
        <v>251</v>
      </c>
      <c r="C407" s="9" t="s">
        <v>139</v>
      </c>
      <c r="D407" s="9" t="s">
        <v>139</v>
      </c>
      <c r="E407" s="766">
        <v>0.996</v>
      </c>
      <c r="F407" s="247">
        <v>2</v>
      </c>
      <c r="G407" s="186" t="s">
        <v>1975</v>
      </c>
      <c r="H407" s="172">
        <v>2</v>
      </c>
      <c r="I407" s="10">
        <v>2</v>
      </c>
      <c r="J407" s="10">
        <v>3</v>
      </c>
      <c r="K407" s="10">
        <v>3</v>
      </c>
      <c r="L407" s="10">
        <v>3</v>
      </c>
      <c r="M407" s="10">
        <v>2</v>
      </c>
      <c r="N407" s="402">
        <f t="shared" si="9"/>
        <v>0.67913051197703389</v>
      </c>
      <c r="O407" s="402">
        <f t="shared" si="10"/>
        <v>0.67913051197703389</v>
      </c>
      <c r="P407" s="9" t="s">
        <v>1973</v>
      </c>
    </row>
    <row r="409" spans="1:16" s="1014" customFormat="1">
      <c r="A409" s="1014" t="s">
        <v>513</v>
      </c>
    </row>
    <row r="410" spans="1:16" s="1014" customFormat="1"/>
    <row r="411" spans="1:16" s="222" customFormat="1">
      <c r="A411" s="222" t="s">
        <v>514</v>
      </c>
    </row>
    <row r="413" spans="1:16" ht="15">
      <c r="A413" s="653" t="s">
        <v>515</v>
      </c>
      <c r="B413" s="653" t="s">
        <v>516</v>
      </c>
      <c r="C413" s="653" t="s">
        <v>104</v>
      </c>
      <c r="D413" s="654" t="s">
        <v>85</v>
      </c>
      <c r="E413" s="654" t="s">
        <v>86</v>
      </c>
      <c r="F413" s="654" t="s">
        <v>87</v>
      </c>
      <c r="G413" s="654" t="s">
        <v>88</v>
      </c>
      <c r="H413" s="654" t="s">
        <v>89</v>
      </c>
      <c r="I413" s="654" t="s">
        <v>90</v>
      </c>
      <c r="J413" s="654" t="s">
        <v>91</v>
      </c>
      <c r="K413" s="654" t="s">
        <v>94</v>
      </c>
      <c r="L413" s="654" t="s">
        <v>96</v>
      </c>
      <c r="M413" s="654" t="s">
        <v>97</v>
      </c>
      <c r="N413" s="654" t="s">
        <v>95</v>
      </c>
      <c r="O413" s="654" t="s">
        <v>93</v>
      </c>
      <c r="P413" s="654" t="s">
        <v>98</v>
      </c>
    </row>
    <row r="414" spans="1:16">
      <c r="A414" s="224" t="s">
        <v>517</v>
      </c>
      <c r="B414" s="224"/>
      <c r="C414" s="224" t="s">
        <v>45</v>
      </c>
      <c r="D414" s="310">
        <v>1</v>
      </c>
      <c r="E414" s="310">
        <v>0</v>
      </c>
      <c r="F414" s="310">
        <v>0</v>
      </c>
      <c r="G414" s="310">
        <v>0</v>
      </c>
      <c r="H414" s="310">
        <v>0</v>
      </c>
      <c r="I414" s="310">
        <v>0</v>
      </c>
      <c r="J414" s="310">
        <v>0</v>
      </c>
      <c r="K414" s="310">
        <v>0</v>
      </c>
      <c r="L414" s="310">
        <v>0</v>
      </c>
      <c r="M414" s="310">
        <v>0</v>
      </c>
      <c r="N414" s="310">
        <v>0</v>
      </c>
      <c r="O414" s="310">
        <v>0</v>
      </c>
      <c r="P414" s="310">
        <v>0</v>
      </c>
    </row>
    <row r="415" spans="1:16">
      <c r="A415" s="224" t="s">
        <v>517</v>
      </c>
      <c r="B415" s="224"/>
      <c r="C415" s="224" t="s">
        <v>45</v>
      </c>
      <c r="D415" s="310">
        <v>1</v>
      </c>
      <c r="E415" s="310">
        <v>0</v>
      </c>
      <c r="F415" s="310">
        <v>0</v>
      </c>
      <c r="G415" s="310">
        <v>0</v>
      </c>
      <c r="H415" s="310">
        <v>0</v>
      </c>
      <c r="I415" s="310">
        <v>0</v>
      </c>
      <c r="J415" s="310">
        <v>0</v>
      </c>
      <c r="K415" s="310">
        <v>0</v>
      </c>
      <c r="L415" s="310">
        <v>0</v>
      </c>
      <c r="M415" s="310">
        <v>0</v>
      </c>
      <c r="N415" s="310">
        <v>0</v>
      </c>
      <c r="O415" s="310">
        <v>0</v>
      </c>
      <c r="P415" s="310">
        <v>0</v>
      </c>
    </row>
    <row r="416" spans="1:16">
      <c r="A416" s="224" t="s">
        <v>518</v>
      </c>
      <c r="B416" s="224"/>
      <c r="C416" s="224" t="s">
        <v>45</v>
      </c>
      <c r="D416" s="310">
        <v>0</v>
      </c>
      <c r="E416" s="310">
        <v>1</v>
      </c>
      <c r="F416" s="310">
        <v>0</v>
      </c>
      <c r="G416" s="310">
        <v>0</v>
      </c>
      <c r="H416" s="310">
        <v>0</v>
      </c>
      <c r="I416" s="310">
        <v>0</v>
      </c>
      <c r="J416" s="310">
        <v>0</v>
      </c>
      <c r="K416" s="310">
        <v>0</v>
      </c>
      <c r="L416" s="310">
        <v>0</v>
      </c>
      <c r="M416" s="310">
        <v>0</v>
      </c>
      <c r="N416" s="310">
        <v>0</v>
      </c>
      <c r="O416" s="310">
        <v>0</v>
      </c>
      <c r="P416" s="310">
        <v>0</v>
      </c>
    </row>
    <row r="417" spans="1:16">
      <c r="A417" s="224" t="s">
        <v>519</v>
      </c>
      <c r="B417" s="224" t="s">
        <v>520</v>
      </c>
      <c r="C417" s="224" t="s">
        <v>521</v>
      </c>
      <c r="D417" s="310">
        <v>0</v>
      </c>
      <c r="E417" s="310">
        <v>0</v>
      </c>
      <c r="F417" s="310">
        <v>0</v>
      </c>
      <c r="G417" s="310">
        <v>0</v>
      </c>
      <c r="H417" s="310">
        <v>0</v>
      </c>
      <c r="I417" s="310">
        <v>0</v>
      </c>
      <c r="J417" s="310">
        <v>0</v>
      </c>
      <c r="K417" s="310">
        <v>0</v>
      </c>
      <c r="L417" s="310">
        <v>0</v>
      </c>
      <c r="M417" s="310">
        <v>0</v>
      </c>
      <c r="N417" s="310">
        <v>0</v>
      </c>
      <c r="O417" s="310">
        <v>0</v>
      </c>
      <c r="P417" s="310">
        <v>1</v>
      </c>
    </row>
    <row r="418" spans="1:16">
      <c r="A418" s="224" t="s">
        <v>522</v>
      </c>
      <c r="B418" s="224" t="s">
        <v>520</v>
      </c>
      <c r="C418" s="224" t="s">
        <v>521</v>
      </c>
      <c r="D418" s="310">
        <v>0</v>
      </c>
      <c r="E418" s="310">
        <v>0</v>
      </c>
      <c r="F418" s="310">
        <v>0</v>
      </c>
      <c r="G418" s="310">
        <v>0</v>
      </c>
      <c r="H418" s="310">
        <v>0</v>
      </c>
      <c r="I418" s="310">
        <v>0</v>
      </c>
      <c r="J418" s="310">
        <v>0</v>
      </c>
      <c r="K418" s="310">
        <v>0</v>
      </c>
      <c r="L418" s="310">
        <v>0</v>
      </c>
      <c r="M418" s="310">
        <v>0</v>
      </c>
      <c r="N418" s="310">
        <v>0</v>
      </c>
      <c r="O418" s="310">
        <v>0</v>
      </c>
      <c r="P418" s="310">
        <v>1</v>
      </c>
    </row>
    <row r="419" spans="1:16">
      <c r="A419" s="224" t="s">
        <v>523</v>
      </c>
      <c r="B419" s="224"/>
      <c r="C419" s="224" t="s">
        <v>45</v>
      </c>
      <c r="D419" s="310">
        <v>0</v>
      </c>
      <c r="E419" s="310">
        <v>0</v>
      </c>
      <c r="F419" s="310">
        <v>1</v>
      </c>
      <c r="G419" s="310">
        <v>0</v>
      </c>
      <c r="H419" s="310">
        <v>0</v>
      </c>
      <c r="I419" s="310">
        <v>0</v>
      </c>
      <c r="J419" s="310">
        <v>0</v>
      </c>
      <c r="K419" s="310">
        <v>0</v>
      </c>
      <c r="L419" s="310">
        <v>0</v>
      </c>
      <c r="M419" s="310">
        <v>0</v>
      </c>
      <c r="N419" s="310">
        <v>0</v>
      </c>
      <c r="O419" s="310">
        <v>0</v>
      </c>
      <c r="P419" s="310">
        <v>0</v>
      </c>
    </row>
    <row r="420" spans="1:16">
      <c r="A420" s="224" t="s">
        <v>524</v>
      </c>
      <c r="B420" s="224" t="s">
        <v>520</v>
      </c>
      <c r="C420" s="224" t="s">
        <v>521</v>
      </c>
      <c r="D420" s="310">
        <v>0</v>
      </c>
      <c r="E420" s="310">
        <v>0</v>
      </c>
      <c r="F420" s="310">
        <v>0</v>
      </c>
      <c r="G420" s="310">
        <v>0</v>
      </c>
      <c r="H420" s="310">
        <v>0</v>
      </c>
      <c r="I420" s="310">
        <v>0</v>
      </c>
      <c r="J420" s="310">
        <v>0</v>
      </c>
      <c r="K420" s="310">
        <v>0</v>
      </c>
      <c r="L420" s="310">
        <v>0</v>
      </c>
      <c r="M420" s="310">
        <v>0</v>
      </c>
      <c r="N420" s="310">
        <v>0</v>
      </c>
      <c r="O420" s="310">
        <v>0</v>
      </c>
      <c r="P420" s="310">
        <v>1</v>
      </c>
    </row>
    <row r="421" spans="1:16">
      <c r="A421" s="224" t="s">
        <v>525</v>
      </c>
      <c r="B421" s="224"/>
      <c r="C421" s="224" t="s">
        <v>45</v>
      </c>
      <c r="D421" s="310">
        <v>0</v>
      </c>
      <c r="E421" s="310">
        <v>0</v>
      </c>
      <c r="F421" s="310">
        <v>0</v>
      </c>
      <c r="G421" s="310">
        <v>0</v>
      </c>
      <c r="H421" s="310">
        <v>1</v>
      </c>
      <c r="I421" s="310">
        <v>0</v>
      </c>
      <c r="J421" s="310">
        <v>0</v>
      </c>
      <c r="K421" s="310">
        <v>0</v>
      </c>
      <c r="L421" s="310">
        <v>0</v>
      </c>
      <c r="M421" s="310">
        <v>0</v>
      </c>
      <c r="N421" s="310">
        <v>0</v>
      </c>
      <c r="O421" s="310">
        <v>0</v>
      </c>
      <c r="P421" s="310">
        <v>0</v>
      </c>
    </row>
    <row r="422" spans="1:16">
      <c r="A422" s="224" t="s">
        <v>526</v>
      </c>
      <c r="B422" s="224"/>
      <c r="C422" s="224" t="s">
        <v>45</v>
      </c>
      <c r="D422" s="310">
        <v>0</v>
      </c>
      <c r="E422" s="310">
        <v>0</v>
      </c>
      <c r="F422" s="310">
        <v>0</v>
      </c>
      <c r="G422" s="310">
        <v>1</v>
      </c>
      <c r="H422" s="310">
        <v>0</v>
      </c>
      <c r="I422" s="310">
        <v>0</v>
      </c>
      <c r="J422" s="310">
        <v>0</v>
      </c>
      <c r="K422" s="310">
        <v>0</v>
      </c>
      <c r="L422" s="310">
        <v>0</v>
      </c>
      <c r="M422" s="310">
        <v>0</v>
      </c>
      <c r="N422" s="310">
        <v>0</v>
      </c>
      <c r="O422" s="310">
        <v>0</v>
      </c>
      <c r="P422" s="310"/>
    </row>
    <row r="423" spans="1:16">
      <c r="A423" s="224" t="s">
        <v>527</v>
      </c>
      <c r="B423" s="224" t="s">
        <v>520</v>
      </c>
      <c r="C423" s="224" t="s">
        <v>521</v>
      </c>
      <c r="D423" s="310">
        <v>0</v>
      </c>
      <c r="E423" s="310">
        <v>0</v>
      </c>
      <c r="F423" s="310">
        <v>0</v>
      </c>
      <c r="G423" s="310">
        <v>0</v>
      </c>
      <c r="H423" s="310">
        <v>0</v>
      </c>
      <c r="I423" s="310">
        <v>0</v>
      </c>
      <c r="J423" s="310">
        <v>0</v>
      </c>
      <c r="K423" s="310">
        <v>0</v>
      </c>
      <c r="L423" s="310">
        <v>0</v>
      </c>
      <c r="M423" s="310">
        <v>0</v>
      </c>
      <c r="N423" s="310">
        <v>0</v>
      </c>
      <c r="O423" s="310">
        <v>0</v>
      </c>
      <c r="P423" s="310">
        <v>1</v>
      </c>
    </row>
    <row r="424" spans="1:16">
      <c r="A424" s="224" t="s">
        <v>528</v>
      </c>
      <c r="B424" s="224"/>
      <c r="C424" s="224" t="s">
        <v>529</v>
      </c>
      <c r="D424" s="310">
        <v>0</v>
      </c>
      <c r="E424" s="310">
        <v>0</v>
      </c>
      <c r="F424" s="310">
        <v>0</v>
      </c>
      <c r="G424" s="310">
        <v>0</v>
      </c>
      <c r="H424" s="310">
        <v>0</v>
      </c>
      <c r="I424" s="310">
        <v>0</v>
      </c>
      <c r="J424" s="310">
        <v>0</v>
      </c>
      <c r="K424" s="310">
        <v>1</v>
      </c>
      <c r="L424" s="310">
        <v>0</v>
      </c>
      <c r="M424" s="310">
        <v>0</v>
      </c>
      <c r="N424" s="310">
        <v>0</v>
      </c>
      <c r="O424" s="310">
        <v>0</v>
      </c>
      <c r="P424" s="310">
        <v>0</v>
      </c>
    </row>
    <row r="425" spans="1:16">
      <c r="A425" s="224" t="s">
        <v>530</v>
      </c>
      <c r="B425" s="224" t="s">
        <v>520</v>
      </c>
      <c r="C425" s="224" t="s">
        <v>521</v>
      </c>
      <c r="D425" s="310">
        <v>0</v>
      </c>
      <c r="E425" s="310">
        <v>0</v>
      </c>
      <c r="F425" s="310">
        <v>0</v>
      </c>
      <c r="G425" s="310">
        <v>0</v>
      </c>
      <c r="H425" s="310">
        <v>0</v>
      </c>
      <c r="I425" s="310">
        <v>0</v>
      </c>
      <c r="J425" s="310">
        <v>0</v>
      </c>
      <c r="K425" s="310">
        <v>0</v>
      </c>
      <c r="L425" s="310">
        <v>0</v>
      </c>
      <c r="M425" s="310">
        <v>0</v>
      </c>
      <c r="N425" s="310">
        <v>0</v>
      </c>
      <c r="O425" s="310">
        <v>0</v>
      </c>
      <c r="P425" s="310">
        <v>1</v>
      </c>
    </row>
    <row r="426" spans="1:16">
      <c r="A426" s="224" t="s">
        <v>531</v>
      </c>
      <c r="B426" s="224"/>
      <c r="C426" s="224" t="s">
        <v>529</v>
      </c>
      <c r="D426" s="310">
        <v>0</v>
      </c>
      <c r="E426" s="310">
        <v>0</v>
      </c>
      <c r="F426" s="310">
        <v>0</v>
      </c>
      <c r="G426" s="310">
        <v>0</v>
      </c>
      <c r="H426" s="310">
        <v>0</v>
      </c>
      <c r="I426" s="310">
        <v>1</v>
      </c>
      <c r="J426" s="310">
        <v>0</v>
      </c>
      <c r="K426" s="310">
        <v>0</v>
      </c>
      <c r="L426" s="310">
        <v>0</v>
      </c>
      <c r="M426" s="310">
        <v>0</v>
      </c>
      <c r="N426" s="310">
        <v>0</v>
      </c>
      <c r="O426" s="310">
        <v>0</v>
      </c>
      <c r="P426" s="310">
        <v>0</v>
      </c>
    </row>
    <row r="427" spans="1:16">
      <c r="A427" s="224" t="s">
        <v>532</v>
      </c>
      <c r="B427" s="224" t="s">
        <v>533</v>
      </c>
      <c r="C427" s="224" t="s">
        <v>45</v>
      </c>
      <c r="D427" s="310">
        <v>0</v>
      </c>
      <c r="E427" s="310">
        <v>0</v>
      </c>
      <c r="F427" s="310">
        <v>0</v>
      </c>
      <c r="G427" s="310">
        <v>0</v>
      </c>
      <c r="H427" s="310">
        <v>0</v>
      </c>
      <c r="I427" s="310">
        <v>0.7</v>
      </c>
      <c r="J427" s="310">
        <v>0</v>
      </c>
      <c r="K427" s="310">
        <v>0</v>
      </c>
      <c r="L427" s="310">
        <v>0</v>
      </c>
      <c r="M427" s="310">
        <v>0</v>
      </c>
      <c r="N427" s="310">
        <v>0</v>
      </c>
      <c r="O427" s="310">
        <v>0</v>
      </c>
      <c r="P427" s="310">
        <v>0</v>
      </c>
    </row>
    <row r="428" spans="1:16">
      <c r="A428" s="224" t="s">
        <v>534</v>
      </c>
      <c r="B428" s="224" t="s">
        <v>533</v>
      </c>
      <c r="C428" s="224" t="s">
        <v>45</v>
      </c>
      <c r="D428" s="310">
        <v>0</v>
      </c>
      <c r="E428" s="310">
        <v>0</v>
      </c>
      <c r="F428" s="310">
        <v>0</v>
      </c>
      <c r="G428" s="310">
        <v>0</v>
      </c>
      <c r="H428" s="310">
        <v>0</v>
      </c>
      <c r="I428" s="310">
        <v>0.7</v>
      </c>
      <c r="J428" s="310">
        <v>0</v>
      </c>
      <c r="K428" s="310">
        <v>0</v>
      </c>
      <c r="L428" s="310">
        <v>0</v>
      </c>
      <c r="M428" s="310">
        <v>0</v>
      </c>
      <c r="N428" s="310">
        <v>0</v>
      </c>
      <c r="O428" s="310">
        <v>0</v>
      </c>
      <c r="P428" s="310">
        <v>0</v>
      </c>
    </row>
    <row r="429" spans="1:16">
      <c r="A429" s="224" t="s">
        <v>535</v>
      </c>
      <c r="B429" s="224" t="s">
        <v>520</v>
      </c>
      <c r="C429" s="224" t="s">
        <v>521</v>
      </c>
      <c r="D429" s="310">
        <v>0</v>
      </c>
      <c r="E429" s="310">
        <v>0</v>
      </c>
      <c r="F429" s="310">
        <v>0</v>
      </c>
      <c r="G429" s="310">
        <v>0</v>
      </c>
      <c r="H429" s="310">
        <v>0</v>
      </c>
      <c r="I429" s="310">
        <v>0</v>
      </c>
      <c r="J429" s="310">
        <v>0</v>
      </c>
      <c r="K429" s="310">
        <v>0</v>
      </c>
      <c r="L429" s="310">
        <v>0</v>
      </c>
      <c r="M429" s="310">
        <v>0</v>
      </c>
      <c r="N429" s="310">
        <v>0</v>
      </c>
      <c r="O429" s="310">
        <v>0</v>
      </c>
      <c r="P429" s="310">
        <v>1</v>
      </c>
    </row>
    <row r="430" spans="1:16">
      <c r="A430" s="224" t="s">
        <v>536</v>
      </c>
      <c r="B430" s="224" t="s">
        <v>520</v>
      </c>
      <c r="C430" s="224" t="s">
        <v>521</v>
      </c>
      <c r="D430" s="310">
        <v>0</v>
      </c>
      <c r="E430" s="310">
        <v>0</v>
      </c>
      <c r="F430" s="310">
        <v>0</v>
      </c>
      <c r="G430" s="310">
        <v>0</v>
      </c>
      <c r="H430" s="310">
        <v>0</v>
      </c>
      <c r="I430" s="310">
        <v>0</v>
      </c>
      <c r="J430" s="310">
        <v>0</v>
      </c>
      <c r="K430" s="310">
        <v>0</v>
      </c>
      <c r="L430" s="310">
        <v>0</v>
      </c>
      <c r="M430" s="310">
        <v>0</v>
      </c>
      <c r="N430" s="310">
        <v>0</v>
      </c>
      <c r="O430" s="310">
        <v>0</v>
      </c>
      <c r="P430" s="310">
        <v>1</v>
      </c>
    </row>
    <row r="431" spans="1:16">
      <c r="A431" s="224" t="s">
        <v>537</v>
      </c>
      <c r="B431" s="224" t="s">
        <v>520</v>
      </c>
      <c r="C431" s="224" t="s">
        <v>521</v>
      </c>
      <c r="D431" s="310">
        <v>0</v>
      </c>
      <c r="E431" s="310">
        <v>0</v>
      </c>
      <c r="F431" s="310">
        <v>0</v>
      </c>
      <c r="G431" s="310">
        <v>0</v>
      </c>
      <c r="H431" s="310">
        <v>0</v>
      </c>
      <c r="I431" s="310">
        <v>0</v>
      </c>
      <c r="J431" s="310">
        <v>0</v>
      </c>
      <c r="K431" s="310">
        <v>0</v>
      </c>
      <c r="L431" s="310">
        <v>0</v>
      </c>
      <c r="M431" s="310">
        <v>0</v>
      </c>
      <c r="N431" s="310">
        <v>0</v>
      </c>
      <c r="O431" s="310">
        <v>0</v>
      </c>
      <c r="P431" s="310">
        <v>1</v>
      </c>
    </row>
    <row r="432" spans="1:16">
      <c r="A432" s="224" t="s">
        <v>538</v>
      </c>
      <c r="B432" s="224" t="s">
        <v>520</v>
      </c>
      <c r="C432" s="224" t="s">
        <v>521</v>
      </c>
      <c r="D432" s="310">
        <v>0</v>
      </c>
      <c r="E432" s="310">
        <v>0</v>
      </c>
      <c r="F432" s="310">
        <v>0</v>
      </c>
      <c r="G432" s="310">
        <v>0</v>
      </c>
      <c r="H432" s="310">
        <v>0</v>
      </c>
      <c r="I432" s="310">
        <v>0</v>
      </c>
      <c r="J432" s="310">
        <v>0</v>
      </c>
      <c r="K432" s="310">
        <v>0</v>
      </c>
      <c r="L432" s="310">
        <v>0</v>
      </c>
      <c r="M432" s="310">
        <v>0</v>
      </c>
      <c r="N432" s="310">
        <v>0</v>
      </c>
      <c r="O432" s="310">
        <v>0</v>
      </c>
      <c r="P432" s="310">
        <v>1</v>
      </c>
    </row>
    <row r="433" spans="1:16">
      <c r="A433" s="224" t="s">
        <v>539</v>
      </c>
      <c r="B433" s="224" t="s">
        <v>520</v>
      </c>
      <c r="C433" s="224" t="s">
        <v>521</v>
      </c>
      <c r="D433" s="310">
        <v>0</v>
      </c>
      <c r="E433" s="310">
        <v>0</v>
      </c>
      <c r="F433" s="310">
        <v>0</v>
      </c>
      <c r="G433" s="310">
        <v>0</v>
      </c>
      <c r="H433" s="310">
        <v>0</v>
      </c>
      <c r="I433" s="310">
        <v>0</v>
      </c>
      <c r="J433" s="310">
        <v>0</v>
      </c>
      <c r="K433" s="310">
        <v>0</v>
      </c>
      <c r="L433" s="310">
        <v>0</v>
      </c>
      <c r="M433" s="310">
        <v>0</v>
      </c>
      <c r="N433" s="310">
        <v>0</v>
      </c>
      <c r="O433" s="310">
        <v>0</v>
      </c>
      <c r="P433" s="310">
        <v>1</v>
      </c>
    </row>
    <row r="434" spans="1:16">
      <c r="A434" s="224" t="s">
        <v>540</v>
      </c>
      <c r="B434" s="224" t="s">
        <v>520</v>
      </c>
      <c r="C434" s="224" t="s">
        <v>521</v>
      </c>
      <c r="D434" s="310">
        <v>0</v>
      </c>
      <c r="E434" s="310">
        <v>0</v>
      </c>
      <c r="F434" s="310">
        <v>0</v>
      </c>
      <c r="G434" s="310">
        <v>0</v>
      </c>
      <c r="H434" s="310">
        <v>0</v>
      </c>
      <c r="I434" s="310">
        <v>0</v>
      </c>
      <c r="J434" s="310">
        <v>0</v>
      </c>
      <c r="K434" s="310">
        <v>0</v>
      </c>
      <c r="L434" s="310">
        <v>0</v>
      </c>
      <c r="M434" s="310">
        <v>0</v>
      </c>
      <c r="N434" s="310">
        <v>0</v>
      </c>
      <c r="O434" s="310">
        <v>0</v>
      </c>
      <c r="P434" s="310">
        <v>1</v>
      </c>
    </row>
    <row r="435" spans="1:16">
      <c r="A435" s="224" t="s">
        <v>541</v>
      </c>
      <c r="B435" s="224"/>
      <c r="C435" s="224" t="s">
        <v>529</v>
      </c>
      <c r="D435" s="310">
        <v>0</v>
      </c>
      <c r="E435" s="310">
        <v>0</v>
      </c>
      <c r="F435" s="310">
        <v>0</v>
      </c>
      <c r="G435" s="310">
        <v>0</v>
      </c>
      <c r="H435" s="310">
        <v>0</v>
      </c>
      <c r="I435" s="310">
        <v>0</v>
      </c>
      <c r="J435" s="310">
        <v>0</v>
      </c>
      <c r="K435" s="310">
        <v>0</v>
      </c>
      <c r="L435" s="310">
        <v>0</v>
      </c>
      <c r="M435" s="310">
        <v>1</v>
      </c>
      <c r="N435" s="310">
        <v>0</v>
      </c>
      <c r="O435" s="310">
        <v>0</v>
      </c>
      <c r="P435" s="310">
        <v>0</v>
      </c>
    </row>
    <row r="436" spans="1:16">
      <c r="A436" s="224" t="s">
        <v>542</v>
      </c>
      <c r="B436" s="224" t="s">
        <v>520</v>
      </c>
      <c r="C436" s="224" t="s">
        <v>521</v>
      </c>
      <c r="D436" s="310">
        <v>0</v>
      </c>
      <c r="E436" s="310">
        <v>0</v>
      </c>
      <c r="F436" s="310">
        <v>0</v>
      </c>
      <c r="G436" s="310">
        <v>0</v>
      </c>
      <c r="H436" s="310">
        <v>0</v>
      </c>
      <c r="I436" s="310">
        <v>0</v>
      </c>
      <c r="J436" s="310">
        <v>0</v>
      </c>
      <c r="K436" s="310">
        <v>0</v>
      </c>
      <c r="L436" s="310">
        <v>0</v>
      </c>
      <c r="M436" s="310">
        <v>1</v>
      </c>
      <c r="N436" s="310">
        <v>0</v>
      </c>
      <c r="O436" s="310">
        <v>0</v>
      </c>
      <c r="P436" s="310">
        <v>0</v>
      </c>
    </row>
    <row r="437" spans="1:16">
      <c r="A437" s="224" t="s">
        <v>543</v>
      </c>
      <c r="B437" s="224" t="s">
        <v>520</v>
      </c>
      <c r="C437" s="224" t="s">
        <v>521</v>
      </c>
      <c r="D437" s="310">
        <v>0</v>
      </c>
      <c r="E437" s="310">
        <v>0</v>
      </c>
      <c r="F437" s="310">
        <v>0</v>
      </c>
      <c r="G437" s="310">
        <v>0</v>
      </c>
      <c r="H437" s="310">
        <v>0</v>
      </c>
      <c r="I437" s="310">
        <v>0</v>
      </c>
      <c r="J437" s="310">
        <v>0</v>
      </c>
      <c r="K437" s="310">
        <v>0</v>
      </c>
      <c r="L437" s="310">
        <v>0</v>
      </c>
      <c r="M437" s="310">
        <v>0</v>
      </c>
      <c r="N437" s="310">
        <v>0</v>
      </c>
      <c r="O437" s="310">
        <v>0</v>
      </c>
      <c r="P437" s="310">
        <v>1</v>
      </c>
    </row>
    <row r="438" spans="1:16">
      <c r="A438" s="224" t="s">
        <v>544</v>
      </c>
      <c r="B438" s="224" t="s">
        <v>520</v>
      </c>
      <c r="C438" s="224" t="s">
        <v>521</v>
      </c>
      <c r="D438" s="310">
        <v>0</v>
      </c>
      <c r="E438" s="310">
        <v>0</v>
      </c>
      <c r="F438" s="310">
        <v>0</v>
      </c>
      <c r="G438" s="310">
        <v>0</v>
      </c>
      <c r="H438" s="310">
        <v>0</v>
      </c>
      <c r="I438" s="310">
        <v>0</v>
      </c>
      <c r="J438" s="310">
        <v>0</v>
      </c>
      <c r="K438" s="310">
        <v>0</v>
      </c>
      <c r="L438" s="310">
        <v>0</v>
      </c>
      <c r="M438" s="310">
        <v>0</v>
      </c>
      <c r="N438" s="310">
        <v>0</v>
      </c>
      <c r="O438" s="310">
        <v>0</v>
      </c>
      <c r="P438" s="310">
        <v>1</v>
      </c>
    </row>
    <row r="439" spans="1:16">
      <c r="A439" s="224" t="s">
        <v>545</v>
      </c>
      <c r="B439" s="224" t="s">
        <v>520</v>
      </c>
      <c r="C439" s="224" t="s">
        <v>521</v>
      </c>
      <c r="D439" s="310">
        <v>0</v>
      </c>
      <c r="E439" s="310">
        <v>0</v>
      </c>
      <c r="F439" s="310">
        <v>0</v>
      </c>
      <c r="G439" s="310">
        <v>0</v>
      </c>
      <c r="H439" s="310">
        <v>0</v>
      </c>
      <c r="I439" s="310">
        <v>0</v>
      </c>
      <c r="J439" s="310">
        <v>0</v>
      </c>
      <c r="K439" s="310">
        <v>0</v>
      </c>
      <c r="L439" s="310">
        <v>0</v>
      </c>
      <c r="M439" s="310">
        <v>0</v>
      </c>
      <c r="N439" s="310">
        <v>0</v>
      </c>
      <c r="O439" s="310">
        <v>0</v>
      </c>
      <c r="P439" s="310">
        <v>1</v>
      </c>
    </row>
    <row r="440" spans="1:16">
      <c r="A440" s="224" t="s">
        <v>546</v>
      </c>
      <c r="B440" s="224" t="s">
        <v>520</v>
      </c>
      <c r="C440" s="224" t="s">
        <v>521</v>
      </c>
      <c r="D440" s="310">
        <v>0</v>
      </c>
      <c r="E440" s="310">
        <v>0</v>
      </c>
      <c r="F440" s="310">
        <v>0</v>
      </c>
      <c r="G440" s="310">
        <v>0</v>
      </c>
      <c r="H440" s="310">
        <v>0</v>
      </c>
      <c r="I440" s="310">
        <v>0</v>
      </c>
      <c r="J440" s="310">
        <v>0</v>
      </c>
      <c r="K440" s="310">
        <v>0</v>
      </c>
      <c r="L440" s="310">
        <v>0</v>
      </c>
      <c r="M440" s="310">
        <v>0</v>
      </c>
      <c r="N440" s="310">
        <v>0</v>
      </c>
      <c r="O440" s="310">
        <v>0</v>
      </c>
      <c r="P440" s="310">
        <v>1</v>
      </c>
    </row>
    <row r="441" spans="1:16">
      <c r="A441" s="224" t="s">
        <v>547</v>
      </c>
      <c r="B441" s="224"/>
      <c r="C441" s="224" t="s">
        <v>529</v>
      </c>
      <c r="D441" s="310">
        <v>0</v>
      </c>
      <c r="E441" s="310">
        <v>0</v>
      </c>
      <c r="F441" s="310">
        <v>0</v>
      </c>
      <c r="G441" s="310">
        <v>0</v>
      </c>
      <c r="H441" s="310">
        <v>0</v>
      </c>
      <c r="I441" s="310">
        <v>0</v>
      </c>
      <c r="J441" s="310">
        <v>0</v>
      </c>
      <c r="K441" s="310">
        <v>0</v>
      </c>
      <c r="L441" s="310">
        <v>1</v>
      </c>
      <c r="M441" s="310">
        <v>0</v>
      </c>
      <c r="N441" s="310">
        <v>0</v>
      </c>
      <c r="O441" s="310">
        <v>0</v>
      </c>
      <c r="P441" s="310">
        <v>0</v>
      </c>
    </row>
    <row r="442" spans="1:16">
      <c r="A442" s="224" t="s">
        <v>548</v>
      </c>
      <c r="B442" s="224" t="s">
        <v>520</v>
      </c>
      <c r="C442" s="224" t="s">
        <v>521</v>
      </c>
      <c r="D442" s="310">
        <v>0</v>
      </c>
      <c r="E442" s="310">
        <v>0</v>
      </c>
      <c r="F442" s="310">
        <v>0</v>
      </c>
      <c r="G442" s="310">
        <v>0</v>
      </c>
      <c r="H442" s="310">
        <v>0</v>
      </c>
      <c r="I442" s="310">
        <v>0</v>
      </c>
      <c r="J442" s="310">
        <v>0</v>
      </c>
      <c r="K442" s="310">
        <v>0</v>
      </c>
      <c r="L442" s="310">
        <v>0</v>
      </c>
      <c r="M442" s="310">
        <v>0</v>
      </c>
      <c r="N442" s="310">
        <v>0</v>
      </c>
      <c r="O442" s="310">
        <v>0</v>
      </c>
      <c r="P442" s="310">
        <v>1</v>
      </c>
    </row>
    <row r="443" spans="1:16">
      <c r="A443" s="224" t="s">
        <v>549</v>
      </c>
      <c r="B443" s="224"/>
      <c r="C443" s="224" t="s">
        <v>529</v>
      </c>
      <c r="D443" s="310">
        <v>0</v>
      </c>
      <c r="E443" s="310">
        <v>0</v>
      </c>
      <c r="F443" s="310">
        <v>0</v>
      </c>
      <c r="G443" s="310">
        <v>0</v>
      </c>
      <c r="H443" s="310">
        <v>0</v>
      </c>
      <c r="I443" s="310">
        <v>0</v>
      </c>
      <c r="J443" s="310">
        <v>1</v>
      </c>
      <c r="K443" s="310">
        <v>0</v>
      </c>
      <c r="L443" s="310">
        <v>0</v>
      </c>
      <c r="M443" s="310">
        <v>0</v>
      </c>
      <c r="N443" s="310">
        <v>0</v>
      </c>
      <c r="O443" s="310">
        <v>0</v>
      </c>
      <c r="P443" s="310">
        <v>0</v>
      </c>
    </row>
    <row r="444" spans="1:16">
      <c r="A444" s="224" t="s">
        <v>550</v>
      </c>
      <c r="B444" s="224"/>
      <c r="C444" s="224" t="s">
        <v>529</v>
      </c>
      <c r="D444" s="310">
        <v>0</v>
      </c>
      <c r="E444" s="310">
        <v>0</v>
      </c>
      <c r="F444" s="310">
        <v>0</v>
      </c>
      <c r="G444" s="310">
        <v>0</v>
      </c>
      <c r="H444" s="310">
        <v>0</v>
      </c>
      <c r="I444" s="310">
        <v>0</v>
      </c>
      <c r="J444" s="310">
        <v>1</v>
      </c>
      <c r="K444" s="310">
        <v>0</v>
      </c>
      <c r="L444" s="310">
        <v>0</v>
      </c>
      <c r="M444" s="310">
        <v>0</v>
      </c>
      <c r="N444" s="310">
        <v>0</v>
      </c>
      <c r="O444" s="310">
        <v>0</v>
      </c>
      <c r="P444" s="310">
        <v>0</v>
      </c>
    </row>
    <row r="445" spans="1:16">
      <c r="A445" s="224" t="s">
        <v>551</v>
      </c>
      <c r="B445" s="224" t="s">
        <v>520</v>
      </c>
      <c r="C445" s="224" t="s">
        <v>521</v>
      </c>
      <c r="D445" s="310">
        <v>0</v>
      </c>
      <c r="E445" s="310">
        <v>0</v>
      </c>
      <c r="F445" s="310">
        <v>0</v>
      </c>
      <c r="G445" s="310">
        <v>0</v>
      </c>
      <c r="H445" s="310">
        <v>0</v>
      </c>
      <c r="I445" s="310">
        <v>0</v>
      </c>
      <c r="J445" s="310">
        <v>0</v>
      </c>
      <c r="K445" s="310">
        <v>0</v>
      </c>
      <c r="L445" s="310">
        <v>0</v>
      </c>
      <c r="M445" s="310">
        <v>0</v>
      </c>
      <c r="N445" s="310">
        <v>0</v>
      </c>
      <c r="O445" s="310">
        <v>0</v>
      </c>
      <c r="P445" s="310">
        <v>1</v>
      </c>
    </row>
    <row r="446" spans="1:16">
      <c r="A446" s="224" t="s">
        <v>552</v>
      </c>
      <c r="B446" s="224" t="s">
        <v>520</v>
      </c>
      <c r="C446" s="224" t="s">
        <v>521</v>
      </c>
      <c r="D446" s="310">
        <v>0</v>
      </c>
      <c r="E446" s="310">
        <v>0</v>
      </c>
      <c r="F446" s="310">
        <v>0</v>
      </c>
      <c r="G446" s="310">
        <v>0</v>
      </c>
      <c r="H446" s="310">
        <v>0</v>
      </c>
      <c r="I446" s="310">
        <v>0</v>
      </c>
      <c r="J446" s="310">
        <v>0</v>
      </c>
      <c r="K446" s="310">
        <v>0</v>
      </c>
      <c r="L446" s="310">
        <v>0</v>
      </c>
      <c r="M446" s="310">
        <v>0</v>
      </c>
      <c r="N446" s="310">
        <v>0</v>
      </c>
      <c r="O446" s="310">
        <v>0</v>
      </c>
      <c r="P446" s="310">
        <v>1</v>
      </c>
    </row>
    <row r="447" spans="1:16">
      <c r="A447" s="224" t="s">
        <v>552</v>
      </c>
      <c r="B447" s="224" t="s">
        <v>520</v>
      </c>
      <c r="C447" s="224" t="s">
        <v>521</v>
      </c>
      <c r="D447" s="310">
        <v>0</v>
      </c>
      <c r="E447" s="310">
        <v>0</v>
      </c>
      <c r="F447" s="310">
        <v>0</v>
      </c>
      <c r="G447" s="310">
        <v>0</v>
      </c>
      <c r="H447" s="310">
        <v>0</v>
      </c>
      <c r="I447" s="310">
        <v>0</v>
      </c>
      <c r="J447" s="310">
        <v>0</v>
      </c>
      <c r="K447" s="310">
        <v>0</v>
      </c>
      <c r="L447" s="310">
        <v>0</v>
      </c>
      <c r="M447" s="310">
        <v>0</v>
      </c>
      <c r="N447" s="310">
        <v>0</v>
      </c>
      <c r="O447" s="310">
        <v>0</v>
      </c>
      <c r="P447" s="310">
        <v>1</v>
      </c>
    </row>
    <row r="448" spans="1:16">
      <c r="A448" s="224" t="s">
        <v>553</v>
      </c>
      <c r="B448" s="224"/>
      <c r="C448" s="224" t="s">
        <v>529</v>
      </c>
      <c r="D448" s="310">
        <v>0</v>
      </c>
      <c r="E448" s="310">
        <v>0</v>
      </c>
      <c r="F448" s="310">
        <v>0</v>
      </c>
      <c r="G448" s="310">
        <v>0</v>
      </c>
      <c r="H448" s="310">
        <v>0</v>
      </c>
      <c r="I448" s="310">
        <v>0</v>
      </c>
      <c r="J448" s="310">
        <v>0</v>
      </c>
      <c r="K448" s="310">
        <v>0</v>
      </c>
      <c r="L448" s="310">
        <v>0</v>
      </c>
      <c r="M448" s="310">
        <v>0</v>
      </c>
      <c r="N448" s="310">
        <v>1</v>
      </c>
      <c r="O448" s="310">
        <v>0</v>
      </c>
      <c r="P448" s="310">
        <v>0</v>
      </c>
    </row>
    <row r="449" spans="1:16">
      <c r="A449" s="224" t="s">
        <v>554</v>
      </c>
      <c r="B449" s="224"/>
      <c r="C449" s="224" t="s">
        <v>529</v>
      </c>
      <c r="D449" s="310">
        <v>0</v>
      </c>
      <c r="E449" s="310">
        <v>0</v>
      </c>
      <c r="F449" s="310">
        <v>0</v>
      </c>
      <c r="G449" s="310">
        <v>0</v>
      </c>
      <c r="H449" s="310">
        <v>0</v>
      </c>
      <c r="I449" s="310">
        <v>0</v>
      </c>
      <c r="J449" s="310">
        <v>0</v>
      </c>
      <c r="K449" s="310">
        <v>0</v>
      </c>
      <c r="L449" s="310">
        <v>0</v>
      </c>
      <c r="M449" s="310">
        <v>0</v>
      </c>
      <c r="N449" s="310">
        <v>1</v>
      </c>
      <c r="O449" s="310">
        <v>0</v>
      </c>
      <c r="P449" s="310">
        <v>0</v>
      </c>
    </row>
    <row r="450" spans="1:16">
      <c r="A450" s="224" t="s">
        <v>555</v>
      </c>
      <c r="B450" s="224" t="s">
        <v>520</v>
      </c>
      <c r="C450" s="224" t="s">
        <v>521</v>
      </c>
      <c r="D450" s="310">
        <v>0</v>
      </c>
      <c r="E450" s="310">
        <v>0</v>
      </c>
      <c r="F450" s="310">
        <v>0</v>
      </c>
      <c r="G450" s="310">
        <v>0</v>
      </c>
      <c r="H450" s="310">
        <v>0</v>
      </c>
      <c r="I450" s="310">
        <v>0</v>
      </c>
      <c r="J450" s="310">
        <v>0</v>
      </c>
      <c r="K450" s="310">
        <v>0</v>
      </c>
      <c r="L450" s="310">
        <v>0</v>
      </c>
      <c r="M450" s="310">
        <v>0</v>
      </c>
      <c r="N450" s="310">
        <v>0</v>
      </c>
      <c r="O450" s="310">
        <v>0</v>
      </c>
      <c r="P450" s="310">
        <v>1</v>
      </c>
    </row>
    <row r="451" spans="1:16">
      <c r="A451" s="224" t="s">
        <v>556</v>
      </c>
      <c r="B451" s="224"/>
      <c r="C451" s="224" t="s">
        <v>529</v>
      </c>
      <c r="D451" s="310">
        <v>0</v>
      </c>
      <c r="E451" s="310">
        <v>0</v>
      </c>
      <c r="F451" s="310">
        <v>0</v>
      </c>
      <c r="G451" s="310">
        <v>0</v>
      </c>
      <c r="H451" s="310">
        <v>0</v>
      </c>
      <c r="I451" s="310">
        <v>0</v>
      </c>
      <c r="J451" s="310">
        <v>0</v>
      </c>
      <c r="K451" s="310">
        <v>0</v>
      </c>
      <c r="L451" s="310">
        <v>0</v>
      </c>
      <c r="M451" s="310">
        <v>0</v>
      </c>
      <c r="N451" s="310">
        <v>0</v>
      </c>
      <c r="O451" s="310">
        <v>1</v>
      </c>
      <c r="P451" s="310">
        <v>0</v>
      </c>
    </row>
    <row r="452" spans="1:16">
      <c r="A452" s="224" t="s">
        <v>557</v>
      </c>
      <c r="B452" s="224" t="s">
        <v>520</v>
      </c>
      <c r="C452" s="224" t="s">
        <v>521</v>
      </c>
      <c r="D452" s="310">
        <v>0</v>
      </c>
      <c r="E452" s="310">
        <v>0</v>
      </c>
      <c r="F452" s="310">
        <v>0</v>
      </c>
      <c r="G452" s="310">
        <v>0</v>
      </c>
      <c r="H452" s="310">
        <v>0</v>
      </c>
      <c r="I452" s="310">
        <v>0</v>
      </c>
      <c r="J452" s="310">
        <v>0</v>
      </c>
      <c r="K452" s="310">
        <v>0</v>
      </c>
      <c r="L452" s="310">
        <v>0</v>
      </c>
      <c r="M452" s="310">
        <v>0</v>
      </c>
      <c r="N452" s="310">
        <v>0</v>
      </c>
      <c r="O452" s="310">
        <v>0</v>
      </c>
      <c r="P452" s="310">
        <v>1</v>
      </c>
    </row>
    <row r="453" spans="1:16">
      <c r="A453" s="307">
        <v>390230</v>
      </c>
      <c r="B453" s="224"/>
      <c r="C453" s="224" t="s">
        <v>45</v>
      </c>
      <c r="D453" s="310">
        <v>0</v>
      </c>
      <c r="E453" s="310">
        <v>0</v>
      </c>
      <c r="F453" s="310">
        <v>1</v>
      </c>
      <c r="G453" s="310">
        <v>0</v>
      </c>
      <c r="H453" s="310">
        <v>0</v>
      </c>
      <c r="I453" s="310">
        <v>0</v>
      </c>
      <c r="J453" s="310">
        <v>0</v>
      </c>
      <c r="K453" s="310">
        <v>0</v>
      </c>
      <c r="L453" s="310">
        <v>0</v>
      </c>
      <c r="M453" s="310">
        <v>0</v>
      </c>
      <c r="N453" s="310">
        <v>0</v>
      </c>
      <c r="O453" s="310">
        <v>0</v>
      </c>
      <c r="P453" s="310">
        <v>0</v>
      </c>
    </row>
    <row r="455" spans="1:16" s="222" customFormat="1">
      <c r="A455" s="222" t="s">
        <v>558</v>
      </c>
    </row>
    <row r="457" spans="1:16">
      <c r="A457" s="224" t="s">
        <v>559</v>
      </c>
      <c r="B457" s="224" t="s">
        <v>560</v>
      </c>
      <c r="C457" s="224" t="s">
        <v>561</v>
      </c>
      <c r="D457" s="224" t="s">
        <v>515</v>
      </c>
      <c r="E457" s="224" t="s">
        <v>562</v>
      </c>
      <c r="F457" s="224" t="s">
        <v>563</v>
      </c>
      <c r="G457" s="224" t="s">
        <v>564</v>
      </c>
    </row>
    <row r="458" spans="1:16">
      <c r="A458" s="224" t="s">
        <v>565</v>
      </c>
      <c r="B458" s="224" t="s">
        <v>566</v>
      </c>
      <c r="C458" s="224" t="s">
        <v>567</v>
      </c>
      <c r="D458" s="224">
        <v>39011010</v>
      </c>
      <c r="E458" s="224" t="s">
        <v>568</v>
      </c>
      <c r="F458" s="224" t="str">
        <f t="shared" ref="F458:F505" si="11">LEFT(D458,6)</f>
        <v>390110</v>
      </c>
      <c r="G458" s="224" t="s">
        <v>85</v>
      </c>
    </row>
    <row r="459" spans="1:16">
      <c r="A459" s="224" t="s">
        <v>569</v>
      </c>
      <c r="B459" s="224" t="s">
        <v>570</v>
      </c>
      <c r="C459" s="224" t="s">
        <v>571</v>
      </c>
      <c r="D459" s="224">
        <v>39011090</v>
      </c>
      <c r="E459" s="224" t="s">
        <v>572</v>
      </c>
      <c r="F459" s="224" t="str">
        <f t="shared" si="11"/>
        <v>390110</v>
      </c>
      <c r="G459" s="224" t="s">
        <v>85</v>
      </c>
    </row>
    <row r="460" spans="1:16">
      <c r="A460" s="224" t="s">
        <v>573</v>
      </c>
      <c r="B460" s="224" t="s">
        <v>574</v>
      </c>
      <c r="C460" s="224" t="s">
        <v>575</v>
      </c>
      <c r="D460" s="224">
        <v>39012010</v>
      </c>
      <c r="E460" s="224" t="s">
        <v>576</v>
      </c>
      <c r="F460" s="224" t="str">
        <f t="shared" si="11"/>
        <v>390120</v>
      </c>
      <c r="G460" s="224" t="s">
        <v>86</v>
      </c>
    </row>
    <row r="461" spans="1:16">
      <c r="A461" s="224" t="s">
        <v>577</v>
      </c>
      <c r="B461" s="224" t="s">
        <v>578</v>
      </c>
      <c r="C461" s="224" t="s">
        <v>579</v>
      </c>
      <c r="D461" s="224">
        <v>39013000</v>
      </c>
      <c r="E461" s="224" t="s">
        <v>580</v>
      </c>
      <c r="F461" s="224" t="str">
        <f t="shared" si="11"/>
        <v>390130</v>
      </c>
      <c r="G461" s="224" t="s">
        <v>98</v>
      </c>
    </row>
    <row r="462" spans="1:16">
      <c r="A462" s="224" t="s">
        <v>581</v>
      </c>
      <c r="B462" s="224" t="s">
        <v>582</v>
      </c>
      <c r="C462" s="224" t="s">
        <v>583</v>
      </c>
      <c r="D462" s="224">
        <v>39014000</v>
      </c>
      <c r="E462" s="224" t="s">
        <v>584</v>
      </c>
      <c r="F462" s="224" t="str">
        <f t="shared" si="11"/>
        <v>390140</v>
      </c>
      <c r="G462" s="224" t="s">
        <v>98</v>
      </c>
    </row>
    <row r="463" spans="1:16">
      <c r="A463" s="224" t="s">
        <v>585</v>
      </c>
      <c r="B463" s="224" t="s">
        <v>586</v>
      </c>
      <c r="C463" s="224" t="s">
        <v>587</v>
      </c>
      <c r="D463" s="224">
        <v>39021000</v>
      </c>
      <c r="E463" s="224" t="s">
        <v>586</v>
      </c>
      <c r="F463" s="224" t="str">
        <f t="shared" si="11"/>
        <v>390210</v>
      </c>
      <c r="G463" s="224" t="s">
        <v>87</v>
      </c>
    </row>
    <row r="464" spans="1:16">
      <c r="A464" s="224" t="s">
        <v>588</v>
      </c>
      <c r="B464" s="224" t="s">
        <v>589</v>
      </c>
      <c r="C464" s="224" t="s">
        <v>590</v>
      </c>
      <c r="D464" s="224">
        <v>39022000</v>
      </c>
      <c r="E464" s="224" t="s">
        <v>591</v>
      </c>
      <c r="F464" s="224" t="str">
        <f t="shared" si="11"/>
        <v>390220</v>
      </c>
      <c r="G464" s="224" t="s">
        <v>98</v>
      </c>
    </row>
    <row r="465" spans="1:7">
      <c r="A465" s="224" t="s">
        <v>592</v>
      </c>
      <c r="B465" s="224" t="s">
        <v>593</v>
      </c>
      <c r="C465" s="224" t="s">
        <v>594</v>
      </c>
      <c r="D465" s="224">
        <v>39031100</v>
      </c>
      <c r="E465" s="224" t="s">
        <v>595</v>
      </c>
      <c r="F465" s="224" t="str">
        <f t="shared" si="11"/>
        <v>390311</v>
      </c>
      <c r="G465" s="224" t="s">
        <v>89</v>
      </c>
    </row>
    <row r="466" spans="1:7">
      <c r="A466" s="224" t="s">
        <v>596</v>
      </c>
      <c r="B466" s="224" t="s">
        <v>597</v>
      </c>
      <c r="C466" s="224" t="s">
        <v>598</v>
      </c>
      <c r="D466" s="224">
        <v>39031900</v>
      </c>
      <c r="E466" s="224" t="s">
        <v>599</v>
      </c>
      <c r="F466" s="224" t="str">
        <f t="shared" si="11"/>
        <v>390319</v>
      </c>
      <c r="G466" s="224" t="s">
        <v>88</v>
      </c>
    </row>
    <row r="467" spans="1:7">
      <c r="A467" s="224" t="s">
        <v>600</v>
      </c>
      <c r="B467" s="224" t="s">
        <v>601</v>
      </c>
      <c r="C467" s="224" t="s">
        <v>602</v>
      </c>
      <c r="D467" s="224">
        <v>39032000</v>
      </c>
      <c r="E467" s="224" t="s">
        <v>603</v>
      </c>
      <c r="F467" s="224" t="str">
        <f t="shared" si="11"/>
        <v>390320</v>
      </c>
      <c r="G467" s="224" t="s">
        <v>98</v>
      </c>
    </row>
    <row r="468" spans="1:7">
      <c r="A468" s="224" t="s">
        <v>604</v>
      </c>
      <c r="B468" s="224" t="s">
        <v>605</v>
      </c>
      <c r="C468" s="224" t="s">
        <v>606</v>
      </c>
      <c r="D468" s="224">
        <v>39033000</v>
      </c>
      <c r="E468" s="224" t="s">
        <v>607</v>
      </c>
      <c r="F468" s="224" t="str">
        <f t="shared" si="11"/>
        <v>390330</v>
      </c>
      <c r="G468" s="224" t="s">
        <v>94</v>
      </c>
    </row>
    <row r="469" spans="1:7">
      <c r="A469" s="224" t="s">
        <v>608</v>
      </c>
      <c r="B469" s="224" t="s">
        <v>609</v>
      </c>
      <c r="C469" s="224" t="s">
        <v>610</v>
      </c>
      <c r="D469" s="224">
        <v>39039010</v>
      </c>
      <c r="E469" s="224" t="s">
        <v>611</v>
      </c>
      <c r="F469" s="224" t="str">
        <f t="shared" si="11"/>
        <v>390390</v>
      </c>
      <c r="G469" s="224" t="s">
        <v>98</v>
      </c>
    </row>
    <row r="470" spans="1:7">
      <c r="A470" s="224" t="s">
        <v>612</v>
      </c>
      <c r="B470" s="224" t="s">
        <v>613</v>
      </c>
      <c r="C470" s="224" t="s">
        <v>614</v>
      </c>
      <c r="D470" s="224">
        <v>39041000</v>
      </c>
      <c r="E470" s="224" t="s">
        <v>615</v>
      </c>
      <c r="F470" s="224" t="str">
        <f t="shared" si="11"/>
        <v>390410</v>
      </c>
      <c r="G470" s="224" t="s">
        <v>90</v>
      </c>
    </row>
    <row r="471" spans="1:7">
      <c r="A471" s="224" t="s">
        <v>616</v>
      </c>
      <c r="B471" s="224" t="s">
        <v>617</v>
      </c>
      <c r="C471" s="224" t="s">
        <v>618</v>
      </c>
      <c r="D471" s="224">
        <v>39042100</v>
      </c>
      <c r="E471" s="224" t="s">
        <v>619</v>
      </c>
      <c r="F471" s="224" t="str">
        <f t="shared" si="11"/>
        <v>390421</v>
      </c>
      <c r="G471" s="224" t="s">
        <v>90</v>
      </c>
    </row>
    <row r="472" spans="1:7">
      <c r="A472" s="224" t="s">
        <v>620</v>
      </c>
      <c r="B472" s="224" t="s">
        <v>621</v>
      </c>
      <c r="C472" s="224" t="s">
        <v>622</v>
      </c>
      <c r="D472" s="224">
        <v>39042200</v>
      </c>
      <c r="E472" s="224" t="s">
        <v>623</v>
      </c>
      <c r="F472" s="224" t="str">
        <f t="shared" si="11"/>
        <v>390422</v>
      </c>
      <c r="G472" s="224" t="s">
        <v>90</v>
      </c>
    </row>
    <row r="473" spans="1:7">
      <c r="A473" s="224" t="s">
        <v>624</v>
      </c>
      <c r="B473" s="224" t="s">
        <v>625</v>
      </c>
      <c r="C473" s="224" t="s">
        <v>626</v>
      </c>
      <c r="D473" s="224">
        <v>39043000</v>
      </c>
      <c r="E473" s="224" t="s">
        <v>627</v>
      </c>
      <c r="F473" s="224" t="str">
        <f t="shared" si="11"/>
        <v>390430</v>
      </c>
      <c r="G473" s="224" t="s">
        <v>98</v>
      </c>
    </row>
    <row r="474" spans="1:7">
      <c r="A474" s="224" t="s">
        <v>628</v>
      </c>
      <c r="B474" s="224" t="s">
        <v>629</v>
      </c>
      <c r="C474" s="224" t="s">
        <v>630</v>
      </c>
      <c r="D474" s="224">
        <v>39045010</v>
      </c>
      <c r="E474" s="224" t="s">
        <v>631</v>
      </c>
      <c r="F474" s="224" t="str">
        <f t="shared" si="11"/>
        <v>390450</v>
      </c>
      <c r="G474" s="224" t="s">
        <v>98</v>
      </c>
    </row>
    <row r="475" spans="1:7">
      <c r="A475" s="224" t="s">
        <v>632</v>
      </c>
      <c r="B475" s="224" t="s">
        <v>633</v>
      </c>
      <c r="C475" s="224"/>
      <c r="D475" s="224">
        <v>39046100</v>
      </c>
      <c r="E475" s="224" t="s">
        <v>634</v>
      </c>
      <c r="F475" s="224" t="str">
        <f t="shared" si="11"/>
        <v>390461</v>
      </c>
      <c r="G475" s="224" t="s">
        <v>98</v>
      </c>
    </row>
    <row r="476" spans="1:7">
      <c r="A476" s="224" t="s">
        <v>635</v>
      </c>
      <c r="B476" s="224" t="s">
        <v>636</v>
      </c>
      <c r="C476" s="224" t="s">
        <v>637</v>
      </c>
      <c r="D476" s="224">
        <v>39051200</v>
      </c>
      <c r="E476" s="224" t="s">
        <v>638</v>
      </c>
      <c r="F476" s="224" t="str">
        <f t="shared" si="11"/>
        <v>390512</v>
      </c>
      <c r="G476" s="224" t="s">
        <v>98</v>
      </c>
    </row>
    <row r="477" spans="1:7">
      <c r="A477" s="224" t="s">
        <v>639</v>
      </c>
      <c r="B477" s="224" t="s">
        <v>640</v>
      </c>
      <c r="C477" s="224" t="s">
        <v>641</v>
      </c>
      <c r="D477" s="224">
        <v>39051900</v>
      </c>
      <c r="E477" s="224" t="s">
        <v>642</v>
      </c>
      <c r="F477" s="224" t="str">
        <f t="shared" si="11"/>
        <v>390519</v>
      </c>
      <c r="G477" s="224" t="s">
        <v>98</v>
      </c>
    </row>
    <row r="478" spans="1:7">
      <c r="A478" s="224" t="s">
        <v>643</v>
      </c>
      <c r="B478" s="224" t="s">
        <v>644</v>
      </c>
      <c r="C478" s="224" t="s">
        <v>645</v>
      </c>
      <c r="D478" s="224">
        <v>39053000</v>
      </c>
      <c r="E478" s="224" t="s">
        <v>646</v>
      </c>
      <c r="F478" s="224" t="str">
        <f t="shared" si="11"/>
        <v>390530</v>
      </c>
      <c r="G478" s="224" t="s">
        <v>98</v>
      </c>
    </row>
    <row r="479" spans="1:7">
      <c r="A479" s="224" t="s">
        <v>647</v>
      </c>
      <c r="B479" s="224" t="s">
        <v>648</v>
      </c>
      <c r="C479" s="224" t="s">
        <v>649</v>
      </c>
      <c r="D479" s="224">
        <v>39061000</v>
      </c>
      <c r="E479" s="224" t="s">
        <v>650</v>
      </c>
      <c r="F479" s="224" t="str">
        <f t="shared" si="11"/>
        <v>390610</v>
      </c>
      <c r="G479" s="224" t="s">
        <v>97</v>
      </c>
    </row>
    <row r="480" spans="1:7">
      <c r="A480" s="224" t="s">
        <v>651</v>
      </c>
      <c r="B480" s="224" t="s">
        <v>652</v>
      </c>
      <c r="C480" s="224" t="s">
        <v>653</v>
      </c>
      <c r="D480" s="224">
        <v>39069010</v>
      </c>
      <c r="E480" s="224" t="s">
        <v>654</v>
      </c>
      <c r="F480" s="224" t="str">
        <f t="shared" si="11"/>
        <v>390690</v>
      </c>
      <c r="G480" s="224" t="s">
        <v>97</v>
      </c>
    </row>
    <row r="481" spans="1:7">
      <c r="A481" s="224" t="s">
        <v>655</v>
      </c>
      <c r="B481" s="224" t="s">
        <v>656</v>
      </c>
      <c r="C481" s="224" t="s">
        <v>657</v>
      </c>
      <c r="D481" s="224">
        <v>39071000</v>
      </c>
      <c r="E481" s="224" t="s">
        <v>656</v>
      </c>
      <c r="F481" s="224" t="str">
        <f t="shared" si="11"/>
        <v>390710</v>
      </c>
      <c r="G481" s="224" t="s">
        <v>98</v>
      </c>
    </row>
    <row r="482" spans="1:7">
      <c r="A482" s="224" t="s">
        <v>658</v>
      </c>
      <c r="B482" s="224" t="s">
        <v>659</v>
      </c>
      <c r="C482" s="224" t="s">
        <v>660</v>
      </c>
      <c r="D482" s="224">
        <v>39072100</v>
      </c>
      <c r="E482" s="224" t="s">
        <v>661</v>
      </c>
      <c r="F482" s="224" t="str">
        <f t="shared" si="11"/>
        <v>390721</v>
      </c>
      <c r="G482" s="224" t="s">
        <v>98</v>
      </c>
    </row>
    <row r="483" spans="1:7">
      <c r="A483" s="224" t="s">
        <v>662</v>
      </c>
      <c r="B483" s="224" t="s">
        <v>663</v>
      </c>
      <c r="C483" s="224" t="s">
        <v>664</v>
      </c>
      <c r="D483" s="224">
        <v>39072991</v>
      </c>
      <c r="E483" s="224" t="s">
        <v>665</v>
      </c>
      <c r="F483" s="224" t="str">
        <f t="shared" si="11"/>
        <v>390729</v>
      </c>
      <c r="G483" s="224" t="s">
        <v>98</v>
      </c>
    </row>
    <row r="484" spans="1:7">
      <c r="A484" s="224" t="s">
        <v>666</v>
      </c>
      <c r="B484" s="224" t="s">
        <v>667</v>
      </c>
      <c r="C484" s="224" t="s">
        <v>668</v>
      </c>
      <c r="D484" s="224">
        <v>39073000</v>
      </c>
      <c r="E484" s="224" t="s">
        <v>667</v>
      </c>
      <c r="F484" s="224" t="str">
        <f t="shared" si="11"/>
        <v>390730</v>
      </c>
      <c r="G484" s="224" t="s">
        <v>98</v>
      </c>
    </row>
    <row r="485" spans="1:7">
      <c r="A485" s="224" t="s">
        <v>669</v>
      </c>
      <c r="B485" s="224" t="s">
        <v>670</v>
      </c>
      <c r="C485" s="224" t="s">
        <v>671</v>
      </c>
      <c r="D485" s="224">
        <v>39074000</v>
      </c>
      <c r="E485" s="224" t="s">
        <v>670</v>
      </c>
      <c r="F485" s="224" t="str">
        <f t="shared" si="11"/>
        <v>390740</v>
      </c>
      <c r="G485" s="224" t="s">
        <v>96</v>
      </c>
    </row>
    <row r="486" spans="1:7">
      <c r="A486" s="224" t="s">
        <v>672</v>
      </c>
      <c r="B486" s="224" t="s">
        <v>673</v>
      </c>
      <c r="C486" s="224" t="s">
        <v>674</v>
      </c>
      <c r="D486" s="224">
        <v>39075000</v>
      </c>
      <c r="E486" s="224" t="s">
        <v>673</v>
      </c>
      <c r="F486" s="224" t="str">
        <f t="shared" si="11"/>
        <v>390750</v>
      </c>
      <c r="G486" s="224" t="s">
        <v>98</v>
      </c>
    </row>
    <row r="487" spans="1:7">
      <c r="A487" s="224" t="s">
        <v>675</v>
      </c>
      <c r="B487" s="224" t="s">
        <v>676</v>
      </c>
      <c r="C487" s="224" t="s">
        <v>677</v>
      </c>
      <c r="D487" s="224">
        <v>39076100</v>
      </c>
      <c r="E487" s="224" t="s">
        <v>678</v>
      </c>
      <c r="F487" s="224" t="str">
        <f t="shared" si="11"/>
        <v>390761</v>
      </c>
      <c r="G487" s="224" t="s">
        <v>91</v>
      </c>
    </row>
    <row r="488" spans="1:7">
      <c r="A488" s="224" t="s">
        <v>679</v>
      </c>
      <c r="B488" s="224" t="s">
        <v>680</v>
      </c>
      <c r="C488" s="224" t="s">
        <v>681</v>
      </c>
      <c r="D488" s="224">
        <v>39076900</v>
      </c>
      <c r="E488" s="224" t="s">
        <v>682</v>
      </c>
      <c r="F488" s="224" t="str">
        <f t="shared" si="11"/>
        <v>390769</v>
      </c>
      <c r="G488" s="224" t="s">
        <v>91</v>
      </c>
    </row>
    <row r="489" spans="1:7">
      <c r="A489" s="224" t="s">
        <v>683</v>
      </c>
      <c r="B489" s="224" t="s">
        <v>684</v>
      </c>
      <c r="C489" s="224" t="s">
        <v>685</v>
      </c>
      <c r="D489" s="224">
        <v>39077000</v>
      </c>
      <c r="E489" s="224" t="s">
        <v>686</v>
      </c>
      <c r="F489" s="224" t="str">
        <f t="shared" si="11"/>
        <v>390770</v>
      </c>
      <c r="G489" s="224" t="s">
        <v>98</v>
      </c>
    </row>
    <row r="490" spans="1:7">
      <c r="A490" s="224" t="s">
        <v>687</v>
      </c>
      <c r="B490" s="224" t="s">
        <v>688</v>
      </c>
      <c r="C490" s="224" t="s">
        <v>689</v>
      </c>
      <c r="D490" s="224">
        <v>39079110</v>
      </c>
      <c r="E490" s="224" t="s">
        <v>690</v>
      </c>
      <c r="F490" s="224" t="str">
        <f t="shared" si="11"/>
        <v>390791</v>
      </c>
      <c r="G490" s="224" t="s">
        <v>98</v>
      </c>
    </row>
    <row r="491" spans="1:7">
      <c r="A491" s="224" t="s">
        <v>691</v>
      </c>
      <c r="B491" s="224" t="s">
        <v>692</v>
      </c>
      <c r="C491" s="224" t="s">
        <v>693</v>
      </c>
      <c r="D491" s="224">
        <v>39079190</v>
      </c>
      <c r="E491" s="224" t="s">
        <v>694</v>
      </c>
      <c r="F491" s="224" t="str">
        <f t="shared" si="11"/>
        <v>390791</v>
      </c>
      <c r="G491" s="224" t="s">
        <v>98</v>
      </c>
    </row>
    <row r="492" spans="1:7">
      <c r="A492" s="224" t="s">
        <v>695</v>
      </c>
      <c r="B492" s="224" t="s">
        <v>696</v>
      </c>
      <c r="C492" s="224" t="s">
        <v>697</v>
      </c>
      <c r="D492" s="224">
        <v>39081000</v>
      </c>
      <c r="E492" s="224" t="s">
        <v>698</v>
      </c>
      <c r="F492" s="224" t="str">
        <f t="shared" si="11"/>
        <v>390810</v>
      </c>
      <c r="G492" s="224" t="s">
        <v>95</v>
      </c>
    </row>
    <row r="493" spans="1:7">
      <c r="A493" s="224" t="s">
        <v>699</v>
      </c>
      <c r="B493" s="224" t="s">
        <v>700</v>
      </c>
      <c r="C493" s="224" t="s">
        <v>701</v>
      </c>
      <c r="D493" s="224">
        <v>39089000</v>
      </c>
      <c r="E493" s="224" t="s">
        <v>702</v>
      </c>
      <c r="F493" s="224" t="str">
        <f t="shared" si="11"/>
        <v>390890</v>
      </c>
      <c r="G493" s="224" t="s">
        <v>95</v>
      </c>
    </row>
    <row r="494" spans="1:7">
      <c r="A494" s="224" t="s">
        <v>703</v>
      </c>
      <c r="B494" s="224" t="s">
        <v>704</v>
      </c>
      <c r="C494" s="224" t="s">
        <v>705</v>
      </c>
      <c r="D494" s="224">
        <v>39091000</v>
      </c>
      <c r="E494" s="224" t="s">
        <v>706</v>
      </c>
      <c r="F494" s="224" t="str">
        <f t="shared" si="11"/>
        <v>390910</v>
      </c>
      <c r="G494" s="224" t="s">
        <v>26</v>
      </c>
    </row>
    <row r="495" spans="1:7">
      <c r="A495" s="224" t="s">
        <v>707</v>
      </c>
      <c r="B495" s="224" t="s">
        <v>708</v>
      </c>
      <c r="C495" s="224" t="s">
        <v>709</v>
      </c>
      <c r="D495" s="224">
        <v>39092000</v>
      </c>
      <c r="E495" s="224" t="s">
        <v>708</v>
      </c>
      <c r="F495" s="224" t="str">
        <f t="shared" si="11"/>
        <v>390920</v>
      </c>
      <c r="G495" s="224" t="s">
        <v>26</v>
      </c>
    </row>
    <row r="496" spans="1:7">
      <c r="A496" s="224" t="s">
        <v>710</v>
      </c>
      <c r="B496" s="224" t="s">
        <v>711</v>
      </c>
      <c r="C496" s="224" t="s">
        <v>712</v>
      </c>
      <c r="D496" s="224">
        <v>39093100</v>
      </c>
      <c r="E496" s="224" t="s">
        <v>713</v>
      </c>
      <c r="F496" s="224" t="str">
        <f t="shared" si="11"/>
        <v>390931</v>
      </c>
      <c r="G496" s="224" t="s">
        <v>26</v>
      </c>
    </row>
    <row r="497" spans="1:7">
      <c r="A497" s="224" t="s">
        <v>714</v>
      </c>
      <c r="B497" s="224" t="s">
        <v>715</v>
      </c>
      <c r="C497" s="224" t="s">
        <v>716</v>
      </c>
      <c r="D497" s="224">
        <v>39094000</v>
      </c>
      <c r="E497" s="224" t="s">
        <v>715</v>
      </c>
      <c r="F497" s="224" t="str">
        <f t="shared" si="11"/>
        <v>390940</v>
      </c>
      <c r="G497" s="224" t="s">
        <v>98</v>
      </c>
    </row>
    <row r="498" spans="1:7">
      <c r="A498" s="224" t="s">
        <v>717</v>
      </c>
      <c r="B498" s="224" t="s">
        <v>718</v>
      </c>
      <c r="C498" s="224" t="s">
        <v>719</v>
      </c>
      <c r="D498" s="224">
        <v>39095010</v>
      </c>
      <c r="E498" s="224" t="s">
        <v>720</v>
      </c>
      <c r="F498" s="224" t="str">
        <f t="shared" si="11"/>
        <v>390950</v>
      </c>
      <c r="G498" s="224" t="s">
        <v>93</v>
      </c>
    </row>
    <row r="499" spans="1:7">
      <c r="A499" s="224" t="s">
        <v>721</v>
      </c>
      <c r="B499" s="224" t="s">
        <v>722</v>
      </c>
      <c r="C499" s="224" t="s">
        <v>723</v>
      </c>
      <c r="D499" s="224">
        <v>39100000</v>
      </c>
      <c r="E499" s="224" t="s">
        <v>722</v>
      </c>
      <c r="F499" s="224" t="str">
        <f t="shared" si="11"/>
        <v>391000</v>
      </c>
      <c r="G499" s="224" t="s">
        <v>26</v>
      </c>
    </row>
    <row r="500" spans="1:7">
      <c r="A500" s="224" t="s">
        <v>724</v>
      </c>
      <c r="B500" s="224" t="s">
        <v>725</v>
      </c>
      <c r="C500" s="224" t="s">
        <v>726</v>
      </c>
      <c r="D500" s="224">
        <v>39111000</v>
      </c>
      <c r="E500" s="224" t="s">
        <v>727</v>
      </c>
      <c r="F500" s="224" t="str">
        <f t="shared" si="11"/>
        <v>391110</v>
      </c>
      <c r="G500" s="224" t="s">
        <v>98</v>
      </c>
    </row>
    <row r="501" spans="1:7">
      <c r="A501" s="224" t="s">
        <v>728</v>
      </c>
      <c r="B501" s="224" t="s">
        <v>729</v>
      </c>
      <c r="C501" s="224" t="s">
        <v>730</v>
      </c>
      <c r="D501" s="224">
        <v>39121100</v>
      </c>
      <c r="E501" s="224" t="s">
        <v>731</v>
      </c>
      <c r="F501" s="224" t="str">
        <f t="shared" si="11"/>
        <v>391211</v>
      </c>
      <c r="G501" s="224" t="s">
        <v>26</v>
      </c>
    </row>
    <row r="502" spans="1:7">
      <c r="A502" s="224" t="s">
        <v>732</v>
      </c>
      <c r="B502" s="224" t="s">
        <v>733</v>
      </c>
      <c r="C502" s="224"/>
      <c r="D502" s="224">
        <v>39123100</v>
      </c>
      <c r="E502" s="224" t="s">
        <v>734</v>
      </c>
      <c r="F502" s="224" t="str">
        <f t="shared" si="11"/>
        <v>391231</v>
      </c>
      <c r="G502" s="224" t="s">
        <v>26</v>
      </c>
    </row>
    <row r="503" spans="1:7">
      <c r="A503" s="224" t="s">
        <v>735</v>
      </c>
      <c r="B503" s="224" t="s">
        <v>736</v>
      </c>
      <c r="C503" s="224"/>
      <c r="D503" s="224">
        <v>39131000</v>
      </c>
      <c r="E503" s="224" t="s">
        <v>737</v>
      </c>
      <c r="F503" s="224" t="str">
        <f t="shared" si="11"/>
        <v>391310</v>
      </c>
      <c r="G503" s="224" t="s">
        <v>26</v>
      </c>
    </row>
    <row r="504" spans="1:7">
      <c r="A504" s="224" t="s">
        <v>738</v>
      </c>
      <c r="B504" s="224" t="s">
        <v>739</v>
      </c>
      <c r="C504" s="224" t="s">
        <v>740</v>
      </c>
      <c r="D504" s="224">
        <v>39139000</v>
      </c>
      <c r="E504" s="224" t="s">
        <v>741</v>
      </c>
      <c r="F504" s="224" t="str">
        <f t="shared" si="11"/>
        <v>391390</v>
      </c>
      <c r="G504" s="224" t="s">
        <v>26</v>
      </c>
    </row>
    <row r="505" spans="1:7">
      <c r="A505" s="224" t="s">
        <v>742</v>
      </c>
      <c r="B505" s="224" t="s">
        <v>743</v>
      </c>
      <c r="C505" s="224" t="s">
        <v>744</v>
      </c>
      <c r="D505" s="224">
        <v>39140000</v>
      </c>
      <c r="E505" s="224" t="s">
        <v>745</v>
      </c>
      <c r="F505" s="224" t="str">
        <f t="shared" si="11"/>
        <v>391400</v>
      </c>
      <c r="G505" s="224" t="s">
        <v>26</v>
      </c>
    </row>
  </sheetData>
  <sortState xmlns:xlrd2="http://schemas.microsoft.com/office/spreadsheetml/2017/richdata2" columnSort="1" ref="B85:U103">
    <sortCondition ref="B85:U85"/>
  </sortState>
  <mergeCells count="4">
    <mergeCell ref="A358:XFD359"/>
    <mergeCell ref="A409:XFD410"/>
    <mergeCell ref="A3:P4"/>
    <mergeCell ref="Q3:AF4"/>
  </mergeCells>
  <phoneticPr fontId="22" type="noConversion"/>
  <conditionalFormatting sqref="D414:P453">
    <cfRule type="dataBar" priority="60">
      <dataBar>
        <cfvo type="min"/>
        <cfvo type="max"/>
        <color rgb="FF63C384"/>
      </dataBar>
      <extLst>
        <ext xmlns:x14="http://schemas.microsoft.com/office/spreadsheetml/2009/9/main" uri="{B025F937-C7B1-47D3-B67F-A62EFF666E3E}">
          <x14:id>{957D7B16-265C-4623-A7A8-2B770FC37256}</x14:id>
        </ext>
      </extLst>
    </cfRule>
  </conditionalFormatting>
  <conditionalFormatting sqref="H368:H380 J368:M380">
    <cfRule type="cellIs" dxfId="137" priority="76" stopIfTrue="1" operator="notBetween">
      <formula>1</formula>
      <formula>4</formula>
    </cfRule>
    <cfRule type="dataBar" priority="86">
      <dataBar>
        <cfvo type="min"/>
        <cfvo type="num" val="4"/>
        <color rgb="FFFFC000"/>
      </dataBar>
      <extLst>
        <ext xmlns:x14="http://schemas.microsoft.com/office/spreadsheetml/2009/9/main" uri="{B025F937-C7B1-47D3-B67F-A62EFF666E3E}">
          <x14:id>{C5A53CB8-7286-4FE7-AE8E-AA89EC0DA347}</x14:id>
        </ext>
      </extLst>
    </cfRule>
  </conditionalFormatting>
  <conditionalFormatting sqref="H361:M367 H399:M403 I392:M392">
    <cfRule type="cellIs" dxfId="136" priority="82" stopIfTrue="1" operator="notBetween">
      <formula>1</formula>
      <formula>4</formula>
    </cfRule>
  </conditionalFormatting>
  <conditionalFormatting sqref="H364:M364">
    <cfRule type="dataBar" priority="81">
      <dataBar>
        <cfvo type="min"/>
        <cfvo type="num" val="4"/>
        <color rgb="FFFFC000"/>
      </dataBar>
      <extLst>
        <ext xmlns:x14="http://schemas.microsoft.com/office/spreadsheetml/2009/9/main" uri="{B025F937-C7B1-47D3-B67F-A62EFF666E3E}">
          <x14:id>{F8B1F0CB-9BC9-4040-9C43-D00C39456DD1}</x14:id>
        </ext>
      </extLst>
    </cfRule>
  </conditionalFormatting>
  <conditionalFormatting sqref="H365:M366 H361:M363">
    <cfRule type="dataBar" priority="83">
      <dataBar>
        <cfvo type="min"/>
        <cfvo type="num" val="4"/>
        <color rgb="FFFFC000"/>
      </dataBar>
      <extLst>
        <ext xmlns:x14="http://schemas.microsoft.com/office/spreadsheetml/2009/9/main" uri="{B025F937-C7B1-47D3-B67F-A62EFF666E3E}">
          <x14:id>{314B60D7-FC16-44D8-B26B-4C67A0B45523}</x14:id>
        </ext>
      </extLst>
    </cfRule>
  </conditionalFormatting>
  <conditionalFormatting sqref="H367:M367">
    <cfRule type="dataBar" priority="77">
      <dataBar>
        <cfvo type="min"/>
        <cfvo type="num" val="4"/>
        <color rgb="FFFFC000"/>
      </dataBar>
      <extLst>
        <ext xmlns:x14="http://schemas.microsoft.com/office/spreadsheetml/2009/9/main" uri="{B025F937-C7B1-47D3-B67F-A62EFF666E3E}">
          <x14:id>{A847D5C0-838A-4CB6-ABC9-B1E505FBCED8}</x14:id>
        </ext>
      </extLst>
    </cfRule>
  </conditionalFormatting>
  <conditionalFormatting sqref="H381:M381 I382:M391 I393:M393">
    <cfRule type="cellIs" dxfId="135" priority="7234" stopIfTrue="1" operator="notBetween">
      <formula>1</formula>
      <formula>4</formula>
    </cfRule>
    <cfRule type="dataBar" priority="7235">
      <dataBar>
        <cfvo type="min"/>
        <cfvo type="num" val="4"/>
        <color rgb="FFFFC000"/>
      </dataBar>
      <extLst>
        <ext xmlns:x14="http://schemas.microsoft.com/office/spreadsheetml/2009/9/main" uri="{B025F937-C7B1-47D3-B67F-A62EFF666E3E}">
          <x14:id>{DA710FBA-F523-4A4B-B5D7-85AAB235F786}</x14:id>
        </ext>
      </extLst>
    </cfRule>
  </conditionalFormatting>
  <conditionalFormatting sqref="H396:M396">
    <cfRule type="dataBar" priority="46">
      <dataBar>
        <cfvo type="min"/>
        <cfvo type="num" val="4"/>
        <color rgb="FFFFC000"/>
      </dataBar>
      <extLst>
        <ext xmlns:x14="http://schemas.microsoft.com/office/spreadsheetml/2009/9/main" uri="{B025F937-C7B1-47D3-B67F-A62EFF666E3E}">
          <x14:id>{15CA1832-E5DA-474E-8395-F35A08B234B2}</x14:id>
        </ext>
      </extLst>
    </cfRule>
  </conditionalFormatting>
  <conditionalFormatting sqref="H396:M397">
    <cfRule type="dataBar" priority="7">
      <dataBar>
        <cfvo type="min"/>
        <cfvo type="num" val="4"/>
        <color rgb="FFFFC000"/>
      </dataBar>
      <extLst>
        <ext xmlns:x14="http://schemas.microsoft.com/office/spreadsheetml/2009/9/main" uri="{B025F937-C7B1-47D3-B67F-A62EFF666E3E}">
          <x14:id>{1765B891-9FD3-4466-AC3B-51D94A9A59B5}</x14:id>
        </ext>
      </extLst>
    </cfRule>
  </conditionalFormatting>
  <conditionalFormatting sqref="H396:M398">
    <cfRule type="cellIs" dxfId="134" priority="8" stopIfTrue="1" operator="notBetween">
      <formula>1</formula>
      <formula>4</formula>
    </cfRule>
  </conditionalFormatting>
  <conditionalFormatting sqref="H396:M407">
    <cfRule type="containsBlanks" dxfId="133" priority="1">
      <formula>LEN(TRIM(H396))=0</formula>
    </cfRule>
  </conditionalFormatting>
  <conditionalFormatting sqref="H397:M397">
    <cfRule type="dataBar" priority="50">
      <dataBar>
        <cfvo type="min"/>
        <cfvo type="num" val="4"/>
        <color rgb="FFFFC000"/>
      </dataBar>
      <extLst>
        <ext xmlns:x14="http://schemas.microsoft.com/office/spreadsheetml/2009/9/main" uri="{B025F937-C7B1-47D3-B67F-A62EFF666E3E}">
          <x14:id>{B415458E-23C7-4872-A58E-3614C0AC9953}</x14:id>
        </ext>
      </extLst>
    </cfRule>
  </conditionalFormatting>
  <conditionalFormatting sqref="H398:M398">
    <cfRule type="dataBar" priority="23">
      <dataBar>
        <cfvo type="min"/>
        <cfvo type="num" val="4"/>
        <color rgb="FFFFC000"/>
      </dataBar>
      <extLst>
        <ext xmlns:x14="http://schemas.microsoft.com/office/spreadsheetml/2009/9/main" uri="{B025F937-C7B1-47D3-B67F-A62EFF666E3E}">
          <x14:id>{50D803DC-F918-44A2-9B4B-53F8F78F2E2D}</x14:id>
        </ext>
      </extLst>
    </cfRule>
  </conditionalFormatting>
  <conditionalFormatting sqref="H399:M399">
    <cfRule type="dataBar" priority="7764">
      <dataBar>
        <cfvo type="min"/>
        <cfvo type="num" val="4"/>
        <color rgb="FFFFC000"/>
      </dataBar>
      <extLst>
        <ext xmlns:x14="http://schemas.microsoft.com/office/spreadsheetml/2009/9/main" uri="{B025F937-C7B1-47D3-B67F-A62EFF666E3E}">
          <x14:id>{32F8DCD1-A21D-4A1C-BAAD-039F98995370}</x14:id>
        </ext>
      </extLst>
    </cfRule>
  </conditionalFormatting>
  <conditionalFormatting sqref="H400:M403">
    <cfRule type="dataBar" priority="55">
      <dataBar>
        <cfvo type="min"/>
        <cfvo type="num" val="4"/>
        <color rgb="FFFFC000"/>
      </dataBar>
      <extLst>
        <ext xmlns:x14="http://schemas.microsoft.com/office/spreadsheetml/2009/9/main" uri="{B025F937-C7B1-47D3-B67F-A62EFF666E3E}">
          <x14:id>{8413DB46-082A-41DF-A224-265A9591C829}</x14:id>
        </ext>
      </extLst>
    </cfRule>
  </conditionalFormatting>
  <conditionalFormatting sqref="H404:M405">
    <cfRule type="dataBar" priority="2">
      <dataBar>
        <cfvo type="min"/>
        <cfvo type="num" val="4"/>
        <color rgb="FFFFC000"/>
      </dataBar>
      <extLst>
        <ext xmlns:x14="http://schemas.microsoft.com/office/spreadsheetml/2009/9/main" uri="{B025F937-C7B1-47D3-B67F-A62EFF666E3E}">
          <x14:id>{75236DBD-38CF-4B11-8416-7AA6FC7AA87C}</x14:id>
        </ext>
      </extLst>
    </cfRule>
    <cfRule type="cellIs" dxfId="132" priority="4" stopIfTrue="1" operator="notBetween">
      <formula>1</formula>
      <formula>4</formula>
    </cfRule>
  </conditionalFormatting>
  <conditionalFormatting sqref="H406:M407">
    <cfRule type="dataBar" priority="10">
      <dataBar>
        <cfvo type="min"/>
        <cfvo type="num" val="4"/>
        <color rgb="FFFFC000"/>
      </dataBar>
      <extLst>
        <ext xmlns:x14="http://schemas.microsoft.com/office/spreadsheetml/2009/9/main" uri="{B025F937-C7B1-47D3-B67F-A62EFF666E3E}">
          <x14:id>{3A6E8455-6601-408B-9890-B5BABB8C463E}</x14:id>
        </ext>
      </extLst>
    </cfRule>
    <cfRule type="cellIs" dxfId="131" priority="12" stopIfTrue="1" operator="notBetween">
      <formula>1</formula>
      <formula>4</formula>
    </cfRule>
  </conditionalFormatting>
  <conditionalFormatting sqref="H396:O397 H361:O367 N398:O407">
    <cfRule type="containsBlanks" dxfId="130" priority="74">
      <formula>LEN(TRIM(H361))=0</formula>
    </cfRule>
  </conditionalFormatting>
  <conditionalFormatting sqref="I392:M392">
    <cfRule type="dataBar" priority="7246">
      <dataBar>
        <cfvo type="min"/>
        <cfvo type="num" val="4"/>
        <color rgb="FFFFC000"/>
      </dataBar>
      <extLst>
        <ext xmlns:x14="http://schemas.microsoft.com/office/spreadsheetml/2009/9/main" uri="{B025F937-C7B1-47D3-B67F-A62EFF666E3E}">
          <x14:id>{A2C837B7-AE95-4CC8-8AB9-469C2F7CB751}</x14:id>
        </ext>
      </extLst>
    </cfRule>
  </conditionalFormatting>
  <conditionalFormatting sqref="I382:N393 H368:H380 J368:N380 AL6:AQ31 H381:N381">
    <cfRule type="containsBlanks" dxfId="129" priority="140">
      <formula>LEN(TRIM(H6))=0</formula>
    </cfRule>
  </conditionalFormatting>
  <conditionalFormatting sqref="J6:N356">
    <cfRule type="dataBar" priority="94">
      <dataBar>
        <cfvo type="min"/>
        <cfvo type="num" val="4"/>
        <color rgb="FFFFC000"/>
      </dataBar>
      <extLst>
        <ext xmlns:x14="http://schemas.microsoft.com/office/spreadsheetml/2009/9/main" uri="{B025F937-C7B1-47D3-B67F-A62EFF666E3E}">
          <x14:id>{37D8D804-0BD8-4242-ABB5-D18A259F44D0}</x14:id>
        </ext>
      </extLst>
    </cfRule>
  </conditionalFormatting>
  <conditionalFormatting sqref="J6:O356">
    <cfRule type="containsBlanks" dxfId="128" priority="92">
      <formula>LEN(TRIM(J6))=0</formula>
    </cfRule>
  </conditionalFormatting>
  <conditionalFormatting sqref="N361:N366">
    <cfRule type="dataBar" priority="7803">
      <dataBar>
        <cfvo type="min"/>
        <cfvo type="max"/>
        <color rgb="FF3FCDFF"/>
      </dataBar>
      <extLst>
        <ext xmlns:x14="http://schemas.microsoft.com/office/spreadsheetml/2009/9/main" uri="{B025F937-C7B1-47D3-B67F-A62EFF666E3E}">
          <x14:id>{56CBFE8F-F7EC-4BFC-80CB-9A3DD0D2B040}</x14:id>
        </ext>
      </extLst>
    </cfRule>
  </conditionalFormatting>
  <conditionalFormatting sqref="N367">
    <cfRule type="dataBar" priority="7814">
      <dataBar>
        <cfvo type="min"/>
        <cfvo type="max"/>
        <color rgb="FF3FCDFF"/>
      </dataBar>
      <extLst>
        <ext xmlns:x14="http://schemas.microsoft.com/office/spreadsheetml/2009/9/main" uri="{B025F937-C7B1-47D3-B67F-A62EFF666E3E}">
          <x14:id>{6FE93D2E-655C-4C27-831E-5CA1DED7ACF5}</x14:id>
        </ext>
      </extLst>
    </cfRule>
  </conditionalFormatting>
  <conditionalFormatting sqref="N368:N380">
    <cfRule type="dataBar" priority="87">
      <dataBar>
        <cfvo type="min"/>
        <cfvo type="max"/>
        <color rgb="FF3FCDFF"/>
      </dataBar>
      <extLst>
        <ext xmlns:x14="http://schemas.microsoft.com/office/spreadsheetml/2009/9/main" uri="{B025F937-C7B1-47D3-B67F-A62EFF666E3E}">
          <x14:id>{047E5794-520E-4924-A857-97F0837ECB5A}</x14:id>
        </ext>
      </extLst>
    </cfRule>
  </conditionalFormatting>
  <conditionalFormatting sqref="N381:N391 N393">
    <cfRule type="dataBar" priority="67">
      <dataBar>
        <cfvo type="min"/>
        <cfvo type="max"/>
        <color rgb="FF3FCDFF"/>
      </dataBar>
      <extLst>
        <ext xmlns:x14="http://schemas.microsoft.com/office/spreadsheetml/2009/9/main" uri="{B025F937-C7B1-47D3-B67F-A62EFF666E3E}">
          <x14:id>{70530BA1-5CDA-43D4-8C4A-B3231D734415}</x14:id>
        </ext>
      </extLst>
    </cfRule>
  </conditionalFormatting>
  <conditionalFormatting sqref="N392">
    <cfRule type="dataBar" priority="63">
      <dataBar>
        <cfvo type="min"/>
        <cfvo type="max"/>
        <color rgb="FF3FCDFF"/>
      </dataBar>
      <extLst>
        <ext xmlns:x14="http://schemas.microsoft.com/office/spreadsheetml/2009/9/main" uri="{B025F937-C7B1-47D3-B67F-A62EFF666E3E}">
          <x14:id>{A302DE98-0780-44F9-923E-65E203657680}</x14:id>
        </ext>
      </extLst>
    </cfRule>
  </conditionalFormatting>
  <conditionalFormatting sqref="N396:N407">
    <cfRule type="dataBar" priority="51">
      <dataBar>
        <cfvo type="min"/>
        <cfvo type="max"/>
        <color rgb="FF3FCDFF"/>
      </dataBar>
      <extLst>
        <ext xmlns:x14="http://schemas.microsoft.com/office/spreadsheetml/2009/9/main" uri="{B025F937-C7B1-47D3-B67F-A62EFF666E3E}">
          <x14:id>{87103521-5D6E-47F7-9E88-9742125D88FE}</x14:id>
        </ext>
      </extLst>
    </cfRule>
  </conditionalFormatting>
  <conditionalFormatting sqref="O6:O356">
    <cfRule type="dataBar" priority="93">
      <dataBar>
        <cfvo type="min"/>
        <cfvo type="max"/>
        <color rgb="FF3FCDFF"/>
      </dataBar>
      <extLst>
        <ext xmlns:x14="http://schemas.microsoft.com/office/spreadsheetml/2009/9/main" uri="{B025F937-C7B1-47D3-B67F-A62EFF666E3E}">
          <x14:id>{E6E5D100-BB09-40AE-83ED-DF61489FE57A}</x14:id>
        </ext>
      </extLst>
    </cfRule>
  </conditionalFormatting>
  <conditionalFormatting sqref="O361:O366">
    <cfRule type="dataBar" priority="7805">
      <dataBar>
        <cfvo type="min"/>
        <cfvo type="max"/>
        <color rgb="FF3FCDFF"/>
      </dataBar>
      <extLst>
        <ext xmlns:x14="http://schemas.microsoft.com/office/spreadsheetml/2009/9/main" uri="{B025F937-C7B1-47D3-B67F-A62EFF666E3E}">
          <x14:id>{EEAECA58-0081-44D6-B716-A22A2B10F7E9}</x14:id>
        </ext>
      </extLst>
    </cfRule>
  </conditionalFormatting>
  <conditionalFormatting sqref="O367">
    <cfRule type="dataBar" priority="7816">
      <dataBar>
        <cfvo type="min"/>
        <cfvo type="max"/>
        <color rgb="FF3FCDFF"/>
      </dataBar>
      <extLst>
        <ext xmlns:x14="http://schemas.microsoft.com/office/spreadsheetml/2009/9/main" uri="{B025F937-C7B1-47D3-B67F-A62EFF666E3E}">
          <x14:id>{9AD96C49-F858-417F-A967-FF4065FDA1BA}</x14:id>
        </ext>
      </extLst>
    </cfRule>
  </conditionalFormatting>
  <conditionalFormatting sqref="O396:O407">
    <cfRule type="dataBar" priority="52">
      <dataBar>
        <cfvo type="min"/>
        <cfvo type="max"/>
        <color rgb="FF3FCDFF"/>
      </dataBar>
      <extLst>
        <ext xmlns:x14="http://schemas.microsoft.com/office/spreadsheetml/2009/9/main" uri="{B025F937-C7B1-47D3-B67F-A62EFF666E3E}">
          <x14:id>{A7BAE1DB-4773-4061-A98A-A2E1B905E283}</x14:id>
        </ext>
      </extLst>
    </cfRule>
  </conditionalFormatting>
  <conditionalFormatting sqref="P361:P367 P394:P395">
    <cfRule type="containsText" dxfId="127" priority="75" operator="containsText" text="Actual TC">
      <formula>NOT(ISERROR(SEARCH("Actual TC",P361)))</formula>
    </cfRule>
  </conditionalFormatting>
  <conditionalFormatting sqref="P398:P401">
    <cfRule type="containsText" dxfId="126" priority="35" operator="containsText" text="Actual TC">
      <formula>NOT(ISERROR(SEARCH("Actual TC",P398)))</formula>
    </cfRule>
  </conditionalFormatting>
  <conditionalFormatting sqref="P404:P407">
    <cfRule type="containsText" dxfId="125" priority="17" operator="containsText" text="Actual TC">
      <formula>NOT(ISERROR(SEARCH("Actual TC",P404)))</formula>
    </cfRule>
  </conditionalFormatting>
  <conditionalFormatting sqref="Z6:AD252">
    <cfRule type="dataBar" priority="89">
      <dataBar>
        <cfvo type="min"/>
        <cfvo type="num" val="4"/>
        <color rgb="FFFFC000"/>
      </dataBar>
      <extLst>
        <ext xmlns:x14="http://schemas.microsoft.com/office/spreadsheetml/2009/9/main" uri="{B025F937-C7B1-47D3-B67F-A62EFF666E3E}">
          <x14:id>{B2A54833-F921-45C7-86AF-14BEDB6573C7}</x14:id>
        </ext>
      </extLst>
    </cfRule>
  </conditionalFormatting>
  <conditionalFormatting sqref="Z6:AE252">
    <cfRule type="containsBlanks" dxfId="124" priority="88">
      <formula>LEN(TRIM(Z6))=0</formula>
    </cfRule>
  </conditionalFormatting>
  <conditionalFormatting sqref="AE5">
    <cfRule type="containsBlanks" dxfId="123" priority="90">
      <formula>LEN(TRIM(AE5))=0</formula>
    </cfRule>
  </conditionalFormatting>
  <conditionalFormatting sqref="AE5:AE252">
    <cfRule type="dataBar" priority="91">
      <dataBar>
        <cfvo type="min"/>
        <cfvo type="max"/>
        <color rgb="FF3FCDFF"/>
      </dataBar>
      <extLst>
        <ext xmlns:x14="http://schemas.microsoft.com/office/spreadsheetml/2009/9/main" uri="{B025F937-C7B1-47D3-B67F-A62EFF666E3E}">
          <x14:id>{89BE51AC-3D01-4EA8-B28B-4303EF3238DC}</x14:id>
        </ext>
      </extLst>
    </cfRule>
  </conditionalFormatting>
  <conditionalFormatting sqref="AL6:AP31">
    <cfRule type="dataBar" priority="141">
      <dataBar>
        <cfvo type="min"/>
        <cfvo type="num" val="4"/>
        <color rgb="FFFFC000"/>
      </dataBar>
      <extLst>
        <ext xmlns:x14="http://schemas.microsoft.com/office/spreadsheetml/2009/9/main" uri="{B025F937-C7B1-47D3-B67F-A62EFF666E3E}">
          <x14:id>{4025D62E-9601-4808-B8D7-46E4321D1A4D}</x14:id>
        </ext>
      </extLst>
    </cfRule>
  </conditionalFormatting>
  <conditionalFormatting sqref="AL35:AP60">
    <cfRule type="dataBar" priority="136">
      <dataBar>
        <cfvo type="min"/>
        <cfvo type="num" val="4"/>
        <color rgb="FFFFC000"/>
      </dataBar>
      <extLst>
        <ext xmlns:x14="http://schemas.microsoft.com/office/spreadsheetml/2009/9/main" uri="{B025F937-C7B1-47D3-B67F-A62EFF666E3E}">
          <x14:id>{9D137F0D-623C-4436-82E4-0FF64CCB4CBD}</x14:id>
        </ext>
      </extLst>
    </cfRule>
  </conditionalFormatting>
  <conditionalFormatting sqref="AL65:AP82">
    <cfRule type="dataBar" priority="130">
      <dataBar>
        <cfvo type="min"/>
        <cfvo type="num" val="4"/>
        <color rgb="FFFFC000"/>
      </dataBar>
      <extLst>
        <ext xmlns:x14="http://schemas.microsoft.com/office/spreadsheetml/2009/9/main" uri="{B025F937-C7B1-47D3-B67F-A62EFF666E3E}">
          <x14:id>{191EEFD1-35E4-43A7-8DA3-BA2547F5A824}</x14:id>
        </ext>
      </extLst>
    </cfRule>
  </conditionalFormatting>
  <conditionalFormatting sqref="AL86:AP103">
    <cfRule type="dataBar" priority="127">
      <dataBar>
        <cfvo type="min"/>
        <cfvo type="num" val="4"/>
        <color rgb="FFFFC000"/>
      </dataBar>
      <extLst>
        <ext xmlns:x14="http://schemas.microsoft.com/office/spreadsheetml/2009/9/main" uri="{B025F937-C7B1-47D3-B67F-A62EFF666E3E}">
          <x14:id>{022DCEBE-4556-43A7-BA0B-8B582A268167}</x14:id>
        </ext>
      </extLst>
    </cfRule>
  </conditionalFormatting>
  <conditionalFormatting sqref="AL35:AQ60">
    <cfRule type="containsBlanks" dxfId="122" priority="135">
      <formula>LEN(TRIM(AL35))=0</formula>
    </cfRule>
  </conditionalFormatting>
  <conditionalFormatting sqref="AL65:AQ82">
    <cfRule type="containsBlanks" dxfId="121" priority="128">
      <formula>LEN(TRIM(AL65))=0</formula>
    </cfRule>
  </conditionalFormatting>
  <conditionalFormatting sqref="AL86:AQ103">
    <cfRule type="containsBlanks" dxfId="120" priority="125">
      <formula>LEN(TRIM(AL86))=0</formula>
    </cfRule>
  </conditionalFormatting>
  <conditionalFormatting sqref="AQ5">
    <cfRule type="containsBlanks" dxfId="119" priority="138">
      <formula>LEN(TRIM(AQ5))=0</formula>
    </cfRule>
    <cfRule type="dataBar" priority="139">
      <dataBar>
        <cfvo type="min"/>
        <cfvo type="max"/>
        <color rgb="FF3FCDFF"/>
      </dataBar>
      <extLst>
        <ext xmlns:x14="http://schemas.microsoft.com/office/spreadsheetml/2009/9/main" uri="{B025F937-C7B1-47D3-B67F-A62EFF666E3E}">
          <x14:id>{CDCE2675-44D9-46E1-9BD7-620D376B4C5F}</x14:id>
        </ext>
      </extLst>
    </cfRule>
  </conditionalFormatting>
  <conditionalFormatting sqref="AQ6:AQ31">
    <cfRule type="dataBar" priority="142">
      <dataBar>
        <cfvo type="min"/>
        <cfvo type="max"/>
        <color rgb="FF3FCDFF"/>
      </dataBar>
      <extLst>
        <ext xmlns:x14="http://schemas.microsoft.com/office/spreadsheetml/2009/9/main" uri="{B025F937-C7B1-47D3-B67F-A62EFF666E3E}">
          <x14:id>{50296EDD-C114-4ADE-88F5-0FA0AC48579A}</x14:id>
        </ext>
      </extLst>
    </cfRule>
  </conditionalFormatting>
  <conditionalFormatting sqref="AQ34">
    <cfRule type="containsBlanks" dxfId="118" priority="133">
      <formula>LEN(TRIM(AQ34))=0</formula>
    </cfRule>
    <cfRule type="dataBar" priority="134">
      <dataBar>
        <cfvo type="min"/>
        <cfvo type="max"/>
        <color rgb="FF3FCDFF"/>
      </dataBar>
      <extLst>
        <ext xmlns:x14="http://schemas.microsoft.com/office/spreadsheetml/2009/9/main" uri="{B025F937-C7B1-47D3-B67F-A62EFF666E3E}">
          <x14:id>{EDC543FA-E2F2-4E9E-8D35-ADB9FAB0E485}</x14:id>
        </ext>
      </extLst>
    </cfRule>
  </conditionalFormatting>
  <conditionalFormatting sqref="AQ35:AQ60">
    <cfRule type="dataBar" priority="137">
      <dataBar>
        <cfvo type="min"/>
        <cfvo type="max"/>
        <color rgb="FF3FCDFF"/>
      </dataBar>
      <extLst>
        <ext xmlns:x14="http://schemas.microsoft.com/office/spreadsheetml/2009/9/main" uri="{B025F937-C7B1-47D3-B67F-A62EFF666E3E}">
          <x14:id>{183FCF22-9DC6-4407-BB22-645D6D64A123}</x14:id>
        </ext>
      </extLst>
    </cfRule>
  </conditionalFormatting>
  <conditionalFormatting sqref="AQ64">
    <cfRule type="containsBlanks" dxfId="117" priority="131">
      <formula>LEN(TRIM(AQ64))=0</formula>
    </cfRule>
    <cfRule type="dataBar" priority="132">
      <dataBar>
        <cfvo type="min"/>
        <cfvo type="max"/>
        <color rgb="FF3FCDFF"/>
      </dataBar>
      <extLst>
        <ext xmlns:x14="http://schemas.microsoft.com/office/spreadsheetml/2009/9/main" uri="{B025F937-C7B1-47D3-B67F-A62EFF666E3E}">
          <x14:id>{66277A20-B55F-4D0D-B4C2-D9E0600A8F6A}</x14:id>
        </ext>
      </extLst>
    </cfRule>
  </conditionalFormatting>
  <conditionalFormatting sqref="AQ65:AQ82">
    <cfRule type="dataBar" priority="129">
      <dataBar>
        <cfvo type="min"/>
        <cfvo type="max"/>
        <color rgb="FF3FCDFF"/>
      </dataBar>
      <extLst>
        <ext xmlns:x14="http://schemas.microsoft.com/office/spreadsheetml/2009/9/main" uri="{B025F937-C7B1-47D3-B67F-A62EFF666E3E}">
          <x14:id>{FFEBCA67-9D96-4735-ACE7-CC0B8953E484}</x14:id>
        </ext>
      </extLst>
    </cfRule>
  </conditionalFormatting>
  <conditionalFormatting sqref="AQ85">
    <cfRule type="containsBlanks" dxfId="116" priority="123">
      <formula>LEN(TRIM(AQ85))=0</formula>
    </cfRule>
    <cfRule type="dataBar" priority="124">
      <dataBar>
        <cfvo type="min"/>
        <cfvo type="max"/>
        <color rgb="FF3FCDFF"/>
      </dataBar>
      <extLst>
        <ext xmlns:x14="http://schemas.microsoft.com/office/spreadsheetml/2009/9/main" uri="{B025F937-C7B1-47D3-B67F-A62EFF666E3E}">
          <x14:id>{879A4CD8-B0E5-4FCA-BA5C-14C1CA131CE0}</x14:id>
        </ext>
      </extLst>
    </cfRule>
  </conditionalFormatting>
  <conditionalFormatting sqref="AQ86:AQ103">
    <cfRule type="dataBar" priority="126">
      <dataBar>
        <cfvo type="min"/>
        <cfvo type="max"/>
        <color rgb="FF3FCDFF"/>
      </dataBar>
      <extLst>
        <ext xmlns:x14="http://schemas.microsoft.com/office/spreadsheetml/2009/9/main" uri="{B025F937-C7B1-47D3-B67F-A62EFF666E3E}">
          <x14:id>{7FB02629-7082-4749-9045-14402CF85EFC}</x14:id>
        </ext>
      </extLst>
    </cfRule>
  </conditionalFormatting>
  <hyperlinks>
    <hyperlink ref="Y6" r:id="rId1" display="https://ec.europa.eu/eurostat/databrowser/view/DS-056120__custom_6262207/default/table" xr:uid="{2532401C-B5C0-485C-B3CE-34499572748E}"/>
    <hyperlink ref="Y7" r:id="rId2" display="https://ec.europa.eu/eurostat/databrowser/view/DS-056120__custom_6262207/default/table" xr:uid="{F2C39281-A432-4BC9-9A46-9A9C4A24492A}"/>
    <hyperlink ref="Y8" r:id="rId3" display="https://ec.europa.eu/eurostat/databrowser/view/DS-056120__custom_6262207/default/table" xr:uid="{2A1E9723-EDAD-4A09-AFA6-4F7FB3902A34}"/>
    <hyperlink ref="Y9" r:id="rId4" display="https://ec.europa.eu/eurostat/databrowser/view/DS-056120__custom_6262207/default/table" xr:uid="{A08ED7C8-47A4-43C5-8F82-AA334B7FDE59}"/>
    <hyperlink ref="Y10" r:id="rId5" display="https://ec.europa.eu/eurostat/databrowser/view/DS-056120__custom_6262207/default/table" xr:uid="{BDAEFBE1-0409-458C-A123-29F607056F06}"/>
    <hyperlink ref="Y11" r:id="rId6" display="https://ec.europa.eu/eurostat/databrowser/view/DS-056120__custom_6262207/default/table" xr:uid="{C8723139-0ACF-4014-ACBC-7C82DD7F491E}"/>
    <hyperlink ref="Y12" r:id="rId7" display="https://ec.europa.eu/eurostat/databrowser/view/DS-056120__custom_6262207/default/table" xr:uid="{29BDAF31-1F81-4B80-94EB-5B9A530369D0}"/>
    <hyperlink ref="Y13" r:id="rId8" display="https://ec.europa.eu/eurostat/databrowser/view/DS-056120__custom_6262207/default/table" xr:uid="{6A60C886-64ED-48E1-B916-E3C6749377F6}"/>
    <hyperlink ref="Y14" r:id="rId9" display="https://ec.europa.eu/eurostat/databrowser/view/DS-056120__custom_6262207/default/table" xr:uid="{38D911B1-1FEC-45B0-BAB5-7DEC126E27A0}"/>
    <hyperlink ref="Y15" r:id="rId10" display="https://ec.europa.eu/eurostat/databrowser/view/DS-056120__custom_6262207/default/table" xr:uid="{DF488355-3CBE-4DE1-81C6-833BE4F7F21F}"/>
    <hyperlink ref="Y16" r:id="rId11" display="https://ec.europa.eu/eurostat/databrowser/view/DS-056120__custom_6262207/default/table" xr:uid="{2C2C364C-5F81-4169-B9A6-6AD012C46786}"/>
    <hyperlink ref="Y17" r:id="rId12" display="https://ec.europa.eu/eurostat/databrowser/view/DS-056120__custom_6262207/default/table" xr:uid="{E2AE4D1A-DA78-432A-AECF-678E5B32C72E}"/>
    <hyperlink ref="Y18" r:id="rId13" display="https://ec.europa.eu/eurostat/databrowser/view/DS-056120__custom_6262207/default/table" xr:uid="{4A0D4EF2-B6E1-450C-9D0D-387A573C6756}"/>
    <hyperlink ref="Y19" r:id="rId14" display="https://ec.europa.eu/eurostat/databrowser/view/DS-056120__custom_6262207/default/table" xr:uid="{20866AB1-8053-4BE0-9EF9-82618EB43ABF}"/>
    <hyperlink ref="Y20" r:id="rId15" display="https://ec.europa.eu/eurostat/databrowser/view/DS-056120__custom_6262207/default/table" xr:uid="{52BC105D-75A8-4F77-A9A1-1C66A8376078}"/>
    <hyperlink ref="Y21" r:id="rId16" display="https://ec.europa.eu/eurostat/databrowser/view/DS-056120__custom_6262207/default/table" xr:uid="{5E210E42-840B-40CF-AE04-5C817F4BAE4E}"/>
    <hyperlink ref="Y22" r:id="rId17" display="https://ec.europa.eu/eurostat/databrowser/view/DS-056120__custom_6262207/default/table" xr:uid="{7CE4C73D-2D24-43EA-A980-623699CE308D}"/>
    <hyperlink ref="Y23" r:id="rId18" display="https://ec.europa.eu/eurostat/databrowser/view/DS-056120__custom_6262207/default/table" xr:uid="{F6294EA4-F26E-42E0-B867-03AFFBDC34C0}"/>
    <hyperlink ref="Y24" r:id="rId19" display="https://ec.europa.eu/eurostat/databrowser/view/DS-056120__custom_6262207/default/table" xr:uid="{7ED92D7C-9F44-4E35-AF26-CC1CEBB87234}"/>
    <hyperlink ref="Y25" r:id="rId20" display="https://ec.europa.eu/eurostat/databrowser/view/DS-056120__custom_6262207/default/table" xr:uid="{27911E0B-7018-40D8-B349-68ED9DC8AC72}"/>
    <hyperlink ref="Y26" r:id="rId21" display="https://ec.europa.eu/eurostat/databrowser/view/DS-056120__custom_6262207/default/table" xr:uid="{78901CE1-BE42-495E-B870-AE25041583CB}"/>
    <hyperlink ref="Y27" r:id="rId22" display="https://ec.europa.eu/eurostat/databrowser/view/DS-056120__custom_6262207/default/table" xr:uid="{5E52C520-0A21-4A56-AAD8-89530BC10525}"/>
    <hyperlink ref="Y28" r:id="rId23" display="https://ec.europa.eu/eurostat/databrowser/view/DS-056120__custom_6262207/default/table" xr:uid="{A582E0B7-E9C0-4710-AD73-1B2888E117C2}"/>
    <hyperlink ref="Y29" r:id="rId24" display="https://ec.europa.eu/eurostat/databrowser/view/DS-056120__custom_6262207/default/table" xr:uid="{3CA39AFA-6895-4806-8587-967CE002685C}"/>
    <hyperlink ref="Y30" r:id="rId25" display="https://ec.europa.eu/eurostat/databrowser/view/DS-056120__custom_6262207/default/table" xr:uid="{6AF3179C-56CF-4265-BE73-FA5AB1D237F2}"/>
    <hyperlink ref="Y31" r:id="rId26" display="https://ec.europa.eu/eurostat/databrowser/view/DS-056120__custom_6262207/default/table" xr:uid="{20BC9D64-C222-4D9B-AB22-E2AFEF6CC9B0}"/>
    <hyperlink ref="Y32" r:id="rId27" display="https://ec.europa.eu/eurostat/databrowser/view/DS-056120__custom_6262207/default/table" xr:uid="{0E3B1CEF-9545-4D2F-BB6A-C889B0AD898A}"/>
    <hyperlink ref="Y33" r:id="rId28" display="https://ec.europa.eu/eurostat/databrowser/view/DS-056120__custom_6262207/default/table" xr:uid="{DB156501-71CB-451C-A414-E60E64C75E8E}"/>
    <hyperlink ref="Y34" r:id="rId29" display="https://ec.europa.eu/eurostat/databrowser/view/DS-056120__custom_6262207/default/table" xr:uid="{1493192F-6117-4C1E-A0D1-231BD46DC34F}"/>
    <hyperlink ref="Y35" r:id="rId30" display="https://ec.europa.eu/eurostat/databrowser/view/DS-056120__custom_6262207/default/table" xr:uid="{F86E2BCA-E656-4A8A-98D5-D26E535FBB60}"/>
    <hyperlink ref="Y36" r:id="rId31" display="https://ec.europa.eu/eurostat/databrowser/view/DS-056120__custom_6262207/default/table" xr:uid="{6693E2EB-0CAA-4160-B0AE-44CD173132A5}"/>
    <hyperlink ref="Y37" r:id="rId32" display="https://ec.europa.eu/eurostat/databrowser/view/DS-056120__custom_6262207/default/table" xr:uid="{CD18DBD1-0803-4649-86C6-FCBFF2FA2EFC}"/>
    <hyperlink ref="Y38" r:id="rId33" display="https://ec.europa.eu/eurostat/databrowser/view/DS-056120__custom_6262207/default/table" xr:uid="{7FBF7F0A-E258-42FE-AD09-9F608DA16A90}"/>
    <hyperlink ref="Y39" r:id="rId34" display="https://ec.europa.eu/eurostat/databrowser/view/DS-056120__custom_6262207/default/table" xr:uid="{C73EB50C-E518-486D-9239-C9D9FE50D427}"/>
    <hyperlink ref="Y40" r:id="rId35" display="https://ec.europa.eu/eurostat/databrowser/view/DS-056120__custom_6262207/default/table" xr:uid="{41611FBD-DBE5-47C0-9E56-4B3441060704}"/>
    <hyperlink ref="Y41" r:id="rId36" display="https://ec.europa.eu/eurostat/databrowser/view/DS-056120__custom_6262207/default/table" xr:uid="{2C207456-EEA7-4DF3-876F-199C01FD4F34}"/>
    <hyperlink ref="Y42" r:id="rId37" display="https://ec.europa.eu/eurostat/databrowser/view/DS-056120__custom_6262207/default/table" xr:uid="{3C1A7158-89D5-47F4-815B-559ADDDE6732}"/>
    <hyperlink ref="Y43" r:id="rId38" display="https://ec.europa.eu/eurostat/databrowser/view/DS-056120__custom_6262207/default/table" xr:uid="{BA1660CA-2273-484B-9175-00789630DC18}"/>
    <hyperlink ref="Y44" r:id="rId39" display="https://ec.europa.eu/eurostat/databrowser/view/DS-056120__custom_6262207/default/table" xr:uid="{2D2B026F-4CEF-49FE-9735-D9FCD84BD645}"/>
    <hyperlink ref="Y45" r:id="rId40" display="https://ec.europa.eu/eurostat/databrowser/view/DS-056120__custom_6262207/default/table" xr:uid="{AA870769-4D72-4547-B777-0B408EDC2340}"/>
    <hyperlink ref="Y46" r:id="rId41" display="https://ec.europa.eu/eurostat/databrowser/view/DS-056120__custom_6262207/default/table" xr:uid="{04CB93A8-89B1-4176-BE1A-0C841338DB74}"/>
    <hyperlink ref="Y47" r:id="rId42" display="https://ec.europa.eu/eurostat/databrowser/view/DS-056120__custom_6262207/default/table" xr:uid="{4220298E-6B13-45F5-8FDA-B52F9DEC38C9}"/>
    <hyperlink ref="Y48" r:id="rId43" display="https://ec.europa.eu/eurostat/databrowser/view/DS-056120__custom_6262207/default/table" xr:uid="{00BBB445-6849-4A67-9132-6A869F8430E7}"/>
    <hyperlink ref="Y49" r:id="rId44" display="https://ec.europa.eu/eurostat/databrowser/view/DS-056120__custom_6262207/default/table" xr:uid="{5EACB9B1-A057-4F4C-8548-29E768545341}"/>
    <hyperlink ref="Y50" r:id="rId45" display="https://ec.europa.eu/eurostat/databrowser/view/DS-056120__custom_6262207/default/table" xr:uid="{06D784D7-D3C1-470A-AD63-B5351EFB4F82}"/>
    <hyperlink ref="Y51" r:id="rId46" display="https://ec.europa.eu/eurostat/databrowser/view/DS-056120__custom_6262207/default/table" xr:uid="{6712B6D2-4A7D-4F14-A457-6E1667273B8D}"/>
    <hyperlink ref="Y52" r:id="rId47" display="https://ec.europa.eu/eurostat/databrowser/view/DS-056120__custom_6262207/default/table" xr:uid="{4D7CB668-9EBD-4670-AD7B-9557BB1B25EC}"/>
    <hyperlink ref="Y53" r:id="rId48" display="https://ec.europa.eu/eurostat/databrowser/view/DS-056120__custom_6262207/default/table" xr:uid="{E36B517B-85E1-4A7A-B5EB-370687DCFC6F}"/>
    <hyperlink ref="Y54" r:id="rId49" display="https://ec.europa.eu/eurostat/databrowser/view/DS-056120__custom_6262207/default/table" xr:uid="{C6E2261B-69C8-48E0-979B-37B3D3750ED3}"/>
    <hyperlink ref="Y55" r:id="rId50" display="https://ec.europa.eu/eurostat/databrowser/view/DS-056120__custom_6262207/default/table" xr:uid="{96B4B31E-BE7D-4942-8A2E-B445E0817D19}"/>
    <hyperlink ref="Y56" r:id="rId51" display="https://ec.europa.eu/eurostat/databrowser/view/DS-056120__custom_6262207/default/table" xr:uid="{84615B4C-0E2D-4FE2-BE95-4DE17B607263}"/>
    <hyperlink ref="Y57" r:id="rId52" display="https://ec.europa.eu/eurostat/databrowser/view/DS-056120__custom_6262207/default/table" xr:uid="{16E34A55-480D-4FA7-92AC-08BAC4909B0E}"/>
    <hyperlink ref="Y58" r:id="rId53" display="https://ec.europa.eu/eurostat/databrowser/view/DS-056120__custom_6262207/default/table" xr:uid="{B4AD97B2-4C30-4FEB-A346-C6A8E74D8930}"/>
    <hyperlink ref="Y59" r:id="rId54" display="https://ec.europa.eu/eurostat/databrowser/view/DS-056120__custom_6262207/default/table" xr:uid="{FD4711DA-0499-4925-8B50-D6E771DEB584}"/>
    <hyperlink ref="Y60" r:id="rId55" display="https://ec.europa.eu/eurostat/databrowser/view/DS-056120__custom_6262207/default/table" xr:uid="{0D6C3D4E-F801-419D-963B-24A1EC627D22}"/>
    <hyperlink ref="Y61" r:id="rId56" display="https://ec.europa.eu/eurostat/databrowser/view/DS-056120__custom_6262207/default/table" xr:uid="{BCCC3F43-8BB5-4AA7-84E6-A43B10E30E56}"/>
    <hyperlink ref="Y62" r:id="rId57" display="https://ec.europa.eu/eurostat/databrowser/view/DS-056120__custom_6262207/default/table" xr:uid="{D83CF9AB-42FC-4589-BBF9-3EFE4E0E829F}"/>
    <hyperlink ref="Y63" r:id="rId58" display="https://ec.europa.eu/eurostat/databrowser/view/DS-056120__custom_6262207/default/table" xr:uid="{BF59CC96-5A42-4F72-90EE-A285125009B5}"/>
    <hyperlink ref="Y64" r:id="rId59" display="https://ec.europa.eu/eurostat/databrowser/view/DS-056120__custom_6262207/default/table" xr:uid="{0A18CC3B-0EC4-4084-A3E0-7115199AB433}"/>
    <hyperlink ref="Y65" r:id="rId60" display="https://ec.europa.eu/eurostat/databrowser/view/DS-056120__custom_6262207/default/table" xr:uid="{40C3C992-76A3-4063-9D99-F90B0036DBD8}"/>
    <hyperlink ref="Y66" r:id="rId61" display="https://ec.europa.eu/eurostat/databrowser/view/DS-056120__custom_6262207/default/table" xr:uid="{0DDBECAF-3A71-4FA3-B206-28164DF09ACE}"/>
    <hyperlink ref="Y67" r:id="rId62" display="https://ec.europa.eu/eurostat/databrowser/view/DS-056120__custom_6262207/default/table" xr:uid="{2061A951-F410-4389-8E8E-43DAA149E56A}"/>
    <hyperlink ref="Y68" r:id="rId63" display="https://ec.europa.eu/eurostat/databrowser/view/DS-056120__custom_6262207/default/table" xr:uid="{002DBF5A-2FC7-4267-A9C7-5DC0BE745DB6}"/>
    <hyperlink ref="Y69" r:id="rId64" display="https://ec.europa.eu/eurostat/databrowser/view/DS-056120__custom_6262207/default/table" xr:uid="{688E0A48-80AD-47CE-AC90-1EEFC37A3FDF}"/>
    <hyperlink ref="Y70" r:id="rId65" display="https://ec.europa.eu/eurostat/databrowser/view/DS-056120__custom_6262207/default/table" xr:uid="{796795EA-0DEC-44EE-A8F3-5125109E7641}"/>
    <hyperlink ref="Y71" r:id="rId66" display="https://ec.europa.eu/eurostat/databrowser/view/DS-056120__custom_6262207/default/table" xr:uid="{19864F3D-3C22-4669-8771-A33D0929A5D1}"/>
    <hyperlink ref="Y72" r:id="rId67" display="https://ec.europa.eu/eurostat/databrowser/view/DS-056120__custom_6262207/default/table" xr:uid="{BE85AC31-1544-470B-A374-D8F9E846F4F3}"/>
    <hyperlink ref="Y73" r:id="rId68" display="https://ec.europa.eu/eurostat/databrowser/view/DS-056120__custom_6262207/default/table" xr:uid="{BBDDEFAD-DDEB-410B-8181-19A10AFD66C8}"/>
    <hyperlink ref="Y74" r:id="rId69" display="https://ec.europa.eu/eurostat/databrowser/view/DS-056120__custom_6262207/default/table" xr:uid="{D0C6D508-AFC8-4F1D-A062-4B67BA062122}"/>
    <hyperlink ref="Y75" r:id="rId70" display="https://ec.europa.eu/eurostat/databrowser/view/DS-056120__custom_6262207/default/table" xr:uid="{54419CE0-8ECD-479E-B7B5-4A71B95F0163}"/>
    <hyperlink ref="Y76" r:id="rId71" display="https://ec.europa.eu/eurostat/databrowser/view/DS-056120__custom_6262207/default/table" xr:uid="{32427EAB-B0F6-401C-A41C-32EE5DE5A45D}"/>
    <hyperlink ref="Y77" r:id="rId72" display="https://ec.europa.eu/eurostat/databrowser/view/DS-056120__custom_6262207/default/table" xr:uid="{5D5B4631-767F-43DE-B1C5-60B6FBD473EB}"/>
    <hyperlink ref="Y78" r:id="rId73" display="https://ec.europa.eu/eurostat/databrowser/view/DS-056120__custom_6262207/default/table" xr:uid="{60C34F0E-F8AE-4224-B53C-641C957753F5}"/>
    <hyperlink ref="Y79" r:id="rId74" display="https://ec.europa.eu/eurostat/databrowser/view/DS-056120__custom_6262207/default/table" xr:uid="{41ABBED8-76BD-4174-AD3B-83293C58BD75}"/>
    <hyperlink ref="Y80" r:id="rId75" display="https://ec.europa.eu/eurostat/databrowser/view/DS-056120__custom_6262207/default/table" xr:uid="{D4BC0877-BFF4-4291-81C6-2AE2072C6050}"/>
    <hyperlink ref="Y81" r:id="rId76" display="https://ec.europa.eu/eurostat/databrowser/view/DS-056120__custom_6262207/default/table" xr:uid="{54575032-5977-4EB7-B4F3-8ECC85FB0BAC}"/>
    <hyperlink ref="Y82" r:id="rId77" display="https://ec.europa.eu/eurostat/databrowser/view/DS-056120__custom_6262207/default/table" xr:uid="{DBED5066-6A8C-40E7-8B98-A420FAF8872B}"/>
    <hyperlink ref="Y83" r:id="rId78" display="https://ec.europa.eu/eurostat/databrowser/view/DS-056120__custom_6262207/default/table" xr:uid="{3A9216A6-D896-419F-B320-EA4C0E63CD3C}"/>
    <hyperlink ref="Y84" r:id="rId79" display="https://ec.europa.eu/eurostat/databrowser/view/DS-056120__custom_6262207/default/table" xr:uid="{EC0BDEBF-5AB3-4253-8136-39D94C4BDAB9}"/>
    <hyperlink ref="Y85" r:id="rId80" display="https://ec.europa.eu/eurostat/databrowser/view/DS-056120__custom_6262207/default/table" xr:uid="{554C90A8-EB3A-41DE-81AC-81FE93B9E4FE}"/>
    <hyperlink ref="Y86" r:id="rId81" display="https://ec.europa.eu/eurostat/databrowser/view/DS-056120__custom_6262207/default/table" xr:uid="{DEFF26AA-FECD-42E2-BD8A-16BF56E5BFCE}"/>
    <hyperlink ref="Y87" r:id="rId82" display="https://ec.europa.eu/eurostat/databrowser/view/DS-056120__custom_6262207/default/table" xr:uid="{355ED88C-6484-41B5-BD50-F7454B445210}"/>
    <hyperlink ref="Y88" r:id="rId83" display="https://ec.europa.eu/eurostat/databrowser/view/DS-056120__custom_6262207/default/table" xr:uid="{25548C2D-FD13-44F7-91E8-77F573BF865D}"/>
    <hyperlink ref="Y89" r:id="rId84" display="https://ec.europa.eu/eurostat/databrowser/view/DS-056120__custom_6262207/default/table" xr:uid="{01F066F3-1BD7-4D6B-8C7F-D85FDBD38778}"/>
    <hyperlink ref="Y90" r:id="rId85" display="https://ec.europa.eu/eurostat/databrowser/view/DS-056120__custom_6262207/default/table" xr:uid="{A87D9D23-94F2-480F-B1CF-72B453C4C43C}"/>
    <hyperlink ref="Y91" r:id="rId86" display="https://ec.europa.eu/eurostat/databrowser/view/DS-056120__custom_6262207/default/table" xr:uid="{2220E0A0-9158-4DFA-8000-17BFBBB0C7FA}"/>
    <hyperlink ref="Y92" r:id="rId87" display="https://ec.europa.eu/eurostat/databrowser/view/DS-056120__custom_6262207/default/table" xr:uid="{56D0372A-70EC-4B41-A7AC-B59252734F56}"/>
    <hyperlink ref="Y93" r:id="rId88" display="https://ec.europa.eu/eurostat/databrowser/view/DS-056120__custom_6262207/default/table" xr:uid="{73BC0966-84B1-4F4A-96C3-90D516D6AA65}"/>
    <hyperlink ref="Y94" r:id="rId89" display="https://ec.europa.eu/eurostat/databrowser/view/DS-056120__custom_6262207/default/table" xr:uid="{7763A0CE-C0C2-462C-AE45-BF6142D73AF9}"/>
    <hyperlink ref="Y95" r:id="rId90" display="https://ec.europa.eu/eurostat/databrowser/view/DS-056120__custom_6262207/default/table" xr:uid="{78ED67C3-61EF-402B-A31A-5F524443BC76}"/>
    <hyperlink ref="Y96" r:id="rId91" display="https://ec.europa.eu/eurostat/databrowser/view/DS-056120__custom_6262207/default/table" xr:uid="{8CB9EC13-9095-4E94-95DF-0421361E41A1}"/>
    <hyperlink ref="Y97" r:id="rId92" display="https://ec.europa.eu/eurostat/databrowser/view/DS-056120__custom_6262207/default/table" xr:uid="{2B1E6A78-82B7-4B3E-81D4-81BAE0A1795F}"/>
    <hyperlink ref="Y98" r:id="rId93" display="https://ec.europa.eu/eurostat/databrowser/view/DS-056120__custom_6262207/default/table" xr:uid="{957C69C8-C781-4C2D-811E-38EBB61C71CA}"/>
    <hyperlink ref="Y99" r:id="rId94" display="https://ec.europa.eu/eurostat/databrowser/view/DS-056120__custom_6262207/default/table" xr:uid="{4E495C49-D04B-4665-965C-CB63667F4E5C}"/>
    <hyperlink ref="Y100" r:id="rId95" display="https://ec.europa.eu/eurostat/databrowser/view/DS-056120__custom_6262207/default/table" xr:uid="{00D6C774-5173-4797-B2ED-5BA209607DAC}"/>
    <hyperlink ref="Y101" r:id="rId96" display="https://ec.europa.eu/eurostat/databrowser/view/DS-056120__custom_6262207/default/table" xr:uid="{FF39A70A-9D53-4609-B693-ECB95E0E7689}"/>
    <hyperlink ref="Y102" r:id="rId97" display="https://ec.europa.eu/eurostat/databrowser/view/DS-056120__custom_6262207/default/table" xr:uid="{19F78673-8765-4A7B-A521-5A34E04F7904}"/>
    <hyperlink ref="Y103" r:id="rId98" display="https://ec.europa.eu/eurostat/databrowser/view/DS-056120__custom_6262207/default/table" xr:uid="{9789C94F-5528-4251-BD04-4564231D664C}"/>
    <hyperlink ref="Y104" r:id="rId99" display="https://ec.europa.eu/eurostat/databrowser/view/DS-056120__custom_6262207/default/table" xr:uid="{51A6B2E6-D9E4-4DCF-9730-FDA503FC6658}"/>
    <hyperlink ref="Y105" r:id="rId100" display="https://ec.europa.eu/eurostat/databrowser/view/DS-056120__custom_6262207/default/table" xr:uid="{656DD412-9BE0-4E57-AB80-D226E95E29E2}"/>
    <hyperlink ref="Y106" r:id="rId101" display="https://ec.europa.eu/eurostat/databrowser/view/DS-056120__custom_6262207/default/table" xr:uid="{335562E0-170D-48B3-B1BC-4904DD0CD9C8}"/>
    <hyperlink ref="Y107" r:id="rId102" display="https://ec.europa.eu/eurostat/databrowser/view/DS-056120__custom_6262207/default/table" xr:uid="{8DDBF21B-F522-4EDF-8A46-C4EB82370716}"/>
    <hyperlink ref="Y108" r:id="rId103" display="https://ec.europa.eu/eurostat/databrowser/view/DS-056120__custom_6262207/default/table" xr:uid="{FD30715B-7590-471A-9C67-D622F17480AF}"/>
    <hyperlink ref="Y109" r:id="rId104" display="https://ec.europa.eu/eurostat/databrowser/view/DS-056120__custom_6262207/default/table" xr:uid="{AEA74F5E-391E-446F-9484-C79FE6561721}"/>
    <hyperlink ref="Y110" r:id="rId105" display="https://ec.europa.eu/eurostat/databrowser/view/DS-056120__custom_6262207/default/table" xr:uid="{60352034-2390-4CD4-9D6B-69D5CA841833}"/>
    <hyperlink ref="Y111" r:id="rId106" display="https://ec.europa.eu/eurostat/databrowser/view/DS-056120__custom_6262207/default/table" xr:uid="{8D714DA1-09DF-4C4F-A386-4F82B9C02565}"/>
    <hyperlink ref="Y112" r:id="rId107" display="https://ec.europa.eu/eurostat/databrowser/view/DS-056120__custom_6262207/default/table" xr:uid="{F3102D62-3050-4145-B165-7F8F5F685AA8}"/>
    <hyperlink ref="Y113" r:id="rId108" display="https://ec.europa.eu/eurostat/databrowser/view/DS-056120__custom_6262207/default/table" xr:uid="{A04AD01A-105D-4BC3-A84F-D63D5611156A}"/>
    <hyperlink ref="Y114" r:id="rId109" display="https://ec.europa.eu/eurostat/databrowser/view/DS-056120__custom_6262207/default/table" xr:uid="{39ED6D35-6B3E-42CF-A472-28AF56295352}"/>
    <hyperlink ref="Y115" r:id="rId110" display="https://ec.europa.eu/eurostat/databrowser/view/DS-056120__custom_6262207/default/table" xr:uid="{0AA333BE-3595-4E41-8B28-B7FD3C0C3755}"/>
    <hyperlink ref="Y116" r:id="rId111" display="https://ec.europa.eu/eurostat/databrowser/view/DS-056120__custom_6262207/default/table" xr:uid="{A4859DCE-0966-4A41-A8B2-9ADCF58DFD1C}"/>
    <hyperlink ref="Y117" r:id="rId112" display="https://ec.europa.eu/eurostat/databrowser/view/DS-056120__custom_6262207/default/table" xr:uid="{4EA5EF32-4AC5-4881-A557-B59EB8280500}"/>
    <hyperlink ref="Y118" r:id="rId113" display="https://ec.europa.eu/eurostat/databrowser/view/DS-056120__custom_6262207/default/table" xr:uid="{7933828D-587E-4DC3-9AB3-2AB8106C01AF}"/>
    <hyperlink ref="Y119" r:id="rId114" display="https://ec.europa.eu/eurostat/databrowser/view/DS-056120__custom_6262207/default/table" xr:uid="{EDFB8688-8BA8-4C32-93FE-95348E8ED1AE}"/>
    <hyperlink ref="Y120" r:id="rId115" display="https://ec.europa.eu/eurostat/databrowser/view/DS-056120__custom_6262207/default/table" xr:uid="{54D1E602-379F-4980-BBEE-61887A4FAD31}"/>
    <hyperlink ref="Y121" r:id="rId116" display="https://ec.europa.eu/eurostat/databrowser/view/DS-056120__custom_6262207/default/table" xr:uid="{11B19414-4EB8-43C2-B8DA-83D6BDB7AECA}"/>
    <hyperlink ref="Y122" r:id="rId117" display="https://ec.europa.eu/eurostat/databrowser/view/DS-056120__custom_6262207/default/table" xr:uid="{C3B98125-125F-4CEA-A2CB-93D339064B39}"/>
    <hyperlink ref="Y123" r:id="rId118" display="https://ec.europa.eu/eurostat/databrowser/view/DS-056120__custom_6262207/default/table" xr:uid="{E0B368EE-2F54-4AD5-A7B5-D48EB0262486}"/>
    <hyperlink ref="Y124" r:id="rId119" display="https://ec.europa.eu/eurostat/databrowser/view/DS-056120__custom_6262207/default/table" xr:uid="{9EB99649-2663-4FDA-9DF4-3073EFFB455E}"/>
    <hyperlink ref="Y125" r:id="rId120" display="https://ec.europa.eu/eurostat/databrowser/view/DS-056120__custom_6262207/default/table" xr:uid="{1A717E65-540F-4F1E-9FDC-8B4B5B247035}"/>
    <hyperlink ref="Y126" r:id="rId121" display="https://ec.europa.eu/eurostat/databrowser/view/DS-056120__custom_6262207/default/table" xr:uid="{8BF891F5-E245-4A48-B5DE-017F58769A92}"/>
    <hyperlink ref="Y127" r:id="rId122" display="https://ec.europa.eu/eurostat/databrowser/view/DS-056120__custom_6262207/default/table" xr:uid="{7820DAC7-5D07-4DA5-B1F4-482FE5C47F12}"/>
    <hyperlink ref="Y128" r:id="rId123" display="https://ec.europa.eu/eurostat/databrowser/view/DS-056120__custom_6262207/default/table" xr:uid="{0243DE86-04B0-4A17-BD50-6C6AD5D8199F}"/>
    <hyperlink ref="Y129" r:id="rId124" display="https://ec.europa.eu/eurostat/databrowser/view/DS-056120__custom_6262207/default/table" xr:uid="{401ED45C-A29F-4248-9E01-3E664D3E7306}"/>
    <hyperlink ref="Y130" r:id="rId125" display="https://ec.europa.eu/eurostat/databrowser/view/DS-056120__custom_6262207/default/table" xr:uid="{B12837FC-8472-4763-87B2-610B83950A00}"/>
    <hyperlink ref="Y131" r:id="rId126" display="https://ec.europa.eu/eurostat/databrowser/view/DS-056120__custom_6262207/default/table" xr:uid="{65E3DF89-DEFE-45AF-951A-96D531D36B1B}"/>
    <hyperlink ref="Y132" r:id="rId127" display="https://ec.europa.eu/eurostat/databrowser/view/DS-056120__custom_6262207/default/table" xr:uid="{C0BCFC87-1D61-4184-9B9D-C1E663335696}"/>
    <hyperlink ref="Y133" r:id="rId128" display="https://ec.europa.eu/eurostat/databrowser/view/DS-056120__custom_6262207/default/table" xr:uid="{49D07438-6FD9-4DA1-A2F0-2F6982ABDE94}"/>
    <hyperlink ref="Y134" r:id="rId129" display="https://ec.europa.eu/eurostat/databrowser/view/DS-056120__custom_6262207/default/table" xr:uid="{E7F17930-6EA2-421D-81D0-97D6E7736DEF}"/>
    <hyperlink ref="Y135" r:id="rId130" display="https://ec.europa.eu/eurostat/databrowser/view/DS-056120__custom_6262207/default/table" xr:uid="{A12BF3EF-AA45-4E1B-AF98-7260DE9E886D}"/>
    <hyperlink ref="Y136" r:id="rId131" display="https://ec.europa.eu/eurostat/databrowser/view/DS-056120__custom_6262207/default/table" xr:uid="{A45EACD1-D345-4A21-BCC5-7D2D3A6BEB53}"/>
    <hyperlink ref="Y137" r:id="rId132" display="https://ec.europa.eu/eurostat/databrowser/view/DS-056120__custom_6262207/default/table" xr:uid="{FAE6600D-2D67-4474-86F7-60451EFACA81}"/>
    <hyperlink ref="Y138" r:id="rId133" display="https://ec.europa.eu/eurostat/databrowser/view/DS-056120__custom_6262207/default/table" xr:uid="{CADE381D-D03E-4460-BDFE-062AA996254E}"/>
    <hyperlink ref="Y139" r:id="rId134" display="https://ec.europa.eu/eurostat/databrowser/view/DS-056120__custom_6262207/default/table" xr:uid="{542E2038-2BD9-4868-9FE8-F3AFFF695AD7}"/>
    <hyperlink ref="Y140" r:id="rId135" display="https://ec.europa.eu/eurostat/databrowser/view/DS-056120__custom_6262207/default/table" xr:uid="{789F02DD-965C-4D86-9403-756B9D1907BD}"/>
    <hyperlink ref="Y141" r:id="rId136" display="https://ec.europa.eu/eurostat/databrowser/view/DS-056120__custom_6262207/default/table" xr:uid="{19E0A8B1-67F9-4FCA-A505-F8535C3965B7}"/>
    <hyperlink ref="Y142" r:id="rId137" display="https://ec.europa.eu/eurostat/databrowser/view/DS-056120__custom_6262207/default/table" xr:uid="{3190CB59-EE6A-4CCC-9D4B-696CA92B4538}"/>
    <hyperlink ref="Y143" r:id="rId138" display="https://ec.europa.eu/eurostat/databrowser/view/DS-056120__custom_6262207/default/table" xr:uid="{B0538B23-9F8E-470B-889E-AF2766C37622}"/>
    <hyperlink ref="Y144" r:id="rId139" display="https://ec.europa.eu/eurostat/databrowser/view/DS-056120__custom_6262207/default/table" xr:uid="{8A86B40E-561E-440D-9438-4356B91F7710}"/>
    <hyperlink ref="Y145" r:id="rId140" display="https://ec.europa.eu/eurostat/databrowser/view/DS-056120__custom_6262207/default/table" xr:uid="{5CFE90D8-4F3F-4150-8401-828ADF4066BA}"/>
    <hyperlink ref="Y146" r:id="rId141" display="https://ec.europa.eu/eurostat/databrowser/view/DS-056120__custom_6262207/default/table" xr:uid="{46C401AE-7320-43FD-8ECF-C73157EA2DD3}"/>
    <hyperlink ref="Y147" r:id="rId142" display="https://ec.europa.eu/eurostat/databrowser/view/DS-056120__custom_6262207/default/table" xr:uid="{49F03598-6044-4634-827B-FC601AE7C611}"/>
    <hyperlink ref="Y148" r:id="rId143" display="https://ec.europa.eu/eurostat/databrowser/view/DS-056120__custom_6262207/default/table" xr:uid="{C391C91F-F9C3-4EED-AD2C-3886AE0405E5}"/>
    <hyperlink ref="Y149" r:id="rId144" display="https://ec.europa.eu/eurostat/databrowser/view/DS-056120__custom_6262207/default/table" xr:uid="{276F135F-A217-4E1D-B290-6CA1557CAF54}"/>
    <hyperlink ref="Y150" r:id="rId145" display="https://ec.europa.eu/eurostat/databrowser/view/DS-056120__custom_6262207/default/table" xr:uid="{D5FE95FB-F1DC-4AD3-8C4D-4D9D30EA3F7A}"/>
    <hyperlink ref="Y151" r:id="rId146" display="https://ec.europa.eu/eurostat/databrowser/view/DS-056120__custom_6262207/default/table" xr:uid="{84BC926A-6E9F-4FE7-B812-637A4EA8CB62}"/>
    <hyperlink ref="Y152" r:id="rId147" display="https://ec.europa.eu/eurostat/databrowser/view/DS-056120__custom_6262207/default/table" xr:uid="{1ECA4B07-8F9D-4CC8-970D-0EB2FC406333}"/>
    <hyperlink ref="Y153" r:id="rId148" display="https://ec.europa.eu/eurostat/databrowser/view/DS-056120__custom_6262207/default/table" xr:uid="{25099F2F-85A8-4CE6-B774-B969A86B5EF7}"/>
    <hyperlink ref="Y154" r:id="rId149" display="https://ec.europa.eu/eurostat/databrowser/view/DS-056120__custom_6262207/default/table" xr:uid="{3BB06D3D-B0AF-4A8B-9C8B-88062045E40B}"/>
    <hyperlink ref="Y155" r:id="rId150" display="https://ec.europa.eu/eurostat/databrowser/view/DS-056120__custom_6262207/default/table" xr:uid="{B545D1C9-F4DD-4F1B-A4DE-A20CBFDA20DC}"/>
    <hyperlink ref="Y156" r:id="rId151" display="https://ec.europa.eu/eurostat/databrowser/view/DS-056120__custom_6262207/default/table" xr:uid="{6DB56DDC-156E-45B3-8E76-A5AAFDC055A4}"/>
    <hyperlink ref="Y157" r:id="rId152" display="https://ec.europa.eu/eurostat/databrowser/view/DS-056120__custom_6262207/default/table" xr:uid="{46863429-E295-42DE-86CA-1BC6324FE955}"/>
    <hyperlink ref="Y158" r:id="rId153" display="https://ec.europa.eu/eurostat/databrowser/view/DS-056120__custom_6262207/default/table" xr:uid="{055D0E8F-760B-4F17-9C41-56F9372931B6}"/>
    <hyperlink ref="Y159" r:id="rId154" display="https://ec.europa.eu/eurostat/databrowser/view/DS-056120__custom_6262207/default/table" xr:uid="{921ACE81-1154-452F-A28F-E36317261594}"/>
    <hyperlink ref="Y160" r:id="rId155" display="https://ec.europa.eu/eurostat/databrowser/view/DS-056120__custom_6262207/default/table" xr:uid="{FC8CD94C-C9FE-4A6B-A922-659D2FF5E58B}"/>
    <hyperlink ref="Y161" r:id="rId156" display="https://ec.europa.eu/eurostat/databrowser/view/DS-056120__custom_6262207/default/table" xr:uid="{978D1260-F543-42BF-88B7-ACA083F2B886}"/>
    <hyperlink ref="Y162" r:id="rId157" display="https://ec.europa.eu/eurostat/databrowser/view/DS-056120__custom_6262207/default/table" xr:uid="{6BE215AD-27F2-411B-B696-DD338997B249}"/>
    <hyperlink ref="Y163" r:id="rId158" display="https://ec.europa.eu/eurostat/databrowser/view/DS-056120__custom_6262207/default/table" xr:uid="{DCE19D8C-ABE2-41A5-9B13-BA21652BBE39}"/>
    <hyperlink ref="Y164" r:id="rId159" display="https://ec.europa.eu/eurostat/databrowser/view/DS-056120__custom_6262207/default/table" xr:uid="{F10833E3-6519-4DD8-B2F1-306B66A54BCC}"/>
    <hyperlink ref="Y165" r:id="rId160" display="https://ec.europa.eu/eurostat/databrowser/view/DS-056120__custom_6262207/default/table" xr:uid="{1522D38E-A472-4C6D-A4A5-4A579FA556D9}"/>
    <hyperlink ref="Y166" r:id="rId161" display="https://ec.europa.eu/eurostat/databrowser/view/DS-056120__custom_6262207/default/table" xr:uid="{A8A515AE-73E7-4AF4-A004-BBAC667761D6}"/>
    <hyperlink ref="Y167" r:id="rId162" display="https://ec.europa.eu/eurostat/databrowser/view/DS-056120__custom_6262207/default/table" xr:uid="{BA0AA0FA-36CF-47A4-B919-ACDF9D0C9DC3}"/>
    <hyperlink ref="Y168" r:id="rId163" display="https://ec.europa.eu/eurostat/databrowser/view/DS-056120__custom_6262207/default/table" xr:uid="{2552B7E6-338C-4CBE-94C4-38D6480D11BF}"/>
    <hyperlink ref="Y169" r:id="rId164" display="https://ec.europa.eu/eurostat/databrowser/view/DS-056120__custom_6262207/default/table" xr:uid="{640E04C5-EBBD-4FE5-A89A-8FC99BF17CD0}"/>
    <hyperlink ref="Y170" r:id="rId165" display="https://ec.europa.eu/eurostat/databrowser/view/DS-056120__custom_6262207/default/table" xr:uid="{C265DB43-85D3-40D2-BE38-CE2665CBEE49}"/>
    <hyperlink ref="Y171" r:id="rId166" display="https://ec.europa.eu/eurostat/databrowser/view/DS-056120__custom_6262207/default/table" xr:uid="{13428220-F65B-4BE7-8EB1-C78C83E606FC}"/>
    <hyperlink ref="Y172" r:id="rId167" display="https://ec.europa.eu/eurostat/databrowser/view/DS-056120__custom_6262207/default/table" xr:uid="{10B3ABC5-5ECA-4368-B0CF-F04F620C4327}"/>
    <hyperlink ref="Y173" r:id="rId168" display="https://ec.europa.eu/eurostat/databrowser/view/DS-056120__custom_6262207/default/table" xr:uid="{F1CB44EB-890C-4017-8DE3-FD3AF5D0A06F}"/>
    <hyperlink ref="Y174" r:id="rId169" display="https://ec.europa.eu/eurostat/databrowser/view/DS-056120__custom_6262207/default/table" xr:uid="{45182A93-F4ED-4654-99A7-B8EC74C4F223}"/>
    <hyperlink ref="Y175" r:id="rId170" display="https://ec.europa.eu/eurostat/databrowser/view/DS-056120__custom_6262207/default/table" xr:uid="{474B4F93-4AE0-49AC-A6D0-E809C0DBC009}"/>
    <hyperlink ref="Y176" r:id="rId171" display="https://ec.europa.eu/eurostat/databrowser/view/DS-056120__custom_6262207/default/table" xr:uid="{A9815282-8913-4B6A-8CD2-F2ECD71236F1}"/>
    <hyperlink ref="Y177" r:id="rId172" display="https://ec.europa.eu/eurostat/databrowser/view/DS-056120__custom_6262207/default/table" xr:uid="{C8EE7246-3D8E-4CD9-BE5C-E0A8D745D3F4}"/>
    <hyperlink ref="Y178" r:id="rId173" display="https://ec.europa.eu/eurostat/databrowser/view/DS-056120__custom_6262207/default/table" xr:uid="{C4DAA641-665D-42B4-9A3C-FDC9D526C620}"/>
    <hyperlink ref="Y179" r:id="rId174" display="https://ec.europa.eu/eurostat/databrowser/view/DS-056120__custom_6262207/default/table" xr:uid="{4FAAC208-9F76-4101-8C47-03F1C415997B}"/>
    <hyperlink ref="Y180" r:id="rId175" display="https://ec.europa.eu/eurostat/databrowser/view/DS-056120__custom_6262207/default/table" xr:uid="{1AB351ED-5067-4D1B-881D-7F855B9AF018}"/>
    <hyperlink ref="Y181" r:id="rId176" display="https://ec.europa.eu/eurostat/databrowser/view/DS-056120__custom_6262207/default/table" xr:uid="{51EACE68-17E2-4FCC-92F1-E4CD3E0652E1}"/>
    <hyperlink ref="Y182" r:id="rId177" display="https://ec.europa.eu/eurostat/databrowser/view/DS-056120__custom_6262207/default/table" xr:uid="{3A5FBADB-4CB6-41BE-BE3E-5096FCA5A295}"/>
    <hyperlink ref="Y183" r:id="rId178" display="https://ec.europa.eu/eurostat/databrowser/view/DS-056120__custom_6262207/default/table" xr:uid="{135ED266-88FE-4F97-A090-D281DBA4BC5E}"/>
    <hyperlink ref="Y184" r:id="rId179" display="https://ec.europa.eu/eurostat/databrowser/view/DS-056120__custom_6262207/default/table" xr:uid="{E2870E67-B3BE-411C-A76E-753999865CB9}"/>
    <hyperlink ref="Y185" r:id="rId180" display="https://ec.europa.eu/eurostat/databrowser/view/DS-056120__custom_6262207/default/table" xr:uid="{5E42F7E9-8F66-4F8F-872A-079833053551}"/>
    <hyperlink ref="Y186" r:id="rId181" display="https://ec.europa.eu/eurostat/databrowser/view/DS-056120__custom_6262207/default/table" xr:uid="{A42AFD0C-297F-46E9-965A-21ECC10D19DE}"/>
    <hyperlink ref="Y187" r:id="rId182" display="https://ec.europa.eu/eurostat/databrowser/view/DS-056120__custom_6262207/default/table" xr:uid="{3C38BEAB-779C-43C3-B6B1-D82581895508}"/>
    <hyperlink ref="Y188" r:id="rId183" display="https://ec.europa.eu/eurostat/databrowser/view/DS-056120__custom_6262207/default/table" xr:uid="{719FE2B0-B5DC-43C3-9F12-E246E77D2BEF}"/>
    <hyperlink ref="Y189" r:id="rId184" display="https://ec.europa.eu/eurostat/databrowser/view/DS-056120__custom_6262207/default/table" xr:uid="{0617E715-5175-459A-83E0-598BEBA68BE3}"/>
    <hyperlink ref="Y190" r:id="rId185" display="https://ec.europa.eu/eurostat/databrowser/view/DS-056120__custom_6262207/default/table" xr:uid="{0F317415-F1A6-4AFB-9B2D-525F18C63F95}"/>
    <hyperlink ref="Y191" r:id="rId186" display="https://ec.europa.eu/eurostat/databrowser/view/DS-056120__custom_6262207/default/table" xr:uid="{FB4D5B23-F739-43EF-BC7B-EA1E3D0AB759}"/>
    <hyperlink ref="Y192" r:id="rId187" display="https://ec.europa.eu/eurostat/databrowser/view/DS-056120__custom_6262207/default/table" xr:uid="{0DEDE10A-3933-4269-AAE5-F0C9B8B565BE}"/>
    <hyperlink ref="Y193" r:id="rId188" display="https://ec.europa.eu/eurostat/databrowser/view/DS-056120__custom_6262207/default/table" xr:uid="{A56AEFCB-36A3-4FF5-B74F-424EEC9CD282}"/>
    <hyperlink ref="Y194" r:id="rId189" display="https://ec.europa.eu/eurostat/databrowser/view/DS-056120__custom_6262207/default/table" xr:uid="{CD969810-0375-49B1-BB35-7AC60FCC94B9}"/>
    <hyperlink ref="Y195" r:id="rId190" display="https://ec.europa.eu/eurostat/databrowser/view/DS-056120__custom_6262207/default/table" xr:uid="{E00CF035-CDF5-4ED0-8B24-7C50B1BB9B90}"/>
    <hyperlink ref="Y196" r:id="rId191" display="https://ec.europa.eu/eurostat/databrowser/view/DS-056120__custom_6262207/default/table" xr:uid="{0FD394DA-D879-4055-B991-9BD05940D3A4}"/>
    <hyperlink ref="Y197" r:id="rId192" display="https://ec.europa.eu/eurostat/databrowser/view/DS-056120__custom_6262207/default/table" xr:uid="{D4F07208-2B6D-4B2F-BD35-22441BE38B23}"/>
    <hyperlink ref="Y198" r:id="rId193" display="https://ec.europa.eu/eurostat/databrowser/view/DS-056120__custom_6262207/default/table" xr:uid="{E77885F7-8F90-4EF6-A3DC-DD99F5DE7AEC}"/>
    <hyperlink ref="Y199" r:id="rId194" display="https://ec.europa.eu/eurostat/databrowser/view/DS-056120__custom_6262207/default/table" xr:uid="{F29C35B6-A038-4CF3-B5FF-69074FAACFD2}"/>
    <hyperlink ref="Y200" r:id="rId195" display="https://ec.europa.eu/eurostat/databrowser/view/DS-056120__custom_6262207/default/table" xr:uid="{2292579E-F63C-4BFC-8EDF-B85D58F9A7C1}"/>
    <hyperlink ref="Y201" r:id="rId196" display="https://ec.europa.eu/eurostat/databrowser/view/DS-056120__custom_6262207/default/table" xr:uid="{32D0FB83-516A-4A35-99F9-962000EB0DD2}"/>
    <hyperlink ref="Y202" r:id="rId197" display="https://ec.europa.eu/eurostat/databrowser/view/DS-056120__custom_6262207/default/table" xr:uid="{BC188EC3-B742-438C-AD32-9CE621A9C5FA}"/>
    <hyperlink ref="Y203" r:id="rId198" display="https://ec.europa.eu/eurostat/databrowser/view/DS-056120__custom_6262207/default/table" xr:uid="{0F29F02F-70DA-4D7C-9447-7998371F606D}"/>
    <hyperlink ref="Y204" r:id="rId199" display="https://ec.europa.eu/eurostat/databrowser/view/DS-056120__custom_6262207/default/table" xr:uid="{179546FA-8172-419B-BFBD-AE38667E6862}"/>
    <hyperlink ref="Y205" r:id="rId200" display="https://ec.europa.eu/eurostat/databrowser/view/DS-056120__custom_6262207/default/table" xr:uid="{BBACEE68-F6F7-4240-804F-ABC9F88D3EF1}"/>
    <hyperlink ref="Y206" r:id="rId201" display="https://ec.europa.eu/eurostat/databrowser/view/DS-056120__custom_6262207/default/table" xr:uid="{CD067C22-803C-459D-8C5F-9ADDCBDD9EEB}"/>
    <hyperlink ref="Y207" r:id="rId202" display="https://ec.europa.eu/eurostat/databrowser/view/DS-056120__custom_6262207/default/table" xr:uid="{9462A640-363D-4089-BCE5-2F9323B1068B}"/>
    <hyperlink ref="Y208" r:id="rId203" display="https://ec.europa.eu/eurostat/databrowser/view/DS-056120__custom_6262207/default/table" xr:uid="{84F91F04-BC8C-4703-A206-61C851989491}"/>
    <hyperlink ref="Y209" r:id="rId204" display="https://ec.europa.eu/eurostat/databrowser/view/DS-056120__custom_6262207/default/table" xr:uid="{97E869C9-CB4F-4581-87EF-0D769195E9AE}"/>
    <hyperlink ref="Y210" r:id="rId205" display="https://ec.europa.eu/eurostat/databrowser/view/DS-056120__custom_6262207/default/table" xr:uid="{66200AE5-695E-4F43-8958-987147D78442}"/>
    <hyperlink ref="Y211" r:id="rId206" display="https://ec.europa.eu/eurostat/databrowser/view/DS-056120__custom_6262207/default/table" xr:uid="{D6CFD66B-8549-412E-9596-28F32893947B}"/>
    <hyperlink ref="Y212" r:id="rId207" display="https://ec.europa.eu/eurostat/databrowser/view/DS-056120__custom_6262207/default/table" xr:uid="{C0A71988-BD9E-40E8-9F10-41D2B612FC5B}"/>
    <hyperlink ref="Y213" r:id="rId208" display="https://ec.europa.eu/eurostat/databrowser/view/DS-056120__custom_6262207/default/table" xr:uid="{0134B655-1CD6-43C5-926D-B90921FD218A}"/>
    <hyperlink ref="Y214" r:id="rId209" display="https://ec.europa.eu/eurostat/databrowser/view/DS-056120__custom_6262207/default/table" xr:uid="{EE1E0A53-577F-4FF1-9028-10B38B990980}"/>
    <hyperlink ref="Y215" r:id="rId210" display="https://ec.europa.eu/eurostat/databrowser/view/DS-056120__custom_6262207/default/table" xr:uid="{C816344D-8119-427A-9963-7E9446640CC4}"/>
    <hyperlink ref="Y216" r:id="rId211" display="https://ec.europa.eu/eurostat/databrowser/view/DS-056120__custom_6262207/default/table" xr:uid="{661EB852-610D-41E9-BB48-781DF664007A}"/>
    <hyperlink ref="Y217" r:id="rId212" display="https://ec.europa.eu/eurostat/databrowser/view/DS-056120__custom_6262207/default/table" xr:uid="{0DC1C5D9-0FB2-49A1-B30E-DB604FBEA6E9}"/>
    <hyperlink ref="Y218" r:id="rId213" display="https://ec.europa.eu/eurostat/databrowser/view/DS-056120__custom_6262207/default/table" xr:uid="{04928330-F01F-47E7-8ECA-0BFA367A544E}"/>
    <hyperlink ref="Y219" r:id="rId214" display="https://ec.europa.eu/eurostat/databrowser/view/DS-056120__custom_6262207/default/table" xr:uid="{E426F9C4-2448-4588-91F6-3C42D1FAC584}"/>
    <hyperlink ref="Y220" r:id="rId215" display="https://ec.europa.eu/eurostat/databrowser/view/DS-056120__custom_6262207/default/table" xr:uid="{2A5294DA-DC59-41E0-8FAA-238B92A23256}"/>
    <hyperlink ref="Y221" r:id="rId216" display="https://ec.europa.eu/eurostat/databrowser/view/DS-056120__custom_6262207/default/table" xr:uid="{8D886420-1AC3-42F2-ADBA-20FE8697686C}"/>
    <hyperlink ref="Y222" r:id="rId217" display="https://ec.europa.eu/eurostat/databrowser/view/DS-056120__custom_6262207/default/table" xr:uid="{3B5D8B9F-651D-4C9B-BC72-768C1E8C397F}"/>
    <hyperlink ref="Y223" r:id="rId218" display="https://ec.europa.eu/eurostat/databrowser/view/DS-056120__custom_6262207/default/table" xr:uid="{810711C7-7919-4BFE-B46E-3D80E7CAFDF3}"/>
    <hyperlink ref="Y224" r:id="rId219" display="https://ec.europa.eu/eurostat/databrowser/view/DS-056120__custom_6262207/default/table" xr:uid="{A182D5F8-B3F9-44AC-A8F0-CDCC5C2B2A8B}"/>
    <hyperlink ref="Y225" r:id="rId220" display="https://ec.europa.eu/eurostat/databrowser/view/DS-056120__custom_6262207/default/table" xr:uid="{EF6399B2-DCEA-4441-849F-72D8942937CC}"/>
    <hyperlink ref="Y226" r:id="rId221" display="https://ec.europa.eu/eurostat/databrowser/view/DS-056120__custom_6262207/default/table" xr:uid="{44599168-A5AB-4DA0-B20D-F5B131078BF8}"/>
    <hyperlink ref="Y227" r:id="rId222" display="https://ec.europa.eu/eurostat/databrowser/view/DS-056120__custom_6262207/default/table" xr:uid="{60781C66-EC30-4835-A493-884FB7818E15}"/>
    <hyperlink ref="Y228" r:id="rId223" display="https://ec.europa.eu/eurostat/databrowser/view/DS-056120__custom_6262207/default/table" xr:uid="{E32A6B78-C214-49CC-8CDF-AEB4CDF863AE}"/>
    <hyperlink ref="Y229" r:id="rId224" display="https://ec.europa.eu/eurostat/databrowser/view/DS-056120__custom_6262207/default/table" xr:uid="{A98118FC-F473-476F-B31A-F488F0F7A298}"/>
    <hyperlink ref="Y230" r:id="rId225" display="https://ec.europa.eu/eurostat/databrowser/view/DS-056120__custom_6262207/default/table" xr:uid="{AA0D0F4D-7259-4DCA-9CD0-DA58EF6F33F0}"/>
    <hyperlink ref="Y231" r:id="rId226" display="https://ec.europa.eu/eurostat/databrowser/view/DS-056120__custom_6262207/default/table" xr:uid="{5D44E765-056E-432B-816D-C6D0A49C8D57}"/>
    <hyperlink ref="Y232" r:id="rId227" display="https://ec.europa.eu/eurostat/databrowser/view/DS-056120__custom_6262207/default/table" xr:uid="{DD8A80F3-5650-4B00-A734-E4AB8392E9A5}"/>
    <hyperlink ref="Y233" r:id="rId228" display="https://ec.europa.eu/eurostat/databrowser/view/DS-056120__custom_6262207/default/table" xr:uid="{4AA22814-C2F3-4FE2-9310-6B7FA1823875}"/>
    <hyperlink ref="Y234" r:id="rId229" display="https://ec.europa.eu/eurostat/databrowser/view/DS-056120__custom_6262207/default/table" xr:uid="{13BFB366-D063-4943-9975-250C8761506E}"/>
    <hyperlink ref="Y235" r:id="rId230" display="https://ec.europa.eu/eurostat/databrowser/view/DS-056120__custom_6262207/default/table" xr:uid="{DBDD7DE4-D6DB-4F50-9179-341A0A06F862}"/>
    <hyperlink ref="Y236" r:id="rId231" display="https://ec.europa.eu/eurostat/databrowser/view/DS-056120__custom_6262207/default/table" xr:uid="{851B6413-F29C-460E-B9B2-4774171D4296}"/>
    <hyperlink ref="Y237" r:id="rId232" display="https://ec.europa.eu/eurostat/databrowser/view/DS-056120__custom_6262207/default/table" xr:uid="{EDD21B04-93AE-44C6-84D9-FB48CB56ACB6}"/>
    <hyperlink ref="Y238" r:id="rId233" display="https://ec.europa.eu/eurostat/databrowser/view/DS-056120__custom_6262207/default/table" xr:uid="{41D64DF3-5CB2-40F2-8FE8-8C91AE7AEE9E}"/>
    <hyperlink ref="Y239" r:id="rId234" display="https://ec.europa.eu/eurostat/databrowser/view/DS-056120__custom_6262207/default/table" xr:uid="{035B0496-EAFA-4198-BFBF-A544435F1E83}"/>
    <hyperlink ref="Y240" r:id="rId235" display="https://ec.europa.eu/eurostat/databrowser/view/DS-056120__custom_6262207/default/table" xr:uid="{3F0061A6-BB18-4824-8C68-2A44569094D3}"/>
    <hyperlink ref="Y241" r:id="rId236" display="https://ec.europa.eu/eurostat/databrowser/view/DS-056120__custom_6262207/default/table" xr:uid="{F5E9E301-A463-4FFC-8A70-0BA3F3E386A5}"/>
    <hyperlink ref="Y242" r:id="rId237" display="https://ec.europa.eu/eurostat/databrowser/view/DS-056120__custom_6262207/default/table" xr:uid="{0259FB23-D95D-4DF1-BDF2-4EA4889949A9}"/>
    <hyperlink ref="Y243" r:id="rId238" display="https://ec.europa.eu/eurostat/databrowser/view/DS-056120__custom_6262207/default/table" xr:uid="{517757E6-2146-4B43-AD97-980AAB4A8972}"/>
    <hyperlink ref="Y244" r:id="rId239" display="https://ec.europa.eu/eurostat/databrowser/view/DS-056120__custom_6262207/default/table" xr:uid="{BAD6E54C-C70F-42D1-BAC7-912CD49C0B77}"/>
    <hyperlink ref="Y245" r:id="rId240" display="https://ec.europa.eu/eurostat/databrowser/view/DS-056120__custom_6262207/default/table" xr:uid="{43CA15FD-687F-4670-89F3-C0A1C685360A}"/>
    <hyperlink ref="Y246" r:id="rId241" display="https://ec.europa.eu/eurostat/databrowser/view/DS-056120__custom_6262207/default/table" xr:uid="{EEA274BA-F4E9-4348-9656-ECAFFA1F5D85}"/>
    <hyperlink ref="Y247" r:id="rId242" display="https://ec.europa.eu/eurostat/databrowser/view/DS-056120__custom_6262207/default/table" xr:uid="{90D55E65-BE94-48EE-A8E0-35725D5DE336}"/>
    <hyperlink ref="Y248" r:id="rId243" display="https://ec.europa.eu/eurostat/databrowser/view/DS-056120__custom_6262207/default/table" xr:uid="{70866DCB-C39B-43C2-84BC-943124DD2A13}"/>
    <hyperlink ref="Y249" r:id="rId244" display="https://ec.europa.eu/eurostat/databrowser/view/DS-056120__custom_6262207/default/table" xr:uid="{B1ED9687-26BC-472E-A9E4-EE1AC6834918}"/>
    <hyperlink ref="Y250" r:id="rId245" display="https://ec.europa.eu/eurostat/databrowser/view/DS-056120__custom_6262207/default/table" xr:uid="{EDBD7703-AF46-4072-B9D3-CDC1AEF4C65D}"/>
    <hyperlink ref="Y251" r:id="rId246" display="https://ec.europa.eu/eurostat/databrowser/view/DS-056120__custom_6262207/default/table" xr:uid="{61CD4C07-ED2B-48A7-A0C7-AAEDEFA0E1DC}"/>
    <hyperlink ref="Y252" r:id="rId247" display="https://ec.europa.eu/eurostat/databrowser/view/DS-056120__custom_6262207/default/table" xr:uid="{E63D672E-76B7-4295-9355-B9EA16578AB2}"/>
  </hyperlinks>
  <pageMargins left="0.7" right="0.7" top="0.75" bottom="0.75" header="0.3" footer="0.3"/>
  <pageSetup orientation="portrait" r:id="rId248"/>
  <extLst>
    <ext xmlns:x14="http://schemas.microsoft.com/office/spreadsheetml/2009/9/main" uri="{78C0D931-6437-407d-A8EE-F0AAD7539E65}">
      <x14:conditionalFormattings>
        <x14:conditionalFormatting xmlns:xm="http://schemas.microsoft.com/office/excel/2006/main">
          <x14:cfRule type="dataBar" id="{957D7B16-265C-4623-A7A8-2B770FC37256}">
            <x14:dataBar minLength="0" maxLength="100" gradient="0">
              <x14:cfvo type="autoMin"/>
              <x14:cfvo type="autoMax"/>
              <x14:negativeFillColor rgb="FFFF0000"/>
              <x14:axisColor rgb="FF000000"/>
            </x14:dataBar>
          </x14:cfRule>
          <xm:sqref>D414:P453</xm:sqref>
        </x14:conditionalFormatting>
        <x14:conditionalFormatting xmlns:xm="http://schemas.microsoft.com/office/excel/2006/main">
          <x14:cfRule type="dataBar" id="{C5A53CB8-7286-4FE7-AE8E-AA89EC0DA347}">
            <x14:dataBar minLength="0" maxLength="100" gradient="0">
              <x14:cfvo type="autoMin"/>
              <x14:cfvo type="num">
                <xm:f>4</xm:f>
              </x14:cfvo>
              <x14:negativeFillColor rgb="FFFF0000"/>
              <x14:axisColor rgb="FF000000"/>
            </x14:dataBar>
          </x14:cfRule>
          <xm:sqref>H368:H380 J368:M380</xm:sqref>
        </x14:conditionalFormatting>
        <x14:conditionalFormatting xmlns:xm="http://schemas.microsoft.com/office/excel/2006/main">
          <x14:cfRule type="dataBar" id="{F8B1F0CB-9BC9-4040-9C43-D00C39456DD1}">
            <x14:dataBar minLength="0" maxLength="100" gradient="0">
              <x14:cfvo type="autoMin"/>
              <x14:cfvo type="num">
                <xm:f>4</xm:f>
              </x14:cfvo>
              <x14:negativeFillColor rgb="FFFF0000"/>
              <x14:axisColor rgb="FF000000"/>
            </x14:dataBar>
          </x14:cfRule>
          <xm:sqref>H364:M364</xm:sqref>
        </x14:conditionalFormatting>
        <x14:conditionalFormatting xmlns:xm="http://schemas.microsoft.com/office/excel/2006/main">
          <x14:cfRule type="dataBar" id="{314B60D7-FC16-44D8-B26B-4C67A0B45523}">
            <x14:dataBar minLength="0" maxLength="100" gradient="0">
              <x14:cfvo type="autoMin"/>
              <x14:cfvo type="num">
                <xm:f>4</xm:f>
              </x14:cfvo>
              <x14:negativeFillColor rgb="FFFF0000"/>
              <x14:axisColor rgb="FF000000"/>
            </x14:dataBar>
          </x14:cfRule>
          <xm:sqref>H365:M366 H361:M363</xm:sqref>
        </x14:conditionalFormatting>
        <x14:conditionalFormatting xmlns:xm="http://schemas.microsoft.com/office/excel/2006/main">
          <x14:cfRule type="dataBar" id="{A847D5C0-838A-4CB6-ABC9-B1E505FBCED8}">
            <x14:dataBar minLength="0" maxLength="100" gradient="0">
              <x14:cfvo type="autoMin"/>
              <x14:cfvo type="num">
                <xm:f>4</xm:f>
              </x14:cfvo>
              <x14:negativeFillColor rgb="FFFF0000"/>
              <x14:axisColor rgb="FF000000"/>
            </x14:dataBar>
          </x14:cfRule>
          <xm:sqref>H367:M367</xm:sqref>
        </x14:conditionalFormatting>
        <x14:conditionalFormatting xmlns:xm="http://schemas.microsoft.com/office/excel/2006/main">
          <x14:cfRule type="dataBar" id="{DA710FBA-F523-4A4B-B5D7-85AAB235F786}">
            <x14:dataBar minLength="0" maxLength="100" gradient="0">
              <x14:cfvo type="autoMin"/>
              <x14:cfvo type="num">
                <xm:f>4</xm:f>
              </x14:cfvo>
              <x14:negativeFillColor rgb="FFFF0000"/>
              <x14:axisColor rgb="FF000000"/>
            </x14:dataBar>
          </x14:cfRule>
          <xm:sqref>H381:M381 I382:M391 I393:M393</xm:sqref>
        </x14:conditionalFormatting>
        <x14:conditionalFormatting xmlns:xm="http://schemas.microsoft.com/office/excel/2006/main">
          <x14:cfRule type="dataBar" id="{15CA1832-E5DA-474E-8395-F35A08B234B2}">
            <x14:dataBar minLength="0" maxLength="100" gradient="0">
              <x14:cfvo type="autoMin"/>
              <x14:cfvo type="num">
                <xm:f>4</xm:f>
              </x14:cfvo>
              <x14:negativeFillColor rgb="FFFF0000"/>
              <x14:axisColor rgb="FF000000"/>
            </x14:dataBar>
          </x14:cfRule>
          <xm:sqref>H396:M396</xm:sqref>
        </x14:conditionalFormatting>
        <x14:conditionalFormatting xmlns:xm="http://schemas.microsoft.com/office/excel/2006/main">
          <x14:cfRule type="dataBar" id="{1765B891-9FD3-4466-AC3B-51D94A9A59B5}">
            <x14:dataBar minLength="0" maxLength="100" gradient="0">
              <x14:cfvo type="autoMin"/>
              <x14:cfvo type="num">
                <xm:f>4</xm:f>
              </x14:cfvo>
              <x14:negativeFillColor rgb="FFFF0000"/>
              <x14:axisColor rgb="FF000000"/>
            </x14:dataBar>
          </x14:cfRule>
          <xm:sqref>H396:M397</xm:sqref>
        </x14:conditionalFormatting>
        <x14:conditionalFormatting xmlns:xm="http://schemas.microsoft.com/office/excel/2006/main">
          <x14:cfRule type="dataBar" id="{B415458E-23C7-4872-A58E-3614C0AC9953}">
            <x14:dataBar minLength="0" maxLength="100" gradient="0">
              <x14:cfvo type="autoMin"/>
              <x14:cfvo type="num">
                <xm:f>4</xm:f>
              </x14:cfvo>
              <x14:negativeFillColor rgb="FFFF0000"/>
              <x14:axisColor rgb="FF000000"/>
            </x14:dataBar>
          </x14:cfRule>
          <xm:sqref>H397:M397</xm:sqref>
        </x14:conditionalFormatting>
        <x14:conditionalFormatting xmlns:xm="http://schemas.microsoft.com/office/excel/2006/main">
          <x14:cfRule type="dataBar" id="{50D803DC-F918-44A2-9B4B-53F8F78F2E2D}">
            <x14:dataBar minLength="0" maxLength="100" gradient="0">
              <x14:cfvo type="autoMin"/>
              <x14:cfvo type="num">
                <xm:f>4</xm:f>
              </x14:cfvo>
              <x14:negativeFillColor rgb="FFFF0000"/>
              <x14:axisColor rgb="FF000000"/>
            </x14:dataBar>
          </x14:cfRule>
          <xm:sqref>H398:M398</xm:sqref>
        </x14:conditionalFormatting>
        <x14:conditionalFormatting xmlns:xm="http://schemas.microsoft.com/office/excel/2006/main">
          <x14:cfRule type="dataBar" id="{32F8DCD1-A21D-4A1C-BAAD-039F98995370}">
            <x14:dataBar minLength="0" maxLength="100" gradient="0">
              <x14:cfvo type="autoMin"/>
              <x14:cfvo type="num">
                <xm:f>4</xm:f>
              </x14:cfvo>
              <x14:negativeFillColor rgb="FFFF0000"/>
              <x14:axisColor rgb="FF000000"/>
            </x14:dataBar>
          </x14:cfRule>
          <xm:sqref>H399:M399</xm:sqref>
        </x14:conditionalFormatting>
        <x14:conditionalFormatting xmlns:xm="http://schemas.microsoft.com/office/excel/2006/main">
          <x14:cfRule type="dataBar" id="{8413DB46-082A-41DF-A224-265A9591C829}">
            <x14:dataBar minLength="0" maxLength="100" gradient="0">
              <x14:cfvo type="autoMin"/>
              <x14:cfvo type="num">
                <xm:f>4</xm:f>
              </x14:cfvo>
              <x14:negativeFillColor rgb="FFFF0000"/>
              <x14:axisColor rgb="FF000000"/>
            </x14:dataBar>
          </x14:cfRule>
          <xm:sqref>H400:M403</xm:sqref>
        </x14:conditionalFormatting>
        <x14:conditionalFormatting xmlns:xm="http://schemas.microsoft.com/office/excel/2006/main">
          <x14:cfRule type="dataBar" id="{75236DBD-38CF-4B11-8416-7AA6FC7AA87C}">
            <x14:dataBar minLength="0" maxLength="100" gradient="0">
              <x14:cfvo type="autoMin"/>
              <x14:cfvo type="num">
                <xm:f>4</xm:f>
              </x14:cfvo>
              <x14:negativeFillColor rgb="FFFF0000"/>
              <x14:axisColor rgb="FF000000"/>
            </x14:dataBar>
          </x14:cfRule>
          <xm:sqref>H404:M405</xm:sqref>
        </x14:conditionalFormatting>
        <x14:conditionalFormatting xmlns:xm="http://schemas.microsoft.com/office/excel/2006/main">
          <x14:cfRule type="dataBar" id="{3A6E8455-6601-408B-9890-B5BABB8C463E}">
            <x14:dataBar minLength="0" maxLength="100" gradient="0">
              <x14:cfvo type="autoMin"/>
              <x14:cfvo type="num">
                <xm:f>4</xm:f>
              </x14:cfvo>
              <x14:negativeFillColor rgb="FFFF0000"/>
              <x14:axisColor rgb="FF000000"/>
            </x14:dataBar>
          </x14:cfRule>
          <xm:sqref>H406:M407</xm:sqref>
        </x14:conditionalFormatting>
        <x14:conditionalFormatting xmlns:xm="http://schemas.microsoft.com/office/excel/2006/main">
          <x14:cfRule type="dataBar" id="{A2C837B7-AE95-4CC8-8AB9-469C2F7CB751}">
            <x14:dataBar minLength="0" maxLength="100" gradient="0">
              <x14:cfvo type="autoMin"/>
              <x14:cfvo type="num">
                <xm:f>4</xm:f>
              </x14:cfvo>
              <x14:negativeFillColor rgb="FFFF0000"/>
              <x14:axisColor rgb="FF000000"/>
            </x14:dataBar>
          </x14:cfRule>
          <xm:sqref>I392:M392</xm:sqref>
        </x14:conditionalFormatting>
        <x14:conditionalFormatting xmlns:xm="http://schemas.microsoft.com/office/excel/2006/main">
          <x14:cfRule type="dataBar" id="{37D8D804-0BD8-4242-ABB5-D18A259F44D0}">
            <x14:dataBar minLength="0" maxLength="100" gradient="0">
              <x14:cfvo type="autoMin"/>
              <x14:cfvo type="num">
                <xm:f>4</xm:f>
              </x14:cfvo>
              <x14:negativeFillColor rgb="FFFF0000"/>
              <x14:axisColor rgb="FF000000"/>
            </x14:dataBar>
          </x14:cfRule>
          <xm:sqref>J6:N356</xm:sqref>
        </x14:conditionalFormatting>
        <x14:conditionalFormatting xmlns:xm="http://schemas.microsoft.com/office/excel/2006/main">
          <x14:cfRule type="dataBar" id="{56CBFE8F-F7EC-4BFC-80CB-9A3DD0D2B040}">
            <x14:dataBar minLength="0" maxLength="100" gradient="0">
              <x14:cfvo type="autoMin"/>
              <x14:cfvo type="autoMax"/>
              <x14:negativeFillColor rgb="FFFF0000"/>
              <x14:axisColor rgb="FF000000"/>
            </x14:dataBar>
          </x14:cfRule>
          <xm:sqref>N361:N366</xm:sqref>
        </x14:conditionalFormatting>
        <x14:conditionalFormatting xmlns:xm="http://schemas.microsoft.com/office/excel/2006/main">
          <x14:cfRule type="dataBar" id="{6FE93D2E-655C-4C27-831E-5CA1DED7ACF5}">
            <x14:dataBar minLength="0" maxLength="100" gradient="0">
              <x14:cfvo type="autoMin"/>
              <x14:cfvo type="autoMax"/>
              <x14:negativeFillColor rgb="FFFF0000"/>
              <x14:axisColor rgb="FF000000"/>
            </x14:dataBar>
          </x14:cfRule>
          <xm:sqref>N367</xm:sqref>
        </x14:conditionalFormatting>
        <x14:conditionalFormatting xmlns:xm="http://schemas.microsoft.com/office/excel/2006/main">
          <x14:cfRule type="dataBar" id="{047E5794-520E-4924-A857-97F0837ECB5A}">
            <x14:dataBar minLength="0" maxLength="100" gradient="0">
              <x14:cfvo type="autoMin"/>
              <x14:cfvo type="autoMax"/>
              <x14:negativeFillColor rgb="FFFF0000"/>
              <x14:axisColor rgb="FF000000"/>
            </x14:dataBar>
          </x14:cfRule>
          <xm:sqref>N368:N380</xm:sqref>
        </x14:conditionalFormatting>
        <x14:conditionalFormatting xmlns:xm="http://schemas.microsoft.com/office/excel/2006/main">
          <x14:cfRule type="dataBar" id="{70530BA1-5CDA-43D4-8C4A-B3231D734415}">
            <x14:dataBar minLength="0" maxLength="100" gradient="0">
              <x14:cfvo type="autoMin"/>
              <x14:cfvo type="autoMax"/>
              <x14:negativeFillColor rgb="FFFF0000"/>
              <x14:axisColor rgb="FF000000"/>
            </x14:dataBar>
          </x14:cfRule>
          <xm:sqref>N381:N391 N393</xm:sqref>
        </x14:conditionalFormatting>
        <x14:conditionalFormatting xmlns:xm="http://schemas.microsoft.com/office/excel/2006/main">
          <x14:cfRule type="dataBar" id="{A302DE98-0780-44F9-923E-65E203657680}">
            <x14:dataBar minLength="0" maxLength="100" gradient="0">
              <x14:cfvo type="autoMin"/>
              <x14:cfvo type="autoMax"/>
              <x14:negativeFillColor rgb="FFFF0000"/>
              <x14:axisColor rgb="FF000000"/>
            </x14:dataBar>
          </x14:cfRule>
          <xm:sqref>N392</xm:sqref>
        </x14:conditionalFormatting>
        <x14:conditionalFormatting xmlns:xm="http://schemas.microsoft.com/office/excel/2006/main">
          <x14:cfRule type="dataBar" id="{87103521-5D6E-47F7-9E88-9742125D88FE}">
            <x14:dataBar minLength="0" maxLength="100" gradient="0">
              <x14:cfvo type="autoMin"/>
              <x14:cfvo type="autoMax"/>
              <x14:negativeFillColor rgb="FFFF0000"/>
              <x14:axisColor rgb="FF000000"/>
            </x14:dataBar>
          </x14:cfRule>
          <xm:sqref>N396:N407</xm:sqref>
        </x14:conditionalFormatting>
        <x14:conditionalFormatting xmlns:xm="http://schemas.microsoft.com/office/excel/2006/main">
          <x14:cfRule type="dataBar" id="{E6E5D100-BB09-40AE-83ED-DF61489FE57A}">
            <x14:dataBar minLength="0" maxLength="100" gradient="0">
              <x14:cfvo type="autoMin"/>
              <x14:cfvo type="autoMax"/>
              <x14:negativeFillColor rgb="FFFF0000"/>
              <x14:axisColor rgb="FF000000"/>
            </x14:dataBar>
          </x14:cfRule>
          <xm:sqref>O6:O356</xm:sqref>
        </x14:conditionalFormatting>
        <x14:conditionalFormatting xmlns:xm="http://schemas.microsoft.com/office/excel/2006/main">
          <x14:cfRule type="dataBar" id="{EEAECA58-0081-44D6-B716-A22A2B10F7E9}">
            <x14:dataBar minLength="0" maxLength="100" gradient="0">
              <x14:cfvo type="autoMin"/>
              <x14:cfvo type="autoMax"/>
              <x14:negativeFillColor rgb="FFFF0000"/>
              <x14:axisColor rgb="FF000000"/>
            </x14:dataBar>
          </x14:cfRule>
          <xm:sqref>O361:O366</xm:sqref>
        </x14:conditionalFormatting>
        <x14:conditionalFormatting xmlns:xm="http://schemas.microsoft.com/office/excel/2006/main">
          <x14:cfRule type="dataBar" id="{9AD96C49-F858-417F-A967-FF4065FDA1BA}">
            <x14:dataBar minLength="0" maxLength="100" gradient="0">
              <x14:cfvo type="autoMin"/>
              <x14:cfvo type="autoMax"/>
              <x14:negativeFillColor rgb="FFFF0000"/>
              <x14:axisColor rgb="FF000000"/>
            </x14:dataBar>
          </x14:cfRule>
          <xm:sqref>O367</xm:sqref>
        </x14:conditionalFormatting>
        <x14:conditionalFormatting xmlns:xm="http://schemas.microsoft.com/office/excel/2006/main">
          <x14:cfRule type="dataBar" id="{A7BAE1DB-4773-4061-A98A-A2E1B905E283}">
            <x14:dataBar minLength="0" maxLength="100" gradient="0">
              <x14:cfvo type="autoMin"/>
              <x14:cfvo type="autoMax"/>
              <x14:negativeFillColor rgb="FFFF0000"/>
              <x14:axisColor rgb="FF000000"/>
            </x14:dataBar>
          </x14:cfRule>
          <xm:sqref>O396:O407</xm:sqref>
        </x14:conditionalFormatting>
        <x14:conditionalFormatting xmlns:xm="http://schemas.microsoft.com/office/excel/2006/main">
          <x14:cfRule type="dataBar" id="{B2A54833-F921-45C7-86AF-14BEDB6573C7}">
            <x14:dataBar minLength="0" maxLength="100" gradient="0">
              <x14:cfvo type="autoMin"/>
              <x14:cfvo type="num">
                <xm:f>4</xm:f>
              </x14:cfvo>
              <x14:negativeFillColor rgb="FFFF0000"/>
              <x14:axisColor rgb="FF000000"/>
            </x14:dataBar>
          </x14:cfRule>
          <xm:sqref>Z6:AD252</xm:sqref>
        </x14:conditionalFormatting>
        <x14:conditionalFormatting xmlns:xm="http://schemas.microsoft.com/office/excel/2006/main">
          <x14:cfRule type="dataBar" id="{89BE51AC-3D01-4EA8-B28B-4303EF3238DC}">
            <x14:dataBar minLength="0" maxLength="100" gradient="0">
              <x14:cfvo type="autoMin"/>
              <x14:cfvo type="autoMax"/>
              <x14:negativeFillColor rgb="FFFF0000"/>
              <x14:axisColor rgb="FF000000"/>
            </x14:dataBar>
          </x14:cfRule>
          <xm:sqref>AE5:AE252</xm:sqref>
        </x14:conditionalFormatting>
        <x14:conditionalFormatting xmlns:xm="http://schemas.microsoft.com/office/excel/2006/main">
          <x14:cfRule type="dataBar" id="{4025D62E-9601-4808-B8D7-46E4321D1A4D}">
            <x14:dataBar minLength="0" maxLength="100" gradient="0">
              <x14:cfvo type="autoMin"/>
              <x14:cfvo type="num">
                <xm:f>4</xm:f>
              </x14:cfvo>
              <x14:negativeFillColor rgb="FFFF0000"/>
              <x14:axisColor rgb="FF000000"/>
            </x14:dataBar>
          </x14:cfRule>
          <xm:sqref>AL6:AP31</xm:sqref>
        </x14:conditionalFormatting>
        <x14:conditionalFormatting xmlns:xm="http://schemas.microsoft.com/office/excel/2006/main">
          <x14:cfRule type="dataBar" id="{9D137F0D-623C-4436-82E4-0FF64CCB4CBD}">
            <x14:dataBar minLength="0" maxLength="100" gradient="0">
              <x14:cfvo type="autoMin"/>
              <x14:cfvo type="num">
                <xm:f>4</xm:f>
              </x14:cfvo>
              <x14:negativeFillColor rgb="FFFF0000"/>
              <x14:axisColor rgb="FF000000"/>
            </x14:dataBar>
          </x14:cfRule>
          <xm:sqref>AL35:AP60</xm:sqref>
        </x14:conditionalFormatting>
        <x14:conditionalFormatting xmlns:xm="http://schemas.microsoft.com/office/excel/2006/main">
          <x14:cfRule type="dataBar" id="{191EEFD1-35E4-43A7-8DA3-BA2547F5A824}">
            <x14:dataBar minLength="0" maxLength="100" gradient="0">
              <x14:cfvo type="autoMin"/>
              <x14:cfvo type="num">
                <xm:f>4</xm:f>
              </x14:cfvo>
              <x14:negativeFillColor rgb="FFFF0000"/>
              <x14:axisColor rgb="FF000000"/>
            </x14:dataBar>
          </x14:cfRule>
          <xm:sqref>AL65:AP82</xm:sqref>
        </x14:conditionalFormatting>
        <x14:conditionalFormatting xmlns:xm="http://schemas.microsoft.com/office/excel/2006/main">
          <x14:cfRule type="dataBar" id="{022DCEBE-4556-43A7-BA0B-8B582A268167}">
            <x14:dataBar minLength="0" maxLength="100" gradient="0">
              <x14:cfvo type="autoMin"/>
              <x14:cfvo type="num">
                <xm:f>4</xm:f>
              </x14:cfvo>
              <x14:negativeFillColor rgb="FFFF0000"/>
              <x14:axisColor rgb="FF000000"/>
            </x14:dataBar>
          </x14:cfRule>
          <xm:sqref>AL86:AP103</xm:sqref>
        </x14:conditionalFormatting>
        <x14:conditionalFormatting xmlns:xm="http://schemas.microsoft.com/office/excel/2006/main">
          <x14:cfRule type="dataBar" id="{CDCE2675-44D9-46E1-9BD7-620D376B4C5F}">
            <x14:dataBar minLength="0" maxLength="100" gradient="0">
              <x14:cfvo type="autoMin"/>
              <x14:cfvo type="autoMax"/>
              <x14:negativeFillColor rgb="FFFF0000"/>
              <x14:axisColor rgb="FF000000"/>
            </x14:dataBar>
          </x14:cfRule>
          <xm:sqref>AQ5</xm:sqref>
        </x14:conditionalFormatting>
        <x14:conditionalFormatting xmlns:xm="http://schemas.microsoft.com/office/excel/2006/main">
          <x14:cfRule type="dataBar" id="{50296EDD-C114-4ADE-88F5-0FA0AC48579A}">
            <x14:dataBar minLength="0" maxLength="100" gradient="0">
              <x14:cfvo type="autoMin"/>
              <x14:cfvo type="autoMax"/>
              <x14:negativeFillColor rgb="FFFF0000"/>
              <x14:axisColor rgb="FF000000"/>
            </x14:dataBar>
          </x14:cfRule>
          <xm:sqref>AQ6:AQ31</xm:sqref>
        </x14:conditionalFormatting>
        <x14:conditionalFormatting xmlns:xm="http://schemas.microsoft.com/office/excel/2006/main">
          <x14:cfRule type="dataBar" id="{EDC543FA-E2F2-4E9E-8D35-ADB9FAB0E485}">
            <x14:dataBar minLength="0" maxLength="100" gradient="0">
              <x14:cfvo type="autoMin"/>
              <x14:cfvo type="autoMax"/>
              <x14:negativeFillColor rgb="FFFF0000"/>
              <x14:axisColor rgb="FF000000"/>
            </x14:dataBar>
          </x14:cfRule>
          <xm:sqref>AQ34</xm:sqref>
        </x14:conditionalFormatting>
        <x14:conditionalFormatting xmlns:xm="http://schemas.microsoft.com/office/excel/2006/main">
          <x14:cfRule type="dataBar" id="{183FCF22-9DC6-4407-BB22-645D6D64A123}">
            <x14:dataBar minLength="0" maxLength="100" gradient="0">
              <x14:cfvo type="autoMin"/>
              <x14:cfvo type="autoMax"/>
              <x14:negativeFillColor rgb="FFFF0000"/>
              <x14:axisColor rgb="FF000000"/>
            </x14:dataBar>
          </x14:cfRule>
          <xm:sqref>AQ35:AQ60</xm:sqref>
        </x14:conditionalFormatting>
        <x14:conditionalFormatting xmlns:xm="http://schemas.microsoft.com/office/excel/2006/main">
          <x14:cfRule type="dataBar" id="{66277A20-B55F-4D0D-B4C2-D9E0600A8F6A}">
            <x14:dataBar minLength="0" maxLength="100" gradient="0">
              <x14:cfvo type="autoMin"/>
              <x14:cfvo type="autoMax"/>
              <x14:negativeFillColor rgb="FFFF0000"/>
              <x14:axisColor rgb="FF000000"/>
            </x14:dataBar>
          </x14:cfRule>
          <xm:sqref>AQ64</xm:sqref>
        </x14:conditionalFormatting>
        <x14:conditionalFormatting xmlns:xm="http://schemas.microsoft.com/office/excel/2006/main">
          <x14:cfRule type="dataBar" id="{FFEBCA67-9D96-4735-ACE7-CC0B8953E484}">
            <x14:dataBar minLength="0" maxLength="100" gradient="0">
              <x14:cfvo type="autoMin"/>
              <x14:cfvo type="autoMax"/>
              <x14:negativeFillColor rgb="FFFF0000"/>
              <x14:axisColor rgb="FF000000"/>
            </x14:dataBar>
          </x14:cfRule>
          <xm:sqref>AQ65:AQ82</xm:sqref>
        </x14:conditionalFormatting>
        <x14:conditionalFormatting xmlns:xm="http://schemas.microsoft.com/office/excel/2006/main">
          <x14:cfRule type="dataBar" id="{879A4CD8-B0E5-4FCA-BA5C-14C1CA131CE0}">
            <x14:dataBar minLength="0" maxLength="100" gradient="0">
              <x14:cfvo type="autoMin"/>
              <x14:cfvo type="autoMax"/>
              <x14:negativeFillColor rgb="FFFF0000"/>
              <x14:axisColor rgb="FF000000"/>
            </x14:dataBar>
          </x14:cfRule>
          <xm:sqref>AQ85</xm:sqref>
        </x14:conditionalFormatting>
        <x14:conditionalFormatting xmlns:xm="http://schemas.microsoft.com/office/excel/2006/main">
          <x14:cfRule type="dataBar" id="{7FB02629-7082-4749-9045-14402CF85EFC}">
            <x14:dataBar minLength="0" maxLength="100" gradient="0">
              <x14:cfvo type="autoMin"/>
              <x14:cfvo type="autoMax"/>
              <x14:negativeFillColor rgb="FFFF0000"/>
              <x14:axisColor rgb="FF000000"/>
            </x14:dataBar>
          </x14:cfRule>
          <xm:sqref>AQ86:AQ103</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9A2B4-F610-4ACA-874B-6C9943A9A89E}">
  <sheetPr>
    <tabColor theme="8"/>
  </sheetPr>
  <dimension ref="A1:AD190"/>
  <sheetViews>
    <sheetView topLeftCell="A66" zoomScale="85" zoomScaleNormal="85" workbookViewId="0">
      <selection activeCell="B88" sqref="B88"/>
    </sheetView>
  </sheetViews>
  <sheetFormatPr defaultRowHeight="14.4"/>
  <cols>
    <col min="1" max="1" width="27.109375" customWidth="1"/>
    <col min="2" max="2" width="28.6640625" customWidth="1"/>
    <col min="5" max="5" width="16.88671875" customWidth="1"/>
    <col min="6" max="6" width="17.33203125" customWidth="1"/>
    <col min="7" max="7" width="6.88671875" customWidth="1"/>
    <col min="8" max="8" width="7.88671875" customWidth="1"/>
    <col min="9" max="12" width="6.88671875" customWidth="1"/>
    <col min="13" max="13" width="10.5546875" bestFit="1" customWidth="1"/>
    <col min="14" max="14" width="6.88671875" customWidth="1"/>
    <col min="16" max="16" width="48.109375" bestFit="1" customWidth="1"/>
    <col min="20" max="20" width="20.33203125" customWidth="1"/>
    <col min="21" max="21" width="16.33203125" bestFit="1" customWidth="1"/>
    <col min="22" max="22" width="10.109375" bestFit="1" customWidth="1"/>
    <col min="23" max="23" width="8.33203125" bestFit="1" customWidth="1"/>
    <col min="24" max="24" width="14.6640625" bestFit="1" customWidth="1"/>
    <col min="25" max="25" width="12.6640625" bestFit="1" customWidth="1"/>
  </cols>
  <sheetData>
    <row r="1" spans="1:26" s="131" customFormat="1" ht="30" customHeight="1">
      <c r="R1" s="380"/>
    </row>
    <row r="2" spans="1:26" s="6" customFormat="1">
      <c r="A2" s="1025" t="s">
        <v>746</v>
      </c>
      <c r="B2" s="1025"/>
      <c r="C2" s="1025"/>
      <c r="D2" s="1025"/>
      <c r="E2" s="1025"/>
      <c r="F2" s="1025"/>
      <c r="G2" s="1025"/>
      <c r="H2" s="1025"/>
      <c r="I2" s="1025"/>
      <c r="J2" s="1025"/>
      <c r="K2" s="1025"/>
      <c r="L2" s="1025"/>
      <c r="M2" s="1025"/>
      <c r="N2" s="1025"/>
      <c r="O2" s="1025"/>
      <c r="P2" s="1025"/>
      <c r="Q2" s="1025"/>
    </row>
    <row r="3" spans="1:26" s="6" customFormat="1" ht="18.75" customHeight="1">
      <c r="A3" s="1070"/>
      <c r="B3" s="1070"/>
      <c r="C3" s="1070"/>
      <c r="D3" s="1070"/>
      <c r="E3" s="1070"/>
      <c r="F3" s="1070"/>
      <c r="G3" s="1070"/>
      <c r="H3" s="1070"/>
      <c r="I3" s="1070"/>
      <c r="J3" s="1070"/>
      <c r="K3" s="1070"/>
      <c r="L3" s="1070"/>
      <c r="M3" s="1070"/>
      <c r="N3" s="1070"/>
      <c r="O3" s="1070"/>
      <c r="P3" s="1070"/>
      <c r="Q3" s="1070"/>
      <c r="R3" s="380"/>
    </row>
    <row r="4" spans="1:26" s="6" customFormat="1" ht="15" thickBot="1">
      <c r="Z4"/>
    </row>
    <row r="5" spans="1:26" s="6" customFormat="1" ht="15" thickBot="1">
      <c r="A5" s="140" t="s">
        <v>131</v>
      </c>
      <c r="B5" s="140" t="s">
        <v>100</v>
      </c>
      <c r="C5" s="140" t="s">
        <v>101</v>
      </c>
      <c r="D5" s="140" t="s">
        <v>102</v>
      </c>
      <c r="E5" s="140" t="s">
        <v>754</v>
      </c>
      <c r="F5" s="225" t="s">
        <v>104</v>
      </c>
      <c r="G5" s="111" t="s">
        <v>134</v>
      </c>
      <c r="H5" s="112" t="s">
        <v>65</v>
      </c>
      <c r="I5" s="112" t="s">
        <v>67</v>
      </c>
      <c r="J5" s="112" t="s">
        <v>73</v>
      </c>
      <c r="K5" s="113" t="s">
        <v>79</v>
      </c>
      <c r="L5" s="114" t="s">
        <v>106</v>
      </c>
      <c r="M5" s="115" t="s">
        <v>123</v>
      </c>
      <c r="Z5"/>
    </row>
    <row r="6" spans="1:26" s="6" customFormat="1" ht="15" thickBot="1">
      <c r="A6" s="117" t="s">
        <v>180</v>
      </c>
      <c r="B6" s="143" t="s">
        <v>389</v>
      </c>
      <c r="C6" s="117">
        <v>1990</v>
      </c>
      <c r="D6" s="9" t="s">
        <v>92</v>
      </c>
      <c r="E6" s="335">
        <v>14.048770000000001</v>
      </c>
      <c r="F6" s="186" t="s">
        <v>757</v>
      </c>
      <c r="G6" s="250">
        <v>1</v>
      </c>
      <c r="H6" s="13">
        <v>1</v>
      </c>
      <c r="I6" s="13">
        <v>1</v>
      </c>
      <c r="J6" s="13">
        <v>1</v>
      </c>
      <c r="K6" s="314">
        <v>1</v>
      </c>
      <c r="L6" s="347">
        <f t="shared" ref="L6:L13" si="0">IF( OR( ISBLANK(G6),ISBLANK(H6), ISBLANK(I6), ISBLANK(J6), ISBLANK(K6) ), "", 1.5*SQRT( EXP(2.21*(G6-1)) + EXP(2.21*(H6-1)) + EXP(2.21*(I6-1)) + EXP(2.21*(J6-1)) + EXP(2.21*K6-1)   )/100*2.45 )</f>
        <v>9.9656111784768353E-2</v>
      </c>
      <c r="M6" s="33"/>
      <c r="Z6"/>
    </row>
    <row r="7" spans="1:26" s="6" customFormat="1" ht="15" thickBot="1">
      <c r="A7" s="117" t="s">
        <v>180</v>
      </c>
      <c r="B7" s="143" t="s">
        <v>389</v>
      </c>
      <c r="C7" s="117">
        <v>1995</v>
      </c>
      <c r="D7" s="9" t="s">
        <v>92</v>
      </c>
      <c r="E7" s="335">
        <v>15.103305000000001</v>
      </c>
      <c r="F7" s="186" t="s">
        <v>757</v>
      </c>
      <c r="G7" s="250">
        <v>1</v>
      </c>
      <c r="H7" s="13">
        <v>1</v>
      </c>
      <c r="I7" s="13">
        <v>1</v>
      </c>
      <c r="J7" s="13">
        <v>1</v>
      </c>
      <c r="K7" s="314">
        <v>1</v>
      </c>
      <c r="L7" s="347">
        <f t="shared" si="0"/>
        <v>9.9656111784768353E-2</v>
      </c>
      <c r="M7" s="33"/>
      <c r="Z7"/>
    </row>
    <row r="8" spans="1:26" s="6" customFormat="1" ht="15" thickBot="1">
      <c r="A8" s="117" t="s">
        <v>180</v>
      </c>
      <c r="B8" s="143" t="s">
        <v>389</v>
      </c>
      <c r="C8" s="117">
        <v>2000</v>
      </c>
      <c r="D8" s="9" t="s">
        <v>92</v>
      </c>
      <c r="E8" s="335">
        <v>16.7798639999999</v>
      </c>
      <c r="F8" s="186" t="s">
        <v>757</v>
      </c>
      <c r="G8" s="250">
        <v>1</v>
      </c>
      <c r="H8" s="13">
        <v>1</v>
      </c>
      <c r="I8" s="13">
        <v>1</v>
      </c>
      <c r="J8" s="13">
        <v>1</v>
      </c>
      <c r="K8" s="314">
        <v>1</v>
      </c>
      <c r="L8" s="347">
        <f t="shared" si="0"/>
        <v>9.9656111784768353E-2</v>
      </c>
      <c r="M8" s="33"/>
      <c r="Z8"/>
    </row>
    <row r="9" spans="1:26" s="6" customFormat="1" ht="15" thickBot="1">
      <c r="A9" s="117" t="s">
        <v>180</v>
      </c>
      <c r="B9" s="143" t="s">
        <v>389</v>
      </c>
      <c r="C9" s="117">
        <v>2005</v>
      </c>
      <c r="D9" s="9" t="s">
        <v>92</v>
      </c>
      <c r="E9" s="335">
        <v>17.777562999999997</v>
      </c>
      <c r="F9" s="186" t="s">
        <v>757</v>
      </c>
      <c r="G9" s="250">
        <v>1</v>
      </c>
      <c r="H9" s="13">
        <v>1</v>
      </c>
      <c r="I9" s="13">
        <v>1</v>
      </c>
      <c r="J9" s="13">
        <v>1</v>
      </c>
      <c r="K9" s="314">
        <v>1</v>
      </c>
      <c r="L9" s="347">
        <f t="shared" si="0"/>
        <v>9.9656111784768353E-2</v>
      </c>
      <c r="M9" s="33"/>
      <c r="Z9"/>
    </row>
    <row r="10" spans="1:26" s="131" customFormat="1" ht="30" customHeight="1" thickBot="1">
      <c r="A10" s="117" t="s">
        <v>180</v>
      </c>
      <c r="B10" s="143" t="s">
        <v>389</v>
      </c>
      <c r="C10" s="117">
        <v>2010</v>
      </c>
      <c r="D10" s="9" t="s">
        <v>92</v>
      </c>
      <c r="E10" s="335">
        <v>18.043420999999999</v>
      </c>
      <c r="F10" s="186" t="s">
        <v>757</v>
      </c>
      <c r="G10" s="250">
        <v>1</v>
      </c>
      <c r="H10" s="13">
        <v>1</v>
      </c>
      <c r="I10" s="13">
        <v>1</v>
      </c>
      <c r="J10" s="13">
        <v>1</v>
      </c>
      <c r="K10" s="314">
        <v>1</v>
      </c>
      <c r="L10" s="347">
        <f t="shared" si="0"/>
        <v>9.9656111784768353E-2</v>
      </c>
      <c r="M10" s="33"/>
      <c r="O10" s="6"/>
      <c r="P10" s="6"/>
      <c r="Q10" s="6"/>
      <c r="R10" s="6"/>
      <c r="Z10"/>
    </row>
    <row r="11" spans="1:26" s="6" customFormat="1" ht="30" customHeight="1" thickBot="1">
      <c r="A11" s="117" t="s">
        <v>180</v>
      </c>
      <c r="B11" s="143" t="s">
        <v>389</v>
      </c>
      <c r="C11" s="117">
        <v>2015</v>
      </c>
      <c r="D11" s="9" t="s">
        <v>92</v>
      </c>
      <c r="E11" s="335">
        <v>18.230867999999997</v>
      </c>
      <c r="F11" s="186" t="s">
        <v>757</v>
      </c>
      <c r="G11" s="250">
        <v>1</v>
      </c>
      <c r="H11" s="13">
        <v>1</v>
      </c>
      <c r="I11" s="13">
        <v>1</v>
      </c>
      <c r="J11" s="13">
        <v>1</v>
      </c>
      <c r="K11" s="314">
        <v>1</v>
      </c>
      <c r="L11" s="347">
        <f t="shared" si="0"/>
        <v>9.9656111784768353E-2</v>
      </c>
      <c r="M11" s="33"/>
      <c r="Z11"/>
    </row>
    <row r="12" spans="1:26" s="6" customFormat="1" ht="15" thickBot="1">
      <c r="A12" s="117" t="s">
        <v>180</v>
      </c>
      <c r="B12" s="143" t="s">
        <v>389</v>
      </c>
      <c r="C12" s="117">
        <v>2019</v>
      </c>
      <c r="D12" s="9" t="s">
        <v>92</v>
      </c>
      <c r="E12" s="335">
        <v>19.338638</v>
      </c>
      <c r="F12" s="186" t="s">
        <v>757</v>
      </c>
      <c r="G12" s="250">
        <v>1</v>
      </c>
      <c r="H12" s="13">
        <v>1</v>
      </c>
      <c r="I12" s="13">
        <v>1</v>
      </c>
      <c r="J12" s="13">
        <v>1</v>
      </c>
      <c r="K12" s="314">
        <v>1</v>
      </c>
      <c r="L12" s="347">
        <f t="shared" si="0"/>
        <v>9.9656111784768353E-2</v>
      </c>
      <c r="M12" s="33"/>
      <c r="Z12"/>
    </row>
    <row r="13" spans="1:26" s="6" customFormat="1" ht="15" thickBot="1">
      <c r="A13" s="117" t="s">
        <v>180</v>
      </c>
      <c r="B13" s="143" t="s">
        <v>389</v>
      </c>
      <c r="C13" s="117">
        <v>2020</v>
      </c>
      <c r="D13" s="9" t="s">
        <v>92</v>
      </c>
      <c r="E13" s="335">
        <v>16.756188426510999</v>
      </c>
      <c r="F13" s="186" t="s">
        <v>757</v>
      </c>
      <c r="G13" s="250">
        <v>1</v>
      </c>
      <c r="H13" s="13">
        <v>1</v>
      </c>
      <c r="I13" s="13">
        <v>1</v>
      </c>
      <c r="J13" s="13">
        <v>1</v>
      </c>
      <c r="K13" s="314">
        <v>1</v>
      </c>
      <c r="L13" s="347">
        <f t="shared" si="0"/>
        <v>9.9656111784768353E-2</v>
      </c>
      <c r="M13" s="33"/>
      <c r="Z13"/>
    </row>
    <row r="14" spans="1:26" s="6" customFormat="1" ht="15" thickBot="1">
      <c r="A14" s="140" t="s">
        <v>131</v>
      </c>
      <c r="B14" s="140" t="s">
        <v>100</v>
      </c>
      <c r="C14" s="140" t="s">
        <v>101</v>
      </c>
      <c r="D14" s="140" t="s">
        <v>102</v>
      </c>
      <c r="E14" s="140"/>
      <c r="F14" s="225" t="s">
        <v>104</v>
      </c>
      <c r="G14" s="111" t="s">
        <v>134</v>
      </c>
      <c r="H14" s="112" t="s">
        <v>65</v>
      </c>
      <c r="I14" s="112" t="s">
        <v>67</v>
      </c>
      <c r="J14" s="112" t="s">
        <v>73</v>
      </c>
      <c r="K14" s="113" t="s">
        <v>79</v>
      </c>
      <c r="L14" s="114" t="s">
        <v>106</v>
      </c>
      <c r="M14" s="115" t="s">
        <v>123</v>
      </c>
      <c r="Z14"/>
    </row>
    <row r="15" spans="1:26" s="6" customFormat="1" ht="15" thickBot="1">
      <c r="A15" s="117" t="s">
        <v>180</v>
      </c>
      <c r="B15" s="143" t="s">
        <v>389</v>
      </c>
      <c r="C15" s="117">
        <v>1990</v>
      </c>
      <c r="D15" s="9" t="s">
        <v>92</v>
      </c>
      <c r="E15" s="335">
        <v>9.7959110544217687</v>
      </c>
      <c r="F15" s="186" t="s">
        <v>762</v>
      </c>
      <c r="G15" s="250">
        <v>1</v>
      </c>
      <c r="H15" s="13">
        <v>1</v>
      </c>
      <c r="I15" s="13">
        <v>1</v>
      </c>
      <c r="J15" s="13">
        <v>1</v>
      </c>
      <c r="K15" s="314">
        <v>1</v>
      </c>
      <c r="L15" s="347">
        <f t="shared" ref="L15:L22" si="1">IF( OR( ISBLANK(G15),ISBLANK(H15), ISBLANK(I15), ISBLANK(J15), ISBLANK(K15) ), "", 1.5*SQRT( EXP(2.21*(G15-1)) + EXP(2.21*(H15-1)) + EXP(2.21*(I15-1)) + EXP(2.21*(J15-1)) + EXP(2.21*K15-1)   )/100*2.45 )</f>
        <v>9.9656111784768353E-2</v>
      </c>
      <c r="M15" s="33"/>
      <c r="Z15"/>
    </row>
    <row r="16" spans="1:26" s="6" customFormat="1" ht="30" customHeight="1" thickBot="1">
      <c r="A16" s="117" t="s">
        <v>180</v>
      </c>
      <c r="B16" s="143" t="s">
        <v>389</v>
      </c>
      <c r="C16" s="117">
        <v>1995</v>
      </c>
      <c r="D16" s="9" t="s">
        <v>92</v>
      </c>
      <c r="E16" s="335">
        <v>10.531216071428499</v>
      </c>
      <c r="F16" s="186" t="s">
        <v>762</v>
      </c>
      <c r="G16" s="250">
        <v>1</v>
      </c>
      <c r="H16" s="13">
        <v>1</v>
      </c>
      <c r="I16" s="13">
        <v>1</v>
      </c>
      <c r="J16" s="13">
        <v>1</v>
      </c>
      <c r="K16" s="314">
        <v>1</v>
      </c>
      <c r="L16" s="347">
        <f t="shared" si="1"/>
        <v>9.9656111784768353E-2</v>
      </c>
      <c r="M16" s="33"/>
      <c r="Z16"/>
    </row>
    <row r="17" spans="1:30" s="6" customFormat="1" ht="15" thickBot="1">
      <c r="A17" s="117" t="s">
        <v>180</v>
      </c>
      <c r="B17" s="143" t="s">
        <v>389</v>
      </c>
      <c r="C17" s="117">
        <v>2000</v>
      </c>
      <c r="D17" s="9" t="s">
        <v>92</v>
      </c>
      <c r="E17" s="335">
        <v>11.700245306122401</v>
      </c>
      <c r="F17" s="186" t="s">
        <v>762</v>
      </c>
      <c r="G17" s="250">
        <v>1</v>
      </c>
      <c r="H17" s="13">
        <v>1</v>
      </c>
      <c r="I17" s="13">
        <v>1</v>
      </c>
      <c r="J17" s="13">
        <v>1</v>
      </c>
      <c r="K17" s="314">
        <v>1</v>
      </c>
      <c r="L17" s="347">
        <f t="shared" si="1"/>
        <v>9.9656111784768353E-2</v>
      </c>
      <c r="M17" s="33"/>
      <c r="Z17"/>
    </row>
    <row r="18" spans="1:30" s="6" customFormat="1" ht="15" thickBot="1">
      <c r="A18" s="117" t="s">
        <v>180</v>
      </c>
      <c r="B18" s="143" t="s">
        <v>389</v>
      </c>
      <c r="C18" s="117">
        <v>2005</v>
      </c>
      <c r="D18" s="9" t="s">
        <v>92</v>
      </c>
      <c r="E18" s="335">
        <v>12.3959197789115</v>
      </c>
      <c r="F18" s="186" t="s">
        <v>762</v>
      </c>
      <c r="G18" s="250">
        <v>1</v>
      </c>
      <c r="H18" s="13">
        <v>1</v>
      </c>
      <c r="I18" s="13">
        <v>1</v>
      </c>
      <c r="J18" s="13">
        <v>1</v>
      </c>
      <c r="K18" s="314">
        <v>1</v>
      </c>
      <c r="L18" s="347">
        <f t="shared" si="1"/>
        <v>9.9656111784768353E-2</v>
      </c>
      <c r="M18" s="33"/>
      <c r="Z18"/>
    </row>
    <row r="19" spans="1:30" s="6" customFormat="1" ht="15" thickBot="1">
      <c r="A19" s="117" t="s">
        <v>180</v>
      </c>
      <c r="B19" s="143" t="s">
        <v>389</v>
      </c>
      <c r="C19" s="117">
        <v>2010</v>
      </c>
      <c r="D19" s="9" t="s">
        <v>92</v>
      </c>
      <c r="E19" s="335">
        <v>12.5812969557823</v>
      </c>
      <c r="F19" s="186" t="s">
        <v>762</v>
      </c>
      <c r="G19" s="250">
        <v>1</v>
      </c>
      <c r="H19" s="13">
        <v>1</v>
      </c>
      <c r="I19" s="13">
        <v>1</v>
      </c>
      <c r="J19" s="13">
        <v>1</v>
      </c>
      <c r="K19" s="314">
        <v>1</v>
      </c>
      <c r="L19" s="347">
        <f t="shared" si="1"/>
        <v>9.9656111784768353E-2</v>
      </c>
      <c r="M19" s="33"/>
      <c r="R19" s="380"/>
      <c r="Z19"/>
    </row>
    <row r="20" spans="1:30" s="6" customFormat="1" ht="15" thickBot="1">
      <c r="A20" s="117" t="s">
        <v>180</v>
      </c>
      <c r="B20" s="143" t="s">
        <v>389</v>
      </c>
      <c r="C20" s="117">
        <v>2015</v>
      </c>
      <c r="D20" s="9" t="s">
        <v>92</v>
      </c>
      <c r="E20" s="335">
        <v>12.711999795918301</v>
      </c>
      <c r="F20" s="186" t="s">
        <v>762</v>
      </c>
      <c r="G20" s="250">
        <v>1</v>
      </c>
      <c r="H20" s="13">
        <v>1</v>
      </c>
      <c r="I20" s="13">
        <v>1</v>
      </c>
      <c r="J20" s="13">
        <v>1</v>
      </c>
      <c r="K20" s="314">
        <v>1</v>
      </c>
      <c r="L20" s="347">
        <f t="shared" si="1"/>
        <v>9.9656111784768353E-2</v>
      </c>
      <c r="M20" s="33"/>
      <c r="Z20"/>
    </row>
    <row r="21" spans="1:30" s="6" customFormat="1" ht="15" customHeight="1" thickBot="1">
      <c r="A21" s="117" t="s">
        <v>180</v>
      </c>
      <c r="B21" s="143" t="s">
        <v>389</v>
      </c>
      <c r="C21" s="117">
        <v>2019</v>
      </c>
      <c r="D21" s="9" t="s">
        <v>92</v>
      </c>
      <c r="E21" s="335">
        <v>13.4844244557823</v>
      </c>
      <c r="F21" s="186" t="s">
        <v>762</v>
      </c>
      <c r="G21" s="250">
        <v>1</v>
      </c>
      <c r="H21" s="13">
        <v>1</v>
      </c>
      <c r="I21" s="13">
        <v>1</v>
      </c>
      <c r="J21" s="13">
        <v>1</v>
      </c>
      <c r="K21" s="314">
        <v>1</v>
      </c>
      <c r="L21" s="347">
        <f t="shared" si="1"/>
        <v>9.9656111784768353E-2</v>
      </c>
      <c r="M21" s="33"/>
      <c r="Z21"/>
    </row>
    <row r="22" spans="1:30" s="6" customFormat="1" ht="15" customHeight="1" thickBot="1">
      <c r="A22" s="117" t="s">
        <v>180</v>
      </c>
      <c r="B22" s="143" t="s">
        <v>389</v>
      </c>
      <c r="C22" s="117">
        <v>2020</v>
      </c>
      <c r="D22" s="9" t="s">
        <v>92</v>
      </c>
      <c r="E22" s="335">
        <v>11.683736828009399</v>
      </c>
      <c r="F22" s="186" t="s">
        <v>762</v>
      </c>
      <c r="G22" s="250">
        <v>1</v>
      </c>
      <c r="H22" s="13">
        <v>1</v>
      </c>
      <c r="I22" s="13">
        <v>1</v>
      </c>
      <c r="J22" s="13">
        <v>1</v>
      </c>
      <c r="K22" s="314">
        <v>1</v>
      </c>
      <c r="L22" s="347">
        <f t="shared" si="1"/>
        <v>9.9656111784768353E-2</v>
      </c>
      <c r="M22" s="33"/>
      <c r="Z22"/>
    </row>
    <row r="23" spans="1:30" s="6" customFormat="1" ht="15" thickBot="1">
      <c r="A23" s="140" t="s">
        <v>131</v>
      </c>
      <c r="B23" s="140" t="s">
        <v>100</v>
      </c>
      <c r="C23" s="140" t="s">
        <v>101</v>
      </c>
      <c r="D23" s="140" t="s">
        <v>102</v>
      </c>
      <c r="E23" s="140"/>
      <c r="F23" s="225" t="s">
        <v>104</v>
      </c>
      <c r="G23" s="111" t="s">
        <v>134</v>
      </c>
      <c r="H23" s="112" t="s">
        <v>65</v>
      </c>
      <c r="I23" s="112" t="s">
        <v>67</v>
      </c>
      <c r="J23" s="112" t="s">
        <v>73</v>
      </c>
      <c r="K23" s="113" t="s">
        <v>79</v>
      </c>
      <c r="L23" s="114" t="s">
        <v>106</v>
      </c>
      <c r="M23" s="115" t="s">
        <v>123</v>
      </c>
      <c r="Z23"/>
    </row>
    <row r="24" spans="1:30" s="6" customFormat="1" ht="15" customHeight="1" thickBot="1">
      <c r="A24" s="117" t="s">
        <v>180</v>
      </c>
      <c r="B24" s="143" t="s">
        <v>389</v>
      </c>
      <c r="C24" s="117">
        <v>1990</v>
      </c>
      <c r="D24" s="9" t="s">
        <v>92</v>
      </c>
      <c r="E24" s="335">
        <v>18.038811819727801</v>
      </c>
      <c r="F24" s="186" t="s">
        <v>763</v>
      </c>
      <c r="G24" s="250">
        <v>1</v>
      </c>
      <c r="H24" s="13">
        <v>1</v>
      </c>
      <c r="I24" s="13">
        <v>1</v>
      </c>
      <c r="J24" s="13">
        <v>1</v>
      </c>
      <c r="K24" s="314">
        <v>1</v>
      </c>
      <c r="L24" s="347">
        <f t="shared" ref="L24:L31" si="2">IF( OR( ISBLANK(G24),ISBLANK(H24), ISBLANK(I24), ISBLANK(J24), ISBLANK(K24) ), "", 1.5*SQRT( EXP(2.21*(G24-1)) + EXP(2.21*(H24-1)) + EXP(2.21*(I24-1)) + EXP(2.21*(J24-1)) + EXP(2.21*K24-1)   )/100*2.45 )</f>
        <v>9.9656111784768353E-2</v>
      </c>
      <c r="M24" s="33"/>
      <c r="Z24"/>
    </row>
    <row r="25" spans="1:30" s="6" customFormat="1" ht="15" thickBot="1">
      <c r="A25" s="117" t="s">
        <v>180</v>
      </c>
      <c r="B25" s="143" t="s">
        <v>389</v>
      </c>
      <c r="C25" s="117">
        <v>1995</v>
      </c>
      <c r="D25" s="9" t="s">
        <v>92</v>
      </c>
      <c r="E25" s="335">
        <v>19.392849107142801</v>
      </c>
      <c r="F25" s="186" t="s">
        <v>763</v>
      </c>
      <c r="G25" s="250">
        <v>1</v>
      </c>
      <c r="H25" s="13">
        <v>1</v>
      </c>
      <c r="I25" s="13">
        <v>1</v>
      </c>
      <c r="J25" s="13">
        <v>1</v>
      </c>
      <c r="K25" s="314">
        <v>1</v>
      </c>
      <c r="L25" s="347">
        <f t="shared" si="2"/>
        <v>9.9656111784768353E-2</v>
      </c>
      <c r="M25" s="33"/>
      <c r="Z25"/>
    </row>
    <row r="26" spans="1:30" s="131" customFormat="1" ht="30" customHeight="1" thickBot="1">
      <c r="A26" s="117" t="s">
        <v>180</v>
      </c>
      <c r="B26" s="143" t="s">
        <v>389</v>
      </c>
      <c r="C26" s="117">
        <v>2000</v>
      </c>
      <c r="D26" s="9" t="s">
        <v>92</v>
      </c>
      <c r="E26" s="335">
        <v>21.545573673469299</v>
      </c>
      <c r="F26" s="186" t="s">
        <v>763</v>
      </c>
      <c r="G26" s="250">
        <v>1</v>
      </c>
      <c r="H26" s="13">
        <v>1</v>
      </c>
      <c r="I26" s="13">
        <v>1</v>
      </c>
      <c r="J26" s="13">
        <v>1</v>
      </c>
      <c r="K26" s="314">
        <v>1</v>
      </c>
      <c r="L26" s="347">
        <f t="shared" si="2"/>
        <v>9.9656111784768353E-2</v>
      </c>
      <c r="M26" s="33"/>
      <c r="O26" s="6"/>
      <c r="P26" s="6"/>
      <c r="Q26" s="6"/>
      <c r="R26" s="6"/>
      <c r="Z26"/>
    </row>
    <row r="27" spans="1:30" s="6" customFormat="1" ht="30" customHeight="1" thickBot="1">
      <c r="A27" s="117" t="s">
        <v>180</v>
      </c>
      <c r="B27" s="143" t="s">
        <v>389</v>
      </c>
      <c r="C27" s="117">
        <v>2005</v>
      </c>
      <c r="D27" s="9" t="s">
        <v>92</v>
      </c>
      <c r="E27" s="335">
        <v>22.826632763605399</v>
      </c>
      <c r="F27" s="186" t="s">
        <v>763</v>
      </c>
      <c r="G27" s="250">
        <v>1</v>
      </c>
      <c r="H27" s="13">
        <v>1</v>
      </c>
      <c r="I27" s="13">
        <v>1</v>
      </c>
      <c r="J27" s="13">
        <v>1</v>
      </c>
      <c r="K27" s="314">
        <v>1</v>
      </c>
      <c r="L27" s="347">
        <f t="shared" si="2"/>
        <v>9.9656111784768353E-2</v>
      </c>
      <c r="M27" s="33"/>
      <c r="Z27"/>
      <c r="AA27" s="365"/>
      <c r="AB27"/>
    </row>
    <row r="28" spans="1:30" s="6" customFormat="1" ht="15" thickBot="1">
      <c r="A28" s="117" t="s">
        <v>180</v>
      </c>
      <c r="B28" s="143" t="s">
        <v>389</v>
      </c>
      <c r="C28" s="117">
        <v>2010</v>
      </c>
      <c r="D28" s="9" t="s">
        <v>92</v>
      </c>
      <c r="E28" s="335">
        <v>23.167998052721</v>
      </c>
      <c r="F28" s="186" t="s">
        <v>763</v>
      </c>
      <c r="G28" s="250">
        <v>1</v>
      </c>
      <c r="H28" s="13">
        <v>1</v>
      </c>
      <c r="I28" s="13">
        <v>1</v>
      </c>
      <c r="J28" s="13">
        <v>1</v>
      </c>
      <c r="K28" s="314">
        <v>1</v>
      </c>
      <c r="L28" s="347">
        <f t="shared" si="2"/>
        <v>9.9656111784768353E-2</v>
      </c>
      <c r="M28" s="33"/>
      <c r="Z28"/>
      <c r="AC28" s="365"/>
      <c r="AD28"/>
    </row>
    <row r="29" spans="1:30" s="6" customFormat="1" ht="15" thickBot="1">
      <c r="A29" s="117" t="s">
        <v>180</v>
      </c>
      <c r="B29" s="143" t="s">
        <v>389</v>
      </c>
      <c r="C29" s="117">
        <v>2015</v>
      </c>
      <c r="D29" s="9" t="s">
        <v>92</v>
      </c>
      <c r="E29" s="335">
        <v>23.408682551020402</v>
      </c>
      <c r="F29" s="186" t="s">
        <v>763</v>
      </c>
      <c r="G29" s="250">
        <v>1</v>
      </c>
      <c r="H29" s="13">
        <v>1</v>
      </c>
      <c r="I29" s="13">
        <v>1</v>
      </c>
      <c r="J29" s="13">
        <v>1</v>
      </c>
      <c r="K29" s="314">
        <v>1</v>
      </c>
      <c r="L29" s="347">
        <f t="shared" si="2"/>
        <v>9.9656111784768353E-2</v>
      </c>
      <c r="M29" s="33"/>
      <c r="Z29"/>
      <c r="AC29" s="365"/>
      <c r="AD29"/>
    </row>
    <row r="30" spans="1:30" s="6" customFormat="1" ht="15" thickBot="1">
      <c r="A30" s="117" t="s">
        <v>180</v>
      </c>
      <c r="B30" s="143" t="s">
        <v>389</v>
      </c>
      <c r="C30" s="117">
        <v>2019</v>
      </c>
      <c r="D30" s="9" t="s">
        <v>92</v>
      </c>
      <c r="E30" s="335">
        <v>24.831074302720999</v>
      </c>
      <c r="F30" s="186" t="s">
        <v>763</v>
      </c>
      <c r="G30" s="250">
        <v>1</v>
      </c>
      <c r="H30" s="13">
        <v>1</v>
      </c>
      <c r="I30" s="13">
        <v>1</v>
      </c>
      <c r="J30" s="13">
        <v>1</v>
      </c>
      <c r="K30" s="314">
        <v>1</v>
      </c>
      <c r="L30" s="347">
        <f t="shared" si="2"/>
        <v>9.9656111784768353E-2</v>
      </c>
      <c r="M30" s="33"/>
      <c r="Z30"/>
      <c r="AC30" s="365"/>
      <c r="AD30"/>
    </row>
    <row r="31" spans="1:30" s="6" customFormat="1">
      <c r="A31" s="117" t="s">
        <v>180</v>
      </c>
      <c r="B31" s="143" t="s">
        <v>389</v>
      </c>
      <c r="C31" s="117">
        <v>2020</v>
      </c>
      <c r="D31" s="9" t="s">
        <v>92</v>
      </c>
      <c r="E31" s="335">
        <v>21.5151739149929</v>
      </c>
      <c r="F31" s="186" t="s">
        <v>763</v>
      </c>
      <c r="G31" s="250">
        <v>1</v>
      </c>
      <c r="H31" s="13">
        <v>1</v>
      </c>
      <c r="I31" s="13">
        <v>1</v>
      </c>
      <c r="J31" s="13">
        <v>1</v>
      </c>
      <c r="K31" s="314">
        <v>1</v>
      </c>
      <c r="L31" s="347">
        <f t="shared" si="2"/>
        <v>9.9656111784768353E-2</v>
      </c>
      <c r="M31" s="33"/>
      <c r="Z31"/>
      <c r="AC31" s="365"/>
      <c r="AD31"/>
    </row>
    <row r="32" spans="1:30" s="6" customFormat="1">
      <c r="B32" s="825"/>
      <c r="D32" s="7"/>
      <c r="E32" s="826"/>
      <c r="F32" s="2"/>
      <c r="G32" s="1"/>
      <c r="H32" s="1"/>
      <c r="I32" s="1"/>
      <c r="J32" s="1"/>
      <c r="K32" s="1"/>
      <c r="L32" s="760"/>
      <c r="M32" s="7"/>
      <c r="Z32"/>
      <c r="AC32" s="365"/>
      <c r="AD32"/>
    </row>
    <row r="33" spans="1:30" s="6" customFormat="1">
      <c r="A33" s="824"/>
      <c r="B33" s="827"/>
      <c r="C33" s="824"/>
      <c r="D33" s="828"/>
      <c r="E33" s="829"/>
      <c r="F33" s="824"/>
      <c r="G33" s="824"/>
      <c r="H33" s="824"/>
      <c r="I33" s="824"/>
      <c r="J33" s="824"/>
      <c r="K33" s="824"/>
      <c r="L33" s="824"/>
      <c r="M33" s="824"/>
      <c r="N33" s="824"/>
      <c r="O33" s="824"/>
      <c r="P33" s="824"/>
      <c r="Q33" s="824"/>
      <c r="Z33"/>
      <c r="AC33" s="366"/>
      <c r="AD33"/>
    </row>
    <row r="34" spans="1:30" s="6" customFormat="1" ht="18">
      <c r="A34" s="379" t="s">
        <v>764</v>
      </c>
      <c r="B34" s="379"/>
      <c r="C34" s="379"/>
      <c r="D34" s="379"/>
      <c r="E34" s="379"/>
      <c r="F34" s="379"/>
      <c r="G34" s="379"/>
      <c r="H34" s="379"/>
      <c r="I34" s="379"/>
      <c r="J34" s="379"/>
      <c r="K34" s="379"/>
      <c r="L34" s="379"/>
      <c r="M34" s="379"/>
      <c r="N34" s="379"/>
      <c r="O34" s="379"/>
      <c r="P34" s="379"/>
      <c r="Q34" s="379"/>
      <c r="Z34"/>
    </row>
    <row r="35" spans="1:30" s="6" customFormat="1" ht="15" thickBot="1">
      <c r="K35"/>
      <c r="Z35"/>
    </row>
    <row r="36" spans="1:30" s="6" customFormat="1" ht="15" thickBot="1">
      <c r="A36" s="140" t="s">
        <v>131</v>
      </c>
      <c r="B36" s="140" t="s">
        <v>100</v>
      </c>
      <c r="C36" s="140" t="s">
        <v>101</v>
      </c>
      <c r="D36" s="140" t="s">
        <v>102</v>
      </c>
      <c r="E36" s="140"/>
      <c r="F36" s="225" t="s">
        <v>104</v>
      </c>
      <c r="G36" s="112" t="s">
        <v>135</v>
      </c>
      <c r="H36" s="112" t="s">
        <v>65</v>
      </c>
      <c r="I36" s="112" t="s">
        <v>67</v>
      </c>
      <c r="J36" s="112" t="s">
        <v>73</v>
      </c>
      <c r="K36" s="113" t="s">
        <v>79</v>
      </c>
      <c r="L36" s="114" t="s">
        <v>106</v>
      </c>
      <c r="M36" s="115" t="s">
        <v>123</v>
      </c>
      <c r="Z36"/>
    </row>
    <row r="37" spans="1:30" s="6" customFormat="1" ht="15" thickBot="1">
      <c r="A37" s="117" t="s">
        <v>182</v>
      </c>
      <c r="B37" s="143" t="s">
        <v>389</v>
      </c>
      <c r="C37" s="117">
        <v>1990</v>
      </c>
      <c r="D37" s="9" t="s">
        <v>92</v>
      </c>
      <c r="E37" s="219">
        <f>_xlfn.XLOOKUP('Tyre wear'!C37,'Scaling tables'!$B$3:$B$12,'Scaling tables'!$H$3:$H$12)*_xlfn.XLOOKUP('Tyre wear'!C37,'Tyre wear'!$C$6:$C$13,'Tyre wear'!$E$6:$E$13)</f>
        <v>393.48030195907643</v>
      </c>
      <c r="F37" s="186" t="s">
        <v>765</v>
      </c>
      <c r="G37" s="13">
        <v>1</v>
      </c>
      <c r="H37" s="13">
        <v>1</v>
      </c>
      <c r="I37" s="13">
        <v>1</v>
      </c>
      <c r="J37" s="13">
        <v>1</v>
      </c>
      <c r="K37" s="314">
        <v>2</v>
      </c>
      <c r="L37" s="347">
        <f>IF( OR( ISBLANK(G37),ISBLANK(H37), ISBLANK(I37), ISBLANK(J37), ISBLANK(K37) ), "", 1.5*SQRT( EXP(2.21*(G37-1)) + EXP(2.21*(H37-1)) + EXP(2.21*(I37-1)) + EXP(2.21*(J37-1)) + EXP(2.21*K37-1)   )/100*2.45 )</f>
        <v>0.2160744213792255</v>
      </c>
      <c r="M37" s="33"/>
      <c r="Z37"/>
    </row>
    <row r="38" spans="1:30" s="6" customFormat="1" ht="15" thickBot="1">
      <c r="A38" s="117" t="s">
        <v>182</v>
      </c>
      <c r="B38" s="143" t="s">
        <v>389</v>
      </c>
      <c r="C38" s="117">
        <v>1995</v>
      </c>
      <c r="D38" s="9" t="s">
        <v>92</v>
      </c>
      <c r="E38" s="219">
        <f>_xlfn.XLOOKUP('Tyre wear'!C38,'Scaling tables'!$B$3:$B$12,'Scaling tables'!$H$3:$H$12)*_xlfn.XLOOKUP('Tyre wear'!C38,'Tyre wear'!$C$6:$C$13,'Tyre wear'!$E$6:$E$13)</f>
        <v>414.53829746083062</v>
      </c>
      <c r="F38" s="186" t="s">
        <v>765</v>
      </c>
      <c r="G38" s="13">
        <v>1</v>
      </c>
      <c r="H38" s="13">
        <v>1</v>
      </c>
      <c r="I38" s="13">
        <v>1</v>
      </c>
      <c r="J38" s="13">
        <v>1</v>
      </c>
      <c r="K38" s="314">
        <v>2</v>
      </c>
      <c r="L38" s="347">
        <f t="shared" ref="L38:L44" si="3">IF( OR( ISBLANK(G38),ISBLANK(H38), ISBLANK(I38), ISBLANK(J38), ISBLANK(K38) ), "", 1.5*SQRT( EXP(2.21*(G38-1)) + EXP(2.21*(H38-1)) + EXP(2.21*(I38-1)) + EXP(2.21*(J38-1)) + EXP(2.21*K38-1)   )/100*2.45 )</f>
        <v>0.2160744213792255</v>
      </c>
      <c r="M38" s="33"/>
      <c r="Z38"/>
    </row>
    <row r="39" spans="1:30" s="6" customFormat="1" ht="15" thickBot="1">
      <c r="A39" s="117" t="s">
        <v>182</v>
      </c>
      <c r="B39" s="143" t="s">
        <v>389</v>
      </c>
      <c r="C39" s="117">
        <v>2000</v>
      </c>
      <c r="D39" s="9" t="s">
        <v>92</v>
      </c>
      <c r="E39" s="219">
        <f>_xlfn.XLOOKUP('Tyre wear'!C39,'Scaling tables'!$B$3:$B$12,'Scaling tables'!$H$3:$H$12)*_xlfn.XLOOKUP('Tyre wear'!C39,'Tyre wear'!$C$6:$C$13,'Tyre wear'!$E$6:$E$13)</f>
        <v>451.93964163246113</v>
      </c>
      <c r="F39" s="186" t="s">
        <v>765</v>
      </c>
      <c r="G39" s="13">
        <v>1</v>
      </c>
      <c r="H39" s="13">
        <v>1</v>
      </c>
      <c r="I39" s="13">
        <v>1</v>
      </c>
      <c r="J39" s="13">
        <v>1</v>
      </c>
      <c r="K39" s="314">
        <v>2</v>
      </c>
      <c r="L39" s="347">
        <f t="shared" si="3"/>
        <v>0.2160744213792255</v>
      </c>
      <c r="M39" s="33"/>
      <c r="R39"/>
      <c r="Z39"/>
    </row>
    <row r="40" spans="1:30" s="6" customFormat="1" ht="15" thickBot="1">
      <c r="A40" s="117" t="s">
        <v>182</v>
      </c>
      <c r="B40" s="143" t="s">
        <v>389</v>
      </c>
      <c r="C40" s="117">
        <v>2005</v>
      </c>
      <c r="D40" s="9" t="s">
        <v>92</v>
      </c>
      <c r="E40" s="219">
        <f>_xlfn.XLOOKUP('Tyre wear'!C40,'Scaling tables'!$B$3:$B$12,'Scaling tables'!$H$3:$H$12)*_xlfn.XLOOKUP('Tyre wear'!C40,'Tyre wear'!$C$6:$C$13,'Tyre wear'!$E$6:$E$13)</f>
        <v>473.98095485876485</v>
      </c>
      <c r="F40" s="186" t="s">
        <v>765</v>
      </c>
      <c r="G40" s="13">
        <v>1</v>
      </c>
      <c r="H40" s="13">
        <v>1</v>
      </c>
      <c r="I40" s="13">
        <v>1</v>
      </c>
      <c r="J40" s="13">
        <v>1</v>
      </c>
      <c r="K40" s="314">
        <v>2</v>
      </c>
      <c r="L40" s="347">
        <f t="shared" si="3"/>
        <v>0.2160744213792255</v>
      </c>
      <c r="M40" s="33"/>
      <c r="R40"/>
      <c r="Z40"/>
    </row>
    <row r="41" spans="1:30" s="6" customFormat="1" ht="15" thickBot="1">
      <c r="A41" s="117" t="s">
        <v>182</v>
      </c>
      <c r="B41" s="143" t="s">
        <v>389</v>
      </c>
      <c r="C41" s="117">
        <v>2010</v>
      </c>
      <c r="D41" s="9" t="s">
        <v>92</v>
      </c>
      <c r="E41" s="219">
        <f>_xlfn.XLOOKUP('Tyre wear'!C41,'Scaling tables'!$B$3:$B$12,'Scaling tables'!$H$3:$H$12)*_xlfn.XLOOKUP('Tyre wear'!C41,'Tyre wear'!$C$6:$C$13,'Tyre wear'!$E$6:$E$13)</f>
        <v>478.9472033360608</v>
      </c>
      <c r="F41" s="186" t="s">
        <v>765</v>
      </c>
      <c r="G41" s="13">
        <v>1</v>
      </c>
      <c r="H41" s="13">
        <v>1</v>
      </c>
      <c r="I41" s="13">
        <v>1</v>
      </c>
      <c r="J41" s="13">
        <v>1</v>
      </c>
      <c r="K41" s="314">
        <v>2</v>
      </c>
      <c r="L41" s="347">
        <f t="shared" si="3"/>
        <v>0.2160744213792255</v>
      </c>
      <c r="M41" s="33"/>
      <c r="R41"/>
      <c r="Z41"/>
    </row>
    <row r="42" spans="1:30" ht="15" thickBot="1">
      <c r="A42" s="117" t="s">
        <v>182</v>
      </c>
      <c r="B42" s="143" t="s">
        <v>389</v>
      </c>
      <c r="C42" s="117">
        <v>2015</v>
      </c>
      <c r="D42" s="9" t="s">
        <v>92</v>
      </c>
      <c r="E42" s="219">
        <f>_xlfn.XLOOKUP('Tyre wear'!C42,'Scaling tables'!$B$3:$B$12,'Scaling tables'!$H$3:$H$12)*_xlfn.XLOOKUP('Tyre wear'!C42,'Tyre wear'!$C$6:$C$13,'Tyre wear'!$E$6:$E$13)</f>
        <v>478.08873645143643</v>
      </c>
      <c r="F42" s="186" t="s">
        <v>765</v>
      </c>
      <c r="G42" s="13">
        <v>1</v>
      </c>
      <c r="H42" s="13">
        <v>1</v>
      </c>
      <c r="I42" s="13">
        <v>1</v>
      </c>
      <c r="J42" s="13">
        <v>1</v>
      </c>
      <c r="K42" s="314">
        <v>2</v>
      </c>
      <c r="L42" s="347">
        <f t="shared" si="3"/>
        <v>0.2160744213792255</v>
      </c>
      <c r="M42" s="33"/>
      <c r="P42" s="6"/>
      <c r="Q42" s="6"/>
    </row>
    <row r="43" spans="1:30" ht="15" thickBot="1">
      <c r="A43" s="117" t="s">
        <v>182</v>
      </c>
      <c r="B43" s="143" t="s">
        <v>389</v>
      </c>
      <c r="C43" s="117">
        <v>2019</v>
      </c>
      <c r="D43" s="9" t="s">
        <v>92</v>
      </c>
      <c r="E43" s="219">
        <f>_xlfn.XLOOKUP('Tyre wear'!C43,'Scaling tables'!$B$3:$B$12,'Scaling tables'!$H$3:$H$12)*_xlfn.XLOOKUP('Tyre wear'!C43,'Tyre wear'!$C$6:$C$13,'Tyre wear'!$E$6:$E$13)</f>
        <v>498.40670894401939</v>
      </c>
      <c r="F43" s="186" t="s">
        <v>765</v>
      </c>
      <c r="G43" s="13">
        <v>1</v>
      </c>
      <c r="H43" s="13">
        <v>1</v>
      </c>
      <c r="I43" s="13">
        <v>1</v>
      </c>
      <c r="J43" s="13">
        <v>1</v>
      </c>
      <c r="K43" s="314">
        <v>2</v>
      </c>
      <c r="L43" s="347">
        <f t="shared" si="3"/>
        <v>0.2160744213792255</v>
      </c>
      <c r="M43" s="33"/>
      <c r="P43" s="6"/>
      <c r="Q43" s="6"/>
    </row>
    <row r="44" spans="1:30" ht="15" thickBot="1">
      <c r="A44" s="117" t="s">
        <v>182</v>
      </c>
      <c r="B44" s="143" t="s">
        <v>389</v>
      </c>
      <c r="C44" s="117">
        <v>2020</v>
      </c>
      <c r="D44" s="9" t="s">
        <v>92</v>
      </c>
      <c r="E44" s="219">
        <f>_xlfn.XLOOKUP('Tyre wear'!C44,'Scaling tables'!$B$3:$B$12,'Scaling tables'!$H$3:$H$12)*_xlfn.XLOOKUP('Tyre wear'!C44,'Tyre wear'!$C$6:$C$13,'Tyre wear'!$E$6:$E$13)</f>
        <v>429.76922283483776</v>
      </c>
      <c r="F44" s="186" t="s">
        <v>765</v>
      </c>
      <c r="G44" s="13">
        <v>1</v>
      </c>
      <c r="H44" s="13">
        <v>1</v>
      </c>
      <c r="I44" s="13">
        <v>1</v>
      </c>
      <c r="J44" s="13">
        <v>1</v>
      </c>
      <c r="K44" s="314">
        <v>2</v>
      </c>
      <c r="L44" s="347">
        <f t="shared" si="3"/>
        <v>0.2160744213792255</v>
      </c>
      <c r="M44" s="33"/>
      <c r="P44" s="6"/>
      <c r="Q44" s="6"/>
    </row>
    <row r="45" spans="1:30" ht="15" thickBot="1">
      <c r="A45" s="140" t="s">
        <v>131</v>
      </c>
      <c r="B45" s="140" t="s">
        <v>100</v>
      </c>
      <c r="C45" s="140" t="s">
        <v>101</v>
      </c>
      <c r="D45" s="140" t="s">
        <v>102</v>
      </c>
      <c r="E45" s="140"/>
      <c r="F45" s="225" t="s">
        <v>104</v>
      </c>
      <c r="G45" s="112" t="s">
        <v>135</v>
      </c>
      <c r="H45" s="112" t="s">
        <v>65</v>
      </c>
      <c r="I45" s="112" t="s">
        <v>67</v>
      </c>
      <c r="J45" s="112" t="s">
        <v>73</v>
      </c>
      <c r="K45" s="113" t="s">
        <v>79</v>
      </c>
      <c r="L45" s="114" t="s">
        <v>106</v>
      </c>
      <c r="M45" s="115" t="s">
        <v>123</v>
      </c>
      <c r="P45" s="6"/>
      <c r="Q45" s="6"/>
    </row>
    <row r="46" spans="1:30" ht="15" thickBot="1">
      <c r="A46" s="117" t="s">
        <v>182</v>
      </c>
      <c r="B46" s="143" t="s">
        <v>389</v>
      </c>
      <c r="C46" s="117">
        <v>1990</v>
      </c>
      <c r="D46" s="9" t="s">
        <v>92</v>
      </c>
      <c r="E46" s="219">
        <f>_xlfn.XLOOKUP('Tyre wear'!C46,'Scaling tables'!$B$3:$B$12,'Scaling tables'!$H$3:$H$12)*_xlfn.XLOOKUP('Tyre wear'!C46,'Tyre wear'!$C$15:$C$22,'Tyre wear'!$E$15:$E$22)</f>
        <v>274.36551667214508</v>
      </c>
      <c r="F46" s="186" t="s">
        <v>766</v>
      </c>
      <c r="G46" s="13">
        <v>1</v>
      </c>
      <c r="H46" s="13">
        <v>1</v>
      </c>
      <c r="I46" s="13">
        <v>1</v>
      </c>
      <c r="J46" s="13">
        <v>1</v>
      </c>
      <c r="K46" s="314">
        <v>2</v>
      </c>
      <c r="L46" s="347">
        <f t="shared" ref="L46:L53" si="4">IF( OR( ISBLANK(G46),ISBLANK(H46), ISBLANK(I46), ISBLANK(J46), ISBLANK(K46) ), "", 1.5*SQRT( EXP(2.21*(G46-1)) + EXP(2.21*(H46-1)) + EXP(2.21*(I46-1)) + EXP(2.21*(J46-1)) + EXP(2.21*K46-1)   )/100*2.45 )</f>
        <v>0.2160744213792255</v>
      </c>
      <c r="M46" s="33"/>
      <c r="P46" s="6"/>
      <c r="Q46" s="6"/>
    </row>
    <row r="47" spans="1:30" ht="15" thickBot="1">
      <c r="A47" s="117" t="s">
        <v>182</v>
      </c>
      <c r="B47" s="143" t="s">
        <v>389</v>
      </c>
      <c r="C47" s="117">
        <v>1995</v>
      </c>
      <c r="D47" s="9" t="s">
        <v>92</v>
      </c>
      <c r="E47" s="219">
        <f>_xlfn.XLOOKUP('Tyre wear'!C47,'Scaling tables'!$B$3:$B$12,'Scaling tables'!$H$3:$H$12)*_xlfn.XLOOKUP('Tyre wear'!C47,'Tyre wear'!$C$15:$C$22,'Tyre wear'!$E$15:$E$22)</f>
        <v>289.04881285533907</v>
      </c>
      <c r="F47" s="186" t="s">
        <v>766</v>
      </c>
      <c r="G47" s="13">
        <v>1</v>
      </c>
      <c r="H47" s="13">
        <v>1</v>
      </c>
      <c r="I47" s="13">
        <v>1</v>
      </c>
      <c r="J47" s="13">
        <v>1</v>
      </c>
      <c r="K47" s="314">
        <v>2</v>
      </c>
      <c r="L47" s="347">
        <f t="shared" si="4"/>
        <v>0.2160744213792255</v>
      </c>
      <c r="M47" s="33"/>
      <c r="P47" s="6"/>
      <c r="Q47" s="6"/>
    </row>
    <row r="48" spans="1:30" ht="15" thickBot="1">
      <c r="A48" s="117" t="s">
        <v>182</v>
      </c>
      <c r="B48" s="143" t="s">
        <v>389</v>
      </c>
      <c r="C48" s="117">
        <v>2000</v>
      </c>
      <c r="D48" s="9" t="s">
        <v>92</v>
      </c>
      <c r="E48" s="219">
        <f>_xlfn.XLOOKUP('Tyre wear'!C48,'Scaling tables'!$B$3:$B$12,'Scaling tables'!$H$3:$H$12)*_xlfn.XLOOKUP('Tyre wear'!C48,'Tyre wear'!$C$15:$C$22,'Tyre wear'!$E$15:$E$22)</f>
        <v>315.12798141039013</v>
      </c>
      <c r="F48" s="186" t="s">
        <v>766</v>
      </c>
      <c r="G48" s="13">
        <v>1</v>
      </c>
      <c r="H48" s="13">
        <v>1</v>
      </c>
      <c r="I48" s="13">
        <v>1</v>
      </c>
      <c r="J48" s="13">
        <v>1</v>
      </c>
      <c r="K48" s="314">
        <v>2</v>
      </c>
      <c r="L48" s="347">
        <f t="shared" si="4"/>
        <v>0.2160744213792255</v>
      </c>
      <c r="M48" s="33"/>
      <c r="P48" s="6"/>
      <c r="Q48" s="6"/>
    </row>
    <row r="49" spans="1:17" ht="15" thickBot="1">
      <c r="A49" s="117" t="s">
        <v>182</v>
      </c>
      <c r="B49" s="143" t="s">
        <v>389</v>
      </c>
      <c r="C49" s="117">
        <v>2005</v>
      </c>
      <c r="D49" s="9" t="s">
        <v>92</v>
      </c>
      <c r="E49" s="219">
        <f>_xlfn.XLOOKUP('Tyre wear'!C49,'Scaling tables'!$B$3:$B$12,'Scaling tables'!$H$3:$H$12)*_xlfn.XLOOKUP('Tyre wear'!C49,'Tyre wear'!$C$15:$C$22,'Tyre wear'!$E$15:$E$22)</f>
        <v>330.49692430627994</v>
      </c>
      <c r="F49" s="186" t="s">
        <v>766</v>
      </c>
      <c r="G49" s="13">
        <v>1</v>
      </c>
      <c r="H49" s="13">
        <v>1</v>
      </c>
      <c r="I49" s="13">
        <v>1</v>
      </c>
      <c r="J49" s="13">
        <v>1</v>
      </c>
      <c r="K49" s="314">
        <v>2</v>
      </c>
      <c r="L49" s="347">
        <f t="shared" si="4"/>
        <v>0.2160744213792255</v>
      </c>
      <c r="M49" s="33"/>
      <c r="P49" s="6"/>
      <c r="Q49" s="6"/>
    </row>
    <row r="50" spans="1:17" ht="15" thickBot="1">
      <c r="A50" s="117" t="s">
        <v>182</v>
      </c>
      <c r="B50" s="143" t="s">
        <v>389</v>
      </c>
      <c r="C50" s="117">
        <v>2010</v>
      </c>
      <c r="D50" s="9" t="s">
        <v>92</v>
      </c>
      <c r="E50" s="219">
        <f>_xlfn.XLOOKUP('Tyre wear'!C50,'Scaling tables'!$B$3:$B$12,'Scaling tables'!$H$3:$H$12)*_xlfn.XLOOKUP('Tyre wear'!C50,'Tyre wear'!$C$15:$C$22,'Tyre wear'!$E$15:$E$22)</f>
        <v>333.95978463908972</v>
      </c>
      <c r="F50" s="186" t="s">
        <v>766</v>
      </c>
      <c r="G50" s="13">
        <v>1</v>
      </c>
      <c r="H50" s="13">
        <v>1</v>
      </c>
      <c r="I50" s="13">
        <v>1</v>
      </c>
      <c r="J50" s="13">
        <v>1</v>
      </c>
      <c r="K50" s="314">
        <v>2</v>
      </c>
      <c r="L50" s="347">
        <f t="shared" si="4"/>
        <v>0.2160744213792255</v>
      </c>
      <c r="M50" s="33"/>
      <c r="P50" s="6"/>
      <c r="Q50" s="6"/>
    </row>
    <row r="51" spans="1:17" ht="15" thickBot="1">
      <c r="A51" s="117" t="s">
        <v>182</v>
      </c>
      <c r="B51" s="143" t="s">
        <v>389</v>
      </c>
      <c r="C51" s="117">
        <v>2015</v>
      </c>
      <c r="D51" s="9" t="s">
        <v>92</v>
      </c>
      <c r="E51" s="219">
        <f>_xlfn.XLOOKUP('Tyre wear'!C51,'Scaling tables'!$B$3:$B$12,'Scaling tables'!$H$3:$H$12)*_xlfn.XLOOKUP('Tyre wear'!C51,'Tyre wear'!$C$15:$C$22,'Tyre wear'!$E$15:$E$22)</f>
        <v>333.36119378416316</v>
      </c>
      <c r="F51" s="186" t="s">
        <v>766</v>
      </c>
      <c r="G51" s="13">
        <v>1</v>
      </c>
      <c r="H51" s="13">
        <v>1</v>
      </c>
      <c r="I51" s="13">
        <v>1</v>
      </c>
      <c r="J51" s="13">
        <v>1</v>
      </c>
      <c r="K51" s="314">
        <v>2</v>
      </c>
      <c r="L51" s="347">
        <f t="shared" si="4"/>
        <v>0.2160744213792255</v>
      </c>
      <c r="M51" s="33"/>
      <c r="P51" s="6"/>
      <c r="Q51" s="6"/>
    </row>
    <row r="52" spans="1:17" ht="15" thickBot="1">
      <c r="A52" s="117" t="s">
        <v>182</v>
      </c>
      <c r="B52" s="143" t="s">
        <v>389</v>
      </c>
      <c r="C52" s="117">
        <v>2019</v>
      </c>
      <c r="D52" s="9" t="s">
        <v>92</v>
      </c>
      <c r="E52" s="219">
        <f>_xlfn.XLOOKUP('Tyre wear'!C52,'Scaling tables'!$B$3:$B$12,'Scaling tables'!$H$3:$H$12)*_xlfn.XLOOKUP('Tyre wear'!C52,'Tyre wear'!$C$15:$C$22,'Tyre wear'!$E$15:$E$22)</f>
        <v>347.5284875289928</v>
      </c>
      <c r="F52" s="186" t="s">
        <v>766</v>
      </c>
      <c r="G52" s="13">
        <v>1</v>
      </c>
      <c r="H52" s="13">
        <v>1</v>
      </c>
      <c r="I52" s="13">
        <v>1</v>
      </c>
      <c r="J52" s="13">
        <v>1</v>
      </c>
      <c r="K52" s="314">
        <v>2</v>
      </c>
      <c r="L52" s="347">
        <f t="shared" si="4"/>
        <v>0.2160744213792255</v>
      </c>
      <c r="M52" s="33"/>
      <c r="P52" s="6"/>
      <c r="Q52" s="6"/>
    </row>
    <row r="53" spans="1:17" ht="15" thickBot="1">
      <c r="A53" s="117" t="s">
        <v>182</v>
      </c>
      <c r="B53" s="143" t="s">
        <v>389</v>
      </c>
      <c r="C53" s="117">
        <v>2020</v>
      </c>
      <c r="D53" s="9" t="s">
        <v>92</v>
      </c>
      <c r="E53" s="219">
        <f>_xlfn.XLOOKUP('Tyre wear'!C53,'Scaling tables'!$B$3:$B$12,'Scaling tables'!$H$3:$H$12)*_xlfn.XLOOKUP('Tyre wear'!C53,'Tyre wear'!$C$15:$C$22,'Tyre wear'!$E$15:$E$22)</f>
        <v>299.66901592225156</v>
      </c>
      <c r="F53" s="186" t="s">
        <v>766</v>
      </c>
      <c r="G53" s="13">
        <v>1</v>
      </c>
      <c r="H53" s="13">
        <v>1</v>
      </c>
      <c r="I53" s="13">
        <v>1</v>
      </c>
      <c r="J53" s="13">
        <v>1</v>
      </c>
      <c r="K53" s="314">
        <v>2</v>
      </c>
      <c r="L53" s="347">
        <f t="shared" si="4"/>
        <v>0.2160744213792255</v>
      </c>
      <c r="M53" s="33"/>
      <c r="P53" s="6"/>
      <c r="Q53" s="6"/>
    </row>
    <row r="54" spans="1:17" ht="15" thickBot="1">
      <c r="A54" s="140" t="s">
        <v>131</v>
      </c>
      <c r="B54" s="140" t="s">
        <v>100</v>
      </c>
      <c r="C54" s="140" t="s">
        <v>101</v>
      </c>
      <c r="D54" s="140" t="s">
        <v>102</v>
      </c>
      <c r="E54" s="140"/>
      <c r="F54" s="225" t="s">
        <v>104</v>
      </c>
      <c r="G54" s="112" t="s">
        <v>135</v>
      </c>
      <c r="H54" s="112" t="s">
        <v>65</v>
      </c>
      <c r="I54" s="112" t="s">
        <v>67</v>
      </c>
      <c r="J54" s="112" t="s">
        <v>73</v>
      </c>
      <c r="K54" s="113" t="s">
        <v>79</v>
      </c>
      <c r="L54" s="114" t="s">
        <v>106</v>
      </c>
      <c r="M54" s="115" t="s">
        <v>123</v>
      </c>
      <c r="P54" s="6"/>
      <c r="Q54" s="6"/>
    </row>
    <row r="55" spans="1:17" ht="15" thickBot="1">
      <c r="A55" s="117" t="s">
        <v>182</v>
      </c>
      <c r="B55" s="143" t="s">
        <v>389</v>
      </c>
      <c r="C55" s="117">
        <v>1990</v>
      </c>
      <c r="D55" s="9" t="s">
        <v>92</v>
      </c>
      <c r="E55" s="219">
        <f>_xlfn.XLOOKUP('Tyre wear'!C55,'Scaling tables'!$B$3:$B$12,'Scaling tables'!$H$3:$H$12)*_xlfn.XLOOKUP('Tyre wear'!C55,'Tyre wear'!$C$24:$C$31,'Tyre wear'!$E$24:$E$31)</f>
        <v>505.23406118894758</v>
      </c>
      <c r="F55" s="186" t="s">
        <v>767</v>
      </c>
      <c r="G55" s="13">
        <v>1</v>
      </c>
      <c r="H55" s="13">
        <v>1</v>
      </c>
      <c r="I55" s="13">
        <v>1</v>
      </c>
      <c r="J55" s="13">
        <v>1</v>
      </c>
      <c r="K55" s="314">
        <v>2</v>
      </c>
      <c r="L55" s="347">
        <f t="shared" ref="L55:L62" si="5">IF( OR( ISBLANK(G55),ISBLANK(H55), ISBLANK(I55), ISBLANK(J55), ISBLANK(K55) ), "", 1.5*SQRT( EXP(2.21*(G55-1)) + EXP(2.21*(H55-1)) + EXP(2.21*(I55-1)) + EXP(2.21*(J55-1)) + EXP(2.21*K55-1)   )/100*2.45 )</f>
        <v>0.2160744213792255</v>
      </c>
      <c r="M55" s="33"/>
      <c r="P55" s="6"/>
      <c r="Q55" s="6"/>
    </row>
    <row r="56" spans="1:17" ht="15" thickBot="1">
      <c r="A56" s="117" t="s">
        <v>182</v>
      </c>
      <c r="B56" s="143" t="s">
        <v>389</v>
      </c>
      <c r="C56" s="117">
        <v>1995</v>
      </c>
      <c r="D56" s="9" t="s">
        <v>92</v>
      </c>
      <c r="E56" s="219">
        <f>_xlfn.XLOOKUP('Tyre wear'!C56,'Scaling tables'!$B$3:$B$12,'Scaling tables'!$H$3:$H$12)*_xlfn.XLOOKUP('Tyre wear'!C56,'Tyre wear'!$C$24:$C$31,'Tyre wear'!$E$24:$E$31)</f>
        <v>532.27281391654117</v>
      </c>
      <c r="F56" s="186" t="s">
        <v>767</v>
      </c>
      <c r="G56" s="13">
        <v>1</v>
      </c>
      <c r="H56" s="13">
        <v>1</v>
      </c>
      <c r="I56" s="13">
        <v>1</v>
      </c>
      <c r="J56" s="13">
        <v>1</v>
      </c>
      <c r="K56" s="314">
        <v>2</v>
      </c>
      <c r="L56" s="347">
        <f t="shared" si="5"/>
        <v>0.2160744213792255</v>
      </c>
      <c r="M56" s="33"/>
      <c r="P56" s="6"/>
      <c r="Q56" s="6"/>
    </row>
    <row r="57" spans="1:17" ht="15" thickBot="1">
      <c r="A57" s="117" t="s">
        <v>182</v>
      </c>
      <c r="B57" s="143" t="s">
        <v>389</v>
      </c>
      <c r="C57" s="117">
        <v>2000</v>
      </c>
      <c r="D57" s="9" t="s">
        <v>92</v>
      </c>
      <c r="E57" s="219">
        <f>_xlfn.XLOOKUP('Tyre wear'!C57,'Scaling tables'!$B$3:$B$12,'Scaling tables'!$H$3:$H$12)*_xlfn.XLOOKUP('Tyre wear'!C57,'Tyre wear'!$C$24:$C$31,'Tyre wear'!$E$24:$E$31)</f>
        <v>580.29664869474288</v>
      </c>
      <c r="F57" s="186" t="s">
        <v>767</v>
      </c>
      <c r="G57" s="13">
        <v>1</v>
      </c>
      <c r="H57" s="13">
        <v>1</v>
      </c>
      <c r="I57" s="13">
        <v>1</v>
      </c>
      <c r="J57" s="13">
        <v>1</v>
      </c>
      <c r="K57" s="314">
        <v>2</v>
      </c>
      <c r="L57" s="347">
        <f t="shared" si="5"/>
        <v>0.2160744213792255</v>
      </c>
      <c r="M57" s="33"/>
      <c r="P57" s="6"/>
      <c r="Q57" s="6"/>
    </row>
    <row r="58" spans="1:17" ht="15" thickBot="1">
      <c r="A58" s="117" t="s">
        <v>182</v>
      </c>
      <c r="B58" s="143" t="s">
        <v>389</v>
      </c>
      <c r="C58" s="117">
        <v>2005</v>
      </c>
      <c r="D58" s="9" t="s">
        <v>92</v>
      </c>
      <c r="E58" s="219">
        <f>_xlfn.XLOOKUP('Tyre wear'!C58,'Scaling tables'!$B$3:$B$12,'Scaling tables'!$H$3:$H$12)*_xlfn.XLOOKUP('Tyre wear'!C58,'Tyre wear'!$C$24:$C$31,'Tyre wear'!$E$24:$E$31)</f>
        <v>608.59799475912735</v>
      </c>
      <c r="F58" s="186" t="s">
        <v>767</v>
      </c>
      <c r="G58" s="13">
        <v>1</v>
      </c>
      <c r="H58" s="13">
        <v>1</v>
      </c>
      <c r="I58" s="13">
        <v>1</v>
      </c>
      <c r="J58" s="13">
        <v>1</v>
      </c>
      <c r="K58" s="314">
        <v>2</v>
      </c>
      <c r="L58" s="347">
        <f t="shared" si="5"/>
        <v>0.2160744213792255</v>
      </c>
      <c r="M58" s="33"/>
      <c r="P58" s="6"/>
      <c r="Q58" s="6"/>
    </row>
    <row r="59" spans="1:17" ht="15" thickBot="1">
      <c r="A59" s="117" t="s">
        <v>182</v>
      </c>
      <c r="B59" s="143" t="s">
        <v>389</v>
      </c>
      <c r="C59" s="117">
        <v>2010</v>
      </c>
      <c r="D59" s="9" t="s">
        <v>92</v>
      </c>
      <c r="E59" s="219">
        <f>_xlfn.XLOOKUP('Tyre wear'!C59,'Scaling tables'!$B$3:$B$12,'Scaling tables'!$H$3:$H$12)*_xlfn.XLOOKUP('Tyre wear'!C59,'Tyre wear'!$C$24:$C$31,'Tyre wear'!$E$24:$E$31)</f>
        <v>614.97472537198053</v>
      </c>
      <c r="F59" s="186" t="s">
        <v>767</v>
      </c>
      <c r="G59" s="13">
        <v>1</v>
      </c>
      <c r="H59" s="13">
        <v>1</v>
      </c>
      <c r="I59" s="13">
        <v>1</v>
      </c>
      <c r="J59" s="13">
        <v>1</v>
      </c>
      <c r="K59" s="314">
        <v>2</v>
      </c>
      <c r="L59" s="347">
        <f t="shared" si="5"/>
        <v>0.2160744213792255</v>
      </c>
      <c r="M59" s="33"/>
      <c r="P59" s="6"/>
      <c r="Q59" s="6"/>
    </row>
    <row r="60" spans="1:17" ht="15" thickBot="1">
      <c r="A60" s="117" t="s">
        <v>182</v>
      </c>
      <c r="B60" s="143" t="s">
        <v>389</v>
      </c>
      <c r="C60" s="117">
        <v>2015</v>
      </c>
      <c r="D60" s="9" t="s">
        <v>92</v>
      </c>
      <c r="E60" s="219">
        <f>_xlfn.XLOOKUP('Tyre wear'!C60,'Scaling tables'!$B$3:$B$12,'Scaling tables'!$H$3:$H$12)*_xlfn.XLOOKUP('Tyre wear'!C60,'Tyre wear'!$C$24:$C$31,'Tyre wear'!$E$24:$E$31)</f>
        <v>613.87244221230344</v>
      </c>
      <c r="F60" s="186" t="s">
        <v>767</v>
      </c>
      <c r="G60" s="13">
        <v>1</v>
      </c>
      <c r="H60" s="13">
        <v>1</v>
      </c>
      <c r="I60" s="13">
        <v>1</v>
      </c>
      <c r="J60" s="13">
        <v>1</v>
      </c>
      <c r="K60" s="314">
        <v>2</v>
      </c>
      <c r="L60" s="347">
        <f t="shared" si="5"/>
        <v>0.2160744213792255</v>
      </c>
      <c r="M60" s="33"/>
      <c r="P60" s="6"/>
      <c r="Q60" s="6"/>
    </row>
    <row r="61" spans="1:17" ht="15" thickBot="1">
      <c r="A61" s="117" t="s">
        <v>182</v>
      </c>
      <c r="B61" s="143" t="s">
        <v>389</v>
      </c>
      <c r="C61" s="117">
        <v>2019</v>
      </c>
      <c r="D61" s="9" t="s">
        <v>92</v>
      </c>
      <c r="E61" s="219">
        <f>_xlfn.XLOOKUP('Tyre wear'!C61,'Scaling tables'!$B$3:$B$12,'Scaling tables'!$H$3:$H$12)*_xlfn.XLOOKUP('Tyre wear'!C61,'Tyre wear'!$C$24:$C$31,'Tyre wear'!$E$24:$E$31)</f>
        <v>639.96099532777771</v>
      </c>
      <c r="F61" s="186" t="s">
        <v>767</v>
      </c>
      <c r="G61" s="13">
        <v>1</v>
      </c>
      <c r="H61" s="13">
        <v>1</v>
      </c>
      <c r="I61" s="13">
        <v>1</v>
      </c>
      <c r="J61" s="13">
        <v>1</v>
      </c>
      <c r="K61" s="314">
        <v>2</v>
      </c>
      <c r="L61" s="347">
        <f t="shared" si="5"/>
        <v>0.2160744213792255</v>
      </c>
      <c r="M61" s="33"/>
      <c r="P61" s="6"/>
      <c r="Q61" s="6"/>
    </row>
    <row r="62" spans="1:17">
      <c r="A62" s="117" t="s">
        <v>182</v>
      </c>
      <c r="B62" s="143" t="s">
        <v>389</v>
      </c>
      <c r="C62" s="117">
        <v>2020</v>
      </c>
      <c r="D62" s="9" t="s">
        <v>92</v>
      </c>
      <c r="E62" s="219">
        <f>_xlfn.XLOOKUP('Tyre wear'!C62,'Scaling tables'!$B$3:$B$12,'Scaling tables'!$H$3:$H$12)*_xlfn.XLOOKUP('Tyre wear'!C62,'Tyre wear'!$C$24:$C$31,'Tyre wear'!$E$24:$E$31)</f>
        <v>551.8295293202433</v>
      </c>
      <c r="F62" s="186" t="s">
        <v>767</v>
      </c>
      <c r="G62" s="13">
        <v>1</v>
      </c>
      <c r="H62" s="13">
        <v>1</v>
      </c>
      <c r="I62" s="13">
        <v>1</v>
      </c>
      <c r="J62" s="13">
        <v>1</v>
      </c>
      <c r="K62" s="314">
        <v>2</v>
      </c>
      <c r="L62" s="347">
        <f t="shared" si="5"/>
        <v>0.2160744213792255</v>
      </c>
      <c r="M62" s="33"/>
      <c r="P62" s="6"/>
      <c r="Q62" s="6"/>
    </row>
    <row r="63" spans="1:17">
      <c r="A63" s="6"/>
      <c r="B63" s="6"/>
      <c r="C63" s="6"/>
      <c r="D63" s="6"/>
      <c r="E63" s="6"/>
      <c r="F63" s="6"/>
      <c r="G63" s="6"/>
      <c r="H63" s="6"/>
      <c r="I63" s="6"/>
      <c r="J63" s="6"/>
      <c r="K63" s="6"/>
      <c r="L63" s="6"/>
      <c r="M63" s="6"/>
      <c r="N63" s="6"/>
      <c r="O63" s="6"/>
      <c r="P63" s="6"/>
      <c r="Q63" s="6"/>
    </row>
    <row r="64" spans="1:17" ht="18.600000000000001" thickBot="1">
      <c r="A64" s="379" t="s">
        <v>15</v>
      </c>
      <c r="B64" s="379"/>
      <c r="C64" s="379"/>
      <c r="D64" s="379"/>
      <c r="E64" s="379"/>
      <c r="F64" s="379"/>
      <c r="G64" s="379"/>
      <c r="H64" s="379"/>
      <c r="I64" s="379"/>
      <c r="J64" s="379"/>
      <c r="K64" s="379"/>
      <c r="L64" s="379"/>
      <c r="M64" s="379"/>
      <c r="N64" s="379"/>
      <c r="O64" s="379"/>
      <c r="P64" s="379"/>
      <c r="Q64" s="379"/>
    </row>
    <row r="65" spans="1:17" ht="15" thickBot="1">
      <c r="A65" s="497" t="s">
        <v>129</v>
      </c>
      <c r="B65" s="509" t="s">
        <v>130</v>
      </c>
      <c r="C65" s="497" t="s">
        <v>101</v>
      </c>
      <c r="D65" s="497" t="s">
        <v>131</v>
      </c>
      <c r="E65" s="496" t="s">
        <v>102</v>
      </c>
      <c r="F65" s="510" t="s">
        <v>132</v>
      </c>
      <c r="G65" s="510" t="s">
        <v>133</v>
      </c>
      <c r="H65" s="358" t="s">
        <v>104</v>
      </c>
      <c r="I65" s="111" t="s">
        <v>134</v>
      </c>
      <c r="J65" s="112" t="s">
        <v>135</v>
      </c>
      <c r="K65" s="112" t="s">
        <v>65</v>
      </c>
      <c r="L65" s="112" t="s">
        <v>67</v>
      </c>
      <c r="M65" s="112" t="s">
        <v>73</v>
      </c>
      <c r="N65" s="113" t="s">
        <v>79</v>
      </c>
      <c r="O65" s="114" t="s">
        <v>106</v>
      </c>
      <c r="P65" s="115" t="s">
        <v>123</v>
      </c>
      <c r="Q65" s="6"/>
    </row>
    <row r="66" spans="1:17">
      <c r="A66" t="s">
        <v>389</v>
      </c>
      <c r="B66" s="95" t="s">
        <v>269</v>
      </c>
      <c r="C66" s="511">
        <v>2020</v>
      </c>
      <c r="D66" s="95" t="s">
        <v>180</v>
      </c>
      <c r="E66" s="316" t="s">
        <v>768</v>
      </c>
      <c r="F66" s="514">
        <v>0.51183817172326096</v>
      </c>
      <c r="G66" s="316">
        <v>1</v>
      </c>
      <c r="H66" s="517" t="s">
        <v>769</v>
      </c>
      <c r="I66" s="398">
        <v>1</v>
      </c>
      <c r="J66" s="13"/>
      <c r="K66" s="13">
        <v>1</v>
      </c>
      <c r="L66" s="13">
        <v>1</v>
      </c>
      <c r="M66" s="13">
        <v>1</v>
      </c>
      <c r="N66" s="13">
        <v>1</v>
      </c>
      <c r="O66" s="176" t="str">
        <f>IF( OR( ISBLANK(J66),ISBLANK(K66), ISBLANK(L66), ISBLANK(M66), ISBLANK(N66) ), "", 1.5*SQRT( EXP(2.21*(J66-1)) + EXP(2.21*(K66-1)) + EXP(2.21*(L66-1)) + EXP(2.21*(M66-1)) + EXP(2.21*N66-1)   )/100*2.45 )</f>
        <v/>
      </c>
      <c r="P66" s="33"/>
      <c r="Q66" s="6"/>
    </row>
    <row r="67" spans="1:17">
      <c r="A67" t="s">
        <v>389</v>
      </c>
      <c r="B67" s="68" t="s">
        <v>391</v>
      </c>
      <c r="C67" s="512">
        <v>2020</v>
      </c>
      <c r="D67" s="68" t="s">
        <v>180</v>
      </c>
      <c r="E67" s="304" t="s">
        <v>768</v>
      </c>
      <c r="F67" s="515">
        <v>0.23042071552195001</v>
      </c>
      <c r="G67" s="304">
        <v>1</v>
      </c>
      <c r="H67" s="518" t="s">
        <v>769</v>
      </c>
      <c r="I67" s="172">
        <v>1</v>
      </c>
      <c r="J67" s="10"/>
      <c r="K67" s="10">
        <v>1</v>
      </c>
      <c r="L67" s="10">
        <v>1</v>
      </c>
      <c r="M67" s="10">
        <v>1</v>
      </c>
      <c r="N67" s="10">
        <v>1</v>
      </c>
      <c r="O67" s="177" t="str">
        <f t="shared" ref="O67:O68" si="6">IF( OR( ISBLANK(J67),ISBLANK(K67), ISBLANK(L67), ISBLANK(M67), ISBLANK(N67) ), "", 1.5*SQRT( EXP(2.21*(J67-1)) + EXP(2.21*(K67-1)) + EXP(2.21*(L67-1)) + EXP(2.21*(M67-1)) + EXP(2.21*N67-1)   )/100*2.45 )</f>
        <v/>
      </c>
      <c r="P67" s="34"/>
      <c r="Q67" s="6"/>
    </row>
    <row r="68" spans="1:17">
      <c r="A68" t="s">
        <v>389</v>
      </c>
      <c r="B68" s="68" t="s">
        <v>388</v>
      </c>
      <c r="C68" s="512">
        <v>2020</v>
      </c>
      <c r="D68" s="68" t="s">
        <v>180</v>
      </c>
      <c r="E68" s="304" t="s">
        <v>768</v>
      </c>
      <c r="F68" s="515">
        <v>0.257741112754788</v>
      </c>
      <c r="G68" s="304">
        <v>1</v>
      </c>
      <c r="H68" s="518" t="s">
        <v>769</v>
      </c>
      <c r="I68" s="172">
        <v>1</v>
      </c>
      <c r="J68" s="10"/>
      <c r="K68" s="10">
        <v>1</v>
      </c>
      <c r="L68" s="10">
        <v>1</v>
      </c>
      <c r="M68" s="10">
        <v>1</v>
      </c>
      <c r="N68" s="10">
        <v>1</v>
      </c>
      <c r="O68" s="177" t="str">
        <f t="shared" si="6"/>
        <v/>
      </c>
      <c r="P68" s="34"/>
      <c r="Q68" s="6"/>
    </row>
    <row r="69" spans="1:17">
      <c r="A69" t="s">
        <v>389</v>
      </c>
      <c r="B69" s="68" t="s">
        <v>269</v>
      </c>
      <c r="C69" s="512">
        <v>2020</v>
      </c>
      <c r="D69" s="68" t="s">
        <v>182</v>
      </c>
      <c r="E69" s="304" t="s">
        <v>768</v>
      </c>
      <c r="F69" s="515">
        <v>0.51183817172326096</v>
      </c>
      <c r="G69" s="304">
        <v>1</v>
      </c>
      <c r="H69" s="518" t="s">
        <v>770</v>
      </c>
      <c r="I69" s="172"/>
      <c r="J69" s="10">
        <v>1</v>
      </c>
      <c r="K69" s="10">
        <v>1</v>
      </c>
      <c r="L69" s="10">
        <v>1</v>
      </c>
      <c r="M69" s="10">
        <v>1</v>
      </c>
      <c r="N69" s="10">
        <v>3</v>
      </c>
      <c r="O69" s="177">
        <f>IF( OR( ISBLANK(J69),ISBLANK(K69), ISBLANK(L69), ISBLANK(M69), ISBLANK(N69) ), "", 1.5*SQRT( EXP(2.21*(J69-1)) + EXP(2.21*(K69-1)) + EXP(2.21*(L69-1)) + EXP(2.21*(M69-1)) + EXP(2.21*(N69-1))   )/100*2.45 )</f>
        <v>0.34297081055722239</v>
      </c>
      <c r="P69" s="34"/>
      <c r="Q69" s="6"/>
    </row>
    <row r="70" spans="1:17">
      <c r="A70" t="s">
        <v>389</v>
      </c>
      <c r="B70" s="68" t="s">
        <v>391</v>
      </c>
      <c r="C70" s="512">
        <v>2020</v>
      </c>
      <c r="D70" s="68" t="s">
        <v>182</v>
      </c>
      <c r="E70" s="304" t="s">
        <v>768</v>
      </c>
      <c r="F70" s="515">
        <v>0.23042071552195001</v>
      </c>
      <c r="G70" s="304">
        <v>1</v>
      </c>
      <c r="H70" s="518" t="s">
        <v>770</v>
      </c>
      <c r="I70" s="172"/>
      <c r="J70" s="10">
        <v>1</v>
      </c>
      <c r="K70" s="10">
        <v>1</v>
      </c>
      <c r="L70" s="10">
        <v>1</v>
      </c>
      <c r="M70" s="10">
        <v>1</v>
      </c>
      <c r="N70" s="10">
        <v>3</v>
      </c>
      <c r="O70" s="177">
        <f>IF( OR( ISBLANK(J70),ISBLANK(K70), ISBLANK(L70), ISBLANK(M70), ISBLANK(N70) ), "", 1.5*SQRT( EXP(2.21*(J70-1)) + EXP(2.21*(K70-1)) + EXP(2.21*(L70-1)) + EXP(2.21*(M70-1)) + EXP(2.21*(N70-1))   )/100*2.45 )</f>
        <v>0.34297081055722239</v>
      </c>
      <c r="P70" s="34"/>
      <c r="Q70" s="6"/>
    </row>
    <row r="71" spans="1:17" ht="15" thickBot="1">
      <c r="A71" t="s">
        <v>389</v>
      </c>
      <c r="B71" s="72" t="s">
        <v>388</v>
      </c>
      <c r="C71" s="513">
        <v>2020</v>
      </c>
      <c r="D71" s="72" t="s">
        <v>182</v>
      </c>
      <c r="E71" s="317" t="s">
        <v>768</v>
      </c>
      <c r="F71" s="516">
        <v>0.257741112754788</v>
      </c>
      <c r="G71" s="317">
        <v>1</v>
      </c>
      <c r="H71" s="519" t="s">
        <v>770</v>
      </c>
      <c r="I71" s="173"/>
      <c r="J71" s="14">
        <v>1</v>
      </c>
      <c r="K71" s="14">
        <v>1</v>
      </c>
      <c r="L71" s="14">
        <v>1</v>
      </c>
      <c r="M71" s="14">
        <v>1</v>
      </c>
      <c r="N71" s="14">
        <v>3</v>
      </c>
      <c r="O71" s="178">
        <f>IF( OR( ISBLANK(J71),ISBLANK(K71), ISBLANK(L71), ISBLANK(M71), ISBLANK(N71) ), "", 1.5*SQRT( EXP(2.21*(J71-1)) + EXP(2.21*(K71-1)) + EXP(2.21*(L71-1)) + EXP(2.21*(M71-1)) + EXP(2.21*(N71-1))   )/100*2.45 )</f>
        <v>0.34297081055722239</v>
      </c>
      <c r="P71" s="35"/>
      <c r="Q71" s="6"/>
    </row>
    <row r="72" spans="1:17" ht="15" thickBot="1">
      <c r="O72" s="6"/>
      <c r="P72" s="6"/>
      <c r="Q72" s="6"/>
    </row>
    <row r="73" spans="1:17" ht="15" thickBot="1">
      <c r="A73" s="65" t="s">
        <v>129</v>
      </c>
      <c r="B73" s="107" t="s">
        <v>130</v>
      </c>
      <c r="C73" s="109" t="s">
        <v>101</v>
      </c>
      <c r="D73" s="108" t="s">
        <v>131</v>
      </c>
      <c r="E73" s="109" t="s">
        <v>102</v>
      </c>
      <c r="F73" s="226" t="s">
        <v>132</v>
      </c>
      <c r="G73" s="108" t="s">
        <v>133</v>
      </c>
      <c r="H73" s="110" t="s">
        <v>104</v>
      </c>
      <c r="I73" s="111" t="s">
        <v>134</v>
      </c>
      <c r="J73" s="112" t="s">
        <v>135</v>
      </c>
      <c r="K73" s="112" t="s">
        <v>65</v>
      </c>
      <c r="L73" s="112" t="s">
        <v>67</v>
      </c>
      <c r="M73" s="112" t="s">
        <v>73</v>
      </c>
      <c r="N73" s="113" t="s">
        <v>79</v>
      </c>
      <c r="O73" s="114" t="s">
        <v>106</v>
      </c>
      <c r="P73" s="115" t="s">
        <v>123</v>
      </c>
    </row>
    <row r="74" spans="1:17" ht="15" thickBot="1">
      <c r="A74" s="151" t="s">
        <v>271</v>
      </c>
      <c r="B74" s="150" t="s">
        <v>231</v>
      </c>
      <c r="C74" s="33">
        <v>2020</v>
      </c>
      <c r="D74" s="39" t="s">
        <v>139</v>
      </c>
      <c r="E74" s="33" t="s">
        <v>139</v>
      </c>
      <c r="F74" s="259">
        <v>0.05</v>
      </c>
      <c r="G74" s="231">
        <v>2</v>
      </c>
      <c r="H74" s="520" t="s">
        <v>276</v>
      </c>
      <c r="I74" s="250">
        <v>1</v>
      </c>
      <c r="J74" s="13">
        <v>2</v>
      </c>
      <c r="K74" s="13">
        <v>1</v>
      </c>
      <c r="L74" s="13">
        <v>1</v>
      </c>
      <c r="M74" s="13">
        <v>2</v>
      </c>
      <c r="N74" s="13">
        <v>3</v>
      </c>
      <c r="O74" s="423">
        <f t="shared" ref="O74:O111" si="7">IF( OR( ISBLANK(I74),ISBLANK(K74), ISBLANK(L74), ISBLANK(M74), ISBLANK(N74) ), "", 1.5*SQRT( EXP(2.21*(I74-1)) + EXP(2.21*(K74-1)) + EXP(2.21*(L74-1)) + EXP(2.21*(M74-1)) + EXP(2.21*N74-1)   )/100*2.45 )</f>
        <v>0.62666868317065927</v>
      </c>
      <c r="P74" s="343"/>
    </row>
    <row r="75" spans="1:17">
      <c r="A75" s="151" t="s">
        <v>270</v>
      </c>
      <c r="B75" s="150" t="s">
        <v>231</v>
      </c>
      <c r="C75" s="33">
        <v>2020</v>
      </c>
      <c r="D75" s="39" t="s">
        <v>139</v>
      </c>
      <c r="E75" s="33" t="s">
        <v>139</v>
      </c>
      <c r="F75" s="259">
        <v>0.05</v>
      </c>
      <c r="G75" s="231">
        <v>2</v>
      </c>
      <c r="H75" s="520" t="s">
        <v>276</v>
      </c>
      <c r="I75" s="250">
        <v>1</v>
      </c>
      <c r="J75" s="13">
        <v>2</v>
      </c>
      <c r="K75" s="13">
        <v>1</v>
      </c>
      <c r="L75" s="13">
        <v>1</v>
      </c>
      <c r="M75" s="13">
        <v>2</v>
      </c>
      <c r="N75" s="13">
        <v>3</v>
      </c>
      <c r="O75" s="423">
        <f t="shared" ref="O75" si="8">IF( OR( ISBLANK(I75),ISBLANK(K75), ISBLANK(L75), ISBLANK(M75), ISBLANK(N75) ), "", 1.5*SQRT( EXP(2.21*(I75-1)) + EXP(2.21*(K75-1)) + EXP(2.21*(L75-1)) + EXP(2.21*(M75-1)) + EXP(2.21*N75-1)   )/100*2.45 )</f>
        <v>0.62666868317065927</v>
      </c>
      <c r="P75" s="229"/>
    </row>
    <row r="76" spans="1:17">
      <c r="A76" s="151" t="s">
        <v>391</v>
      </c>
      <c r="B76" s="151" t="s">
        <v>231</v>
      </c>
      <c r="C76" s="34">
        <v>2020</v>
      </c>
      <c r="D76" s="40" t="s">
        <v>139</v>
      </c>
      <c r="E76" s="34" t="s">
        <v>139</v>
      </c>
      <c r="F76" s="260">
        <v>0.05</v>
      </c>
      <c r="G76" s="232">
        <v>2</v>
      </c>
      <c r="H76" s="521" t="s">
        <v>276</v>
      </c>
      <c r="I76" s="249">
        <v>1</v>
      </c>
      <c r="J76" s="10">
        <v>2</v>
      </c>
      <c r="K76" s="10">
        <v>1</v>
      </c>
      <c r="L76" s="10">
        <v>1</v>
      </c>
      <c r="M76" s="10">
        <v>2</v>
      </c>
      <c r="N76" s="10">
        <v>3</v>
      </c>
      <c r="O76" s="424">
        <f t="shared" si="7"/>
        <v>0.62666868317065927</v>
      </c>
      <c r="P76" s="63"/>
    </row>
    <row r="77" spans="1:17">
      <c r="A77" s="151" t="s">
        <v>388</v>
      </c>
      <c r="B77" s="151" t="s">
        <v>231</v>
      </c>
      <c r="C77" s="34">
        <v>2020</v>
      </c>
      <c r="D77" s="40" t="s">
        <v>139</v>
      </c>
      <c r="E77" s="34" t="s">
        <v>139</v>
      </c>
      <c r="F77" s="260">
        <v>0.05</v>
      </c>
      <c r="G77" s="232">
        <v>2</v>
      </c>
      <c r="H77" s="521" t="s">
        <v>276</v>
      </c>
      <c r="I77" s="249">
        <v>1</v>
      </c>
      <c r="J77" s="10">
        <v>2</v>
      </c>
      <c r="K77" s="10">
        <v>1</v>
      </c>
      <c r="L77" s="10">
        <v>1</v>
      </c>
      <c r="M77" s="10">
        <v>2</v>
      </c>
      <c r="N77" s="10">
        <v>3</v>
      </c>
      <c r="O77" s="424">
        <f t="shared" si="7"/>
        <v>0.62666868317065927</v>
      </c>
      <c r="P77" s="63"/>
    </row>
    <row r="78" spans="1:17" ht="15" thickBot="1">
      <c r="A78" s="151" t="s">
        <v>271</v>
      </c>
      <c r="B78" s="151" t="s">
        <v>231</v>
      </c>
      <c r="C78" s="34">
        <v>2014</v>
      </c>
      <c r="D78" s="40" t="s">
        <v>139</v>
      </c>
      <c r="E78" s="34" t="s">
        <v>139</v>
      </c>
      <c r="F78" s="260">
        <v>0.1</v>
      </c>
      <c r="G78" s="232">
        <v>2</v>
      </c>
      <c r="H78" s="522" t="s">
        <v>277</v>
      </c>
      <c r="I78" s="249">
        <v>1</v>
      </c>
      <c r="J78" s="10">
        <v>2</v>
      </c>
      <c r="K78" s="10">
        <v>2</v>
      </c>
      <c r="L78" s="10">
        <v>1</v>
      </c>
      <c r="M78" s="10">
        <v>2</v>
      </c>
      <c r="N78" s="10">
        <v>3</v>
      </c>
      <c r="O78" s="424">
        <f t="shared" si="7"/>
        <v>0.63535377600823584</v>
      </c>
      <c r="P78" s="63"/>
    </row>
    <row r="79" spans="1:17">
      <c r="A79" s="151" t="s">
        <v>270</v>
      </c>
      <c r="B79" s="150" t="s">
        <v>231</v>
      </c>
      <c r="C79" s="34">
        <v>2014</v>
      </c>
      <c r="D79" s="40" t="s">
        <v>139</v>
      </c>
      <c r="E79" s="34" t="s">
        <v>139</v>
      </c>
      <c r="F79" s="260">
        <v>0.1</v>
      </c>
      <c r="G79" s="232">
        <v>2</v>
      </c>
      <c r="H79" s="522" t="s">
        <v>277</v>
      </c>
      <c r="I79" s="249">
        <v>1</v>
      </c>
      <c r="J79" s="10">
        <v>2</v>
      </c>
      <c r="K79" s="10">
        <v>2</v>
      </c>
      <c r="L79" s="10">
        <v>1</v>
      </c>
      <c r="M79" s="10">
        <v>2</v>
      </c>
      <c r="N79" s="10">
        <v>3</v>
      </c>
      <c r="O79" s="424">
        <f t="shared" ref="O79" si="9">IF( OR( ISBLANK(I79),ISBLANK(K79), ISBLANK(L79), ISBLANK(M79), ISBLANK(N79) ), "", 1.5*SQRT( EXP(2.21*(I79-1)) + EXP(2.21*(K79-1)) + EXP(2.21*(L79-1)) + EXP(2.21*(M79-1)) + EXP(2.21*N79-1)   )/100*2.45 )</f>
        <v>0.63535377600823584</v>
      </c>
      <c r="P79" s="63"/>
    </row>
    <row r="80" spans="1:17">
      <c r="A80" s="151" t="s">
        <v>391</v>
      </c>
      <c r="B80" s="151" t="s">
        <v>231</v>
      </c>
      <c r="C80" s="34">
        <v>2014</v>
      </c>
      <c r="D80" s="40" t="s">
        <v>139</v>
      </c>
      <c r="E80" s="34" t="s">
        <v>139</v>
      </c>
      <c r="F80" s="260">
        <v>0.1</v>
      </c>
      <c r="G80" s="232">
        <v>2</v>
      </c>
      <c r="H80" s="522" t="s">
        <v>277</v>
      </c>
      <c r="I80" s="249">
        <v>1</v>
      </c>
      <c r="J80" s="10">
        <v>2</v>
      </c>
      <c r="K80" s="10">
        <v>2</v>
      </c>
      <c r="L80" s="10">
        <v>1</v>
      </c>
      <c r="M80" s="10">
        <v>2</v>
      </c>
      <c r="N80" s="10">
        <v>3</v>
      </c>
      <c r="O80" s="424">
        <f t="shared" si="7"/>
        <v>0.63535377600823584</v>
      </c>
      <c r="P80" s="63"/>
    </row>
    <row r="81" spans="1:16">
      <c r="A81" s="151" t="s">
        <v>388</v>
      </c>
      <c r="B81" s="151" t="s">
        <v>231</v>
      </c>
      <c r="C81" s="34">
        <v>2014</v>
      </c>
      <c r="D81" s="40" t="s">
        <v>139</v>
      </c>
      <c r="E81" s="34" t="s">
        <v>139</v>
      </c>
      <c r="F81" s="260">
        <v>0.1</v>
      </c>
      <c r="G81" s="232">
        <v>2</v>
      </c>
      <c r="H81" s="522" t="s">
        <v>277</v>
      </c>
      <c r="I81" s="249">
        <v>1</v>
      </c>
      <c r="J81" s="10">
        <v>2</v>
      </c>
      <c r="K81" s="10">
        <v>2</v>
      </c>
      <c r="L81" s="10">
        <v>1</v>
      </c>
      <c r="M81" s="10">
        <v>2</v>
      </c>
      <c r="N81" s="10">
        <v>3</v>
      </c>
      <c r="O81" s="424">
        <f t="shared" si="7"/>
        <v>0.63535377600823584</v>
      </c>
      <c r="P81" s="63"/>
    </row>
    <row r="82" spans="1:16">
      <c r="A82" s="151" t="s">
        <v>269</v>
      </c>
      <c r="B82" s="151" t="s">
        <v>270</v>
      </c>
      <c r="C82" s="34" t="s">
        <v>139</v>
      </c>
      <c r="D82" s="40" t="s">
        <v>180</v>
      </c>
      <c r="E82" s="34" t="s">
        <v>139</v>
      </c>
      <c r="F82" s="260" t="s">
        <v>150</v>
      </c>
      <c r="G82" s="232">
        <v>1</v>
      </c>
      <c r="H82" s="40"/>
      <c r="I82" s="251"/>
      <c r="J82" s="66"/>
      <c r="K82" s="66"/>
      <c r="L82" s="66"/>
      <c r="M82" s="66"/>
      <c r="N82" s="292"/>
      <c r="O82" s="424" t="str">
        <f t="shared" si="7"/>
        <v/>
      </c>
      <c r="P82" s="63" t="s">
        <v>771</v>
      </c>
    </row>
    <row r="83" spans="1:16">
      <c r="A83" s="151" t="s">
        <v>269</v>
      </c>
      <c r="B83" s="151" t="s">
        <v>271</v>
      </c>
      <c r="C83" s="34">
        <v>2020</v>
      </c>
      <c r="D83" s="40" t="s">
        <v>180</v>
      </c>
      <c r="E83" s="34" t="s">
        <v>139</v>
      </c>
      <c r="F83" s="260">
        <v>0.9</v>
      </c>
      <c r="G83" s="232">
        <v>1</v>
      </c>
      <c r="H83" s="521" t="s">
        <v>276</v>
      </c>
      <c r="I83" s="249">
        <v>1</v>
      </c>
      <c r="J83" s="66"/>
      <c r="K83" s="10">
        <v>1</v>
      </c>
      <c r="L83" s="10">
        <v>1</v>
      </c>
      <c r="M83" s="10">
        <v>1</v>
      </c>
      <c r="N83" s="10">
        <v>1</v>
      </c>
      <c r="O83" s="424">
        <f t="shared" si="7"/>
        <v>9.9656111784768353E-2</v>
      </c>
      <c r="P83" s="63" t="s">
        <v>272</v>
      </c>
    </row>
    <row r="84" spans="1:16">
      <c r="A84" s="151" t="s">
        <v>391</v>
      </c>
      <c r="B84" s="151" t="s">
        <v>294</v>
      </c>
      <c r="C84" s="34">
        <v>2005</v>
      </c>
      <c r="D84" s="40" t="s">
        <v>139</v>
      </c>
      <c r="E84" s="34" t="s">
        <v>139</v>
      </c>
      <c r="F84" s="260">
        <v>0.1</v>
      </c>
      <c r="G84" s="232">
        <v>2</v>
      </c>
      <c r="H84" s="40" t="s">
        <v>295</v>
      </c>
      <c r="I84" s="249">
        <v>2</v>
      </c>
      <c r="J84" s="10">
        <v>2</v>
      </c>
      <c r="K84" s="10">
        <v>2</v>
      </c>
      <c r="L84" s="10">
        <v>2</v>
      </c>
      <c r="M84" s="10">
        <v>1</v>
      </c>
      <c r="N84" s="10">
        <v>1</v>
      </c>
      <c r="O84" s="424">
        <f t="shared" si="7"/>
        <v>0.20691468599228219</v>
      </c>
      <c r="P84" s="63"/>
    </row>
    <row r="85" spans="1:16">
      <c r="A85" s="151" t="s">
        <v>388</v>
      </c>
      <c r="B85" s="151" t="s">
        <v>294</v>
      </c>
      <c r="C85" s="34">
        <v>2005</v>
      </c>
      <c r="D85" s="40" t="s">
        <v>139</v>
      </c>
      <c r="E85" s="34" t="s">
        <v>139</v>
      </c>
      <c r="F85" s="260">
        <v>0.01</v>
      </c>
      <c r="G85" s="232">
        <v>2</v>
      </c>
      <c r="H85" s="40" t="s">
        <v>295</v>
      </c>
      <c r="I85" s="249">
        <v>2</v>
      </c>
      <c r="J85" s="10">
        <v>2</v>
      </c>
      <c r="K85" s="10">
        <v>2</v>
      </c>
      <c r="L85" s="10">
        <v>2</v>
      </c>
      <c r="M85" s="10">
        <v>1</v>
      </c>
      <c r="N85" s="10">
        <v>1</v>
      </c>
      <c r="O85" s="424">
        <f t="shared" si="7"/>
        <v>0.20691468599228219</v>
      </c>
      <c r="P85" s="63"/>
    </row>
    <row r="86" spans="1:16">
      <c r="A86" s="151" t="s">
        <v>269</v>
      </c>
      <c r="B86" s="151" t="s">
        <v>271</v>
      </c>
      <c r="C86" s="34">
        <v>2020</v>
      </c>
      <c r="D86" s="40" t="s">
        <v>182</v>
      </c>
      <c r="E86" s="34" t="s">
        <v>139</v>
      </c>
      <c r="F86" s="260">
        <v>0.05</v>
      </c>
      <c r="G86" s="232">
        <v>2</v>
      </c>
      <c r="H86" s="40" t="s">
        <v>273</v>
      </c>
      <c r="I86" s="66"/>
      <c r="J86" s="10">
        <v>1</v>
      </c>
      <c r="K86" s="10">
        <v>1</v>
      </c>
      <c r="L86" s="10">
        <v>2</v>
      </c>
      <c r="M86" s="10">
        <v>1</v>
      </c>
      <c r="N86" s="10">
        <v>4</v>
      </c>
      <c r="O86" s="424" t="str">
        <f t="shared" si="7"/>
        <v/>
      </c>
      <c r="P86" s="63" t="s">
        <v>274</v>
      </c>
    </row>
    <row r="87" spans="1:16">
      <c r="A87" s="151" t="s">
        <v>269</v>
      </c>
      <c r="B87" s="151" t="s">
        <v>270</v>
      </c>
      <c r="C87" s="34">
        <v>2020</v>
      </c>
      <c r="D87" s="40" t="s">
        <v>182</v>
      </c>
      <c r="E87" s="34" t="s">
        <v>139</v>
      </c>
      <c r="F87" s="260" t="s">
        <v>150</v>
      </c>
      <c r="G87" s="232">
        <v>1</v>
      </c>
      <c r="H87" s="40"/>
      <c r="I87" s="251"/>
      <c r="J87" s="66"/>
      <c r="K87" s="66"/>
      <c r="L87" s="66"/>
      <c r="M87" s="66"/>
      <c r="N87" s="292"/>
      <c r="O87" s="424" t="str">
        <f t="shared" si="7"/>
        <v/>
      </c>
      <c r="P87" s="63"/>
    </row>
    <row r="88" spans="1:16">
      <c r="A88" s="151" t="s">
        <v>391</v>
      </c>
      <c r="B88" s="151" t="s">
        <v>294</v>
      </c>
      <c r="C88" s="34">
        <v>2005</v>
      </c>
      <c r="D88" s="40" t="s">
        <v>139</v>
      </c>
      <c r="E88" s="34" t="s">
        <v>139</v>
      </c>
      <c r="F88" s="260">
        <v>0.02</v>
      </c>
      <c r="G88" s="232">
        <v>2</v>
      </c>
      <c r="H88" s="40" t="s">
        <v>295</v>
      </c>
      <c r="I88" s="249">
        <v>2</v>
      </c>
      <c r="J88" s="10">
        <v>2</v>
      </c>
      <c r="K88" s="10">
        <v>2</v>
      </c>
      <c r="L88" s="10">
        <v>2</v>
      </c>
      <c r="M88" s="10">
        <v>1</v>
      </c>
      <c r="N88" s="10">
        <v>1</v>
      </c>
      <c r="O88" s="424">
        <f t="shared" si="7"/>
        <v>0.20691468599228219</v>
      </c>
      <c r="P88" s="63"/>
    </row>
    <row r="89" spans="1:16">
      <c r="A89" s="151" t="s">
        <v>388</v>
      </c>
      <c r="B89" s="151" t="s">
        <v>294</v>
      </c>
      <c r="C89" s="34">
        <v>2005</v>
      </c>
      <c r="D89" s="40" t="s">
        <v>139</v>
      </c>
      <c r="E89" s="34" t="s">
        <v>139</v>
      </c>
      <c r="F89" s="260">
        <v>0.02</v>
      </c>
      <c r="G89" s="232">
        <v>2</v>
      </c>
      <c r="H89" s="40" t="s">
        <v>295</v>
      </c>
      <c r="I89" s="249">
        <v>2</v>
      </c>
      <c r="J89" s="10">
        <v>2</v>
      </c>
      <c r="K89" s="10">
        <v>2</v>
      </c>
      <c r="L89" s="10">
        <v>2</v>
      </c>
      <c r="M89" s="10">
        <v>1</v>
      </c>
      <c r="N89" s="10">
        <v>1</v>
      </c>
      <c r="O89" s="424">
        <f t="shared" si="7"/>
        <v>0.20691468599228219</v>
      </c>
      <c r="P89" s="63"/>
    </row>
    <row r="90" spans="1:16">
      <c r="A90" s="151" t="s">
        <v>271</v>
      </c>
      <c r="B90" s="151" t="s">
        <v>294</v>
      </c>
      <c r="C90" s="34">
        <v>2020</v>
      </c>
      <c r="D90" s="40" t="s">
        <v>139</v>
      </c>
      <c r="E90" s="34" t="s">
        <v>139</v>
      </c>
      <c r="F90" s="260">
        <v>0.8</v>
      </c>
      <c r="G90" s="232">
        <v>2</v>
      </c>
      <c r="H90" s="40" t="s">
        <v>374</v>
      </c>
      <c r="I90" s="249">
        <v>1</v>
      </c>
      <c r="J90" s="10">
        <v>2</v>
      </c>
      <c r="K90" s="10">
        <v>1</v>
      </c>
      <c r="L90" s="10">
        <v>1</v>
      </c>
      <c r="M90" s="10">
        <v>3</v>
      </c>
      <c r="N90" s="10">
        <v>3</v>
      </c>
      <c r="O90" s="424">
        <f t="shared" si="7"/>
        <v>0.70187535976129745</v>
      </c>
      <c r="P90" s="63"/>
    </row>
    <row r="91" spans="1:16">
      <c r="A91" s="151" t="s">
        <v>270</v>
      </c>
      <c r="B91" s="151" t="s">
        <v>294</v>
      </c>
      <c r="C91" s="34">
        <v>2005</v>
      </c>
      <c r="D91" s="40" t="s">
        <v>139</v>
      </c>
      <c r="E91" s="34" t="s">
        <v>139</v>
      </c>
      <c r="F91" s="260">
        <v>0.01</v>
      </c>
      <c r="G91" s="232">
        <v>2</v>
      </c>
      <c r="H91" s="40" t="s">
        <v>295</v>
      </c>
      <c r="I91" s="249">
        <v>2</v>
      </c>
      <c r="J91" s="10">
        <v>2</v>
      </c>
      <c r="K91" s="10">
        <v>2</v>
      </c>
      <c r="L91" s="10">
        <v>2</v>
      </c>
      <c r="M91" s="10">
        <v>1</v>
      </c>
      <c r="N91" s="10">
        <v>1</v>
      </c>
      <c r="O91" s="424">
        <f t="shared" si="7"/>
        <v>0.20691468599228219</v>
      </c>
      <c r="P91" s="63"/>
    </row>
    <row r="92" spans="1:16">
      <c r="A92" s="151" t="s">
        <v>271</v>
      </c>
      <c r="B92" s="151" t="s">
        <v>294</v>
      </c>
      <c r="C92" s="34">
        <v>2015</v>
      </c>
      <c r="D92" s="40" t="s">
        <v>139</v>
      </c>
      <c r="E92" s="34" t="s">
        <v>139</v>
      </c>
      <c r="F92" s="260">
        <v>0.9</v>
      </c>
      <c r="G92" s="232">
        <v>2</v>
      </c>
      <c r="H92" s="40" t="s">
        <v>372</v>
      </c>
      <c r="I92" s="249">
        <v>1</v>
      </c>
      <c r="J92" s="10">
        <v>2</v>
      </c>
      <c r="K92" s="10">
        <v>1</v>
      </c>
      <c r="L92" s="10">
        <v>1</v>
      </c>
      <c r="M92" s="10">
        <v>3</v>
      </c>
      <c r="N92" s="10">
        <v>3</v>
      </c>
      <c r="O92" s="424">
        <f t="shared" si="7"/>
        <v>0.70187535976129745</v>
      </c>
      <c r="P92" s="63"/>
    </row>
    <row r="93" spans="1:16">
      <c r="A93" s="151" t="s">
        <v>270</v>
      </c>
      <c r="B93" s="151" t="s">
        <v>294</v>
      </c>
      <c r="C93" s="34">
        <v>2005</v>
      </c>
      <c r="D93" s="40" t="s">
        <v>139</v>
      </c>
      <c r="E93" s="34" t="s">
        <v>139</v>
      </c>
      <c r="F93" s="260">
        <v>0.02</v>
      </c>
      <c r="G93" s="232">
        <v>2</v>
      </c>
      <c r="H93" s="40" t="s">
        <v>295</v>
      </c>
      <c r="I93" s="249">
        <v>2</v>
      </c>
      <c r="J93" s="10">
        <v>2</v>
      </c>
      <c r="K93" s="10">
        <v>2</v>
      </c>
      <c r="L93" s="10">
        <v>2</v>
      </c>
      <c r="M93" s="10">
        <v>1</v>
      </c>
      <c r="N93" s="10">
        <v>1</v>
      </c>
      <c r="O93" s="424">
        <f t="shared" si="7"/>
        <v>0.20691468599228219</v>
      </c>
      <c r="P93" s="63"/>
    </row>
    <row r="94" spans="1:16">
      <c r="A94" s="151" t="s">
        <v>270</v>
      </c>
      <c r="B94" s="151" t="s">
        <v>275</v>
      </c>
      <c r="C94" s="149" t="s">
        <v>139</v>
      </c>
      <c r="D94" s="153" t="s">
        <v>139</v>
      </c>
      <c r="E94" s="149" t="s">
        <v>139</v>
      </c>
      <c r="F94" s="287" t="s">
        <v>150</v>
      </c>
      <c r="G94" s="235">
        <v>1</v>
      </c>
      <c r="H94" s="153"/>
      <c r="I94" s="251"/>
      <c r="J94" s="66"/>
      <c r="K94" s="66"/>
      <c r="L94" s="66"/>
      <c r="M94" s="66"/>
      <c r="N94" s="292"/>
      <c r="O94" s="428"/>
      <c r="P94" s="502"/>
    </row>
    <row r="95" spans="1:16" ht="15" thickBot="1">
      <c r="A95" s="152" t="s">
        <v>271</v>
      </c>
      <c r="B95" s="152" t="s">
        <v>373</v>
      </c>
      <c r="C95" s="35" t="s">
        <v>139</v>
      </c>
      <c r="D95" s="41" t="s">
        <v>139</v>
      </c>
      <c r="E95" s="35" t="s">
        <v>139</v>
      </c>
      <c r="F95" s="41" t="s">
        <v>150</v>
      </c>
      <c r="G95" s="233">
        <v>1</v>
      </c>
      <c r="H95" s="41"/>
      <c r="I95" s="251"/>
      <c r="J95" s="66"/>
      <c r="K95" s="66"/>
      <c r="L95" s="66"/>
      <c r="M95" s="66"/>
      <c r="N95" s="292"/>
      <c r="O95" s="426" t="str">
        <f t="shared" si="7"/>
        <v/>
      </c>
      <c r="P95" s="62"/>
    </row>
    <row r="96" spans="1:16">
      <c r="I96" s="380"/>
      <c r="J96" s="380"/>
      <c r="K96" s="380"/>
      <c r="L96" s="380"/>
      <c r="M96" s="380"/>
      <c r="N96" s="380"/>
      <c r="O96" s="380" t="str">
        <f t="shared" si="7"/>
        <v/>
      </c>
      <c r="P96" s="380"/>
    </row>
    <row r="97" spans="1:16" ht="15" thickBot="1">
      <c r="A97" s="222" t="s">
        <v>772</v>
      </c>
      <c r="I97" s="380"/>
      <c r="J97" s="380"/>
      <c r="K97" s="380"/>
      <c r="L97" s="380"/>
      <c r="M97" s="380"/>
      <c r="N97" s="380"/>
      <c r="O97" s="380" t="str">
        <f t="shared" si="7"/>
        <v/>
      </c>
      <c r="P97" s="380"/>
    </row>
    <row r="98" spans="1:16">
      <c r="A98" s="33" t="s">
        <v>391</v>
      </c>
      <c r="B98" s="343" t="s">
        <v>387</v>
      </c>
      <c r="C98" s="39" t="s">
        <v>139</v>
      </c>
      <c r="D98" s="33" t="s">
        <v>139</v>
      </c>
      <c r="E98" s="39" t="s">
        <v>139</v>
      </c>
      <c r="F98" s="54" t="s">
        <v>150</v>
      </c>
      <c r="G98" s="167">
        <v>1</v>
      </c>
      <c r="H98" s="33"/>
      <c r="I98" s="251"/>
      <c r="J98" s="66"/>
      <c r="K98" s="66"/>
      <c r="L98" s="66"/>
      <c r="M98" s="66"/>
      <c r="N98" s="292"/>
      <c r="O98" s="176" t="str">
        <f t="shared" si="7"/>
        <v/>
      </c>
      <c r="P98" s="33" t="s">
        <v>773</v>
      </c>
    </row>
    <row r="99" spans="1:16">
      <c r="A99" s="34" t="s">
        <v>388</v>
      </c>
      <c r="B99" s="63" t="s">
        <v>258</v>
      </c>
      <c r="C99" s="40" t="s">
        <v>139</v>
      </c>
      <c r="D99" s="34" t="s">
        <v>139</v>
      </c>
      <c r="E99" s="40" t="s">
        <v>139</v>
      </c>
      <c r="F99" s="55">
        <v>0.1</v>
      </c>
      <c r="G99" s="168">
        <v>1</v>
      </c>
      <c r="H99" s="34" t="s">
        <v>372</v>
      </c>
      <c r="I99" s="172">
        <v>1</v>
      </c>
      <c r="J99" s="10">
        <v>3</v>
      </c>
      <c r="K99" s="10">
        <v>2</v>
      </c>
      <c r="L99" s="10">
        <v>1</v>
      </c>
      <c r="M99" s="10">
        <v>1</v>
      </c>
      <c r="N99" s="10">
        <v>2</v>
      </c>
      <c r="O99" s="177">
        <f t="shared" si="7"/>
        <v>0.24010193209435579</v>
      </c>
      <c r="P99" s="34"/>
    </row>
    <row r="100" spans="1:16">
      <c r="A100" s="34" t="s">
        <v>373</v>
      </c>
      <c r="B100" s="63" t="s">
        <v>258</v>
      </c>
      <c r="C100" s="40" t="s">
        <v>139</v>
      </c>
      <c r="D100" s="34" t="s">
        <v>139</v>
      </c>
      <c r="E100" s="40" t="s">
        <v>139</v>
      </c>
      <c r="F100" s="55">
        <v>0.1</v>
      </c>
      <c r="G100" s="168">
        <v>2</v>
      </c>
      <c r="H100" s="34" t="s">
        <v>372</v>
      </c>
      <c r="I100" s="172">
        <v>1</v>
      </c>
      <c r="J100" s="10">
        <v>3</v>
      </c>
      <c r="K100" s="10">
        <v>2</v>
      </c>
      <c r="L100" s="10">
        <v>1</v>
      </c>
      <c r="M100" s="10">
        <v>1</v>
      </c>
      <c r="N100" s="10">
        <v>2</v>
      </c>
      <c r="O100" s="177">
        <f t="shared" si="7"/>
        <v>0.24010193209435579</v>
      </c>
      <c r="P100" s="34"/>
    </row>
    <row r="101" spans="1:16">
      <c r="A101" s="34" t="s">
        <v>275</v>
      </c>
      <c r="B101" s="63" t="s">
        <v>258</v>
      </c>
      <c r="C101" s="40" t="s">
        <v>139</v>
      </c>
      <c r="D101" s="34" t="s">
        <v>139</v>
      </c>
      <c r="E101" s="40" t="s">
        <v>139</v>
      </c>
      <c r="F101" s="55">
        <v>0.1</v>
      </c>
      <c r="G101" s="168">
        <v>2</v>
      </c>
      <c r="H101" s="34" t="s">
        <v>372</v>
      </c>
      <c r="I101" s="172">
        <v>1</v>
      </c>
      <c r="J101" s="10">
        <v>3</v>
      </c>
      <c r="K101" s="10">
        <v>2</v>
      </c>
      <c r="L101" s="10">
        <v>1</v>
      </c>
      <c r="M101" s="10">
        <v>1</v>
      </c>
      <c r="N101" s="10">
        <v>2</v>
      </c>
      <c r="O101" s="177">
        <f>IF( OR( ISBLANK(I101),ISBLANK(K101), ISBLANK(L101), ISBLANK(M101), ISBLANK(N101) ), "", 1.5*SQRT( EXP(2.21*(I101-1)) + EXP(2.21*(K101-1)) + EXP(2.21*(L101-1)) + EXP(2.21*(M101-1)) + EXP(2.21*N101-1)   )/100*2.45 )</f>
        <v>0.24010193209435579</v>
      </c>
      <c r="P101" s="34" t="s">
        <v>774</v>
      </c>
    </row>
    <row r="102" spans="1:16">
      <c r="A102" s="34" t="s">
        <v>391</v>
      </c>
      <c r="B102" s="63" t="s">
        <v>371</v>
      </c>
      <c r="C102" s="304">
        <v>2015</v>
      </c>
      <c r="D102" s="34" t="s">
        <v>139</v>
      </c>
      <c r="E102" s="40" t="s">
        <v>139</v>
      </c>
      <c r="F102" s="55">
        <v>0.4</v>
      </c>
      <c r="G102" s="168">
        <v>2</v>
      </c>
      <c r="H102" s="34" t="s">
        <v>372</v>
      </c>
      <c r="I102" s="172">
        <v>1</v>
      </c>
      <c r="J102" s="10">
        <v>3</v>
      </c>
      <c r="K102" s="10">
        <v>2</v>
      </c>
      <c r="L102" s="10">
        <v>1</v>
      </c>
      <c r="M102" s="10">
        <v>1</v>
      </c>
      <c r="N102" s="10">
        <v>2</v>
      </c>
      <c r="O102" s="177">
        <f t="shared" si="7"/>
        <v>0.24010193209435579</v>
      </c>
      <c r="P102" s="34" t="s">
        <v>775</v>
      </c>
    </row>
    <row r="103" spans="1:16">
      <c r="A103" s="34" t="s">
        <v>388</v>
      </c>
      <c r="B103" s="63" t="s">
        <v>371</v>
      </c>
      <c r="C103" s="304">
        <v>2015</v>
      </c>
      <c r="D103" s="34" t="s">
        <v>139</v>
      </c>
      <c r="E103" s="40" t="s">
        <v>139</v>
      </c>
      <c r="F103" s="55">
        <v>0.9</v>
      </c>
      <c r="G103" s="168">
        <v>1</v>
      </c>
      <c r="H103" s="34" t="s">
        <v>372</v>
      </c>
      <c r="I103" s="172">
        <v>1</v>
      </c>
      <c r="J103" s="10">
        <v>3</v>
      </c>
      <c r="K103" s="10">
        <v>2</v>
      </c>
      <c r="L103" s="10">
        <v>1</v>
      </c>
      <c r="M103" s="10">
        <v>1</v>
      </c>
      <c r="N103" s="10">
        <v>2</v>
      </c>
      <c r="O103" s="177">
        <f t="shared" si="7"/>
        <v>0.24010193209435579</v>
      </c>
      <c r="P103" s="34"/>
    </row>
    <row r="104" spans="1:16">
      <c r="A104" s="34" t="s">
        <v>275</v>
      </c>
      <c r="B104" s="63" t="s">
        <v>371</v>
      </c>
      <c r="C104" s="304">
        <v>2015</v>
      </c>
      <c r="D104" s="34" t="s">
        <v>139</v>
      </c>
      <c r="E104" s="40" t="s">
        <v>139</v>
      </c>
      <c r="F104" s="55">
        <v>0.9</v>
      </c>
      <c r="G104" s="168">
        <v>2</v>
      </c>
      <c r="H104" s="34" t="s">
        <v>372</v>
      </c>
      <c r="I104" s="172">
        <v>1</v>
      </c>
      <c r="J104" s="10">
        <v>3</v>
      </c>
      <c r="K104" s="10">
        <v>2</v>
      </c>
      <c r="L104" s="10">
        <v>1</v>
      </c>
      <c r="M104" s="10">
        <v>1</v>
      </c>
      <c r="N104" s="10">
        <v>2</v>
      </c>
      <c r="O104" s="177">
        <f t="shared" si="7"/>
        <v>0.24010193209435579</v>
      </c>
      <c r="P104" s="34"/>
    </row>
    <row r="105" spans="1:16">
      <c r="A105" s="34" t="s">
        <v>373</v>
      </c>
      <c r="B105" s="63" t="s">
        <v>371</v>
      </c>
      <c r="C105" s="304">
        <v>2015</v>
      </c>
      <c r="D105" s="34" t="s">
        <v>139</v>
      </c>
      <c r="E105" s="40" t="s">
        <v>139</v>
      </c>
      <c r="F105" s="55">
        <v>0.9</v>
      </c>
      <c r="G105" s="168">
        <v>2</v>
      </c>
      <c r="H105" s="34" t="s">
        <v>372</v>
      </c>
      <c r="I105" s="172">
        <v>1</v>
      </c>
      <c r="J105" s="10">
        <v>3</v>
      </c>
      <c r="K105" s="10">
        <v>2</v>
      </c>
      <c r="L105" s="10">
        <v>1</v>
      </c>
      <c r="M105" s="10">
        <v>1</v>
      </c>
      <c r="N105" s="10">
        <v>2</v>
      </c>
      <c r="O105" s="177">
        <f t="shared" si="7"/>
        <v>0.24010193209435579</v>
      </c>
      <c r="P105" s="34"/>
    </row>
    <row r="106" spans="1:16">
      <c r="A106" s="34" t="s">
        <v>294</v>
      </c>
      <c r="B106" s="63" t="s">
        <v>179</v>
      </c>
      <c r="C106" s="40"/>
      <c r="D106" s="34" t="s">
        <v>139</v>
      </c>
      <c r="E106" s="40" t="s">
        <v>139</v>
      </c>
      <c r="F106" s="55" t="s">
        <v>150</v>
      </c>
      <c r="G106" s="168">
        <v>1</v>
      </c>
      <c r="H106" s="34" t="s">
        <v>295</v>
      </c>
      <c r="I106" s="251"/>
      <c r="J106" s="66"/>
      <c r="K106" s="66"/>
      <c r="L106" s="66"/>
      <c r="M106" s="66"/>
      <c r="N106" s="292"/>
      <c r="O106" s="177" t="str">
        <f t="shared" si="7"/>
        <v/>
      </c>
      <c r="P106" s="34"/>
    </row>
    <row r="107" spans="1:16">
      <c r="A107" s="34" t="s">
        <v>294</v>
      </c>
      <c r="B107" s="63" t="s">
        <v>232</v>
      </c>
      <c r="C107" s="40">
        <v>2020</v>
      </c>
      <c r="D107" s="34" t="s">
        <v>139</v>
      </c>
      <c r="E107" s="40" t="s">
        <v>139</v>
      </c>
      <c r="F107" s="55">
        <v>0.05</v>
      </c>
      <c r="G107" s="168">
        <v>2</v>
      </c>
      <c r="H107" s="34" t="s">
        <v>386</v>
      </c>
      <c r="I107" s="172">
        <v>1</v>
      </c>
      <c r="J107" s="10">
        <v>2</v>
      </c>
      <c r="K107" s="10">
        <v>1</v>
      </c>
      <c r="L107" s="10">
        <v>2</v>
      </c>
      <c r="M107" s="10">
        <v>2</v>
      </c>
      <c r="N107" s="10">
        <v>4</v>
      </c>
      <c r="O107" s="177">
        <f t="shared" si="7"/>
        <v>1.8595776954264098</v>
      </c>
      <c r="P107" s="34"/>
    </row>
    <row r="108" spans="1:16">
      <c r="A108" s="34" t="s">
        <v>387</v>
      </c>
      <c r="B108" s="63" t="s">
        <v>371</v>
      </c>
      <c r="C108" s="40">
        <v>2014</v>
      </c>
      <c r="D108" s="34" t="s">
        <v>180</v>
      </c>
      <c r="E108" s="40" t="s">
        <v>139</v>
      </c>
      <c r="F108" s="55" t="s">
        <v>150</v>
      </c>
      <c r="G108" s="168">
        <v>1</v>
      </c>
      <c r="H108" s="34" t="s">
        <v>374</v>
      </c>
      <c r="I108" s="172">
        <v>1</v>
      </c>
      <c r="J108" s="10">
        <v>2</v>
      </c>
      <c r="K108" s="10">
        <v>3</v>
      </c>
      <c r="L108" s="10">
        <v>1</v>
      </c>
      <c r="M108" s="10">
        <v>2</v>
      </c>
      <c r="N108" s="10">
        <v>1</v>
      </c>
      <c r="O108" s="177">
        <f t="shared" si="7"/>
        <v>0.36299901822375763</v>
      </c>
      <c r="P108" s="34"/>
    </row>
    <row r="109" spans="1:16">
      <c r="A109" s="34" t="s">
        <v>387</v>
      </c>
      <c r="B109" s="63" t="s">
        <v>258</v>
      </c>
      <c r="C109" s="40">
        <v>2014</v>
      </c>
      <c r="D109" s="34" t="s">
        <v>180</v>
      </c>
      <c r="E109" s="40" t="s">
        <v>139</v>
      </c>
      <c r="F109" s="55">
        <v>0.255</v>
      </c>
      <c r="G109" s="168">
        <v>2</v>
      </c>
      <c r="H109" s="34" t="s">
        <v>374</v>
      </c>
      <c r="I109" s="172">
        <v>1</v>
      </c>
      <c r="J109" s="10">
        <v>2</v>
      </c>
      <c r="K109" s="10">
        <v>3</v>
      </c>
      <c r="L109" s="10">
        <v>1</v>
      </c>
      <c r="M109" s="10">
        <v>2</v>
      </c>
      <c r="N109" s="10">
        <v>1</v>
      </c>
      <c r="O109" s="177">
        <f t="shared" si="7"/>
        <v>0.36299901822375763</v>
      </c>
      <c r="P109" s="34"/>
    </row>
    <row r="110" spans="1:16">
      <c r="A110" s="34" t="s">
        <v>387</v>
      </c>
      <c r="B110" s="63" t="s">
        <v>232</v>
      </c>
      <c r="C110" s="40">
        <v>2014</v>
      </c>
      <c r="D110" s="34" t="s">
        <v>180</v>
      </c>
      <c r="E110" s="40" t="s">
        <v>139</v>
      </c>
      <c r="F110" s="55">
        <f>0.526*0.66</f>
        <v>0.34716000000000002</v>
      </c>
      <c r="G110" s="168">
        <v>2</v>
      </c>
      <c r="H110" s="34" t="s">
        <v>374</v>
      </c>
      <c r="I110" s="172">
        <v>1</v>
      </c>
      <c r="J110" s="10">
        <v>2</v>
      </c>
      <c r="K110" s="10">
        <v>3</v>
      </c>
      <c r="L110" s="10">
        <v>1</v>
      </c>
      <c r="M110" s="10">
        <v>2</v>
      </c>
      <c r="N110" s="10">
        <v>1</v>
      </c>
      <c r="O110" s="177">
        <f t="shared" si="7"/>
        <v>0.36299901822375763</v>
      </c>
      <c r="P110" s="34" t="s">
        <v>776</v>
      </c>
    </row>
    <row r="111" spans="1:16" ht="15" thickBot="1">
      <c r="A111" s="35" t="s">
        <v>387</v>
      </c>
      <c r="B111" s="62" t="s">
        <v>266</v>
      </c>
      <c r="C111" s="41">
        <v>2014</v>
      </c>
      <c r="D111" s="35" t="s">
        <v>180</v>
      </c>
      <c r="E111" s="41" t="s">
        <v>139</v>
      </c>
      <c r="F111" s="56">
        <f>0.526*0.34</f>
        <v>0.17884000000000003</v>
      </c>
      <c r="G111" s="169">
        <v>2</v>
      </c>
      <c r="H111" s="35" t="s">
        <v>374</v>
      </c>
      <c r="I111" s="173">
        <v>1</v>
      </c>
      <c r="J111" s="14">
        <v>2</v>
      </c>
      <c r="K111" s="14">
        <v>3</v>
      </c>
      <c r="L111" s="14">
        <v>1</v>
      </c>
      <c r="M111" s="14">
        <v>2</v>
      </c>
      <c r="N111" s="14">
        <v>1</v>
      </c>
      <c r="O111" s="178">
        <f t="shared" si="7"/>
        <v>0.36299901822375763</v>
      </c>
      <c r="P111" s="35" t="s">
        <v>777</v>
      </c>
    </row>
    <row r="114" spans="1:17">
      <c r="A114" s="1014" t="s">
        <v>1980</v>
      </c>
      <c r="B114" s="1014"/>
      <c r="C114" s="1014"/>
      <c r="D114" s="1014"/>
      <c r="E114" s="1014"/>
      <c r="F114" s="1014"/>
      <c r="G114" s="1014"/>
      <c r="H114" s="1014"/>
      <c r="I114" s="1014"/>
      <c r="J114" s="1014"/>
      <c r="K114" s="1014"/>
      <c r="L114" s="1014"/>
      <c r="M114" s="1014"/>
      <c r="N114" s="1014"/>
      <c r="O114" s="1014"/>
      <c r="P114" s="1014"/>
      <c r="Q114" s="1014"/>
    </row>
    <row r="115" spans="1:17">
      <c r="A115" s="1014"/>
      <c r="B115" s="1014"/>
      <c r="C115" s="1014"/>
      <c r="D115" s="1014"/>
      <c r="E115" s="1014"/>
      <c r="F115" s="1014"/>
      <c r="G115" s="1014"/>
      <c r="H115" s="1014"/>
      <c r="I115" s="1014"/>
      <c r="J115" s="1014"/>
      <c r="K115" s="1014"/>
      <c r="L115" s="1014"/>
      <c r="M115" s="1014"/>
      <c r="N115" s="1014"/>
      <c r="O115" s="1014"/>
      <c r="P115" s="1014"/>
      <c r="Q115" s="1014"/>
    </row>
    <row r="117" spans="1:17">
      <c r="A117" s="117" t="s">
        <v>747</v>
      </c>
      <c r="B117" s="117"/>
      <c r="C117" s="117"/>
      <c r="D117" s="117"/>
      <c r="E117" s="117"/>
      <c r="F117" s="117"/>
    </row>
    <row r="118" spans="1:17">
      <c r="A118" s="224" t="s">
        <v>748</v>
      </c>
      <c r="B118" s="224" t="s">
        <v>749</v>
      </c>
      <c r="C118" s="224" t="s">
        <v>750</v>
      </c>
      <c r="D118" s="224" t="s">
        <v>751</v>
      </c>
      <c r="E118" s="224" t="s">
        <v>752</v>
      </c>
      <c r="F118" s="224" t="s">
        <v>753</v>
      </c>
    </row>
    <row r="119" spans="1:17">
      <c r="A119" s="224">
        <v>1990</v>
      </c>
      <c r="B119" s="224" t="s">
        <v>755</v>
      </c>
      <c r="C119" s="830">
        <v>9795.9110544217692</v>
      </c>
      <c r="D119" s="224" t="s">
        <v>756</v>
      </c>
      <c r="E119" s="831">
        <v>3605.0184353741402</v>
      </c>
      <c r="F119" s="831">
        <v>0.36801257334271897</v>
      </c>
    </row>
    <row r="120" spans="1:17">
      <c r="A120" s="224">
        <v>1990</v>
      </c>
      <c r="B120" s="224" t="s">
        <v>755</v>
      </c>
      <c r="C120" s="830">
        <v>14048.77</v>
      </c>
      <c r="D120" s="224" t="s">
        <v>758</v>
      </c>
      <c r="E120" s="224">
        <v>5170.1239999999998</v>
      </c>
      <c r="F120" s="831">
        <v>0.36801257334271897</v>
      </c>
    </row>
    <row r="121" spans="1:17">
      <c r="A121" s="224">
        <v>1990</v>
      </c>
      <c r="B121" s="224" t="s">
        <v>755</v>
      </c>
      <c r="C121" s="832">
        <v>18038.811819727802</v>
      </c>
      <c r="D121" s="224" t="s">
        <v>759</v>
      </c>
      <c r="E121" s="831">
        <v>6638.5095578231203</v>
      </c>
      <c r="F121" s="831">
        <v>0.36801257334271897</v>
      </c>
    </row>
    <row r="122" spans="1:17">
      <c r="A122" s="224">
        <v>1990</v>
      </c>
      <c r="B122" s="224" t="s">
        <v>760</v>
      </c>
      <c r="C122" s="830">
        <v>9795.9110544217692</v>
      </c>
      <c r="D122" s="224" t="s">
        <v>756</v>
      </c>
      <c r="E122" s="831">
        <v>3470.8689455782301</v>
      </c>
      <c r="F122" s="831">
        <v>0.35431813603610801</v>
      </c>
    </row>
    <row r="123" spans="1:17">
      <c r="A123" s="224">
        <v>1990</v>
      </c>
      <c r="B123" s="224" t="s">
        <v>760</v>
      </c>
      <c r="C123" s="830">
        <v>14048.77</v>
      </c>
      <c r="D123" s="224" t="s">
        <v>758</v>
      </c>
      <c r="E123" s="224">
        <v>4977.7340000000004</v>
      </c>
      <c r="F123" s="831">
        <v>0.35431813603610801</v>
      </c>
    </row>
    <row r="124" spans="1:17">
      <c r="A124" s="224">
        <v>1990</v>
      </c>
      <c r="B124" s="224" t="s">
        <v>760</v>
      </c>
      <c r="C124" s="832">
        <v>18038.811819727802</v>
      </c>
      <c r="D124" s="224" t="s">
        <v>759</v>
      </c>
      <c r="E124" s="831">
        <v>6391.4781802721</v>
      </c>
      <c r="F124" s="831">
        <v>0.35431813603610801</v>
      </c>
    </row>
    <row r="125" spans="1:17">
      <c r="A125" s="224">
        <v>1990</v>
      </c>
      <c r="B125" s="224" t="s">
        <v>761</v>
      </c>
      <c r="C125" s="830">
        <v>9795.9110544217692</v>
      </c>
      <c r="D125" s="224" t="s">
        <v>756</v>
      </c>
      <c r="E125" s="831">
        <v>2720.0236734693799</v>
      </c>
      <c r="F125" s="831">
        <v>0.27766929062117102</v>
      </c>
    </row>
    <row r="126" spans="1:17">
      <c r="A126" s="224">
        <v>1990</v>
      </c>
      <c r="B126" s="224" t="s">
        <v>761</v>
      </c>
      <c r="C126" s="830">
        <v>14048.77</v>
      </c>
      <c r="D126" s="224" t="s">
        <v>758</v>
      </c>
      <c r="E126" s="224">
        <v>3900.9119999999998</v>
      </c>
      <c r="F126" s="831">
        <v>0.27766929062117102</v>
      </c>
    </row>
    <row r="127" spans="1:17">
      <c r="A127" s="224">
        <v>1990</v>
      </c>
      <c r="B127" s="224" t="s">
        <v>761</v>
      </c>
      <c r="C127" s="832">
        <v>18038.811819727802</v>
      </c>
      <c r="D127" s="224" t="s">
        <v>759</v>
      </c>
      <c r="E127" s="831">
        <v>5008.8240816326497</v>
      </c>
      <c r="F127" s="831">
        <v>0.27766929062117102</v>
      </c>
    </row>
    <row r="128" spans="1:17">
      <c r="A128" s="224">
        <v>1995</v>
      </c>
      <c r="B128" s="224" t="s">
        <v>755</v>
      </c>
      <c r="C128" s="832">
        <v>10531.2160714285</v>
      </c>
      <c r="D128" s="224" t="s">
        <v>756</v>
      </c>
      <c r="E128" s="831">
        <v>4567.2933163265297</v>
      </c>
      <c r="F128" s="831">
        <v>0.43369097028762899</v>
      </c>
    </row>
    <row r="129" spans="1:6">
      <c r="A129" s="224">
        <v>1995</v>
      </c>
      <c r="B129" s="224" t="s">
        <v>755</v>
      </c>
      <c r="C129" s="830">
        <v>15103.305</v>
      </c>
      <c r="D129" s="224" t="s">
        <v>758</v>
      </c>
      <c r="E129" s="224">
        <v>6550.1670000000004</v>
      </c>
      <c r="F129" s="831">
        <v>0.43369097028762899</v>
      </c>
    </row>
    <row r="130" spans="1:6">
      <c r="A130" s="224">
        <v>1995</v>
      </c>
      <c r="B130" s="224" t="s">
        <v>755</v>
      </c>
      <c r="C130" s="832">
        <v>19392.8491071428</v>
      </c>
      <c r="D130" s="224" t="s">
        <v>759</v>
      </c>
      <c r="E130" s="831">
        <v>8410.50354591836</v>
      </c>
      <c r="F130" s="831">
        <v>0.43369097028762899</v>
      </c>
    </row>
    <row r="131" spans="1:6">
      <c r="A131" s="224">
        <v>1995</v>
      </c>
      <c r="B131" s="224" t="s">
        <v>760</v>
      </c>
      <c r="C131" s="832">
        <v>10531.2160714285</v>
      </c>
      <c r="D131" s="224" t="s">
        <v>756</v>
      </c>
      <c r="E131" s="831">
        <v>3200.3805102040801</v>
      </c>
      <c r="F131" s="224">
        <v>0.30389467735704201</v>
      </c>
    </row>
    <row r="132" spans="1:6">
      <c r="A132" s="224">
        <v>1995</v>
      </c>
      <c r="B132" s="224" t="s">
        <v>760</v>
      </c>
      <c r="C132" s="830">
        <v>15103.305</v>
      </c>
      <c r="D132" s="224" t="s">
        <v>758</v>
      </c>
      <c r="E132" s="831">
        <v>4589.8139999999903</v>
      </c>
      <c r="F132" s="224">
        <v>0.30389467735704201</v>
      </c>
    </row>
    <row r="133" spans="1:6">
      <c r="A133" s="224">
        <v>1995</v>
      </c>
      <c r="B133" s="224" t="s">
        <v>760</v>
      </c>
      <c r="C133" s="832">
        <v>19392.8491071428</v>
      </c>
      <c r="D133" s="224" t="s">
        <v>759</v>
      </c>
      <c r="E133" s="224">
        <v>5893.3836224489796</v>
      </c>
      <c r="F133" s="831">
        <v>0.30389467735704201</v>
      </c>
    </row>
    <row r="134" spans="1:6">
      <c r="A134" s="224">
        <v>1995</v>
      </c>
      <c r="B134" s="224" t="s">
        <v>761</v>
      </c>
      <c r="C134" s="832">
        <v>10531.2160714285</v>
      </c>
      <c r="D134" s="224" t="s">
        <v>756</v>
      </c>
      <c r="E134" s="831">
        <v>2763.5422448979498</v>
      </c>
      <c r="F134" s="831">
        <v>0.26241435235532801</v>
      </c>
    </row>
    <row r="135" spans="1:6">
      <c r="A135" s="224">
        <v>1995</v>
      </c>
      <c r="B135" s="224" t="s">
        <v>761</v>
      </c>
      <c r="C135" s="830">
        <v>15103.305</v>
      </c>
      <c r="D135" s="224" t="s">
        <v>758</v>
      </c>
      <c r="E135" s="224">
        <v>3963.3240000000001</v>
      </c>
      <c r="F135" s="831">
        <v>0.26241435235532801</v>
      </c>
    </row>
    <row r="136" spans="1:6">
      <c r="A136" s="224">
        <v>1995</v>
      </c>
      <c r="B136" s="224" t="s">
        <v>761</v>
      </c>
      <c r="C136" s="832">
        <v>19392.8491071428</v>
      </c>
      <c r="D136" s="224" t="s">
        <v>759</v>
      </c>
      <c r="E136" s="224">
        <v>5088.9619387755101</v>
      </c>
      <c r="F136" s="831">
        <v>0.26241435235532801</v>
      </c>
    </row>
    <row r="137" spans="1:6">
      <c r="A137" s="224">
        <v>2000</v>
      </c>
      <c r="B137" s="224" t="s">
        <v>755</v>
      </c>
      <c r="C137" s="832">
        <v>11700.245306122401</v>
      </c>
      <c r="D137" s="224" t="s">
        <v>756</v>
      </c>
      <c r="E137" s="831">
        <v>6023.5603231292498</v>
      </c>
      <c r="F137" s="224">
        <v>0.51482342169161799</v>
      </c>
    </row>
    <row r="138" spans="1:6">
      <c r="A138" s="224">
        <v>2000</v>
      </c>
      <c r="B138" s="224" t="s">
        <v>755</v>
      </c>
      <c r="C138" s="832">
        <v>16779.8639999999</v>
      </c>
      <c r="D138" s="224" t="s">
        <v>758</v>
      </c>
      <c r="E138" s="224">
        <v>8638.6669999999995</v>
      </c>
      <c r="F138" s="224">
        <v>0.51482342169161799</v>
      </c>
    </row>
    <row r="139" spans="1:6">
      <c r="A139" s="224">
        <v>2000</v>
      </c>
      <c r="B139" s="224" t="s">
        <v>755</v>
      </c>
      <c r="C139" s="832">
        <v>21545.573673469298</v>
      </c>
      <c r="D139" s="224" t="s">
        <v>759</v>
      </c>
      <c r="E139" s="831">
        <v>11092.1659608843</v>
      </c>
      <c r="F139" s="831">
        <v>0.51482342169161699</v>
      </c>
    </row>
    <row r="140" spans="1:6">
      <c r="A140" s="224">
        <v>2000</v>
      </c>
      <c r="B140" s="224" t="s">
        <v>760</v>
      </c>
      <c r="C140" s="832">
        <v>11700.245306122401</v>
      </c>
      <c r="D140" s="224" t="s">
        <v>756</v>
      </c>
      <c r="E140" s="831">
        <v>2729.0597108843499</v>
      </c>
      <c r="F140" s="831">
        <v>0.23324807638488601</v>
      </c>
    </row>
    <row r="141" spans="1:6">
      <c r="A141" s="224">
        <v>2000</v>
      </c>
      <c r="B141" s="224" t="s">
        <v>760</v>
      </c>
      <c r="C141" s="832">
        <v>16779.8639999999</v>
      </c>
      <c r="D141" s="224" t="s">
        <v>758</v>
      </c>
      <c r="E141" s="224">
        <v>3913.8710000000001</v>
      </c>
      <c r="F141" s="831">
        <v>0.23324807638488601</v>
      </c>
    </row>
    <row r="142" spans="1:6">
      <c r="A142" s="224">
        <v>2000</v>
      </c>
      <c r="B142" s="224" t="s">
        <v>760</v>
      </c>
      <c r="C142" s="832">
        <v>21545.573673469298</v>
      </c>
      <c r="D142" s="224" t="s">
        <v>759</v>
      </c>
      <c r="E142" s="831">
        <v>5025.4636139455697</v>
      </c>
      <c r="F142" s="831">
        <v>0.23324807638488601</v>
      </c>
    </row>
    <row r="143" spans="1:6">
      <c r="A143" s="224">
        <v>2000</v>
      </c>
      <c r="B143" s="224" t="s">
        <v>761</v>
      </c>
      <c r="C143" s="832">
        <v>11700.245306122401</v>
      </c>
      <c r="D143" s="224" t="s">
        <v>756</v>
      </c>
      <c r="E143" s="831">
        <v>2947.6252721088399</v>
      </c>
      <c r="F143" s="224">
        <v>0.25192850192349597</v>
      </c>
    </row>
    <row r="144" spans="1:6">
      <c r="A144" s="224">
        <v>2000</v>
      </c>
      <c r="B144" s="224" t="s">
        <v>761</v>
      </c>
      <c r="C144" s="832">
        <v>16779.8639999999</v>
      </c>
      <c r="D144" s="224" t="s">
        <v>758</v>
      </c>
      <c r="E144" s="224">
        <v>4227.326</v>
      </c>
      <c r="F144" s="224">
        <v>0.25192850192349597</v>
      </c>
    </row>
    <row r="145" spans="1:6">
      <c r="A145" s="224">
        <v>2000</v>
      </c>
      <c r="B145" s="224" t="s">
        <v>761</v>
      </c>
      <c r="C145" s="832">
        <v>21545.573673469298</v>
      </c>
      <c r="D145" s="224" t="s">
        <v>759</v>
      </c>
      <c r="E145" s="831">
        <v>5427.9440986394502</v>
      </c>
      <c r="F145" s="831">
        <v>0.25192850192349497</v>
      </c>
    </row>
    <row r="146" spans="1:6">
      <c r="A146" s="224">
        <v>2005</v>
      </c>
      <c r="B146" s="224" t="s">
        <v>755</v>
      </c>
      <c r="C146" s="832">
        <v>12395.919778911501</v>
      </c>
      <c r="D146" s="224" t="s">
        <v>756</v>
      </c>
      <c r="E146" s="831">
        <v>6396.0460204081601</v>
      </c>
      <c r="F146" s="831">
        <v>0.51597994618272403</v>
      </c>
    </row>
    <row r="147" spans="1:6">
      <c r="A147" s="224">
        <v>2005</v>
      </c>
      <c r="B147" s="224" t="s">
        <v>755</v>
      </c>
      <c r="C147" s="830">
        <v>17777.562999999998</v>
      </c>
      <c r="D147" s="224" t="s">
        <v>758</v>
      </c>
      <c r="E147" s="224">
        <v>9172.866</v>
      </c>
      <c r="F147" s="831">
        <v>0.51597994618272403</v>
      </c>
    </row>
    <row r="148" spans="1:6">
      <c r="A148" s="224">
        <v>2005</v>
      </c>
      <c r="B148" s="224" t="s">
        <v>755</v>
      </c>
      <c r="C148" s="832">
        <v>22826.632763605401</v>
      </c>
      <c r="D148" s="224" t="s">
        <v>759</v>
      </c>
      <c r="E148" s="831">
        <v>11778.0847448979</v>
      </c>
      <c r="F148" s="831">
        <v>0.51597994618272403</v>
      </c>
    </row>
    <row r="149" spans="1:6">
      <c r="A149" s="224">
        <v>2005</v>
      </c>
      <c r="B149" s="224" t="s">
        <v>760</v>
      </c>
      <c r="C149" s="832">
        <v>12395.919778911501</v>
      </c>
      <c r="D149" s="224" t="s">
        <v>756</v>
      </c>
      <c r="E149" s="831">
        <v>2854.1864115646199</v>
      </c>
      <c r="F149" s="831">
        <v>0.23025208798303701</v>
      </c>
    </row>
    <row r="150" spans="1:6">
      <c r="A150" s="224">
        <v>2005</v>
      </c>
      <c r="B150" s="224" t="s">
        <v>760</v>
      </c>
      <c r="C150" s="830">
        <v>17777.562999999998</v>
      </c>
      <c r="D150" s="224" t="s">
        <v>758</v>
      </c>
      <c r="E150" s="224">
        <v>4093.3209999999999</v>
      </c>
      <c r="F150" s="831">
        <v>0.23025208798303701</v>
      </c>
    </row>
    <row r="151" spans="1:6">
      <c r="A151" s="224">
        <v>2005</v>
      </c>
      <c r="B151" s="224" t="s">
        <v>760</v>
      </c>
      <c r="C151" s="832">
        <v>22826.632763605401</v>
      </c>
      <c r="D151" s="224" t="s">
        <v>759</v>
      </c>
      <c r="E151" s="831">
        <v>5255.8798554421701</v>
      </c>
      <c r="F151" s="831">
        <v>0.23025208798303701</v>
      </c>
    </row>
    <row r="152" spans="1:6">
      <c r="A152" s="224">
        <v>2005</v>
      </c>
      <c r="B152" s="224" t="s">
        <v>761</v>
      </c>
      <c r="C152" s="832">
        <v>12395.919778911501</v>
      </c>
      <c r="D152" s="224" t="s">
        <v>756</v>
      </c>
      <c r="E152" s="831">
        <v>3145.6873469387701</v>
      </c>
      <c r="F152" s="831">
        <v>0.253767965834237</v>
      </c>
    </row>
    <row r="153" spans="1:6">
      <c r="A153" s="224">
        <v>2005</v>
      </c>
      <c r="B153" s="224" t="s">
        <v>761</v>
      </c>
      <c r="C153" s="830">
        <v>17777.562999999998</v>
      </c>
      <c r="D153" s="224" t="s">
        <v>758</v>
      </c>
      <c r="E153" s="224">
        <v>4511.3760000000002</v>
      </c>
      <c r="F153" s="831">
        <v>0.253767965834237</v>
      </c>
    </row>
    <row r="154" spans="1:6">
      <c r="A154" s="224">
        <v>2005</v>
      </c>
      <c r="B154" s="224" t="s">
        <v>761</v>
      </c>
      <c r="C154" s="832">
        <v>22826.632763605401</v>
      </c>
      <c r="D154" s="224" t="s">
        <v>759</v>
      </c>
      <c r="E154" s="831">
        <v>5792.6681632652999</v>
      </c>
      <c r="F154" s="831">
        <v>0.253767965834237</v>
      </c>
    </row>
    <row r="155" spans="1:6">
      <c r="A155" s="224">
        <v>2010</v>
      </c>
      <c r="B155" s="224" t="s">
        <v>755</v>
      </c>
      <c r="C155" s="832">
        <v>12581.2969557823</v>
      </c>
      <c r="D155" s="224" t="s">
        <v>756</v>
      </c>
      <c r="E155" s="831">
        <v>6475.2931632652999</v>
      </c>
      <c r="F155" s="224">
        <v>0.51467612488784698</v>
      </c>
    </row>
    <row r="156" spans="1:6">
      <c r="A156" s="224">
        <v>2010</v>
      </c>
      <c r="B156" s="224" t="s">
        <v>755</v>
      </c>
      <c r="C156" s="830">
        <v>18043.420999999998</v>
      </c>
      <c r="D156" s="224" t="s">
        <v>758</v>
      </c>
      <c r="E156" s="224">
        <v>9286.518</v>
      </c>
      <c r="F156" s="224">
        <v>0.51467612488784698</v>
      </c>
    </row>
    <row r="157" spans="1:6">
      <c r="A157" s="224">
        <v>2010</v>
      </c>
      <c r="B157" s="224" t="s">
        <v>755</v>
      </c>
      <c r="C157" s="832">
        <v>23167.998052720999</v>
      </c>
      <c r="D157" s="224" t="s">
        <v>759</v>
      </c>
      <c r="E157" s="831">
        <v>11924.0154591836</v>
      </c>
      <c r="F157" s="831">
        <v>0.51467612488784598</v>
      </c>
    </row>
    <row r="158" spans="1:6">
      <c r="A158" s="224">
        <v>2010</v>
      </c>
      <c r="B158" s="224" t="s">
        <v>760</v>
      </c>
      <c r="C158" s="832">
        <v>12581.2969557823</v>
      </c>
      <c r="D158" s="224" t="s">
        <v>756</v>
      </c>
      <c r="E158" s="831">
        <v>2894.6230102040799</v>
      </c>
      <c r="F158" s="831">
        <v>0.230073498811561</v>
      </c>
    </row>
    <row r="159" spans="1:6">
      <c r="A159" s="224">
        <v>2010</v>
      </c>
      <c r="B159" s="224" t="s">
        <v>760</v>
      </c>
      <c r="C159" s="830">
        <v>18043.420999999998</v>
      </c>
      <c r="D159" s="224" t="s">
        <v>758</v>
      </c>
      <c r="E159" s="224">
        <v>4151.3130000000001</v>
      </c>
      <c r="F159" s="831">
        <v>0.230073498811561</v>
      </c>
    </row>
    <row r="160" spans="1:6">
      <c r="A160" s="224">
        <v>2010</v>
      </c>
      <c r="B160" s="224" t="s">
        <v>760</v>
      </c>
      <c r="C160" s="832">
        <v>23167.998052720999</v>
      </c>
      <c r="D160" s="224" t="s">
        <v>759</v>
      </c>
      <c r="E160" s="224">
        <v>5330.3423724489803</v>
      </c>
      <c r="F160" s="831">
        <v>0.230073498811561</v>
      </c>
    </row>
    <row r="161" spans="1:6">
      <c r="A161" s="224">
        <v>2010</v>
      </c>
      <c r="B161" s="224" t="s">
        <v>761</v>
      </c>
      <c r="C161" s="832">
        <v>12581.2969557823</v>
      </c>
      <c r="D161" s="224" t="s">
        <v>756</v>
      </c>
      <c r="E161" s="831">
        <v>3211.38078231292</v>
      </c>
      <c r="F161" s="831">
        <v>0.255250376300591</v>
      </c>
    </row>
    <row r="162" spans="1:6">
      <c r="A162" s="224">
        <v>2010</v>
      </c>
      <c r="B162" s="224" t="s">
        <v>761</v>
      </c>
      <c r="C162" s="830">
        <v>18043.420999999998</v>
      </c>
      <c r="D162" s="224" t="s">
        <v>758</v>
      </c>
      <c r="E162" s="224">
        <v>4605.59</v>
      </c>
      <c r="F162" s="831">
        <v>0.255250376300591</v>
      </c>
    </row>
    <row r="163" spans="1:6">
      <c r="A163" s="224">
        <v>2010</v>
      </c>
      <c r="B163" s="224" t="s">
        <v>761</v>
      </c>
      <c r="C163" s="832">
        <v>23167.998052720999</v>
      </c>
      <c r="D163" s="224" t="s">
        <v>759</v>
      </c>
      <c r="E163" s="831">
        <v>5913.6402210884298</v>
      </c>
      <c r="F163" s="831">
        <v>0.255250376300591</v>
      </c>
    </row>
    <row r="164" spans="1:6">
      <c r="A164" s="224">
        <v>2015</v>
      </c>
      <c r="B164" s="224" t="s">
        <v>755</v>
      </c>
      <c r="C164" s="832">
        <v>12711.9997959183</v>
      </c>
      <c r="D164" s="224" t="s">
        <v>756</v>
      </c>
      <c r="E164" s="831">
        <v>6532.1520748299299</v>
      </c>
      <c r="F164" s="831">
        <v>0.51385715699329204</v>
      </c>
    </row>
    <row r="165" spans="1:6">
      <c r="A165" s="224">
        <v>2015</v>
      </c>
      <c r="B165" s="224" t="s">
        <v>755</v>
      </c>
      <c r="C165" s="830">
        <v>18230.867999999999</v>
      </c>
      <c r="D165" s="224" t="s">
        <v>758</v>
      </c>
      <c r="E165" s="224">
        <v>9368.0619999999999</v>
      </c>
      <c r="F165" s="831">
        <v>0.51385715699329204</v>
      </c>
    </row>
    <row r="166" spans="1:6">
      <c r="A166" s="224">
        <v>2015</v>
      </c>
      <c r="B166" s="224" t="s">
        <v>755</v>
      </c>
      <c r="C166" s="832">
        <v>23408.6825510204</v>
      </c>
      <c r="D166" s="224" t="s">
        <v>759</v>
      </c>
      <c r="E166" s="831">
        <v>12028.7190646258</v>
      </c>
      <c r="F166" s="831">
        <v>0.51385715699329204</v>
      </c>
    </row>
    <row r="167" spans="1:6">
      <c r="A167" s="224">
        <v>2015</v>
      </c>
      <c r="B167" s="224" t="s">
        <v>760</v>
      </c>
      <c r="C167" s="832">
        <v>12711.9997959183</v>
      </c>
      <c r="D167" s="224" t="s">
        <v>756</v>
      </c>
      <c r="E167" s="831">
        <v>2919.1442176870701</v>
      </c>
      <c r="F167" s="831">
        <v>0.22963689935114401</v>
      </c>
    </row>
    <row r="168" spans="1:6">
      <c r="A168" s="224">
        <v>2015</v>
      </c>
      <c r="B168" s="224" t="s">
        <v>760</v>
      </c>
      <c r="C168" s="830">
        <v>18230.867999999999</v>
      </c>
      <c r="D168" s="224" t="s">
        <v>758</v>
      </c>
      <c r="E168" s="224">
        <v>4186.4799999999996</v>
      </c>
      <c r="F168" s="831">
        <v>0.22963689935114401</v>
      </c>
    </row>
    <row r="169" spans="1:6">
      <c r="A169" s="224">
        <v>2015</v>
      </c>
      <c r="B169" s="224" t="s">
        <v>760</v>
      </c>
      <c r="C169" s="832">
        <v>23408.6825510204</v>
      </c>
      <c r="D169" s="224" t="s">
        <v>759</v>
      </c>
      <c r="E169" s="831">
        <v>5375.49727891156</v>
      </c>
      <c r="F169" s="831">
        <v>0.22963689935114401</v>
      </c>
    </row>
    <row r="170" spans="1:6">
      <c r="A170" s="224">
        <v>2015</v>
      </c>
      <c r="B170" s="224" t="s">
        <v>761</v>
      </c>
      <c r="C170" s="832">
        <v>12711.9997959183</v>
      </c>
      <c r="D170" s="224" t="s">
        <v>756</v>
      </c>
      <c r="E170" s="831">
        <v>3260.7035034013602</v>
      </c>
      <c r="F170" s="831">
        <v>0.25650594365556201</v>
      </c>
    </row>
    <row r="171" spans="1:6">
      <c r="A171" s="224">
        <v>2015</v>
      </c>
      <c r="B171" s="224" t="s">
        <v>761</v>
      </c>
      <c r="C171" s="830">
        <v>18230.867999999999</v>
      </c>
      <c r="D171" s="224" t="s">
        <v>758</v>
      </c>
      <c r="E171" s="224">
        <v>4676.326</v>
      </c>
      <c r="F171" s="831">
        <v>0.25650594365556201</v>
      </c>
    </row>
    <row r="172" spans="1:6">
      <c r="A172" s="224">
        <v>2015</v>
      </c>
      <c r="B172" s="224" t="s">
        <v>761</v>
      </c>
      <c r="C172" s="832">
        <v>23408.6825510204</v>
      </c>
      <c r="D172" s="224" t="s">
        <v>759</v>
      </c>
      <c r="E172" s="831">
        <v>6004.4662074829903</v>
      </c>
      <c r="F172" s="831">
        <v>0.25650594365556201</v>
      </c>
    </row>
    <row r="173" spans="1:6">
      <c r="A173" s="224">
        <v>2019</v>
      </c>
      <c r="B173" s="224" t="s">
        <v>755</v>
      </c>
      <c r="C173" s="832">
        <v>13484.4244557823</v>
      </c>
      <c r="D173" s="224" t="s">
        <v>756</v>
      </c>
      <c r="E173" s="831">
        <v>6901.6436564625801</v>
      </c>
      <c r="F173" s="831">
        <v>0.51182337659973698</v>
      </c>
    </row>
    <row r="174" spans="1:6">
      <c r="A174" s="224">
        <v>2019</v>
      </c>
      <c r="B174" s="224" t="s">
        <v>755</v>
      </c>
      <c r="C174" s="830">
        <v>19338.637999999999</v>
      </c>
      <c r="D174" s="224" t="s">
        <v>758</v>
      </c>
      <c r="E174" s="224">
        <v>9897.9670000000006</v>
      </c>
      <c r="F174" s="831">
        <v>0.51182337659973698</v>
      </c>
    </row>
    <row r="175" spans="1:6">
      <c r="A175" s="224">
        <v>2019</v>
      </c>
      <c r="B175" s="224" t="s">
        <v>755</v>
      </c>
      <c r="C175" s="832">
        <v>24831.074302721001</v>
      </c>
      <c r="D175" s="224" t="s">
        <v>759</v>
      </c>
      <c r="E175" s="831">
        <v>12709.1242942176</v>
      </c>
      <c r="F175" s="831">
        <v>0.51182337659973698</v>
      </c>
    </row>
    <row r="176" spans="1:6">
      <c r="A176" s="224">
        <v>2019</v>
      </c>
      <c r="B176" s="224" t="s">
        <v>760</v>
      </c>
      <c r="C176" s="832">
        <v>13484.4244557823</v>
      </c>
      <c r="D176" s="224" t="s">
        <v>756</v>
      </c>
      <c r="E176" s="831">
        <v>3107.2547278911502</v>
      </c>
      <c r="F176" s="831">
        <v>0.23043287743428401</v>
      </c>
    </row>
    <row r="177" spans="1:6">
      <c r="A177" s="224">
        <v>2019</v>
      </c>
      <c r="B177" s="224" t="s">
        <v>760</v>
      </c>
      <c r="C177" s="830">
        <v>19338.637999999999</v>
      </c>
      <c r="D177" s="224" t="s">
        <v>758</v>
      </c>
      <c r="E177" s="224">
        <v>4456.2579999999998</v>
      </c>
      <c r="F177" s="831">
        <v>0.23043287743428401</v>
      </c>
    </row>
    <row r="178" spans="1:6">
      <c r="A178" s="224">
        <v>2019</v>
      </c>
      <c r="B178" s="224" t="s">
        <v>760</v>
      </c>
      <c r="C178" s="832">
        <v>24831.074302721001</v>
      </c>
      <c r="D178" s="224" t="s">
        <v>759</v>
      </c>
      <c r="E178" s="831">
        <v>5721.8959013605399</v>
      </c>
      <c r="F178" s="831">
        <v>0.23043287743428401</v>
      </c>
    </row>
    <row r="179" spans="1:6">
      <c r="A179" s="224">
        <v>2019</v>
      </c>
      <c r="B179" s="224" t="s">
        <v>761</v>
      </c>
      <c r="C179" s="832">
        <v>13484.4244557823</v>
      </c>
      <c r="D179" s="224" t="s">
        <v>756</v>
      </c>
      <c r="E179" s="831">
        <v>3475.52607142857</v>
      </c>
      <c r="F179" s="831">
        <v>0.25774374596597699</v>
      </c>
    </row>
    <row r="180" spans="1:6">
      <c r="A180" s="224">
        <v>2019</v>
      </c>
      <c r="B180" s="224" t="s">
        <v>761</v>
      </c>
      <c r="C180" s="830">
        <v>19338.637999999999</v>
      </c>
      <c r="D180" s="224" t="s">
        <v>758</v>
      </c>
      <c r="E180" s="831">
        <v>4984.4129999999996</v>
      </c>
      <c r="F180" s="831">
        <v>0.25774374596597699</v>
      </c>
    </row>
    <row r="181" spans="1:6">
      <c r="A181" s="224">
        <v>2019</v>
      </c>
      <c r="B181" s="224" t="s">
        <v>761</v>
      </c>
      <c r="C181" s="832">
        <v>24831.074302721001</v>
      </c>
      <c r="D181" s="224" t="s">
        <v>759</v>
      </c>
      <c r="E181" s="831">
        <v>6400.0541071428497</v>
      </c>
      <c r="F181" s="831">
        <v>0.25774374596597699</v>
      </c>
    </row>
    <row r="182" spans="1:6">
      <c r="A182" s="224">
        <v>2020</v>
      </c>
      <c r="B182" s="224" t="s">
        <v>755</v>
      </c>
      <c r="C182" s="832">
        <v>11683.7368280094</v>
      </c>
      <c r="D182" s="224" t="s">
        <v>756</v>
      </c>
      <c r="E182" s="831">
        <v>6118.5902748969302</v>
      </c>
      <c r="F182" s="831">
        <v>0.52368436271423302</v>
      </c>
    </row>
    <row r="183" spans="1:6">
      <c r="A183" s="224">
        <v>2020</v>
      </c>
      <c r="B183" s="224" t="s">
        <v>755</v>
      </c>
      <c r="C183" s="832">
        <v>16756.188426510998</v>
      </c>
      <c r="D183" s="224" t="s">
        <v>758</v>
      </c>
      <c r="E183" s="831">
        <v>8774.9538576570594</v>
      </c>
      <c r="F183" s="831">
        <v>0.52368436271423302</v>
      </c>
    </row>
    <row r="184" spans="1:6">
      <c r="A184" s="224">
        <v>2020</v>
      </c>
      <c r="B184" s="224" t="s">
        <v>755</v>
      </c>
      <c r="C184" s="832">
        <v>21515.173914992902</v>
      </c>
      <c r="D184" s="224" t="s">
        <v>759</v>
      </c>
      <c r="E184" s="831">
        <v>11267.160140358899</v>
      </c>
      <c r="F184" s="224">
        <v>0.52368436271423302</v>
      </c>
    </row>
    <row r="185" spans="1:6">
      <c r="A185" s="224">
        <v>2020</v>
      </c>
      <c r="B185" s="224" t="s">
        <v>760</v>
      </c>
      <c r="C185" s="832">
        <v>11683.7368280094</v>
      </c>
      <c r="D185" s="224" t="s">
        <v>756</v>
      </c>
      <c r="E185" s="831">
        <v>2584.5872312710599</v>
      </c>
      <c r="F185" s="831">
        <v>0.221212380021692</v>
      </c>
    </row>
    <row r="186" spans="1:6">
      <c r="A186" s="224">
        <v>2020</v>
      </c>
      <c r="B186" s="224" t="s">
        <v>760</v>
      </c>
      <c r="C186" s="832">
        <v>16756.188426510998</v>
      </c>
      <c r="D186" s="224" t="s">
        <v>758</v>
      </c>
      <c r="E186" s="831">
        <v>3706.6763219204599</v>
      </c>
      <c r="F186" s="831">
        <v>0.221212380021692</v>
      </c>
    </row>
    <row r="187" spans="1:6">
      <c r="A187" s="224">
        <v>2020</v>
      </c>
      <c r="B187" s="224" t="s">
        <v>760</v>
      </c>
      <c r="C187" s="832">
        <v>21515.173914992902</v>
      </c>
      <c r="D187" s="224" t="s">
        <v>759</v>
      </c>
      <c r="E187" s="831">
        <v>4759.4228283162302</v>
      </c>
      <c r="F187" s="831">
        <v>0.221212380021692</v>
      </c>
    </row>
    <row r="188" spans="1:6">
      <c r="A188" s="224">
        <v>2020</v>
      </c>
      <c r="B188" s="224" t="s">
        <v>761</v>
      </c>
      <c r="C188" s="832">
        <v>11683.7368280094</v>
      </c>
      <c r="D188" s="224" t="s">
        <v>756</v>
      </c>
      <c r="E188" s="831">
        <v>2980.5593218414201</v>
      </c>
      <c r="F188" s="831">
        <v>0.25510325726407401</v>
      </c>
    </row>
    <row r="189" spans="1:6">
      <c r="A189" s="224">
        <v>2020</v>
      </c>
      <c r="B189" s="224" t="s">
        <v>761</v>
      </c>
      <c r="C189" s="832">
        <v>16756.188426510998</v>
      </c>
      <c r="D189" s="224" t="s">
        <v>758</v>
      </c>
      <c r="E189" s="831">
        <v>4274.5582469335604</v>
      </c>
      <c r="F189" s="831">
        <v>0.25510325726407401</v>
      </c>
    </row>
    <row r="190" spans="1:6">
      <c r="A190" s="224">
        <v>2020</v>
      </c>
      <c r="B190" s="224" t="s">
        <v>761</v>
      </c>
      <c r="C190" s="832">
        <v>21515.173914992902</v>
      </c>
      <c r="D190" s="224" t="s">
        <v>759</v>
      </c>
      <c r="E190" s="831">
        <v>5488.5909463177504</v>
      </c>
      <c r="F190" s="831">
        <v>0.25510325726407401</v>
      </c>
    </row>
  </sheetData>
  <mergeCells count="2">
    <mergeCell ref="A114:Q115"/>
    <mergeCell ref="A2:Q3"/>
  </mergeCells>
  <conditionalFormatting sqref="G6:K13 G15:K22 G24:K32">
    <cfRule type="cellIs" dxfId="115" priority="7074" stopIfTrue="1" operator="notBetween">
      <formula>1</formula>
      <formula>4</formula>
    </cfRule>
    <cfRule type="dataBar" priority="7075">
      <dataBar>
        <cfvo type="min"/>
        <cfvo type="num" val="4"/>
        <color rgb="FFFFC000"/>
      </dataBar>
      <extLst>
        <ext xmlns:x14="http://schemas.microsoft.com/office/spreadsheetml/2009/9/main" uri="{B025F937-C7B1-47D3-B67F-A62EFF666E3E}">
          <x14:id>{DCB540DE-36C9-4332-BAD4-CAB1F9DBAEDD}</x14:id>
        </ext>
      </extLst>
    </cfRule>
  </conditionalFormatting>
  <conditionalFormatting sqref="G37:K44 G46:K53 G55:K62">
    <cfRule type="cellIs" dxfId="114" priority="7072" stopIfTrue="1" operator="notBetween">
      <formula>1</formula>
      <formula>4</formula>
    </cfRule>
    <cfRule type="dataBar" priority="7073">
      <dataBar>
        <cfvo type="min"/>
        <cfvo type="num" val="4"/>
        <color rgb="FFFFC000"/>
      </dataBar>
      <extLst>
        <ext xmlns:x14="http://schemas.microsoft.com/office/spreadsheetml/2009/9/main" uri="{B025F937-C7B1-47D3-B67F-A62EFF666E3E}">
          <x14:id>{ADB92FAB-58BB-4A44-BD27-F6CCA440A7CD}</x14:id>
        </ext>
      </extLst>
    </cfRule>
  </conditionalFormatting>
  <conditionalFormatting sqref="I86">
    <cfRule type="containsBlanks" dxfId="113" priority="1">
      <formula>LEN(TRIM(I86))=0</formula>
    </cfRule>
    <cfRule type="dataBar" priority="3">
      <dataBar>
        <cfvo type="min"/>
        <cfvo type="num" val="4"/>
        <color rgb="FFFFC000"/>
      </dataBar>
      <extLst>
        <ext xmlns:x14="http://schemas.microsoft.com/office/spreadsheetml/2009/9/main" uri="{B025F937-C7B1-47D3-B67F-A62EFF666E3E}">
          <x14:id>{30155963-B8E7-438D-B598-5CEE74DA6116}</x14:id>
        </ext>
      </extLst>
    </cfRule>
  </conditionalFormatting>
  <conditionalFormatting sqref="I66:N71">
    <cfRule type="cellIs" dxfId="112" priority="52" stopIfTrue="1" operator="notBetween">
      <formula>1</formula>
      <formula>4</formula>
    </cfRule>
    <cfRule type="dataBar" priority="53">
      <dataBar>
        <cfvo type="min"/>
        <cfvo type="num" val="4"/>
        <color rgb="FFFFC000"/>
      </dataBar>
      <extLst>
        <ext xmlns:x14="http://schemas.microsoft.com/office/spreadsheetml/2009/9/main" uri="{B025F937-C7B1-47D3-B67F-A62EFF666E3E}">
          <x14:id>{56B0826E-DB05-4F46-9EA0-83C8C7A7759C}</x14:id>
        </ext>
      </extLst>
    </cfRule>
  </conditionalFormatting>
  <conditionalFormatting sqref="I74:N81 I84:N85 I88:N89 I83 K83:N83 J86:N86">
    <cfRule type="dataBar" priority="6199">
      <dataBar>
        <cfvo type="min"/>
        <cfvo type="num" val="4"/>
        <color rgb="FFFFC000"/>
      </dataBar>
      <extLst>
        <ext xmlns:x14="http://schemas.microsoft.com/office/spreadsheetml/2009/9/main" uri="{B025F937-C7B1-47D3-B67F-A62EFF666E3E}">
          <x14:id>{152975D8-AA7B-48FF-96C8-A3635D86F63F}</x14:id>
        </ext>
      </extLst>
    </cfRule>
  </conditionalFormatting>
  <conditionalFormatting sqref="I74:N82">
    <cfRule type="cellIs" dxfId="111" priority="23" stopIfTrue="1" operator="notBetween">
      <formula>1</formula>
      <formula>4</formula>
    </cfRule>
  </conditionalFormatting>
  <conditionalFormatting sqref="I82:N82">
    <cfRule type="dataBar" priority="24">
      <dataBar>
        <cfvo type="min"/>
        <cfvo type="num" val="4"/>
        <color rgb="FFFFC000"/>
      </dataBar>
      <extLst>
        <ext xmlns:x14="http://schemas.microsoft.com/office/spreadsheetml/2009/9/main" uri="{B025F937-C7B1-47D3-B67F-A62EFF666E3E}">
          <x14:id>{CD33A977-1C24-4834-9920-1C263E4A3C54}</x14:id>
        </ext>
      </extLst>
    </cfRule>
  </conditionalFormatting>
  <conditionalFormatting sqref="I83:N85">
    <cfRule type="cellIs" dxfId="110" priority="5" stopIfTrue="1" operator="notBetween">
      <formula>1</formula>
      <formula>4</formula>
    </cfRule>
  </conditionalFormatting>
  <conditionalFormatting sqref="I86:N86">
    <cfRule type="cellIs" dxfId="109" priority="2" stopIfTrue="1" operator="notBetween">
      <formula>1</formula>
      <formula>4</formula>
    </cfRule>
  </conditionalFormatting>
  <conditionalFormatting sqref="I87:N87">
    <cfRule type="containsBlanks" dxfId="108" priority="19">
      <formula>LEN(TRIM(I87))=0</formula>
    </cfRule>
    <cfRule type="dataBar" priority="21">
      <dataBar>
        <cfvo type="min"/>
        <cfvo type="num" val="4"/>
        <color rgb="FFFFC000"/>
      </dataBar>
      <extLst>
        <ext xmlns:x14="http://schemas.microsoft.com/office/spreadsheetml/2009/9/main" uri="{B025F937-C7B1-47D3-B67F-A62EFF666E3E}">
          <x14:id>{9612EF93-58C4-4663-9A0C-7E810B1E0D57}</x14:id>
        </ext>
      </extLst>
    </cfRule>
  </conditionalFormatting>
  <conditionalFormatting sqref="I87:N93">
    <cfRule type="cellIs" dxfId="107" priority="20" stopIfTrue="1" operator="notBetween">
      <formula>1</formula>
      <formula>4</formula>
    </cfRule>
  </conditionalFormatting>
  <conditionalFormatting sqref="I90:N90 I92:N92 I99:N105">
    <cfRule type="dataBar" priority="7052">
      <dataBar>
        <cfvo type="min"/>
        <cfvo type="num" val="4"/>
        <color rgb="FFFFC000"/>
      </dataBar>
      <extLst>
        <ext xmlns:x14="http://schemas.microsoft.com/office/spreadsheetml/2009/9/main" uri="{B025F937-C7B1-47D3-B67F-A62EFF666E3E}">
          <x14:id>{6B8C1DD6-10C5-4D14-8A53-7C18EAC20BAD}</x14:id>
        </ext>
      </extLst>
    </cfRule>
  </conditionalFormatting>
  <conditionalFormatting sqref="I91:N91">
    <cfRule type="dataBar" priority="74">
      <dataBar>
        <cfvo type="min"/>
        <cfvo type="num" val="4"/>
        <color rgb="FFFFC000"/>
      </dataBar>
      <extLst>
        <ext xmlns:x14="http://schemas.microsoft.com/office/spreadsheetml/2009/9/main" uri="{B025F937-C7B1-47D3-B67F-A62EFF666E3E}">
          <x14:id>{711D344D-A5F7-440B-AF92-3C409F3D22EA}</x14:id>
        </ext>
      </extLst>
    </cfRule>
  </conditionalFormatting>
  <conditionalFormatting sqref="I93:N93">
    <cfRule type="dataBar" priority="71">
      <dataBar>
        <cfvo type="min"/>
        <cfvo type="num" val="4"/>
        <color rgb="FFFFC000"/>
      </dataBar>
      <extLst>
        <ext xmlns:x14="http://schemas.microsoft.com/office/spreadsheetml/2009/9/main" uri="{B025F937-C7B1-47D3-B67F-A62EFF666E3E}">
          <x14:id>{27A81EB9-B538-4A61-9CAF-D128D989E8C2}</x14:id>
        </ext>
      </extLst>
    </cfRule>
  </conditionalFormatting>
  <conditionalFormatting sqref="I94:N94">
    <cfRule type="dataBar" priority="18">
      <dataBar>
        <cfvo type="min"/>
        <cfvo type="num" val="4"/>
        <color rgb="FFFFC000"/>
      </dataBar>
      <extLst>
        <ext xmlns:x14="http://schemas.microsoft.com/office/spreadsheetml/2009/9/main" uri="{B025F937-C7B1-47D3-B67F-A62EFF666E3E}">
          <x14:id>{C9F98A99-3F58-482A-88AB-05F7BEBC7614}</x14:id>
        </ext>
      </extLst>
    </cfRule>
  </conditionalFormatting>
  <conditionalFormatting sqref="I94:N95">
    <cfRule type="cellIs" dxfId="106" priority="14" stopIfTrue="1" operator="notBetween">
      <formula>1</formula>
      <formula>4</formula>
    </cfRule>
  </conditionalFormatting>
  <conditionalFormatting sqref="I95:N95">
    <cfRule type="dataBar" priority="15">
      <dataBar>
        <cfvo type="min"/>
        <cfvo type="num" val="4"/>
        <color rgb="FFFFC000"/>
      </dataBar>
      <extLst>
        <ext xmlns:x14="http://schemas.microsoft.com/office/spreadsheetml/2009/9/main" uri="{B025F937-C7B1-47D3-B67F-A62EFF666E3E}">
          <x14:id>{E41DE07D-63BC-42CE-9DC5-C4AADB3EDE1F}</x14:id>
        </ext>
      </extLst>
    </cfRule>
  </conditionalFormatting>
  <conditionalFormatting sqref="I98:N98">
    <cfRule type="dataBar" priority="12">
      <dataBar>
        <cfvo type="min"/>
        <cfvo type="num" val="4"/>
        <color rgb="FFFFC000"/>
      </dataBar>
      <extLst>
        <ext xmlns:x14="http://schemas.microsoft.com/office/spreadsheetml/2009/9/main" uri="{B025F937-C7B1-47D3-B67F-A62EFF666E3E}">
          <x14:id>{F11D9087-F61B-44AB-A8AC-79DAA6843418}</x14:id>
        </ext>
      </extLst>
    </cfRule>
  </conditionalFormatting>
  <conditionalFormatting sqref="I98:N105">
    <cfRule type="cellIs" dxfId="105" priority="11" stopIfTrue="1" operator="notBetween">
      <formula>1</formula>
      <formula>4</formula>
    </cfRule>
  </conditionalFormatting>
  <conditionalFormatting sqref="I106:N106">
    <cfRule type="dataBar" priority="9">
      <dataBar>
        <cfvo type="min"/>
        <cfvo type="num" val="4"/>
        <color rgb="FFFFC000"/>
      </dataBar>
      <extLst>
        <ext xmlns:x14="http://schemas.microsoft.com/office/spreadsheetml/2009/9/main" uri="{B025F937-C7B1-47D3-B67F-A62EFF666E3E}">
          <x14:id>{96721975-CDD2-4502-AB05-8F23B05BF476}</x14:id>
        </ext>
      </extLst>
    </cfRule>
  </conditionalFormatting>
  <conditionalFormatting sqref="I106:N111">
    <cfRule type="cellIs" dxfId="104" priority="8" stopIfTrue="1" operator="notBetween">
      <formula>1</formula>
      <formula>4</formula>
    </cfRule>
  </conditionalFormatting>
  <conditionalFormatting sqref="I107:N111">
    <cfRule type="dataBar" priority="68">
      <dataBar>
        <cfvo type="min"/>
        <cfvo type="num" val="4"/>
        <color rgb="FFFFC000"/>
      </dataBar>
      <extLst>
        <ext xmlns:x14="http://schemas.microsoft.com/office/spreadsheetml/2009/9/main" uri="{B025F937-C7B1-47D3-B67F-A62EFF666E3E}">
          <x14:id>{63AF278D-6551-4FB1-B290-744D45B9329C}</x14:id>
        </ext>
      </extLst>
    </cfRule>
  </conditionalFormatting>
  <conditionalFormatting sqref="I66:O71">
    <cfRule type="containsBlanks" dxfId="103" priority="48">
      <formula>LEN(TRIM(I66))=0</formula>
    </cfRule>
  </conditionalFormatting>
  <conditionalFormatting sqref="I74:O81 I88:O93 I83 K83:O83 I84:O85 J86:O86 G6:L13 G15:L22 G24:L32 G37:L44 G46:L53 G55:L62 O86:O87">
    <cfRule type="containsBlanks" dxfId="102" priority="54">
      <formula>LEN(TRIM(G6))=0</formula>
    </cfRule>
  </conditionalFormatting>
  <conditionalFormatting sqref="I82:O82">
    <cfRule type="containsBlanks" dxfId="101" priority="22">
      <formula>LEN(TRIM(I82))=0</formula>
    </cfRule>
  </conditionalFormatting>
  <conditionalFormatting sqref="I94:O95">
    <cfRule type="containsBlanks" dxfId="100" priority="13">
      <formula>LEN(TRIM(I94))=0</formula>
    </cfRule>
  </conditionalFormatting>
  <conditionalFormatting sqref="I98:O98">
    <cfRule type="containsBlanks" dxfId="99" priority="10">
      <formula>LEN(TRIM(I98))=0</formula>
    </cfRule>
  </conditionalFormatting>
  <conditionalFormatting sqref="I99:O105">
    <cfRule type="containsBlanks" dxfId="98" priority="61">
      <formula>LEN(TRIM(I99))=0</formula>
    </cfRule>
  </conditionalFormatting>
  <conditionalFormatting sqref="I106:O111">
    <cfRule type="containsBlanks" dxfId="97" priority="7">
      <formula>LEN(TRIM(I106))=0</formula>
    </cfRule>
  </conditionalFormatting>
  <conditionalFormatting sqref="J83">
    <cfRule type="containsBlanks" dxfId="96" priority="4">
      <formula>LEN(TRIM(J83))=0</formula>
    </cfRule>
    <cfRule type="dataBar" priority="6">
      <dataBar>
        <cfvo type="min"/>
        <cfvo type="num" val="4"/>
        <color rgb="FFFFC000"/>
      </dataBar>
      <extLst>
        <ext xmlns:x14="http://schemas.microsoft.com/office/spreadsheetml/2009/9/main" uri="{B025F937-C7B1-47D3-B67F-A62EFF666E3E}">
          <x14:id>{14B3B793-97DA-44DC-AA59-3D827B7767A8}</x14:id>
        </ext>
      </extLst>
    </cfRule>
  </conditionalFormatting>
  <conditionalFormatting sqref="L6:L13 L15:L22 L24:L32">
    <cfRule type="dataBar" priority="65">
      <dataBar>
        <cfvo type="min"/>
        <cfvo type="max"/>
        <color rgb="FF3FCDFF"/>
      </dataBar>
      <extLst>
        <ext xmlns:x14="http://schemas.microsoft.com/office/spreadsheetml/2009/9/main" uri="{B025F937-C7B1-47D3-B67F-A62EFF666E3E}">
          <x14:id>{F1D4216C-C9FF-4C0F-BA74-EC395E595ED5}</x14:id>
        </ext>
      </extLst>
    </cfRule>
  </conditionalFormatting>
  <conditionalFormatting sqref="L37:L44 L46:L53 L55:L62">
    <cfRule type="dataBar" priority="55">
      <dataBar>
        <cfvo type="min"/>
        <cfvo type="max"/>
        <color rgb="FF3FCDFF"/>
      </dataBar>
      <extLst>
        <ext xmlns:x14="http://schemas.microsoft.com/office/spreadsheetml/2009/9/main" uri="{B025F937-C7B1-47D3-B67F-A62EFF666E3E}">
          <x14:id>{456EBB81-E99B-46FC-9949-767AFA9F3E04}</x14:id>
        </ext>
      </extLst>
    </cfRule>
  </conditionalFormatting>
  <conditionalFormatting sqref="M6:M13 M15:M22 M24:M32 P74:P95 P98:P111">
    <cfRule type="containsText" dxfId="95" priority="62" operator="containsText" text="Actual TC">
      <formula>NOT(ISERROR(SEARCH("Actual TC",M6)))</formula>
    </cfRule>
  </conditionalFormatting>
  <conditionalFormatting sqref="M37:M44">
    <cfRule type="containsText" dxfId="94" priority="57" operator="containsText" text="Actual TC">
      <formula>NOT(ISERROR(SEARCH("Actual TC",M37)))</formula>
    </cfRule>
  </conditionalFormatting>
  <conditionalFormatting sqref="M46:M53">
    <cfRule type="containsText" dxfId="93" priority="26" operator="containsText" text="Actual TC">
      <formula>NOT(ISERROR(SEARCH("Actual TC",M46)))</formula>
    </cfRule>
  </conditionalFormatting>
  <conditionalFormatting sqref="M55:M62">
    <cfRule type="containsText" dxfId="92" priority="25" operator="containsText" text="Actual TC">
      <formula>NOT(ISERROR(SEARCH("Actual TC",M55)))</formula>
    </cfRule>
  </conditionalFormatting>
  <conditionalFormatting sqref="O66:O71">
    <cfRule type="dataBar" priority="49">
      <dataBar>
        <cfvo type="min"/>
        <cfvo type="max"/>
        <color rgb="FF3FCDFF"/>
      </dataBar>
      <extLst>
        <ext xmlns:x14="http://schemas.microsoft.com/office/spreadsheetml/2009/9/main" uri="{B025F937-C7B1-47D3-B67F-A62EFF666E3E}">
          <x14:id>{E76B985C-F8AB-4C78-A7B7-935AA2595120}</x14:id>
        </ext>
      </extLst>
    </cfRule>
  </conditionalFormatting>
  <conditionalFormatting sqref="O98:O111 O74:O95">
    <cfRule type="dataBar" priority="7062">
      <dataBar>
        <cfvo type="min"/>
        <cfvo type="max"/>
        <color rgb="FF3FCDFF"/>
      </dataBar>
      <extLst>
        <ext xmlns:x14="http://schemas.microsoft.com/office/spreadsheetml/2009/9/main" uri="{B025F937-C7B1-47D3-B67F-A62EFF666E3E}">
          <x14:id>{CD7F0C31-ED61-44FF-B686-52F2EDCD8991}</x14:id>
        </ext>
      </extLst>
    </cfRule>
  </conditionalFormatting>
  <conditionalFormatting sqref="P66:P71">
    <cfRule type="containsText" dxfId="91" priority="51" operator="containsText" text="Actual TC">
      <formula>NOT(ISERROR(SEARCH("Actual TC",P66)))</formula>
    </cfRule>
  </conditionalFormatting>
  <hyperlinks>
    <hyperlink ref="H78" r:id="rId1" display="https://doi.org/10.1016/j.resconrec.2023.107389" xr:uid="{EBB46BC3-E32D-4856-87C0-507F496CDDCA}"/>
    <hyperlink ref="H80" r:id="rId2" display="https://doi.org/10.1016/j.resconrec.2023.107389" xr:uid="{7724DFB2-8084-4E36-B02A-550522E673EA}"/>
    <hyperlink ref="H81" r:id="rId3" display="https://doi.org/10.1016/j.resconrec.2023.107389" xr:uid="{44FC5FA4-6753-4640-ACAB-E79234432100}"/>
    <hyperlink ref="H79" r:id="rId4" display="https://doi.org/10.1016/j.resconrec.2023.107389" xr:uid="{9722A920-0406-4E92-AF66-8F6C41D0F478}"/>
  </hyperlinks>
  <pageMargins left="0.7" right="0.7" top="0.75" bottom="0.75" header="0.3" footer="0.3"/>
  <pageSetup orientation="portrait" r:id="rId5"/>
  <extLst>
    <ext xmlns:x14="http://schemas.microsoft.com/office/spreadsheetml/2009/9/main" uri="{78C0D931-6437-407d-A8EE-F0AAD7539E65}">
      <x14:conditionalFormattings>
        <x14:conditionalFormatting xmlns:xm="http://schemas.microsoft.com/office/excel/2006/main">
          <x14:cfRule type="dataBar" id="{DCB540DE-36C9-4332-BAD4-CAB1F9DBAEDD}">
            <x14:dataBar minLength="0" maxLength="100" gradient="0">
              <x14:cfvo type="autoMin"/>
              <x14:cfvo type="num">
                <xm:f>4</xm:f>
              </x14:cfvo>
              <x14:negativeFillColor rgb="FFFF0000"/>
              <x14:axisColor rgb="FF000000"/>
            </x14:dataBar>
          </x14:cfRule>
          <xm:sqref>G6:K13 G15:K22 G24:K32</xm:sqref>
        </x14:conditionalFormatting>
        <x14:conditionalFormatting xmlns:xm="http://schemas.microsoft.com/office/excel/2006/main">
          <x14:cfRule type="dataBar" id="{ADB92FAB-58BB-4A44-BD27-F6CCA440A7CD}">
            <x14:dataBar minLength="0" maxLength="100" gradient="0">
              <x14:cfvo type="autoMin"/>
              <x14:cfvo type="num">
                <xm:f>4</xm:f>
              </x14:cfvo>
              <x14:negativeFillColor rgb="FFFF0000"/>
              <x14:axisColor rgb="FF000000"/>
            </x14:dataBar>
          </x14:cfRule>
          <xm:sqref>G37:K44 G46:K53 G55:K62</xm:sqref>
        </x14:conditionalFormatting>
        <x14:conditionalFormatting xmlns:xm="http://schemas.microsoft.com/office/excel/2006/main">
          <x14:cfRule type="dataBar" id="{30155963-B8E7-438D-B598-5CEE74DA6116}">
            <x14:dataBar minLength="0" maxLength="100" gradient="0">
              <x14:cfvo type="autoMin"/>
              <x14:cfvo type="num">
                <xm:f>4</xm:f>
              </x14:cfvo>
              <x14:negativeFillColor rgb="FFFF0000"/>
              <x14:axisColor rgb="FF000000"/>
            </x14:dataBar>
          </x14:cfRule>
          <xm:sqref>I86</xm:sqref>
        </x14:conditionalFormatting>
        <x14:conditionalFormatting xmlns:xm="http://schemas.microsoft.com/office/excel/2006/main">
          <x14:cfRule type="dataBar" id="{56B0826E-DB05-4F46-9EA0-83C8C7A7759C}">
            <x14:dataBar minLength="0" maxLength="100" gradient="0">
              <x14:cfvo type="autoMin"/>
              <x14:cfvo type="num">
                <xm:f>4</xm:f>
              </x14:cfvo>
              <x14:negativeFillColor rgb="FFFF0000"/>
              <x14:axisColor rgb="FF000000"/>
            </x14:dataBar>
          </x14:cfRule>
          <xm:sqref>I66:N71</xm:sqref>
        </x14:conditionalFormatting>
        <x14:conditionalFormatting xmlns:xm="http://schemas.microsoft.com/office/excel/2006/main">
          <x14:cfRule type="dataBar" id="{152975D8-AA7B-48FF-96C8-A3635D86F63F}">
            <x14:dataBar minLength="0" maxLength="100" gradient="0">
              <x14:cfvo type="autoMin"/>
              <x14:cfvo type="num">
                <xm:f>4</xm:f>
              </x14:cfvo>
              <x14:negativeFillColor rgb="FFFF0000"/>
              <x14:axisColor rgb="FF000000"/>
            </x14:dataBar>
          </x14:cfRule>
          <xm:sqref>I74:N81 I84:N85 I88:N89 I83 K83:N83 J86:N86</xm:sqref>
        </x14:conditionalFormatting>
        <x14:conditionalFormatting xmlns:xm="http://schemas.microsoft.com/office/excel/2006/main">
          <x14:cfRule type="dataBar" id="{CD33A977-1C24-4834-9920-1C263E4A3C54}">
            <x14:dataBar minLength="0" maxLength="100" gradient="0">
              <x14:cfvo type="autoMin"/>
              <x14:cfvo type="num">
                <xm:f>4</xm:f>
              </x14:cfvo>
              <x14:negativeFillColor rgb="FFFF0000"/>
              <x14:axisColor rgb="FF000000"/>
            </x14:dataBar>
          </x14:cfRule>
          <xm:sqref>I82:N82</xm:sqref>
        </x14:conditionalFormatting>
        <x14:conditionalFormatting xmlns:xm="http://schemas.microsoft.com/office/excel/2006/main">
          <x14:cfRule type="dataBar" id="{9612EF93-58C4-4663-9A0C-7E810B1E0D57}">
            <x14:dataBar minLength="0" maxLength="100" gradient="0">
              <x14:cfvo type="autoMin"/>
              <x14:cfvo type="num">
                <xm:f>4</xm:f>
              </x14:cfvo>
              <x14:negativeFillColor rgb="FFFF0000"/>
              <x14:axisColor rgb="FF000000"/>
            </x14:dataBar>
          </x14:cfRule>
          <xm:sqref>I87:N87</xm:sqref>
        </x14:conditionalFormatting>
        <x14:conditionalFormatting xmlns:xm="http://schemas.microsoft.com/office/excel/2006/main">
          <x14:cfRule type="dataBar" id="{6B8C1DD6-10C5-4D14-8A53-7C18EAC20BAD}">
            <x14:dataBar minLength="0" maxLength="100" gradient="0">
              <x14:cfvo type="autoMin"/>
              <x14:cfvo type="num">
                <xm:f>4</xm:f>
              </x14:cfvo>
              <x14:negativeFillColor rgb="FFFF0000"/>
              <x14:axisColor rgb="FF000000"/>
            </x14:dataBar>
          </x14:cfRule>
          <xm:sqref>I90:N90 I92:N92 I99:N105</xm:sqref>
        </x14:conditionalFormatting>
        <x14:conditionalFormatting xmlns:xm="http://schemas.microsoft.com/office/excel/2006/main">
          <x14:cfRule type="dataBar" id="{711D344D-A5F7-440B-AF92-3C409F3D22EA}">
            <x14:dataBar minLength="0" maxLength="100" gradient="0">
              <x14:cfvo type="autoMin"/>
              <x14:cfvo type="num">
                <xm:f>4</xm:f>
              </x14:cfvo>
              <x14:negativeFillColor rgb="FFFF0000"/>
              <x14:axisColor rgb="FF000000"/>
            </x14:dataBar>
          </x14:cfRule>
          <xm:sqref>I91:N91</xm:sqref>
        </x14:conditionalFormatting>
        <x14:conditionalFormatting xmlns:xm="http://schemas.microsoft.com/office/excel/2006/main">
          <x14:cfRule type="dataBar" id="{27A81EB9-B538-4A61-9CAF-D128D989E8C2}">
            <x14:dataBar minLength="0" maxLength="100" gradient="0">
              <x14:cfvo type="autoMin"/>
              <x14:cfvo type="num">
                <xm:f>4</xm:f>
              </x14:cfvo>
              <x14:negativeFillColor rgb="FFFF0000"/>
              <x14:axisColor rgb="FF000000"/>
            </x14:dataBar>
          </x14:cfRule>
          <xm:sqref>I93:N93</xm:sqref>
        </x14:conditionalFormatting>
        <x14:conditionalFormatting xmlns:xm="http://schemas.microsoft.com/office/excel/2006/main">
          <x14:cfRule type="dataBar" id="{C9F98A99-3F58-482A-88AB-05F7BEBC7614}">
            <x14:dataBar minLength="0" maxLength="100" gradient="0">
              <x14:cfvo type="autoMin"/>
              <x14:cfvo type="num">
                <xm:f>4</xm:f>
              </x14:cfvo>
              <x14:negativeFillColor rgb="FFFF0000"/>
              <x14:axisColor rgb="FF000000"/>
            </x14:dataBar>
          </x14:cfRule>
          <xm:sqref>I94:N94</xm:sqref>
        </x14:conditionalFormatting>
        <x14:conditionalFormatting xmlns:xm="http://schemas.microsoft.com/office/excel/2006/main">
          <x14:cfRule type="dataBar" id="{E41DE07D-63BC-42CE-9DC5-C4AADB3EDE1F}">
            <x14:dataBar minLength="0" maxLength="100" gradient="0">
              <x14:cfvo type="autoMin"/>
              <x14:cfvo type="num">
                <xm:f>4</xm:f>
              </x14:cfvo>
              <x14:negativeFillColor rgb="FFFF0000"/>
              <x14:axisColor rgb="FF000000"/>
            </x14:dataBar>
          </x14:cfRule>
          <xm:sqref>I95:N95</xm:sqref>
        </x14:conditionalFormatting>
        <x14:conditionalFormatting xmlns:xm="http://schemas.microsoft.com/office/excel/2006/main">
          <x14:cfRule type="dataBar" id="{F11D9087-F61B-44AB-A8AC-79DAA6843418}">
            <x14:dataBar minLength="0" maxLength="100" gradient="0">
              <x14:cfvo type="autoMin"/>
              <x14:cfvo type="num">
                <xm:f>4</xm:f>
              </x14:cfvo>
              <x14:negativeFillColor rgb="FFFF0000"/>
              <x14:axisColor rgb="FF000000"/>
            </x14:dataBar>
          </x14:cfRule>
          <xm:sqref>I98:N98</xm:sqref>
        </x14:conditionalFormatting>
        <x14:conditionalFormatting xmlns:xm="http://schemas.microsoft.com/office/excel/2006/main">
          <x14:cfRule type="dataBar" id="{96721975-CDD2-4502-AB05-8F23B05BF476}">
            <x14:dataBar minLength="0" maxLength="100" gradient="0">
              <x14:cfvo type="autoMin"/>
              <x14:cfvo type="num">
                <xm:f>4</xm:f>
              </x14:cfvo>
              <x14:negativeFillColor rgb="FFFF0000"/>
              <x14:axisColor rgb="FF000000"/>
            </x14:dataBar>
          </x14:cfRule>
          <xm:sqref>I106:N106</xm:sqref>
        </x14:conditionalFormatting>
        <x14:conditionalFormatting xmlns:xm="http://schemas.microsoft.com/office/excel/2006/main">
          <x14:cfRule type="dataBar" id="{63AF278D-6551-4FB1-B290-744D45B9329C}">
            <x14:dataBar minLength="0" maxLength="100" gradient="0">
              <x14:cfvo type="autoMin"/>
              <x14:cfvo type="num">
                <xm:f>4</xm:f>
              </x14:cfvo>
              <x14:negativeFillColor rgb="FFFF0000"/>
              <x14:axisColor rgb="FF000000"/>
            </x14:dataBar>
          </x14:cfRule>
          <xm:sqref>I107:N111</xm:sqref>
        </x14:conditionalFormatting>
        <x14:conditionalFormatting xmlns:xm="http://schemas.microsoft.com/office/excel/2006/main">
          <x14:cfRule type="dataBar" id="{14B3B793-97DA-44DC-AA59-3D827B7767A8}">
            <x14:dataBar minLength="0" maxLength="100" gradient="0">
              <x14:cfvo type="autoMin"/>
              <x14:cfvo type="num">
                <xm:f>4</xm:f>
              </x14:cfvo>
              <x14:negativeFillColor rgb="FFFF0000"/>
              <x14:axisColor rgb="FF000000"/>
            </x14:dataBar>
          </x14:cfRule>
          <xm:sqref>J83</xm:sqref>
        </x14:conditionalFormatting>
        <x14:conditionalFormatting xmlns:xm="http://schemas.microsoft.com/office/excel/2006/main">
          <x14:cfRule type="dataBar" id="{F1D4216C-C9FF-4C0F-BA74-EC395E595ED5}">
            <x14:dataBar minLength="0" maxLength="100" gradient="0">
              <x14:cfvo type="autoMin"/>
              <x14:cfvo type="autoMax"/>
              <x14:negativeFillColor rgb="FFFF0000"/>
              <x14:axisColor rgb="FF000000"/>
            </x14:dataBar>
          </x14:cfRule>
          <xm:sqref>L6:L13 L15:L22 L24:L32</xm:sqref>
        </x14:conditionalFormatting>
        <x14:conditionalFormatting xmlns:xm="http://schemas.microsoft.com/office/excel/2006/main">
          <x14:cfRule type="dataBar" id="{456EBB81-E99B-46FC-9949-767AFA9F3E04}">
            <x14:dataBar minLength="0" maxLength="100" gradient="0">
              <x14:cfvo type="autoMin"/>
              <x14:cfvo type="autoMax"/>
              <x14:negativeFillColor rgb="FFFF0000"/>
              <x14:axisColor rgb="FF000000"/>
            </x14:dataBar>
          </x14:cfRule>
          <xm:sqref>L37:L44 L46:L53 L55:L62</xm:sqref>
        </x14:conditionalFormatting>
        <x14:conditionalFormatting xmlns:xm="http://schemas.microsoft.com/office/excel/2006/main">
          <x14:cfRule type="dataBar" id="{E76B985C-F8AB-4C78-A7B7-935AA2595120}">
            <x14:dataBar minLength="0" maxLength="100" gradient="0">
              <x14:cfvo type="autoMin"/>
              <x14:cfvo type="autoMax"/>
              <x14:negativeFillColor rgb="FFFF0000"/>
              <x14:axisColor rgb="FF000000"/>
            </x14:dataBar>
          </x14:cfRule>
          <xm:sqref>O66:O71</xm:sqref>
        </x14:conditionalFormatting>
        <x14:conditionalFormatting xmlns:xm="http://schemas.microsoft.com/office/excel/2006/main">
          <x14:cfRule type="dataBar" id="{CD7F0C31-ED61-44FF-B686-52F2EDCD8991}">
            <x14:dataBar minLength="0" maxLength="100" gradient="0">
              <x14:cfvo type="autoMin"/>
              <x14:cfvo type="autoMax"/>
              <x14:negativeFillColor rgb="FFFF0000"/>
              <x14:axisColor rgb="FF000000"/>
            </x14:dataBar>
          </x14:cfRule>
          <xm:sqref>O98:O111 O74:O95</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38EDF-3B93-4267-BDF4-561D15195B80}">
  <sheetPr>
    <tabColor theme="8"/>
  </sheetPr>
  <dimension ref="A1:AGJ323"/>
  <sheetViews>
    <sheetView topLeftCell="A211" zoomScale="85" zoomScaleNormal="85" workbookViewId="0">
      <selection activeCell="A142" sqref="A142:P144"/>
    </sheetView>
  </sheetViews>
  <sheetFormatPr defaultRowHeight="14.4"/>
  <cols>
    <col min="1" max="1" width="55.6640625" customWidth="1"/>
    <col min="2" max="2" width="45.33203125" customWidth="1"/>
    <col min="3" max="5" width="15.6640625" customWidth="1"/>
    <col min="6" max="6" width="10.6640625" style="6" customWidth="1"/>
    <col min="7" max="7" width="25.6640625" customWidth="1"/>
    <col min="8" max="15" width="10.6640625" hidden="1" customWidth="1"/>
    <col min="16" max="16" width="171.6640625" customWidth="1"/>
    <col min="18" max="18" width="14.109375" bestFit="1" customWidth="1"/>
  </cols>
  <sheetData>
    <row r="1" spans="1:19" s="6" customFormat="1" ht="30" customHeight="1">
      <c r="A1" s="1038" t="s">
        <v>780</v>
      </c>
      <c r="B1" s="1038"/>
      <c r="C1" s="1038"/>
      <c r="D1" s="1038"/>
      <c r="E1" s="1038"/>
      <c r="F1" s="1038"/>
      <c r="G1" s="1038"/>
      <c r="H1" s="1038"/>
      <c r="I1" s="1038"/>
      <c r="J1" s="1038"/>
      <c r="K1" s="1038"/>
      <c r="L1" s="1038"/>
      <c r="M1" s="1038"/>
      <c r="N1" s="1038"/>
      <c r="O1" s="1038"/>
      <c r="P1" s="1038"/>
      <c r="Q1" s="1038"/>
      <c r="R1" s="1038"/>
      <c r="S1" s="1038"/>
    </row>
    <row r="2" spans="1:19">
      <c r="A2" s="313" t="s">
        <v>781</v>
      </c>
      <c r="B2" s="313" t="s">
        <v>131</v>
      </c>
      <c r="C2" s="313" t="s">
        <v>101</v>
      </c>
      <c r="D2" s="313" t="s">
        <v>782</v>
      </c>
      <c r="E2" s="1073" t="s">
        <v>104</v>
      </c>
      <c r="F2" s="1074"/>
      <c r="G2" s="1074"/>
      <c r="H2" s="1074"/>
      <c r="I2" s="1074"/>
      <c r="J2" s="1074"/>
      <c r="K2" s="1074"/>
      <c r="L2" s="1074"/>
      <c r="M2" s="1074"/>
      <c r="N2" s="1074"/>
      <c r="O2" s="1074"/>
    </row>
    <row r="3" spans="1:19">
      <c r="A3" s="117" t="s">
        <v>783</v>
      </c>
      <c r="B3" s="117" t="s">
        <v>180</v>
      </c>
      <c r="C3" s="117">
        <v>2014</v>
      </c>
      <c r="D3" s="312">
        <v>161.19999999999999</v>
      </c>
      <c r="E3" s="1072" t="s">
        <v>784</v>
      </c>
      <c r="F3" s="1072"/>
      <c r="G3" s="1072"/>
      <c r="H3" s="1095" t="s">
        <v>785</v>
      </c>
      <c r="I3" s="1095"/>
      <c r="J3" s="1095"/>
      <c r="K3" s="1095"/>
      <c r="L3" s="1095"/>
      <c r="M3" s="1095"/>
      <c r="N3" s="1095"/>
      <c r="O3" s="1095"/>
    </row>
    <row r="4" spans="1:19">
      <c r="A4" s="117" t="s">
        <v>783</v>
      </c>
      <c r="B4" s="117" t="s">
        <v>180</v>
      </c>
      <c r="C4" s="117">
        <v>2015</v>
      </c>
      <c r="D4" s="312">
        <v>138.19999999999999</v>
      </c>
      <c r="E4" s="1072" t="s">
        <v>786</v>
      </c>
      <c r="F4" s="1072"/>
      <c r="G4" s="1072"/>
      <c r="H4" s="1075" t="s">
        <v>787</v>
      </c>
      <c r="I4" s="1075"/>
      <c r="J4" s="1075"/>
      <c r="K4" s="1075"/>
      <c r="L4" s="1075"/>
      <c r="M4" s="1075"/>
      <c r="N4" s="1075"/>
      <c r="O4" s="1075"/>
    </row>
    <row r="5" spans="1:19">
      <c r="A5" s="117" t="s">
        <v>783</v>
      </c>
      <c r="B5" s="117" t="s">
        <v>180</v>
      </c>
      <c r="C5" s="117">
        <v>2016</v>
      </c>
      <c r="D5" s="117">
        <v>110</v>
      </c>
      <c r="E5" s="1072" t="s">
        <v>786</v>
      </c>
      <c r="F5" s="1072"/>
      <c r="G5" s="1072"/>
      <c r="H5" s="1075" t="s">
        <v>787</v>
      </c>
      <c r="I5" s="1075"/>
      <c r="J5" s="1075"/>
      <c r="K5" s="1075"/>
      <c r="L5" s="1075"/>
      <c r="M5" s="1075"/>
      <c r="N5" s="1075"/>
      <c r="O5" s="1075"/>
    </row>
    <row r="6" spans="1:19">
      <c r="A6" s="117" t="s">
        <v>783</v>
      </c>
      <c r="B6" s="117" t="s">
        <v>180</v>
      </c>
      <c r="C6" s="117">
        <v>2017</v>
      </c>
      <c r="D6" s="117">
        <v>109.1</v>
      </c>
      <c r="E6" s="1072" t="s">
        <v>788</v>
      </c>
      <c r="F6" s="1072"/>
      <c r="G6" s="1072"/>
      <c r="H6" s="1075" t="s">
        <v>789</v>
      </c>
      <c r="I6" s="1075"/>
      <c r="J6" s="1075"/>
      <c r="K6" s="1075"/>
      <c r="L6" s="1075"/>
      <c r="M6" s="1075"/>
      <c r="N6" s="1075"/>
      <c r="O6" s="1075"/>
    </row>
    <row r="7" spans="1:19">
      <c r="A7" s="117" t="s">
        <v>783</v>
      </c>
      <c r="B7" s="117" t="s">
        <v>180</v>
      </c>
      <c r="C7" s="117">
        <v>2018</v>
      </c>
      <c r="D7" s="117">
        <v>108.2</v>
      </c>
      <c r="E7" s="1072" t="s">
        <v>788</v>
      </c>
      <c r="F7" s="1072"/>
      <c r="G7" s="1072"/>
      <c r="H7" s="1075" t="s">
        <v>789</v>
      </c>
      <c r="I7" s="1075"/>
      <c r="J7" s="1075"/>
      <c r="K7" s="1075"/>
      <c r="L7" s="1075"/>
      <c r="M7" s="1075"/>
      <c r="N7" s="1075"/>
      <c r="O7" s="1075"/>
    </row>
    <row r="8" spans="1:19">
      <c r="A8" s="117" t="s">
        <v>783</v>
      </c>
      <c r="B8" s="117" t="s">
        <v>180</v>
      </c>
      <c r="C8" s="117">
        <v>2019</v>
      </c>
      <c r="D8" s="117">
        <v>106.1</v>
      </c>
      <c r="E8" s="1072" t="s">
        <v>790</v>
      </c>
      <c r="F8" s="1072"/>
      <c r="G8" s="1072"/>
      <c r="H8" s="1075" t="s">
        <v>791</v>
      </c>
      <c r="I8" s="1075"/>
      <c r="J8" s="1075"/>
      <c r="K8" s="1075"/>
      <c r="L8" s="1075"/>
      <c r="M8" s="1075"/>
      <c r="N8" s="1075"/>
      <c r="O8" s="1075"/>
    </row>
    <row r="9" spans="1:19">
      <c r="A9" s="117" t="s">
        <v>783</v>
      </c>
      <c r="B9" s="117" t="s">
        <v>180</v>
      </c>
      <c r="C9" s="117">
        <v>2020</v>
      </c>
      <c r="D9" s="312">
        <v>112</v>
      </c>
      <c r="E9" s="1072" t="s">
        <v>792</v>
      </c>
      <c r="F9" s="1072"/>
      <c r="G9" s="1072"/>
      <c r="H9" s="1075" t="s">
        <v>793</v>
      </c>
      <c r="I9" s="1075"/>
      <c r="J9" s="1075"/>
      <c r="K9" s="1075"/>
      <c r="L9" s="1075"/>
      <c r="M9" s="1075"/>
      <c r="N9" s="1075"/>
      <c r="O9" s="1075"/>
    </row>
    <row r="10" spans="1:19">
      <c r="A10" s="117" t="s">
        <v>783</v>
      </c>
      <c r="B10" s="117" t="s">
        <v>180</v>
      </c>
      <c r="C10" s="117">
        <v>2021</v>
      </c>
      <c r="D10" s="117">
        <v>109.5</v>
      </c>
      <c r="E10" s="1072" t="s">
        <v>792</v>
      </c>
      <c r="F10" s="1072"/>
      <c r="G10" s="1072"/>
      <c r="H10" s="1075" t="s">
        <v>793</v>
      </c>
      <c r="I10" s="1075"/>
      <c r="J10" s="1075"/>
      <c r="K10" s="1075"/>
      <c r="L10" s="1075"/>
      <c r="M10" s="1075"/>
      <c r="N10" s="1075"/>
      <c r="O10" s="1075"/>
    </row>
    <row r="11" spans="1:19">
      <c r="A11" s="117" t="s">
        <v>783</v>
      </c>
      <c r="B11" s="117" t="s">
        <v>180</v>
      </c>
      <c r="C11" s="117">
        <v>2022</v>
      </c>
      <c r="D11" s="117">
        <v>98.2</v>
      </c>
      <c r="E11" s="1072" t="s">
        <v>792</v>
      </c>
      <c r="F11" s="1072"/>
      <c r="G11" s="1072"/>
      <c r="H11" s="1075" t="s">
        <v>793</v>
      </c>
      <c r="I11" s="1075"/>
      <c r="J11" s="1075"/>
      <c r="K11" s="1075"/>
      <c r="L11" s="1075"/>
      <c r="M11" s="1075"/>
      <c r="N11" s="1075"/>
      <c r="O11" s="1075"/>
    </row>
    <row r="12" spans="1:19">
      <c r="G12" s="334">
        <v>2015</v>
      </c>
      <c r="H12" s="334">
        <v>2016</v>
      </c>
      <c r="I12" s="334">
        <v>2017</v>
      </c>
      <c r="J12" s="334">
        <v>2018</v>
      </c>
      <c r="K12" s="334">
        <v>2019</v>
      </c>
      <c r="L12" s="334">
        <v>2020</v>
      </c>
      <c r="M12" s="334">
        <v>2021</v>
      </c>
      <c r="N12" s="334">
        <v>2022</v>
      </c>
    </row>
    <row r="13" spans="1:19" s="76" customFormat="1" ht="45" customHeight="1">
      <c r="A13" s="181" t="s">
        <v>129</v>
      </c>
      <c r="B13" s="181" t="s">
        <v>130</v>
      </c>
      <c r="C13" s="181" t="s">
        <v>794</v>
      </c>
      <c r="D13" s="1071" t="s">
        <v>104</v>
      </c>
      <c r="E13" s="1071"/>
      <c r="F13" s="181" t="s">
        <v>795</v>
      </c>
      <c r="G13" s="619" t="s">
        <v>782</v>
      </c>
      <c r="H13" s="619" t="s">
        <v>782</v>
      </c>
      <c r="I13" s="619" t="s">
        <v>782</v>
      </c>
      <c r="J13" s="619" t="s">
        <v>782</v>
      </c>
      <c r="K13" s="619" t="s">
        <v>782</v>
      </c>
      <c r="L13" s="619" t="s">
        <v>782</v>
      </c>
      <c r="M13" s="619" t="s">
        <v>782</v>
      </c>
      <c r="N13" s="619" t="s">
        <v>782</v>
      </c>
    </row>
    <row r="14" spans="1:19">
      <c r="A14" s="224" t="s">
        <v>783</v>
      </c>
      <c r="B14" s="224" t="s">
        <v>796</v>
      </c>
      <c r="C14" s="307">
        <v>0.48</v>
      </c>
      <c r="D14" s="1076" t="s">
        <v>797</v>
      </c>
      <c r="E14" s="1077"/>
      <c r="F14" s="117" t="s">
        <v>798</v>
      </c>
      <c r="G14" s="312">
        <f>$D$4*$C14</f>
        <v>66.335999999999999</v>
      </c>
      <c r="H14" s="312">
        <f>$D$5*$C14</f>
        <v>52.8</v>
      </c>
      <c r="I14" s="312">
        <f>$D$6*$C14</f>
        <v>52.367999999999995</v>
      </c>
      <c r="J14" s="312">
        <f>$D$7*$C14</f>
        <v>51.936</v>
      </c>
      <c r="K14" s="312">
        <f>$D$8*$C14</f>
        <v>50.927999999999997</v>
      </c>
      <c r="L14" s="312">
        <f>$D$9*$C14</f>
        <v>53.76</v>
      </c>
      <c r="M14" s="312">
        <f>$D$10*$C14</f>
        <v>52.559999999999995</v>
      </c>
      <c r="N14" s="312">
        <f>$D$11*$C14</f>
        <v>47.136000000000003</v>
      </c>
    </row>
    <row r="15" spans="1:19">
      <c r="A15" s="224" t="s">
        <v>783</v>
      </c>
      <c r="B15" s="224" t="s">
        <v>799</v>
      </c>
      <c r="C15" s="307">
        <v>0.24</v>
      </c>
      <c r="D15" s="1076" t="s">
        <v>797</v>
      </c>
      <c r="E15" s="1077"/>
      <c r="F15" s="117" t="s">
        <v>798</v>
      </c>
      <c r="G15" s="312">
        <f t="shared" ref="G15:G19" si="0">$D$4*$C15</f>
        <v>33.167999999999999</v>
      </c>
      <c r="H15" s="312">
        <f t="shared" ref="H15:H19" si="1">$D$5*$C15</f>
        <v>26.4</v>
      </c>
      <c r="I15" s="312">
        <f t="shared" ref="I15:I19" si="2">$D$6*$C15</f>
        <v>26.183999999999997</v>
      </c>
      <c r="J15" s="312">
        <f t="shared" ref="J15:J19" si="3">$D$7*$C15</f>
        <v>25.968</v>
      </c>
      <c r="K15" s="312">
        <f t="shared" ref="K15:K19" si="4">$D$8*$C15</f>
        <v>25.463999999999999</v>
      </c>
      <c r="L15" s="312">
        <f t="shared" ref="L15:L19" si="5">$D$9*$C15</f>
        <v>26.88</v>
      </c>
      <c r="M15" s="312">
        <f t="shared" ref="M15:M19" si="6">$D$10*$C15</f>
        <v>26.279999999999998</v>
      </c>
      <c r="N15" s="312">
        <f t="shared" ref="N15:N19" si="7">$D$11*$C15</f>
        <v>23.568000000000001</v>
      </c>
    </row>
    <row r="16" spans="1:19">
      <c r="A16" s="224" t="s">
        <v>783</v>
      </c>
      <c r="B16" s="224" t="s">
        <v>800</v>
      </c>
      <c r="C16" s="307">
        <v>0.09</v>
      </c>
      <c r="D16" s="1076" t="s">
        <v>797</v>
      </c>
      <c r="E16" s="1077"/>
      <c r="F16" s="117" t="s">
        <v>798</v>
      </c>
      <c r="G16" s="312">
        <f t="shared" si="0"/>
        <v>12.437999999999999</v>
      </c>
      <c r="H16" s="312">
        <f t="shared" si="1"/>
        <v>9.9</v>
      </c>
      <c r="I16" s="312">
        <f t="shared" si="2"/>
        <v>9.8189999999999991</v>
      </c>
      <c r="J16" s="312">
        <f t="shared" si="3"/>
        <v>9.7379999999999995</v>
      </c>
      <c r="K16" s="312">
        <f t="shared" si="4"/>
        <v>9.5489999999999995</v>
      </c>
      <c r="L16" s="312">
        <f t="shared" si="5"/>
        <v>10.08</v>
      </c>
      <c r="M16" s="312">
        <f t="shared" si="6"/>
        <v>9.8550000000000004</v>
      </c>
      <c r="N16" s="312">
        <f t="shared" si="7"/>
        <v>8.8379999999999992</v>
      </c>
    </row>
    <row r="17" spans="1:14">
      <c r="A17" s="310" t="s">
        <v>783</v>
      </c>
      <c r="B17" s="310" t="s">
        <v>801</v>
      </c>
      <c r="C17" s="617">
        <v>0.08</v>
      </c>
      <c r="D17" s="1084" t="s">
        <v>797</v>
      </c>
      <c r="E17" s="1085"/>
      <c r="F17" s="117" t="s">
        <v>802</v>
      </c>
      <c r="G17" s="312">
        <f t="shared" si="0"/>
        <v>11.055999999999999</v>
      </c>
      <c r="H17" s="312">
        <f t="shared" si="1"/>
        <v>8.8000000000000007</v>
      </c>
      <c r="I17" s="312">
        <f t="shared" si="2"/>
        <v>8.7279999999999998</v>
      </c>
      <c r="J17" s="312">
        <f t="shared" si="3"/>
        <v>8.6560000000000006</v>
      </c>
      <c r="K17" s="312">
        <f t="shared" si="4"/>
        <v>8.4879999999999995</v>
      </c>
      <c r="L17" s="312">
        <f t="shared" si="5"/>
        <v>8.9600000000000009</v>
      </c>
      <c r="M17" s="312">
        <f t="shared" si="6"/>
        <v>8.76</v>
      </c>
      <c r="N17" s="312">
        <f t="shared" si="7"/>
        <v>7.8560000000000008</v>
      </c>
    </row>
    <row r="18" spans="1:14">
      <c r="A18" s="310" t="s">
        <v>783</v>
      </c>
      <c r="B18" s="310" t="s">
        <v>803</v>
      </c>
      <c r="C18" s="617">
        <v>7.0000000000000007E-2</v>
      </c>
      <c r="D18" s="1084" t="s">
        <v>797</v>
      </c>
      <c r="E18" s="1085"/>
      <c r="F18" s="117" t="s">
        <v>802</v>
      </c>
      <c r="G18" s="312">
        <f t="shared" si="0"/>
        <v>9.6739999999999995</v>
      </c>
      <c r="H18" s="312">
        <f t="shared" si="1"/>
        <v>7.7000000000000011</v>
      </c>
      <c r="I18" s="312">
        <f t="shared" si="2"/>
        <v>7.6370000000000005</v>
      </c>
      <c r="J18" s="312">
        <f t="shared" si="3"/>
        <v>7.5740000000000007</v>
      </c>
      <c r="K18" s="312">
        <f t="shared" si="4"/>
        <v>7.4270000000000005</v>
      </c>
      <c r="L18" s="312">
        <f t="shared" si="5"/>
        <v>7.8400000000000007</v>
      </c>
      <c r="M18" s="312">
        <f t="shared" si="6"/>
        <v>7.6650000000000009</v>
      </c>
      <c r="N18" s="312">
        <f t="shared" si="7"/>
        <v>6.8740000000000006</v>
      </c>
    </row>
    <row r="19" spans="1:14">
      <c r="A19" s="310" t="s">
        <v>783</v>
      </c>
      <c r="B19" s="310" t="s">
        <v>804</v>
      </c>
      <c r="C19" s="617">
        <v>0.04</v>
      </c>
      <c r="D19" s="1084" t="s">
        <v>797</v>
      </c>
      <c r="E19" s="1085"/>
      <c r="F19" s="117" t="s">
        <v>802</v>
      </c>
      <c r="G19" s="312">
        <f t="shared" si="0"/>
        <v>5.5279999999999996</v>
      </c>
      <c r="H19" s="312">
        <f t="shared" si="1"/>
        <v>4.4000000000000004</v>
      </c>
      <c r="I19" s="312">
        <f t="shared" si="2"/>
        <v>4.3639999999999999</v>
      </c>
      <c r="J19" s="312">
        <f t="shared" si="3"/>
        <v>4.3280000000000003</v>
      </c>
      <c r="K19" s="312">
        <f t="shared" si="4"/>
        <v>4.2439999999999998</v>
      </c>
      <c r="L19" s="312">
        <f t="shared" si="5"/>
        <v>4.4800000000000004</v>
      </c>
      <c r="M19" s="312">
        <f t="shared" si="6"/>
        <v>4.38</v>
      </c>
      <c r="N19" s="312">
        <f t="shared" si="7"/>
        <v>3.9280000000000004</v>
      </c>
    </row>
    <row r="20" spans="1:14" s="76" customFormat="1" ht="45" customHeight="1">
      <c r="A20" s="181" t="s">
        <v>129</v>
      </c>
      <c r="B20" s="181" t="s">
        <v>130</v>
      </c>
      <c r="C20" s="181" t="s">
        <v>794</v>
      </c>
      <c r="D20" s="1071" t="s">
        <v>104</v>
      </c>
      <c r="E20" s="1071"/>
      <c r="F20" s="181" t="s">
        <v>795</v>
      </c>
      <c r="G20" s="620" t="s">
        <v>782</v>
      </c>
      <c r="H20" s="620" t="s">
        <v>782</v>
      </c>
      <c r="I20" s="620" t="s">
        <v>782</v>
      </c>
      <c r="J20" s="620" t="s">
        <v>782</v>
      </c>
      <c r="K20" s="620" t="s">
        <v>782</v>
      </c>
      <c r="L20" s="620" t="s">
        <v>782</v>
      </c>
      <c r="M20" s="620" t="s">
        <v>782</v>
      </c>
      <c r="N20" s="620" t="s">
        <v>782</v>
      </c>
    </row>
    <row r="21" spans="1:14">
      <c r="A21" s="224" t="s">
        <v>796</v>
      </c>
      <c r="B21" s="224" t="s">
        <v>411</v>
      </c>
      <c r="C21" s="616">
        <f>1/7</f>
        <v>0.14285714285714285</v>
      </c>
      <c r="D21" s="1078" t="s">
        <v>805</v>
      </c>
      <c r="E21" s="1079"/>
      <c r="F21" s="117" t="s">
        <v>798</v>
      </c>
      <c r="G21" s="130">
        <f>$C21*$G$14</f>
        <v>9.4765714285714271</v>
      </c>
      <c r="H21" s="130">
        <f>$C21*$H$14</f>
        <v>7.5428571428571418</v>
      </c>
      <c r="I21" s="130">
        <f t="shared" ref="I21:I27" si="8">$C21*$I$14</f>
        <v>7.4811428571428564</v>
      </c>
      <c r="J21" s="130">
        <f t="shared" ref="J21:J27" si="9">$C21*$J$14</f>
        <v>7.419428571428571</v>
      </c>
      <c r="K21" s="130">
        <f t="shared" ref="K21:K27" si="10">$C21*$K$14</f>
        <v>7.2754285714285709</v>
      </c>
      <c r="L21" s="130">
        <f t="shared" ref="L21:L27" si="11">$C21*$L$14</f>
        <v>7.68</v>
      </c>
      <c r="M21" s="130">
        <f t="shared" ref="M21:M27" si="12">$C21*$M$14</f>
        <v>7.5085714285714271</v>
      </c>
      <c r="N21" s="130">
        <f t="shared" ref="N21:N27" si="13">$C21*$N$14</f>
        <v>6.733714285714286</v>
      </c>
    </row>
    <row r="22" spans="1:14">
      <c r="A22" s="224" t="s">
        <v>796</v>
      </c>
      <c r="B22" s="224" t="s">
        <v>413</v>
      </c>
      <c r="C22" s="616">
        <f t="shared" ref="C22:C27" si="14">1/7</f>
        <v>0.14285714285714285</v>
      </c>
      <c r="D22" s="1080"/>
      <c r="E22" s="1081"/>
      <c r="F22" s="117" t="s">
        <v>798</v>
      </c>
      <c r="G22" s="130">
        <f t="shared" ref="G22:G27" si="15">$C22*$G$14</f>
        <v>9.4765714285714271</v>
      </c>
      <c r="H22" s="130">
        <f t="shared" ref="H22:H27" si="16">$C22*$H$14</f>
        <v>7.5428571428571418</v>
      </c>
      <c r="I22" s="130">
        <f t="shared" si="8"/>
        <v>7.4811428571428564</v>
      </c>
      <c r="J22" s="130">
        <f t="shared" si="9"/>
        <v>7.419428571428571</v>
      </c>
      <c r="K22" s="130">
        <f t="shared" si="10"/>
        <v>7.2754285714285709</v>
      </c>
      <c r="L22" s="130">
        <f t="shared" si="11"/>
        <v>7.68</v>
      </c>
      <c r="M22" s="130">
        <f t="shared" si="12"/>
        <v>7.5085714285714271</v>
      </c>
      <c r="N22" s="130">
        <f t="shared" si="13"/>
        <v>6.733714285714286</v>
      </c>
    </row>
    <row r="23" spans="1:14">
      <c r="A23" s="224" t="s">
        <v>796</v>
      </c>
      <c r="B23" s="224" t="s">
        <v>414</v>
      </c>
      <c r="C23" s="616">
        <f t="shared" si="14"/>
        <v>0.14285714285714285</v>
      </c>
      <c r="D23" s="1080"/>
      <c r="E23" s="1081"/>
      <c r="F23" s="117" t="s">
        <v>798</v>
      </c>
      <c r="G23" s="130">
        <f t="shared" si="15"/>
        <v>9.4765714285714271</v>
      </c>
      <c r="H23" s="130">
        <f t="shared" si="16"/>
        <v>7.5428571428571418</v>
      </c>
      <c r="I23" s="130">
        <f t="shared" si="8"/>
        <v>7.4811428571428564</v>
      </c>
      <c r="J23" s="130">
        <f t="shared" si="9"/>
        <v>7.419428571428571</v>
      </c>
      <c r="K23" s="130">
        <f t="shared" si="10"/>
        <v>7.2754285714285709</v>
      </c>
      <c r="L23" s="130">
        <f t="shared" si="11"/>
        <v>7.68</v>
      </c>
      <c r="M23" s="130">
        <f t="shared" si="12"/>
        <v>7.5085714285714271</v>
      </c>
      <c r="N23" s="130">
        <f t="shared" si="13"/>
        <v>6.733714285714286</v>
      </c>
    </row>
    <row r="24" spans="1:14">
      <c r="A24" s="224" t="s">
        <v>796</v>
      </c>
      <c r="B24" s="224" t="s">
        <v>415</v>
      </c>
      <c r="C24" s="616">
        <f t="shared" si="14"/>
        <v>0.14285714285714285</v>
      </c>
      <c r="D24" s="1080"/>
      <c r="E24" s="1081"/>
      <c r="F24" s="117" t="s">
        <v>798</v>
      </c>
      <c r="G24" s="130">
        <f t="shared" si="15"/>
        <v>9.4765714285714271</v>
      </c>
      <c r="H24" s="130">
        <f t="shared" si="16"/>
        <v>7.5428571428571418</v>
      </c>
      <c r="I24" s="130">
        <f t="shared" si="8"/>
        <v>7.4811428571428564</v>
      </c>
      <c r="J24" s="130">
        <f t="shared" si="9"/>
        <v>7.419428571428571</v>
      </c>
      <c r="K24" s="130">
        <f t="shared" si="10"/>
        <v>7.2754285714285709</v>
      </c>
      <c r="L24" s="130">
        <f t="shared" si="11"/>
        <v>7.68</v>
      </c>
      <c r="M24" s="130">
        <f t="shared" si="12"/>
        <v>7.5085714285714271</v>
      </c>
      <c r="N24" s="130">
        <f t="shared" si="13"/>
        <v>6.733714285714286</v>
      </c>
    </row>
    <row r="25" spans="1:14">
      <c r="A25" s="224" t="s">
        <v>796</v>
      </c>
      <c r="B25" s="224" t="s">
        <v>416</v>
      </c>
      <c r="C25" s="616">
        <f t="shared" si="14"/>
        <v>0.14285714285714285</v>
      </c>
      <c r="D25" s="1080"/>
      <c r="E25" s="1081"/>
      <c r="F25" s="117" t="s">
        <v>798</v>
      </c>
      <c r="G25" s="130">
        <f t="shared" si="15"/>
        <v>9.4765714285714271</v>
      </c>
      <c r="H25" s="130">
        <f t="shared" si="16"/>
        <v>7.5428571428571418</v>
      </c>
      <c r="I25" s="130">
        <f t="shared" si="8"/>
        <v>7.4811428571428564</v>
      </c>
      <c r="J25" s="130">
        <f t="shared" si="9"/>
        <v>7.419428571428571</v>
      </c>
      <c r="K25" s="130">
        <f t="shared" si="10"/>
        <v>7.2754285714285709</v>
      </c>
      <c r="L25" s="130">
        <f t="shared" si="11"/>
        <v>7.68</v>
      </c>
      <c r="M25" s="130">
        <f t="shared" si="12"/>
        <v>7.5085714285714271</v>
      </c>
      <c r="N25" s="130">
        <f t="shared" si="13"/>
        <v>6.733714285714286</v>
      </c>
    </row>
    <row r="26" spans="1:14">
      <c r="A26" s="224" t="s">
        <v>796</v>
      </c>
      <c r="B26" s="224" t="s">
        <v>417</v>
      </c>
      <c r="C26" s="616">
        <f t="shared" si="14"/>
        <v>0.14285714285714285</v>
      </c>
      <c r="D26" s="1080"/>
      <c r="E26" s="1081"/>
      <c r="F26" s="117" t="s">
        <v>798</v>
      </c>
      <c r="G26" s="130">
        <f t="shared" si="15"/>
        <v>9.4765714285714271</v>
      </c>
      <c r="H26" s="130">
        <f t="shared" si="16"/>
        <v>7.5428571428571418</v>
      </c>
      <c r="I26" s="130">
        <f t="shared" si="8"/>
        <v>7.4811428571428564</v>
      </c>
      <c r="J26" s="130">
        <f t="shared" si="9"/>
        <v>7.419428571428571</v>
      </c>
      <c r="K26" s="130">
        <f t="shared" si="10"/>
        <v>7.2754285714285709</v>
      </c>
      <c r="L26" s="130">
        <f t="shared" si="11"/>
        <v>7.68</v>
      </c>
      <c r="M26" s="130">
        <f t="shared" si="12"/>
        <v>7.5085714285714271</v>
      </c>
      <c r="N26" s="130">
        <f t="shared" si="13"/>
        <v>6.733714285714286</v>
      </c>
    </row>
    <row r="27" spans="1:14">
      <c r="A27" s="224" t="s">
        <v>796</v>
      </c>
      <c r="B27" s="224" t="s">
        <v>806</v>
      </c>
      <c r="C27" s="616">
        <f t="shared" si="14"/>
        <v>0.14285714285714285</v>
      </c>
      <c r="D27" s="1082"/>
      <c r="E27" s="1083"/>
      <c r="F27" s="117" t="s">
        <v>798</v>
      </c>
      <c r="G27" s="130">
        <f t="shared" si="15"/>
        <v>9.4765714285714271</v>
      </c>
      <c r="H27" s="130">
        <f t="shared" si="16"/>
        <v>7.5428571428571418</v>
      </c>
      <c r="I27" s="130">
        <f t="shared" si="8"/>
        <v>7.4811428571428564</v>
      </c>
      <c r="J27" s="130">
        <f t="shared" si="9"/>
        <v>7.419428571428571</v>
      </c>
      <c r="K27" s="130">
        <f t="shared" si="10"/>
        <v>7.2754285714285709</v>
      </c>
      <c r="L27" s="130">
        <f t="shared" si="11"/>
        <v>7.68</v>
      </c>
      <c r="M27" s="130">
        <f t="shared" si="12"/>
        <v>7.5085714285714271</v>
      </c>
      <c r="N27" s="130">
        <f t="shared" si="13"/>
        <v>6.733714285714286</v>
      </c>
    </row>
    <row r="28" spans="1:14">
      <c r="A28" s="224" t="s">
        <v>799</v>
      </c>
      <c r="B28" s="224" t="s">
        <v>419</v>
      </c>
      <c r="C28" s="130">
        <f>1/5</f>
        <v>0.2</v>
      </c>
      <c r="D28" s="1078" t="s">
        <v>805</v>
      </c>
      <c r="E28" s="1079"/>
      <c r="F28" s="117" t="s">
        <v>798</v>
      </c>
      <c r="G28" s="130">
        <f>C28*$G$15</f>
        <v>6.6336000000000004</v>
      </c>
      <c r="H28" s="130">
        <f>$C28*$H$15</f>
        <v>5.28</v>
      </c>
      <c r="I28" s="130">
        <f>$C28*$I$15</f>
        <v>5.2367999999999997</v>
      </c>
      <c r="J28" s="130">
        <f>$C28*$J$15</f>
        <v>5.1936</v>
      </c>
      <c r="K28" s="130">
        <f>$C28*$K$15</f>
        <v>5.0928000000000004</v>
      </c>
      <c r="L28" s="130">
        <f>$C28*$L$15</f>
        <v>5.3760000000000003</v>
      </c>
      <c r="M28" s="130">
        <f>$C28*$M$15</f>
        <v>5.2560000000000002</v>
      </c>
      <c r="N28" s="130">
        <f>$C28*$N$15</f>
        <v>4.7136000000000005</v>
      </c>
    </row>
    <row r="29" spans="1:14">
      <c r="A29" s="224" t="s">
        <v>799</v>
      </c>
      <c r="B29" s="224" t="s">
        <v>420</v>
      </c>
      <c r="C29" s="130">
        <f t="shared" ref="C29:C32" si="17">1/5</f>
        <v>0.2</v>
      </c>
      <c r="D29" s="1080"/>
      <c r="E29" s="1081"/>
      <c r="F29" s="117" t="s">
        <v>798</v>
      </c>
      <c r="G29" s="130">
        <f t="shared" ref="G29:G32" si="18">C29*$G$15</f>
        <v>6.6336000000000004</v>
      </c>
      <c r="H29" s="130">
        <f t="shared" ref="H29:H32" si="19">$C29*$H$15</f>
        <v>5.28</v>
      </c>
      <c r="I29" s="130">
        <f>$C29*$I$15</f>
        <v>5.2367999999999997</v>
      </c>
      <c r="J29" s="130">
        <f>$C29*$J$15</f>
        <v>5.1936</v>
      </c>
      <c r="K29" s="130">
        <f>$C29*$K$15</f>
        <v>5.0928000000000004</v>
      </c>
      <c r="L29" s="130">
        <f>$C29*$L$15</f>
        <v>5.3760000000000003</v>
      </c>
      <c r="M29" s="130">
        <f>$C29*$M$15</f>
        <v>5.2560000000000002</v>
      </c>
      <c r="N29" s="130">
        <f>$C29*$N$15</f>
        <v>4.7136000000000005</v>
      </c>
    </row>
    <row r="30" spans="1:14">
      <c r="A30" s="224" t="s">
        <v>799</v>
      </c>
      <c r="B30" s="224" t="s">
        <v>421</v>
      </c>
      <c r="C30" s="130">
        <f t="shared" si="17"/>
        <v>0.2</v>
      </c>
      <c r="D30" s="1080"/>
      <c r="E30" s="1081"/>
      <c r="F30" s="117" t="s">
        <v>798</v>
      </c>
      <c r="G30" s="130">
        <f t="shared" si="18"/>
        <v>6.6336000000000004</v>
      </c>
      <c r="H30" s="130">
        <f t="shared" si="19"/>
        <v>5.28</v>
      </c>
      <c r="I30" s="130">
        <f>$C30*$I$15</f>
        <v>5.2367999999999997</v>
      </c>
      <c r="J30" s="130">
        <f>$C30*$J$15</f>
        <v>5.1936</v>
      </c>
      <c r="K30" s="130">
        <f>$C30*$K$15</f>
        <v>5.0928000000000004</v>
      </c>
      <c r="L30" s="130">
        <f>$C30*$L$15</f>
        <v>5.3760000000000003</v>
      </c>
      <c r="M30" s="130">
        <f>$C30*$M$15</f>
        <v>5.2560000000000002</v>
      </c>
      <c r="N30" s="130">
        <f>$C30*$N$15</f>
        <v>4.7136000000000005</v>
      </c>
    </row>
    <row r="31" spans="1:14">
      <c r="A31" s="224" t="s">
        <v>799</v>
      </c>
      <c r="B31" s="224" t="s">
        <v>422</v>
      </c>
      <c r="C31" s="130">
        <f t="shared" si="17"/>
        <v>0.2</v>
      </c>
      <c r="D31" s="1080"/>
      <c r="E31" s="1081"/>
      <c r="F31" s="117" t="s">
        <v>798</v>
      </c>
      <c r="G31" s="130">
        <f t="shared" si="18"/>
        <v>6.6336000000000004</v>
      </c>
      <c r="H31" s="130">
        <f t="shared" si="19"/>
        <v>5.28</v>
      </c>
      <c r="I31" s="130">
        <f>$C31*$I$15</f>
        <v>5.2367999999999997</v>
      </c>
      <c r="J31" s="130">
        <f>$C31*$J$15</f>
        <v>5.1936</v>
      </c>
      <c r="K31" s="130">
        <f>$C31*$K$15</f>
        <v>5.0928000000000004</v>
      </c>
      <c r="L31" s="130">
        <f>$C31*$L$15</f>
        <v>5.3760000000000003</v>
      </c>
      <c r="M31" s="130">
        <f>$C31*$M$15</f>
        <v>5.2560000000000002</v>
      </c>
      <c r="N31" s="130">
        <f>$C31*$N$15</f>
        <v>4.7136000000000005</v>
      </c>
    </row>
    <row r="32" spans="1:14">
      <c r="A32" s="224" t="s">
        <v>799</v>
      </c>
      <c r="B32" s="224" t="s">
        <v>423</v>
      </c>
      <c r="C32" s="130">
        <f t="shared" si="17"/>
        <v>0.2</v>
      </c>
      <c r="D32" s="1082"/>
      <c r="E32" s="1083"/>
      <c r="F32" s="117" t="s">
        <v>798</v>
      </c>
      <c r="G32" s="130">
        <f t="shared" si="18"/>
        <v>6.6336000000000004</v>
      </c>
      <c r="H32" s="130">
        <f t="shared" si="19"/>
        <v>5.28</v>
      </c>
      <c r="I32" s="130">
        <f>$C32*$I$15</f>
        <v>5.2367999999999997</v>
      </c>
      <c r="J32" s="130">
        <f>$C32*$J$15</f>
        <v>5.1936</v>
      </c>
      <c r="K32" s="130">
        <f>$C32*$K$15</f>
        <v>5.0928000000000004</v>
      </c>
      <c r="L32" s="130">
        <f>$C32*$L$15</f>
        <v>5.3760000000000003</v>
      </c>
      <c r="M32" s="130">
        <f>$C32*$M$15</f>
        <v>5.2560000000000002</v>
      </c>
      <c r="N32" s="130">
        <f>$C32*$N$15</f>
        <v>4.7136000000000005</v>
      </c>
    </row>
    <row r="33" spans="1:19">
      <c r="A33" s="224" t="s">
        <v>800</v>
      </c>
      <c r="B33" s="224" t="s">
        <v>424</v>
      </c>
      <c r="C33" s="130">
        <v>0.5</v>
      </c>
      <c r="D33" s="1078" t="s">
        <v>805</v>
      </c>
      <c r="E33" s="1079"/>
      <c r="F33" s="117" t="s">
        <v>798</v>
      </c>
      <c r="G33" s="130">
        <f>C33*$G$16</f>
        <v>6.2189999999999994</v>
      </c>
      <c r="H33" s="130">
        <f>$C33*$H$16</f>
        <v>4.95</v>
      </c>
      <c r="I33" s="130">
        <f>$C33*$I$16</f>
        <v>4.9094999999999995</v>
      </c>
      <c r="J33" s="130">
        <f>$C33*$J$16</f>
        <v>4.8689999999999998</v>
      </c>
      <c r="K33" s="130">
        <f>$C33*$K$16</f>
        <v>4.7744999999999997</v>
      </c>
      <c r="L33" s="130">
        <f>$C33*$L$16</f>
        <v>5.04</v>
      </c>
      <c r="M33" s="130">
        <f>$C33*$M$16</f>
        <v>4.9275000000000002</v>
      </c>
      <c r="N33" s="130">
        <f>$C33*$N$16</f>
        <v>4.4189999999999996</v>
      </c>
    </row>
    <row r="34" spans="1:19">
      <c r="A34" s="224" t="s">
        <v>800</v>
      </c>
      <c r="B34" s="224" t="s">
        <v>425</v>
      </c>
      <c r="C34" s="130">
        <v>0.5</v>
      </c>
      <c r="D34" s="1082"/>
      <c r="E34" s="1083"/>
      <c r="F34" s="117" t="s">
        <v>798</v>
      </c>
      <c r="G34" s="130">
        <f>C34*$G$16</f>
        <v>6.2189999999999994</v>
      </c>
      <c r="H34" s="130">
        <f>$C34*$H$16</f>
        <v>4.95</v>
      </c>
      <c r="I34" s="130">
        <f>$C34*$I$16</f>
        <v>4.9094999999999995</v>
      </c>
      <c r="J34" s="130">
        <f>$C34*$J$16</f>
        <v>4.8689999999999998</v>
      </c>
      <c r="K34" s="130">
        <f>$C34*$K$16</f>
        <v>4.7744999999999997</v>
      </c>
      <c r="L34" s="130">
        <f>$C34*$L$16</f>
        <v>5.04</v>
      </c>
      <c r="M34" s="130">
        <f>$C34*$M$16</f>
        <v>4.9275000000000002</v>
      </c>
      <c r="N34" s="130">
        <f>$C34*$N$16</f>
        <v>4.4189999999999996</v>
      </c>
    </row>
    <row r="35" spans="1:19" s="76" customFormat="1" ht="45" customHeight="1">
      <c r="A35" s="181" t="s">
        <v>129</v>
      </c>
      <c r="B35" s="181" t="s">
        <v>130</v>
      </c>
      <c r="C35" s="181" t="s">
        <v>794</v>
      </c>
      <c r="D35" s="1071" t="s">
        <v>104</v>
      </c>
      <c r="E35" s="1071"/>
      <c r="F35" s="181" t="s">
        <v>795</v>
      </c>
      <c r="G35" s="619" t="s">
        <v>807</v>
      </c>
      <c r="H35" s="619" t="s">
        <v>807</v>
      </c>
      <c r="I35" s="619" t="s">
        <v>807</v>
      </c>
      <c r="J35" s="619" t="s">
        <v>807</v>
      </c>
      <c r="K35" s="619" t="s">
        <v>807</v>
      </c>
      <c r="L35" s="619" t="s">
        <v>807</v>
      </c>
      <c r="M35" s="619" t="s">
        <v>807</v>
      </c>
      <c r="N35" s="619" t="s">
        <v>807</v>
      </c>
    </row>
    <row r="36" spans="1:19">
      <c r="A36" s="224" t="s">
        <v>411</v>
      </c>
      <c r="B36" s="224" t="s">
        <v>808</v>
      </c>
      <c r="C36" s="616">
        <v>0.75</v>
      </c>
      <c r="D36" s="1072" t="s">
        <v>809</v>
      </c>
      <c r="E36" s="1072"/>
      <c r="F36" s="117" t="s">
        <v>798</v>
      </c>
      <c r="G36" s="130">
        <f>$C36*G21</f>
        <v>7.1074285714285708</v>
      </c>
      <c r="H36" s="130">
        <f t="shared" ref="H36:N36" si="20">$C36*H21</f>
        <v>5.6571428571428566</v>
      </c>
      <c r="I36" s="130">
        <f t="shared" si="20"/>
        <v>5.6108571428571423</v>
      </c>
      <c r="J36" s="130">
        <f t="shared" si="20"/>
        <v>5.5645714285714281</v>
      </c>
      <c r="K36" s="130">
        <f t="shared" si="20"/>
        <v>5.4565714285714284</v>
      </c>
      <c r="L36" s="130">
        <f t="shared" si="20"/>
        <v>5.76</v>
      </c>
      <c r="M36" s="130">
        <f t="shared" si="20"/>
        <v>5.6314285714285699</v>
      </c>
      <c r="N36" s="130">
        <f t="shared" si="20"/>
        <v>5.0502857142857147</v>
      </c>
    </row>
    <row r="37" spans="1:19">
      <c r="A37" s="224" t="s">
        <v>413</v>
      </c>
      <c r="B37" s="224" t="s">
        <v>810</v>
      </c>
      <c r="C37" s="616">
        <v>0.8</v>
      </c>
      <c r="D37" s="1072" t="s">
        <v>809</v>
      </c>
      <c r="E37" s="1072"/>
      <c r="F37" s="117" t="s">
        <v>798</v>
      </c>
      <c r="G37" s="130">
        <f t="shared" ref="G37:N49" si="21">$C37*G22</f>
        <v>7.581257142857142</v>
      </c>
      <c r="H37" s="130">
        <f t="shared" si="21"/>
        <v>6.0342857142857138</v>
      </c>
      <c r="I37" s="130">
        <f t="shared" si="21"/>
        <v>5.9849142857142859</v>
      </c>
      <c r="J37" s="130">
        <f t="shared" si="21"/>
        <v>5.935542857142857</v>
      </c>
      <c r="K37" s="130">
        <f t="shared" si="21"/>
        <v>5.8203428571428573</v>
      </c>
      <c r="L37" s="130">
        <f t="shared" si="21"/>
        <v>6.1440000000000001</v>
      </c>
      <c r="M37" s="130">
        <f t="shared" si="21"/>
        <v>6.0068571428571422</v>
      </c>
      <c r="N37" s="130">
        <f t="shared" si="21"/>
        <v>5.386971428571429</v>
      </c>
    </row>
    <row r="38" spans="1:19">
      <c r="A38" s="224" t="s">
        <v>414</v>
      </c>
      <c r="B38" s="224" t="s">
        <v>811</v>
      </c>
      <c r="C38" s="616">
        <v>0.5</v>
      </c>
      <c r="D38" s="1072" t="s">
        <v>809</v>
      </c>
      <c r="E38" s="1072"/>
      <c r="F38" s="117" t="s">
        <v>798</v>
      </c>
      <c r="G38" s="130">
        <f t="shared" si="21"/>
        <v>4.7382857142857135</v>
      </c>
      <c r="H38" s="130">
        <f t="shared" si="21"/>
        <v>3.7714285714285709</v>
      </c>
      <c r="I38" s="130">
        <f t="shared" si="21"/>
        <v>3.7405714285714282</v>
      </c>
      <c r="J38" s="130">
        <f t="shared" si="21"/>
        <v>3.7097142857142855</v>
      </c>
      <c r="K38" s="130">
        <f t="shared" si="21"/>
        <v>3.6377142857142855</v>
      </c>
      <c r="L38" s="130">
        <f t="shared" si="21"/>
        <v>3.84</v>
      </c>
      <c r="M38" s="130">
        <f t="shared" si="21"/>
        <v>3.7542857142857136</v>
      </c>
      <c r="N38" s="130">
        <f t="shared" si="21"/>
        <v>3.366857142857143</v>
      </c>
    </row>
    <row r="39" spans="1:19">
      <c r="A39" s="224" t="s">
        <v>415</v>
      </c>
      <c r="B39" s="224" t="s">
        <v>812</v>
      </c>
      <c r="C39" s="616">
        <v>0.55000000000000004</v>
      </c>
      <c r="D39" s="1072" t="s">
        <v>809</v>
      </c>
      <c r="E39" s="1072"/>
      <c r="F39" s="117" t="s">
        <v>798</v>
      </c>
      <c r="G39" s="130">
        <f t="shared" si="21"/>
        <v>5.2121142857142857</v>
      </c>
      <c r="H39" s="130">
        <f t="shared" si="21"/>
        <v>4.1485714285714286</v>
      </c>
      <c r="I39" s="130">
        <f t="shared" si="21"/>
        <v>4.1146285714285717</v>
      </c>
      <c r="J39" s="130">
        <f t="shared" si="21"/>
        <v>4.080685714285714</v>
      </c>
      <c r="K39" s="130">
        <f t="shared" si="21"/>
        <v>4.0014857142857148</v>
      </c>
      <c r="L39" s="130">
        <f t="shared" si="21"/>
        <v>4.2240000000000002</v>
      </c>
      <c r="M39" s="130">
        <f t="shared" si="21"/>
        <v>4.129714285714285</v>
      </c>
      <c r="N39" s="130">
        <f t="shared" si="21"/>
        <v>3.7035428571428577</v>
      </c>
    </row>
    <row r="40" spans="1:19">
      <c r="A40" s="224" t="s">
        <v>416</v>
      </c>
      <c r="B40" s="224" t="s">
        <v>813</v>
      </c>
      <c r="C40" s="616">
        <v>0.55000000000000004</v>
      </c>
      <c r="D40" s="1072" t="s">
        <v>809</v>
      </c>
      <c r="E40" s="1072"/>
      <c r="F40" s="117" t="s">
        <v>798</v>
      </c>
      <c r="G40" s="130">
        <f t="shared" si="21"/>
        <v>5.2121142857142857</v>
      </c>
      <c r="H40" s="130">
        <f t="shared" si="21"/>
        <v>4.1485714285714286</v>
      </c>
      <c r="I40" s="130">
        <f t="shared" si="21"/>
        <v>4.1146285714285717</v>
      </c>
      <c r="J40" s="130">
        <f t="shared" si="21"/>
        <v>4.080685714285714</v>
      </c>
      <c r="K40" s="130">
        <f t="shared" si="21"/>
        <v>4.0014857142857148</v>
      </c>
      <c r="L40" s="130">
        <f t="shared" si="21"/>
        <v>4.2240000000000002</v>
      </c>
      <c r="M40" s="130">
        <f t="shared" si="21"/>
        <v>4.129714285714285</v>
      </c>
      <c r="N40" s="130">
        <f t="shared" si="21"/>
        <v>3.7035428571428577</v>
      </c>
    </row>
    <row r="41" spans="1:19">
      <c r="A41" s="224" t="s">
        <v>417</v>
      </c>
      <c r="B41" s="224" t="s">
        <v>814</v>
      </c>
      <c r="C41" s="616">
        <v>0.75</v>
      </c>
      <c r="D41" s="1072" t="s">
        <v>809</v>
      </c>
      <c r="E41" s="1072"/>
      <c r="F41" s="117" t="s">
        <v>798</v>
      </c>
      <c r="G41" s="130">
        <f t="shared" si="21"/>
        <v>7.1074285714285708</v>
      </c>
      <c r="H41" s="130">
        <f t="shared" si="21"/>
        <v>5.6571428571428566</v>
      </c>
      <c r="I41" s="130">
        <f t="shared" si="21"/>
        <v>5.6108571428571423</v>
      </c>
      <c r="J41" s="130">
        <f t="shared" si="21"/>
        <v>5.5645714285714281</v>
      </c>
      <c r="K41" s="130">
        <f t="shared" si="21"/>
        <v>5.4565714285714284</v>
      </c>
      <c r="L41" s="130">
        <f t="shared" si="21"/>
        <v>5.76</v>
      </c>
      <c r="M41" s="130">
        <f t="shared" si="21"/>
        <v>5.6314285714285699</v>
      </c>
      <c r="N41" s="130">
        <f t="shared" si="21"/>
        <v>5.0502857142857147</v>
      </c>
    </row>
    <row r="42" spans="1:19">
      <c r="A42" s="224" t="s">
        <v>806</v>
      </c>
      <c r="B42" s="224" t="s">
        <v>815</v>
      </c>
      <c r="C42" s="616">
        <v>0.6</v>
      </c>
      <c r="D42" s="1072" t="s">
        <v>809</v>
      </c>
      <c r="E42" s="1072"/>
      <c r="F42" s="117" t="s">
        <v>798</v>
      </c>
      <c r="G42" s="130">
        <f t="shared" si="21"/>
        <v>5.6859428571428561</v>
      </c>
      <c r="H42" s="130">
        <f t="shared" si="21"/>
        <v>4.5257142857142849</v>
      </c>
      <c r="I42" s="130">
        <f t="shared" si="21"/>
        <v>4.4886857142857135</v>
      </c>
      <c r="J42" s="130">
        <f t="shared" si="21"/>
        <v>4.4516571428571421</v>
      </c>
      <c r="K42" s="130">
        <f t="shared" si="21"/>
        <v>4.3652571428571427</v>
      </c>
      <c r="L42" s="130">
        <f t="shared" si="21"/>
        <v>4.6079999999999997</v>
      </c>
      <c r="M42" s="130">
        <f t="shared" si="21"/>
        <v>4.5051428571428564</v>
      </c>
      <c r="N42" s="130">
        <f t="shared" si="21"/>
        <v>4.0402285714285711</v>
      </c>
    </row>
    <row r="43" spans="1:19">
      <c r="A43" s="224" t="s">
        <v>419</v>
      </c>
      <c r="B43" s="224" t="s">
        <v>816</v>
      </c>
      <c r="C43" s="130">
        <v>0.65</v>
      </c>
      <c r="D43" s="1072" t="s">
        <v>809</v>
      </c>
      <c r="E43" s="1072"/>
      <c r="F43" s="117" t="s">
        <v>798</v>
      </c>
      <c r="G43" s="130">
        <f t="shared" si="21"/>
        <v>4.3118400000000001</v>
      </c>
      <c r="H43" s="130">
        <f t="shared" si="21"/>
        <v>3.4320000000000004</v>
      </c>
      <c r="I43" s="130">
        <f t="shared" si="21"/>
        <v>3.4039199999999998</v>
      </c>
      <c r="J43" s="130">
        <f t="shared" si="21"/>
        <v>3.3758400000000002</v>
      </c>
      <c r="K43" s="130">
        <f t="shared" si="21"/>
        <v>3.3103200000000004</v>
      </c>
      <c r="L43" s="130">
        <f t="shared" si="21"/>
        <v>3.4944000000000002</v>
      </c>
      <c r="M43" s="130">
        <f t="shared" si="21"/>
        <v>3.4164000000000003</v>
      </c>
      <c r="N43" s="130">
        <f t="shared" si="21"/>
        <v>3.0638400000000003</v>
      </c>
    </row>
    <row r="44" spans="1:19" ht="15" customHeight="1">
      <c r="A44" s="224" t="s">
        <v>420</v>
      </c>
      <c r="B44" s="224" t="s">
        <v>817</v>
      </c>
      <c r="C44" s="130">
        <v>0.2</v>
      </c>
      <c r="D44" s="1072" t="s">
        <v>809</v>
      </c>
      <c r="E44" s="1072"/>
      <c r="F44" s="117" t="s">
        <v>798</v>
      </c>
      <c r="G44" s="130">
        <f t="shared" si="21"/>
        <v>1.3267200000000001</v>
      </c>
      <c r="H44" s="130">
        <f t="shared" si="21"/>
        <v>1.056</v>
      </c>
      <c r="I44" s="130">
        <f t="shared" si="21"/>
        <v>1.0473600000000001</v>
      </c>
      <c r="J44" s="130">
        <f t="shared" si="21"/>
        <v>1.0387200000000001</v>
      </c>
      <c r="K44" s="130">
        <f t="shared" si="21"/>
        <v>1.0185600000000001</v>
      </c>
      <c r="L44" s="130">
        <f t="shared" si="21"/>
        <v>1.0752000000000002</v>
      </c>
      <c r="M44" s="130">
        <f t="shared" si="21"/>
        <v>1.0512000000000001</v>
      </c>
      <c r="N44" s="130">
        <f t="shared" si="21"/>
        <v>0.94272000000000011</v>
      </c>
    </row>
    <row r="45" spans="1:19" s="6" customFormat="1" ht="15" customHeight="1">
      <c r="A45" s="224" t="s">
        <v>421</v>
      </c>
      <c r="B45" s="224" t="s">
        <v>818</v>
      </c>
      <c r="C45" s="130">
        <v>0.55000000000000004</v>
      </c>
      <c r="D45" s="1072" t="s">
        <v>809</v>
      </c>
      <c r="E45" s="1072"/>
      <c r="F45" s="117" t="s">
        <v>798</v>
      </c>
      <c r="G45" s="130">
        <f t="shared" si="21"/>
        <v>3.6484800000000006</v>
      </c>
      <c r="H45" s="130">
        <f t="shared" si="21"/>
        <v>2.9040000000000004</v>
      </c>
      <c r="I45" s="130">
        <f t="shared" si="21"/>
        <v>2.8802400000000001</v>
      </c>
      <c r="J45" s="130">
        <f t="shared" si="21"/>
        <v>2.8564800000000004</v>
      </c>
      <c r="K45" s="130">
        <f t="shared" si="21"/>
        <v>2.8010400000000004</v>
      </c>
      <c r="L45" s="130">
        <f t="shared" si="21"/>
        <v>2.9568000000000003</v>
      </c>
      <c r="M45" s="130">
        <f t="shared" si="21"/>
        <v>2.8908000000000005</v>
      </c>
      <c r="N45" s="130">
        <f t="shared" si="21"/>
        <v>2.5924800000000006</v>
      </c>
      <c r="O45"/>
      <c r="P45"/>
      <c r="Q45"/>
      <c r="R45"/>
      <c r="S45"/>
    </row>
    <row r="46" spans="1:19">
      <c r="A46" s="224" t="s">
        <v>422</v>
      </c>
      <c r="B46" s="224" t="s">
        <v>819</v>
      </c>
      <c r="C46" s="130">
        <v>0.55000000000000004</v>
      </c>
      <c r="D46" s="1072" t="s">
        <v>809</v>
      </c>
      <c r="E46" s="1072"/>
      <c r="F46" s="117" t="s">
        <v>798</v>
      </c>
      <c r="G46" s="130">
        <f t="shared" si="21"/>
        <v>3.6484800000000006</v>
      </c>
      <c r="H46" s="130">
        <f t="shared" si="21"/>
        <v>2.9040000000000004</v>
      </c>
      <c r="I46" s="130">
        <f t="shared" si="21"/>
        <v>2.8802400000000001</v>
      </c>
      <c r="J46" s="130">
        <f t="shared" si="21"/>
        <v>2.8564800000000004</v>
      </c>
      <c r="K46" s="130">
        <f t="shared" si="21"/>
        <v>2.8010400000000004</v>
      </c>
      <c r="L46" s="130">
        <f t="shared" si="21"/>
        <v>2.9568000000000003</v>
      </c>
      <c r="M46" s="130">
        <f t="shared" si="21"/>
        <v>2.8908000000000005</v>
      </c>
      <c r="N46" s="130">
        <f t="shared" si="21"/>
        <v>2.5924800000000006</v>
      </c>
    </row>
    <row r="47" spans="1:19">
      <c r="A47" s="224" t="s">
        <v>423</v>
      </c>
      <c r="B47" s="224" t="s">
        <v>820</v>
      </c>
      <c r="C47" s="130">
        <v>0.65</v>
      </c>
      <c r="D47" s="1072" t="s">
        <v>809</v>
      </c>
      <c r="E47" s="1072"/>
      <c r="F47" s="117" t="s">
        <v>798</v>
      </c>
      <c r="G47" s="130">
        <f t="shared" si="21"/>
        <v>4.3118400000000001</v>
      </c>
      <c r="H47" s="130">
        <f t="shared" si="21"/>
        <v>3.4320000000000004</v>
      </c>
      <c r="I47" s="130">
        <f t="shared" si="21"/>
        <v>3.4039199999999998</v>
      </c>
      <c r="J47" s="130">
        <f t="shared" si="21"/>
        <v>3.3758400000000002</v>
      </c>
      <c r="K47" s="130">
        <f t="shared" si="21"/>
        <v>3.3103200000000004</v>
      </c>
      <c r="L47" s="130">
        <f t="shared" si="21"/>
        <v>3.4944000000000002</v>
      </c>
      <c r="M47" s="130">
        <f t="shared" si="21"/>
        <v>3.4164000000000003</v>
      </c>
      <c r="N47" s="130">
        <f t="shared" si="21"/>
        <v>3.0638400000000003</v>
      </c>
    </row>
    <row r="48" spans="1:19">
      <c r="A48" s="224" t="s">
        <v>424</v>
      </c>
      <c r="B48" s="224" t="s">
        <v>821</v>
      </c>
      <c r="C48" s="130">
        <v>0.5</v>
      </c>
      <c r="D48" s="1072" t="s">
        <v>809</v>
      </c>
      <c r="E48" s="1072"/>
      <c r="F48" s="117" t="s">
        <v>798</v>
      </c>
      <c r="G48" s="130">
        <f t="shared" si="21"/>
        <v>3.1094999999999997</v>
      </c>
      <c r="H48" s="130">
        <f t="shared" si="21"/>
        <v>2.4750000000000001</v>
      </c>
      <c r="I48" s="130">
        <f t="shared" si="21"/>
        <v>2.4547499999999998</v>
      </c>
      <c r="J48" s="130">
        <f t="shared" si="21"/>
        <v>2.4344999999999999</v>
      </c>
      <c r="K48" s="130">
        <f t="shared" si="21"/>
        <v>2.3872499999999999</v>
      </c>
      <c r="L48" s="130">
        <f t="shared" si="21"/>
        <v>2.52</v>
      </c>
      <c r="M48" s="130">
        <f t="shared" si="21"/>
        <v>2.4637500000000001</v>
      </c>
      <c r="N48" s="130">
        <f t="shared" si="21"/>
        <v>2.2094999999999998</v>
      </c>
    </row>
    <row r="49" spans="1:868">
      <c r="A49" s="224" t="s">
        <v>425</v>
      </c>
      <c r="B49" s="224" t="s">
        <v>822</v>
      </c>
      <c r="C49" s="130">
        <v>0.6</v>
      </c>
      <c r="D49" s="1072" t="s">
        <v>809</v>
      </c>
      <c r="E49" s="1072"/>
      <c r="F49" s="117" t="s">
        <v>798</v>
      </c>
      <c r="G49" s="130">
        <f t="shared" si="21"/>
        <v>3.7313999999999994</v>
      </c>
      <c r="H49" s="130">
        <f t="shared" si="21"/>
        <v>2.97</v>
      </c>
      <c r="I49" s="130">
        <f t="shared" si="21"/>
        <v>2.9456999999999995</v>
      </c>
      <c r="J49" s="130">
        <f t="shared" si="21"/>
        <v>2.9213999999999998</v>
      </c>
      <c r="K49" s="130">
        <f t="shared" si="21"/>
        <v>2.8646999999999996</v>
      </c>
      <c r="L49" s="130">
        <f t="shared" si="21"/>
        <v>3.024</v>
      </c>
      <c r="M49" s="130">
        <f t="shared" si="21"/>
        <v>2.9565000000000001</v>
      </c>
      <c r="N49" s="130">
        <f t="shared" si="21"/>
        <v>2.6513999999999998</v>
      </c>
    </row>
    <row r="50" spans="1:868">
      <c r="C50" s="106"/>
      <c r="D50" s="16"/>
      <c r="E50" s="16"/>
      <c r="G50" s="106"/>
      <c r="H50" s="106"/>
      <c r="I50" s="106"/>
      <c r="J50" s="106"/>
      <c r="K50" s="106"/>
      <c r="L50" s="106"/>
      <c r="M50" s="106"/>
      <c r="N50" s="106"/>
    </row>
    <row r="51" spans="1:868" s="6" customFormat="1" ht="30" customHeight="1">
      <c r="A51" s="1092" t="s">
        <v>823</v>
      </c>
      <c r="B51" s="1093"/>
      <c r="C51" s="1093"/>
      <c r="D51" s="1093"/>
      <c r="E51" s="1093"/>
      <c r="F51" s="1093"/>
      <c r="G51" s="1094"/>
      <c r="H51" s="106"/>
      <c r="I51" s="106"/>
      <c r="J51" s="106"/>
      <c r="K51" s="106"/>
      <c r="L51" s="106"/>
      <c r="M51" s="106"/>
      <c r="N51" s="106"/>
    </row>
    <row r="52" spans="1:868" ht="30" customHeight="1">
      <c r="A52" s="612" t="s">
        <v>100</v>
      </c>
      <c r="B52" s="622" t="s">
        <v>101</v>
      </c>
      <c r="C52" s="613" t="s">
        <v>102</v>
      </c>
      <c r="D52" s="613" t="s">
        <v>103</v>
      </c>
      <c r="E52" s="613" t="s">
        <v>104</v>
      </c>
      <c r="F52" s="614" t="s">
        <v>105</v>
      </c>
      <c r="G52" s="614" t="s">
        <v>65</v>
      </c>
      <c r="H52" s="614" t="s">
        <v>67</v>
      </c>
      <c r="I52" s="614" t="s">
        <v>73</v>
      </c>
      <c r="J52" s="614" t="s">
        <v>79</v>
      </c>
      <c r="K52" s="621" t="s">
        <v>106</v>
      </c>
      <c r="L52" s="1086" t="s">
        <v>107</v>
      </c>
      <c r="M52" s="1087"/>
      <c r="N52" s="1088"/>
      <c r="O52" s="6"/>
    </row>
    <row r="53" spans="1:868" s="2" customFormat="1">
      <c r="A53" s="224" t="s">
        <v>118</v>
      </c>
      <c r="B53" s="122">
        <v>2019</v>
      </c>
      <c r="C53" s="9" t="s">
        <v>99</v>
      </c>
      <c r="D53" s="791">
        <f>SUM(L36:L49)</f>
        <v>54.081600000000002</v>
      </c>
      <c r="E53" s="224" t="s">
        <v>784</v>
      </c>
      <c r="F53" s="9">
        <v>1</v>
      </c>
      <c r="G53" s="9">
        <v>1</v>
      </c>
      <c r="H53" s="9">
        <v>2</v>
      </c>
      <c r="I53" s="9">
        <v>1</v>
      </c>
      <c r="J53" s="9">
        <v>2</v>
      </c>
      <c r="K53" s="185">
        <f>IF( OR( ISBLANK(F53),ISBLANK(G53), ISBLANK(H53), ISBLANK(I53), ISBLANK(J53) ), "", 1.5*SQRT(   EXP(2.21*(F53-1)) + EXP(2.21*(G53-1)) + EXP(2.21*(H53-1)) + EXP(2.21*(I53-1)) + EXP(2.21*J53)   )/100*2.45 )</f>
        <v>0.35859414261160716</v>
      </c>
      <c r="L53" s="1089" t="s">
        <v>120</v>
      </c>
      <c r="M53" s="1090"/>
      <c r="N53" s="1091"/>
      <c r="O53" s="6"/>
    </row>
    <row r="54" spans="1:868" s="6" customFormat="1" ht="30" customHeight="1">
      <c r="C54" s="106"/>
      <c r="G54" s="106"/>
      <c r="H54" s="106"/>
      <c r="I54" s="106"/>
      <c r="J54" s="106"/>
      <c r="K54" s="106"/>
      <c r="L54" s="106"/>
      <c r="M54" s="106"/>
      <c r="N54" s="106"/>
    </row>
    <row r="55" spans="1:868" s="6" customFormat="1" ht="30" customHeight="1">
      <c r="A55" s="1092" t="s">
        <v>824</v>
      </c>
      <c r="B55" s="1093"/>
      <c r="C55" s="1093"/>
      <c r="D55" s="1093"/>
      <c r="E55" s="1093"/>
      <c r="F55" s="1093"/>
      <c r="G55" s="1094"/>
      <c r="H55" s="106"/>
      <c r="I55" s="106"/>
      <c r="J55" s="106"/>
      <c r="K55" s="106"/>
      <c r="L55" s="106"/>
      <c r="M55" s="106"/>
      <c r="N55" s="106"/>
    </row>
    <row r="56" spans="1:868" ht="30" customHeight="1">
      <c r="A56" s="612" t="s">
        <v>100</v>
      </c>
      <c r="B56" s="622" t="s">
        <v>101</v>
      </c>
      <c r="C56" s="613" t="s">
        <v>102</v>
      </c>
      <c r="D56" s="613" t="s">
        <v>103</v>
      </c>
      <c r="E56" s="613" t="s">
        <v>104</v>
      </c>
      <c r="F56" s="614" t="s">
        <v>105</v>
      </c>
      <c r="G56" s="614" t="s">
        <v>65</v>
      </c>
      <c r="H56" s="614" t="s">
        <v>67</v>
      </c>
      <c r="I56" s="614" t="s">
        <v>73</v>
      </c>
      <c r="J56" s="614" t="s">
        <v>79</v>
      </c>
      <c r="K56" s="621" t="s">
        <v>106</v>
      </c>
      <c r="L56" s="1086" t="s">
        <v>107</v>
      </c>
      <c r="M56" s="1087"/>
      <c r="N56" s="1088"/>
      <c r="O56" s="6"/>
    </row>
    <row r="57" spans="1:868" s="2" customFormat="1">
      <c r="A57" s="224" t="s">
        <v>118</v>
      </c>
      <c r="B57" s="9">
        <v>2019</v>
      </c>
      <c r="C57" s="9" t="s">
        <v>99</v>
      </c>
      <c r="D57" s="312">
        <v>2326</v>
      </c>
      <c r="E57" s="224" t="s">
        <v>128</v>
      </c>
      <c r="F57" s="9">
        <v>1</v>
      </c>
      <c r="G57" s="9">
        <v>1</v>
      </c>
      <c r="H57" s="9">
        <v>2</v>
      </c>
      <c r="I57" s="9">
        <v>1</v>
      </c>
      <c r="J57" s="9">
        <v>2</v>
      </c>
      <c r="K57" s="185">
        <v>0.47802211380704585</v>
      </c>
      <c r="L57" s="1089"/>
      <c r="M57" s="1090"/>
      <c r="N57" s="1091"/>
      <c r="O57" s="6"/>
    </row>
    <row r="58" spans="1:868">
      <c r="C58" s="106"/>
      <c r="D58" s="16"/>
      <c r="E58" s="16"/>
      <c r="G58" s="106"/>
    </row>
    <row r="59" spans="1:868" s="6" customFormat="1" ht="30" customHeight="1">
      <c r="A59" s="1038" t="s">
        <v>825</v>
      </c>
      <c r="B59" s="1038"/>
      <c r="C59" s="1038"/>
      <c r="D59" s="1038"/>
      <c r="E59" s="1038"/>
      <c r="F59" s="1038"/>
      <c r="G59" s="1038"/>
      <c r="H59" s="1038"/>
      <c r="I59" s="1038"/>
      <c r="J59" s="1038"/>
      <c r="K59" s="1038"/>
      <c r="L59" s="1038"/>
      <c r="M59" s="1038"/>
      <c r="N59" s="1038"/>
      <c r="O59" s="1038"/>
      <c r="P59" s="1038"/>
      <c r="Q59" s="1038"/>
      <c r="R59" s="1038"/>
      <c r="S59" s="1038"/>
    </row>
    <row r="60" spans="1:868" s="2" customFormat="1" ht="30" customHeight="1" thickBot="1">
      <c r="A60" s="735" t="s">
        <v>129</v>
      </c>
      <c r="B60" s="735" t="s">
        <v>130</v>
      </c>
      <c r="C60" s="736" t="s">
        <v>131</v>
      </c>
      <c r="D60" s="736" t="s">
        <v>102</v>
      </c>
      <c r="E60" s="737" t="s">
        <v>132</v>
      </c>
      <c r="F60" s="736" t="s">
        <v>133</v>
      </c>
      <c r="G60" s="736" t="s">
        <v>104</v>
      </c>
      <c r="H60" s="738" t="s">
        <v>134</v>
      </c>
      <c r="I60" s="738" t="s">
        <v>135</v>
      </c>
      <c r="J60" s="738" t="s">
        <v>65</v>
      </c>
      <c r="K60" s="738" t="s">
        <v>67</v>
      </c>
      <c r="L60" s="738" t="s">
        <v>73</v>
      </c>
      <c r="M60" s="738" t="s">
        <v>79</v>
      </c>
      <c r="N60" s="739" t="s">
        <v>136</v>
      </c>
      <c r="O60" s="739" t="s">
        <v>137</v>
      </c>
      <c r="P60" s="740" t="s">
        <v>123</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row>
    <row r="61" spans="1:868" s="1" customFormat="1">
      <c r="A61" s="631" t="s">
        <v>118</v>
      </c>
      <c r="B61" s="780" t="s">
        <v>411</v>
      </c>
      <c r="C61" s="33" t="s">
        <v>139</v>
      </c>
      <c r="D61" s="121" t="s">
        <v>99</v>
      </c>
      <c r="E61" s="742">
        <f t="shared" ref="E61:E74" si="22">(G36)/(SUM($G$36:$G$49))</f>
        <v>0.10650572468270171</v>
      </c>
      <c r="F61" s="11">
        <v>1</v>
      </c>
      <c r="G61" s="11" t="s">
        <v>412</v>
      </c>
      <c r="H61" s="13">
        <v>1</v>
      </c>
      <c r="I61" s="13">
        <v>2</v>
      </c>
      <c r="J61" s="13">
        <v>2</v>
      </c>
      <c r="K61" s="13">
        <v>1</v>
      </c>
      <c r="L61" s="13">
        <v>1</v>
      </c>
      <c r="M61" s="13">
        <v>2</v>
      </c>
      <c r="N61" s="422">
        <f t="shared" ref="N61" si="23">IF( OR( ISBLANK(H61),ISBLANK(J61), ISBLANK(K61), ISBLANK(L61), ISBLANK(M61) ), "", 1.5*SQRT(   EXP(2.21*(H61-1)) + EXP(2.21*(J61-1)) + EXP(2.21*(K61-1)) + EXP(2.21*(L61-1)) + EXP(2.21*M61)   )/100*2.45 )</f>
        <v>0.35859414261160716</v>
      </c>
      <c r="O61" s="422">
        <f t="shared" ref="O61" si="24">IF( OR( ISBLANK(I61),ISBLANK(J61), ISBLANK(K61), ISBLANK(L61), ISBLANK(M61) ), "", 1.5*SQRT( EXP(2.21*(I61-1)) + EXP(2.21*(J61-1)) + EXP(2.21*(K61-1)) + EXP(2.21*(L61-1)) + EXP(2.21*M61)   )/100*2.45 )</f>
        <v>0.37356464144298934</v>
      </c>
      <c r="P61" s="42"/>
      <c r="Q61" s="433"/>
      <c r="R61" s="433"/>
      <c r="S61" s="433"/>
      <c r="T61" s="433"/>
      <c r="U61" s="433"/>
      <c r="V61" s="433"/>
      <c r="W61" s="433"/>
      <c r="X61" s="433"/>
      <c r="Y61" s="433"/>
      <c r="Z61" s="433"/>
      <c r="AA61" s="433"/>
      <c r="AB61" s="433"/>
      <c r="AC61" s="433"/>
      <c r="AD61" s="433"/>
      <c r="AE61" s="433"/>
      <c r="AF61" s="433"/>
      <c r="AG61" s="433"/>
      <c r="AH61" s="433"/>
      <c r="AI61" s="433"/>
      <c r="AJ61" s="433"/>
      <c r="AK61" s="433"/>
      <c r="AL61" s="433"/>
      <c r="AM61" s="433"/>
      <c r="AN61" s="433"/>
      <c r="AO61" s="433"/>
      <c r="AP61" s="433"/>
      <c r="AQ61" s="433"/>
      <c r="AR61" s="433"/>
      <c r="AS61" s="433"/>
      <c r="AT61" s="433"/>
      <c r="AU61" s="433"/>
      <c r="AV61" s="433"/>
      <c r="AW61" s="433"/>
      <c r="AX61" s="433"/>
      <c r="AY61" s="433"/>
      <c r="AZ61" s="433"/>
      <c r="BA61" s="433"/>
      <c r="BB61" s="433"/>
      <c r="BC61" s="433"/>
      <c r="BD61" s="433"/>
      <c r="BE61" s="433"/>
      <c r="BF61" s="433"/>
      <c r="BG61" s="433"/>
      <c r="BH61" s="433"/>
      <c r="BI61" s="433"/>
      <c r="BJ61" s="433"/>
      <c r="BK61" s="433"/>
      <c r="BL61" s="433"/>
      <c r="BM61" s="433"/>
      <c r="BN61" s="433"/>
      <c r="BO61" s="433"/>
      <c r="BP61" s="433"/>
      <c r="BQ61" s="433"/>
      <c r="BR61" s="433"/>
      <c r="BS61" s="433"/>
      <c r="BT61" s="433"/>
      <c r="BU61" s="433"/>
      <c r="BV61" s="433"/>
      <c r="BW61" s="433"/>
      <c r="BX61" s="433"/>
      <c r="BY61" s="433"/>
      <c r="BZ61" s="433"/>
      <c r="CA61" s="433"/>
      <c r="CB61" s="433"/>
      <c r="CC61" s="433"/>
      <c r="CD61" s="433"/>
      <c r="CE61" s="433"/>
      <c r="CF61" s="433"/>
      <c r="CG61" s="433"/>
      <c r="CH61" s="433"/>
      <c r="CI61" s="433"/>
      <c r="CJ61" s="433"/>
      <c r="CK61" s="433"/>
      <c r="CL61" s="433"/>
      <c r="CM61" s="433"/>
      <c r="CN61" s="433"/>
      <c r="CO61" s="433"/>
      <c r="CP61" s="433"/>
      <c r="CQ61" s="433"/>
      <c r="CR61" s="433"/>
      <c r="CS61" s="433"/>
      <c r="CT61" s="433"/>
      <c r="CU61" s="433"/>
      <c r="CV61" s="433"/>
      <c r="CW61" s="433"/>
      <c r="CX61" s="433"/>
      <c r="CY61" s="433"/>
      <c r="CZ61" s="433"/>
      <c r="DA61" s="433"/>
      <c r="DB61" s="433"/>
      <c r="DC61" s="433"/>
      <c r="DD61" s="433"/>
      <c r="DE61" s="433"/>
      <c r="DF61" s="433"/>
      <c r="DG61" s="433"/>
      <c r="DH61" s="433"/>
      <c r="DI61" s="433"/>
      <c r="DJ61" s="433"/>
      <c r="DK61" s="433"/>
      <c r="DL61" s="433"/>
      <c r="DM61" s="433"/>
      <c r="DN61" s="433"/>
      <c r="DO61" s="433"/>
      <c r="DP61" s="433"/>
      <c r="DQ61" s="433"/>
      <c r="DR61" s="433"/>
      <c r="DS61" s="433"/>
      <c r="DT61" s="433"/>
      <c r="DU61" s="433"/>
      <c r="DV61" s="433"/>
      <c r="DW61" s="433"/>
      <c r="DX61" s="433"/>
      <c r="DY61" s="433"/>
      <c r="DZ61" s="433"/>
      <c r="EA61" s="433"/>
      <c r="EB61" s="433"/>
      <c r="EC61" s="433"/>
      <c r="ED61" s="433"/>
      <c r="EE61" s="433"/>
      <c r="EF61" s="433"/>
      <c r="EG61" s="433"/>
      <c r="EH61" s="433"/>
      <c r="EI61" s="433"/>
      <c r="EJ61" s="433"/>
      <c r="EK61" s="433"/>
      <c r="EL61" s="433"/>
      <c r="EM61" s="433"/>
      <c r="EN61" s="433"/>
      <c r="EO61" s="433"/>
      <c r="EP61" s="433"/>
      <c r="EQ61" s="433"/>
      <c r="ER61" s="433"/>
      <c r="ES61" s="433"/>
      <c r="ET61" s="433"/>
      <c r="EU61" s="433"/>
      <c r="EV61" s="433"/>
      <c r="EW61" s="433"/>
      <c r="EX61" s="433"/>
      <c r="EY61" s="433"/>
      <c r="EZ61" s="433"/>
      <c r="FA61" s="433"/>
      <c r="FB61" s="433"/>
      <c r="FC61" s="433"/>
      <c r="FD61" s="433"/>
      <c r="FE61" s="433"/>
      <c r="FF61" s="433"/>
      <c r="FG61" s="433"/>
      <c r="FH61" s="433"/>
      <c r="FI61" s="433"/>
      <c r="FJ61" s="433"/>
      <c r="FK61" s="433"/>
      <c r="FL61" s="433"/>
      <c r="FM61" s="433"/>
      <c r="FN61" s="433"/>
      <c r="FO61" s="433"/>
      <c r="FP61" s="433"/>
      <c r="FQ61" s="433"/>
      <c r="FR61" s="433"/>
      <c r="FS61" s="433"/>
      <c r="FT61" s="433"/>
      <c r="FU61" s="433"/>
      <c r="FV61" s="433"/>
      <c r="FW61" s="433"/>
      <c r="FX61" s="433"/>
      <c r="FY61" s="433"/>
      <c r="FZ61" s="433"/>
      <c r="GA61" s="433"/>
      <c r="GB61" s="433"/>
      <c r="GC61" s="433"/>
      <c r="GD61" s="433"/>
      <c r="GE61" s="433"/>
      <c r="GF61" s="433"/>
      <c r="GG61" s="433"/>
      <c r="GH61" s="433"/>
      <c r="GI61" s="433"/>
      <c r="GJ61" s="433"/>
      <c r="GK61" s="433"/>
      <c r="GL61" s="433"/>
      <c r="GM61" s="433"/>
      <c r="GN61" s="433"/>
      <c r="GO61" s="433"/>
      <c r="GP61" s="433"/>
      <c r="GQ61" s="433"/>
      <c r="GR61" s="433"/>
      <c r="GS61" s="433"/>
      <c r="GT61" s="433"/>
      <c r="GU61" s="433"/>
      <c r="GV61" s="433"/>
      <c r="GW61" s="433"/>
      <c r="GX61" s="433"/>
      <c r="GY61" s="433"/>
      <c r="GZ61" s="433"/>
      <c r="HA61" s="433"/>
      <c r="HB61" s="433"/>
      <c r="HC61" s="433"/>
      <c r="HD61" s="433"/>
      <c r="HE61" s="433"/>
      <c r="HF61" s="433"/>
      <c r="HG61" s="433"/>
      <c r="HH61" s="433"/>
      <c r="HI61" s="433"/>
      <c r="HJ61" s="433"/>
      <c r="HK61" s="433"/>
      <c r="HL61" s="433"/>
      <c r="HM61" s="433"/>
      <c r="HN61" s="433"/>
      <c r="HO61" s="433"/>
      <c r="HP61" s="433"/>
      <c r="HQ61" s="433"/>
      <c r="HR61" s="433"/>
      <c r="HS61" s="433"/>
      <c r="HT61" s="433"/>
      <c r="HU61" s="433"/>
      <c r="HV61" s="433"/>
      <c r="HW61" s="433"/>
      <c r="HX61" s="433"/>
      <c r="HY61" s="433"/>
      <c r="HZ61" s="433"/>
      <c r="IA61" s="433"/>
      <c r="IB61" s="433"/>
      <c r="IC61" s="433"/>
      <c r="ID61" s="433"/>
      <c r="IE61" s="433"/>
      <c r="IF61" s="433"/>
      <c r="IG61" s="433"/>
      <c r="IH61" s="433"/>
      <c r="II61" s="433"/>
      <c r="IJ61" s="433"/>
      <c r="IK61" s="433"/>
      <c r="IL61" s="433"/>
      <c r="IM61" s="433"/>
      <c r="IN61" s="433"/>
      <c r="IO61" s="433"/>
      <c r="IP61" s="433"/>
      <c r="IQ61" s="433"/>
      <c r="IR61" s="433"/>
      <c r="IS61" s="433"/>
      <c r="IT61" s="433"/>
      <c r="IU61" s="433"/>
      <c r="IV61" s="433"/>
      <c r="IW61" s="433"/>
      <c r="IX61" s="433"/>
      <c r="IY61" s="433"/>
      <c r="IZ61" s="433"/>
      <c r="JA61" s="433"/>
      <c r="JB61" s="433"/>
      <c r="JC61" s="433"/>
      <c r="JD61" s="433"/>
      <c r="JE61" s="433"/>
      <c r="JF61" s="433"/>
      <c r="JG61" s="433"/>
      <c r="JH61" s="433"/>
      <c r="JI61" s="433"/>
      <c r="JJ61" s="433"/>
      <c r="JK61" s="433"/>
      <c r="JL61" s="433"/>
      <c r="JM61" s="433"/>
      <c r="JN61" s="433"/>
      <c r="JO61" s="433"/>
      <c r="JP61" s="433"/>
      <c r="JQ61" s="433"/>
      <c r="JR61" s="433"/>
      <c r="JS61" s="433"/>
      <c r="JT61" s="433"/>
      <c r="JU61" s="433"/>
      <c r="JV61" s="433"/>
      <c r="JW61" s="433"/>
      <c r="JX61" s="433"/>
      <c r="JY61" s="433"/>
      <c r="JZ61" s="433"/>
      <c r="KA61" s="433"/>
      <c r="KB61" s="433"/>
      <c r="KC61" s="433"/>
      <c r="KD61" s="433"/>
      <c r="KE61" s="433"/>
      <c r="KF61" s="433"/>
      <c r="KG61" s="433"/>
      <c r="KH61" s="433"/>
      <c r="KI61" s="433"/>
      <c r="KJ61" s="433"/>
      <c r="KK61" s="433"/>
      <c r="KL61" s="433"/>
      <c r="KM61" s="433"/>
      <c r="KN61" s="433"/>
      <c r="KO61" s="433"/>
      <c r="KP61" s="433"/>
      <c r="KQ61" s="433"/>
      <c r="KR61" s="433"/>
      <c r="KS61" s="433"/>
      <c r="KT61" s="433"/>
      <c r="KU61" s="433"/>
      <c r="KV61" s="433"/>
      <c r="KW61" s="433"/>
      <c r="KX61" s="433"/>
      <c r="KY61" s="433"/>
      <c r="KZ61" s="433"/>
      <c r="LA61" s="433"/>
      <c r="LB61" s="433"/>
      <c r="LC61" s="433"/>
      <c r="LD61" s="433"/>
      <c r="LE61" s="433"/>
      <c r="LF61" s="433"/>
      <c r="LG61" s="433"/>
      <c r="LH61" s="433"/>
      <c r="LI61" s="433"/>
      <c r="LJ61" s="433"/>
      <c r="LK61" s="433"/>
      <c r="LL61" s="433"/>
      <c r="LM61" s="433"/>
      <c r="LN61" s="433"/>
      <c r="LO61" s="433"/>
      <c r="LP61" s="433"/>
      <c r="LQ61" s="433"/>
      <c r="LR61" s="433"/>
      <c r="LS61" s="433"/>
      <c r="LT61" s="433"/>
      <c r="LU61" s="433"/>
      <c r="LV61" s="433"/>
      <c r="LW61" s="433"/>
      <c r="LX61" s="433"/>
      <c r="LY61" s="433"/>
      <c r="LZ61" s="433"/>
      <c r="MA61" s="433"/>
      <c r="MB61" s="433"/>
      <c r="MC61" s="433"/>
      <c r="MD61" s="433"/>
      <c r="ME61" s="433"/>
      <c r="MF61" s="433"/>
      <c r="MG61" s="433"/>
      <c r="MH61" s="433"/>
      <c r="MI61" s="433"/>
      <c r="MJ61" s="433"/>
      <c r="MK61" s="433"/>
      <c r="ML61" s="433"/>
      <c r="MM61" s="433"/>
      <c r="MN61" s="433"/>
      <c r="MO61" s="433"/>
      <c r="MP61" s="433"/>
      <c r="MQ61" s="433"/>
      <c r="MR61" s="433"/>
      <c r="MS61" s="433"/>
      <c r="MT61" s="433"/>
      <c r="MU61" s="433"/>
      <c r="MV61" s="433"/>
      <c r="MW61" s="433"/>
      <c r="MX61" s="433"/>
      <c r="MY61" s="433"/>
      <c r="MZ61" s="433"/>
      <c r="NA61" s="433"/>
      <c r="NB61" s="433"/>
      <c r="NC61" s="433"/>
      <c r="ND61" s="433"/>
      <c r="NE61" s="433"/>
      <c r="NF61" s="433"/>
      <c r="NG61" s="433"/>
      <c r="NH61" s="433"/>
      <c r="NI61" s="433"/>
      <c r="NJ61" s="433"/>
      <c r="NK61" s="433"/>
      <c r="NL61" s="433"/>
      <c r="NM61" s="433"/>
      <c r="NN61" s="433"/>
      <c r="NO61" s="433"/>
      <c r="NP61" s="433"/>
      <c r="NQ61" s="433"/>
      <c r="NR61" s="433"/>
      <c r="NS61" s="433"/>
      <c r="NT61" s="433"/>
      <c r="NU61" s="433"/>
      <c r="NV61" s="433"/>
      <c r="NW61" s="433"/>
      <c r="NX61" s="433"/>
      <c r="NY61" s="433"/>
      <c r="NZ61" s="433"/>
      <c r="OA61" s="433"/>
      <c r="OB61" s="433"/>
      <c r="OC61" s="433"/>
      <c r="OD61" s="433"/>
      <c r="OE61" s="433"/>
      <c r="OF61" s="433"/>
      <c r="OG61" s="433"/>
      <c r="OH61" s="433"/>
      <c r="OI61" s="433"/>
      <c r="OJ61" s="433"/>
      <c r="OK61" s="433"/>
      <c r="OL61" s="433"/>
      <c r="OM61" s="433"/>
      <c r="ON61" s="433"/>
      <c r="OO61" s="433"/>
      <c r="OP61" s="433"/>
      <c r="OQ61" s="433"/>
      <c r="OR61" s="433"/>
      <c r="OS61" s="433"/>
      <c r="OT61" s="433"/>
      <c r="OU61" s="433"/>
      <c r="OV61" s="433"/>
      <c r="OW61" s="433"/>
      <c r="OX61" s="433"/>
      <c r="OY61" s="433"/>
      <c r="OZ61" s="433"/>
      <c r="PA61" s="433"/>
      <c r="PB61" s="433"/>
      <c r="PC61" s="433"/>
      <c r="PD61" s="433"/>
      <c r="PE61" s="433"/>
      <c r="PF61" s="433"/>
      <c r="PG61" s="433"/>
      <c r="PH61" s="433"/>
      <c r="PI61" s="433"/>
      <c r="PJ61" s="433"/>
      <c r="PK61" s="433"/>
      <c r="PL61" s="433"/>
      <c r="PM61" s="433"/>
      <c r="PN61" s="433"/>
      <c r="PO61" s="433"/>
      <c r="PP61" s="433"/>
      <c r="PQ61" s="433"/>
      <c r="PR61" s="433"/>
      <c r="PS61" s="433"/>
      <c r="PT61" s="433"/>
      <c r="PU61" s="433"/>
      <c r="PV61" s="433"/>
      <c r="PW61" s="433"/>
      <c r="PX61" s="433"/>
      <c r="PY61" s="433"/>
      <c r="PZ61" s="433"/>
      <c r="QA61" s="433"/>
      <c r="QB61" s="433"/>
      <c r="QC61" s="433"/>
      <c r="QD61" s="433"/>
      <c r="QE61" s="433"/>
      <c r="QF61" s="433"/>
      <c r="QG61" s="433"/>
      <c r="QH61" s="433"/>
      <c r="QI61" s="433"/>
      <c r="QJ61" s="433"/>
      <c r="QK61" s="433"/>
      <c r="QL61" s="433"/>
      <c r="QM61" s="433"/>
      <c r="QN61" s="433"/>
      <c r="QO61" s="433"/>
      <c r="QP61" s="433"/>
      <c r="QQ61" s="433"/>
      <c r="QR61" s="433"/>
      <c r="QS61" s="433"/>
      <c r="QT61" s="433"/>
      <c r="QU61" s="433"/>
      <c r="QV61" s="433"/>
      <c r="QW61" s="433"/>
      <c r="QX61" s="433"/>
      <c r="QY61" s="433"/>
      <c r="QZ61" s="433"/>
      <c r="RA61" s="433"/>
      <c r="RB61" s="433"/>
      <c r="RC61" s="433"/>
      <c r="RD61" s="433"/>
      <c r="RE61" s="433"/>
      <c r="RF61" s="433"/>
      <c r="RG61" s="433"/>
      <c r="RH61" s="433"/>
      <c r="RI61" s="433"/>
      <c r="RJ61" s="433"/>
      <c r="RK61" s="433"/>
      <c r="RL61" s="433"/>
      <c r="RM61" s="433"/>
      <c r="RN61" s="433"/>
      <c r="RO61" s="433"/>
      <c r="RP61" s="433"/>
      <c r="RQ61" s="433"/>
      <c r="RR61" s="433"/>
      <c r="RS61" s="433"/>
      <c r="RT61" s="433"/>
      <c r="RU61" s="433"/>
      <c r="RV61" s="433"/>
      <c r="RW61" s="433"/>
      <c r="RX61" s="433"/>
      <c r="RY61" s="433"/>
      <c r="RZ61" s="433"/>
      <c r="SA61" s="433"/>
      <c r="SB61" s="433"/>
      <c r="SC61" s="433"/>
      <c r="SD61" s="433"/>
      <c r="SE61" s="433"/>
      <c r="SF61" s="433"/>
      <c r="SG61" s="433"/>
      <c r="SH61" s="433"/>
      <c r="SI61" s="433"/>
      <c r="SJ61" s="433"/>
      <c r="SK61" s="433"/>
      <c r="SL61" s="433"/>
      <c r="SM61" s="433"/>
      <c r="SN61" s="433"/>
      <c r="SO61" s="433"/>
      <c r="SP61" s="433"/>
      <c r="SQ61" s="433"/>
      <c r="SR61" s="433"/>
      <c r="SS61" s="433"/>
      <c r="ST61" s="433"/>
      <c r="SU61" s="433"/>
      <c r="SV61" s="433"/>
      <c r="SW61" s="433"/>
      <c r="SX61" s="433"/>
      <c r="SY61" s="433"/>
      <c r="SZ61" s="433"/>
      <c r="TA61" s="433"/>
      <c r="TB61" s="433"/>
      <c r="TC61" s="433"/>
      <c r="TD61" s="433"/>
      <c r="TE61" s="433"/>
      <c r="TF61" s="433"/>
      <c r="TG61" s="433"/>
      <c r="TH61" s="433"/>
      <c r="TI61" s="433"/>
      <c r="TJ61" s="433"/>
      <c r="TK61" s="433"/>
      <c r="TL61" s="433"/>
      <c r="TM61" s="433"/>
      <c r="TN61" s="433"/>
      <c r="TO61" s="433"/>
      <c r="TP61" s="433"/>
      <c r="TQ61" s="433"/>
      <c r="TR61" s="433"/>
      <c r="TS61" s="433"/>
      <c r="TT61" s="433"/>
      <c r="TU61" s="433"/>
      <c r="TV61" s="433"/>
      <c r="TW61" s="433"/>
      <c r="TX61" s="433"/>
      <c r="TY61" s="433"/>
      <c r="TZ61" s="433"/>
      <c r="UA61" s="433"/>
      <c r="UB61" s="433"/>
      <c r="UC61" s="433"/>
      <c r="UD61" s="433"/>
      <c r="UE61" s="433"/>
      <c r="UF61" s="433"/>
      <c r="UG61" s="433"/>
      <c r="UH61" s="433"/>
      <c r="UI61" s="433"/>
      <c r="UJ61" s="433"/>
      <c r="UK61" s="433"/>
      <c r="UL61" s="433"/>
      <c r="UM61" s="433"/>
      <c r="UN61" s="433"/>
      <c r="UO61" s="433"/>
      <c r="UP61" s="433"/>
      <c r="UQ61" s="433"/>
      <c r="UR61" s="433"/>
      <c r="US61" s="433"/>
      <c r="UT61" s="433"/>
      <c r="UU61" s="433"/>
      <c r="UV61" s="433"/>
      <c r="UW61" s="433"/>
      <c r="UX61" s="433"/>
      <c r="UY61" s="433"/>
      <c r="UZ61" s="433"/>
      <c r="VA61" s="433"/>
      <c r="VB61" s="433"/>
      <c r="VC61" s="433"/>
      <c r="VD61" s="433"/>
      <c r="VE61" s="433"/>
      <c r="VF61" s="433"/>
      <c r="VG61" s="433"/>
      <c r="VH61" s="433"/>
      <c r="VI61" s="433"/>
      <c r="VJ61" s="433"/>
      <c r="VK61" s="433"/>
      <c r="VL61" s="433"/>
      <c r="VM61" s="433"/>
      <c r="VN61" s="433"/>
      <c r="VO61" s="433"/>
      <c r="VP61" s="433"/>
      <c r="VQ61" s="433"/>
      <c r="VR61" s="433"/>
      <c r="VS61" s="433"/>
      <c r="VT61" s="433"/>
      <c r="VU61" s="433"/>
      <c r="VV61" s="433"/>
      <c r="VW61" s="433"/>
      <c r="VX61" s="433"/>
      <c r="VY61" s="433"/>
      <c r="VZ61" s="433"/>
      <c r="WA61" s="433"/>
      <c r="WB61" s="433"/>
      <c r="WC61" s="433"/>
      <c r="WD61" s="433"/>
      <c r="WE61" s="433"/>
      <c r="WF61" s="433"/>
      <c r="WG61" s="433"/>
      <c r="WH61" s="433"/>
      <c r="WI61" s="433"/>
      <c r="WJ61" s="433"/>
      <c r="WK61" s="433"/>
      <c r="WL61" s="433"/>
      <c r="WM61" s="433"/>
      <c r="WN61" s="433"/>
      <c r="WO61" s="433"/>
      <c r="WP61" s="433"/>
      <c r="WQ61" s="433"/>
      <c r="WR61" s="433"/>
      <c r="WS61" s="433"/>
      <c r="WT61" s="433"/>
      <c r="WU61" s="433"/>
      <c r="WV61" s="433"/>
      <c r="WW61" s="433"/>
      <c r="WX61" s="433"/>
      <c r="WY61" s="433"/>
      <c r="WZ61" s="433"/>
      <c r="XA61" s="433"/>
      <c r="XB61" s="433"/>
      <c r="XC61" s="433"/>
      <c r="XD61" s="433"/>
      <c r="XE61" s="433"/>
      <c r="XF61" s="433"/>
      <c r="XG61" s="433"/>
      <c r="XH61" s="433"/>
      <c r="XI61" s="433"/>
      <c r="XJ61" s="433"/>
      <c r="XK61" s="433"/>
      <c r="XL61" s="433"/>
      <c r="XM61" s="433"/>
      <c r="XN61" s="433"/>
      <c r="XO61" s="433"/>
      <c r="XP61" s="433"/>
      <c r="XQ61" s="433"/>
      <c r="XR61" s="433"/>
      <c r="XS61" s="433"/>
      <c r="XT61" s="433"/>
      <c r="XU61" s="433"/>
      <c r="XV61" s="433"/>
      <c r="XW61" s="433"/>
      <c r="XX61" s="433"/>
      <c r="XY61" s="433"/>
      <c r="XZ61" s="433"/>
      <c r="YA61" s="433"/>
      <c r="YB61" s="433"/>
      <c r="YC61" s="433"/>
      <c r="YD61" s="433"/>
      <c r="YE61" s="433"/>
      <c r="YF61" s="433"/>
      <c r="YG61" s="433"/>
      <c r="YH61" s="433"/>
      <c r="YI61" s="433"/>
      <c r="YJ61" s="433"/>
      <c r="YK61" s="433"/>
      <c r="YL61" s="433"/>
      <c r="YM61" s="433"/>
      <c r="YN61" s="433"/>
      <c r="YO61" s="433"/>
      <c r="YP61" s="433"/>
      <c r="YQ61" s="433"/>
      <c r="YR61" s="433"/>
      <c r="YS61" s="433"/>
      <c r="YT61" s="433"/>
      <c r="YU61" s="433"/>
      <c r="YV61" s="433"/>
      <c r="YW61" s="433"/>
      <c r="YX61" s="433"/>
      <c r="YY61" s="433"/>
      <c r="YZ61" s="433"/>
      <c r="ZA61" s="433"/>
      <c r="ZB61" s="433"/>
      <c r="ZC61" s="433"/>
      <c r="ZD61" s="433"/>
      <c r="ZE61" s="433"/>
      <c r="ZF61" s="433"/>
      <c r="ZG61" s="433"/>
      <c r="ZH61" s="433"/>
      <c r="ZI61" s="433"/>
      <c r="ZJ61" s="433"/>
      <c r="ZK61" s="433"/>
      <c r="ZL61" s="433"/>
      <c r="ZM61" s="433"/>
      <c r="ZN61" s="433"/>
      <c r="ZO61" s="433"/>
      <c r="ZP61" s="433"/>
      <c r="ZQ61" s="433"/>
      <c r="ZR61" s="433"/>
      <c r="ZS61" s="433"/>
      <c r="ZT61" s="433"/>
      <c r="ZU61" s="433"/>
      <c r="ZV61" s="433"/>
      <c r="ZW61" s="433"/>
      <c r="ZX61" s="433"/>
      <c r="ZY61" s="433"/>
      <c r="ZZ61" s="433"/>
      <c r="AAA61" s="433"/>
      <c r="AAB61" s="433"/>
      <c r="AAC61" s="433"/>
      <c r="AAD61" s="433"/>
      <c r="AAE61" s="433"/>
      <c r="AAF61" s="433"/>
      <c r="AAG61" s="433"/>
      <c r="AAH61" s="433"/>
      <c r="AAI61" s="433"/>
      <c r="AAJ61" s="433"/>
      <c r="AAK61" s="433"/>
      <c r="AAL61" s="433"/>
      <c r="AAM61" s="433"/>
      <c r="AAN61" s="433"/>
      <c r="AAO61" s="433"/>
      <c r="AAP61" s="433"/>
      <c r="AAQ61" s="433"/>
      <c r="AAR61" s="433"/>
      <c r="AAS61" s="433"/>
      <c r="AAT61" s="433"/>
      <c r="AAU61" s="433"/>
      <c r="AAV61" s="433"/>
      <c r="AAW61" s="433"/>
      <c r="AAX61" s="433"/>
      <c r="AAY61" s="433"/>
      <c r="AAZ61" s="433"/>
      <c r="ABA61" s="433"/>
      <c r="ABB61" s="433"/>
      <c r="ABC61" s="433"/>
      <c r="ABD61" s="433"/>
      <c r="ABE61" s="433"/>
      <c r="ABF61" s="433"/>
      <c r="ABG61" s="433"/>
      <c r="ABH61" s="433"/>
      <c r="ABI61" s="433"/>
      <c r="ABJ61" s="433"/>
      <c r="ABK61" s="433"/>
      <c r="ABL61" s="433"/>
      <c r="ABM61" s="433"/>
      <c r="ABN61" s="433"/>
      <c r="ABO61" s="433"/>
      <c r="ABP61" s="433"/>
      <c r="ABQ61" s="433"/>
      <c r="ABR61" s="433"/>
      <c r="ABS61" s="433"/>
      <c r="ABT61" s="433"/>
      <c r="ABU61" s="433"/>
      <c r="ABV61" s="433"/>
      <c r="ABW61" s="433"/>
      <c r="ABX61" s="433"/>
      <c r="ABY61" s="433"/>
      <c r="ABZ61" s="433"/>
      <c r="ACA61" s="433"/>
      <c r="ACB61" s="433"/>
      <c r="ACC61" s="433"/>
      <c r="ACD61" s="433"/>
      <c r="ACE61" s="433"/>
      <c r="ACF61" s="433"/>
      <c r="ACG61" s="433"/>
      <c r="ACH61" s="433"/>
      <c r="ACI61" s="433"/>
      <c r="ACJ61" s="433"/>
      <c r="ACK61" s="433"/>
      <c r="ACL61" s="433"/>
      <c r="ACM61" s="433"/>
      <c r="ACN61" s="433"/>
      <c r="ACO61" s="433"/>
      <c r="ACP61" s="433"/>
      <c r="ACQ61" s="433"/>
      <c r="ACR61" s="433"/>
      <c r="ACS61" s="433"/>
      <c r="ACT61" s="433"/>
      <c r="ACU61" s="433"/>
      <c r="ACV61" s="433"/>
      <c r="ACW61" s="433"/>
      <c r="ACX61" s="433"/>
      <c r="ACY61" s="433"/>
      <c r="ACZ61" s="433"/>
      <c r="ADA61" s="433"/>
      <c r="ADB61" s="433"/>
      <c r="ADC61" s="433"/>
      <c r="ADD61" s="433"/>
      <c r="ADE61" s="433"/>
      <c r="ADF61" s="433"/>
      <c r="ADG61" s="433"/>
      <c r="ADH61" s="433"/>
      <c r="ADI61" s="433"/>
      <c r="ADJ61" s="433"/>
      <c r="ADK61" s="433"/>
      <c r="ADL61" s="433"/>
      <c r="ADM61" s="433"/>
      <c r="ADN61" s="433"/>
      <c r="ADO61" s="433"/>
      <c r="ADP61" s="433"/>
      <c r="ADQ61" s="433"/>
      <c r="ADR61" s="433"/>
      <c r="ADS61" s="433"/>
      <c r="ADT61" s="433"/>
      <c r="ADU61" s="433"/>
      <c r="ADV61" s="433"/>
      <c r="ADW61" s="433"/>
      <c r="ADX61" s="433"/>
      <c r="ADY61" s="433"/>
      <c r="ADZ61" s="433"/>
      <c r="AEA61" s="433"/>
      <c r="AEB61" s="433"/>
      <c r="AEC61" s="433"/>
      <c r="AED61" s="433"/>
      <c r="AEE61" s="433"/>
      <c r="AEF61" s="433"/>
      <c r="AEG61" s="433"/>
      <c r="AEH61" s="433"/>
      <c r="AEI61" s="433"/>
      <c r="AEJ61" s="433"/>
      <c r="AEK61" s="433"/>
      <c r="AEL61" s="433"/>
      <c r="AEM61" s="433"/>
      <c r="AEN61" s="433"/>
      <c r="AEO61" s="433"/>
      <c r="AEP61" s="433"/>
      <c r="AEQ61" s="433"/>
      <c r="AER61" s="433"/>
      <c r="AES61" s="433"/>
      <c r="AET61" s="433"/>
      <c r="AEU61" s="433"/>
      <c r="AEV61" s="433"/>
      <c r="AEW61" s="433"/>
      <c r="AEX61" s="433"/>
      <c r="AEY61" s="433"/>
      <c r="AEZ61" s="433"/>
      <c r="AFA61" s="433"/>
      <c r="AFB61" s="433"/>
      <c r="AFC61" s="433"/>
      <c r="AFD61" s="433"/>
      <c r="AFE61" s="433"/>
      <c r="AFF61" s="433"/>
      <c r="AFG61" s="433"/>
      <c r="AFH61" s="433"/>
      <c r="AFI61" s="433"/>
      <c r="AFJ61" s="433"/>
      <c r="AFK61" s="433"/>
      <c r="AFL61" s="433"/>
      <c r="AFM61" s="433"/>
      <c r="AFN61" s="433"/>
      <c r="AFO61" s="433"/>
      <c r="AFP61" s="433"/>
      <c r="AFQ61" s="433"/>
      <c r="AFR61" s="433"/>
      <c r="AFS61" s="433"/>
      <c r="AFT61" s="433"/>
      <c r="AFU61" s="433"/>
      <c r="AFV61" s="433"/>
      <c r="AFW61" s="433"/>
      <c r="AFX61" s="433"/>
      <c r="AFY61" s="433"/>
      <c r="AFZ61" s="433"/>
      <c r="AGA61" s="433"/>
      <c r="AGB61" s="433"/>
      <c r="AGC61" s="433"/>
      <c r="AGD61" s="433"/>
      <c r="AGE61" s="433"/>
      <c r="AGF61" s="433"/>
      <c r="AGG61" s="433"/>
      <c r="AGH61" s="433"/>
      <c r="AGI61" s="433"/>
      <c r="AGJ61" s="433"/>
    </row>
    <row r="62" spans="1:868" s="1" customFormat="1">
      <c r="A62" s="633" t="s">
        <v>118</v>
      </c>
      <c r="B62" s="777" t="s">
        <v>413</v>
      </c>
      <c r="C62" s="34" t="s">
        <v>139</v>
      </c>
      <c r="D62" s="122" t="s">
        <v>99</v>
      </c>
      <c r="E62" s="618">
        <f t="shared" si="22"/>
        <v>0.11360610632821515</v>
      </c>
      <c r="F62" s="9">
        <v>1</v>
      </c>
      <c r="G62" s="9" t="s">
        <v>412</v>
      </c>
      <c r="H62" s="10">
        <v>1</v>
      </c>
      <c r="I62" s="10">
        <v>2</v>
      </c>
      <c r="J62" s="10">
        <v>2</v>
      </c>
      <c r="K62" s="10">
        <v>1</v>
      </c>
      <c r="L62" s="10">
        <v>1</v>
      </c>
      <c r="M62" s="10">
        <v>2</v>
      </c>
      <c r="N62" s="402">
        <f t="shared" ref="N62:N129" si="25">IF( OR( ISBLANK(H62),ISBLANK(J62), ISBLANK(K62), ISBLANK(L62), ISBLANK(M62) ), "", 1.5*SQRT(   EXP(2.21*(H62-1)) + EXP(2.21*(J62-1)) + EXP(2.21*(K62-1)) + EXP(2.21*(L62-1)) + EXP(2.21*M62)   )/100*2.45 )</f>
        <v>0.35859414261160716</v>
      </c>
      <c r="O62" s="402">
        <f t="shared" ref="O62:O129" si="26">IF( OR( ISBLANK(I62),ISBLANK(J62), ISBLANK(K62), ISBLANK(L62), ISBLANK(M62) ), "", 1.5*SQRT( EXP(2.21*(I62-1)) + EXP(2.21*(J62-1)) + EXP(2.21*(K62-1)) + EXP(2.21*(L62-1)) + EXP(2.21*M62)   )/100*2.45 )</f>
        <v>0.37356464144298934</v>
      </c>
      <c r="P62" s="43"/>
      <c r="Q62" s="433"/>
      <c r="R62" s="433"/>
      <c r="S62" s="433"/>
      <c r="T62" s="433"/>
      <c r="U62" s="433"/>
      <c r="V62" s="433"/>
      <c r="W62" s="433"/>
      <c r="X62" s="433"/>
      <c r="Y62" s="433"/>
      <c r="Z62" s="433"/>
      <c r="AA62" s="433"/>
      <c r="AB62" s="433"/>
      <c r="AC62" s="433"/>
      <c r="AD62" s="433"/>
      <c r="AE62" s="433"/>
      <c r="AF62" s="433"/>
      <c r="AG62" s="433"/>
      <c r="AH62" s="433"/>
      <c r="AI62" s="433"/>
      <c r="AJ62" s="433"/>
      <c r="AK62" s="433"/>
      <c r="AL62" s="433"/>
      <c r="AM62" s="433"/>
      <c r="AN62" s="433"/>
      <c r="AO62" s="433"/>
      <c r="AP62" s="433"/>
      <c r="AQ62" s="433"/>
      <c r="AR62" s="433"/>
      <c r="AS62" s="433"/>
      <c r="AT62" s="433"/>
      <c r="AU62" s="433"/>
      <c r="AV62" s="433"/>
      <c r="AW62" s="433"/>
      <c r="AX62" s="433"/>
      <c r="AY62" s="433"/>
      <c r="AZ62" s="433"/>
      <c r="BA62" s="433"/>
      <c r="BB62" s="433"/>
      <c r="BC62" s="433"/>
      <c r="BD62" s="433"/>
      <c r="BE62" s="433"/>
      <c r="BF62" s="433"/>
      <c r="BG62" s="433"/>
      <c r="BH62" s="433"/>
      <c r="BI62" s="433"/>
      <c r="BJ62" s="433"/>
      <c r="BK62" s="433"/>
      <c r="BL62" s="433"/>
      <c r="BM62" s="433"/>
      <c r="BN62" s="433"/>
      <c r="BO62" s="433"/>
      <c r="BP62" s="433"/>
      <c r="BQ62" s="433"/>
      <c r="BR62" s="433"/>
      <c r="BS62" s="433"/>
      <c r="BT62" s="433"/>
      <c r="BU62" s="433"/>
      <c r="BV62" s="433"/>
      <c r="BW62" s="433"/>
      <c r="BX62" s="433"/>
      <c r="BY62" s="433"/>
      <c r="BZ62" s="433"/>
      <c r="CA62" s="433"/>
      <c r="CB62" s="433"/>
      <c r="CC62" s="433"/>
      <c r="CD62" s="433"/>
      <c r="CE62" s="433"/>
      <c r="CF62" s="433"/>
      <c r="CG62" s="433"/>
      <c r="CH62" s="433"/>
      <c r="CI62" s="433"/>
      <c r="CJ62" s="433"/>
      <c r="CK62" s="433"/>
      <c r="CL62" s="433"/>
      <c r="CM62" s="433"/>
      <c r="CN62" s="433"/>
      <c r="CO62" s="433"/>
      <c r="CP62" s="433"/>
      <c r="CQ62" s="433"/>
      <c r="CR62" s="433"/>
      <c r="CS62" s="433"/>
      <c r="CT62" s="433"/>
      <c r="CU62" s="433"/>
      <c r="CV62" s="433"/>
      <c r="CW62" s="433"/>
      <c r="CX62" s="433"/>
      <c r="CY62" s="433"/>
      <c r="CZ62" s="433"/>
      <c r="DA62" s="433"/>
      <c r="DB62" s="433"/>
      <c r="DC62" s="433"/>
      <c r="DD62" s="433"/>
      <c r="DE62" s="433"/>
      <c r="DF62" s="433"/>
      <c r="DG62" s="433"/>
      <c r="DH62" s="433"/>
      <c r="DI62" s="433"/>
      <c r="DJ62" s="433"/>
      <c r="DK62" s="433"/>
      <c r="DL62" s="433"/>
      <c r="DM62" s="433"/>
      <c r="DN62" s="433"/>
      <c r="DO62" s="433"/>
      <c r="DP62" s="433"/>
      <c r="DQ62" s="433"/>
      <c r="DR62" s="433"/>
      <c r="DS62" s="433"/>
      <c r="DT62" s="433"/>
      <c r="DU62" s="433"/>
      <c r="DV62" s="433"/>
      <c r="DW62" s="433"/>
      <c r="DX62" s="433"/>
      <c r="DY62" s="433"/>
      <c r="DZ62" s="433"/>
      <c r="EA62" s="433"/>
      <c r="EB62" s="433"/>
      <c r="EC62" s="433"/>
      <c r="ED62" s="433"/>
      <c r="EE62" s="433"/>
      <c r="EF62" s="433"/>
      <c r="EG62" s="433"/>
      <c r="EH62" s="433"/>
      <c r="EI62" s="433"/>
      <c r="EJ62" s="433"/>
      <c r="EK62" s="433"/>
      <c r="EL62" s="433"/>
      <c r="EM62" s="433"/>
      <c r="EN62" s="433"/>
      <c r="EO62" s="433"/>
      <c r="EP62" s="433"/>
      <c r="EQ62" s="433"/>
      <c r="ER62" s="433"/>
      <c r="ES62" s="433"/>
      <c r="ET62" s="433"/>
      <c r="EU62" s="433"/>
      <c r="EV62" s="433"/>
      <c r="EW62" s="433"/>
      <c r="EX62" s="433"/>
      <c r="EY62" s="433"/>
      <c r="EZ62" s="433"/>
      <c r="FA62" s="433"/>
      <c r="FB62" s="433"/>
      <c r="FC62" s="433"/>
      <c r="FD62" s="433"/>
      <c r="FE62" s="433"/>
      <c r="FF62" s="433"/>
      <c r="FG62" s="433"/>
      <c r="FH62" s="433"/>
      <c r="FI62" s="433"/>
      <c r="FJ62" s="433"/>
      <c r="FK62" s="433"/>
      <c r="FL62" s="433"/>
      <c r="FM62" s="433"/>
      <c r="FN62" s="433"/>
      <c r="FO62" s="433"/>
      <c r="FP62" s="433"/>
      <c r="FQ62" s="433"/>
      <c r="FR62" s="433"/>
      <c r="FS62" s="433"/>
      <c r="FT62" s="433"/>
      <c r="FU62" s="433"/>
      <c r="FV62" s="433"/>
      <c r="FW62" s="433"/>
      <c r="FX62" s="433"/>
      <c r="FY62" s="433"/>
      <c r="FZ62" s="433"/>
      <c r="GA62" s="433"/>
      <c r="GB62" s="433"/>
      <c r="GC62" s="433"/>
      <c r="GD62" s="433"/>
      <c r="GE62" s="433"/>
      <c r="GF62" s="433"/>
      <c r="GG62" s="433"/>
      <c r="GH62" s="433"/>
      <c r="GI62" s="433"/>
      <c r="GJ62" s="433"/>
      <c r="GK62" s="433"/>
      <c r="GL62" s="433"/>
      <c r="GM62" s="433"/>
      <c r="GN62" s="433"/>
      <c r="GO62" s="433"/>
      <c r="GP62" s="433"/>
      <c r="GQ62" s="433"/>
      <c r="GR62" s="433"/>
      <c r="GS62" s="433"/>
      <c r="GT62" s="433"/>
      <c r="GU62" s="433"/>
      <c r="GV62" s="433"/>
      <c r="GW62" s="433"/>
      <c r="GX62" s="433"/>
      <c r="GY62" s="433"/>
      <c r="GZ62" s="433"/>
      <c r="HA62" s="433"/>
      <c r="HB62" s="433"/>
      <c r="HC62" s="433"/>
      <c r="HD62" s="433"/>
      <c r="HE62" s="433"/>
      <c r="HF62" s="433"/>
      <c r="HG62" s="433"/>
      <c r="HH62" s="433"/>
      <c r="HI62" s="433"/>
      <c r="HJ62" s="433"/>
      <c r="HK62" s="433"/>
      <c r="HL62" s="433"/>
      <c r="HM62" s="433"/>
      <c r="HN62" s="433"/>
      <c r="HO62" s="433"/>
      <c r="HP62" s="433"/>
      <c r="HQ62" s="433"/>
      <c r="HR62" s="433"/>
      <c r="HS62" s="433"/>
      <c r="HT62" s="433"/>
      <c r="HU62" s="433"/>
      <c r="HV62" s="433"/>
      <c r="HW62" s="433"/>
      <c r="HX62" s="433"/>
      <c r="HY62" s="433"/>
      <c r="HZ62" s="433"/>
      <c r="IA62" s="433"/>
      <c r="IB62" s="433"/>
      <c r="IC62" s="433"/>
      <c r="ID62" s="433"/>
      <c r="IE62" s="433"/>
      <c r="IF62" s="433"/>
      <c r="IG62" s="433"/>
      <c r="IH62" s="433"/>
      <c r="II62" s="433"/>
      <c r="IJ62" s="433"/>
      <c r="IK62" s="433"/>
      <c r="IL62" s="433"/>
      <c r="IM62" s="433"/>
      <c r="IN62" s="433"/>
      <c r="IO62" s="433"/>
      <c r="IP62" s="433"/>
      <c r="IQ62" s="433"/>
      <c r="IR62" s="433"/>
      <c r="IS62" s="433"/>
      <c r="IT62" s="433"/>
      <c r="IU62" s="433"/>
      <c r="IV62" s="433"/>
      <c r="IW62" s="433"/>
      <c r="IX62" s="433"/>
      <c r="IY62" s="433"/>
      <c r="IZ62" s="433"/>
      <c r="JA62" s="433"/>
      <c r="JB62" s="433"/>
      <c r="JC62" s="433"/>
      <c r="JD62" s="433"/>
      <c r="JE62" s="433"/>
      <c r="JF62" s="433"/>
      <c r="JG62" s="433"/>
      <c r="JH62" s="433"/>
      <c r="JI62" s="433"/>
      <c r="JJ62" s="433"/>
      <c r="JK62" s="433"/>
      <c r="JL62" s="433"/>
      <c r="JM62" s="433"/>
      <c r="JN62" s="433"/>
      <c r="JO62" s="433"/>
      <c r="JP62" s="433"/>
      <c r="JQ62" s="433"/>
      <c r="JR62" s="433"/>
      <c r="JS62" s="433"/>
      <c r="JT62" s="433"/>
      <c r="JU62" s="433"/>
      <c r="JV62" s="433"/>
      <c r="JW62" s="433"/>
      <c r="JX62" s="433"/>
      <c r="JY62" s="433"/>
      <c r="JZ62" s="433"/>
      <c r="KA62" s="433"/>
      <c r="KB62" s="433"/>
      <c r="KC62" s="433"/>
      <c r="KD62" s="433"/>
      <c r="KE62" s="433"/>
      <c r="KF62" s="433"/>
      <c r="KG62" s="433"/>
      <c r="KH62" s="433"/>
      <c r="KI62" s="433"/>
      <c r="KJ62" s="433"/>
      <c r="KK62" s="433"/>
      <c r="KL62" s="433"/>
      <c r="KM62" s="433"/>
      <c r="KN62" s="433"/>
      <c r="KO62" s="433"/>
      <c r="KP62" s="433"/>
      <c r="KQ62" s="433"/>
      <c r="KR62" s="433"/>
      <c r="KS62" s="433"/>
      <c r="KT62" s="433"/>
      <c r="KU62" s="433"/>
      <c r="KV62" s="433"/>
      <c r="KW62" s="433"/>
      <c r="KX62" s="433"/>
      <c r="KY62" s="433"/>
      <c r="KZ62" s="433"/>
      <c r="LA62" s="433"/>
      <c r="LB62" s="433"/>
      <c r="LC62" s="433"/>
      <c r="LD62" s="433"/>
      <c r="LE62" s="433"/>
      <c r="LF62" s="433"/>
      <c r="LG62" s="433"/>
      <c r="LH62" s="433"/>
      <c r="LI62" s="433"/>
      <c r="LJ62" s="433"/>
      <c r="LK62" s="433"/>
      <c r="LL62" s="433"/>
      <c r="LM62" s="433"/>
      <c r="LN62" s="433"/>
      <c r="LO62" s="433"/>
      <c r="LP62" s="433"/>
      <c r="LQ62" s="433"/>
      <c r="LR62" s="433"/>
      <c r="LS62" s="433"/>
      <c r="LT62" s="433"/>
      <c r="LU62" s="433"/>
      <c r="LV62" s="433"/>
      <c r="LW62" s="433"/>
      <c r="LX62" s="433"/>
      <c r="LY62" s="433"/>
      <c r="LZ62" s="433"/>
      <c r="MA62" s="433"/>
      <c r="MB62" s="433"/>
      <c r="MC62" s="433"/>
      <c r="MD62" s="433"/>
      <c r="ME62" s="433"/>
      <c r="MF62" s="433"/>
      <c r="MG62" s="433"/>
      <c r="MH62" s="433"/>
      <c r="MI62" s="433"/>
      <c r="MJ62" s="433"/>
      <c r="MK62" s="433"/>
      <c r="ML62" s="433"/>
      <c r="MM62" s="433"/>
      <c r="MN62" s="433"/>
      <c r="MO62" s="433"/>
      <c r="MP62" s="433"/>
      <c r="MQ62" s="433"/>
      <c r="MR62" s="433"/>
      <c r="MS62" s="433"/>
      <c r="MT62" s="433"/>
      <c r="MU62" s="433"/>
      <c r="MV62" s="433"/>
      <c r="MW62" s="433"/>
      <c r="MX62" s="433"/>
      <c r="MY62" s="433"/>
      <c r="MZ62" s="433"/>
      <c r="NA62" s="433"/>
      <c r="NB62" s="433"/>
      <c r="NC62" s="433"/>
      <c r="ND62" s="433"/>
      <c r="NE62" s="433"/>
      <c r="NF62" s="433"/>
      <c r="NG62" s="433"/>
      <c r="NH62" s="433"/>
      <c r="NI62" s="433"/>
      <c r="NJ62" s="433"/>
      <c r="NK62" s="433"/>
      <c r="NL62" s="433"/>
      <c r="NM62" s="433"/>
      <c r="NN62" s="433"/>
      <c r="NO62" s="433"/>
      <c r="NP62" s="433"/>
      <c r="NQ62" s="433"/>
      <c r="NR62" s="433"/>
      <c r="NS62" s="433"/>
      <c r="NT62" s="433"/>
      <c r="NU62" s="433"/>
      <c r="NV62" s="433"/>
      <c r="NW62" s="433"/>
      <c r="NX62" s="433"/>
      <c r="NY62" s="433"/>
      <c r="NZ62" s="433"/>
      <c r="OA62" s="433"/>
      <c r="OB62" s="433"/>
      <c r="OC62" s="433"/>
      <c r="OD62" s="433"/>
      <c r="OE62" s="433"/>
      <c r="OF62" s="433"/>
      <c r="OG62" s="433"/>
      <c r="OH62" s="433"/>
      <c r="OI62" s="433"/>
      <c r="OJ62" s="433"/>
      <c r="OK62" s="433"/>
      <c r="OL62" s="433"/>
      <c r="OM62" s="433"/>
      <c r="ON62" s="433"/>
      <c r="OO62" s="433"/>
      <c r="OP62" s="433"/>
      <c r="OQ62" s="433"/>
      <c r="OR62" s="433"/>
      <c r="OS62" s="433"/>
      <c r="OT62" s="433"/>
      <c r="OU62" s="433"/>
      <c r="OV62" s="433"/>
      <c r="OW62" s="433"/>
      <c r="OX62" s="433"/>
      <c r="OY62" s="433"/>
      <c r="OZ62" s="433"/>
      <c r="PA62" s="433"/>
      <c r="PB62" s="433"/>
      <c r="PC62" s="433"/>
      <c r="PD62" s="433"/>
      <c r="PE62" s="433"/>
      <c r="PF62" s="433"/>
      <c r="PG62" s="433"/>
      <c r="PH62" s="433"/>
      <c r="PI62" s="433"/>
      <c r="PJ62" s="433"/>
      <c r="PK62" s="433"/>
      <c r="PL62" s="433"/>
      <c r="PM62" s="433"/>
      <c r="PN62" s="433"/>
      <c r="PO62" s="433"/>
      <c r="PP62" s="433"/>
      <c r="PQ62" s="433"/>
      <c r="PR62" s="433"/>
      <c r="PS62" s="433"/>
      <c r="PT62" s="433"/>
      <c r="PU62" s="433"/>
      <c r="PV62" s="433"/>
      <c r="PW62" s="433"/>
      <c r="PX62" s="433"/>
      <c r="PY62" s="433"/>
      <c r="PZ62" s="433"/>
      <c r="QA62" s="433"/>
      <c r="QB62" s="433"/>
      <c r="QC62" s="433"/>
      <c r="QD62" s="433"/>
      <c r="QE62" s="433"/>
      <c r="QF62" s="433"/>
      <c r="QG62" s="433"/>
      <c r="QH62" s="433"/>
      <c r="QI62" s="433"/>
      <c r="QJ62" s="433"/>
      <c r="QK62" s="433"/>
      <c r="QL62" s="433"/>
      <c r="QM62" s="433"/>
      <c r="QN62" s="433"/>
      <c r="QO62" s="433"/>
      <c r="QP62" s="433"/>
      <c r="QQ62" s="433"/>
      <c r="QR62" s="433"/>
      <c r="QS62" s="433"/>
      <c r="QT62" s="433"/>
      <c r="QU62" s="433"/>
      <c r="QV62" s="433"/>
      <c r="QW62" s="433"/>
      <c r="QX62" s="433"/>
      <c r="QY62" s="433"/>
      <c r="QZ62" s="433"/>
      <c r="RA62" s="433"/>
      <c r="RB62" s="433"/>
      <c r="RC62" s="433"/>
      <c r="RD62" s="433"/>
      <c r="RE62" s="433"/>
      <c r="RF62" s="433"/>
      <c r="RG62" s="433"/>
      <c r="RH62" s="433"/>
      <c r="RI62" s="433"/>
      <c r="RJ62" s="433"/>
      <c r="RK62" s="433"/>
      <c r="RL62" s="433"/>
      <c r="RM62" s="433"/>
      <c r="RN62" s="433"/>
      <c r="RO62" s="433"/>
      <c r="RP62" s="433"/>
      <c r="RQ62" s="433"/>
      <c r="RR62" s="433"/>
      <c r="RS62" s="433"/>
      <c r="RT62" s="433"/>
      <c r="RU62" s="433"/>
      <c r="RV62" s="433"/>
      <c r="RW62" s="433"/>
      <c r="RX62" s="433"/>
      <c r="RY62" s="433"/>
      <c r="RZ62" s="433"/>
      <c r="SA62" s="433"/>
      <c r="SB62" s="433"/>
      <c r="SC62" s="433"/>
      <c r="SD62" s="433"/>
      <c r="SE62" s="433"/>
      <c r="SF62" s="433"/>
      <c r="SG62" s="433"/>
      <c r="SH62" s="433"/>
      <c r="SI62" s="433"/>
      <c r="SJ62" s="433"/>
      <c r="SK62" s="433"/>
      <c r="SL62" s="433"/>
      <c r="SM62" s="433"/>
      <c r="SN62" s="433"/>
      <c r="SO62" s="433"/>
      <c r="SP62" s="433"/>
      <c r="SQ62" s="433"/>
      <c r="SR62" s="433"/>
      <c r="SS62" s="433"/>
      <c r="ST62" s="433"/>
      <c r="SU62" s="433"/>
      <c r="SV62" s="433"/>
      <c r="SW62" s="433"/>
      <c r="SX62" s="433"/>
      <c r="SY62" s="433"/>
      <c r="SZ62" s="433"/>
      <c r="TA62" s="433"/>
      <c r="TB62" s="433"/>
      <c r="TC62" s="433"/>
      <c r="TD62" s="433"/>
      <c r="TE62" s="433"/>
      <c r="TF62" s="433"/>
      <c r="TG62" s="433"/>
      <c r="TH62" s="433"/>
      <c r="TI62" s="433"/>
      <c r="TJ62" s="433"/>
      <c r="TK62" s="433"/>
      <c r="TL62" s="433"/>
      <c r="TM62" s="433"/>
      <c r="TN62" s="433"/>
      <c r="TO62" s="433"/>
      <c r="TP62" s="433"/>
      <c r="TQ62" s="433"/>
      <c r="TR62" s="433"/>
      <c r="TS62" s="433"/>
      <c r="TT62" s="433"/>
      <c r="TU62" s="433"/>
      <c r="TV62" s="433"/>
      <c r="TW62" s="433"/>
      <c r="TX62" s="433"/>
      <c r="TY62" s="433"/>
      <c r="TZ62" s="433"/>
      <c r="UA62" s="433"/>
      <c r="UB62" s="433"/>
      <c r="UC62" s="433"/>
      <c r="UD62" s="433"/>
      <c r="UE62" s="433"/>
      <c r="UF62" s="433"/>
      <c r="UG62" s="433"/>
      <c r="UH62" s="433"/>
      <c r="UI62" s="433"/>
      <c r="UJ62" s="433"/>
      <c r="UK62" s="433"/>
      <c r="UL62" s="433"/>
      <c r="UM62" s="433"/>
      <c r="UN62" s="433"/>
      <c r="UO62" s="433"/>
      <c r="UP62" s="433"/>
      <c r="UQ62" s="433"/>
      <c r="UR62" s="433"/>
      <c r="US62" s="433"/>
      <c r="UT62" s="433"/>
      <c r="UU62" s="433"/>
      <c r="UV62" s="433"/>
      <c r="UW62" s="433"/>
      <c r="UX62" s="433"/>
      <c r="UY62" s="433"/>
      <c r="UZ62" s="433"/>
      <c r="VA62" s="433"/>
      <c r="VB62" s="433"/>
      <c r="VC62" s="433"/>
      <c r="VD62" s="433"/>
      <c r="VE62" s="433"/>
      <c r="VF62" s="433"/>
      <c r="VG62" s="433"/>
      <c r="VH62" s="433"/>
      <c r="VI62" s="433"/>
      <c r="VJ62" s="433"/>
      <c r="VK62" s="433"/>
      <c r="VL62" s="433"/>
      <c r="VM62" s="433"/>
      <c r="VN62" s="433"/>
      <c r="VO62" s="433"/>
      <c r="VP62" s="433"/>
      <c r="VQ62" s="433"/>
      <c r="VR62" s="433"/>
      <c r="VS62" s="433"/>
      <c r="VT62" s="433"/>
      <c r="VU62" s="433"/>
      <c r="VV62" s="433"/>
      <c r="VW62" s="433"/>
      <c r="VX62" s="433"/>
      <c r="VY62" s="433"/>
      <c r="VZ62" s="433"/>
      <c r="WA62" s="433"/>
      <c r="WB62" s="433"/>
      <c r="WC62" s="433"/>
      <c r="WD62" s="433"/>
      <c r="WE62" s="433"/>
      <c r="WF62" s="433"/>
      <c r="WG62" s="433"/>
      <c r="WH62" s="433"/>
      <c r="WI62" s="433"/>
      <c r="WJ62" s="433"/>
      <c r="WK62" s="433"/>
      <c r="WL62" s="433"/>
      <c r="WM62" s="433"/>
      <c r="WN62" s="433"/>
      <c r="WO62" s="433"/>
      <c r="WP62" s="433"/>
      <c r="WQ62" s="433"/>
      <c r="WR62" s="433"/>
      <c r="WS62" s="433"/>
      <c r="WT62" s="433"/>
      <c r="WU62" s="433"/>
      <c r="WV62" s="433"/>
      <c r="WW62" s="433"/>
      <c r="WX62" s="433"/>
      <c r="WY62" s="433"/>
      <c r="WZ62" s="433"/>
      <c r="XA62" s="433"/>
      <c r="XB62" s="433"/>
      <c r="XC62" s="433"/>
      <c r="XD62" s="433"/>
      <c r="XE62" s="433"/>
      <c r="XF62" s="433"/>
      <c r="XG62" s="433"/>
      <c r="XH62" s="433"/>
      <c r="XI62" s="433"/>
      <c r="XJ62" s="433"/>
      <c r="XK62" s="433"/>
      <c r="XL62" s="433"/>
      <c r="XM62" s="433"/>
      <c r="XN62" s="433"/>
      <c r="XO62" s="433"/>
      <c r="XP62" s="433"/>
      <c r="XQ62" s="433"/>
      <c r="XR62" s="433"/>
      <c r="XS62" s="433"/>
      <c r="XT62" s="433"/>
      <c r="XU62" s="433"/>
      <c r="XV62" s="433"/>
      <c r="XW62" s="433"/>
      <c r="XX62" s="433"/>
      <c r="XY62" s="433"/>
      <c r="XZ62" s="433"/>
      <c r="YA62" s="433"/>
      <c r="YB62" s="433"/>
      <c r="YC62" s="433"/>
      <c r="YD62" s="433"/>
      <c r="YE62" s="433"/>
      <c r="YF62" s="433"/>
      <c r="YG62" s="433"/>
      <c r="YH62" s="433"/>
      <c r="YI62" s="433"/>
      <c r="YJ62" s="433"/>
      <c r="YK62" s="433"/>
      <c r="YL62" s="433"/>
      <c r="YM62" s="433"/>
      <c r="YN62" s="433"/>
      <c r="YO62" s="433"/>
      <c r="YP62" s="433"/>
      <c r="YQ62" s="433"/>
      <c r="YR62" s="433"/>
      <c r="YS62" s="433"/>
      <c r="YT62" s="433"/>
      <c r="YU62" s="433"/>
      <c r="YV62" s="433"/>
      <c r="YW62" s="433"/>
      <c r="YX62" s="433"/>
      <c r="YY62" s="433"/>
      <c r="YZ62" s="433"/>
      <c r="ZA62" s="433"/>
      <c r="ZB62" s="433"/>
      <c r="ZC62" s="433"/>
      <c r="ZD62" s="433"/>
      <c r="ZE62" s="433"/>
      <c r="ZF62" s="433"/>
      <c r="ZG62" s="433"/>
      <c r="ZH62" s="433"/>
      <c r="ZI62" s="433"/>
      <c r="ZJ62" s="433"/>
      <c r="ZK62" s="433"/>
      <c r="ZL62" s="433"/>
      <c r="ZM62" s="433"/>
      <c r="ZN62" s="433"/>
      <c r="ZO62" s="433"/>
      <c r="ZP62" s="433"/>
      <c r="ZQ62" s="433"/>
      <c r="ZR62" s="433"/>
      <c r="ZS62" s="433"/>
      <c r="ZT62" s="433"/>
      <c r="ZU62" s="433"/>
      <c r="ZV62" s="433"/>
      <c r="ZW62" s="433"/>
      <c r="ZX62" s="433"/>
      <c r="ZY62" s="433"/>
      <c r="ZZ62" s="433"/>
      <c r="AAA62" s="433"/>
      <c r="AAB62" s="433"/>
      <c r="AAC62" s="433"/>
      <c r="AAD62" s="433"/>
      <c r="AAE62" s="433"/>
      <c r="AAF62" s="433"/>
      <c r="AAG62" s="433"/>
      <c r="AAH62" s="433"/>
      <c r="AAI62" s="433"/>
      <c r="AAJ62" s="433"/>
      <c r="AAK62" s="433"/>
      <c r="AAL62" s="433"/>
      <c r="AAM62" s="433"/>
      <c r="AAN62" s="433"/>
      <c r="AAO62" s="433"/>
      <c r="AAP62" s="433"/>
      <c r="AAQ62" s="433"/>
      <c r="AAR62" s="433"/>
      <c r="AAS62" s="433"/>
      <c r="AAT62" s="433"/>
      <c r="AAU62" s="433"/>
      <c r="AAV62" s="433"/>
      <c r="AAW62" s="433"/>
      <c r="AAX62" s="433"/>
      <c r="AAY62" s="433"/>
      <c r="AAZ62" s="433"/>
      <c r="ABA62" s="433"/>
      <c r="ABB62" s="433"/>
      <c r="ABC62" s="433"/>
      <c r="ABD62" s="433"/>
      <c r="ABE62" s="433"/>
      <c r="ABF62" s="433"/>
      <c r="ABG62" s="433"/>
      <c r="ABH62" s="433"/>
      <c r="ABI62" s="433"/>
      <c r="ABJ62" s="433"/>
      <c r="ABK62" s="433"/>
      <c r="ABL62" s="433"/>
      <c r="ABM62" s="433"/>
      <c r="ABN62" s="433"/>
      <c r="ABO62" s="433"/>
      <c r="ABP62" s="433"/>
      <c r="ABQ62" s="433"/>
      <c r="ABR62" s="433"/>
      <c r="ABS62" s="433"/>
      <c r="ABT62" s="433"/>
      <c r="ABU62" s="433"/>
      <c r="ABV62" s="433"/>
      <c r="ABW62" s="433"/>
      <c r="ABX62" s="433"/>
      <c r="ABY62" s="433"/>
      <c r="ABZ62" s="433"/>
      <c r="ACA62" s="433"/>
      <c r="ACB62" s="433"/>
      <c r="ACC62" s="433"/>
      <c r="ACD62" s="433"/>
      <c r="ACE62" s="433"/>
      <c r="ACF62" s="433"/>
      <c r="ACG62" s="433"/>
      <c r="ACH62" s="433"/>
      <c r="ACI62" s="433"/>
      <c r="ACJ62" s="433"/>
      <c r="ACK62" s="433"/>
      <c r="ACL62" s="433"/>
      <c r="ACM62" s="433"/>
      <c r="ACN62" s="433"/>
      <c r="ACO62" s="433"/>
      <c r="ACP62" s="433"/>
      <c r="ACQ62" s="433"/>
      <c r="ACR62" s="433"/>
      <c r="ACS62" s="433"/>
      <c r="ACT62" s="433"/>
      <c r="ACU62" s="433"/>
      <c r="ACV62" s="433"/>
      <c r="ACW62" s="433"/>
      <c r="ACX62" s="433"/>
      <c r="ACY62" s="433"/>
      <c r="ACZ62" s="433"/>
      <c r="ADA62" s="433"/>
      <c r="ADB62" s="433"/>
      <c r="ADC62" s="433"/>
      <c r="ADD62" s="433"/>
      <c r="ADE62" s="433"/>
      <c r="ADF62" s="433"/>
      <c r="ADG62" s="433"/>
      <c r="ADH62" s="433"/>
      <c r="ADI62" s="433"/>
      <c r="ADJ62" s="433"/>
      <c r="ADK62" s="433"/>
      <c r="ADL62" s="433"/>
      <c r="ADM62" s="433"/>
      <c r="ADN62" s="433"/>
      <c r="ADO62" s="433"/>
      <c r="ADP62" s="433"/>
      <c r="ADQ62" s="433"/>
      <c r="ADR62" s="433"/>
      <c r="ADS62" s="433"/>
      <c r="ADT62" s="433"/>
      <c r="ADU62" s="433"/>
      <c r="ADV62" s="433"/>
      <c r="ADW62" s="433"/>
      <c r="ADX62" s="433"/>
      <c r="ADY62" s="433"/>
      <c r="ADZ62" s="433"/>
      <c r="AEA62" s="433"/>
      <c r="AEB62" s="433"/>
      <c r="AEC62" s="433"/>
      <c r="AED62" s="433"/>
      <c r="AEE62" s="433"/>
      <c r="AEF62" s="433"/>
      <c r="AEG62" s="433"/>
      <c r="AEH62" s="433"/>
      <c r="AEI62" s="433"/>
      <c r="AEJ62" s="433"/>
      <c r="AEK62" s="433"/>
      <c r="AEL62" s="433"/>
      <c r="AEM62" s="433"/>
      <c r="AEN62" s="433"/>
      <c r="AEO62" s="433"/>
      <c r="AEP62" s="433"/>
      <c r="AEQ62" s="433"/>
      <c r="AER62" s="433"/>
      <c r="AES62" s="433"/>
      <c r="AET62" s="433"/>
      <c r="AEU62" s="433"/>
      <c r="AEV62" s="433"/>
      <c r="AEW62" s="433"/>
      <c r="AEX62" s="433"/>
      <c r="AEY62" s="433"/>
      <c r="AEZ62" s="433"/>
      <c r="AFA62" s="433"/>
      <c r="AFB62" s="433"/>
      <c r="AFC62" s="433"/>
      <c r="AFD62" s="433"/>
      <c r="AFE62" s="433"/>
      <c r="AFF62" s="433"/>
      <c r="AFG62" s="433"/>
      <c r="AFH62" s="433"/>
      <c r="AFI62" s="433"/>
      <c r="AFJ62" s="433"/>
      <c r="AFK62" s="433"/>
      <c r="AFL62" s="433"/>
      <c r="AFM62" s="433"/>
      <c r="AFN62" s="433"/>
      <c r="AFO62" s="433"/>
      <c r="AFP62" s="433"/>
      <c r="AFQ62" s="433"/>
      <c r="AFR62" s="433"/>
      <c r="AFS62" s="433"/>
      <c r="AFT62" s="433"/>
      <c r="AFU62" s="433"/>
      <c r="AFV62" s="433"/>
      <c r="AFW62" s="433"/>
      <c r="AFX62" s="433"/>
      <c r="AFY62" s="433"/>
      <c r="AFZ62" s="433"/>
      <c r="AGA62" s="433"/>
      <c r="AGB62" s="433"/>
      <c r="AGC62" s="433"/>
      <c r="AGD62" s="433"/>
      <c r="AGE62" s="433"/>
      <c r="AGF62" s="433"/>
      <c r="AGG62" s="433"/>
      <c r="AGH62" s="433"/>
      <c r="AGI62" s="433"/>
      <c r="AGJ62" s="433"/>
    </row>
    <row r="63" spans="1:868" s="1" customFormat="1">
      <c r="A63" s="633" t="s">
        <v>118</v>
      </c>
      <c r="B63" s="777" t="s">
        <v>414</v>
      </c>
      <c r="C63" s="34" t="s">
        <v>139</v>
      </c>
      <c r="D63" s="122" t="s">
        <v>99</v>
      </c>
      <c r="E63" s="618">
        <f t="shared" si="22"/>
        <v>7.1003816455134469E-2</v>
      </c>
      <c r="F63" s="9">
        <v>1</v>
      </c>
      <c r="G63" s="9" t="s">
        <v>412</v>
      </c>
      <c r="H63" s="10">
        <v>1</v>
      </c>
      <c r="I63" s="10">
        <v>2</v>
      </c>
      <c r="J63" s="10">
        <v>2</v>
      </c>
      <c r="K63" s="10">
        <v>1</v>
      </c>
      <c r="L63" s="10">
        <v>1</v>
      </c>
      <c r="M63" s="10">
        <v>2</v>
      </c>
      <c r="N63" s="402">
        <f t="shared" si="25"/>
        <v>0.35859414261160716</v>
      </c>
      <c r="O63" s="402">
        <f t="shared" si="26"/>
        <v>0.37356464144298934</v>
      </c>
      <c r="P63" s="43"/>
      <c r="Q63" s="433"/>
      <c r="R63" s="433"/>
      <c r="S63" s="433"/>
      <c r="T63" s="433"/>
      <c r="U63" s="433"/>
      <c r="V63" s="433"/>
      <c r="W63" s="433"/>
      <c r="X63" s="433"/>
      <c r="Y63" s="433"/>
      <c r="Z63" s="433"/>
      <c r="AA63" s="433"/>
      <c r="AB63" s="433"/>
      <c r="AC63" s="433"/>
      <c r="AD63" s="433"/>
      <c r="AE63" s="433"/>
      <c r="AF63" s="433"/>
      <c r="AG63" s="433"/>
      <c r="AH63" s="433"/>
      <c r="AI63" s="433"/>
      <c r="AJ63" s="433"/>
      <c r="AK63" s="433"/>
      <c r="AL63" s="433"/>
      <c r="AM63" s="433"/>
      <c r="AN63" s="433"/>
      <c r="AO63" s="433"/>
      <c r="AP63" s="433"/>
      <c r="AQ63" s="433"/>
      <c r="AR63" s="433"/>
      <c r="AS63" s="433"/>
      <c r="AT63" s="433"/>
      <c r="AU63" s="433"/>
      <c r="AV63" s="433"/>
      <c r="AW63" s="433"/>
      <c r="AX63" s="433"/>
      <c r="AY63" s="433"/>
      <c r="AZ63" s="433"/>
      <c r="BA63" s="433"/>
      <c r="BB63" s="433"/>
      <c r="BC63" s="433"/>
      <c r="BD63" s="433"/>
      <c r="BE63" s="433"/>
      <c r="BF63" s="433"/>
      <c r="BG63" s="433"/>
      <c r="BH63" s="433"/>
      <c r="BI63" s="433"/>
      <c r="BJ63" s="433"/>
      <c r="BK63" s="433"/>
      <c r="BL63" s="433"/>
      <c r="BM63" s="433"/>
      <c r="BN63" s="433"/>
      <c r="BO63" s="433"/>
      <c r="BP63" s="433"/>
      <c r="BQ63" s="433"/>
      <c r="BR63" s="433"/>
      <c r="BS63" s="433"/>
      <c r="BT63" s="433"/>
      <c r="BU63" s="433"/>
      <c r="BV63" s="433"/>
      <c r="BW63" s="433"/>
      <c r="BX63" s="433"/>
      <c r="BY63" s="433"/>
      <c r="BZ63" s="433"/>
      <c r="CA63" s="433"/>
      <c r="CB63" s="433"/>
      <c r="CC63" s="433"/>
      <c r="CD63" s="433"/>
      <c r="CE63" s="433"/>
      <c r="CF63" s="433"/>
      <c r="CG63" s="433"/>
      <c r="CH63" s="433"/>
      <c r="CI63" s="433"/>
      <c r="CJ63" s="433"/>
      <c r="CK63" s="433"/>
      <c r="CL63" s="433"/>
      <c r="CM63" s="433"/>
      <c r="CN63" s="433"/>
      <c r="CO63" s="433"/>
      <c r="CP63" s="433"/>
      <c r="CQ63" s="433"/>
      <c r="CR63" s="433"/>
      <c r="CS63" s="433"/>
      <c r="CT63" s="433"/>
      <c r="CU63" s="433"/>
      <c r="CV63" s="433"/>
      <c r="CW63" s="433"/>
      <c r="CX63" s="433"/>
      <c r="CY63" s="433"/>
      <c r="CZ63" s="433"/>
      <c r="DA63" s="433"/>
      <c r="DB63" s="433"/>
      <c r="DC63" s="433"/>
      <c r="DD63" s="433"/>
      <c r="DE63" s="433"/>
      <c r="DF63" s="433"/>
      <c r="DG63" s="433"/>
      <c r="DH63" s="433"/>
      <c r="DI63" s="433"/>
      <c r="DJ63" s="433"/>
      <c r="DK63" s="433"/>
      <c r="DL63" s="433"/>
      <c r="DM63" s="433"/>
      <c r="DN63" s="433"/>
      <c r="DO63" s="433"/>
      <c r="DP63" s="433"/>
      <c r="DQ63" s="433"/>
      <c r="DR63" s="433"/>
      <c r="DS63" s="433"/>
      <c r="DT63" s="433"/>
      <c r="DU63" s="433"/>
      <c r="DV63" s="433"/>
      <c r="DW63" s="433"/>
      <c r="DX63" s="433"/>
      <c r="DY63" s="433"/>
      <c r="DZ63" s="433"/>
      <c r="EA63" s="433"/>
      <c r="EB63" s="433"/>
      <c r="EC63" s="433"/>
      <c r="ED63" s="433"/>
      <c r="EE63" s="433"/>
      <c r="EF63" s="433"/>
      <c r="EG63" s="433"/>
      <c r="EH63" s="433"/>
      <c r="EI63" s="433"/>
      <c r="EJ63" s="433"/>
      <c r="EK63" s="433"/>
      <c r="EL63" s="433"/>
      <c r="EM63" s="433"/>
      <c r="EN63" s="433"/>
      <c r="EO63" s="433"/>
      <c r="EP63" s="433"/>
      <c r="EQ63" s="433"/>
      <c r="ER63" s="433"/>
      <c r="ES63" s="433"/>
      <c r="ET63" s="433"/>
      <c r="EU63" s="433"/>
      <c r="EV63" s="433"/>
      <c r="EW63" s="433"/>
      <c r="EX63" s="433"/>
      <c r="EY63" s="433"/>
      <c r="EZ63" s="433"/>
      <c r="FA63" s="433"/>
      <c r="FB63" s="433"/>
      <c r="FC63" s="433"/>
      <c r="FD63" s="433"/>
      <c r="FE63" s="433"/>
      <c r="FF63" s="433"/>
      <c r="FG63" s="433"/>
      <c r="FH63" s="433"/>
      <c r="FI63" s="433"/>
      <c r="FJ63" s="433"/>
      <c r="FK63" s="433"/>
      <c r="FL63" s="433"/>
      <c r="FM63" s="433"/>
      <c r="FN63" s="433"/>
      <c r="FO63" s="433"/>
      <c r="FP63" s="433"/>
      <c r="FQ63" s="433"/>
      <c r="FR63" s="433"/>
      <c r="FS63" s="433"/>
      <c r="FT63" s="433"/>
      <c r="FU63" s="433"/>
      <c r="FV63" s="433"/>
      <c r="FW63" s="433"/>
      <c r="FX63" s="433"/>
      <c r="FY63" s="433"/>
      <c r="FZ63" s="433"/>
      <c r="GA63" s="433"/>
      <c r="GB63" s="433"/>
      <c r="GC63" s="433"/>
      <c r="GD63" s="433"/>
      <c r="GE63" s="433"/>
      <c r="GF63" s="433"/>
      <c r="GG63" s="433"/>
      <c r="GH63" s="433"/>
      <c r="GI63" s="433"/>
      <c r="GJ63" s="433"/>
      <c r="GK63" s="433"/>
      <c r="GL63" s="433"/>
      <c r="GM63" s="433"/>
      <c r="GN63" s="433"/>
      <c r="GO63" s="433"/>
      <c r="GP63" s="433"/>
      <c r="GQ63" s="433"/>
      <c r="GR63" s="433"/>
      <c r="GS63" s="433"/>
      <c r="GT63" s="433"/>
      <c r="GU63" s="433"/>
      <c r="GV63" s="433"/>
      <c r="GW63" s="433"/>
      <c r="GX63" s="433"/>
      <c r="GY63" s="433"/>
      <c r="GZ63" s="433"/>
      <c r="HA63" s="433"/>
      <c r="HB63" s="433"/>
      <c r="HC63" s="433"/>
      <c r="HD63" s="433"/>
      <c r="HE63" s="433"/>
      <c r="HF63" s="433"/>
      <c r="HG63" s="433"/>
      <c r="HH63" s="433"/>
      <c r="HI63" s="433"/>
      <c r="HJ63" s="433"/>
      <c r="HK63" s="433"/>
      <c r="HL63" s="433"/>
      <c r="HM63" s="433"/>
      <c r="HN63" s="433"/>
      <c r="HO63" s="433"/>
      <c r="HP63" s="433"/>
      <c r="HQ63" s="433"/>
      <c r="HR63" s="433"/>
      <c r="HS63" s="433"/>
      <c r="HT63" s="433"/>
      <c r="HU63" s="433"/>
      <c r="HV63" s="433"/>
      <c r="HW63" s="433"/>
      <c r="HX63" s="433"/>
      <c r="HY63" s="433"/>
      <c r="HZ63" s="433"/>
      <c r="IA63" s="433"/>
      <c r="IB63" s="433"/>
      <c r="IC63" s="433"/>
      <c r="ID63" s="433"/>
      <c r="IE63" s="433"/>
      <c r="IF63" s="433"/>
      <c r="IG63" s="433"/>
      <c r="IH63" s="433"/>
      <c r="II63" s="433"/>
      <c r="IJ63" s="433"/>
      <c r="IK63" s="433"/>
      <c r="IL63" s="433"/>
      <c r="IM63" s="433"/>
      <c r="IN63" s="433"/>
      <c r="IO63" s="433"/>
      <c r="IP63" s="433"/>
      <c r="IQ63" s="433"/>
      <c r="IR63" s="433"/>
      <c r="IS63" s="433"/>
      <c r="IT63" s="433"/>
      <c r="IU63" s="433"/>
      <c r="IV63" s="433"/>
      <c r="IW63" s="433"/>
      <c r="IX63" s="433"/>
      <c r="IY63" s="433"/>
      <c r="IZ63" s="433"/>
      <c r="JA63" s="433"/>
      <c r="JB63" s="433"/>
      <c r="JC63" s="433"/>
      <c r="JD63" s="433"/>
      <c r="JE63" s="433"/>
      <c r="JF63" s="433"/>
      <c r="JG63" s="433"/>
      <c r="JH63" s="433"/>
      <c r="JI63" s="433"/>
      <c r="JJ63" s="433"/>
      <c r="JK63" s="433"/>
      <c r="JL63" s="433"/>
      <c r="JM63" s="433"/>
      <c r="JN63" s="433"/>
      <c r="JO63" s="433"/>
      <c r="JP63" s="433"/>
      <c r="JQ63" s="433"/>
      <c r="JR63" s="433"/>
      <c r="JS63" s="433"/>
      <c r="JT63" s="433"/>
      <c r="JU63" s="433"/>
      <c r="JV63" s="433"/>
      <c r="JW63" s="433"/>
      <c r="JX63" s="433"/>
      <c r="JY63" s="433"/>
      <c r="JZ63" s="433"/>
      <c r="KA63" s="433"/>
      <c r="KB63" s="433"/>
      <c r="KC63" s="433"/>
      <c r="KD63" s="433"/>
      <c r="KE63" s="433"/>
      <c r="KF63" s="433"/>
      <c r="KG63" s="433"/>
      <c r="KH63" s="433"/>
      <c r="KI63" s="433"/>
      <c r="KJ63" s="433"/>
      <c r="KK63" s="433"/>
      <c r="KL63" s="433"/>
      <c r="KM63" s="433"/>
      <c r="KN63" s="433"/>
      <c r="KO63" s="433"/>
      <c r="KP63" s="433"/>
      <c r="KQ63" s="433"/>
      <c r="KR63" s="433"/>
      <c r="KS63" s="433"/>
      <c r="KT63" s="433"/>
      <c r="KU63" s="433"/>
      <c r="KV63" s="433"/>
      <c r="KW63" s="433"/>
      <c r="KX63" s="433"/>
      <c r="KY63" s="433"/>
      <c r="KZ63" s="433"/>
      <c r="LA63" s="433"/>
      <c r="LB63" s="433"/>
      <c r="LC63" s="433"/>
      <c r="LD63" s="433"/>
      <c r="LE63" s="433"/>
      <c r="LF63" s="433"/>
      <c r="LG63" s="433"/>
      <c r="LH63" s="433"/>
      <c r="LI63" s="433"/>
      <c r="LJ63" s="433"/>
      <c r="LK63" s="433"/>
      <c r="LL63" s="433"/>
      <c r="LM63" s="433"/>
      <c r="LN63" s="433"/>
      <c r="LO63" s="433"/>
      <c r="LP63" s="433"/>
      <c r="LQ63" s="433"/>
      <c r="LR63" s="433"/>
      <c r="LS63" s="433"/>
      <c r="LT63" s="433"/>
      <c r="LU63" s="433"/>
      <c r="LV63" s="433"/>
      <c r="LW63" s="433"/>
      <c r="LX63" s="433"/>
      <c r="LY63" s="433"/>
      <c r="LZ63" s="433"/>
      <c r="MA63" s="433"/>
      <c r="MB63" s="433"/>
      <c r="MC63" s="433"/>
      <c r="MD63" s="433"/>
      <c r="ME63" s="433"/>
      <c r="MF63" s="433"/>
      <c r="MG63" s="433"/>
      <c r="MH63" s="433"/>
      <c r="MI63" s="433"/>
      <c r="MJ63" s="433"/>
      <c r="MK63" s="433"/>
      <c r="ML63" s="433"/>
      <c r="MM63" s="433"/>
      <c r="MN63" s="433"/>
      <c r="MO63" s="433"/>
      <c r="MP63" s="433"/>
      <c r="MQ63" s="433"/>
      <c r="MR63" s="433"/>
      <c r="MS63" s="433"/>
      <c r="MT63" s="433"/>
      <c r="MU63" s="433"/>
      <c r="MV63" s="433"/>
      <c r="MW63" s="433"/>
      <c r="MX63" s="433"/>
      <c r="MY63" s="433"/>
      <c r="MZ63" s="433"/>
      <c r="NA63" s="433"/>
      <c r="NB63" s="433"/>
      <c r="NC63" s="433"/>
      <c r="ND63" s="433"/>
      <c r="NE63" s="433"/>
      <c r="NF63" s="433"/>
      <c r="NG63" s="433"/>
      <c r="NH63" s="433"/>
      <c r="NI63" s="433"/>
      <c r="NJ63" s="433"/>
      <c r="NK63" s="433"/>
      <c r="NL63" s="433"/>
      <c r="NM63" s="433"/>
      <c r="NN63" s="433"/>
      <c r="NO63" s="433"/>
      <c r="NP63" s="433"/>
      <c r="NQ63" s="433"/>
      <c r="NR63" s="433"/>
      <c r="NS63" s="433"/>
      <c r="NT63" s="433"/>
      <c r="NU63" s="433"/>
      <c r="NV63" s="433"/>
      <c r="NW63" s="433"/>
      <c r="NX63" s="433"/>
      <c r="NY63" s="433"/>
      <c r="NZ63" s="433"/>
      <c r="OA63" s="433"/>
      <c r="OB63" s="433"/>
      <c r="OC63" s="433"/>
      <c r="OD63" s="433"/>
      <c r="OE63" s="433"/>
      <c r="OF63" s="433"/>
      <c r="OG63" s="433"/>
      <c r="OH63" s="433"/>
      <c r="OI63" s="433"/>
      <c r="OJ63" s="433"/>
      <c r="OK63" s="433"/>
      <c r="OL63" s="433"/>
      <c r="OM63" s="433"/>
      <c r="ON63" s="433"/>
      <c r="OO63" s="433"/>
      <c r="OP63" s="433"/>
      <c r="OQ63" s="433"/>
      <c r="OR63" s="433"/>
      <c r="OS63" s="433"/>
      <c r="OT63" s="433"/>
      <c r="OU63" s="433"/>
      <c r="OV63" s="433"/>
      <c r="OW63" s="433"/>
      <c r="OX63" s="433"/>
      <c r="OY63" s="433"/>
      <c r="OZ63" s="433"/>
      <c r="PA63" s="433"/>
      <c r="PB63" s="433"/>
      <c r="PC63" s="433"/>
      <c r="PD63" s="433"/>
      <c r="PE63" s="433"/>
      <c r="PF63" s="433"/>
      <c r="PG63" s="433"/>
      <c r="PH63" s="433"/>
      <c r="PI63" s="433"/>
      <c r="PJ63" s="433"/>
      <c r="PK63" s="433"/>
      <c r="PL63" s="433"/>
      <c r="PM63" s="433"/>
      <c r="PN63" s="433"/>
      <c r="PO63" s="433"/>
      <c r="PP63" s="433"/>
      <c r="PQ63" s="433"/>
      <c r="PR63" s="433"/>
      <c r="PS63" s="433"/>
      <c r="PT63" s="433"/>
      <c r="PU63" s="433"/>
      <c r="PV63" s="433"/>
      <c r="PW63" s="433"/>
      <c r="PX63" s="433"/>
      <c r="PY63" s="433"/>
      <c r="PZ63" s="433"/>
      <c r="QA63" s="433"/>
      <c r="QB63" s="433"/>
      <c r="QC63" s="433"/>
      <c r="QD63" s="433"/>
      <c r="QE63" s="433"/>
      <c r="QF63" s="433"/>
      <c r="QG63" s="433"/>
      <c r="QH63" s="433"/>
      <c r="QI63" s="433"/>
      <c r="QJ63" s="433"/>
      <c r="QK63" s="433"/>
      <c r="QL63" s="433"/>
      <c r="QM63" s="433"/>
      <c r="QN63" s="433"/>
      <c r="QO63" s="433"/>
      <c r="QP63" s="433"/>
      <c r="QQ63" s="433"/>
      <c r="QR63" s="433"/>
      <c r="QS63" s="433"/>
      <c r="QT63" s="433"/>
      <c r="QU63" s="433"/>
      <c r="QV63" s="433"/>
      <c r="QW63" s="433"/>
      <c r="QX63" s="433"/>
      <c r="QY63" s="433"/>
      <c r="QZ63" s="433"/>
      <c r="RA63" s="433"/>
      <c r="RB63" s="433"/>
      <c r="RC63" s="433"/>
      <c r="RD63" s="433"/>
      <c r="RE63" s="433"/>
      <c r="RF63" s="433"/>
      <c r="RG63" s="433"/>
      <c r="RH63" s="433"/>
      <c r="RI63" s="433"/>
      <c r="RJ63" s="433"/>
      <c r="RK63" s="433"/>
      <c r="RL63" s="433"/>
      <c r="RM63" s="433"/>
      <c r="RN63" s="433"/>
      <c r="RO63" s="433"/>
      <c r="RP63" s="433"/>
      <c r="RQ63" s="433"/>
      <c r="RR63" s="433"/>
      <c r="RS63" s="433"/>
      <c r="RT63" s="433"/>
      <c r="RU63" s="433"/>
      <c r="RV63" s="433"/>
      <c r="RW63" s="433"/>
      <c r="RX63" s="433"/>
      <c r="RY63" s="433"/>
      <c r="RZ63" s="433"/>
      <c r="SA63" s="433"/>
      <c r="SB63" s="433"/>
      <c r="SC63" s="433"/>
      <c r="SD63" s="433"/>
      <c r="SE63" s="433"/>
      <c r="SF63" s="433"/>
      <c r="SG63" s="433"/>
      <c r="SH63" s="433"/>
      <c r="SI63" s="433"/>
      <c r="SJ63" s="433"/>
      <c r="SK63" s="433"/>
      <c r="SL63" s="433"/>
      <c r="SM63" s="433"/>
      <c r="SN63" s="433"/>
      <c r="SO63" s="433"/>
      <c r="SP63" s="433"/>
      <c r="SQ63" s="433"/>
      <c r="SR63" s="433"/>
      <c r="SS63" s="433"/>
      <c r="ST63" s="433"/>
      <c r="SU63" s="433"/>
      <c r="SV63" s="433"/>
      <c r="SW63" s="433"/>
      <c r="SX63" s="433"/>
      <c r="SY63" s="433"/>
      <c r="SZ63" s="433"/>
      <c r="TA63" s="433"/>
      <c r="TB63" s="433"/>
      <c r="TC63" s="433"/>
      <c r="TD63" s="433"/>
      <c r="TE63" s="433"/>
      <c r="TF63" s="433"/>
      <c r="TG63" s="433"/>
      <c r="TH63" s="433"/>
      <c r="TI63" s="433"/>
      <c r="TJ63" s="433"/>
      <c r="TK63" s="433"/>
      <c r="TL63" s="433"/>
      <c r="TM63" s="433"/>
      <c r="TN63" s="433"/>
      <c r="TO63" s="433"/>
      <c r="TP63" s="433"/>
      <c r="TQ63" s="433"/>
      <c r="TR63" s="433"/>
      <c r="TS63" s="433"/>
      <c r="TT63" s="433"/>
      <c r="TU63" s="433"/>
      <c r="TV63" s="433"/>
      <c r="TW63" s="433"/>
      <c r="TX63" s="433"/>
      <c r="TY63" s="433"/>
      <c r="TZ63" s="433"/>
      <c r="UA63" s="433"/>
      <c r="UB63" s="433"/>
      <c r="UC63" s="433"/>
      <c r="UD63" s="433"/>
      <c r="UE63" s="433"/>
      <c r="UF63" s="433"/>
      <c r="UG63" s="433"/>
      <c r="UH63" s="433"/>
      <c r="UI63" s="433"/>
      <c r="UJ63" s="433"/>
      <c r="UK63" s="433"/>
      <c r="UL63" s="433"/>
      <c r="UM63" s="433"/>
      <c r="UN63" s="433"/>
      <c r="UO63" s="433"/>
      <c r="UP63" s="433"/>
      <c r="UQ63" s="433"/>
      <c r="UR63" s="433"/>
      <c r="US63" s="433"/>
      <c r="UT63" s="433"/>
      <c r="UU63" s="433"/>
      <c r="UV63" s="433"/>
      <c r="UW63" s="433"/>
      <c r="UX63" s="433"/>
      <c r="UY63" s="433"/>
      <c r="UZ63" s="433"/>
      <c r="VA63" s="433"/>
      <c r="VB63" s="433"/>
      <c r="VC63" s="433"/>
      <c r="VD63" s="433"/>
      <c r="VE63" s="433"/>
      <c r="VF63" s="433"/>
      <c r="VG63" s="433"/>
      <c r="VH63" s="433"/>
      <c r="VI63" s="433"/>
      <c r="VJ63" s="433"/>
      <c r="VK63" s="433"/>
      <c r="VL63" s="433"/>
      <c r="VM63" s="433"/>
      <c r="VN63" s="433"/>
      <c r="VO63" s="433"/>
      <c r="VP63" s="433"/>
      <c r="VQ63" s="433"/>
      <c r="VR63" s="433"/>
      <c r="VS63" s="433"/>
      <c r="VT63" s="433"/>
      <c r="VU63" s="433"/>
      <c r="VV63" s="433"/>
      <c r="VW63" s="433"/>
      <c r="VX63" s="433"/>
      <c r="VY63" s="433"/>
      <c r="VZ63" s="433"/>
      <c r="WA63" s="433"/>
      <c r="WB63" s="433"/>
      <c r="WC63" s="433"/>
      <c r="WD63" s="433"/>
      <c r="WE63" s="433"/>
      <c r="WF63" s="433"/>
      <c r="WG63" s="433"/>
      <c r="WH63" s="433"/>
      <c r="WI63" s="433"/>
      <c r="WJ63" s="433"/>
      <c r="WK63" s="433"/>
      <c r="WL63" s="433"/>
      <c r="WM63" s="433"/>
      <c r="WN63" s="433"/>
      <c r="WO63" s="433"/>
      <c r="WP63" s="433"/>
      <c r="WQ63" s="433"/>
      <c r="WR63" s="433"/>
      <c r="WS63" s="433"/>
      <c r="WT63" s="433"/>
      <c r="WU63" s="433"/>
      <c r="WV63" s="433"/>
      <c r="WW63" s="433"/>
      <c r="WX63" s="433"/>
      <c r="WY63" s="433"/>
      <c r="WZ63" s="433"/>
      <c r="XA63" s="433"/>
      <c r="XB63" s="433"/>
      <c r="XC63" s="433"/>
      <c r="XD63" s="433"/>
      <c r="XE63" s="433"/>
      <c r="XF63" s="433"/>
      <c r="XG63" s="433"/>
      <c r="XH63" s="433"/>
      <c r="XI63" s="433"/>
      <c r="XJ63" s="433"/>
      <c r="XK63" s="433"/>
      <c r="XL63" s="433"/>
      <c r="XM63" s="433"/>
      <c r="XN63" s="433"/>
      <c r="XO63" s="433"/>
      <c r="XP63" s="433"/>
      <c r="XQ63" s="433"/>
      <c r="XR63" s="433"/>
      <c r="XS63" s="433"/>
      <c r="XT63" s="433"/>
      <c r="XU63" s="433"/>
      <c r="XV63" s="433"/>
      <c r="XW63" s="433"/>
      <c r="XX63" s="433"/>
      <c r="XY63" s="433"/>
      <c r="XZ63" s="433"/>
      <c r="YA63" s="433"/>
      <c r="YB63" s="433"/>
      <c r="YC63" s="433"/>
      <c r="YD63" s="433"/>
      <c r="YE63" s="433"/>
      <c r="YF63" s="433"/>
      <c r="YG63" s="433"/>
      <c r="YH63" s="433"/>
      <c r="YI63" s="433"/>
      <c r="YJ63" s="433"/>
      <c r="YK63" s="433"/>
      <c r="YL63" s="433"/>
      <c r="YM63" s="433"/>
      <c r="YN63" s="433"/>
      <c r="YO63" s="433"/>
      <c r="YP63" s="433"/>
      <c r="YQ63" s="433"/>
      <c r="YR63" s="433"/>
      <c r="YS63" s="433"/>
      <c r="YT63" s="433"/>
      <c r="YU63" s="433"/>
      <c r="YV63" s="433"/>
      <c r="YW63" s="433"/>
      <c r="YX63" s="433"/>
      <c r="YY63" s="433"/>
      <c r="YZ63" s="433"/>
      <c r="ZA63" s="433"/>
      <c r="ZB63" s="433"/>
      <c r="ZC63" s="433"/>
      <c r="ZD63" s="433"/>
      <c r="ZE63" s="433"/>
      <c r="ZF63" s="433"/>
      <c r="ZG63" s="433"/>
      <c r="ZH63" s="433"/>
      <c r="ZI63" s="433"/>
      <c r="ZJ63" s="433"/>
      <c r="ZK63" s="433"/>
      <c r="ZL63" s="433"/>
      <c r="ZM63" s="433"/>
      <c r="ZN63" s="433"/>
      <c r="ZO63" s="433"/>
      <c r="ZP63" s="433"/>
      <c r="ZQ63" s="433"/>
      <c r="ZR63" s="433"/>
      <c r="ZS63" s="433"/>
      <c r="ZT63" s="433"/>
      <c r="ZU63" s="433"/>
      <c r="ZV63" s="433"/>
      <c r="ZW63" s="433"/>
      <c r="ZX63" s="433"/>
      <c r="ZY63" s="433"/>
      <c r="ZZ63" s="433"/>
      <c r="AAA63" s="433"/>
      <c r="AAB63" s="433"/>
      <c r="AAC63" s="433"/>
      <c r="AAD63" s="433"/>
      <c r="AAE63" s="433"/>
      <c r="AAF63" s="433"/>
      <c r="AAG63" s="433"/>
      <c r="AAH63" s="433"/>
      <c r="AAI63" s="433"/>
      <c r="AAJ63" s="433"/>
      <c r="AAK63" s="433"/>
      <c r="AAL63" s="433"/>
      <c r="AAM63" s="433"/>
      <c r="AAN63" s="433"/>
      <c r="AAO63" s="433"/>
      <c r="AAP63" s="433"/>
      <c r="AAQ63" s="433"/>
      <c r="AAR63" s="433"/>
      <c r="AAS63" s="433"/>
      <c r="AAT63" s="433"/>
      <c r="AAU63" s="433"/>
      <c r="AAV63" s="433"/>
      <c r="AAW63" s="433"/>
      <c r="AAX63" s="433"/>
      <c r="AAY63" s="433"/>
      <c r="AAZ63" s="433"/>
      <c r="ABA63" s="433"/>
      <c r="ABB63" s="433"/>
      <c r="ABC63" s="433"/>
      <c r="ABD63" s="433"/>
      <c r="ABE63" s="433"/>
      <c r="ABF63" s="433"/>
      <c r="ABG63" s="433"/>
      <c r="ABH63" s="433"/>
      <c r="ABI63" s="433"/>
      <c r="ABJ63" s="433"/>
      <c r="ABK63" s="433"/>
      <c r="ABL63" s="433"/>
      <c r="ABM63" s="433"/>
      <c r="ABN63" s="433"/>
      <c r="ABO63" s="433"/>
      <c r="ABP63" s="433"/>
      <c r="ABQ63" s="433"/>
      <c r="ABR63" s="433"/>
      <c r="ABS63" s="433"/>
      <c r="ABT63" s="433"/>
      <c r="ABU63" s="433"/>
      <c r="ABV63" s="433"/>
      <c r="ABW63" s="433"/>
      <c r="ABX63" s="433"/>
      <c r="ABY63" s="433"/>
      <c r="ABZ63" s="433"/>
      <c r="ACA63" s="433"/>
      <c r="ACB63" s="433"/>
      <c r="ACC63" s="433"/>
      <c r="ACD63" s="433"/>
      <c r="ACE63" s="433"/>
      <c r="ACF63" s="433"/>
      <c r="ACG63" s="433"/>
      <c r="ACH63" s="433"/>
      <c r="ACI63" s="433"/>
      <c r="ACJ63" s="433"/>
      <c r="ACK63" s="433"/>
      <c r="ACL63" s="433"/>
      <c r="ACM63" s="433"/>
      <c r="ACN63" s="433"/>
      <c r="ACO63" s="433"/>
      <c r="ACP63" s="433"/>
      <c r="ACQ63" s="433"/>
      <c r="ACR63" s="433"/>
      <c r="ACS63" s="433"/>
      <c r="ACT63" s="433"/>
      <c r="ACU63" s="433"/>
      <c r="ACV63" s="433"/>
      <c r="ACW63" s="433"/>
      <c r="ACX63" s="433"/>
      <c r="ACY63" s="433"/>
      <c r="ACZ63" s="433"/>
      <c r="ADA63" s="433"/>
      <c r="ADB63" s="433"/>
      <c r="ADC63" s="433"/>
      <c r="ADD63" s="433"/>
      <c r="ADE63" s="433"/>
      <c r="ADF63" s="433"/>
      <c r="ADG63" s="433"/>
      <c r="ADH63" s="433"/>
      <c r="ADI63" s="433"/>
      <c r="ADJ63" s="433"/>
      <c r="ADK63" s="433"/>
      <c r="ADL63" s="433"/>
      <c r="ADM63" s="433"/>
      <c r="ADN63" s="433"/>
      <c r="ADO63" s="433"/>
      <c r="ADP63" s="433"/>
      <c r="ADQ63" s="433"/>
      <c r="ADR63" s="433"/>
      <c r="ADS63" s="433"/>
      <c r="ADT63" s="433"/>
      <c r="ADU63" s="433"/>
      <c r="ADV63" s="433"/>
      <c r="ADW63" s="433"/>
      <c r="ADX63" s="433"/>
      <c r="ADY63" s="433"/>
      <c r="ADZ63" s="433"/>
      <c r="AEA63" s="433"/>
      <c r="AEB63" s="433"/>
      <c r="AEC63" s="433"/>
      <c r="AED63" s="433"/>
      <c r="AEE63" s="433"/>
      <c r="AEF63" s="433"/>
      <c r="AEG63" s="433"/>
      <c r="AEH63" s="433"/>
      <c r="AEI63" s="433"/>
      <c r="AEJ63" s="433"/>
      <c r="AEK63" s="433"/>
      <c r="AEL63" s="433"/>
      <c r="AEM63" s="433"/>
      <c r="AEN63" s="433"/>
      <c r="AEO63" s="433"/>
      <c r="AEP63" s="433"/>
      <c r="AEQ63" s="433"/>
      <c r="AER63" s="433"/>
      <c r="AES63" s="433"/>
      <c r="AET63" s="433"/>
      <c r="AEU63" s="433"/>
      <c r="AEV63" s="433"/>
      <c r="AEW63" s="433"/>
      <c r="AEX63" s="433"/>
      <c r="AEY63" s="433"/>
      <c r="AEZ63" s="433"/>
      <c r="AFA63" s="433"/>
      <c r="AFB63" s="433"/>
      <c r="AFC63" s="433"/>
      <c r="AFD63" s="433"/>
      <c r="AFE63" s="433"/>
      <c r="AFF63" s="433"/>
      <c r="AFG63" s="433"/>
      <c r="AFH63" s="433"/>
      <c r="AFI63" s="433"/>
      <c r="AFJ63" s="433"/>
      <c r="AFK63" s="433"/>
      <c r="AFL63" s="433"/>
      <c r="AFM63" s="433"/>
      <c r="AFN63" s="433"/>
      <c r="AFO63" s="433"/>
      <c r="AFP63" s="433"/>
      <c r="AFQ63" s="433"/>
      <c r="AFR63" s="433"/>
      <c r="AFS63" s="433"/>
      <c r="AFT63" s="433"/>
      <c r="AFU63" s="433"/>
      <c r="AFV63" s="433"/>
      <c r="AFW63" s="433"/>
      <c r="AFX63" s="433"/>
      <c r="AFY63" s="433"/>
      <c r="AFZ63" s="433"/>
      <c r="AGA63" s="433"/>
      <c r="AGB63" s="433"/>
      <c r="AGC63" s="433"/>
      <c r="AGD63" s="433"/>
      <c r="AGE63" s="433"/>
      <c r="AGF63" s="433"/>
      <c r="AGG63" s="433"/>
      <c r="AGH63" s="433"/>
      <c r="AGI63" s="433"/>
      <c r="AGJ63" s="433"/>
    </row>
    <row r="64" spans="1:868" s="1" customFormat="1">
      <c r="A64" s="633" t="s">
        <v>118</v>
      </c>
      <c r="B64" s="777" t="s">
        <v>415</v>
      </c>
      <c r="C64" s="34" t="s">
        <v>139</v>
      </c>
      <c r="D64" s="122" t="s">
        <v>99</v>
      </c>
      <c r="E64" s="618">
        <f t="shared" si="22"/>
        <v>7.810419810064792E-2</v>
      </c>
      <c r="F64" s="9">
        <v>1</v>
      </c>
      <c r="G64" s="9" t="s">
        <v>412</v>
      </c>
      <c r="H64" s="10">
        <v>1</v>
      </c>
      <c r="I64" s="10">
        <v>2</v>
      </c>
      <c r="J64" s="10">
        <v>2</v>
      </c>
      <c r="K64" s="10">
        <v>1</v>
      </c>
      <c r="L64" s="10">
        <v>1</v>
      </c>
      <c r="M64" s="10">
        <v>2</v>
      </c>
      <c r="N64" s="402">
        <f t="shared" si="25"/>
        <v>0.35859414261160716</v>
      </c>
      <c r="O64" s="402">
        <f t="shared" si="26"/>
        <v>0.37356464144298934</v>
      </c>
      <c r="P64" s="43"/>
      <c r="Q64" s="433"/>
      <c r="R64" s="433"/>
      <c r="S64" s="433"/>
      <c r="T64" s="433"/>
      <c r="U64" s="433"/>
      <c r="V64" s="433"/>
      <c r="W64" s="433"/>
      <c r="X64" s="433"/>
      <c r="Y64" s="433"/>
      <c r="Z64" s="433"/>
      <c r="AA64" s="433"/>
      <c r="AB64" s="433"/>
      <c r="AC64" s="433"/>
      <c r="AD64" s="433"/>
      <c r="AE64" s="433"/>
      <c r="AF64" s="433"/>
      <c r="AG64" s="433"/>
      <c r="AH64" s="433"/>
      <c r="AI64" s="433"/>
      <c r="AJ64" s="433"/>
      <c r="AK64" s="433"/>
      <c r="AL64" s="433"/>
      <c r="AM64" s="433"/>
      <c r="AN64" s="433"/>
      <c r="AO64" s="433"/>
      <c r="AP64" s="433"/>
      <c r="AQ64" s="433"/>
      <c r="AR64" s="433"/>
      <c r="AS64" s="433"/>
      <c r="AT64" s="433"/>
      <c r="AU64" s="433"/>
      <c r="AV64" s="433"/>
      <c r="AW64" s="433"/>
      <c r="AX64" s="433"/>
      <c r="AY64" s="433"/>
      <c r="AZ64" s="433"/>
      <c r="BA64" s="433"/>
      <c r="BB64" s="433"/>
      <c r="BC64" s="433"/>
      <c r="BD64" s="433"/>
      <c r="BE64" s="433"/>
      <c r="BF64" s="433"/>
      <c r="BG64" s="433"/>
      <c r="BH64" s="433"/>
      <c r="BI64" s="433"/>
      <c r="BJ64" s="433"/>
      <c r="BK64" s="433"/>
      <c r="BL64" s="433"/>
      <c r="BM64" s="433"/>
      <c r="BN64" s="433"/>
      <c r="BO64" s="433"/>
      <c r="BP64" s="433"/>
      <c r="BQ64" s="433"/>
      <c r="BR64" s="433"/>
      <c r="BS64" s="433"/>
      <c r="BT64" s="433"/>
      <c r="BU64" s="433"/>
      <c r="BV64" s="433"/>
      <c r="BW64" s="433"/>
      <c r="BX64" s="433"/>
      <c r="BY64" s="433"/>
      <c r="BZ64" s="433"/>
      <c r="CA64" s="433"/>
      <c r="CB64" s="433"/>
      <c r="CC64" s="433"/>
      <c r="CD64" s="433"/>
      <c r="CE64" s="433"/>
      <c r="CF64" s="433"/>
      <c r="CG64" s="433"/>
      <c r="CH64" s="433"/>
      <c r="CI64" s="433"/>
      <c r="CJ64" s="433"/>
      <c r="CK64" s="433"/>
      <c r="CL64" s="433"/>
      <c r="CM64" s="433"/>
      <c r="CN64" s="433"/>
      <c r="CO64" s="433"/>
      <c r="CP64" s="433"/>
      <c r="CQ64" s="433"/>
      <c r="CR64" s="433"/>
      <c r="CS64" s="433"/>
      <c r="CT64" s="433"/>
      <c r="CU64" s="433"/>
      <c r="CV64" s="433"/>
      <c r="CW64" s="433"/>
      <c r="CX64" s="433"/>
      <c r="CY64" s="433"/>
      <c r="CZ64" s="433"/>
      <c r="DA64" s="433"/>
      <c r="DB64" s="433"/>
      <c r="DC64" s="433"/>
      <c r="DD64" s="433"/>
      <c r="DE64" s="433"/>
      <c r="DF64" s="433"/>
      <c r="DG64" s="433"/>
      <c r="DH64" s="433"/>
      <c r="DI64" s="433"/>
      <c r="DJ64" s="433"/>
      <c r="DK64" s="433"/>
      <c r="DL64" s="433"/>
      <c r="DM64" s="433"/>
      <c r="DN64" s="433"/>
      <c r="DO64" s="433"/>
      <c r="DP64" s="433"/>
      <c r="DQ64" s="433"/>
      <c r="DR64" s="433"/>
      <c r="DS64" s="433"/>
      <c r="DT64" s="433"/>
      <c r="DU64" s="433"/>
      <c r="DV64" s="433"/>
      <c r="DW64" s="433"/>
      <c r="DX64" s="433"/>
      <c r="DY64" s="433"/>
      <c r="DZ64" s="433"/>
      <c r="EA64" s="433"/>
      <c r="EB64" s="433"/>
      <c r="EC64" s="433"/>
      <c r="ED64" s="433"/>
      <c r="EE64" s="433"/>
      <c r="EF64" s="433"/>
      <c r="EG64" s="433"/>
      <c r="EH64" s="433"/>
      <c r="EI64" s="433"/>
      <c r="EJ64" s="433"/>
      <c r="EK64" s="433"/>
      <c r="EL64" s="433"/>
      <c r="EM64" s="433"/>
      <c r="EN64" s="433"/>
      <c r="EO64" s="433"/>
      <c r="EP64" s="433"/>
      <c r="EQ64" s="433"/>
      <c r="ER64" s="433"/>
      <c r="ES64" s="433"/>
      <c r="ET64" s="433"/>
      <c r="EU64" s="433"/>
      <c r="EV64" s="433"/>
      <c r="EW64" s="433"/>
      <c r="EX64" s="433"/>
      <c r="EY64" s="433"/>
      <c r="EZ64" s="433"/>
      <c r="FA64" s="433"/>
      <c r="FB64" s="433"/>
      <c r="FC64" s="433"/>
      <c r="FD64" s="433"/>
      <c r="FE64" s="433"/>
      <c r="FF64" s="433"/>
      <c r="FG64" s="433"/>
      <c r="FH64" s="433"/>
      <c r="FI64" s="433"/>
      <c r="FJ64" s="433"/>
      <c r="FK64" s="433"/>
      <c r="FL64" s="433"/>
      <c r="FM64" s="433"/>
      <c r="FN64" s="433"/>
      <c r="FO64" s="433"/>
      <c r="FP64" s="433"/>
      <c r="FQ64" s="433"/>
      <c r="FR64" s="433"/>
      <c r="FS64" s="433"/>
      <c r="FT64" s="433"/>
      <c r="FU64" s="433"/>
      <c r="FV64" s="433"/>
      <c r="FW64" s="433"/>
      <c r="FX64" s="433"/>
      <c r="FY64" s="433"/>
      <c r="FZ64" s="433"/>
      <c r="GA64" s="433"/>
      <c r="GB64" s="433"/>
      <c r="GC64" s="433"/>
      <c r="GD64" s="433"/>
      <c r="GE64" s="433"/>
      <c r="GF64" s="433"/>
      <c r="GG64" s="433"/>
      <c r="GH64" s="433"/>
      <c r="GI64" s="433"/>
      <c r="GJ64" s="433"/>
      <c r="GK64" s="433"/>
      <c r="GL64" s="433"/>
      <c r="GM64" s="433"/>
      <c r="GN64" s="433"/>
      <c r="GO64" s="433"/>
      <c r="GP64" s="433"/>
      <c r="GQ64" s="433"/>
      <c r="GR64" s="433"/>
      <c r="GS64" s="433"/>
      <c r="GT64" s="433"/>
      <c r="GU64" s="433"/>
      <c r="GV64" s="433"/>
      <c r="GW64" s="433"/>
      <c r="GX64" s="433"/>
      <c r="GY64" s="433"/>
      <c r="GZ64" s="433"/>
      <c r="HA64" s="433"/>
      <c r="HB64" s="433"/>
      <c r="HC64" s="433"/>
      <c r="HD64" s="433"/>
      <c r="HE64" s="433"/>
      <c r="HF64" s="433"/>
      <c r="HG64" s="433"/>
      <c r="HH64" s="433"/>
      <c r="HI64" s="433"/>
      <c r="HJ64" s="433"/>
      <c r="HK64" s="433"/>
      <c r="HL64" s="433"/>
      <c r="HM64" s="433"/>
      <c r="HN64" s="433"/>
      <c r="HO64" s="433"/>
      <c r="HP64" s="433"/>
      <c r="HQ64" s="433"/>
      <c r="HR64" s="433"/>
      <c r="HS64" s="433"/>
      <c r="HT64" s="433"/>
      <c r="HU64" s="433"/>
      <c r="HV64" s="433"/>
      <c r="HW64" s="433"/>
      <c r="HX64" s="433"/>
      <c r="HY64" s="433"/>
      <c r="HZ64" s="433"/>
      <c r="IA64" s="433"/>
      <c r="IB64" s="433"/>
      <c r="IC64" s="433"/>
      <c r="ID64" s="433"/>
      <c r="IE64" s="433"/>
      <c r="IF64" s="433"/>
      <c r="IG64" s="433"/>
      <c r="IH64" s="433"/>
      <c r="II64" s="433"/>
      <c r="IJ64" s="433"/>
      <c r="IK64" s="433"/>
      <c r="IL64" s="433"/>
      <c r="IM64" s="433"/>
      <c r="IN64" s="433"/>
      <c r="IO64" s="433"/>
      <c r="IP64" s="433"/>
      <c r="IQ64" s="433"/>
      <c r="IR64" s="433"/>
      <c r="IS64" s="433"/>
      <c r="IT64" s="433"/>
      <c r="IU64" s="433"/>
      <c r="IV64" s="433"/>
      <c r="IW64" s="433"/>
      <c r="IX64" s="433"/>
      <c r="IY64" s="433"/>
      <c r="IZ64" s="433"/>
      <c r="JA64" s="433"/>
      <c r="JB64" s="433"/>
      <c r="JC64" s="433"/>
      <c r="JD64" s="433"/>
      <c r="JE64" s="433"/>
      <c r="JF64" s="433"/>
      <c r="JG64" s="433"/>
      <c r="JH64" s="433"/>
      <c r="JI64" s="433"/>
      <c r="JJ64" s="433"/>
      <c r="JK64" s="433"/>
      <c r="JL64" s="433"/>
      <c r="JM64" s="433"/>
      <c r="JN64" s="433"/>
      <c r="JO64" s="433"/>
      <c r="JP64" s="433"/>
      <c r="JQ64" s="433"/>
      <c r="JR64" s="433"/>
      <c r="JS64" s="433"/>
      <c r="JT64" s="433"/>
      <c r="JU64" s="433"/>
      <c r="JV64" s="433"/>
      <c r="JW64" s="433"/>
      <c r="JX64" s="433"/>
      <c r="JY64" s="433"/>
      <c r="JZ64" s="433"/>
      <c r="KA64" s="433"/>
      <c r="KB64" s="433"/>
      <c r="KC64" s="433"/>
      <c r="KD64" s="433"/>
      <c r="KE64" s="433"/>
      <c r="KF64" s="433"/>
      <c r="KG64" s="433"/>
      <c r="KH64" s="433"/>
      <c r="KI64" s="433"/>
      <c r="KJ64" s="433"/>
      <c r="KK64" s="433"/>
      <c r="KL64" s="433"/>
      <c r="KM64" s="433"/>
      <c r="KN64" s="433"/>
      <c r="KO64" s="433"/>
      <c r="KP64" s="433"/>
      <c r="KQ64" s="433"/>
      <c r="KR64" s="433"/>
      <c r="KS64" s="433"/>
      <c r="KT64" s="433"/>
      <c r="KU64" s="433"/>
      <c r="KV64" s="433"/>
      <c r="KW64" s="433"/>
      <c r="KX64" s="433"/>
      <c r="KY64" s="433"/>
      <c r="KZ64" s="433"/>
      <c r="LA64" s="433"/>
      <c r="LB64" s="433"/>
      <c r="LC64" s="433"/>
      <c r="LD64" s="433"/>
      <c r="LE64" s="433"/>
      <c r="LF64" s="433"/>
      <c r="LG64" s="433"/>
      <c r="LH64" s="433"/>
      <c r="LI64" s="433"/>
      <c r="LJ64" s="433"/>
      <c r="LK64" s="433"/>
      <c r="LL64" s="433"/>
      <c r="LM64" s="433"/>
      <c r="LN64" s="433"/>
      <c r="LO64" s="433"/>
      <c r="LP64" s="433"/>
      <c r="LQ64" s="433"/>
      <c r="LR64" s="433"/>
      <c r="LS64" s="433"/>
      <c r="LT64" s="433"/>
      <c r="LU64" s="433"/>
      <c r="LV64" s="433"/>
      <c r="LW64" s="433"/>
      <c r="LX64" s="433"/>
      <c r="LY64" s="433"/>
      <c r="LZ64" s="433"/>
      <c r="MA64" s="433"/>
      <c r="MB64" s="433"/>
      <c r="MC64" s="433"/>
      <c r="MD64" s="433"/>
      <c r="ME64" s="433"/>
      <c r="MF64" s="433"/>
      <c r="MG64" s="433"/>
      <c r="MH64" s="433"/>
      <c r="MI64" s="433"/>
      <c r="MJ64" s="433"/>
      <c r="MK64" s="433"/>
      <c r="ML64" s="433"/>
      <c r="MM64" s="433"/>
      <c r="MN64" s="433"/>
      <c r="MO64" s="433"/>
      <c r="MP64" s="433"/>
      <c r="MQ64" s="433"/>
      <c r="MR64" s="433"/>
      <c r="MS64" s="433"/>
      <c r="MT64" s="433"/>
      <c r="MU64" s="433"/>
      <c r="MV64" s="433"/>
      <c r="MW64" s="433"/>
      <c r="MX64" s="433"/>
      <c r="MY64" s="433"/>
      <c r="MZ64" s="433"/>
      <c r="NA64" s="433"/>
      <c r="NB64" s="433"/>
      <c r="NC64" s="433"/>
      <c r="ND64" s="433"/>
      <c r="NE64" s="433"/>
      <c r="NF64" s="433"/>
      <c r="NG64" s="433"/>
      <c r="NH64" s="433"/>
      <c r="NI64" s="433"/>
      <c r="NJ64" s="433"/>
      <c r="NK64" s="433"/>
      <c r="NL64" s="433"/>
      <c r="NM64" s="433"/>
      <c r="NN64" s="433"/>
      <c r="NO64" s="433"/>
      <c r="NP64" s="433"/>
      <c r="NQ64" s="433"/>
      <c r="NR64" s="433"/>
      <c r="NS64" s="433"/>
      <c r="NT64" s="433"/>
      <c r="NU64" s="433"/>
      <c r="NV64" s="433"/>
      <c r="NW64" s="433"/>
      <c r="NX64" s="433"/>
      <c r="NY64" s="433"/>
      <c r="NZ64" s="433"/>
      <c r="OA64" s="433"/>
      <c r="OB64" s="433"/>
      <c r="OC64" s="433"/>
      <c r="OD64" s="433"/>
      <c r="OE64" s="433"/>
      <c r="OF64" s="433"/>
      <c r="OG64" s="433"/>
      <c r="OH64" s="433"/>
      <c r="OI64" s="433"/>
      <c r="OJ64" s="433"/>
      <c r="OK64" s="433"/>
      <c r="OL64" s="433"/>
      <c r="OM64" s="433"/>
      <c r="ON64" s="433"/>
      <c r="OO64" s="433"/>
      <c r="OP64" s="433"/>
      <c r="OQ64" s="433"/>
      <c r="OR64" s="433"/>
      <c r="OS64" s="433"/>
      <c r="OT64" s="433"/>
      <c r="OU64" s="433"/>
      <c r="OV64" s="433"/>
      <c r="OW64" s="433"/>
      <c r="OX64" s="433"/>
      <c r="OY64" s="433"/>
      <c r="OZ64" s="433"/>
      <c r="PA64" s="433"/>
      <c r="PB64" s="433"/>
      <c r="PC64" s="433"/>
      <c r="PD64" s="433"/>
      <c r="PE64" s="433"/>
      <c r="PF64" s="433"/>
      <c r="PG64" s="433"/>
      <c r="PH64" s="433"/>
      <c r="PI64" s="433"/>
      <c r="PJ64" s="433"/>
      <c r="PK64" s="433"/>
      <c r="PL64" s="433"/>
      <c r="PM64" s="433"/>
      <c r="PN64" s="433"/>
      <c r="PO64" s="433"/>
      <c r="PP64" s="433"/>
      <c r="PQ64" s="433"/>
      <c r="PR64" s="433"/>
      <c r="PS64" s="433"/>
      <c r="PT64" s="433"/>
      <c r="PU64" s="433"/>
      <c r="PV64" s="433"/>
      <c r="PW64" s="433"/>
      <c r="PX64" s="433"/>
      <c r="PY64" s="433"/>
      <c r="PZ64" s="433"/>
      <c r="QA64" s="433"/>
      <c r="QB64" s="433"/>
      <c r="QC64" s="433"/>
      <c r="QD64" s="433"/>
      <c r="QE64" s="433"/>
      <c r="QF64" s="433"/>
      <c r="QG64" s="433"/>
      <c r="QH64" s="433"/>
      <c r="QI64" s="433"/>
      <c r="QJ64" s="433"/>
      <c r="QK64" s="433"/>
      <c r="QL64" s="433"/>
      <c r="QM64" s="433"/>
      <c r="QN64" s="433"/>
      <c r="QO64" s="433"/>
      <c r="QP64" s="433"/>
      <c r="QQ64" s="433"/>
      <c r="QR64" s="433"/>
      <c r="QS64" s="433"/>
      <c r="QT64" s="433"/>
      <c r="QU64" s="433"/>
      <c r="QV64" s="433"/>
      <c r="QW64" s="433"/>
      <c r="QX64" s="433"/>
      <c r="QY64" s="433"/>
      <c r="QZ64" s="433"/>
      <c r="RA64" s="433"/>
      <c r="RB64" s="433"/>
      <c r="RC64" s="433"/>
      <c r="RD64" s="433"/>
      <c r="RE64" s="433"/>
      <c r="RF64" s="433"/>
      <c r="RG64" s="433"/>
      <c r="RH64" s="433"/>
      <c r="RI64" s="433"/>
      <c r="RJ64" s="433"/>
      <c r="RK64" s="433"/>
      <c r="RL64" s="433"/>
      <c r="RM64" s="433"/>
      <c r="RN64" s="433"/>
      <c r="RO64" s="433"/>
      <c r="RP64" s="433"/>
      <c r="RQ64" s="433"/>
      <c r="RR64" s="433"/>
      <c r="RS64" s="433"/>
      <c r="RT64" s="433"/>
      <c r="RU64" s="433"/>
      <c r="RV64" s="433"/>
      <c r="RW64" s="433"/>
      <c r="RX64" s="433"/>
      <c r="RY64" s="433"/>
      <c r="RZ64" s="433"/>
      <c r="SA64" s="433"/>
      <c r="SB64" s="433"/>
      <c r="SC64" s="433"/>
      <c r="SD64" s="433"/>
      <c r="SE64" s="433"/>
      <c r="SF64" s="433"/>
      <c r="SG64" s="433"/>
      <c r="SH64" s="433"/>
      <c r="SI64" s="433"/>
      <c r="SJ64" s="433"/>
      <c r="SK64" s="433"/>
      <c r="SL64" s="433"/>
      <c r="SM64" s="433"/>
      <c r="SN64" s="433"/>
      <c r="SO64" s="433"/>
      <c r="SP64" s="433"/>
      <c r="SQ64" s="433"/>
      <c r="SR64" s="433"/>
      <c r="SS64" s="433"/>
      <c r="ST64" s="433"/>
      <c r="SU64" s="433"/>
      <c r="SV64" s="433"/>
      <c r="SW64" s="433"/>
      <c r="SX64" s="433"/>
      <c r="SY64" s="433"/>
      <c r="SZ64" s="433"/>
      <c r="TA64" s="433"/>
      <c r="TB64" s="433"/>
      <c r="TC64" s="433"/>
      <c r="TD64" s="433"/>
      <c r="TE64" s="433"/>
      <c r="TF64" s="433"/>
      <c r="TG64" s="433"/>
      <c r="TH64" s="433"/>
      <c r="TI64" s="433"/>
      <c r="TJ64" s="433"/>
      <c r="TK64" s="433"/>
      <c r="TL64" s="433"/>
      <c r="TM64" s="433"/>
      <c r="TN64" s="433"/>
      <c r="TO64" s="433"/>
      <c r="TP64" s="433"/>
      <c r="TQ64" s="433"/>
      <c r="TR64" s="433"/>
      <c r="TS64" s="433"/>
      <c r="TT64" s="433"/>
      <c r="TU64" s="433"/>
      <c r="TV64" s="433"/>
      <c r="TW64" s="433"/>
      <c r="TX64" s="433"/>
      <c r="TY64" s="433"/>
      <c r="TZ64" s="433"/>
      <c r="UA64" s="433"/>
      <c r="UB64" s="433"/>
      <c r="UC64" s="433"/>
      <c r="UD64" s="433"/>
      <c r="UE64" s="433"/>
      <c r="UF64" s="433"/>
      <c r="UG64" s="433"/>
      <c r="UH64" s="433"/>
      <c r="UI64" s="433"/>
      <c r="UJ64" s="433"/>
      <c r="UK64" s="433"/>
      <c r="UL64" s="433"/>
      <c r="UM64" s="433"/>
      <c r="UN64" s="433"/>
      <c r="UO64" s="433"/>
      <c r="UP64" s="433"/>
      <c r="UQ64" s="433"/>
      <c r="UR64" s="433"/>
      <c r="US64" s="433"/>
      <c r="UT64" s="433"/>
      <c r="UU64" s="433"/>
      <c r="UV64" s="433"/>
      <c r="UW64" s="433"/>
      <c r="UX64" s="433"/>
      <c r="UY64" s="433"/>
      <c r="UZ64" s="433"/>
      <c r="VA64" s="433"/>
      <c r="VB64" s="433"/>
      <c r="VC64" s="433"/>
      <c r="VD64" s="433"/>
      <c r="VE64" s="433"/>
      <c r="VF64" s="433"/>
      <c r="VG64" s="433"/>
      <c r="VH64" s="433"/>
      <c r="VI64" s="433"/>
      <c r="VJ64" s="433"/>
      <c r="VK64" s="433"/>
      <c r="VL64" s="433"/>
      <c r="VM64" s="433"/>
      <c r="VN64" s="433"/>
      <c r="VO64" s="433"/>
      <c r="VP64" s="433"/>
      <c r="VQ64" s="433"/>
      <c r="VR64" s="433"/>
      <c r="VS64" s="433"/>
      <c r="VT64" s="433"/>
      <c r="VU64" s="433"/>
      <c r="VV64" s="433"/>
      <c r="VW64" s="433"/>
      <c r="VX64" s="433"/>
      <c r="VY64" s="433"/>
      <c r="VZ64" s="433"/>
      <c r="WA64" s="433"/>
      <c r="WB64" s="433"/>
      <c r="WC64" s="433"/>
      <c r="WD64" s="433"/>
      <c r="WE64" s="433"/>
      <c r="WF64" s="433"/>
      <c r="WG64" s="433"/>
      <c r="WH64" s="433"/>
      <c r="WI64" s="433"/>
      <c r="WJ64" s="433"/>
      <c r="WK64" s="433"/>
      <c r="WL64" s="433"/>
      <c r="WM64" s="433"/>
      <c r="WN64" s="433"/>
      <c r="WO64" s="433"/>
      <c r="WP64" s="433"/>
      <c r="WQ64" s="433"/>
      <c r="WR64" s="433"/>
      <c r="WS64" s="433"/>
      <c r="WT64" s="433"/>
      <c r="WU64" s="433"/>
      <c r="WV64" s="433"/>
      <c r="WW64" s="433"/>
      <c r="WX64" s="433"/>
      <c r="WY64" s="433"/>
      <c r="WZ64" s="433"/>
      <c r="XA64" s="433"/>
      <c r="XB64" s="433"/>
      <c r="XC64" s="433"/>
      <c r="XD64" s="433"/>
      <c r="XE64" s="433"/>
      <c r="XF64" s="433"/>
      <c r="XG64" s="433"/>
      <c r="XH64" s="433"/>
      <c r="XI64" s="433"/>
      <c r="XJ64" s="433"/>
      <c r="XK64" s="433"/>
      <c r="XL64" s="433"/>
      <c r="XM64" s="433"/>
      <c r="XN64" s="433"/>
      <c r="XO64" s="433"/>
      <c r="XP64" s="433"/>
      <c r="XQ64" s="433"/>
      <c r="XR64" s="433"/>
      <c r="XS64" s="433"/>
      <c r="XT64" s="433"/>
      <c r="XU64" s="433"/>
      <c r="XV64" s="433"/>
      <c r="XW64" s="433"/>
      <c r="XX64" s="433"/>
      <c r="XY64" s="433"/>
      <c r="XZ64" s="433"/>
      <c r="YA64" s="433"/>
      <c r="YB64" s="433"/>
      <c r="YC64" s="433"/>
      <c r="YD64" s="433"/>
      <c r="YE64" s="433"/>
      <c r="YF64" s="433"/>
      <c r="YG64" s="433"/>
      <c r="YH64" s="433"/>
      <c r="YI64" s="433"/>
      <c r="YJ64" s="433"/>
      <c r="YK64" s="433"/>
      <c r="YL64" s="433"/>
      <c r="YM64" s="433"/>
      <c r="YN64" s="433"/>
      <c r="YO64" s="433"/>
      <c r="YP64" s="433"/>
      <c r="YQ64" s="433"/>
      <c r="YR64" s="433"/>
      <c r="YS64" s="433"/>
      <c r="YT64" s="433"/>
      <c r="YU64" s="433"/>
      <c r="YV64" s="433"/>
      <c r="YW64" s="433"/>
      <c r="YX64" s="433"/>
      <c r="YY64" s="433"/>
      <c r="YZ64" s="433"/>
      <c r="ZA64" s="433"/>
      <c r="ZB64" s="433"/>
      <c r="ZC64" s="433"/>
      <c r="ZD64" s="433"/>
      <c r="ZE64" s="433"/>
      <c r="ZF64" s="433"/>
      <c r="ZG64" s="433"/>
      <c r="ZH64" s="433"/>
      <c r="ZI64" s="433"/>
      <c r="ZJ64" s="433"/>
      <c r="ZK64" s="433"/>
      <c r="ZL64" s="433"/>
      <c r="ZM64" s="433"/>
      <c r="ZN64" s="433"/>
      <c r="ZO64" s="433"/>
      <c r="ZP64" s="433"/>
      <c r="ZQ64" s="433"/>
      <c r="ZR64" s="433"/>
      <c r="ZS64" s="433"/>
      <c r="ZT64" s="433"/>
      <c r="ZU64" s="433"/>
      <c r="ZV64" s="433"/>
      <c r="ZW64" s="433"/>
      <c r="ZX64" s="433"/>
      <c r="ZY64" s="433"/>
      <c r="ZZ64" s="433"/>
      <c r="AAA64" s="433"/>
      <c r="AAB64" s="433"/>
      <c r="AAC64" s="433"/>
      <c r="AAD64" s="433"/>
      <c r="AAE64" s="433"/>
      <c r="AAF64" s="433"/>
      <c r="AAG64" s="433"/>
      <c r="AAH64" s="433"/>
      <c r="AAI64" s="433"/>
      <c r="AAJ64" s="433"/>
      <c r="AAK64" s="433"/>
      <c r="AAL64" s="433"/>
      <c r="AAM64" s="433"/>
      <c r="AAN64" s="433"/>
      <c r="AAO64" s="433"/>
      <c r="AAP64" s="433"/>
      <c r="AAQ64" s="433"/>
      <c r="AAR64" s="433"/>
      <c r="AAS64" s="433"/>
      <c r="AAT64" s="433"/>
      <c r="AAU64" s="433"/>
      <c r="AAV64" s="433"/>
      <c r="AAW64" s="433"/>
      <c r="AAX64" s="433"/>
      <c r="AAY64" s="433"/>
      <c r="AAZ64" s="433"/>
      <c r="ABA64" s="433"/>
      <c r="ABB64" s="433"/>
      <c r="ABC64" s="433"/>
      <c r="ABD64" s="433"/>
      <c r="ABE64" s="433"/>
      <c r="ABF64" s="433"/>
      <c r="ABG64" s="433"/>
      <c r="ABH64" s="433"/>
      <c r="ABI64" s="433"/>
      <c r="ABJ64" s="433"/>
      <c r="ABK64" s="433"/>
      <c r="ABL64" s="433"/>
      <c r="ABM64" s="433"/>
      <c r="ABN64" s="433"/>
      <c r="ABO64" s="433"/>
      <c r="ABP64" s="433"/>
      <c r="ABQ64" s="433"/>
      <c r="ABR64" s="433"/>
      <c r="ABS64" s="433"/>
      <c r="ABT64" s="433"/>
      <c r="ABU64" s="433"/>
      <c r="ABV64" s="433"/>
      <c r="ABW64" s="433"/>
      <c r="ABX64" s="433"/>
      <c r="ABY64" s="433"/>
      <c r="ABZ64" s="433"/>
      <c r="ACA64" s="433"/>
      <c r="ACB64" s="433"/>
      <c r="ACC64" s="433"/>
      <c r="ACD64" s="433"/>
      <c r="ACE64" s="433"/>
      <c r="ACF64" s="433"/>
      <c r="ACG64" s="433"/>
      <c r="ACH64" s="433"/>
      <c r="ACI64" s="433"/>
      <c r="ACJ64" s="433"/>
      <c r="ACK64" s="433"/>
      <c r="ACL64" s="433"/>
      <c r="ACM64" s="433"/>
      <c r="ACN64" s="433"/>
      <c r="ACO64" s="433"/>
      <c r="ACP64" s="433"/>
      <c r="ACQ64" s="433"/>
      <c r="ACR64" s="433"/>
      <c r="ACS64" s="433"/>
      <c r="ACT64" s="433"/>
      <c r="ACU64" s="433"/>
      <c r="ACV64" s="433"/>
      <c r="ACW64" s="433"/>
      <c r="ACX64" s="433"/>
      <c r="ACY64" s="433"/>
      <c r="ACZ64" s="433"/>
      <c r="ADA64" s="433"/>
      <c r="ADB64" s="433"/>
      <c r="ADC64" s="433"/>
      <c r="ADD64" s="433"/>
      <c r="ADE64" s="433"/>
      <c r="ADF64" s="433"/>
      <c r="ADG64" s="433"/>
      <c r="ADH64" s="433"/>
      <c r="ADI64" s="433"/>
      <c r="ADJ64" s="433"/>
      <c r="ADK64" s="433"/>
      <c r="ADL64" s="433"/>
      <c r="ADM64" s="433"/>
      <c r="ADN64" s="433"/>
      <c r="ADO64" s="433"/>
      <c r="ADP64" s="433"/>
      <c r="ADQ64" s="433"/>
      <c r="ADR64" s="433"/>
      <c r="ADS64" s="433"/>
      <c r="ADT64" s="433"/>
      <c r="ADU64" s="433"/>
      <c r="ADV64" s="433"/>
      <c r="ADW64" s="433"/>
      <c r="ADX64" s="433"/>
      <c r="ADY64" s="433"/>
      <c r="ADZ64" s="433"/>
      <c r="AEA64" s="433"/>
      <c r="AEB64" s="433"/>
      <c r="AEC64" s="433"/>
      <c r="AED64" s="433"/>
      <c r="AEE64" s="433"/>
      <c r="AEF64" s="433"/>
      <c r="AEG64" s="433"/>
      <c r="AEH64" s="433"/>
      <c r="AEI64" s="433"/>
      <c r="AEJ64" s="433"/>
      <c r="AEK64" s="433"/>
      <c r="AEL64" s="433"/>
      <c r="AEM64" s="433"/>
      <c r="AEN64" s="433"/>
      <c r="AEO64" s="433"/>
      <c r="AEP64" s="433"/>
      <c r="AEQ64" s="433"/>
      <c r="AER64" s="433"/>
      <c r="AES64" s="433"/>
      <c r="AET64" s="433"/>
      <c r="AEU64" s="433"/>
      <c r="AEV64" s="433"/>
      <c r="AEW64" s="433"/>
      <c r="AEX64" s="433"/>
      <c r="AEY64" s="433"/>
      <c r="AEZ64" s="433"/>
      <c r="AFA64" s="433"/>
      <c r="AFB64" s="433"/>
      <c r="AFC64" s="433"/>
      <c r="AFD64" s="433"/>
      <c r="AFE64" s="433"/>
      <c r="AFF64" s="433"/>
      <c r="AFG64" s="433"/>
      <c r="AFH64" s="433"/>
      <c r="AFI64" s="433"/>
      <c r="AFJ64" s="433"/>
      <c r="AFK64" s="433"/>
      <c r="AFL64" s="433"/>
      <c r="AFM64" s="433"/>
      <c r="AFN64" s="433"/>
      <c r="AFO64" s="433"/>
      <c r="AFP64" s="433"/>
      <c r="AFQ64" s="433"/>
      <c r="AFR64" s="433"/>
      <c r="AFS64" s="433"/>
      <c r="AFT64" s="433"/>
      <c r="AFU64" s="433"/>
      <c r="AFV64" s="433"/>
      <c r="AFW64" s="433"/>
      <c r="AFX64" s="433"/>
      <c r="AFY64" s="433"/>
      <c r="AFZ64" s="433"/>
      <c r="AGA64" s="433"/>
      <c r="AGB64" s="433"/>
      <c r="AGC64" s="433"/>
      <c r="AGD64" s="433"/>
      <c r="AGE64" s="433"/>
      <c r="AGF64" s="433"/>
      <c r="AGG64" s="433"/>
      <c r="AGH64" s="433"/>
      <c r="AGI64" s="433"/>
      <c r="AGJ64" s="433"/>
    </row>
    <row r="65" spans="1:868" s="1" customFormat="1">
      <c r="A65" s="633" t="s">
        <v>118</v>
      </c>
      <c r="B65" s="777" t="s">
        <v>416</v>
      </c>
      <c r="C65" s="34" t="s">
        <v>139</v>
      </c>
      <c r="D65" s="122" t="s">
        <v>99</v>
      </c>
      <c r="E65" s="618">
        <f t="shared" si="22"/>
        <v>7.810419810064792E-2</v>
      </c>
      <c r="F65" s="9">
        <v>1</v>
      </c>
      <c r="G65" s="9" t="s">
        <v>412</v>
      </c>
      <c r="H65" s="10">
        <v>1</v>
      </c>
      <c r="I65" s="10">
        <v>2</v>
      </c>
      <c r="J65" s="10">
        <v>2</v>
      </c>
      <c r="K65" s="10">
        <v>1</v>
      </c>
      <c r="L65" s="10">
        <v>1</v>
      </c>
      <c r="M65" s="10">
        <v>2</v>
      </c>
      <c r="N65" s="402">
        <f t="shared" si="25"/>
        <v>0.35859414261160716</v>
      </c>
      <c r="O65" s="402">
        <f t="shared" si="26"/>
        <v>0.37356464144298934</v>
      </c>
      <c r="P65" s="43"/>
      <c r="Q65" s="433"/>
      <c r="R65" s="433"/>
      <c r="S65" s="433"/>
      <c r="T65" s="433"/>
      <c r="U65" s="433"/>
      <c r="V65" s="433"/>
      <c r="W65" s="433"/>
      <c r="X65" s="433"/>
      <c r="Y65" s="433"/>
      <c r="Z65" s="433"/>
      <c r="AA65" s="433"/>
      <c r="AB65" s="433"/>
      <c r="AC65" s="433"/>
      <c r="AD65" s="433"/>
      <c r="AE65" s="433"/>
      <c r="AF65" s="433"/>
      <c r="AG65" s="433"/>
      <c r="AH65" s="433"/>
      <c r="AI65" s="433"/>
      <c r="AJ65" s="433"/>
      <c r="AK65" s="433"/>
      <c r="AL65" s="433"/>
      <c r="AM65" s="433"/>
      <c r="AN65" s="433"/>
      <c r="AO65" s="433"/>
      <c r="AP65" s="433"/>
      <c r="AQ65" s="433"/>
      <c r="AR65" s="433"/>
      <c r="AS65" s="433"/>
      <c r="AT65" s="433"/>
      <c r="AU65" s="433"/>
      <c r="AV65" s="433"/>
      <c r="AW65" s="433"/>
      <c r="AX65" s="433"/>
      <c r="AY65" s="433"/>
      <c r="AZ65" s="433"/>
      <c r="BA65" s="433"/>
      <c r="BB65" s="433"/>
      <c r="BC65" s="433"/>
      <c r="BD65" s="433"/>
      <c r="BE65" s="433"/>
      <c r="BF65" s="433"/>
      <c r="BG65" s="433"/>
      <c r="BH65" s="433"/>
      <c r="BI65" s="433"/>
      <c r="BJ65" s="433"/>
      <c r="BK65" s="433"/>
      <c r="BL65" s="433"/>
      <c r="BM65" s="433"/>
      <c r="BN65" s="433"/>
      <c r="BO65" s="433"/>
      <c r="BP65" s="433"/>
      <c r="BQ65" s="433"/>
      <c r="BR65" s="433"/>
      <c r="BS65" s="433"/>
      <c r="BT65" s="433"/>
      <c r="BU65" s="433"/>
      <c r="BV65" s="433"/>
      <c r="BW65" s="433"/>
      <c r="BX65" s="433"/>
      <c r="BY65" s="433"/>
      <c r="BZ65" s="433"/>
      <c r="CA65" s="433"/>
      <c r="CB65" s="433"/>
      <c r="CC65" s="433"/>
      <c r="CD65" s="433"/>
      <c r="CE65" s="433"/>
      <c r="CF65" s="433"/>
      <c r="CG65" s="433"/>
      <c r="CH65" s="433"/>
      <c r="CI65" s="433"/>
      <c r="CJ65" s="433"/>
      <c r="CK65" s="433"/>
      <c r="CL65" s="433"/>
      <c r="CM65" s="433"/>
      <c r="CN65" s="433"/>
      <c r="CO65" s="433"/>
      <c r="CP65" s="433"/>
      <c r="CQ65" s="433"/>
      <c r="CR65" s="433"/>
      <c r="CS65" s="433"/>
      <c r="CT65" s="433"/>
      <c r="CU65" s="433"/>
      <c r="CV65" s="433"/>
      <c r="CW65" s="433"/>
      <c r="CX65" s="433"/>
      <c r="CY65" s="433"/>
      <c r="CZ65" s="433"/>
      <c r="DA65" s="433"/>
      <c r="DB65" s="433"/>
      <c r="DC65" s="433"/>
      <c r="DD65" s="433"/>
      <c r="DE65" s="433"/>
      <c r="DF65" s="433"/>
      <c r="DG65" s="433"/>
      <c r="DH65" s="433"/>
      <c r="DI65" s="433"/>
      <c r="DJ65" s="433"/>
      <c r="DK65" s="433"/>
      <c r="DL65" s="433"/>
      <c r="DM65" s="433"/>
      <c r="DN65" s="433"/>
      <c r="DO65" s="433"/>
      <c r="DP65" s="433"/>
      <c r="DQ65" s="433"/>
      <c r="DR65" s="433"/>
      <c r="DS65" s="433"/>
      <c r="DT65" s="433"/>
      <c r="DU65" s="433"/>
      <c r="DV65" s="433"/>
      <c r="DW65" s="433"/>
      <c r="DX65" s="433"/>
      <c r="DY65" s="433"/>
      <c r="DZ65" s="433"/>
      <c r="EA65" s="433"/>
      <c r="EB65" s="433"/>
      <c r="EC65" s="433"/>
      <c r="ED65" s="433"/>
      <c r="EE65" s="433"/>
      <c r="EF65" s="433"/>
      <c r="EG65" s="433"/>
      <c r="EH65" s="433"/>
      <c r="EI65" s="433"/>
      <c r="EJ65" s="433"/>
      <c r="EK65" s="433"/>
      <c r="EL65" s="433"/>
      <c r="EM65" s="433"/>
      <c r="EN65" s="433"/>
      <c r="EO65" s="433"/>
      <c r="EP65" s="433"/>
      <c r="EQ65" s="433"/>
      <c r="ER65" s="433"/>
      <c r="ES65" s="433"/>
      <c r="ET65" s="433"/>
      <c r="EU65" s="433"/>
      <c r="EV65" s="433"/>
      <c r="EW65" s="433"/>
      <c r="EX65" s="433"/>
      <c r="EY65" s="433"/>
      <c r="EZ65" s="433"/>
      <c r="FA65" s="433"/>
      <c r="FB65" s="433"/>
      <c r="FC65" s="433"/>
      <c r="FD65" s="433"/>
      <c r="FE65" s="433"/>
      <c r="FF65" s="433"/>
      <c r="FG65" s="433"/>
      <c r="FH65" s="433"/>
      <c r="FI65" s="433"/>
      <c r="FJ65" s="433"/>
      <c r="FK65" s="433"/>
      <c r="FL65" s="433"/>
      <c r="FM65" s="433"/>
      <c r="FN65" s="433"/>
      <c r="FO65" s="433"/>
      <c r="FP65" s="433"/>
      <c r="FQ65" s="433"/>
      <c r="FR65" s="433"/>
      <c r="FS65" s="433"/>
      <c r="FT65" s="433"/>
      <c r="FU65" s="433"/>
      <c r="FV65" s="433"/>
      <c r="FW65" s="433"/>
      <c r="FX65" s="433"/>
      <c r="FY65" s="433"/>
      <c r="FZ65" s="433"/>
      <c r="GA65" s="433"/>
      <c r="GB65" s="433"/>
      <c r="GC65" s="433"/>
      <c r="GD65" s="433"/>
      <c r="GE65" s="433"/>
      <c r="GF65" s="433"/>
      <c r="GG65" s="433"/>
      <c r="GH65" s="433"/>
      <c r="GI65" s="433"/>
      <c r="GJ65" s="433"/>
      <c r="GK65" s="433"/>
      <c r="GL65" s="433"/>
      <c r="GM65" s="433"/>
      <c r="GN65" s="433"/>
      <c r="GO65" s="433"/>
      <c r="GP65" s="433"/>
      <c r="GQ65" s="433"/>
      <c r="GR65" s="433"/>
      <c r="GS65" s="433"/>
      <c r="GT65" s="433"/>
      <c r="GU65" s="433"/>
      <c r="GV65" s="433"/>
      <c r="GW65" s="433"/>
      <c r="GX65" s="433"/>
      <c r="GY65" s="433"/>
      <c r="GZ65" s="433"/>
      <c r="HA65" s="433"/>
      <c r="HB65" s="433"/>
      <c r="HC65" s="433"/>
      <c r="HD65" s="433"/>
      <c r="HE65" s="433"/>
      <c r="HF65" s="433"/>
      <c r="HG65" s="433"/>
      <c r="HH65" s="433"/>
      <c r="HI65" s="433"/>
      <c r="HJ65" s="433"/>
      <c r="HK65" s="433"/>
      <c r="HL65" s="433"/>
      <c r="HM65" s="433"/>
      <c r="HN65" s="433"/>
      <c r="HO65" s="433"/>
      <c r="HP65" s="433"/>
      <c r="HQ65" s="433"/>
      <c r="HR65" s="433"/>
      <c r="HS65" s="433"/>
      <c r="HT65" s="433"/>
      <c r="HU65" s="433"/>
      <c r="HV65" s="433"/>
      <c r="HW65" s="433"/>
      <c r="HX65" s="433"/>
      <c r="HY65" s="433"/>
      <c r="HZ65" s="433"/>
      <c r="IA65" s="433"/>
      <c r="IB65" s="433"/>
      <c r="IC65" s="433"/>
      <c r="ID65" s="433"/>
      <c r="IE65" s="433"/>
      <c r="IF65" s="433"/>
      <c r="IG65" s="433"/>
      <c r="IH65" s="433"/>
      <c r="II65" s="433"/>
      <c r="IJ65" s="433"/>
      <c r="IK65" s="433"/>
      <c r="IL65" s="433"/>
      <c r="IM65" s="433"/>
      <c r="IN65" s="433"/>
      <c r="IO65" s="433"/>
      <c r="IP65" s="433"/>
      <c r="IQ65" s="433"/>
      <c r="IR65" s="433"/>
      <c r="IS65" s="433"/>
      <c r="IT65" s="433"/>
      <c r="IU65" s="433"/>
      <c r="IV65" s="433"/>
      <c r="IW65" s="433"/>
      <c r="IX65" s="433"/>
      <c r="IY65" s="433"/>
      <c r="IZ65" s="433"/>
      <c r="JA65" s="433"/>
      <c r="JB65" s="433"/>
      <c r="JC65" s="433"/>
      <c r="JD65" s="433"/>
      <c r="JE65" s="433"/>
      <c r="JF65" s="433"/>
      <c r="JG65" s="433"/>
      <c r="JH65" s="433"/>
      <c r="JI65" s="433"/>
      <c r="JJ65" s="433"/>
      <c r="JK65" s="433"/>
      <c r="JL65" s="433"/>
      <c r="JM65" s="433"/>
      <c r="JN65" s="433"/>
      <c r="JO65" s="433"/>
      <c r="JP65" s="433"/>
      <c r="JQ65" s="433"/>
      <c r="JR65" s="433"/>
      <c r="JS65" s="433"/>
      <c r="JT65" s="433"/>
      <c r="JU65" s="433"/>
      <c r="JV65" s="433"/>
      <c r="JW65" s="433"/>
      <c r="JX65" s="433"/>
      <c r="JY65" s="433"/>
      <c r="JZ65" s="433"/>
      <c r="KA65" s="433"/>
      <c r="KB65" s="433"/>
      <c r="KC65" s="433"/>
      <c r="KD65" s="433"/>
      <c r="KE65" s="433"/>
      <c r="KF65" s="433"/>
      <c r="KG65" s="433"/>
      <c r="KH65" s="433"/>
      <c r="KI65" s="433"/>
      <c r="KJ65" s="433"/>
      <c r="KK65" s="433"/>
      <c r="KL65" s="433"/>
      <c r="KM65" s="433"/>
      <c r="KN65" s="433"/>
      <c r="KO65" s="433"/>
      <c r="KP65" s="433"/>
      <c r="KQ65" s="433"/>
      <c r="KR65" s="433"/>
      <c r="KS65" s="433"/>
      <c r="KT65" s="433"/>
      <c r="KU65" s="433"/>
      <c r="KV65" s="433"/>
      <c r="KW65" s="433"/>
      <c r="KX65" s="433"/>
      <c r="KY65" s="433"/>
      <c r="KZ65" s="433"/>
      <c r="LA65" s="433"/>
      <c r="LB65" s="433"/>
      <c r="LC65" s="433"/>
      <c r="LD65" s="433"/>
      <c r="LE65" s="433"/>
      <c r="LF65" s="433"/>
      <c r="LG65" s="433"/>
      <c r="LH65" s="433"/>
      <c r="LI65" s="433"/>
      <c r="LJ65" s="433"/>
      <c r="LK65" s="433"/>
      <c r="LL65" s="433"/>
      <c r="LM65" s="433"/>
      <c r="LN65" s="433"/>
      <c r="LO65" s="433"/>
      <c r="LP65" s="433"/>
      <c r="LQ65" s="433"/>
      <c r="LR65" s="433"/>
      <c r="LS65" s="433"/>
      <c r="LT65" s="433"/>
      <c r="LU65" s="433"/>
      <c r="LV65" s="433"/>
      <c r="LW65" s="433"/>
      <c r="LX65" s="433"/>
      <c r="LY65" s="433"/>
      <c r="LZ65" s="433"/>
      <c r="MA65" s="433"/>
      <c r="MB65" s="433"/>
      <c r="MC65" s="433"/>
      <c r="MD65" s="433"/>
      <c r="ME65" s="433"/>
      <c r="MF65" s="433"/>
      <c r="MG65" s="433"/>
      <c r="MH65" s="433"/>
      <c r="MI65" s="433"/>
      <c r="MJ65" s="433"/>
      <c r="MK65" s="433"/>
      <c r="ML65" s="433"/>
      <c r="MM65" s="433"/>
      <c r="MN65" s="433"/>
      <c r="MO65" s="433"/>
      <c r="MP65" s="433"/>
      <c r="MQ65" s="433"/>
      <c r="MR65" s="433"/>
      <c r="MS65" s="433"/>
      <c r="MT65" s="433"/>
      <c r="MU65" s="433"/>
      <c r="MV65" s="433"/>
      <c r="MW65" s="433"/>
      <c r="MX65" s="433"/>
      <c r="MY65" s="433"/>
      <c r="MZ65" s="433"/>
      <c r="NA65" s="433"/>
      <c r="NB65" s="433"/>
      <c r="NC65" s="433"/>
      <c r="ND65" s="433"/>
      <c r="NE65" s="433"/>
      <c r="NF65" s="433"/>
      <c r="NG65" s="433"/>
      <c r="NH65" s="433"/>
      <c r="NI65" s="433"/>
      <c r="NJ65" s="433"/>
      <c r="NK65" s="433"/>
      <c r="NL65" s="433"/>
      <c r="NM65" s="433"/>
      <c r="NN65" s="433"/>
      <c r="NO65" s="433"/>
      <c r="NP65" s="433"/>
      <c r="NQ65" s="433"/>
      <c r="NR65" s="433"/>
      <c r="NS65" s="433"/>
      <c r="NT65" s="433"/>
      <c r="NU65" s="433"/>
      <c r="NV65" s="433"/>
      <c r="NW65" s="433"/>
      <c r="NX65" s="433"/>
      <c r="NY65" s="433"/>
      <c r="NZ65" s="433"/>
      <c r="OA65" s="433"/>
      <c r="OB65" s="433"/>
      <c r="OC65" s="433"/>
      <c r="OD65" s="433"/>
      <c r="OE65" s="433"/>
      <c r="OF65" s="433"/>
      <c r="OG65" s="433"/>
      <c r="OH65" s="433"/>
      <c r="OI65" s="433"/>
      <c r="OJ65" s="433"/>
      <c r="OK65" s="433"/>
      <c r="OL65" s="433"/>
      <c r="OM65" s="433"/>
      <c r="ON65" s="433"/>
      <c r="OO65" s="433"/>
      <c r="OP65" s="433"/>
      <c r="OQ65" s="433"/>
      <c r="OR65" s="433"/>
      <c r="OS65" s="433"/>
      <c r="OT65" s="433"/>
      <c r="OU65" s="433"/>
      <c r="OV65" s="433"/>
      <c r="OW65" s="433"/>
      <c r="OX65" s="433"/>
      <c r="OY65" s="433"/>
      <c r="OZ65" s="433"/>
      <c r="PA65" s="433"/>
      <c r="PB65" s="433"/>
      <c r="PC65" s="433"/>
      <c r="PD65" s="433"/>
      <c r="PE65" s="433"/>
      <c r="PF65" s="433"/>
      <c r="PG65" s="433"/>
      <c r="PH65" s="433"/>
      <c r="PI65" s="433"/>
      <c r="PJ65" s="433"/>
      <c r="PK65" s="433"/>
      <c r="PL65" s="433"/>
      <c r="PM65" s="433"/>
      <c r="PN65" s="433"/>
      <c r="PO65" s="433"/>
      <c r="PP65" s="433"/>
      <c r="PQ65" s="433"/>
      <c r="PR65" s="433"/>
      <c r="PS65" s="433"/>
      <c r="PT65" s="433"/>
      <c r="PU65" s="433"/>
      <c r="PV65" s="433"/>
      <c r="PW65" s="433"/>
      <c r="PX65" s="433"/>
      <c r="PY65" s="433"/>
      <c r="PZ65" s="433"/>
      <c r="QA65" s="433"/>
      <c r="QB65" s="433"/>
      <c r="QC65" s="433"/>
      <c r="QD65" s="433"/>
      <c r="QE65" s="433"/>
      <c r="QF65" s="433"/>
      <c r="QG65" s="433"/>
      <c r="QH65" s="433"/>
      <c r="QI65" s="433"/>
      <c r="QJ65" s="433"/>
      <c r="QK65" s="433"/>
      <c r="QL65" s="433"/>
      <c r="QM65" s="433"/>
      <c r="QN65" s="433"/>
      <c r="QO65" s="433"/>
      <c r="QP65" s="433"/>
      <c r="QQ65" s="433"/>
      <c r="QR65" s="433"/>
      <c r="QS65" s="433"/>
      <c r="QT65" s="433"/>
      <c r="QU65" s="433"/>
      <c r="QV65" s="433"/>
      <c r="QW65" s="433"/>
      <c r="QX65" s="433"/>
      <c r="QY65" s="433"/>
      <c r="QZ65" s="433"/>
      <c r="RA65" s="433"/>
      <c r="RB65" s="433"/>
      <c r="RC65" s="433"/>
      <c r="RD65" s="433"/>
      <c r="RE65" s="433"/>
      <c r="RF65" s="433"/>
      <c r="RG65" s="433"/>
      <c r="RH65" s="433"/>
      <c r="RI65" s="433"/>
      <c r="RJ65" s="433"/>
      <c r="RK65" s="433"/>
      <c r="RL65" s="433"/>
      <c r="RM65" s="433"/>
      <c r="RN65" s="433"/>
      <c r="RO65" s="433"/>
      <c r="RP65" s="433"/>
      <c r="RQ65" s="433"/>
      <c r="RR65" s="433"/>
      <c r="RS65" s="433"/>
      <c r="RT65" s="433"/>
      <c r="RU65" s="433"/>
      <c r="RV65" s="433"/>
      <c r="RW65" s="433"/>
      <c r="RX65" s="433"/>
      <c r="RY65" s="433"/>
      <c r="RZ65" s="433"/>
      <c r="SA65" s="433"/>
      <c r="SB65" s="433"/>
      <c r="SC65" s="433"/>
      <c r="SD65" s="433"/>
      <c r="SE65" s="433"/>
      <c r="SF65" s="433"/>
      <c r="SG65" s="433"/>
      <c r="SH65" s="433"/>
      <c r="SI65" s="433"/>
      <c r="SJ65" s="433"/>
      <c r="SK65" s="433"/>
      <c r="SL65" s="433"/>
      <c r="SM65" s="433"/>
      <c r="SN65" s="433"/>
      <c r="SO65" s="433"/>
      <c r="SP65" s="433"/>
      <c r="SQ65" s="433"/>
      <c r="SR65" s="433"/>
      <c r="SS65" s="433"/>
      <c r="ST65" s="433"/>
      <c r="SU65" s="433"/>
      <c r="SV65" s="433"/>
      <c r="SW65" s="433"/>
      <c r="SX65" s="433"/>
      <c r="SY65" s="433"/>
      <c r="SZ65" s="433"/>
      <c r="TA65" s="433"/>
      <c r="TB65" s="433"/>
      <c r="TC65" s="433"/>
      <c r="TD65" s="433"/>
      <c r="TE65" s="433"/>
      <c r="TF65" s="433"/>
      <c r="TG65" s="433"/>
      <c r="TH65" s="433"/>
      <c r="TI65" s="433"/>
      <c r="TJ65" s="433"/>
      <c r="TK65" s="433"/>
      <c r="TL65" s="433"/>
      <c r="TM65" s="433"/>
      <c r="TN65" s="433"/>
      <c r="TO65" s="433"/>
      <c r="TP65" s="433"/>
      <c r="TQ65" s="433"/>
      <c r="TR65" s="433"/>
      <c r="TS65" s="433"/>
      <c r="TT65" s="433"/>
      <c r="TU65" s="433"/>
      <c r="TV65" s="433"/>
      <c r="TW65" s="433"/>
      <c r="TX65" s="433"/>
      <c r="TY65" s="433"/>
      <c r="TZ65" s="433"/>
      <c r="UA65" s="433"/>
      <c r="UB65" s="433"/>
      <c r="UC65" s="433"/>
      <c r="UD65" s="433"/>
      <c r="UE65" s="433"/>
      <c r="UF65" s="433"/>
      <c r="UG65" s="433"/>
      <c r="UH65" s="433"/>
      <c r="UI65" s="433"/>
      <c r="UJ65" s="433"/>
      <c r="UK65" s="433"/>
      <c r="UL65" s="433"/>
      <c r="UM65" s="433"/>
      <c r="UN65" s="433"/>
      <c r="UO65" s="433"/>
      <c r="UP65" s="433"/>
      <c r="UQ65" s="433"/>
      <c r="UR65" s="433"/>
      <c r="US65" s="433"/>
      <c r="UT65" s="433"/>
      <c r="UU65" s="433"/>
      <c r="UV65" s="433"/>
      <c r="UW65" s="433"/>
      <c r="UX65" s="433"/>
      <c r="UY65" s="433"/>
      <c r="UZ65" s="433"/>
      <c r="VA65" s="433"/>
      <c r="VB65" s="433"/>
      <c r="VC65" s="433"/>
      <c r="VD65" s="433"/>
      <c r="VE65" s="433"/>
      <c r="VF65" s="433"/>
      <c r="VG65" s="433"/>
      <c r="VH65" s="433"/>
      <c r="VI65" s="433"/>
      <c r="VJ65" s="433"/>
      <c r="VK65" s="433"/>
      <c r="VL65" s="433"/>
      <c r="VM65" s="433"/>
      <c r="VN65" s="433"/>
      <c r="VO65" s="433"/>
      <c r="VP65" s="433"/>
      <c r="VQ65" s="433"/>
      <c r="VR65" s="433"/>
      <c r="VS65" s="433"/>
      <c r="VT65" s="433"/>
      <c r="VU65" s="433"/>
      <c r="VV65" s="433"/>
      <c r="VW65" s="433"/>
      <c r="VX65" s="433"/>
      <c r="VY65" s="433"/>
      <c r="VZ65" s="433"/>
      <c r="WA65" s="433"/>
      <c r="WB65" s="433"/>
      <c r="WC65" s="433"/>
      <c r="WD65" s="433"/>
      <c r="WE65" s="433"/>
      <c r="WF65" s="433"/>
      <c r="WG65" s="433"/>
      <c r="WH65" s="433"/>
      <c r="WI65" s="433"/>
      <c r="WJ65" s="433"/>
      <c r="WK65" s="433"/>
      <c r="WL65" s="433"/>
      <c r="WM65" s="433"/>
      <c r="WN65" s="433"/>
      <c r="WO65" s="433"/>
      <c r="WP65" s="433"/>
      <c r="WQ65" s="433"/>
      <c r="WR65" s="433"/>
      <c r="WS65" s="433"/>
      <c r="WT65" s="433"/>
      <c r="WU65" s="433"/>
      <c r="WV65" s="433"/>
      <c r="WW65" s="433"/>
      <c r="WX65" s="433"/>
      <c r="WY65" s="433"/>
      <c r="WZ65" s="433"/>
      <c r="XA65" s="433"/>
      <c r="XB65" s="433"/>
      <c r="XC65" s="433"/>
      <c r="XD65" s="433"/>
      <c r="XE65" s="433"/>
      <c r="XF65" s="433"/>
      <c r="XG65" s="433"/>
      <c r="XH65" s="433"/>
      <c r="XI65" s="433"/>
      <c r="XJ65" s="433"/>
      <c r="XK65" s="433"/>
      <c r="XL65" s="433"/>
      <c r="XM65" s="433"/>
      <c r="XN65" s="433"/>
      <c r="XO65" s="433"/>
      <c r="XP65" s="433"/>
      <c r="XQ65" s="433"/>
      <c r="XR65" s="433"/>
      <c r="XS65" s="433"/>
      <c r="XT65" s="433"/>
      <c r="XU65" s="433"/>
      <c r="XV65" s="433"/>
      <c r="XW65" s="433"/>
      <c r="XX65" s="433"/>
      <c r="XY65" s="433"/>
      <c r="XZ65" s="433"/>
      <c r="YA65" s="433"/>
      <c r="YB65" s="433"/>
      <c r="YC65" s="433"/>
      <c r="YD65" s="433"/>
      <c r="YE65" s="433"/>
      <c r="YF65" s="433"/>
      <c r="YG65" s="433"/>
      <c r="YH65" s="433"/>
      <c r="YI65" s="433"/>
      <c r="YJ65" s="433"/>
      <c r="YK65" s="433"/>
      <c r="YL65" s="433"/>
      <c r="YM65" s="433"/>
      <c r="YN65" s="433"/>
      <c r="YO65" s="433"/>
      <c r="YP65" s="433"/>
      <c r="YQ65" s="433"/>
      <c r="YR65" s="433"/>
      <c r="YS65" s="433"/>
      <c r="YT65" s="433"/>
      <c r="YU65" s="433"/>
      <c r="YV65" s="433"/>
      <c r="YW65" s="433"/>
      <c r="YX65" s="433"/>
      <c r="YY65" s="433"/>
      <c r="YZ65" s="433"/>
      <c r="ZA65" s="433"/>
      <c r="ZB65" s="433"/>
      <c r="ZC65" s="433"/>
      <c r="ZD65" s="433"/>
      <c r="ZE65" s="433"/>
      <c r="ZF65" s="433"/>
      <c r="ZG65" s="433"/>
      <c r="ZH65" s="433"/>
      <c r="ZI65" s="433"/>
      <c r="ZJ65" s="433"/>
      <c r="ZK65" s="433"/>
      <c r="ZL65" s="433"/>
      <c r="ZM65" s="433"/>
      <c r="ZN65" s="433"/>
      <c r="ZO65" s="433"/>
      <c r="ZP65" s="433"/>
      <c r="ZQ65" s="433"/>
      <c r="ZR65" s="433"/>
      <c r="ZS65" s="433"/>
      <c r="ZT65" s="433"/>
      <c r="ZU65" s="433"/>
      <c r="ZV65" s="433"/>
      <c r="ZW65" s="433"/>
      <c r="ZX65" s="433"/>
      <c r="ZY65" s="433"/>
      <c r="ZZ65" s="433"/>
      <c r="AAA65" s="433"/>
      <c r="AAB65" s="433"/>
      <c r="AAC65" s="433"/>
      <c r="AAD65" s="433"/>
      <c r="AAE65" s="433"/>
      <c r="AAF65" s="433"/>
      <c r="AAG65" s="433"/>
      <c r="AAH65" s="433"/>
      <c r="AAI65" s="433"/>
      <c r="AAJ65" s="433"/>
      <c r="AAK65" s="433"/>
      <c r="AAL65" s="433"/>
      <c r="AAM65" s="433"/>
      <c r="AAN65" s="433"/>
      <c r="AAO65" s="433"/>
      <c r="AAP65" s="433"/>
      <c r="AAQ65" s="433"/>
      <c r="AAR65" s="433"/>
      <c r="AAS65" s="433"/>
      <c r="AAT65" s="433"/>
      <c r="AAU65" s="433"/>
      <c r="AAV65" s="433"/>
      <c r="AAW65" s="433"/>
      <c r="AAX65" s="433"/>
      <c r="AAY65" s="433"/>
      <c r="AAZ65" s="433"/>
      <c r="ABA65" s="433"/>
      <c r="ABB65" s="433"/>
      <c r="ABC65" s="433"/>
      <c r="ABD65" s="433"/>
      <c r="ABE65" s="433"/>
      <c r="ABF65" s="433"/>
      <c r="ABG65" s="433"/>
      <c r="ABH65" s="433"/>
      <c r="ABI65" s="433"/>
      <c r="ABJ65" s="433"/>
      <c r="ABK65" s="433"/>
      <c r="ABL65" s="433"/>
      <c r="ABM65" s="433"/>
      <c r="ABN65" s="433"/>
      <c r="ABO65" s="433"/>
      <c r="ABP65" s="433"/>
      <c r="ABQ65" s="433"/>
      <c r="ABR65" s="433"/>
      <c r="ABS65" s="433"/>
      <c r="ABT65" s="433"/>
      <c r="ABU65" s="433"/>
      <c r="ABV65" s="433"/>
      <c r="ABW65" s="433"/>
      <c r="ABX65" s="433"/>
      <c r="ABY65" s="433"/>
      <c r="ABZ65" s="433"/>
      <c r="ACA65" s="433"/>
      <c r="ACB65" s="433"/>
      <c r="ACC65" s="433"/>
      <c r="ACD65" s="433"/>
      <c r="ACE65" s="433"/>
      <c r="ACF65" s="433"/>
      <c r="ACG65" s="433"/>
      <c r="ACH65" s="433"/>
      <c r="ACI65" s="433"/>
      <c r="ACJ65" s="433"/>
      <c r="ACK65" s="433"/>
      <c r="ACL65" s="433"/>
      <c r="ACM65" s="433"/>
      <c r="ACN65" s="433"/>
      <c r="ACO65" s="433"/>
      <c r="ACP65" s="433"/>
      <c r="ACQ65" s="433"/>
      <c r="ACR65" s="433"/>
      <c r="ACS65" s="433"/>
      <c r="ACT65" s="433"/>
      <c r="ACU65" s="433"/>
      <c r="ACV65" s="433"/>
      <c r="ACW65" s="433"/>
      <c r="ACX65" s="433"/>
      <c r="ACY65" s="433"/>
      <c r="ACZ65" s="433"/>
      <c r="ADA65" s="433"/>
      <c r="ADB65" s="433"/>
      <c r="ADC65" s="433"/>
      <c r="ADD65" s="433"/>
      <c r="ADE65" s="433"/>
      <c r="ADF65" s="433"/>
      <c r="ADG65" s="433"/>
      <c r="ADH65" s="433"/>
      <c r="ADI65" s="433"/>
      <c r="ADJ65" s="433"/>
      <c r="ADK65" s="433"/>
      <c r="ADL65" s="433"/>
      <c r="ADM65" s="433"/>
      <c r="ADN65" s="433"/>
      <c r="ADO65" s="433"/>
      <c r="ADP65" s="433"/>
      <c r="ADQ65" s="433"/>
      <c r="ADR65" s="433"/>
      <c r="ADS65" s="433"/>
      <c r="ADT65" s="433"/>
      <c r="ADU65" s="433"/>
      <c r="ADV65" s="433"/>
      <c r="ADW65" s="433"/>
      <c r="ADX65" s="433"/>
      <c r="ADY65" s="433"/>
      <c r="ADZ65" s="433"/>
      <c r="AEA65" s="433"/>
      <c r="AEB65" s="433"/>
      <c r="AEC65" s="433"/>
      <c r="AED65" s="433"/>
      <c r="AEE65" s="433"/>
      <c r="AEF65" s="433"/>
      <c r="AEG65" s="433"/>
      <c r="AEH65" s="433"/>
      <c r="AEI65" s="433"/>
      <c r="AEJ65" s="433"/>
      <c r="AEK65" s="433"/>
      <c r="AEL65" s="433"/>
      <c r="AEM65" s="433"/>
      <c r="AEN65" s="433"/>
      <c r="AEO65" s="433"/>
      <c r="AEP65" s="433"/>
      <c r="AEQ65" s="433"/>
      <c r="AER65" s="433"/>
      <c r="AES65" s="433"/>
      <c r="AET65" s="433"/>
      <c r="AEU65" s="433"/>
      <c r="AEV65" s="433"/>
      <c r="AEW65" s="433"/>
      <c r="AEX65" s="433"/>
      <c r="AEY65" s="433"/>
      <c r="AEZ65" s="433"/>
      <c r="AFA65" s="433"/>
      <c r="AFB65" s="433"/>
      <c r="AFC65" s="433"/>
      <c r="AFD65" s="433"/>
      <c r="AFE65" s="433"/>
      <c r="AFF65" s="433"/>
      <c r="AFG65" s="433"/>
      <c r="AFH65" s="433"/>
      <c r="AFI65" s="433"/>
      <c r="AFJ65" s="433"/>
      <c r="AFK65" s="433"/>
      <c r="AFL65" s="433"/>
      <c r="AFM65" s="433"/>
      <c r="AFN65" s="433"/>
      <c r="AFO65" s="433"/>
      <c r="AFP65" s="433"/>
      <c r="AFQ65" s="433"/>
      <c r="AFR65" s="433"/>
      <c r="AFS65" s="433"/>
      <c r="AFT65" s="433"/>
      <c r="AFU65" s="433"/>
      <c r="AFV65" s="433"/>
      <c r="AFW65" s="433"/>
      <c r="AFX65" s="433"/>
      <c r="AFY65" s="433"/>
      <c r="AFZ65" s="433"/>
      <c r="AGA65" s="433"/>
      <c r="AGB65" s="433"/>
      <c r="AGC65" s="433"/>
      <c r="AGD65" s="433"/>
      <c r="AGE65" s="433"/>
      <c r="AGF65" s="433"/>
      <c r="AGG65" s="433"/>
      <c r="AGH65" s="433"/>
      <c r="AGI65" s="433"/>
      <c r="AGJ65" s="433"/>
    </row>
    <row r="66" spans="1:868" s="1" customFormat="1">
      <c r="A66" s="633" t="s">
        <v>118</v>
      </c>
      <c r="B66" s="777" t="s">
        <v>417</v>
      </c>
      <c r="C66" s="34" t="s">
        <v>139</v>
      </c>
      <c r="D66" s="122" t="s">
        <v>99</v>
      </c>
      <c r="E66" s="618">
        <f t="shared" si="22"/>
        <v>0.10650572468270171</v>
      </c>
      <c r="F66" s="9">
        <v>1</v>
      </c>
      <c r="G66" s="9" t="s">
        <v>412</v>
      </c>
      <c r="H66" s="10">
        <v>1</v>
      </c>
      <c r="I66" s="10">
        <v>2</v>
      </c>
      <c r="J66" s="10">
        <v>2</v>
      </c>
      <c r="K66" s="10">
        <v>1</v>
      </c>
      <c r="L66" s="10">
        <v>1</v>
      </c>
      <c r="M66" s="10">
        <v>2</v>
      </c>
      <c r="N66" s="402">
        <f t="shared" si="25"/>
        <v>0.35859414261160716</v>
      </c>
      <c r="O66" s="402">
        <f t="shared" si="26"/>
        <v>0.37356464144298934</v>
      </c>
      <c r="P66" s="43"/>
      <c r="Q66" s="433"/>
      <c r="R66" s="433"/>
      <c r="S66" s="433"/>
      <c r="T66" s="433"/>
      <c r="U66" s="433"/>
      <c r="V66" s="433"/>
      <c r="W66" s="433"/>
      <c r="X66" s="433"/>
      <c r="Y66" s="433"/>
      <c r="Z66" s="433"/>
      <c r="AA66" s="433"/>
      <c r="AB66" s="433"/>
      <c r="AC66" s="433"/>
      <c r="AD66" s="433"/>
      <c r="AE66" s="433"/>
      <c r="AF66" s="433"/>
      <c r="AG66" s="433"/>
      <c r="AH66" s="433"/>
      <c r="AI66" s="433"/>
      <c r="AJ66" s="433"/>
      <c r="AK66" s="433"/>
      <c r="AL66" s="433"/>
      <c r="AM66" s="433"/>
      <c r="AN66" s="433"/>
      <c r="AO66" s="433"/>
      <c r="AP66" s="433"/>
      <c r="AQ66" s="433"/>
      <c r="AR66" s="433"/>
      <c r="AS66" s="433"/>
      <c r="AT66" s="433"/>
      <c r="AU66" s="433"/>
      <c r="AV66" s="433"/>
      <c r="AW66" s="433"/>
      <c r="AX66" s="433"/>
      <c r="AY66" s="433"/>
      <c r="AZ66" s="433"/>
      <c r="BA66" s="433"/>
      <c r="BB66" s="433"/>
      <c r="BC66" s="433"/>
      <c r="BD66" s="433"/>
      <c r="BE66" s="433"/>
      <c r="BF66" s="433"/>
      <c r="BG66" s="433"/>
      <c r="BH66" s="433"/>
      <c r="BI66" s="433"/>
      <c r="BJ66" s="433"/>
      <c r="BK66" s="433"/>
      <c r="BL66" s="433"/>
      <c r="BM66" s="433"/>
      <c r="BN66" s="433"/>
      <c r="BO66" s="433"/>
      <c r="BP66" s="433"/>
      <c r="BQ66" s="433"/>
      <c r="BR66" s="433"/>
      <c r="BS66" s="433"/>
      <c r="BT66" s="433"/>
      <c r="BU66" s="433"/>
      <c r="BV66" s="433"/>
      <c r="BW66" s="433"/>
      <c r="BX66" s="433"/>
      <c r="BY66" s="433"/>
      <c r="BZ66" s="433"/>
      <c r="CA66" s="433"/>
      <c r="CB66" s="433"/>
      <c r="CC66" s="433"/>
      <c r="CD66" s="433"/>
      <c r="CE66" s="433"/>
      <c r="CF66" s="433"/>
      <c r="CG66" s="433"/>
      <c r="CH66" s="433"/>
      <c r="CI66" s="433"/>
      <c r="CJ66" s="433"/>
      <c r="CK66" s="433"/>
      <c r="CL66" s="433"/>
      <c r="CM66" s="433"/>
      <c r="CN66" s="433"/>
      <c r="CO66" s="433"/>
      <c r="CP66" s="433"/>
      <c r="CQ66" s="433"/>
      <c r="CR66" s="433"/>
      <c r="CS66" s="433"/>
      <c r="CT66" s="433"/>
      <c r="CU66" s="433"/>
      <c r="CV66" s="433"/>
      <c r="CW66" s="433"/>
      <c r="CX66" s="433"/>
      <c r="CY66" s="433"/>
      <c r="CZ66" s="433"/>
      <c r="DA66" s="433"/>
      <c r="DB66" s="433"/>
      <c r="DC66" s="433"/>
      <c r="DD66" s="433"/>
      <c r="DE66" s="433"/>
      <c r="DF66" s="433"/>
      <c r="DG66" s="433"/>
      <c r="DH66" s="433"/>
      <c r="DI66" s="433"/>
      <c r="DJ66" s="433"/>
      <c r="DK66" s="433"/>
      <c r="DL66" s="433"/>
      <c r="DM66" s="433"/>
      <c r="DN66" s="433"/>
      <c r="DO66" s="433"/>
      <c r="DP66" s="433"/>
      <c r="DQ66" s="433"/>
      <c r="DR66" s="433"/>
      <c r="DS66" s="433"/>
      <c r="DT66" s="433"/>
      <c r="DU66" s="433"/>
      <c r="DV66" s="433"/>
      <c r="DW66" s="433"/>
      <c r="DX66" s="433"/>
      <c r="DY66" s="433"/>
      <c r="DZ66" s="433"/>
      <c r="EA66" s="433"/>
      <c r="EB66" s="433"/>
      <c r="EC66" s="433"/>
      <c r="ED66" s="433"/>
      <c r="EE66" s="433"/>
      <c r="EF66" s="433"/>
      <c r="EG66" s="433"/>
      <c r="EH66" s="433"/>
      <c r="EI66" s="433"/>
      <c r="EJ66" s="433"/>
      <c r="EK66" s="433"/>
      <c r="EL66" s="433"/>
      <c r="EM66" s="433"/>
      <c r="EN66" s="433"/>
      <c r="EO66" s="433"/>
      <c r="EP66" s="433"/>
      <c r="EQ66" s="433"/>
      <c r="ER66" s="433"/>
      <c r="ES66" s="433"/>
      <c r="ET66" s="433"/>
      <c r="EU66" s="433"/>
      <c r="EV66" s="433"/>
      <c r="EW66" s="433"/>
      <c r="EX66" s="433"/>
      <c r="EY66" s="433"/>
      <c r="EZ66" s="433"/>
      <c r="FA66" s="433"/>
      <c r="FB66" s="433"/>
      <c r="FC66" s="433"/>
      <c r="FD66" s="433"/>
      <c r="FE66" s="433"/>
      <c r="FF66" s="433"/>
      <c r="FG66" s="433"/>
      <c r="FH66" s="433"/>
      <c r="FI66" s="433"/>
      <c r="FJ66" s="433"/>
      <c r="FK66" s="433"/>
      <c r="FL66" s="433"/>
      <c r="FM66" s="433"/>
      <c r="FN66" s="433"/>
      <c r="FO66" s="433"/>
      <c r="FP66" s="433"/>
      <c r="FQ66" s="433"/>
      <c r="FR66" s="433"/>
      <c r="FS66" s="433"/>
      <c r="FT66" s="433"/>
      <c r="FU66" s="433"/>
      <c r="FV66" s="433"/>
      <c r="FW66" s="433"/>
      <c r="FX66" s="433"/>
      <c r="FY66" s="433"/>
      <c r="FZ66" s="433"/>
      <c r="GA66" s="433"/>
      <c r="GB66" s="433"/>
      <c r="GC66" s="433"/>
      <c r="GD66" s="433"/>
      <c r="GE66" s="433"/>
      <c r="GF66" s="433"/>
      <c r="GG66" s="433"/>
      <c r="GH66" s="433"/>
      <c r="GI66" s="433"/>
      <c r="GJ66" s="433"/>
      <c r="GK66" s="433"/>
      <c r="GL66" s="433"/>
      <c r="GM66" s="433"/>
      <c r="GN66" s="433"/>
      <c r="GO66" s="433"/>
      <c r="GP66" s="433"/>
      <c r="GQ66" s="433"/>
      <c r="GR66" s="433"/>
      <c r="GS66" s="433"/>
      <c r="GT66" s="433"/>
      <c r="GU66" s="433"/>
      <c r="GV66" s="433"/>
      <c r="GW66" s="433"/>
      <c r="GX66" s="433"/>
      <c r="GY66" s="433"/>
      <c r="GZ66" s="433"/>
      <c r="HA66" s="433"/>
      <c r="HB66" s="433"/>
      <c r="HC66" s="433"/>
      <c r="HD66" s="433"/>
      <c r="HE66" s="433"/>
      <c r="HF66" s="433"/>
      <c r="HG66" s="433"/>
      <c r="HH66" s="433"/>
      <c r="HI66" s="433"/>
      <c r="HJ66" s="433"/>
      <c r="HK66" s="433"/>
      <c r="HL66" s="433"/>
      <c r="HM66" s="433"/>
      <c r="HN66" s="433"/>
      <c r="HO66" s="433"/>
      <c r="HP66" s="433"/>
      <c r="HQ66" s="433"/>
      <c r="HR66" s="433"/>
      <c r="HS66" s="433"/>
      <c r="HT66" s="433"/>
      <c r="HU66" s="433"/>
      <c r="HV66" s="433"/>
      <c r="HW66" s="433"/>
      <c r="HX66" s="433"/>
      <c r="HY66" s="433"/>
      <c r="HZ66" s="433"/>
      <c r="IA66" s="433"/>
      <c r="IB66" s="433"/>
      <c r="IC66" s="433"/>
      <c r="ID66" s="433"/>
      <c r="IE66" s="433"/>
      <c r="IF66" s="433"/>
      <c r="IG66" s="433"/>
      <c r="IH66" s="433"/>
      <c r="II66" s="433"/>
      <c r="IJ66" s="433"/>
      <c r="IK66" s="433"/>
      <c r="IL66" s="433"/>
      <c r="IM66" s="433"/>
      <c r="IN66" s="433"/>
      <c r="IO66" s="433"/>
      <c r="IP66" s="433"/>
      <c r="IQ66" s="433"/>
      <c r="IR66" s="433"/>
      <c r="IS66" s="433"/>
      <c r="IT66" s="433"/>
      <c r="IU66" s="433"/>
      <c r="IV66" s="433"/>
      <c r="IW66" s="433"/>
      <c r="IX66" s="433"/>
      <c r="IY66" s="433"/>
      <c r="IZ66" s="433"/>
      <c r="JA66" s="433"/>
      <c r="JB66" s="433"/>
      <c r="JC66" s="433"/>
      <c r="JD66" s="433"/>
      <c r="JE66" s="433"/>
      <c r="JF66" s="433"/>
      <c r="JG66" s="433"/>
      <c r="JH66" s="433"/>
      <c r="JI66" s="433"/>
      <c r="JJ66" s="433"/>
      <c r="JK66" s="433"/>
      <c r="JL66" s="433"/>
      <c r="JM66" s="433"/>
      <c r="JN66" s="433"/>
      <c r="JO66" s="433"/>
      <c r="JP66" s="433"/>
      <c r="JQ66" s="433"/>
      <c r="JR66" s="433"/>
      <c r="JS66" s="433"/>
      <c r="JT66" s="433"/>
      <c r="JU66" s="433"/>
      <c r="JV66" s="433"/>
      <c r="JW66" s="433"/>
      <c r="JX66" s="433"/>
      <c r="JY66" s="433"/>
      <c r="JZ66" s="433"/>
      <c r="KA66" s="433"/>
      <c r="KB66" s="433"/>
      <c r="KC66" s="433"/>
      <c r="KD66" s="433"/>
      <c r="KE66" s="433"/>
      <c r="KF66" s="433"/>
      <c r="KG66" s="433"/>
      <c r="KH66" s="433"/>
      <c r="KI66" s="433"/>
      <c r="KJ66" s="433"/>
      <c r="KK66" s="433"/>
      <c r="KL66" s="433"/>
      <c r="KM66" s="433"/>
      <c r="KN66" s="433"/>
      <c r="KO66" s="433"/>
      <c r="KP66" s="433"/>
      <c r="KQ66" s="433"/>
      <c r="KR66" s="433"/>
      <c r="KS66" s="433"/>
      <c r="KT66" s="433"/>
      <c r="KU66" s="433"/>
      <c r="KV66" s="433"/>
      <c r="KW66" s="433"/>
      <c r="KX66" s="433"/>
      <c r="KY66" s="433"/>
      <c r="KZ66" s="433"/>
      <c r="LA66" s="433"/>
      <c r="LB66" s="433"/>
      <c r="LC66" s="433"/>
      <c r="LD66" s="433"/>
      <c r="LE66" s="433"/>
      <c r="LF66" s="433"/>
      <c r="LG66" s="433"/>
      <c r="LH66" s="433"/>
      <c r="LI66" s="433"/>
      <c r="LJ66" s="433"/>
      <c r="LK66" s="433"/>
      <c r="LL66" s="433"/>
      <c r="LM66" s="433"/>
      <c r="LN66" s="433"/>
      <c r="LO66" s="433"/>
      <c r="LP66" s="433"/>
      <c r="LQ66" s="433"/>
      <c r="LR66" s="433"/>
      <c r="LS66" s="433"/>
      <c r="LT66" s="433"/>
      <c r="LU66" s="433"/>
      <c r="LV66" s="433"/>
      <c r="LW66" s="433"/>
      <c r="LX66" s="433"/>
      <c r="LY66" s="433"/>
      <c r="LZ66" s="433"/>
      <c r="MA66" s="433"/>
      <c r="MB66" s="433"/>
      <c r="MC66" s="433"/>
      <c r="MD66" s="433"/>
      <c r="ME66" s="433"/>
      <c r="MF66" s="433"/>
      <c r="MG66" s="433"/>
      <c r="MH66" s="433"/>
      <c r="MI66" s="433"/>
      <c r="MJ66" s="433"/>
      <c r="MK66" s="433"/>
      <c r="ML66" s="433"/>
      <c r="MM66" s="433"/>
      <c r="MN66" s="433"/>
      <c r="MO66" s="433"/>
      <c r="MP66" s="433"/>
      <c r="MQ66" s="433"/>
      <c r="MR66" s="433"/>
      <c r="MS66" s="433"/>
      <c r="MT66" s="433"/>
      <c r="MU66" s="433"/>
      <c r="MV66" s="433"/>
      <c r="MW66" s="433"/>
      <c r="MX66" s="433"/>
      <c r="MY66" s="433"/>
      <c r="MZ66" s="433"/>
      <c r="NA66" s="433"/>
      <c r="NB66" s="433"/>
      <c r="NC66" s="433"/>
      <c r="ND66" s="433"/>
      <c r="NE66" s="433"/>
      <c r="NF66" s="433"/>
      <c r="NG66" s="433"/>
      <c r="NH66" s="433"/>
      <c r="NI66" s="433"/>
      <c r="NJ66" s="433"/>
      <c r="NK66" s="433"/>
      <c r="NL66" s="433"/>
      <c r="NM66" s="433"/>
      <c r="NN66" s="433"/>
      <c r="NO66" s="433"/>
      <c r="NP66" s="433"/>
      <c r="NQ66" s="433"/>
      <c r="NR66" s="433"/>
      <c r="NS66" s="433"/>
      <c r="NT66" s="433"/>
      <c r="NU66" s="433"/>
      <c r="NV66" s="433"/>
      <c r="NW66" s="433"/>
      <c r="NX66" s="433"/>
      <c r="NY66" s="433"/>
      <c r="NZ66" s="433"/>
      <c r="OA66" s="433"/>
      <c r="OB66" s="433"/>
      <c r="OC66" s="433"/>
      <c r="OD66" s="433"/>
      <c r="OE66" s="433"/>
      <c r="OF66" s="433"/>
      <c r="OG66" s="433"/>
      <c r="OH66" s="433"/>
      <c r="OI66" s="433"/>
      <c r="OJ66" s="433"/>
      <c r="OK66" s="433"/>
      <c r="OL66" s="433"/>
      <c r="OM66" s="433"/>
      <c r="ON66" s="433"/>
      <c r="OO66" s="433"/>
      <c r="OP66" s="433"/>
      <c r="OQ66" s="433"/>
      <c r="OR66" s="433"/>
      <c r="OS66" s="433"/>
      <c r="OT66" s="433"/>
      <c r="OU66" s="433"/>
      <c r="OV66" s="433"/>
      <c r="OW66" s="433"/>
      <c r="OX66" s="433"/>
      <c r="OY66" s="433"/>
      <c r="OZ66" s="433"/>
      <c r="PA66" s="433"/>
      <c r="PB66" s="433"/>
      <c r="PC66" s="433"/>
      <c r="PD66" s="433"/>
      <c r="PE66" s="433"/>
      <c r="PF66" s="433"/>
      <c r="PG66" s="433"/>
      <c r="PH66" s="433"/>
      <c r="PI66" s="433"/>
      <c r="PJ66" s="433"/>
      <c r="PK66" s="433"/>
      <c r="PL66" s="433"/>
      <c r="PM66" s="433"/>
      <c r="PN66" s="433"/>
      <c r="PO66" s="433"/>
      <c r="PP66" s="433"/>
      <c r="PQ66" s="433"/>
      <c r="PR66" s="433"/>
      <c r="PS66" s="433"/>
      <c r="PT66" s="433"/>
      <c r="PU66" s="433"/>
      <c r="PV66" s="433"/>
      <c r="PW66" s="433"/>
      <c r="PX66" s="433"/>
      <c r="PY66" s="433"/>
      <c r="PZ66" s="433"/>
      <c r="QA66" s="433"/>
      <c r="QB66" s="433"/>
      <c r="QC66" s="433"/>
      <c r="QD66" s="433"/>
      <c r="QE66" s="433"/>
      <c r="QF66" s="433"/>
      <c r="QG66" s="433"/>
      <c r="QH66" s="433"/>
      <c r="QI66" s="433"/>
      <c r="QJ66" s="433"/>
      <c r="QK66" s="433"/>
      <c r="QL66" s="433"/>
      <c r="QM66" s="433"/>
      <c r="QN66" s="433"/>
      <c r="QO66" s="433"/>
      <c r="QP66" s="433"/>
      <c r="QQ66" s="433"/>
      <c r="QR66" s="433"/>
      <c r="QS66" s="433"/>
      <c r="QT66" s="433"/>
      <c r="QU66" s="433"/>
      <c r="QV66" s="433"/>
      <c r="QW66" s="433"/>
      <c r="QX66" s="433"/>
      <c r="QY66" s="433"/>
      <c r="QZ66" s="433"/>
      <c r="RA66" s="433"/>
      <c r="RB66" s="433"/>
      <c r="RC66" s="433"/>
      <c r="RD66" s="433"/>
      <c r="RE66" s="433"/>
      <c r="RF66" s="433"/>
      <c r="RG66" s="433"/>
      <c r="RH66" s="433"/>
      <c r="RI66" s="433"/>
      <c r="RJ66" s="433"/>
      <c r="RK66" s="433"/>
      <c r="RL66" s="433"/>
      <c r="RM66" s="433"/>
      <c r="RN66" s="433"/>
      <c r="RO66" s="433"/>
      <c r="RP66" s="433"/>
      <c r="RQ66" s="433"/>
      <c r="RR66" s="433"/>
      <c r="RS66" s="433"/>
      <c r="RT66" s="433"/>
      <c r="RU66" s="433"/>
      <c r="RV66" s="433"/>
      <c r="RW66" s="433"/>
      <c r="RX66" s="433"/>
      <c r="RY66" s="433"/>
      <c r="RZ66" s="433"/>
      <c r="SA66" s="433"/>
      <c r="SB66" s="433"/>
      <c r="SC66" s="433"/>
      <c r="SD66" s="433"/>
      <c r="SE66" s="433"/>
      <c r="SF66" s="433"/>
      <c r="SG66" s="433"/>
      <c r="SH66" s="433"/>
      <c r="SI66" s="433"/>
      <c r="SJ66" s="433"/>
      <c r="SK66" s="433"/>
      <c r="SL66" s="433"/>
      <c r="SM66" s="433"/>
      <c r="SN66" s="433"/>
      <c r="SO66" s="433"/>
      <c r="SP66" s="433"/>
      <c r="SQ66" s="433"/>
      <c r="SR66" s="433"/>
      <c r="SS66" s="433"/>
      <c r="ST66" s="433"/>
      <c r="SU66" s="433"/>
      <c r="SV66" s="433"/>
      <c r="SW66" s="433"/>
      <c r="SX66" s="433"/>
      <c r="SY66" s="433"/>
      <c r="SZ66" s="433"/>
      <c r="TA66" s="433"/>
      <c r="TB66" s="433"/>
      <c r="TC66" s="433"/>
      <c r="TD66" s="433"/>
      <c r="TE66" s="433"/>
      <c r="TF66" s="433"/>
      <c r="TG66" s="433"/>
      <c r="TH66" s="433"/>
      <c r="TI66" s="433"/>
      <c r="TJ66" s="433"/>
      <c r="TK66" s="433"/>
      <c r="TL66" s="433"/>
      <c r="TM66" s="433"/>
      <c r="TN66" s="433"/>
      <c r="TO66" s="433"/>
      <c r="TP66" s="433"/>
      <c r="TQ66" s="433"/>
      <c r="TR66" s="433"/>
      <c r="TS66" s="433"/>
      <c r="TT66" s="433"/>
      <c r="TU66" s="433"/>
      <c r="TV66" s="433"/>
      <c r="TW66" s="433"/>
      <c r="TX66" s="433"/>
      <c r="TY66" s="433"/>
      <c r="TZ66" s="433"/>
      <c r="UA66" s="433"/>
      <c r="UB66" s="433"/>
      <c r="UC66" s="433"/>
      <c r="UD66" s="433"/>
      <c r="UE66" s="433"/>
      <c r="UF66" s="433"/>
      <c r="UG66" s="433"/>
      <c r="UH66" s="433"/>
      <c r="UI66" s="433"/>
      <c r="UJ66" s="433"/>
      <c r="UK66" s="433"/>
      <c r="UL66" s="433"/>
      <c r="UM66" s="433"/>
      <c r="UN66" s="433"/>
      <c r="UO66" s="433"/>
      <c r="UP66" s="433"/>
      <c r="UQ66" s="433"/>
      <c r="UR66" s="433"/>
      <c r="US66" s="433"/>
      <c r="UT66" s="433"/>
      <c r="UU66" s="433"/>
      <c r="UV66" s="433"/>
      <c r="UW66" s="433"/>
      <c r="UX66" s="433"/>
      <c r="UY66" s="433"/>
      <c r="UZ66" s="433"/>
      <c r="VA66" s="433"/>
      <c r="VB66" s="433"/>
      <c r="VC66" s="433"/>
      <c r="VD66" s="433"/>
      <c r="VE66" s="433"/>
      <c r="VF66" s="433"/>
      <c r="VG66" s="433"/>
      <c r="VH66" s="433"/>
      <c r="VI66" s="433"/>
      <c r="VJ66" s="433"/>
      <c r="VK66" s="433"/>
      <c r="VL66" s="433"/>
      <c r="VM66" s="433"/>
      <c r="VN66" s="433"/>
      <c r="VO66" s="433"/>
      <c r="VP66" s="433"/>
      <c r="VQ66" s="433"/>
      <c r="VR66" s="433"/>
      <c r="VS66" s="433"/>
      <c r="VT66" s="433"/>
      <c r="VU66" s="433"/>
      <c r="VV66" s="433"/>
      <c r="VW66" s="433"/>
      <c r="VX66" s="433"/>
      <c r="VY66" s="433"/>
      <c r="VZ66" s="433"/>
      <c r="WA66" s="433"/>
      <c r="WB66" s="433"/>
      <c r="WC66" s="433"/>
      <c r="WD66" s="433"/>
      <c r="WE66" s="433"/>
      <c r="WF66" s="433"/>
      <c r="WG66" s="433"/>
      <c r="WH66" s="433"/>
      <c r="WI66" s="433"/>
      <c r="WJ66" s="433"/>
      <c r="WK66" s="433"/>
      <c r="WL66" s="433"/>
      <c r="WM66" s="433"/>
      <c r="WN66" s="433"/>
      <c r="WO66" s="433"/>
      <c r="WP66" s="433"/>
      <c r="WQ66" s="433"/>
      <c r="WR66" s="433"/>
      <c r="WS66" s="433"/>
      <c r="WT66" s="433"/>
      <c r="WU66" s="433"/>
      <c r="WV66" s="433"/>
      <c r="WW66" s="433"/>
      <c r="WX66" s="433"/>
      <c r="WY66" s="433"/>
      <c r="WZ66" s="433"/>
      <c r="XA66" s="433"/>
      <c r="XB66" s="433"/>
      <c r="XC66" s="433"/>
      <c r="XD66" s="433"/>
      <c r="XE66" s="433"/>
      <c r="XF66" s="433"/>
      <c r="XG66" s="433"/>
      <c r="XH66" s="433"/>
      <c r="XI66" s="433"/>
      <c r="XJ66" s="433"/>
      <c r="XK66" s="433"/>
      <c r="XL66" s="433"/>
      <c r="XM66" s="433"/>
      <c r="XN66" s="433"/>
      <c r="XO66" s="433"/>
      <c r="XP66" s="433"/>
      <c r="XQ66" s="433"/>
      <c r="XR66" s="433"/>
      <c r="XS66" s="433"/>
      <c r="XT66" s="433"/>
      <c r="XU66" s="433"/>
      <c r="XV66" s="433"/>
      <c r="XW66" s="433"/>
      <c r="XX66" s="433"/>
      <c r="XY66" s="433"/>
      <c r="XZ66" s="433"/>
      <c r="YA66" s="433"/>
      <c r="YB66" s="433"/>
      <c r="YC66" s="433"/>
      <c r="YD66" s="433"/>
      <c r="YE66" s="433"/>
      <c r="YF66" s="433"/>
      <c r="YG66" s="433"/>
      <c r="YH66" s="433"/>
      <c r="YI66" s="433"/>
      <c r="YJ66" s="433"/>
      <c r="YK66" s="433"/>
      <c r="YL66" s="433"/>
      <c r="YM66" s="433"/>
      <c r="YN66" s="433"/>
      <c r="YO66" s="433"/>
      <c r="YP66" s="433"/>
      <c r="YQ66" s="433"/>
      <c r="YR66" s="433"/>
      <c r="YS66" s="433"/>
      <c r="YT66" s="433"/>
      <c r="YU66" s="433"/>
      <c r="YV66" s="433"/>
      <c r="YW66" s="433"/>
      <c r="YX66" s="433"/>
      <c r="YY66" s="433"/>
      <c r="YZ66" s="433"/>
      <c r="ZA66" s="433"/>
      <c r="ZB66" s="433"/>
      <c r="ZC66" s="433"/>
      <c r="ZD66" s="433"/>
      <c r="ZE66" s="433"/>
      <c r="ZF66" s="433"/>
      <c r="ZG66" s="433"/>
      <c r="ZH66" s="433"/>
      <c r="ZI66" s="433"/>
      <c r="ZJ66" s="433"/>
      <c r="ZK66" s="433"/>
      <c r="ZL66" s="433"/>
      <c r="ZM66" s="433"/>
      <c r="ZN66" s="433"/>
      <c r="ZO66" s="433"/>
      <c r="ZP66" s="433"/>
      <c r="ZQ66" s="433"/>
      <c r="ZR66" s="433"/>
      <c r="ZS66" s="433"/>
      <c r="ZT66" s="433"/>
      <c r="ZU66" s="433"/>
      <c r="ZV66" s="433"/>
      <c r="ZW66" s="433"/>
      <c r="ZX66" s="433"/>
      <c r="ZY66" s="433"/>
      <c r="ZZ66" s="433"/>
      <c r="AAA66" s="433"/>
      <c r="AAB66" s="433"/>
      <c r="AAC66" s="433"/>
      <c r="AAD66" s="433"/>
      <c r="AAE66" s="433"/>
      <c r="AAF66" s="433"/>
      <c r="AAG66" s="433"/>
      <c r="AAH66" s="433"/>
      <c r="AAI66" s="433"/>
      <c r="AAJ66" s="433"/>
      <c r="AAK66" s="433"/>
      <c r="AAL66" s="433"/>
      <c r="AAM66" s="433"/>
      <c r="AAN66" s="433"/>
      <c r="AAO66" s="433"/>
      <c r="AAP66" s="433"/>
      <c r="AAQ66" s="433"/>
      <c r="AAR66" s="433"/>
      <c r="AAS66" s="433"/>
      <c r="AAT66" s="433"/>
      <c r="AAU66" s="433"/>
      <c r="AAV66" s="433"/>
      <c r="AAW66" s="433"/>
      <c r="AAX66" s="433"/>
      <c r="AAY66" s="433"/>
      <c r="AAZ66" s="433"/>
      <c r="ABA66" s="433"/>
      <c r="ABB66" s="433"/>
      <c r="ABC66" s="433"/>
      <c r="ABD66" s="433"/>
      <c r="ABE66" s="433"/>
      <c r="ABF66" s="433"/>
      <c r="ABG66" s="433"/>
      <c r="ABH66" s="433"/>
      <c r="ABI66" s="433"/>
      <c r="ABJ66" s="433"/>
      <c r="ABK66" s="433"/>
      <c r="ABL66" s="433"/>
      <c r="ABM66" s="433"/>
      <c r="ABN66" s="433"/>
      <c r="ABO66" s="433"/>
      <c r="ABP66" s="433"/>
      <c r="ABQ66" s="433"/>
      <c r="ABR66" s="433"/>
      <c r="ABS66" s="433"/>
      <c r="ABT66" s="433"/>
      <c r="ABU66" s="433"/>
      <c r="ABV66" s="433"/>
      <c r="ABW66" s="433"/>
      <c r="ABX66" s="433"/>
      <c r="ABY66" s="433"/>
      <c r="ABZ66" s="433"/>
      <c r="ACA66" s="433"/>
      <c r="ACB66" s="433"/>
      <c r="ACC66" s="433"/>
      <c r="ACD66" s="433"/>
      <c r="ACE66" s="433"/>
      <c r="ACF66" s="433"/>
      <c r="ACG66" s="433"/>
      <c r="ACH66" s="433"/>
      <c r="ACI66" s="433"/>
      <c r="ACJ66" s="433"/>
      <c r="ACK66" s="433"/>
      <c r="ACL66" s="433"/>
      <c r="ACM66" s="433"/>
      <c r="ACN66" s="433"/>
      <c r="ACO66" s="433"/>
      <c r="ACP66" s="433"/>
      <c r="ACQ66" s="433"/>
      <c r="ACR66" s="433"/>
      <c r="ACS66" s="433"/>
      <c r="ACT66" s="433"/>
      <c r="ACU66" s="433"/>
      <c r="ACV66" s="433"/>
      <c r="ACW66" s="433"/>
      <c r="ACX66" s="433"/>
      <c r="ACY66" s="433"/>
      <c r="ACZ66" s="433"/>
      <c r="ADA66" s="433"/>
      <c r="ADB66" s="433"/>
      <c r="ADC66" s="433"/>
      <c r="ADD66" s="433"/>
      <c r="ADE66" s="433"/>
      <c r="ADF66" s="433"/>
      <c r="ADG66" s="433"/>
      <c r="ADH66" s="433"/>
      <c r="ADI66" s="433"/>
      <c r="ADJ66" s="433"/>
      <c r="ADK66" s="433"/>
      <c r="ADL66" s="433"/>
      <c r="ADM66" s="433"/>
      <c r="ADN66" s="433"/>
      <c r="ADO66" s="433"/>
      <c r="ADP66" s="433"/>
      <c r="ADQ66" s="433"/>
      <c r="ADR66" s="433"/>
      <c r="ADS66" s="433"/>
      <c r="ADT66" s="433"/>
      <c r="ADU66" s="433"/>
      <c r="ADV66" s="433"/>
      <c r="ADW66" s="433"/>
      <c r="ADX66" s="433"/>
      <c r="ADY66" s="433"/>
      <c r="ADZ66" s="433"/>
      <c r="AEA66" s="433"/>
      <c r="AEB66" s="433"/>
      <c r="AEC66" s="433"/>
      <c r="AED66" s="433"/>
      <c r="AEE66" s="433"/>
      <c r="AEF66" s="433"/>
      <c r="AEG66" s="433"/>
      <c r="AEH66" s="433"/>
      <c r="AEI66" s="433"/>
      <c r="AEJ66" s="433"/>
      <c r="AEK66" s="433"/>
      <c r="AEL66" s="433"/>
      <c r="AEM66" s="433"/>
      <c r="AEN66" s="433"/>
      <c r="AEO66" s="433"/>
      <c r="AEP66" s="433"/>
      <c r="AEQ66" s="433"/>
      <c r="AER66" s="433"/>
      <c r="AES66" s="433"/>
      <c r="AET66" s="433"/>
      <c r="AEU66" s="433"/>
      <c r="AEV66" s="433"/>
      <c r="AEW66" s="433"/>
      <c r="AEX66" s="433"/>
      <c r="AEY66" s="433"/>
      <c r="AEZ66" s="433"/>
      <c r="AFA66" s="433"/>
      <c r="AFB66" s="433"/>
      <c r="AFC66" s="433"/>
      <c r="AFD66" s="433"/>
      <c r="AFE66" s="433"/>
      <c r="AFF66" s="433"/>
      <c r="AFG66" s="433"/>
      <c r="AFH66" s="433"/>
      <c r="AFI66" s="433"/>
      <c r="AFJ66" s="433"/>
      <c r="AFK66" s="433"/>
      <c r="AFL66" s="433"/>
      <c r="AFM66" s="433"/>
      <c r="AFN66" s="433"/>
      <c r="AFO66" s="433"/>
      <c r="AFP66" s="433"/>
      <c r="AFQ66" s="433"/>
      <c r="AFR66" s="433"/>
      <c r="AFS66" s="433"/>
      <c r="AFT66" s="433"/>
      <c r="AFU66" s="433"/>
      <c r="AFV66" s="433"/>
      <c r="AFW66" s="433"/>
      <c r="AFX66" s="433"/>
      <c r="AFY66" s="433"/>
      <c r="AFZ66" s="433"/>
      <c r="AGA66" s="433"/>
      <c r="AGB66" s="433"/>
      <c r="AGC66" s="433"/>
      <c r="AGD66" s="433"/>
      <c r="AGE66" s="433"/>
      <c r="AGF66" s="433"/>
      <c r="AGG66" s="433"/>
      <c r="AGH66" s="433"/>
      <c r="AGI66" s="433"/>
      <c r="AGJ66" s="433"/>
    </row>
    <row r="67" spans="1:868" s="1" customFormat="1">
      <c r="A67" s="633" t="s">
        <v>118</v>
      </c>
      <c r="B67" s="777" t="s">
        <v>418</v>
      </c>
      <c r="C67" s="34" t="s">
        <v>139</v>
      </c>
      <c r="D67" s="122" t="s">
        <v>99</v>
      </c>
      <c r="E67" s="618">
        <f t="shared" si="22"/>
        <v>8.5204579746161357E-2</v>
      </c>
      <c r="F67" s="9">
        <v>1</v>
      </c>
      <c r="G67" s="9" t="s">
        <v>412</v>
      </c>
      <c r="H67" s="10">
        <v>1</v>
      </c>
      <c r="I67" s="10">
        <v>2</v>
      </c>
      <c r="J67" s="10">
        <v>2</v>
      </c>
      <c r="K67" s="10">
        <v>1</v>
      </c>
      <c r="L67" s="10">
        <v>1</v>
      </c>
      <c r="M67" s="10">
        <v>2</v>
      </c>
      <c r="N67" s="402">
        <f t="shared" si="25"/>
        <v>0.35859414261160716</v>
      </c>
      <c r="O67" s="402">
        <f t="shared" si="26"/>
        <v>0.37356464144298934</v>
      </c>
      <c r="P67" s="43"/>
      <c r="Q67" s="433"/>
      <c r="R67" s="433"/>
      <c r="S67" s="433"/>
      <c r="T67" s="433"/>
      <c r="U67" s="433"/>
      <c r="V67" s="433"/>
      <c r="W67" s="433"/>
      <c r="X67" s="433"/>
      <c r="Y67" s="433"/>
      <c r="Z67" s="433"/>
      <c r="AA67" s="433"/>
      <c r="AB67" s="433"/>
      <c r="AC67" s="433"/>
      <c r="AD67" s="433"/>
      <c r="AE67" s="433"/>
      <c r="AF67" s="433"/>
      <c r="AG67" s="433"/>
      <c r="AH67" s="433"/>
      <c r="AI67" s="433"/>
      <c r="AJ67" s="433"/>
      <c r="AK67" s="433"/>
      <c r="AL67" s="433"/>
      <c r="AM67" s="433"/>
      <c r="AN67" s="433"/>
      <c r="AO67" s="433"/>
      <c r="AP67" s="433"/>
      <c r="AQ67" s="433"/>
      <c r="AR67" s="433"/>
      <c r="AS67" s="433"/>
      <c r="AT67" s="433"/>
      <c r="AU67" s="433"/>
      <c r="AV67" s="433"/>
      <c r="AW67" s="433"/>
      <c r="AX67" s="433"/>
      <c r="AY67" s="433"/>
      <c r="AZ67" s="433"/>
      <c r="BA67" s="433"/>
      <c r="BB67" s="433"/>
      <c r="BC67" s="433"/>
      <c r="BD67" s="433"/>
      <c r="BE67" s="433"/>
      <c r="BF67" s="433"/>
      <c r="BG67" s="433"/>
      <c r="BH67" s="433"/>
      <c r="BI67" s="433"/>
      <c r="BJ67" s="433"/>
      <c r="BK67" s="433"/>
      <c r="BL67" s="433"/>
      <c r="BM67" s="433"/>
      <c r="BN67" s="433"/>
      <c r="BO67" s="433"/>
      <c r="BP67" s="433"/>
      <c r="BQ67" s="433"/>
      <c r="BR67" s="433"/>
      <c r="BS67" s="433"/>
      <c r="BT67" s="433"/>
      <c r="BU67" s="433"/>
      <c r="BV67" s="433"/>
      <c r="BW67" s="433"/>
      <c r="BX67" s="433"/>
      <c r="BY67" s="433"/>
      <c r="BZ67" s="433"/>
      <c r="CA67" s="433"/>
      <c r="CB67" s="433"/>
      <c r="CC67" s="433"/>
      <c r="CD67" s="433"/>
      <c r="CE67" s="433"/>
      <c r="CF67" s="433"/>
      <c r="CG67" s="433"/>
      <c r="CH67" s="433"/>
      <c r="CI67" s="433"/>
      <c r="CJ67" s="433"/>
      <c r="CK67" s="433"/>
      <c r="CL67" s="433"/>
      <c r="CM67" s="433"/>
      <c r="CN67" s="433"/>
      <c r="CO67" s="433"/>
      <c r="CP67" s="433"/>
      <c r="CQ67" s="433"/>
      <c r="CR67" s="433"/>
      <c r="CS67" s="433"/>
      <c r="CT67" s="433"/>
      <c r="CU67" s="433"/>
      <c r="CV67" s="433"/>
      <c r="CW67" s="433"/>
      <c r="CX67" s="433"/>
      <c r="CY67" s="433"/>
      <c r="CZ67" s="433"/>
      <c r="DA67" s="433"/>
      <c r="DB67" s="433"/>
      <c r="DC67" s="433"/>
      <c r="DD67" s="433"/>
      <c r="DE67" s="433"/>
      <c r="DF67" s="433"/>
      <c r="DG67" s="433"/>
      <c r="DH67" s="433"/>
      <c r="DI67" s="433"/>
      <c r="DJ67" s="433"/>
      <c r="DK67" s="433"/>
      <c r="DL67" s="433"/>
      <c r="DM67" s="433"/>
      <c r="DN67" s="433"/>
      <c r="DO67" s="433"/>
      <c r="DP67" s="433"/>
      <c r="DQ67" s="433"/>
      <c r="DR67" s="433"/>
      <c r="DS67" s="433"/>
      <c r="DT67" s="433"/>
      <c r="DU67" s="433"/>
      <c r="DV67" s="433"/>
      <c r="DW67" s="433"/>
      <c r="DX67" s="433"/>
      <c r="DY67" s="433"/>
      <c r="DZ67" s="433"/>
      <c r="EA67" s="433"/>
      <c r="EB67" s="433"/>
      <c r="EC67" s="433"/>
      <c r="ED67" s="433"/>
      <c r="EE67" s="433"/>
      <c r="EF67" s="433"/>
      <c r="EG67" s="433"/>
      <c r="EH67" s="433"/>
      <c r="EI67" s="433"/>
      <c r="EJ67" s="433"/>
      <c r="EK67" s="433"/>
      <c r="EL67" s="433"/>
      <c r="EM67" s="433"/>
      <c r="EN67" s="433"/>
      <c r="EO67" s="433"/>
      <c r="EP67" s="433"/>
      <c r="EQ67" s="433"/>
      <c r="ER67" s="433"/>
      <c r="ES67" s="433"/>
      <c r="ET67" s="433"/>
      <c r="EU67" s="433"/>
      <c r="EV67" s="433"/>
      <c r="EW67" s="433"/>
      <c r="EX67" s="433"/>
      <c r="EY67" s="433"/>
      <c r="EZ67" s="433"/>
      <c r="FA67" s="433"/>
      <c r="FB67" s="433"/>
      <c r="FC67" s="433"/>
      <c r="FD67" s="433"/>
      <c r="FE67" s="433"/>
      <c r="FF67" s="433"/>
      <c r="FG67" s="433"/>
      <c r="FH67" s="433"/>
      <c r="FI67" s="433"/>
      <c r="FJ67" s="433"/>
      <c r="FK67" s="433"/>
      <c r="FL67" s="433"/>
      <c r="FM67" s="433"/>
      <c r="FN67" s="433"/>
      <c r="FO67" s="433"/>
      <c r="FP67" s="433"/>
      <c r="FQ67" s="433"/>
      <c r="FR67" s="433"/>
      <c r="FS67" s="433"/>
      <c r="FT67" s="433"/>
      <c r="FU67" s="433"/>
      <c r="FV67" s="433"/>
      <c r="FW67" s="433"/>
      <c r="FX67" s="433"/>
      <c r="FY67" s="433"/>
      <c r="FZ67" s="433"/>
      <c r="GA67" s="433"/>
      <c r="GB67" s="433"/>
      <c r="GC67" s="433"/>
      <c r="GD67" s="433"/>
      <c r="GE67" s="433"/>
      <c r="GF67" s="433"/>
      <c r="GG67" s="433"/>
      <c r="GH67" s="433"/>
      <c r="GI67" s="433"/>
      <c r="GJ67" s="433"/>
      <c r="GK67" s="433"/>
      <c r="GL67" s="433"/>
      <c r="GM67" s="433"/>
      <c r="GN67" s="433"/>
      <c r="GO67" s="433"/>
      <c r="GP67" s="433"/>
      <c r="GQ67" s="433"/>
      <c r="GR67" s="433"/>
      <c r="GS67" s="433"/>
      <c r="GT67" s="433"/>
      <c r="GU67" s="433"/>
      <c r="GV67" s="433"/>
      <c r="GW67" s="433"/>
      <c r="GX67" s="433"/>
      <c r="GY67" s="433"/>
      <c r="GZ67" s="433"/>
      <c r="HA67" s="433"/>
      <c r="HB67" s="433"/>
      <c r="HC67" s="433"/>
      <c r="HD67" s="433"/>
      <c r="HE67" s="433"/>
      <c r="HF67" s="433"/>
      <c r="HG67" s="433"/>
      <c r="HH67" s="433"/>
      <c r="HI67" s="433"/>
      <c r="HJ67" s="433"/>
      <c r="HK67" s="433"/>
      <c r="HL67" s="433"/>
      <c r="HM67" s="433"/>
      <c r="HN67" s="433"/>
      <c r="HO67" s="433"/>
      <c r="HP67" s="433"/>
      <c r="HQ67" s="433"/>
      <c r="HR67" s="433"/>
      <c r="HS67" s="433"/>
      <c r="HT67" s="433"/>
      <c r="HU67" s="433"/>
      <c r="HV67" s="433"/>
      <c r="HW67" s="433"/>
      <c r="HX67" s="433"/>
      <c r="HY67" s="433"/>
      <c r="HZ67" s="433"/>
      <c r="IA67" s="433"/>
      <c r="IB67" s="433"/>
      <c r="IC67" s="433"/>
      <c r="ID67" s="433"/>
      <c r="IE67" s="433"/>
      <c r="IF67" s="433"/>
      <c r="IG67" s="433"/>
      <c r="IH67" s="433"/>
      <c r="II67" s="433"/>
      <c r="IJ67" s="433"/>
      <c r="IK67" s="433"/>
      <c r="IL67" s="433"/>
      <c r="IM67" s="433"/>
      <c r="IN67" s="433"/>
      <c r="IO67" s="433"/>
      <c r="IP67" s="433"/>
      <c r="IQ67" s="433"/>
      <c r="IR67" s="433"/>
      <c r="IS67" s="433"/>
      <c r="IT67" s="433"/>
      <c r="IU67" s="433"/>
      <c r="IV67" s="433"/>
      <c r="IW67" s="433"/>
      <c r="IX67" s="433"/>
      <c r="IY67" s="433"/>
      <c r="IZ67" s="433"/>
      <c r="JA67" s="433"/>
      <c r="JB67" s="433"/>
      <c r="JC67" s="433"/>
      <c r="JD67" s="433"/>
      <c r="JE67" s="433"/>
      <c r="JF67" s="433"/>
      <c r="JG67" s="433"/>
      <c r="JH67" s="433"/>
      <c r="JI67" s="433"/>
      <c r="JJ67" s="433"/>
      <c r="JK67" s="433"/>
      <c r="JL67" s="433"/>
      <c r="JM67" s="433"/>
      <c r="JN67" s="433"/>
      <c r="JO67" s="433"/>
      <c r="JP67" s="433"/>
      <c r="JQ67" s="433"/>
      <c r="JR67" s="433"/>
      <c r="JS67" s="433"/>
      <c r="JT67" s="433"/>
      <c r="JU67" s="433"/>
      <c r="JV67" s="433"/>
      <c r="JW67" s="433"/>
      <c r="JX67" s="433"/>
      <c r="JY67" s="433"/>
      <c r="JZ67" s="433"/>
      <c r="KA67" s="433"/>
      <c r="KB67" s="433"/>
      <c r="KC67" s="433"/>
      <c r="KD67" s="433"/>
      <c r="KE67" s="433"/>
      <c r="KF67" s="433"/>
      <c r="KG67" s="433"/>
      <c r="KH67" s="433"/>
      <c r="KI67" s="433"/>
      <c r="KJ67" s="433"/>
      <c r="KK67" s="433"/>
      <c r="KL67" s="433"/>
      <c r="KM67" s="433"/>
      <c r="KN67" s="433"/>
      <c r="KO67" s="433"/>
      <c r="KP67" s="433"/>
      <c r="KQ67" s="433"/>
      <c r="KR67" s="433"/>
      <c r="KS67" s="433"/>
      <c r="KT67" s="433"/>
      <c r="KU67" s="433"/>
      <c r="KV67" s="433"/>
      <c r="KW67" s="433"/>
      <c r="KX67" s="433"/>
      <c r="KY67" s="433"/>
      <c r="KZ67" s="433"/>
      <c r="LA67" s="433"/>
      <c r="LB67" s="433"/>
      <c r="LC67" s="433"/>
      <c r="LD67" s="433"/>
      <c r="LE67" s="433"/>
      <c r="LF67" s="433"/>
      <c r="LG67" s="433"/>
      <c r="LH67" s="433"/>
      <c r="LI67" s="433"/>
      <c r="LJ67" s="433"/>
      <c r="LK67" s="433"/>
      <c r="LL67" s="433"/>
      <c r="LM67" s="433"/>
      <c r="LN67" s="433"/>
      <c r="LO67" s="433"/>
      <c r="LP67" s="433"/>
      <c r="LQ67" s="433"/>
      <c r="LR67" s="433"/>
      <c r="LS67" s="433"/>
      <c r="LT67" s="433"/>
      <c r="LU67" s="433"/>
      <c r="LV67" s="433"/>
      <c r="LW67" s="433"/>
      <c r="LX67" s="433"/>
      <c r="LY67" s="433"/>
      <c r="LZ67" s="433"/>
      <c r="MA67" s="433"/>
      <c r="MB67" s="433"/>
      <c r="MC67" s="433"/>
      <c r="MD67" s="433"/>
      <c r="ME67" s="433"/>
      <c r="MF67" s="433"/>
      <c r="MG67" s="433"/>
      <c r="MH67" s="433"/>
      <c r="MI67" s="433"/>
      <c r="MJ67" s="433"/>
      <c r="MK67" s="433"/>
      <c r="ML67" s="433"/>
      <c r="MM67" s="433"/>
      <c r="MN67" s="433"/>
      <c r="MO67" s="433"/>
      <c r="MP67" s="433"/>
      <c r="MQ67" s="433"/>
      <c r="MR67" s="433"/>
      <c r="MS67" s="433"/>
      <c r="MT67" s="433"/>
      <c r="MU67" s="433"/>
      <c r="MV67" s="433"/>
      <c r="MW67" s="433"/>
      <c r="MX67" s="433"/>
      <c r="MY67" s="433"/>
      <c r="MZ67" s="433"/>
      <c r="NA67" s="433"/>
      <c r="NB67" s="433"/>
      <c r="NC67" s="433"/>
      <c r="ND67" s="433"/>
      <c r="NE67" s="433"/>
      <c r="NF67" s="433"/>
      <c r="NG67" s="433"/>
      <c r="NH67" s="433"/>
      <c r="NI67" s="433"/>
      <c r="NJ67" s="433"/>
      <c r="NK67" s="433"/>
      <c r="NL67" s="433"/>
      <c r="NM67" s="433"/>
      <c r="NN67" s="433"/>
      <c r="NO67" s="433"/>
      <c r="NP67" s="433"/>
      <c r="NQ67" s="433"/>
      <c r="NR67" s="433"/>
      <c r="NS67" s="433"/>
      <c r="NT67" s="433"/>
      <c r="NU67" s="433"/>
      <c r="NV67" s="433"/>
      <c r="NW67" s="433"/>
      <c r="NX67" s="433"/>
      <c r="NY67" s="433"/>
      <c r="NZ67" s="433"/>
      <c r="OA67" s="433"/>
      <c r="OB67" s="433"/>
      <c r="OC67" s="433"/>
      <c r="OD67" s="433"/>
      <c r="OE67" s="433"/>
      <c r="OF67" s="433"/>
      <c r="OG67" s="433"/>
      <c r="OH67" s="433"/>
      <c r="OI67" s="433"/>
      <c r="OJ67" s="433"/>
      <c r="OK67" s="433"/>
      <c r="OL67" s="433"/>
      <c r="OM67" s="433"/>
      <c r="ON67" s="433"/>
      <c r="OO67" s="433"/>
      <c r="OP67" s="433"/>
      <c r="OQ67" s="433"/>
      <c r="OR67" s="433"/>
      <c r="OS67" s="433"/>
      <c r="OT67" s="433"/>
      <c r="OU67" s="433"/>
      <c r="OV67" s="433"/>
      <c r="OW67" s="433"/>
      <c r="OX67" s="433"/>
      <c r="OY67" s="433"/>
      <c r="OZ67" s="433"/>
      <c r="PA67" s="433"/>
      <c r="PB67" s="433"/>
      <c r="PC67" s="433"/>
      <c r="PD67" s="433"/>
      <c r="PE67" s="433"/>
      <c r="PF67" s="433"/>
      <c r="PG67" s="433"/>
      <c r="PH67" s="433"/>
      <c r="PI67" s="433"/>
      <c r="PJ67" s="433"/>
      <c r="PK67" s="433"/>
      <c r="PL67" s="433"/>
      <c r="PM67" s="433"/>
      <c r="PN67" s="433"/>
      <c r="PO67" s="433"/>
      <c r="PP67" s="433"/>
      <c r="PQ67" s="433"/>
      <c r="PR67" s="433"/>
      <c r="PS67" s="433"/>
      <c r="PT67" s="433"/>
      <c r="PU67" s="433"/>
      <c r="PV67" s="433"/>
      <c r="PW67" s="433"/>
      <c r="PX67" s="433"/>
      <c r="PY67" s="433"/>
      <c r="PZ67" s="433"/>
      <c r="QA67" s="433"/>
      <c r="QB67" s="433"/>
      <c r="QC67" s="433"/>
      <c r="QD67" s="433"/>
      <c r="QE67" s="433"/>
      <c r="QF67" s="433"/>
      <c r="QG67" s="433"/>
      <c r="QH67" s="433"/>
      <c r="QI67" s="433"/>
      <c r="QJ67" s="433"/>
      <c r="QK67" s="433"/>
      <c r="QL67" s="433"/>
      <c r="QM67" s="433"/>
      <c r="QN67" s="433"/>
      <c r="QO67" s="433"/>
      <c r="QP67" s="433"/>
      <c r="QQ67" s="433"/>
      <c r="QR67" s="433"/>
      <c r="QS67" s="433"/>
      <c r="QT67" s="433"/>
      <c r="QU67" s="433"/>
      <c r="QV67" s="433"/>
      <c r="QW67" s="433"/>
      <c r="QX67" s="433"/>
      <c r="QY67" s="433"/>
      <c r="QZ67" s="433"/>
      <c r="RA67" s="433"/>
      <c r="RB67" s="433"/>
      <c r="RC67" s="433"/>
      <c r="RD67" s="433"/>
      <c r="RE67" s="433"/>
      <c r="RF67" s="433"/>
      <c r="RG67" s="433"/>
      <c r="RH67" s="433"/>
      <c r="RI67" s="433"/>
      <c r="RJ67" s="433"/>
      <c r="RK67" s="433"/>
      <c r="RL67" s="433"/>
      <c r="RM67" s="433"/>
      <c r="RN67" s="433"/>
      <c r="RO67" s="433"/>
      <c r="RP67" s="433"/>
      <c r="RQ67" s="433"/>
      <c r="RR67" s="433"/>
      <c r="RS67" s="433"/>
      <c r="RT67" s="433"/>
      <c r="RU67" s="433"/>
      <c r="RV67" s="433"/>
      <c r="RW67" s="433"/>
      <c r="RX67" s="433"/>
      <c r="RY67" s="433"/>
      <c r="RZ67" s="433"/>
      <c r="SA67" s="433"/>
      <c r="SB67" s="433"/>
      <c r="SC67" s="433"/>
      <c r="SD67" s="433"/>
      <c r="SE67" s="433"/>
      <c r="SF67" s="433"/>
      <c r="SG67" s="433"/>
      <c r="SH67" s="433"/>
      <c r="SI67" s="433"/>
      <c r="SJ67" s="433"/>
      <c r="SK67" s="433"/>
      <c r="SL67" s="433"/>
      <c r="SM67" s="433"/>
      <c r="SN67" s="433"/>
      <c r="SO67" s="433"/>
      <c r="SP67" s="433"/>
      <c r="SQ67" s="433"/>
      <c r="SR67" s="433"/>
      <c r="SS67" s="433"/>
      <c r="ST67" s="433"/>
      <c r="SU67" s="433"/>
      <c r="SV67" s="433"/>
      <c r="SW67" s="433"/>
      <c r="SX67" s="433"/>
      <c r="SY67" s="433"/>
      <c r="SZ67" s="433"/>
      <c r="TA67" s="433"/>
      <c r="TB67" s="433"/>
      <c r="TC67" s="433"/>
      <c r="TD67" s="433"/>
      <c r="TE67" s="433"/>
      <c r="TF67" s="433"/>
      <c r="TG67" s="433"/>
      <c r="TH67" s="433"/>
      <c r="TI67" s="433"/>
      <c r="TJ67" s="433"/>
      <c r="TK67" s="433"/>
      <c r="TL67" s="433"/>
      <c r="TM67" s="433"/>
      <c r="TN67" s="433"/>
      <c r="TO67" s="433"/>
      <c r="TP67" s="433"/>
      <c r="TQ67" s="433"/>
      <c r="TR67" s="433"/>
      <c r="TS67" s="433"/>
      <c r="TT67" s="433"/>
      <c r="TU67" s="433"/>
      <c r="TV67" s="433"/>
      <c r="TW67" s="433"/>
      <c r="TX67" s="433"/>
      <c r="TY67" s="433"/>
      <c r="TZ67" s="433"/>
      <c r="UA67" s="433"/>
      <c r="UB67" s="433"/>
      <c r="UC67" s="433"/>
      <c r="UD67" s="433"/>
      <c r="UE67" s="433"/>
      <c r="UF67" s="433"/>
      <c r="UG67" s="433"/>
      <c r="UH67" s="433"/>
      <c r="UI67" s="433"/>
      <c r="UJ67" s="433"/>
      <c r="UK67" s="433"/>
      <c r="UL67" s="433"/>
      <c r="UM67" s="433"/>
      <c r="UN67" s="433"/>
      <c r="UO67" s="433"/>
      <c r="UP67" s="433"/>
      <c r="UQ67" s="433"/>
      <c r="UR67" s="433"/>
      <c r="US67" s="433"/>
      <c r="UT67" s="433"/>
      <c r="UU67" s="433"/>
      <c r="UV67" s="433"/>
      <c r="UW67" s="433"/>
      <c r="UX67" s="433"/>
      <c r="UY67" s="433"/>
      <c r="UZ67" s="433"/>
      <c r="VA67" s="433"/>
      <c r="VB67" s="433"/>
      <c r="VC67" s="433"/>
      <c r="VD67" s="433"/>
      <c r="VE67" s="433"/>
      <c r="VF67" s="433"/>
      <c r="VG67" s="433"/>
      <c r="VH67" s="433"/>
      <c r="VI67" s="433"/>
      <c r="VJ67" s="433"/>
      <c r="VK67" s="433"/>
      <c r="VL67" s="433"/>
      <c r="VM67" s="433"/>
      <c r="VN67" s="433"/>
      <c r="VO67" s="433"/>
      <c r="VP67" s="433"/>
      <c r="VQ67" s="433"/>
      <c r="VR67" s="433"/>
      <c r="VS67" s="433"/>
      <c r="VT67" s="433"/>
      <c r="VU67" s="433"/>
      <c r="VV67" s="433"/>
      <c r="VW67" s="433"/>
      <c r="VX67" s="433"/>
      <c r="VY67" s="433"/>
      <c r="VZ67" s="433"/>
      <c r="WA67" s="433"/>
      <c r="WB67" s="433"/>
      <c r="WC67" s="433"/>
      <c r="WD67" s="433"/>
      <c r="WE67" s="433"/>
      <c r="WF67" s="433"/>
      <c r="WG67" s="433"/>
      <c r="WH67" s="433"/>
      <c r="WI67" s="433"/>
      <c r="WJ67" s="433"/>
      <c r="WK67" s="433"/>
      <c r="WL67" s="433"/>
      <c r="WM67" s="433"/>
      <c r="WN67" s="433"/>
      <c r="WO67" s="433"/>
      <c r="WP67" s="433"/>
      <c r="WQ67" s="433"/>
      <c r="WR67" s="433"/>
      <c r="WS67" s="433"/>
      <c r="WT67" s="433"/>
      <c r="WU67" s="433"/>
      <c r="WV67" s="433"/>
      <c r="WW67" s="433"/>
      <c r="WX67" s="433"/>
      <c r="WY67" s="433"/>
      <c r="WZ67" s="433"/>
      <c r="XA67" s="433"/>
      <c r="XB67" s="433"/>
      <c r="XC67" s="433"/>
      <c r="XD67" s="433"/>
      <c r="XE67" s="433"/>
      <c r="XF67" s="433"/>
      <c r="XG67" s="433"/>
      <c r="XH67" s="433"/>
      <c r="XI67" s="433"/>
      <c r="XJ67" s="433"/>
      <c r="XK67" s="433"/>
      <c r="XL67" s="433"/>
      <c r="XM67" s="433"/>
      <c r="XN67" s="433"/>
      <c r="XO67" s="433"/>
      <c r="XP67" s="433"/>
      <c r="XQ67" s="433"/>
      <c r="XR67" s="433"/>
      <c r="XS67" s="433"/>
      <c r="XT67" s="433"/>
      <c r="XU67" s="433"/>
      <c r="XV67" s="433"/>
      <c r="XW67" s="433"/>
      <c r="XX67" s="433"/>
      <c r="XY67" s="433"/>
      <c r="XZ67" s="433"/>
      <c r="YA67" s="433"/>
      <c r="YB67" s="433"/>
      <c r="YC67" s="433"/>
      <c r="YD67" s="433"/>
      <c r="YE67" s="433"/>
      <c r="YF67" s="433"/>
      <c r="YG67" s="433"/>
      <c r="YH67" s="433"/>
      <c r="YI67" s="433"/>
      <c r="YJ67" s="433"/>
      <c r="YK67" s="433"/>
      <c r="YL67" s="433"/>
      <c r="YM67" s="433"/>
      <c r="YN67" s="433"/>
      <c r="YO67" s="433"/>
      <c r="YP67" s="433"/>
      <c r="YQ67" s="433"/>
      <c r="YR67" s="433"/>
      <c r="YS67" s="433"/>
      <c r="YT67" s="433"/>
      <c r="YU67" s="433"/>
      <c r="YV67" s="433"/>
      <c r="YW67" s="433"/>
      <c r="YX67" s="433"/>
      <c r="YY67" s="433"/>
      <c r="YZ67" s="433"/>
      <c r="ZA67" s="433"/>
      <c r="ZB67" s="433"/>
      <c r="ZC67" s="433"/>
      <c r="ZD67" s="433"/>
      <c r="ZE67" s="433"/>
      <c r="ZF67" s="433"/>
      <c r="ZG67" s="433"/>
      <c r="ZH67" s="433"/>
      <c r="ZI67" s="433"/>
      <c r="ZJ67" s="433"/>
      <c r="ZK67" s="433"/>
      <c r="ZL67" s="433"/>
      <c r="ZM67" s="433"/>
      <c r="ZN67" s="433"/>
      <c r="ZO67" s="433"/>
      <c r="ZP67" s="433"/>
      <c r="ZQ67" s="433"/>
      <c r="ZR67" s="433"/>
      <c r="ZS67" s="433"/>
      <c r="ZT67" s="433"/>
      <c r="ZU67" s="433"/>
      <c r="ZV67" s="433"/>
      <c r="ZW67" s="433"/>
      <c r="ZX67" s="433"/>
      <c r="ZY67" s="433"/>
      <c r="ZZ67" s="433"/>
      <c r="AAA67" s="433"/>
      <c r="AAB67" s="433"/>
      <c r="AAC67" s="433"/>
      <c r="AAD67" s="433"/>
      <c r="AAE67" s="433"/>
      <c r="AAF67" s="433"/>
      <c r="AAG67" s="433"/>
      <c r="AAH67" s="433"/>
      <c r="AAI67" s="433"/>
      <c r="AAJ67" s="433"/>
      <c r="AAK67" s="433"/>
      <c r="AAL67" s="433"/>
      <c r="AAM67" s="433"/>
      <c r="AAN67" s="433"/>
      <c r="AAO67" s="433"/>
      <c r="AAP67" s="433"/>
      <c r="AAQ67" s="433"/>
      <c r="AAR67" s="433"/>
      <c r="AAS67" s="433"/>
      <c r="AAT67" s="433"/>
      <c r="AAU67" s="433"/>
      <c r="AAV67" s="433"/>
      <c r="AAW67" s="433"/>
      <c r="AAX67" s="433"/>
      <c r="AAY67" s="433"/>
      <c r="AAZ67" s="433"/>
      <c r="ABA67" s="433"/>
      <c r="ABB67" s="433"/>
      <c r="ABC67" s="433"/>
      <c r="ABD67" s="433"/>
      <c r="ABE67" s="433"/>
      <c r="ABF67" s="433"/>
      <c r="ABG67" s="433"/>
      <c r="ABH67" s="433"/>
      <c r="ABI67" s="433"/>
      <c r="ABJ67" s="433"/>
      <c r="ABK67" s="433"/>
      <c r="ABL67" s="433"/>
      <c r="ABM67" s="433"/>
      <c r="ABN67" s="433"/>
      <c r="ABO67" s="433"/>
      <c r="ABP67" s="433"/>
      <c r="ABQ67" s="433"/>
      <c r="ABR67" s="433"/>
      <c r="ABS67" s="433"/>
      <c r="ABT67" s="433"/>
      <c r="ABU67" s="433"/>
      <c r="ABV67" s="433"/>
      <c r="ABW67" s="433"/>
      <c r="ABX67" s="433"/>
      <c r="ABY67" s="433"/>
      <c r="ABZ67" s="433"/>
      <c r="ACA67" s="433"/>
      <c r="ACB67" s="433"/>
      <c r="ACC67" s="433"/>
      <c r="ACD67" s="433"/>
      <c r="ACE67" s="433"/>
      <c r="ACF67" s="433"/>
      <c r="ACG67" s="433"/>
      <c r="ACH67" s="433"/>
      <c r="ACI67" s="433"/>
      <c r="ACJ67" s="433"/>
      <c r="ACK67" s="433"/>
      <c r="ACL67" s="433"/>
      <c r="ACM67" s="433"/>
      <c r="ACN67" s="433"/>
      <c r="ACO67" s="433"/>
      <c r="ACP67" s="433"/>
      <c r="ACQ67" s="433"/>
      <c r="ACR67" s="433"/>
      <c r="ACS67" s="433"/>
      <c r="ACT67" s="433"/>
      <c r="ACU67" s="433"/>
      <c r="ACV67" s="433"/>
      <c r="ACW67" s="433"/>
      <c r="ACX67" s="433"/>
      <c r="ACY67" s="433"/>
      <c r="ACZ67" s="433"/>
      <c r="ADA67" s="433"/>
      <c r="ADB67" s="433"/>
      <c r="ADC67" s="433"/>
      <c r="ADD67" s="433"/>
      <c r="ADE67" s="433"/>
      <c r="ADF67" s="433"/>
      <c r="ADG67" s="433"/>
      <c r="ADH67" s="433"/>
      <c r="ADI67" s="433"/>
      <c r="ADJ67" s="433"/>
      <c r="ADK67" s="433"/>
      <c r="ADL67" s="433"/>
      <c r="ADM67" s="433"/>
      <c r="ADN67" s="433"/>
      <c r="ADO67" s="433"/>
      <c r="ADP67" s="433"/>
      <c r="ADQ67" s="433"/>
      <c r="ADR67" s="433"/>
      <c r="ADS67" s="433"/>
      <c r="ADT67" s="433"/>
      <c r="ADU67" s="433"/>
      <c r="ADV67" s="433"/>
      <c r="ADW67" s="433"/>
      <c r="ADX67" s="433"/>
      <c r="ADY67" s="433"/>
      <c r="ADZ67" s="433"/>
      <c r="AEA67" s="433"/>
      <c r="AEB67" s="433"/>
      <c r="AEC67" s="433"/>
      <c r="AED67" s="433"/>
      <c r="AEE67" s="433"/>
      <c r="AEF67" s="433"/>
      <c r="AEG67" s="433"/>
      <c r="AEH67" s="433"/>
      <c r="AEI67" s="433"/>
      <c r="AEJ67" s="433"/>
      <c r="AEK67" s="433"/>
      <c r="AEL67" s="433"/>
      <c r="AEM67" s="433"/>
      <c r="AEN67" s="433"/>
      <c r="AEO67" s="433"/>
      <c r="AEP67" s="433"/>
      <c r="AEQ67" s="433"/>
      <c r="AER67" s="433"/>
      <c r="AES67" s="433"/>
      <c r="AET67" s="433"/>
      <c r="AEU67" s="433"/>
      <c r="AEV67" s="433"/>
      <c r="AEW67" s="433"/>
      <c r="AEX67" s="433"/>
      <c r="AEY67" s="433"/>
      <c r="AEZ67" s="433"/>
      <c r="AFA67" s="433"/>
      <c r="AFB67" s="433"/>
      <c r="AFC67" s="433"/>
      <c r="AFD67" s="433"/>
      <c r="AFE67" s="433"/>
      <c r="AFF67" s="433"/>
      <c r="AFG67" s="433"/>
      <c r="AFH67" s="433"/>
      <c r="AFI67" s="433"/>
      <c r="AFJ67" s="433"/>
      <c r="AFK67" s="433"/>
      <c r="AFL67" s="433"/>
      <c r="AFM67" s="433"/>
      <c r="AFN67" s="433"/>
      <c r="AFO67" s="433"/>
      <c r="AFP67" s="433"/>
      <c r="AFQ67" s="433"/>
      <c r="AFR67" s="433"/>
      <c r="AFS67" s="433"/>
      <c r="AFT67" s="433"/>
      <c r="AFU67" s="433"/>
      <c r="AFV67" s="433"/>
      <c r="AFW67" s="433"/>
      <c r="AFX67" s="433"/>
      <c r="AFY67" s="433"/>
      <c r="AFZ67" s="433"/>
      <c r="AGA67" s="433"/>
      <c r="AGB67" s="433"/>
      <c r="AGC67" s="433"/>
      <c r="AGD67" s="433"/>
      <c r="AGE67" s="433"/>
      <c r="AGF67" s="433"/>
      <c r="AGG67" s="433"/>
      <c r="AGH67" s="433"/>
      <c r="AGI67" s="433"/>
      <c r="AGJ67" s="433"/>
    </row>
    <row r="68" spans="1:868" s="1" customFormat="1">
      <c r="A68" s="633" t="s">
        <v>118</v>
      </c>
      <c r="B68" s="777" t="s">
        <v>419</v>
      </c>
      <c r="C68" s="34" t="s">
        <v>139</v>
      </c>
      <c r="D68" s="122" t="s">
        <v>99</v>
      </c>
      <c r="E68" s="618">
        <f t="shared" si="22"/>
        <v>6.4613472974172373E-2</v>
      </c>
      <c r="F68" s="9">
        <v>1</v>
      </c>
      <c r="G68" s="9" t="s">
        <v>412</v>
      </c>
      <c r="H68" s="10">
        <v>1</v>
      </c>
      <c r="I68" s="10">
        <v>2</v>
      </c>
      <c r="J68" s="10">
        <v>2</v>
      </c>
      <c r="K68" s="10">
        <v>1</v>
      </c>
      <c r="L68" s="10">
        <v>1</v>
      </c>
      <c r="M68" s="10">
        <v>2</v>
      </c>
      <c r="N68" s="402">
        <f t="shared" si="25"/>
        <v>0.35859414261160716</v>
      </c>
      <c r="O68" s="402">
        <f t="shared" si="26"/>
        <v>0.37356464144298934</v>
      </c>
      <c r="P68" s="43"/>
      <c r="Q68" s="433"/>
      <c r="R68" s="433"/>
      <c r="S68" s="433"/>
      <c r="T68" s="433"/>
      <c r="U68" s="433"/>
      <c r="V68" s="433"/>
      <c r="W68" s="433"/>
      <c r="X68" s="433"/>
      <c r="Y68" s="433"/>
      <c r="Z68" s="433"/>
      <c r="AA68" s="433"/>
      <c r="AB68" s="433"/>
      <c r="AC68" s="433"/>
      <c r="AD68" s="433"/>
      <c r="AE68" s="433"/>
      <c r="AF68" s="433"/>
      <c r="AG68" s="433"/>
      <c r="AH68" s="433"/>
      <c r="AI68" s="433"/>
      <c r="AJ68" s="433"/>
      <c r="AK68" s="433"/>
      <c r="AL68" s="433"/>
      <c r="AM68" s="433"/>
      <c r="AN68" s="433"/>
      <c r="AO68" s="433"/>
      <c r="AP68" s="433"/>
      <c r="AQ68" s="433"/>
      <c r="AR68" s="433"/>
      <c r="AS68" s="433"/>
      <c r="AT68" s="433"/>
      <c r="AU68" s="433"/>
      <c r="AV68" s="433"/>
      <c r="AW68" s="433"/>
      <c r="AX68" s="433"/>
      <c r="AY68" s="433"/>
      <c r="AZ68" s="433"/>
      <c r="BA68" s="433"/>
      <c r="BB68" s="433"/>
      <c r="BC68" s="433"/>
      <c r="BD68" s="433"/>
      <c r="BE68" s="433"/>
      <c r="BF68" s="433"/>
      <c r="BG68" s="433"/>
      <c r="BH68" s="433"/>
      <c r="BI68" s="433"/>
      <c r="BJ68" s="433"/>
      <c r="BK68" s="433"/>
      <c r="BL68" s="433"/>
      <c r="BM68" s="433"/>
      <c r="BN68" s="433"/>
      <c r="BO68" s="433"/>
      <c r="BP68" s="433"/>
      <c r="BQ68" s="433"/>
      <c r="BR68" s="433"/>
      <c r="BS68" s="433"/>
      <c r="BT68" s="433"/>
      <c r="BU68" s="433"/>
      <c r="BV68" s="433"/>
      <c r="BW68" s="433"/>
      <c r="BX68" s="433"/>
      <c r="BY68" s="433"/>
      <c r="BZ68" s="433"/>
      <c r="CA68" s="433"/>
      <c r="CB68" s="433"/>
      <c r="CC68" s="433"/>
      <c r="CD68" s="433"/>
      <c r="CE68" s="433"/>
      <c r="CF68" s="433"/>
      <c r="CG68" s="433"/>
      <c r="CH68" s="433"/>
      <c r="CI68" s="433"/>
      <c r="CJ68" s="433"/>
      <c r="CK68" s="433"/>
      <c r="CL68" s="433"/>
      <c r="CM68" s="433"/>
      <c r="CN68" s="433"/>
      <c r="CO68" s="433"/>
      <c r="CP68" s="433"/>
      <c r="CQ68" s="433"/>
      <c r="CR68" s="433"/>
      <c r="CS68" s="433"/>
      <c r="CT68" s="433"/>
      <c r="CU68" s="433"/>
      <c r="CV68" s="433"/>
      <c r="CW68" s="433"/>
      <c r="CX68" s="433"/>
      <c r="CY68" s="433"/>
      <c r="CZ68" s="433"/>
      <c r="DA68" s="433"/>
      <c r="DB68" s="433"/>
      <c r="DC68" s="433"/>
      <c r="DD68" s="433"/>
      <c r="DE68" s="433"/>
      <c r="DF68" s="433"/>
      <c r="DG68" s="433"/>
      <c r="DH68" s="433"/>
      <c r="DI68" s="433"/>
      <c r="DJ68" s="433"/>
      <c r="DK68" s="433"/>
      <c r="DL68" s="433"/>
      <c r="DM68" s="433"/>
      <c r="DN68" s="433"/>
      <c r="DO68" s="433"/>
      <c r="DP68" s="433"/>
      <c r="DQ68" s="433"/>
      <c r="DR68" s="433"/>
      <c r="DS68" s="433"/>
      <c r="DT68" s="433"/>
      <c r="DU68" s="433"/>
      <c r="DV68" s="433"/>
      <c r="DW68" s="433"/>
      <c r="DX68" s="433"/>
      <c r="DY68" s="433"/>
      <c r="DZ68" s="433"/>
      <c r="EA68" s="433"/>
      <c r="EB68" s="433"/>
      <c r="EC68" s="433"/>
      <c r="ED68" s="433"/>
      <c r="EE68" s="433"/>
      <c r="EF68" s="433"/>
      <c r="EG68" s="433"/>
      <c r="EH68" s="433"/>
      <c r="EI68" s="433"/>
      <c r="EJ68" s="433"/>
      <c r="EK68" s="433"/>
      <c r="EL68" s="433"/>
      <c r="EM68" s="433"/>
      <c r="EN68" s="433"/>
      <c r="EO68" s="433"/>
      <c r="EP68" s="433"/>
      <c r="EQ68" s="433"/>
      <c r="ER68" s="433"/>
      <c r="ES68" s="433"/>
      <c r="ET68" s="433"/>
      <c r="EU68" s="433"/>
      <c r="EV68" s="433"/>
      <c r="EW68" s="433"/>
      <c r="EX68" s="433"/>
      <c r="EY68" s="433"/>
      <c r="EZ68" s="433"/>
      <c r="FA68" s="433"/>
      <c r="FB68" s="433"/>
      <c r="FC68" s="433"/>
      <c r="FD68" s="433"/>
      <c r="FE68" s="433"/>
      <c r="FF68" s="433"/>
      <c r="FG68" s="433"/>
      <c r="FH68" s="433"/>
      <c r="FI68" s="433"/>
      <c r="FJ68" s="433"/>
      <c r="FK68" s="433"/>
      <c r="FL68" s="433"/>
      <c r="FM68" s="433"/>
      <c r="FN68" s="433"/>
      <c r="FO68" s="433"/>
      <c r="FP68" s="433"/>
      <c r="FQ68" s="433"/>
      <c r="FR68" s="433"/>
      <c r="FS68" s="433"/>
      <c r="FT68" s="433"/>
      <c r="FU68" s="433"/>
      <c r="FV68" s="433"/>
      <c r="FW68" s="433"/>
      <c r="FX68" s="433"/>
      <c r="FY68" s="433"/>
      <c r="FZ68" s="433"/>
      <c r="GA68" s="433"/>
      <c r="GB68" s="433"/>
      <c r="GC68" s="433"/>
      <c r="GD68" s="433"/>
      <c r="GE68" s="433"/>
      <c r="GF68" s="433"/>
      <c r="GG68" s="433"/>
      <c r="GH68" s="433"/>
      <c r="GI68" s="433"/>
      <c r="GJ68" s="433"/>
      <c r="GK68" s="433"/>
      <c r="GL68" s="433"/>
      <c r="GM68" s="433"/>
      <c r="GN68" s="433"/>
      <c r="GO68" s="433"/>
      <c r="GP68" s="433"/>
      <c r="GQ68" s="433"/>
      <c r="GR68" s="433"/>
      <c r="GS68" s="433"/>
      <c r="GT68" s="433"/>
      <c r="GU68" s="433"/>
      <c r="GV68" s="433"/>
      <c r="GW68" s="433"/>
      <c r="GX68" s="433"/>
      <c r="GY68" s="433"/>
      <c r="GZ68" s="433"/>
      <c r="HA68" s="433"/>
      <c r="HB68" s="433"/>
      <c r="HC68" s="433"/>
      <c r="HD68" s="433"/>
      <c r="HE68" s="433"/>
      <c r="HF68" s="433"/>
      <c r="HG68" s="433"/>
      <c r="HH68" s="433"/>
      <c r="HI68" s="433"/>
      <c r="HJ68" s="433"/>
      <c r="HK68" s="433"/>
      <c r="HL68" s="433"/>
      <c r="HM68" s="433"/>
      <c r="HN68" s="433"/>
      <c r="HO68" s="433"/>
      <c r="HP68" s="433"/>
      <c r="HQ68" s="433"/>
      <c r="HR68" s="433"/>
      <c r="HS68" s="433"/>
      <c r="HT68" s="433"/>
      <c r="HU68" s="433"/>
      <c r="HV68" s="433"/>
      <c r="HW68" s="433"/>
      <c r="HX68" s="433"/>
      <c r="HY68" s="433"/>
      <c r="HZ68" s="433"/>
      <c r="IA68" s="433"/>
      <c r="IB68" s="433"/>
      <c r="IC68" s="433"/>
      <c r="ID68" s="433"/>
      <c r="IE68" s="433"/>
      <c r="IF68" s="433"/>
      <c r="IG68" s="433"/>
      <c r="IH68" s="433"/>
      <c r="II68" s="433"/>
      <c r="IJ68" s="433"/>
      <c r="IK68" s="433"/>
      <c r="IL68" s="433"/>
      <c r="IM68" s="433"/>
      <c r="IN68" s="433"/>
      <c r="IO68" s="433"/>
      <c r="IP68" s="433"/>
      <c r="IQ68" s="433"/>
      <c r="IR68" s="433"/>
      <c r="IS68" s="433"/>
      <c r="IT68" s="433"/>
      <c r="IU68" s="433"/>
      <c r="IV68" s="433"/>
      <c r="IW68" s="433"/>
      <c r="IX68" s="433"/>
      <c r="IY68" s="433"/>
      <c r="IZ68" s="433"/>
      <c r="JA68" s="433"/>
      <c r="JB68" s="433"/>
      <c r="JC68" s="433"/>
      <c r="JD68" s="433"/>
      <c r="JE68" s="433"/>
      <c r="JF68" s="433"/>
      <c r="JG68" s="433"/>
      <c r="JH68" s="433"/>
      <c r="JI68" s="433"/>
      <c r="JJ68" s="433"/>
      <c r="JK68" s="433"/>
      <c r="JL68" s="433"/>
      <c r="JM68" s="433"/>
      <c r="JN68" s="433"/>
      <c r="JO68" s="433"/>
      <c r="JP68" s="433"/>
      <c r="JQ68" s="433"/>
      <c r="JR68" s="433"/>
      <c r="JS68" s="433"/>
      <c r="JT68" s="433"/>
      <c r="JU68" s="433"/>
      <c r="JV68" s="433"/>
      <c r="JW68" s="433"/>
      <c r="JX68" s="433"/>
      <c r="JY68" s="433"/>
      <c r="JZ68" s="433"/>
      <c r="KA68" s="433"/>
      <c r="KB68" s="433"/>
      <c r="KC68" s="433"/>
      <c r="KD68" s="433"/>
      <c r="KE68" s="433"/>
      <c r="KF68" s="433"/>
      <c r="KG68" s="433"/>
      <c r="KH68" s="433"/>
      <c r="KI68" s="433"/>
      <c r="KJ68" s="433"/>
      <c r="KK68" s="433"/>
      <c r="KL68" s="433"/>
      <c r="KM68" s="433"/>
      <c r="KN68" s="433"/>
      <c r="KO68" s="433"/>
      <c r="KP68" s="433"/>
      <c r="KQ68" s="433"/>
      <c r="KR68" s="433"/>
      <c r="KS68" s="433"/>
      <c r="KT68" s="433"/>
      <c r="KU68" s="433"/>
      <c r="KV68" s="433"/>
      <c r="KW68" s="433"/>
      <c r="KX68" s="433"/>
      <c r="KY68" s="433"/>
      <c r="KZ68" s="433"/>
      <c r="LA68" s="433"/>
      <c r="LB68" s="433"/>
      <c r="LC68" s="433"/>
      <c r="LD68" s="433"/>
      <c r="LE68" s="433"/>
      <c r="LF68" s="433"/>
      <c r="LG68" s="433"/>
      <c r="LH68" s="433"/>
      <c r="LI68" s="433"/>
      <c r="LJ68" s="433"/>
      <c r="LK68" s="433"/>
      <c r="LL68" s="433"/>
      <c r="LM68" s="433"/>
      <c r="LN68" s="433"/>
      <c r="LO68" s="433"/>
      <c r="LP68" s="433"/>
      <c r="LQ68" s="433"/>
      <c r="LR68" s="433"/>
      <c r="LS68" s="433"/>
      <c r="LT68" s="433"/>
      <c r="LU68" s="433"/>
      <c r="LV68" s="433"/>
      <c r="LW68" s="433"/>
      <c r="LX68" s="433"/>
      <c r="LY68" s="433"/>
      <c r="LZ68" s="433"/>
      <c r="MA68" s="433"/>
      <c r="MB68" s="433"/>
      <c r="MC68" s="433"/>
      <c r="MD68" s="433"/>
      <c r="ME68" s="433"/>
      <c r="MF68" s="433"/>
      <c r="MG68" s="433"/>
      <c r="MH68" s="433"/>
      <c r="MI68" s="433"/>
      <c r="MJ68" s="433"/>
      <c r="MK68" s="433"/>
      <c r="ML68" s="433"/>
      <c r="MM68" s="433"/>
      <c r="MN68" s="433"/>
      <c r="MO68" s="433"/>
      <c r="MP68" s="433"/>
      <c r="MQ68" s="433"/>
      <c r="MR68" s="433"/>
      <c r="MS68" s="433"/>
      <c r="MT68" s="433"/>
      <c r="MU68" s="433"/>
      <c r="MV68" s="433"/>
      <c r="MW68" s="433"/>
      <c r="MX68" s="433"/>
      <c r="MY68" s="433"/>
      <c r="MZ68" s="433"/>
      <c r="NA68" s="433"/>
      <c r="NB68" s="433"/>
      <c r="NC68" s="433"/>
      <c r="ND68" s="433"/>
      <c r="NE68" s="433"/>
      <c r="NF68" s="433"/>
      <c r="NG68" s="433"/>
      <c r="NH68" s="433"/>
      <c r="NI68" s="433"/>
      <c r="NJ68" s="433"/>
      <c r="NK68" s="433"/>
      <c r="NL68" s="433"/>
      <c r="NM68" s="433"/>
      <c r="NN68" s="433"/>
      <c r="NO68" s="433"/>
      <c r="NP68" s="433"/>
      <c r="NQ68" s="433"/>
      <c r="NR68" s="433"/>
      <c r="NS68" s="433"/>
      <c r="NT68" s="433"/>
      <c r="NU68" s="433"/>
      <c r="NV68" s="433"/>
      <c r="NW68" s="433"/>
      <c r="NX68" s="433"/>
      <c r="NY68" s="433"/>
      <c r="NZ68" s="433"/>
      <c r="OA68" s="433"/>
      <c r="OB68" s="433"/>
      <c r="OC68" s="433"/>
      <c r="OD68" s="433"/>
      <c r="OE68" s="433"/>
      <c r="OF68" s="433"/>
      <c r="OG68" s="433"/>
      <c r="OH68" s="433"/>
      <c r="OI68" s="433"/>
      <c r="OJ68" s="433"/>
      <c r="OK68" s="433"/>
      <c r="OL68" s="433"/>
      <c r="OM68" s="433"/>
      <c r="ON68" s="433"/>
      <c r="OO68" s="433"/>
      <c r="OP68" s="433"/>
      <c r="OQ68" s="433"/>
      <c r="OR68" s="433"/>
      <c r="OS68" s="433"/>
      <c r="OT68" s="433"/>
      <c r="OU68" s="433"/>
      <c r="OV68" s="433"/>
      <c r="OW68" s="433"/>
      <c r="OX68" s="433"/>
      <c r="OY68" s="433"/>
      <c r="OZ68" s="433"/>
      <c r="PA68" s="433"/>
      <c r="PB68" s="433"/>
      <c r="PC68" s="433"/>
      <c r="PD68" s="433"/>
      <c r="PE68" s="433"/>
      <c r="PF68" s="433"/>
      <c r="PG68" s="433"/>
      <c r="PH68" s="433"/>
      <c r="PI68" s="433"/>
      <c r="PJ68" s="433"/>
      <c r="PK68" s="433"/>
      <c r="PL68" s="433"/>
      <c r="PM68" s="433"/>
      <c r="PN68" s="433"/>
      <c r="PO68" s="433"/>
      <c r="PP68" s="433"/>
      <c r="PQ68" s="433"/>
      <c r="PR68" s="433"/>
      <c r="PS68" s="433"/>
      <c r="PT68" s="433"/>
      <c r="PU68" s="433"/>
      <c r="PV68" s="433"/>
      <c r="PW68" s="433"/>
      <c r="PX68" s="433"/>
      <c r="PY68" s="433"/>
      <c r="PZ68" s="433"/>
      <c r="QA68" s="433"/>
      <c r="QB68" s="433"/>
      <c r="QC68" s="433"/>
      <c r="QD68" s="433"/>
      <c r="QE68" s="433"/>
      <c r="QF68" s="433"/>
      <c r="QG68" s="433"/>
      <c r="QH68" s="433"/>
      <c r="QI68" s="433"/>
      <c r="QJ68" s="433"/>
      <c r="QK68" s="433"/>
      <c r="QL68" s="433"/>
      <c r="QM68" s="433"/>
      <c r="QN68" s="433"/>
      <c r="QO68" s="433"/>
      <c r="QP68" s="433"/>
      <c r="QQ68" s="433"/>
      <c r="QR68" s="433"/>
      <c r="QS68" s="433"/>
      <c r="QT68" s="433"/>
      <c r="QU68" s="433"/>
      <c r="QV68" s="433"/>
      <c r="QW68" s="433"/>
      <c r="QX68" s="433"/>
      <c r="QY68" s="433"/>
      <c r="QZ68" s="433"/>
      <c r="RA68" s="433"/>
      <c r="RB68" s="433"/>
      <c r="RC68" s="433"/>
      <c r="RD68" s="433"/>
      <c r="RE68" s="433"/>
      <c r="RF68" s="433"/>
      <c r="RG68" s="433"/>
      <c r="RH68" s="433"/>
      <c r="RI68" s="433"/>
      <c r="RJ68" s="433"/>
      <c r="RK68" s="433"/>
      <c r="RL68" s="433"/>
      <c r="RM68" s="433"/>
      <c r="RN68" s="433"/>
      <c r="RO68" s="433"/>
      <c r="RP68" s="433"/>
      <c r="RQ68" s="433"/>
      <c r="RR68" s="433"/>
      <c r="RS68" s="433"/>
      <c r="RT68" s="433"/>
      <c r="RU68" s="433"/>
      <c r="RV68" s="433"/>
      <c r="RW68" s="433"/>
      <c r="RX68" s="433"/>
      <c r="RY68" s="433"/>
      <c r="RZ68" s="433"/>
      <c r="SA68" s="433"/>
      <c r="SB68" s="433"/>
      <c r="SC68" s="433"/>
      <c r="SD68" s="433"/>
      <c r="SE68" s="433"/>
      <c r="SF68" s="433"/>
      <c r="SG68" s="433"/>
      <c r="SH68" s="433"/>
      <c r="SI68" s="433"/>
      <c r="SJ68" s="433"/>
      <c r="SK68" s="433"/>
      <c r="SL68" s="433"/>
      <c r="SM68" s="433"/>
      <c r="SN68" s="433"/>
      <c r="SO68" s="433"/>
      <c r="SP68" s="433"/>
      <c r="SQ68" s="433"/>
      <c r="SR68" s="433"/>
      <c r="SS68" s="433"/>
      <c r="ST68" s="433"/>
      <c r="SU68" s="433"/>
      <c r="SV68" s="433"/>
      <c r="SW68" s="433"/>
      <c r="SX68" s="433"/>
      <c r="SY68" s="433"/>
      <c r="SZ68" s="433"/>
      <c r="TA68" s="433"/>
      <c r="TB68" s="433"/>
      <c r="TC68" s="433"/>
      <c r="TD68" s="433"/>
      <c r="TE68" s="433"/>
      <c r="TF68" s="433"/>
      <c r="TG68" s="433"/>
      <c r="TH68" s="433"/>
      <c r="TI68" s="433"/>
      <c r="TJ68" s="433"/>
      <c r="TK68" s="433"/>
      <c r="TL68" s="433"/>
      <c r="TM68" s="433"/>
      <c r="TN68" s="433"/>
      <c r="TO68" s="433"/>
      <c r="TP68" s="433"/>
      <c r="TQ68" s="433"/>
      <c r="TR68" s="433"/>
      <c r="TS68" s="433"/>
      <c r="TT68" s="433"/>
      <c r="TU68" s="433"/>
      <c r="TV68" s="433"/>
      <c r="TW68" s="433"/>
      <c r="TX68" s="433"/>
      <c r="TY68" s="433"/>
      <c r="TZ68" s="433"/>
      <c r="UA68" s="433"/>
      <c r="UB68" s="433"/>
      <c r="UC68" s="433"/>
      <c r="UD68" s="433"/>
      <c r="UE68" s="433"/>
      <c r="UF68" s="433"/>
      <c r="UG68" s="433"/>
      <c r="UH68" s="433"/>
      <c r="UI68" s="433"/>
      <c r="UJ68" s="433"/>
      <c r="UK68" s="433"/>
      <c r="UL68" s="433"/>
      <c r="UM68" s="433"/>
      <c r="UN68" s="433"/>
      <c r="UO68" s="433"/>
      <c r="UP68" s="433"/>
      <c r="UQ68" s="433"/>
      <c r="UR68" s="433"/>
      <c r="US68" s="433"/>
      <c r="UT68" s="433"/>
      <c r="UU68" s="433"/>
      <c r="UV68" s="433"/>
      <c r="UW68" s="433"/>
      <c r="UX68" s="433"/>
      <c r="UY68" s="433"/>
      <c r="UZ68" s="433"/>
      <c r="VA68" s="433"/>
      <c r="VB68" s="433"/>
      <c r="VC68" s="433"/>
      <c r="VD68" s="433"/>
      <c r="VE68" s="433"/>
      <c r="VF68" s="433"/>
      <c r="VG68" s="433"/>
      <c r="VH68" s="433"/>
      <c r="VI68" s="433"/>
      <c r="VJ68" s="433"/>
      <c r="VK68" s="433"/>
      <c r="VL68" s="433"/>
      <c r="VM68" s="433"/>
      <c r="VN68" s="433"/>
      <c r="VO68" s="433"/>
      <c r="VP68" s="433"/>
      <c r="VQ68" s="433"/>
      <c r="VR68" s="433"/>
      <c r="VS68" s="433"/>
      <c r="VT68" s="433"/>
      <c r="VU68" s="433"/>
      <c r="VV68" s="433"/>
      <c r="VW68" s="433"/>
      <c r="VX68" s="433"/>
      <c r="VY68" s="433"/>
      <c r="VZ68" s="433"/>
      <c r="WA68" s="433"/>
      <c r="WB68" s="433"/>
      <c r="WC68" s="433"/>
      <c r="WD68" s="433"/>
      <c r="WE68" s="433"/>
      <c r="WF68" s="433"/>
      <c r="WG68" s="433"/>
      <c r="WH68" s="433"/>
      <c r="WI68" s="433"/>
      <c r="WJ68" s="433"/>
      <c r="WK68" s="433"/>
      <c r="WL68" s="433"/>
      <c r="WM68" s="433"/>
      <c r="WN68" s="433"/>
      <c r="WO68" s="433"/>
      <c r="WP68" s="433"/>
      <c r="WQ68" s="433"/>
      <c r="WR68" s="433"/>
      <c r="WS68" s="433"/>
      <c r="WT68" s="433"/>
      <c r="WU68" s="433"/>
      <c r="WV68" s="433"/>
      <c r="WW68" s="433"/>
      <c r="WX68" s="433"/>
      <c r="WY68" s="433"/>
      <c r="WZ68" s="433"/>
      <c r="XA68" s="433"/>
      <c r="XB68" s="433"/>
      <c r="XC68" s="433"/>
      <c r="XD68" s="433"/>
      <c r="XE68" s="433"/>
      <c r="XF68" s="433"/>
      <c r="XG68" s="433"/>
      <c r="XH68" s="433"/>
      <c r="XI68" s="433"/>
      <c r="XJ68" s="433"/>
      <c r="XK68" s="433"/>
      <c r="XL68" s="433"/>
      <c r="XM68" s="433"/>
      <c r="XN68" s="433"/>
      <c r="XO68" s="433"/>
      <c r="XP68" s="433"/>
      <c r="XQ68" s="433"/>
      <c r="XR68" s="433"/>
      <c r="XS68" s="433"/>
      <c r="XT68" s="433"/>
      <c r="XU68" s="433"/>
      <c r="XV68" s="433"/>
      <c r="XW68" s="433"/>
      <c r="XX68" s="433"/>
      <c r="XY68" s="433"/>
      <c r="XZ68" s="433"/>
      <c r="YA68" s="433"/>
      <c r="YB68" s="433"/>
      <c r="YC68" s="433"/>
      <c r="YD68" s="433"/>
      <c r="YE68" s="433"/>
      <c r="YF68" s="433"/>
      <c r="YG68" s="433"/>
      <c r="YH68" s="433"/>
      <c r="YI68" s="433"/>
      <c r="YJ68" s="433"/>
      <c r="YK68" s="433"/>
      <c r="YL68" s="433"/>
      <c r="YM68" s="433"/>
      <c r="YN68" s="433"/>
      <c r="YO68" s="433"/>
      <c r="YP68" s="433"/>
      <c r="YQ68" s="433"/>
      <c r="YR68" s="433"/>
      <c r="YS68" s="433"/>
      <c r="YT68" s="433"/>
      <c r="YU68" s="433"/>
      <c r="YV68" s="433"/>
      <c r="YW68" s="433"/>
      <c r="YX68" s="433"/>
      <c r="YY68" s="433"/>
      <c r="YZ68" s="433"/>
      <c r="ZA68" s="433"/>
      <c r="ZB68" s="433"/>
      <c r="ZC68" s="433"/>
      <c r="ZD68" s="433"/>
      <c r="ZE68" s="433"/>
      <c r="ZF68" s="433"/>
      <c r="ZG68" s="433"/>
      <c r="ZH68" s="433"/>
      <c r="ZI68" s="433"/>
      <c r="ZJ68" s="433"/>
      <c r="ZK68" s="433"/>
      <c r="ZL68" s="433"/>
      <c r="ZM68" s="433"/>
      <c r="ZN68" s="433"/>
      <c r="ZO68" s="433"/>
      <c r="ZP68" s="433"/>
      <c r="ZQ68" s="433"/>
      <c r="ZR68" s="433"/>
      <c r="ZS68" s="433"/>
      <c r="ZT68" s="433"/>
      <c r="ZU68" s="433"/>
      <c r="ZV68" s="433"/>
      <c r="ZW68" s="433"/>
      <c r="ZX68" s="433"/>
      <c r="ZY68" s="433"/>
      <c r="ZZ68" s="433"/>
      <c r="AAA68" s="433"/>
      <c r="AAB68" s="433"/>
      <c r="AAC68" s="433"/>
      <c r="AAD68" s="433"/>
      <c r="AAE68" s="433"/>
      <c r="AAF68" s="433"/>
      <c r="AAG68" s="433"/>
      <c r="AAH68" s="433"/>
      <c r="AAI68" s="433"/>
      <c r="AAJ68" s="433"/>
      <c r="AAK68" s="433"/>
      <c r="AAL68" s="433"/>
      <c r="AAM68" s="433"/>
      <c r="AAN68" s="433"/>
      <c r="AAO68" s="433"/>
      <c r="AAP68" s="433"/>
      <c r="AAQ68" s="433"/>
      <c r="AAR68" s="433"/>
      <c r="AAS68" s="433"/>
      <c r="AAT68" s="433"/>
      <c r="AAU68" s="433"/>
      <c r="AAV68" s="433"/>
      <c r="AAW68" s="433"/>
      <c r="AAX68" s="433"/>
      <c r="AAY68" s="433"/>
      <c r="AAZ68" s="433"/>
      <c r="ABA68" s="433"/>
      <c r="ABB68" s="433"/>
      <c r="ABC68" s="433"/>
      <c r="ABD68" s="433"/>
      <c r="ABE68" s="433"/>
      <c r="ABF68" s="433"/>
      <c r="ABG68" s="433"/>
      <c r="ABH68" s="433"/>
      <c r="ABI68" s="433"/>
      <c r="ABJ68" s="433"/>
      <c r="ABK68" s="433"/>
      <c r="ABL68" s="433"/>
      <c r="ABM68" s="433"/>
      <c r="ABN68" s="433"/>
      <c r="ABO68" s="433"/>
      <c r="ABP68" s="433"/>
      <c r="ABQ68" s="433"/>
      <c r="ABR68" s="433"/>
      <c r="ABS68" s="433"/>
      <c r="ABT68" s="433"/>
      <c r="ABU68" s="433"/>
      <c r="ABV68" s="433"/>
      <c r="ABW68" s="433"/>
      <c r="ABX68" s="433"/>
      <c r="ABY68" s="433"/>
      <c r="ABZ68" s="433"/>
      <c r="ACA68" s="433"/>
      <c r="ACB68" s="433"/>
      <c r="ACC68" s="433"/>
      <c r="ACD68" s="433"/>
      <c r="ACE68" s="433"/>
      <c r="ACF68" s="433"/>
      <c r="ACG68" s="433"/>
      <c r="ACH68" s="433"/>
      <c r="ACI68" s="433"/>
      <c r="ACJ68" s="433"/>
      <c r="ACK68" s="433"/>
      <c r="ACL68" s="433"/>
      <c r="ACM68" s="433"/>
      <c r="ACN68" s="433"/>
      <c r="ACO68" s="433"/>
      <c r="ACP68" s="433"/>
      <c r="ACQ68" s="433"/>
      <c r="ACR68" s="433"/>
      <c r="ACS68" s="433"/>
      <c r="ACT68" s="433"/>
      <c r="ACU68" s="433"/>
      <c r="ACV68" s="433"/>
      <c r="ACW68" s="433"/>
      <c r="ACX68" s="433"/>
      <c r="ACY68" s="433"/>
      <c r="ACZ68" s="433"/>
      <c r="ADA68" s="433"/>
      <c r="ADB68" s="433"/>
      <c r="ADC68" s="433"/>
      <c r="ADD68" s="433"/>
      <c r="ADE68" s="433"/>
      <c r="ADF68" s="433"/>
      <c r="ADG68" s="433"/>
      <c r="ADH68" s="433"/>
      <c r="ADI68" s="433"/>
      <c r="ADJ68" s="433"/>
      <c r="ADK68" s="433"/>
      <c r="ADL68" s="433"/>
      <c r="ADM68" s="433"/>
      <c r="ADN68" s="433"/>
      <c r="ADO68" s="433"/>
      <c r="ADP68" s="433"/>
      <c r="ADQ68" s="433"/>
      <c r="ADR68" s="433"/>
      <c r="ADS68" s="433"/>
      <c r="ADT68" s="433"/>
      <c r="ADU68" s="433"/>
      <c r="ADV68" s="433"/>
      <c r="ADW68" s="433"/>
      <c r="ADX68" s="433"/>
      <c r="ADY68" s="433"/>
      <c r="ADZ68" s="433"/>
      <c r="AEA68" s="433"/>
      <c r="AEB68" s="433"/>
      <c r="AEC68" s="433"/>
      <c r="AED68" s="433"/>
      <c r="AEE68" s="433"/>
      <c r="AEF68" s="433"/>
      <c r="AEG68" s="433"/>
      <c r="AEH68" s="433"/>
      <c r="AEI68" s="433"/>
      <c r="AEJ68" s="433"/>
      <c r="AEK68" s="433"/>
      <c r="AEL68" s="433"/>
      <c r="AEM68" s="433"/>
      <c r="AEN68" s="433"/>
      <c r="AEO68" s="433"/>
      <c r="AEP68" s="433"/>
      <c r="AEQ68" s="433"/>
      <c r="AER68" s="433"/>
      <c r="AES68" s="433"/>
      <c r="AET68" s="433"/>
      <c r="AEU68" s="433"/>
      <c r="AEV68" s="433"/>
      <c r="AEW68" s="433"/>
      <c r="AEX68" s="433"/>
      <c r="AEY68" s="433"/>
      <c r="AEZ68" s="433"/>
      <c r="AFA68" s="433"/>
      <c r="AFB68" s="433"/>
      <c r="AFC68" s="433"/>
      <c r="AFD68" s="433"/>
      <c r="AFE68" s="433"/>
      <c r="AFF68" s="433"/>
      <c r="AFG68" s="433"/>
      <c r="AFH68" s="433"/>
      <c r="AFI68" s="433"/>
      <c r="AFJ68" s="433"/>
      <c r="AFK68" s="433"/>
      <c r="AFL68" s="433"/>
      <c r="AFM68" s="433"/>
      <c r="AFN68" s="433"/>
      <c r="AFO68" s="433"/>
      <c r="AFP68" s="433"/>
      <c r="AFQ68" s="433"/>
      <c r="AFR68" s="433"/>
      <c r="AFS68" s="433"/>
      <c r="AFT68" s="433"/>
      <c r="AFU68" s="433"/>
      <c r="AFV68" s="433"/>
      <c r="AFW68" s="433"/>
      <c r="AFX68" s="433"/>
      <c r="AFY68" s="433"/>
      <c r="AFZ68" s="433"/>
      <c r="AGA68" s="433"/>
      <c r="AGB68" s="433"/>
      <c r="AGC68" s="433"/>
      <c r="AGD68" s="433"/>
      <c r="AGE68" s="433"/>
      <c r="AGF68" s="433"/>
      <c r="AGG68" s="433"/>
      <c r="AGH68" s="433"/>
      <c r="AGI68" s="433"/>
      <c r="AGJ68" s="433"/>
    </row>
    <row r="69" spans="1:868" s="1" customFormat="1">
      <c r="A69" s="633" t="s">
        <v>118</v>
      </c>
      <c r="B69" s="777" t="s">
        <v>420</v>
      </c>
      <c r="C69" s="34" t="s">
        <v>139</v>
      </c>
      <c r="D69" s="122" t="s">
        <v>99</v>
      </c>
      <c r="E69" s="618">
        <f t="shared" si="22"/>
        <v>1.9881068607437654E-2</v>
      </c>
      <c r="F69" s="9">
        <v>1</v>
      </c>
      <c r="G69" s="9" t="s">
        <v>412</v>
      </c>
      <c r="H69" s="10">
        <v>1</v>
      </c>
      <c r="I69" s="10">
        <v>2</v>
      </c>
      <c r="J69" s="10">
        <v>2</v>
      </c>
      <c r="K69" s="10">
        <v>1</v>
      </c>
      <c r="L69" s="10">
        <v>1</v>
      </c>
      <c r="M69" s="10">
        <v>2</v>
      </c>
      <c r="N69" s="402">
        <f t="shared" si="25"/>
        <v>0.35859414261160716</v>
      </c>
      <c r="O69" s="402">
        <f t="shared" si="26"/>
        <v>0.37356464144298934</v>
      </c>
      <c r="P69" s="743"/>
      <c r="Q69" s="433"/>
      <c r="R69" s="433"/>
      <c r="S69" s="433"/>
      <c r="T69" s="433"/>
      <c r="U69" s="433"/>
      <c r="V69" s="433"/>
      <c r="W69" s="433"/>
      <c r="X69" s="433"/>
      <c r="Y69" s="433"/>
      <c r="Z69" s="433"/>
      <c r="AA69" s="433"/>
      <c r="AB69" s="433"/>
      <c r="AC69" s="433"/>
      <c r="AD69" s="433"/>
      <c r="AE69" s="433"/>
      <c r="AF69" s="433"/>
      <c r="AG69" s="433"/>
      <c r="AH69" s="433"/>
      <c r="AI69" s="433"/>
      <c r="AJ69" s="433"/>
      <c r="AK69" s="433"/>
      <c r="AL69" s="433"/>
      <c r="AM69" s="433"/>
      <c r="AN69" s="433"/>
      <c r="AO69" s="433"/>
      <c r="AP69" s="433"/>
      <c r="AQ69" s="433"/>
      <c r="AR69" s="433"/>
      <c r="AS69" s="433"/>
      <c r="AT69" s="433"/>
      <c r="AU69" s="433"/>
      <c r="AV69" s="433"/>
      <c r="AW69" s="433"/>
      <c r="AX69" s="433"/>
      <c r="AY69" s="433"/>
      <c r="AZ69" s="433"/>
      <c r="BA69" s="433"/>
      <c r="BB69" s="433"/>
      <c r="BC69" s="433"/>
      <c r="BD69" s="433"/>
      <c r="BE69" s="433"/>
      <c r="BF69" s="433"/>
      <c r="BG69" s="433"/>
      <c r="BH69" s="433"/>
      <c r="BI69" s="433"/>
      <c r="BJ69" s="433"/>
      <c r="BK69" s="433"/>
      <c r="BL69" s="433"/>
      <c r="BM69" s="433"/>
      <c r="BN69" s="433"/>
      <c r="BO69" s="433"/>
      <c r="BP69" s="433"/>
      <c r="BQ69" s="433"/>
      <c r="BR69" s="433"/>
      <c r="BS69" s="433"/>
      <c r="BT69" s="433"/>
      <c r="BU69" s="433"/>
      <c r="BV69" s="433"/>
      <c r="BW69" s="433"/>
      <c r="BX69" s="433"/>
      <c r="BY69" s="433"/>
      <c r="BZ69" s="433"/>
      <c r="CA69" s="433"/>
      <c r="CB69" s="433"/>
      <c r="CC69" s="433"/>
      <c r="CD69" s="433"/>
      <c r="CE69" s="433"/>
      <c r="CF69" s="433"/>
      <c r="CG69" s="433"/>
      <c r="CH69" s="433"/>
      <c r="CI69" s="433"/>
      <c r="CJ69" s="433"/>
      <c r="CK69" s="433"/>
      <c r="CL69" s="433"/>
      <c r="CM69" s="433"/>
      <c r="CN69" s="433"/>
      <c r="CO69" s="433"/>
      <c r="CP69" s="433"/>
      <c r="CQ69" s="433"/>
      <c r="CR69" s="433"/>
      <c r="CS69" s="433"/>
      <c r="CT69" s="433"/>
      <c r="CU69" s="433"/>
      <c r="CV69" s="433"/>
      <c r="CW69" s="433"/>
      <c r="CX69" s="433"/>
      <c r="CY69" s="433"/>
      <c r="CZ69" s="433"/>
      <c r="DA69" s="433"/>
      <c r="DB69" s="433"/>
      <c r="DC69" s="433"/>
      <c r="DD69" s="433"/>
      <c r="DE69" s="433"/>
      <c r="DF69" s="433"/>
      <c r="DG69" s="433"/>
      <c r="DH69" s="433"/>
      <c r="DI69" s="433"/>
      <c r="DJ69" s="433"/>
      <c r="DK69" s="433"/>
      <c r="DL69" s="433"/>
      <c r="DM69" s="433"/>
      <c r="DN69" s="433"/>
      <c r="DO69" s="433"/>
      <c r="DP69" s="433"/>
      <c r="DQ69" s="433"/>
      <c r="DR69" s="433"/>
      <c r="DS69" s="433"/>
      <c r="DT69" s="433"/>
      <c r="DU69" s="433"/>
      <c r="DV69" s="433"/>
      <c r="DW69" s="433"/>
      <c r="DX69" s="433"/>
      <c r="DY69" s="433"/>
      <c r="DZ69" s="433"/>
      <c r="EA69" s="433"/>
      <c r="EB69" s="433"/>
      <c r="EC69" s="433"/>
      <c r="ED69" s="433"/>
      <c r="EE69" s="433"/>
      <c r="EF69" s="433"/>
      <c r="EG69" s="433"/>
      <c r="EH69" s="433"/>
      <c r="EI69" s="433"/>
      <c r="EJ69" s="433"/>
      <c r="EK69" s="433"/>
      <c r="EL69" s="433"/>
      <c r="EM69" s="433"/>
      <c r="EN69" s="433"/>
      <c r="EO69" s="433"/>
      <c r="EP69" s="433"/>
      <c r="EQ69" s="433"/>
      <c r="ER69" s="433"/>
      <c r="ES69" s="433"/>
      <c r="ET69" s="433"/>
      <c r="EU69" s="433"/>
      <c r="EV69" s="433"/>
      <c r="EW69" s="433"/>
      <c r="EX69" s="433"/>
      <c r="EY69" s="433"/>
      <c r="EZ69" s="433"/>
      <c r="FA69" s="433"/>
      <c r="FB69" s="433"/>
      <c r="FC69" s="433"/>
      <c r="FD69" s="433"/>
      <c r="FE69" s="433"/>
      <c r="FF69" s="433"/>
      <c r="FG69" s="433"/>
      <c r="FH69" s="433"/>
      <c r="FI69" s="433"/>
      <c r="FJ69" s="433"/>
      <c r="FK69" s="433"/>
      <c r="FL69" s="433"/>
      <c r="FM69" s="433"/>
      <c r="FN69" s="433"/>
      <c r="FO69" s="433"/>
      <c r="FP69" s="433"/>
      <c r="FQ69" s="433"/>
      <c r="FR69" s="433"/>
      <c r="FS69" s="433"/>
      <c r="FT69" s="433"/>
      <c r="FU69" s="433"/>
      <c r="FV69" s="433"/>
      <c r="FW69" s="433"/>
      <c r="FX69" s="433"/>
      <c r="FY69" s="433"/>
      <c r="FZ69" s="433"/>
      <c r="GA69" s="433"/>
      <c r="GB69" s="433"/>
      <c r="GC69" s="433"/>
      <c r="GD69" s="433"/>
      <c r="GE69" s="433"/>
      <c r="GF69" s="433"/>
      <c r="GG69" s="433"/>
      <c r="GH69" s="433"/>
      <c r="GI69" s="433"/>
      <c r="GJ69" s="433"/>
      <c r="GK69" s="433"/>
      <c r="GL69" s="433"/>
      <c r="GM69" s="433"/>
      <c r="GN69" s="433"/>
      <c r="GO69" s="433"/>
      <c r="GP69" s="433"/>
      <c r="GQ69" s="433"/>
      <c r="GR69" s="433"/>
      <c r="GS69" s="433"/>
      <c r="GT69" s="433"/>
      <c r="GU69" s="433"/>
      <c r="GV69" s="433"/>
      <c r="GW69" s="433"/>
      <c r="GX69" s="433"/>
      <c r="GY69" s="433"/>
      <c r="GZ69" s="433"/>
      <c r="HA69" s="433"/>
      <c r="HB69" s="433"/>
      <c r="HC69" s="433"/>
      <c r="HD69" s="433"/>
      <c r="HE69" s="433"/>
      <c r="HF69" s="433"/>
      <c r="HG69" s="433"/>
      <c r="HH69" s="433"/>
      <c r="HI69" s="433"/>
      <c r="HJ69" s="433"/>
      <c r="HK69" s="433"/>
      <c r="HL69" s="433"/>
      <c r="HM69" s="433"/>
      <c r="HN69" s="433"/>
      <c r="HO69" s="433"/>
      <c r="HP69" s="433"/>
      <c r="HQ69" s="433"/>
      <c r="HR69" s="433"/>
      <c r="HS69" s="433"/>
      <c r="HT69" s="433"/>
      <c r="HU69" s="433"/>
      <c r="HV69" s="433"/>
      <c r="HW69" s="433"/>
      <c r="HX69" s="433"/>
      <c r="HY69" s="433"/>
      <c r="HZ69" s="433"/>
      <c r="IA69" s="433"/>
      <c r="IB69" s="433"/>
      <c r="IC69" s="433"/>
      <c r="ID69" s="433"/>
      <c r="IE69" s="433"/>
      <c r="IF69" s="433"/>
      <c r="IG69" s="433"/>
      <c r="IH69" s="433"/>
      <c r="II69" s="433"/>
      <c r="IJ69" s="433"/>
      <c r="IK69" s="433"/>
      <c r="IL69" s="433"/>
      <c r="IM69" s="433"/>
      <c r="IN69" s="433"/>
      <c r="IO69" s="433"/>
      <c r="IP69" s="433"/>
      <c r="IQ69" s="433"/>
      <c r="IR69" s="433"/>
      <c r="IS69" s="433"/>
      <c r="IT69" s="433"/>
      <c r="IU69" s="433"/>
      <c r="IV69" s="433"/>
      <c r="IW69" s="433"/>
      <c r="IX69" s="433"/>
      <c r="IY69" s="433"/>
      <c r="IZ69" s="433"/>
      <c r="JA69" s="433"/>
      <c r="JB69" s="433"/>
      <c r="JC69" s="433"/>
      <c r="JD69" s="433"/>
      <c r="JE69" s="433"/>
      <c r="JF69" s="433"/>
      <c r="JG69" s="433"/>
      <c r="JH69" s="433"/>
      <c r="JI69" s="433"/>
      <c r="JJ69" s="433"/>
      <c r="JK69" s="433"/>
      <c r="JL69" s="433"/>
      <c r="JM69" s="433"/>
      <c r="JN69" s="433"/>
      <c r="JO69" s="433"/>
      <c r="JP69" s="433"/>
      <c r="JQ69" s="433"/>
      <c r="JR69" s="433"/>
      <c r="JS69" s="433"/>
      <c r="JT69" s="433"/>
      <c r="JU69" s="433"/>
      <c r="JV69" s="433"/>
      <c r="JW69" s="433"/>
      <c r="JX69" s="433"/>
      <c r="JY69" s="433"/>
      <c r="JZ69" s="433"/>
      <c r="KA69" s="433"/>
      <c r="KB69" s="433"/>
      <c r="KC69" s="433"/>
      <c r="KD69" s="433"/>
      <c r="KE69" s="433"/>
      <c r="KF69" s="433"/>
      <c r="KG69" s="433"/>
      <c r="KH69" s="433"/>
      <c r="KI69" s="433"/>
      <c r="KJ69" s="433"/>
      <c r="KK69" s="433"/>
      <c r="KL69" s="433"/>
      <c r="KM69" s="433"/>
      <c r="KN69" s="433"/>
      <c r="KO69" s="433"/>
      <c r="KP69" s="433"/>
      <c r="KQ69" s="433"/>
      <c r="KR69" s="433"/>
      <c r="KS69" s="433"/>
      <c r="KT69" s="433"/>
      <c r="KU69" s="433"/>
      <c r="KV69" s="433"/>
      <c r="KW69" s="433"/>
      <c r="KX69" s="433"/>
      <c r="KY69" s="433"/>
      <c r="KZ69" s="433"/>
      <c r="LA69" s="433"/>
      <c r="LB69" s="433"/>
      <c r="LC69" s="433"/>
      <c r="LD69" s="433"/>
      <c r="LE69" s="433"/>
      <c r="LF69" s="433"/>
      <c r="LG69" s="433"/>
      <c r="LH69" s="433"/>
      <c r="LI69" s="433"/>
      <c r="LJ69" s="433"/>
      <c r="LK69" s="433"/>
      <c r="LL69" s="433"/>
      <c r="LM69" s="433"/>
      <c r="LN69" s="433"/>
      <c r="LO69" s="433"/>
      <c r="LP69" s="433"/>
      <c r="LQ69" s="433"/>
      <c r="LR69" s="433"/>
      <c r="LS69" s="433"/>
      <c r="LT69" s="433"/>
      <c r="LU69" s="433"/>
      <c r="LV69" s="433"/>
      <c r="LW69" s="433"/>
      <c r="LX69" s="433"/>
      <c r="LY69" s="433"/>
      <c r="LZ69" s="433"/>
      <c r="MA69" s="433"/>
      <c r="MB69" s="433"/>
      <c r="MC69" s="433"/>
      <c r="MD69" s="433"/>
      <c r="ME69" s="433"/>
      <c r="MF69" s="433"/>
      <c r="MG69" s="433"/>
      <c r="MH69" s="433"/>
      <c r="MI69" s="433"/>
      <c r="MJ69" s="433"/>
      <c r="MK69" s="433"/>
      <c r="ML69" s="433"/>
      <c r="MM69" s="433"/>
      <c r="MN69" s="433"/>
      <c r="MO69" s="433"/>
      <c r="MP69" s="433"/>
      <c r="MQ69" s="433"/>
      <c r="MR69" s="433"/>
      <c r="MS69" s="433"/>
      <c r="MT69" s="433"/>
      <c r="MU69" s="433"/>
      <c r="MV69" s="433"/>
      <c r="MW69" s="433"/>
      <c r="MX69" s="433"/>
      <c r="MY69" s="433"/>
      <c r="MZ69" s="433"/>
      <c r="NA69" s="433"/>
      <c r="NB69" s="433"/>
      <c r="NC69" s="433"/>
      <c r="ND69" s="433"/>
      <c r="NE69" s="433"/>
      <c r="NF69" s="433"/>
      <c r="NG69" s="433"/>
      <c r="NH69" s="433"/>
      <c r="NI69" s="433"/>
      <c r="NJ69" s="433"/>
      <c r="NK69" s="433"/>
      <c r="NL69" s="433"/>
      <c r="NM69" s="433"/>
      <c r="NN69" s="433"/>
      <c r="NO69" s="433"/>
      <c r="NP69" s="433"/>
      <c r="NQ69" s="433"/>
      <c r="NR69" s="433"/>
      <c r="NS69" s="433"/>
      <c r="NT69" s="433"/>
      <c r="NU69" s="433"/>
      <c r="NV69" s="433"/>
      <c r="NW69" s="433"/>
      <c r="NX69" s="433"/>
      <c r="NY69" s="433"/>
      <c r="NZ69" s="433"/>
      <c r="OA69" s="433"/>
      <c r="OB69" s="433"/>
      <c r="OC69" s="433"/>
      <c r="OD69" s="433"/>
      <c r="OE69" s="433"/>
      <c r="OF69" s="433"/>
      <c r="OG69" s="433"/>
      <c r="OH69" s="433"/>
      <c r="OI69" s="433"/>
      <c r="OJ69" s="433"/>
      <c r="OK69" s="433"/>
      <c r="OL69" s="433"/>
      <c r="OM69" s="433"/>
      <c r="ON69" s="433"/>
      <c r="OO69" s="433"/>
      <c r="OP69" s="433"/>
      <c r="OQ69" s="433"/>
      <c r="OR69" s="433"/>
      <c r="OS69" s="433"/>
      <c r="OT69" s="433"/>
      <c r="OU69" s="433"/>
      <c r="OV69" s="433"/>
      <c r="OW69" s="433"/>
      <c r="OX69" s="433"/>
      <c r="OY69" s="433"/>
      <c r="OZ69" s="433"/>
      <c r="PA69" s="433"/>
      <c r="PB69" s="433"/>
      <c r="PC69" s="433"/>
      <c r="PD69" s="433"/>
      <c r="PE69" s="433"/>
      <c r="PF69" s="433"/>
      <c r="PG69" s="433"/>
      <c r="PH69" s="433"/>
      <c r="PI69" s="433"/>
      <c r="PJ69" s="433"/>
      <c r="PK69" s="433"/>
      <c r="PL69" s="433"/>
      <c r="PM69" s="433"/>
      <c r="PN69" s="433"/>
      <c r="PO69" s="433"/>
      <c r="PP69" s="433"/>
      <c r="PQ69" s="433"/>
      <c r="PR69" s="433"/>
      <c r="PS69" s="433"/>
      <c r="PT69" s="433"/>
      <c r="PU69" s="433"/>
      <c r="PV69" s="433"/>
      <c r="PW69" s="433"/>
      <c r="PX69" s="433"/>
      <c r="PY69" s="433"/>
      <c r="PZ69" s="433"/>
      <c r="QA69" s="433"/>
      <c r="QB69" s="433"/>
      <c r="QC69" s="433"/>
      <c r="QD69" s="433"/>
      <c r="QE69" s="433"/>
      <c r="QF69" s="433"/>
      <c r="QG69" s="433"/>
      <c r="QH69" s="433"/>
      <c r="QI69" s="433"/>
      <c r="QJ69" s="433"/>
      <c r="QK69" s="433"/>
      <c r="QL69" s="433"/>
      <c r="QM69" s="433"/>
      <c r="QN69" s="433"/>
      <c r="QO69" s="433"/>
      <c r="QP69" s="433"/>
      <c r="QQ69" s="433"/>
      <c r="QR69" s="433"/>
      <c r="QS69" s="433"/>
      <c r="QT69" s="433"/>
      <c r="QU69" s="433"/>
      <c r="QV69" s="433"/>
      <c r="QW69" s="433"/>
      <c r="QX69" s="433"/>
      <c r="QY69" s="433"/>
      <c r="QZ69" s="433"/>
      <c r="RA69" s="433"/>
      <c r="RB69" s="433"/>
      <c r="RC69" s="433"/>
      <c r="RD69" s="433"/>
      <c r="RE69" s="433"/>
      <c r="RF69" s="433"/>
      <c r="RG69" s="433"/>
      <c r="RH69" s="433"/>
      <c r="RI69" s="433"/>
      <c r="RJ69" s="433"/>
      <c r="RK69" s="433"/>
      <c r="RL69" s="433"/>
      <c r="RM69" s="433"/>
      <c r="RN69" s="433"/>
      <c r="RO69" s="433"/>
      <c r="RP69" s="433"/>
      <c r="RQ69" s="433"/>
      <c r="RR69" s="433"/>
      <c r="RS69" s="433"/>
      <c r="RT69" s="433"/>
      <c r="RU69" s="433"/>
      <c r="RV69" s="433"/>
      <c r="RW69" s="433"/>
      <c r="RX69" s="433"/>
      <c r="RY69" s="433"/>
      <c r="RZ69" s="433"/>
      <c r="SA69" s="433"/>
      <c r="SB69" s="433"/>
      <c r="SC69" s="433"/>
      <c r="SD69" s="433"/>
      <c r="SE69" s="433"/>
      <c r="SF69" s="433"/>
      <c r="SG69" s="433"/>
      <c r="SH69" s="433"/>
      <c r="SI69" s="433"/>
      <c r="SJ69" s="433"/>
      <c r="SK69" s="433"/>
      <c r="SL69" s="433"/>
      <c r="SM69" s="433"/>
      <c r="SN69" s="433"/>
      <c r="SO69" s="433"/>
      <c r="SP69" s="433"/>
      <c r="SQ69" s="433"/>
      <c r="SR69" s="433"/>
      <c r="SS69" s="433"/>
      <c r="ST69" s="433"/>
      <c r="SU69" s="433"/>
      <c r="SV69" s="433"/>
      <c r="SW69" s="433"/>
      <c r="SX69" s="433"/>
      <c r="SY69" s="433"/>
      <c r="SZ69" s="433"/>
      <c r="TA69" s="433"/>
      <c r="TB69" s="433"/>
      <c r="TC69" s="433"/>
      <c r="TD69" s="433"/>
      <c r="TE69" s="433"/>
      <c r="TF69" s="433"/>
      <c r="TG69" s="433"/>
      <c r="TH69" s="433"/>
      <c r="TI69" s="433"/>
      <c r="TJ69" s="433"/>
      <c r="TK69" s="433"/>
      <c r="TL69" s="433"/>
      <c r="TM69" s="433"/>
      <c r="TN69" s="433"/>
      <c r="TO69" s="433"/>
      <c r="TP69" s="433"/>
      <c r="TQ69" s="433"/>
      <c r="TR69" s="433"/>
      <c r="TS69" s="433"/>
      <c r="TT69" s="433"/>
      <c r="TU69" s="433"/>
      <c r="TV69" s="433"/>
      <c r="TW69" s="433"/>
      <c r="TX69" s="433"/>
      <c r="TY69" s="433"/>
      <c r="TZ69" s="433"/>
      <c r="UA69" s="433"/>
      <c r="UB69" s="433"/>
      <c r="UC69" s="433"/>
      <c r="UD69" s="433"/>
      <c r="UE69" s="433"/>
      <c r="UF69" s="433"/>
      <c r="UG69" s="433"/>
      <c r="UH69" s="433"/>
      <c r="UI69" s="433"/>
      <c r="UJ69" s="433"/>
      <c r="UK69" s="433"/>
      <c r="UL69" s="433"/>
      <c r="UM69" s="433"/>
      <c r="UN69" s="433"/>
      <c r="UO69" s="433"/>
      <c r="UP69" s="433"/>
      <c r="UQ69" s="433"/>
      <c r="UR69" s="433"/>
      <c r="US69" s="433"/>
      <c r="UT69" s="433"/>
      <c r="UU69" s="433"/>
      <c r="UV69" s="433"/>
      <c r="UW69" s="433"/>
      <c r="UX69" s="433"/>
      <c r="UY69" s="433"/>
      <c r="UZ69" s="433"/>
      <c r="VA69" s="433"/>
      <c r="VB69" s="433"/>
      <c r="VC69" s="433"/>
      <c r="VD69" s="433"/>
      <c r="VE69" s="433"/>
      <c r="VF69" s="433"/>
      <c r="VG69" s="433"/>
      <c r="VH69" s="433"/>
      <c r="VI69" s="433"/>
      <c r="VJ69" s="433"/>
      <c r="VK69" s="433"/>
      <c r="VL69" s="433"/>
      <c r="VM69" s="433"/>
      <c r="VN69" s="433"/>
      <c r="VO69" s="433"/>
      <c r="VP69" s="433"/>
      <c r="VQ69" s="433"/>
      <c r="VR69" s="433"/>
      <c r="VS69" s="433"/>
      <c r="VT69" s="433"/>
      <c r="VU69" s="433"/>
      <c r="VV69" s="433"/>
      <c r="VW69" s="433"/>
      <c r="VX69" s="433"/>
      <c r="VY69" s="433"/>
      <c r="VZ69" s="433"/>
      <c r="WA69" s="433"/>
      <c r="WB69" s="433"/>
      <c r="WC69" s="433"/>
      <c r="WD69" s="433"/>
      <c r="WE69" s="433"/>
      <c r="WF69" s="433"/>
      <c r="WG69" s="433"/>
      <c r="WH69" s="433"/>
      <c r="WI69" s="433"/>
      <c r="WJ69" s="433"/>
      <c r="WK69" s="433"/>
      <c r="WL69" s="433"/>
      <c r="WM69" s="433"/>
      <c r="WN69" s="433"/>
      <c r="WO69" s="433"/>
      <c r="WP69" s="433"/>
      <c r="WQ69" s="433"/>
      <c r="WR69" s="433"/>
      <c r="WS69" s="433"/>
      <c r="WT69" s="433"/>
      <c r="WU69" s="433"/>
      <c r="WV69" s="433"/>
      <c r="WW69" s="433"/>
      <c r="WX69" s="433"/>
      <c r="WY69" s="433"/>
      <c r="WZ69" s="433"/>
      <c r="XA69" s="433"/>
      <c r="XB69" s="433"/>
      <c r="XC69" s="433"/>
      <c r="XD69" s="433"/>
      <c r="XE69" s="433"/>
      <c r="XF69" s="433"/>
      <c r="XG69" s="433"/>
      <c r="XH69" s="433"/>
      <c r="XI69" s="433"/>
      <c r="XJ69" s="433"/>
      <c r="XK69" s="433"/>
      <c r="XL69" s="433"/>
      <c r="XM69" s="433"/>
      <c r="XN69" s="433"/>
      <c r="XO69" s="433"/>
      <c r="XP69" s="433"/>
      <c r="XQ69" s="433"/>
      <c r="XR69" s="433"/>
      <c r="XS69" s="433"/>
      <c r="XT69" s="433"/>
      <c r="XU69" s="433"/>
      <c r="XV69" s="433"/>
      <c r="XW69" s="433"/>
      <c r="XX69" s="433"/>
      <c r="XY69" s="433"/>
      <c r="XZ69" s="433"/>
      <c r="YA69" s="433"/>
      <c r="YB69" s="433"/>
      <c r="YC69" s="433"/>
      <c r="YD69" s="433"/>
      <c r="YE69" s="433"/>
      <c r="YF69" s="433"/>
      <c r="YG69" s="433"/>
      <c r="YH69" s="433"/>
      <c r="YI69" s="433"/>
      <c r="YJ69" s="433"/>
      <c r="YK69" s="433"/>
      <c r="YL69" s="433"/>
      <c r="YM69" s="433"/>
      <c r="YN69" s="433"/>
      <c r="YO69" s="433"/>
      <c r="YP69" s="433"/>
      <c r="YQ69" s="433"/>
      <c r="YR69" s="433"/>
      <c r="YS69" s="433"/>
      <c r="YT69" s="433"/>
      <c r="YU69" s="433"/>
      <c r="YV69" s="433"/>
      <c r="YW69" s="433"/>
      <c r="YX69" s="433"/>
      <c r="YY69" s="433"/>
      <c r="YZ69" s="433"/>
      <c r="ZA69" s="433"/>
      <c r="ZB69" s="433"/>
      <c r="ZC69" s="433"/>
      <c r="ZD69" s="433"/>
      <c r="ZE69" s="433"/>
      <c r="ZF69" s="433"/>
      <c r="ZG69" s="433"/>
      <c r="ZH69" s="433"/>
      <c r="ZI69" s="433"/>
      <c r="ZJ69" s="433"/>
      <c r="ZK69" s="433"/>
      <c r="ZL69" s="433"/>
      <c r="ZM69" s="433"/>
      <c r="ZN69" s="433"/>
      <c r="ZO69" s="433"/>
      <c r="ZP69" s="433"/>
      <c r="ZQ69" s="433"/>
      <c r="ZR69" s="433"/>
      <c r="ZS69" s="433"/>
      <c r="ZT69" s="433"/>
      <c r="ZU69" s="433"/>
      <c r="ZV69" s="433"/>
      <c r="ZW69" s="433"/>
      <c r="ZX69" s="433"/>
      <c r="ZY69" s="433"/>
      <c r="ZZ69" s="433"/>
      <c r="AAA69" s="433"/>
      <c r="AAB69" s="433"/>
      <c r="AAC69" s="433"/>
      <c r="AAD69" s="433"/>
      <c r="AAE69" s="433"/>
      <c r="AAF69" s="433"/>
      <c r="AAG69" s="433"/>
      <c r="AAH69" s="433"/>
      <c r="AAI69" s="433"/>
      <c r="AAJ69" s="433"/>
      <c r="AAK69" s="433"/>
      <c r="AAL69" s="433"/>
      <c r="AAM69" s="433"/>
      <c r="AAN69" s="433"/>
      <c r="AAO69" s="433"/>
      <c r="AAP69" s="433"/>
      <c r="AAQ69" s="433"/>
      <c r="AAR69" s="433"/>
      <c r="AAS69" s="433"/>
      <c r="AAT69" s="433"/>
      <c r="AAU69" s="433"/>
      <c r="AAV69" s="433"/>
      <c r="AAW69" s="433"/>
      <c r="AAX69" s="433"/>
      <c r="AAY69" s="433"/>
      <c r="AAZ69" s="433"/>
      <c r="ABA69" s="433"/>
      <c r="ABB69" s="433"/>
      <c r="ABC69" s="433"/>
      <c r="ABD69" s="433"/>
      <c r="ABE69" s="433"/>
      <c r="ABF69" s="433"/>
      <c r="ABG69" s="433"/>
      <c r="ABH69" s="433"/>
      <c r="ABI69" s="433"/>
      <c r="ABJ69" s="433"/>
      <c r="ABK69" s="433"/>
      <c r="ABL69" s="433"/>
      <c r="ABM69" s="433"/>
      <c r="ABN69" s="433"/>
      <c r="ABO69" s="433"/>
      <c r="ABP69" s="433"/>
      <c r="ABQ69" s="433"/>
      <c r="ABR69" s="433"/>
      <c r="ABS69" s="433"/>
      <c r="ABT69" s="433"/>
      <c r="ABU69" s="433"/>
      <c r="ABV69" s="433"/>
      <c r="ABW69" s="433"/>
      <c r="ABX69" s="433"/>
      <c r="ABY69" s="433"/>
      <c r="ABZ69" s="433"/>
      <c r="ACA69" s="433"/>
      <c r="ACB69" s="433"/>
      <c r="ACC69" s="433"/>
      <c r="ACD69" s="433"/>
      <c r="ACE69" s="433"/>
      <c r="ACF69" s="433"/>
      <c r="ACG69" s="433"/>
      <c r="ACH69" s="433"/>
      <c r="ACI69" s="433"/>
      <c r="ACJ69" s="433"/>
      <c r="ACK69" s="433"/>
      <c r="ACL69" s="433"/>
      <c r="ACM69" s="433"/>
      <c r="ACN69" s="433"/>
      <c r="ACO69" s="433"/>
      <c r="ACP69" s="433"/>
      <c r="ACQ69" s="433"/>
      <c r="ACR69" s="433"/>
      <c r="ACS69" s="433"/>
      <c r="ACT69" s="433"/>
      <c r="ACU69" s="433"/>
      <c r="ACV69" s="433"/>
      <c r="ACW69" s="433"/>
      <c r="ACX69" s="433"/>
      <c r="ACY69" s="433"/>
      <c r="ACZ69" s="433"/>
      <c r="ADA69" s="433"/>
      <c r="ADB69" s="433"/>
      <c r="ADC69" s="433"/>
      <c r="ADD69" s="433"/>
      <c r="ADE69" s="433"/>
      <c r="ADF69" s="433"/>
      <c r="ADG69" s="433"/>
      <c r="ADH69" s="433"/>
      <c r="ADI69" s="433"/>
      <c r="ADJ69" s="433"/>
      <c r="ADK69" s="433"/>
      <c r="ADL69" s="433"/>
      <c r="ADM69" s="433"/>
      <c r="ADN69" s="433"/>
      <c r="ADO69" s="433"/>
      <c r="ADP69" s="433"/>
      <c r="ADQ69" s="433"/>
      <c r="ADR69" s="433"/>
      <c r="ADS69" s="433"/>
      <c r="ADT69" s="433"/>
      <c r="ADU69" s="433"/>
      <c r="ADV69" s="433"/>
      <c r="ADW69" s="433"/>
      <c r="ADX69" s="433"/>
      <c r="ADY69" s="433"/>
      <c r="ADZ69" s="433"/>
      <c r="AEA69" s="433"/>
      <c r="AEB69" s="433"/>
      <c r="AEC69" s="433"/>
      <c r="AED69" s="433"/>
      <c r="AEE69" s="433"/>
      <c r="AEF69" s="433"/>
      <c r="AEG69" s="433"/>
      <c r="AEH69" s="433"/>
      <c r="AEI69" s="433"/>
      <c r="AEJ69" s="433"/>
      <c r="AEK69" s="433"/>
      <c r="AEL69" s="433"/>
      <c r="AEM69" s="433"/>
      <c r="AEN69" s="433"/>
      <c r="AEO69" s="433"/>
      <c r="AEP69" s="433"/>
      <c r="AEQ69" s="433"/>
      <c r="AER69" s="433"/>
      <c r="AES69" s="433"/>
      <c r="AET69" s="433"/>
      <c r="AEU69" s="433"/>
      <c r="AEV69" s="433"/>
      <c r="AEW69" s="433"/>
      <c r="AEX69" s="433"/>
      <c r="AEY69" s="433"/>
      <c r="AEZ69" s="433"/>
      <c r="AFA69" s="433"/>
      <c r="AFB69" s="433"/>
      <c r="AFC69" s="433"/>
      <c r="AFD69" s="433"/>
      <c r="AFE69" s="433"/>
      <c r="AFF69" s="433"/>
      <c r="AFG69" s="433"/>
      <c r="AFH69" s="433"/>
      <c r="AFI69" s="433"/>
      <c r="AFJ69" s="433"/>
      <c r="AFK69" s="433"/>
      <c r="AFL69" s="433"/>
      <c r="AFM69" s="433"/>
      <c r="AFN69" s="433"/>
      <c r="AFO69" s="433"/>
      <c r="AFP69" s="433"/>
      <c r="AFQ69" s="433"/>
      <c r="AFR69" s="433"/>
      <c r="AFS69" s="433"/>
      <c r="AFT69" s="433"/>
      <c r="AFU69" s="433"/>
      <c r="AFV69" s="433"/>
      <c r="AFW69" s="433"/>
      <c r="AFX69" s="433"/>
      <c r="AFY69" s="433"/>
      <c r="AFZ69" s="433"/>
      <c r="AGA69" s="433"/>
      <c r="AGB69" s="433"/>
      <c r="AGC69" s="433"/>
      <c r="AGD69" s="433"/>
      <c r="AGE69" s="433"/>
      <c r="AGF69" s="433"/>
      <c r="AGG69" s="433"/>
      <c r="AGH69" s="433"/>
      <c r="AGI69" s="433"/>
      <c r="AGJ69" s="433"/>
    </row>
    <row r="70" spans="1:868" s="1" customFormat="1">
      <c r="A70" s="633" t="s">
        <v>118</v>
      </c>
      <c r="B70" s="777" t="s">
        <v>421</v>
      </c>
      <c r="C70" s="34" t="s">
        <v>139</v>
      </c>
      <c r="D70" s="122" t="s">
        <v>99</v>
      </c>
      <c r="E70" s="618">
        <f t="shared" si="22"/>
        <v>5.4672938670453558E-2</v>
      </c>
      <c r="F70" s="9">
        <v>1</v>
      </c>
      <c r="G70" s="9" t="s">
        <v>412</v>
      </c>
      <c r="H70" s="10">
        <v>1</v>
      </c>
      <c r="I70" s="10">
        <v>2</v>
      </c>
      <c r="J70" s="10">
        <v>2</v>
      </c>
      <c r="K70" s="10">
        <v>1</v>
      </c>
      <c r="L70" s="10">
        <v>1</v>
      </c>
      <c r="M70" s="10">
        <v>2</v>
      </c>
      <c r="N70" s="402">
        <f t="shared" si="25"/>
        <v>0.35859414261160716</v>
      </c>
      <c r="O70" s="402">
        <f t="shared" si="26"/>
        <v>0.37356464144298934</v>
      </c>
      <c r="P70" s="744"/>
      <c r="Q70" s="433"/>
      <c r="R70" s="433"/>
      <c r="S70" s="433"/>
      <c r="T70" s="433"/>
      <c r="U70" s="433"/>
      <c r="V70" s="433"/>
      <c r="W70" s="433"/>
      <c r="X70" s="433"/>
      <c r="Y70" s="433"/>
      <c r="Z70" s="433"/>
      <c r="AA70" s="433"/>
      <c r="AB70" s="433"/>
      <c r="AC70" s="433"/>
      <c r="AD70" s="433"/>
      <c r="AE70" s="433"/>
      <c r="AF70" s="433"/>
      <c r="AG70" s="433"/>
      <c r="AH70" s="433"/>
      <c r="AI70" s="433"/>
      <c r="AJ70" s="433"/>
      <c r="AK70" s="433"/>
      <c r="AL70" s="433"/>
      <c r="AM70" s="433"/>
      <c r="AN70" s="433"/>
      <c r="AO70" s="433"/>
      <c r="AP70" s="433"/>
      <c r="AQ70" s="433"/>
      <c r="AR70" s="433"/>
      <c r="AS70" s="433"/>
      <c r="AT70" s="433"/>
      <c r="AU70" s="433"/>
      <c r="AV70" s="433"/>
      <c r="AW70" s="433"/>
      <c r="AX70" s="433"/>
      <c r="AY70" s="433"/>
      <c r="AZ70" s="433"/>
      <c r="BA70" s="433"/>
      <c r="BB70" s="433"/>
      <c r="BC70" s="433"/>
      <c r="BD70" s="433"/>
      <c r="BE70" s="433"/>
      <c r="BF70" s="433"/>
      <c r="BG70" s="433"/>
      <c r="BH70" s="433"/>
      <c r="BI70" s="433"/>
      <c r="BJ70" s="433"/>
      <c r="BK70" s="433"/>
      <c r="BL70" s="433"/>
      <c r="BM70" s="433"/>
      <c r="BN70" s="433"/>
      <c r="BO70" s="433"/>
      <c r="BP70" s="433"/>
      <c r="BQ70" s="433"/>
      <c r="BR70" s="433"/>
      <c r="BS70" s="433"/>
      <c r="BT70" s="433"/>
      <c r="BU70" s="433"/>
      <c r="BV70" s="433"/>
      <c r="BW70" s="433"/>
      <c r="BX70" s="433"/>
      <c r="BY70" s="433"/>
      <c r="BZ70" s="433"/>
      <c r="CA70" s="433"/>
      <c r="CB70" s="433"/>
      <c r="CC70" s="433"/>
      <c r="CD70" s="433"/>
      <c r="CE70" s="433"/>
      <c r="CF70" s="433"/>
      <c r="CG70" s="433"/>
      <c r="CH70" s="433"/>
      <c r="CI70" s="433"/>
      <c r="CJ70" s="433"/>
      <c r="CK70" s="433"/>
      <c r="CL70" s="433"/>
      <c r="CM70" s="433"/>
      <c r="CN70" s="433"/>
      <c r="CO70" s="433"/>
      <c r="CP70" s="433"/>
      <c r="CQ70" s="433"/>
      <c r="CR70" s="433"/>
      <c r="CS70" s="433"/>
      <c r="CT70" s="433"/>
      <c r="CU70" s="433"/>
      <c r="CV70" s="433"/>
      <c r="CW70" s="433"/>
      <c r="CX70" s="433"/>
      <c r="CY70" s="433"/>
      <c r="CZ70" s="433"/>
      <c r="DA70" s="433"/>
      <c r="DB70" s="433"/>
      <c r="DC70" s="433"/>
      <c r="DD70" s="433"/>
      <c r="DE70" s="433"/>
      <c r="DF70" s="433"/>
      <c r="DG70" s="433"/>
      <c r="DH70" s="433"/>
      <c r="DI70" s="433"/>
      <c r="DJ70" s="433"/>
      <c r="DK70" s="433"/>
      <c r="DL70" s="433"/>
      <c r="DM70" s="433"/>
      <c r="DN70" s="433"/>
      <c r="DO70" s="433"/>
      <c r="DP70" s="433"/>
      <c r="DQ70" s="433"/>
      <c r="DR70" s="433"/>
      <c r="DS70" s="433"/>
      <c r="DT70" s="433"/>
      <c r="DU70" s="433"/>
      <c r="DV70" s="433"/>
      <c r="DW70" s="433"/>
      <c r="DX70" s="433"/>
      <c r="DY70" s="433"/>
      <c r="DZ70" s="433"/>
      <c r="EA70" s="433"/>
      <c r="EB70" s="433"/>
      <c r="EC70" s="433"/>
      <c r="ED70" s="433"/>
      <c r="EE70" s="433"/>
      <c r="EF70" s="433"/>
      <c r="EG70" s="433"/>
      <c r="EH70" s="433"/>
      <c r="EI70" s="433"/>
      <c r="EJ70" s="433"/>
      <c r="EK70" s="433"/>
      <c r="EL70" s="433"/>
      <c r="EM70" s="433"/>
      <c r="EN70" s="433"/>
      <c r="EO70" s="433"/>
      <c r="EP70" s="433"/>
      <c r="EQ70" s="433"/>
      <c r="ER70" s="433"/>
      <c r="ES70" s="433"/>
      <c r="ET70" s="433"/>
      <c r="EU70" s="433"/>
      <c r="EV70" s="433"/>
      <c r="EW70" s="433"/>
      <c r="EX70" s="433"/>
      <c r="EY70" s="433"/>
      <c r="EZ70" s="433"/>
      <c r="FA70" s="433"/>
      <c r="FB70" s="433"/>
      <c r="FC70" s="433"/>
      <c r="FD70" s="433"/>
      <c r="FE70" s="433"/>
      <c r="FF70" s="433"/>
      <c r="FG70" s="433"/>
      <c r="FH70" s="433"/>
      <c r="FI70" s="433"/>
      <c r="FJ70" s="433"/>
      <c r="FK70" s="433"/>
      <c r="FL70" s="433"/>
      <c r="FM70" s="433"/>
      <c r="FN70" s="433"/>
      <c r="FO70" s="433"/>
      <c r="FP70" s="433"/>
      <c r="FQ70" s="433"/>
      <c r="FR70" s="433"/>
      <c r="FS70" s="433"/>
      <c r="FT70" s="433"/>
      <c r="FU70" s="433"/>
      <c r="FV70" s="433"/>
      <c r="FW70" s="433"/>
      <c r="FX70" s="433"/>
      <c r="FY70" s="433"/>
      <c r="FZ70" s="433"/>
      <c r="GA70" s="433"/>
      <c r="GB70" s="433"/>
      <c r="GC70" s="433"/>
      <c r="GD70" s="433"/>
      <c r="GE70" s="433"/>
      <c r="GF70" s="433"/>
      <c r="GG70" s="433"/>
      <c r="GH70" s="433"/>
      <c r="GI70" s="433"/>
      <c r="GJ70" s="433"/>
      <c r="GK70" s="433"/>
      <c r="GL70" s="433"/>
      <c r="GM70" s="433"/>
      <c r="GN70" s="433"/>
      <c r="GO70" s="433"/>
      <c r="GP70" s="433"/>
      <c r="GQ70" s="433"/>
      <c r="GR70" s="433"/>
      <c r="GS70" s="433"/>
      <c r="GT70" s="433"/>
      <c r="GU70" s="433"/>
      <c r="GV70" s="433"/>
      <c r="GW70" s="433"/>
      <c r="GX70" s="433"/>
      <c r="GY70" s="433"/>
      <c r="GZ70" s="433"/>
      <c r="HA70" s="433"/>
      <c r="HB70" s="433"/>
      <c r="HC70" s="433"/>
      <c r="HD70" s="433"/>
      <c r="HE70" s="433"/>
      <c r="HF70" s="433"/>
      <c r="HG70" s="433"/>
      <c r="HH70" s="433"/>
      <c r="HI70" s="433"/>
      <c r="HJ70" s="433"/>
      <c r="HK70" s="433"/>
      <c r="HL70" s="433"/>
      <c r="HM70" s="433"/>
      <c r="HN70" s="433"/>
      <c r="HO70" s="433"/>
      <c r="HP70" s="433"/>
      <c r="HQ70" s="433"/>
      <c r="HR70" s="433"/>
      <c r="HS70" s="433"/>
      <c r="HT70" s="433"/>
      <c r="HU70" s="433"/>
      <c r="HV70" s="433"/>
      <c r="HW70" s="433"/>
      <c r="HX70" s="433"/>
      <c r="HY70" s="433"/>
      <c r="HZ70" s="433"/>
      <c r="IA70" s="433"/>
      <c r="IB70" s="433"/>
      <c r="IC70" s="433"/>
      <c r="ID70" s="433"/>
      <c r="IE70" s="433"/>
      <c r="IF70" s="433"/>
      <c r="IG70" s="433"/>
      <c r="IH70" s="433"/>
      <c r="II70" s="433"/>
      <c r="IJ70" s="433"/>
      <c r="IK70" s="433"/>
      <c r="IL70" s="433"/>
      <c r="IM70" s="433"/>
      <c r="IN70" s="433"/>
      <c r="IO70" s="433"/>
      <c r="IP70" s="433"/>
      <c r="IQ70" s="433"/>
      <c r="IR70" s="433"/>
      <c r="IS70" s="433"/>
      <c r="IT70" s="433"/>
      <c r="IU70" s="433"/>
      <c r="IV70" s="433"/>
      <c r="IW70" s="433"/>
      <c r="IX70" s="433"/>
      <c r="IY70" s="433"/>
      <c r="IZ70" s="433"/>
      <c r="JA70" s="433"/>
      <c r="JB70" s="433"/>
      <c r="JC70" s="433"/>
      <c r="JD70" s="433"/>
      <c r="JE70" s="433"/>
      <c r="JF70" s="433"/>
      <c r="JG70" s="433"/>
      <c r="JH70" s="433"/>
      <c r="JI70" s="433"/>
      <c r="JJ70" s="433"/>
      <c r="JK70" s="433"/>
      <c r="JL70" s="433"/>
      <c r="JM70" s="433"/>
      <c r="JN70" s="433"/>
      <c r="JO70" s="433"/>
      <c r="JP70" s="433"/>
      <c r="JQ70" s="433"/>
      <c r="JR70" s="433"/>
      <c r="JS70" s="433"/>
      <c r="JT70" s="433"/>
      <c r="JU70" s="433"/>
      <c r="JV70" s="433"/>
      <c r="JW70" s="433"/>
      <c r="JX70" s="433"/>
      <c r="JY70" s="433"/>
      <c r="JZ70" s="433"/>
      <c r="KA70" s="433"/>
      <c r="KB70" s="433"/>
      <c r="KC70" s="433"/>
      <c r="KD70" s="433"/>
      <c r="KE70" s="433"/>
      <c r="KF70" s="433"/>
      <c r="KG70" s="433"/>
      <c r="KH70" s="433"/>
      <c r="KI70" s="433"/>
      <c r="KJ70" s="433"/>
      <c r="KK70" s="433"/>
      <c r="KL70" s="433"/>
      <c r="KM70" s="433"/>
      <c r="KN70" s="433"/>
      <c r="KO70" s="433"/>
      <c r="KP70" s="433"/>
      <c r="KQ70" s="433"/>
      <c r="KR70" s="433"/>
      <c r="KS70" s="433"/>
      <c r="KT70" s="433"/>
      <c r="KU70" s="433"/>
      <c r="KV70" s="433"/>
      <c r="KW70" s="433"/>
      <c r="KX70" s="433"/>
      <c r="KY70" s="433"/>
      <c r="KZ70" s="433"/>
      <c r="LA70" s="433"/>
      <c r="LB70" s="433"/>
      <c r="LC70" s="433"/>
      <c r="LD70" s="433"/>
      <c r="LE70" s="433"/>
      <c r="LF70" s="433"/>
      <c r="LG70" s="433"/>
      <c r="LH70" s="433"/>
      <c r="LI70" s="433"/>
      <c r="LJ70" s="433"/>
      <c r="LK70" s="433"/>
      <c r="LL70" s="433"/>
      <c r="LM70" s="433"/>
      <c r="LN70" s="433"/>
      <c r="LO70" s="433"/>
      <c r="LP70" s="433"/>
      <c r="LQ70" s="433"/>
      <c r="LR70" s="433"/>
      <c r="LS70" s="433"/>
      <c r="LT70" s="433"/>
      <c r="LU70" s="433"/>
      <c r="LV70" s="433"/>
      <c r="LW70" s="433"/>
      <c r="LX70" s="433"/>
      <c r="LY70" s="433"/>
      <c r="LZ70" s="433"/>
      <c r="MA70" s="433"/>
      <c r="MB70" s="433"/>
      <c r="MC70" s="433"/>
      <c r="MD70" s="433"/>
      <c r="ME70" s="433"/>
      <c r="MF70" s="433"/>
      <c r="MG70" s="433"/>
      <c r="MH70" s="433"/>
      <c r="MI70" s="433"/>
      <c r="MJ70" s="433"/>
      <c r="MK70" s="433"/>
      <c r="ML70" s="433"/>
      <c r="MM70" s="433"/>
      <c r="MN70" s="433"/>
      <c r="MO70" s="433"/>
      <c r="MP70" s="433"/>
      <c r="MQ70" s="433"/>
      <c r="MR70" s="433"/>
      <c r="MS70" s="433"/>
      <c r="MT70" s="433"/>
      <c r="MU70" s="433"/>
      <c r="MV70" s="433"/>
      <c r="MW70" s="433"/>
      <c r="MX70" s="433"/>
      <c r="MY70" s="433"/>
      <c r="MZ70" s="433"/>
      <c r="NA70" s="433"/>
      <c r="NB70" s="433"/>
      <c r="NC70" s="433"/>
      <c r="ND70" s="433"/>
      <c r="NE70" s="433"/>
      <c r="NF70" s="433"/>
      <c r="NG70" s="433"/>
      <c r="NH70" s="433"/>
      <c r="NI70" s="433"/>
      <c r="NJ70" s="433"/>
      <c r="NK70" s="433"/>
      <c r="NL70" s="433"/>
      <c r="NM70" s="433"/>
      <c r="NN70" s="433"/>
      <c r="NO70" s="433"/>
      <c r="NP70" s="433"/>
      <c r="NQ70" s="433"/>
      <c r="NR70" s="433"/>
      <c r="NS70" s="433"/>
      <c r="NT70" s="433"/>
      <c r="NU70" s="433"/>
      <c r="NV70" s="433"/>
      <c r="NW70" s="433"/>
      <c r="NX70" s="433"/>
      <c r="NY70" s="433"/>
      <c r="NZ70" s="433"/>
      <c r="OA70" s="433"/>
      <c r="OB70" s="433"/>
      <c r="OC70" s="433"/>
      <c r="OD70" s="433"/>
      <c r="OE70" s="433"/>
      <c r="OF70" s="433"/>
      <c r="OG70" s="433"/>
      <c r="OH70" s="433"/>
      <c r="OI70" s="433"/>
      <c r="OJ70" s="433"/>
      <c r="OK70" s="433"/>
      <c r="OL70" s="433"/>
      <c r="OM70" s="433"/>
      <c r="ON70" s="433"/>
      <c r="OO70" s="433"/>
      <c r="OP70" s="433"/>
      <c r="OQ70" s="433"/>
      <c r="OR70" s="433"/>
      <c r="OS70" s="433"/>
      <c r="OT70" s="433"/>
      <c r="OU70" s="433"/>
      <c r="OV70" s="433"/>
      <c r="OW70" s="433"/>
      <c r="OX70" s="433"/>
      <c r="OY70" s="433"/>
      <c r="OZ70" s="433"/>
      <c r="PA70" s="433"/>
      <c r="PB70" s="433"/>
      <c r="PC70" s="433"/>
      <c r="PD70" s="433"/>
      <c r="PE70" s="433"/>
      <c r="PF70" s="433"/>
      <c r="PG70" s="433"/>
      <c r="PH70" s="433"/>
      <c r="PI70" s="433"/>
      <c r="PJ70" s="433"/>
      <c r="PK70" s="433"/>
      <c r="PL70" s="433"/>
      <c r="PM70" s="433"/>
      <c r="PN70" s="433"/>
      <c r="PO70" s="433"/>
      <c r="PP70" s="433"/>
      <c r="PQ70" s="433"/>
      <c r="PR70" s="433"/>
      <c r="PS70" s="433"/>
      <c r="PT70" s="433"/>
      <c r="PU70" s="433"/>
      <c r="PV70" s="433"/>
      <c r="PW70" s="433"/>
      <c r="PX70" s="433"/>
      <c r="PY70" s="433"/>
      <c r="PZ70" s="433"/>
      <c r="QA70" s="433"/>
      <c r="QB70" s="433"/>
      <c r="QC70" s="433"/>
      <c r="QD70" s="433"/>
      <c r="QE70" s="433"/>
      <c r="QF70" s="433"/>
      <c r="QG70" s="433"/>
      <c r="QH70" s="433"/>
      <c r="QI70" s="433"/>
      <c r="QJ70" s="433"/>
      <c r="QK70" s="433"/>
      <c r="QL70" s="433"/>
      <c r="QM70" s="433"/>
      <c r="QN70" s="433"/>
      <c r="QO70" s="433"/>
      <c r="QP70" s="433"/>
      <c r="QQ70" s="433"/>
      <c r="QR70" s="433"/>
      <c r="QS70" s="433"/>
      <c r="QT70" s="433"/>
      <c r="QU70" s="433"/>
      <c r="QV70" s="433"/>
      <c r="QW70" s="433"/>
      <c r="QX70" s="433"/>
      <c r="QY70" s="433"/>
      <c r="QZ70" s="433"/>
      <c r="RA70" s="433"/>
      <c r="RB70" s="433"/>
      <c r="RC70" s="433"/>
      <c r="RD70" s="433"/>
      <c r="RE70" s="433"/>
      <c r="RF70" s="433"/>
      <c r="RG70" s="433"/>
      <c r="RH70" s="433"/>
      <c r="RI70" s="433"/>
      <c r="RJ70" s="433"/>
      <c r="RK70" s="433"/>
      <c r="RL70" s="433"/>
      <c r="RM70" s="433"/>
      <c r="RN70" s="433"/>
      <c r="RO70" s="433"/>
      <c r="RP70" s="433"/>
      <c r="RQ70" s="433"/>
      <c r="RR70" s="433"/>
      <c r="RS70" s="433"/>
      <c r="RT70" s="433"/>
      <c r="RU70" s="433"/>
      <c r="RV70" s="433"/>
      <c r="RW70" s="433"/>
      <c r="RX70" s="433"/>
      <c r="RY70" s="433"/>
      <c r="RZ70" s="433"/>
      <c r="SA70" s="433"/>
      <c r="SB70" s="433"/>
      <c r="SC70" s="433"/>
      <c r="SD70" s="433"/>
      <c r="SE70" s="433"/>
      <c r="SF70" s="433"/>
      <c r="SG70" s="433"/>
      <c r="SH70" s="433"/>
      <c r="SI70" s="433"/>
      <c r="SJ70" s="433"/>
      <c r="SK70" s="433"/>
      <c r="SL70" s="433"/>
      <c r="SM70" s="433"/>
      <c r="SN70" s="433"/>
      <c r="SO70" s="433"/>
      <c r="SP70" s="433"/>
      <c r="SQ70" s="433"/>
      <c r="SR70" s="433"/>
      <c r="SS70" s="433"/>
      <c r="ST70" s="433"/>
      <c r="SU70" s="433"/>
      <c r="SV70" s="433"/>
      <c r="SW70" s="433"/>
      <c r="SX70" s="433"/>
      <c r="SY70" s="433"/>
      <c r="SZ70" s="433"/>
      <c r="TA70" s="433"/>
      <c r="TB70" s="433"/>
      <c r="TC70" s="433"/>
      <c r="TD70" s="433"/>
      <c r="TE70" s="433"/>
      <c r="TF70" s="433"/>
      <c r="TG70" s="433"/>
      <c r="TH70" s="433"/>
      <c r="TI70" s="433"/>
      <c r="TJ70" s="433"/>
      <c r="TK70" s="433"/>
      <c r="TL70" s="433"/>
      <c r="TM70" s="433"/>
      <c r="TN70" s="433"/>
      <c r="TO70" s="433"/>
      <c r="TP70" s="433"/>
      <c r="TQ70" s="433"/>
      <c r="TR70" s="433"/>
      <c r="TS70" s="433"/>
      <c r="TT70" s="433"/>
      <c r="TU70" s="433"/>
      <c r="TV70" s="433"/>
      <c r="TW70" s="433"/>
      <c r="TX70" s="433"/>
      <c r="TY70" s="433"/>
      <c r="TZ70" s="433"/>
      <c r="UA70" s="433"/>
      <c r="UB70" s="433"/>
      <c r="UC70" s="433"/>
      <c r="UD70" s="433"/>
      <c r="UE70" s="433"/>
      <c r="UF70" s="433"/>
      <c r="UG70" s="433"/>
      <c r="UH70" s="433"/>
      <c r="UI70" s="433"/>
      <c r="UJ70" s="433"/>
      <c r="UK70" s="433"/>
      <c r="UL70" s="433"/>
      <c r="UM70" s="433"/>
      <c r="UN70" s="433"/>
      <c r="UO70" s="433"/>
      <c r="UP70" s="433"/>
      <c r="UQ70" s="433"/>
      <c r="UR70" s="433"/>
      <c r="US70" s="433"/>
      <c r="UT70" s="433"/>
      <c r="UU70" s="433"/>
      <c r="UV70" s="433"/>
      <c r="UW70" s="433"/>
      <c r="UX70" s="433"/>
      <c r="UY70" s="433"/>
      <c r="UZ70" s="433"/>
      <c r="VA70" s="433"/>
      <c r="VB70" s="433"/>
      <c r="VC70" s="433"/>
      <c r="VD70" s="433"/>
      <c r="VE70" s="433"/>
      <c r="VF70" s="433"/>
      <c r="VG70" s="433"/>
      <c r="VH70" s="433"/>
      <c r="VI70" s="433"/>
      <c r="VJ70" s="433"/>
      <c r="VK70" s="433"/>
      <c r="VL70" s="433"/>
      <c r="VM70" s="433"/>
      <c r="VN70" s="433"/>
      <c r="VO70" s="433"/>
      <c r="VP70" s="433"/>
      <c r="VQ70" s="433"/>
      <c r="VR70" s="433"/>
      <c r="VS70" s="433"/>
      <c r="VT70" s="433"/>
      <c r="VU70" s="433"/>
      <c r="VV70" s="433"/>
      <c r="VW70" s="433"/>
      <c r="VX70" s="433"/>
      <c r="VY70" s="433"/>
      <c r="VZ70" s="433"/>
      <c r="WA70" s="433"/>
      <c r="WB70" s="433"/>
      <c r="WC70" s="433"/>
      <c r="WD70" s="433"/>
      <c r="WE70" s="433"/>
      <c r="WF70" s="433"/>
      <c r="WG70" s="433"/>
      <c r="WH70" s="433"/>
      <c r="WI70" s="433"/>
      <c r="WJ70" s="433"/>
      <c r="WK70" s="433"/>
      <c r="WL70" s="433"/>
      <c r="WM70" s="433"/>
      <c r="WN70" s="433"/>
      <c r="WO70" s="433"/>
      <c r="WP70" s="433"/>
      <c r="WQ70" s="433"/>
      <c r="WR70" s="433"/>
      <c r="WS70" s="433"/>
      <c r="WT70" s="433"/>
      <c r="WU70" s="433"/>
      <c r="WV70" s="433"/>
      <c r="WW70" s="433"/>
      <c r="WX70" s="433"/>
      <c r="WY70" s="433"/>
      <c r="WZ70" s="433"/>
      <c r="XA70" s="433"/>
      <c r="XB70" s="433"/>
      <c r="XC70" s="433"/>
      <c r="XD70" s="433"/>
      <c r="XE70" s="433"/>
      <c r="XF70" s="433"/>
      <c r="XG70" s="433"/>
      <c r="XH70" s="433"/>
      <c r="XI70" s="433"/>
      <c r="XJ70" s="433"/>
      <c r="XK70" s="433"/>
      <c r="XL70" s="433"/>
      <c r="XM70" s="433"/>
      <c r="XN70" s="433"/>
      <c r="XO70" s="433"/>
      <c r="XP70" s="433"/>
      <c r="XQ70" s="433"/>
      <c r="XR70" s="433"/>
      <c r="XS70" s="433"/>
      <c r="XT70" s="433"/>
      <c r="XU70" s="433"/>
      <c r="XV70" s="433"/>
      <c r="XW70" s="433"/>
      <c r="XX70" s="433"/>
      <c r="XY70" s="433"/>
      <c r="XZ70" s="433"/>
      <c r="YA70" s="433"/>
      <c r="YB70" s="433"/>
      <c r="YC70" s="433"/>
      <c r="YD70" s="433"/>
      <c r="YE70" s="433"/>
      <c r="YF70" s="433"/>
      <c r="YG70" s="433"/>
      <c r="YH70" s="433"/>
      <c r="YI70" s="433"/>
      <c r="YJ70" s="433"/>
      <c r="YK70" s="433"/>
      <c r="YL70" s="433"/>
      <c r="YM70" s="433"/>
      <c r="YN70" s="433"/>
      <c r="YO70" s="433"/>
      <c r="YP70" s="433"/>
      <c r="YQ70" s="433"/>
      <c r="YR70" s="433"/>
      <c r="YS70" s="433"/>
      <c r="YT70" s="433"/>
      <c r="YU70" s="433"/>
      <c r="YV70" s="433"/>
      <c r="YW70" s="433"/>
      <c r="YX70" s="433"/>
      <c r="YY70" s="433"/>
      <c r="YZ70" s="433"/>
      <c r="ZA70" s="433"/>
      <c r="ZB70" s="433"/>
      <c r="ZC70" s="433"/>
      <c r="ZD70" s="433"/>
      <c r="ZE70" s="433"/>
      <c r="ZF70" s="433"/>
      <c r="ZG70" s="433"/>
      <c r="ZH70" s="433"/>
      <c r="ZI70" s="433"/>
      <c r="ZJ70" s="433"/>
      <c r="ZK70" s="433"/>
      <c r="ZL70" s="433"/>
      <c r="ZM70" s="433"/>
      <c r="ZN70" s="433"/>
      <c r="ZO70" s="433"/>
      <c r="ZP70" s="433"/>
      <c r="ZQ70" s="433"/>
      <c r="ZR70" s="433"/>
      <c r="ZS70" s="433"/>
      <c r="ZT70" s="433"/>
      <c r="ZU70" s="433"/>
      <c r="ZV70" s="433"/>
      <c r="ZW70" s="433"/>
      <c r="ZX70" s="433"/>
      <c r="ZY70" s="433"/>
      <c r="ZZ70" s="433"/>
      <c r="AAA70" s="433"/>
      <c r="AAB70" s="433"/>
      <c r="AAC70" s="433"/>
      <c r="AAD70" s="433"/>
      <c r="AAE70" s="433"/>
      <c r="AAF70" s="433"/>
      <c r="AAG70" s="433"/>
      <c r="AAH70" s="433"/>
      <c r="AAI70" s="433"/>
      <c r="AAJ70" s="433"/>
      <c r="AAK70" s="433"/>
      <c r="AAL70" s="433"/>
      <c r="AAM70" s="433"/>
      <c r="AAN70" s="433"/>
      <c r="AAO70" s="433"/>
      <c r="AAP70" s="433"/>
      <c r="AAQ70" s="433"/>
      <c r="AAR70" s="433"/>
      <c r="AAS70" s="433"/>
      <c r="AAT70" s="433"/>
      <c r="AAU70" s="433"/>
      <c r="AAV70" s="433"/>
      <c r="AAW70" s="433"/>
      <c r="AAX70" s="433"/>
      <c r="AAY70" s="433"/>
      <c r="AAZ70" s="433"/>
      <c r="ABA70" s="433"/>
      <c r="ABB70" s="433"/>
      <c r="ABC70" s="433"/>
      <c r="ABD70" s="433"/>
      <c r="ABE70" s="433"/>
      <c r="ABF70" s="433"/>
      <c r="ABG70" s="433"/>
      <c r="ABH70" s="433"/>
      <c r="ABI70" s="433"/>
      <c r="ABJ70" s="433"/>
      <c r="ABK70" s="433"/>
      <c r="ABL70" s="433"/>
      <c r="ABM70" s="433"/>
      <c r="ABN70" s="433"/>
      <c r="ABO70" s="433"/>
      <c r="ABP70" s="433"/>
      <c r="ABQ70" s="433"/>
      <c r="ABR70" s="433"/>
      <c r="ABS70" s="433"/>
      <c r="ABT70" s="433"/>
      <c r="ABU70" s="433"/>
      <c r="ABV70" s="433"/>
      <c r="ABW70" s="433"/>
      <c r="ABX70" s="433"/>
      <c r="ABY70" s="433"/>
      <c r="ABZ70" s="433"/>
      <c r="ACA70" s="433"/>
      <c r="ACB70" s="433"/>
      <c r="ACC70" s="433"/>
      <c r="ACD70" s="433"/>
      <c r="ACE70" s="433"/>
      <c r="ACF70" s="433"/>
      <c r="ACG70" s="433"/>
      <c r="ACH70" s="433"/>
      <c r="ACI70" s="433"/>
      <c r="ACJ70" s="433"/>
      <c r="ACK70" s="433"/>
      <c r="ACL70" s="433"/>
      <c r="ACM70" s="433"/>
      <c r="ACN70" s="433"/>
      <c r="ACO70" s="433"/>
      <c r="ACP70" s="433"/>
      <c r="ACQ70" s="433"/>
      <c r="ACR70" s="433"/>
      <c r="ACS70" s="433"/>
      <c r="ACT70" s="433"/>
      <c r="ACU70" s="433"/>
      <c r="ACV70" s="433"/>
      <c r="ACW70" s="433"/>
      <c r="ACX70" s="433"/>
      <c r="ACY70" s="433"/>
      <c r="ACZ70" s="433"/>
      <c r="ADA70" s="433"/>
      <c r="ADB70" s="433"/>
      <c r="ADC70" s="433"/>
      <c r="ADD70" s="433"/>
      <c r="ADE70" s="433"/>
      <c r="ADF70" s="433"/>
      <c r="ADG70" s="433"/>
      <c r="ADH70" s="433"/>
      <c r="ADI70" s="433"/>
      <c r="ADJ70" s="433"/>
      <c r="ADK70" s="433"/>
      <c r="ADL70" s="433"/>
      <c r="ADM70" s="433"/>
      <c r="ADN70" s="433"/>
      <c r="ADO70" s="433"/>
      <c r="ADP70" s="433"/>
      <c r="ADQ70" s="433"/>
      <c r="ADR70" s="433"/>
      <c r="ADS70" s="433"/>
      <c r="ADT70" s="433"/>
      <c r="ADU70" s="433"/>
      <c r="ADV70" s="433"/>
      <c r="ADW70" s="433"/>
      <c r="ADX70" s="433"/>
      <c r="ADY70" s="433"/>
      <c r="ADZ70" s="433"/>
      <c r="AEA70" s="433"/>
      <c r="AEB70" s="433"/>
      <c r="AEC70" s="433"/>
      <c r="AED70" s="433"/>
      <c r="AEE70" s="433"/>
      <c r="AEF70" s="433"/>
      <c r="AEG70" s="433"/>
      <c r="AEH70" s="433"/>
      <c r="AEI70" s="433"/>
      <c r="AEJ70" s="433"/>
      <c r="AEK70" s="433"/>
      <c r="AEL70" s="433"/>
      <c r="AEM70" s="433"/>
      <c r="AEN70" s="433"/>
      <c r="AEO70" s="433"/>
      <c r="AEP70" s="433"/>
      <c r="AEQ70" s="433"/>
      <c r="AER70" s="433"/>
      <c r="AES70" s="433"/>
      <c r="AET70" s="433"/>
      <c r="AEU70" s="433"/>
      <c r="AEV70" s="433"/>
      <c r="AEW70" s="433"/>
      <c r="AEX70" s="433"/>
      <c r="AEY70" s="433"/>
      <c r="AEZ70" s="433"/>
      <c r="AFA70" s="433"/>
      <c r="AFB70" s="433"/>
      <c r="AFC70" s="433"/>
      <c r="AFD70" s="433"/>
      <c r="AFE70" s="433"/>
      <c r="AFF70" s="433"/>
      <c r="AFG70" s="433"/>
      <c r="AFH70" s="433"/>
      <c r="AFI70" s="433"/>
      <c r="AFJ70" s="433"/>
      <c r="AFK70" s="433"/>
      <c r="AFL70" s="433"/>
      <c r="AFM70" s="433"/>
      <c r="AFN70" s="433"/>
      <c r="AFO70" s="433"/>
      <c r="AFP70" s="433"/>
      <c r="AFQ70" s="433"/>
      <c r="AFR70" s="433"/>
      <c r="AFS70" s="433"/>
      <c r="AFT70" s="433"/>
      <c r="AFU70" s="433"/>
      <c r="AFV70" s="433"/>
      <c r="AFW70" s="433"/>
      <c r="AFX70" s="433"/>
      <c r="AFY70" s="433"/>
      <c r="AFZ70" s="433"/>
      <c r="AGA70" s="433"/>
      <c r="AGB70" s="433"/>
      <c r="AGC70" s="433"/>
      <c r="AGD70" s="433"/>
      <c r="AGE70" s="433"/>
      <c r="AGF70" s="433"/>
      <c r="AGG70" s="433"/>
      <c r="AGH70" s="433"/>
      <c r="AGI70" s="433"/>
      <c r="AGJ70" s="433"/>
    </row>
    <row r="71" spans="1:868" s="1" customFormat="1">
      <c r="A71" s="633" t="s">
        <v>118</v>
      </c>
      <c r="B71" s="777" t="s">
        <v>422</v>
      </c>
      <c r="C71" s="34" t="s">
        <v>139</v>
      </c>
      <c r="D71" s="122" t="s">
        <v>99</v>
      </c>
      <c r="E71" s="618">
        <f t="shared" si="22"/>
        <v>5.4672938670453558E-2</v>
      </c>
      <c r="F71" s="9">
        <v>1</v>
      </c>
      <c r="G71" s="9" t="s">
        <v>412</v>
      </c>
      <c r="H71" s="10">
        <v>1</v>
      </c>
      <c r="I71" s="10">
        <v>2</v>
      </c>
      <c r="J71" s="10">
        <v>2</v>
      </c>
      <c r="K71" s="10">
        <v>1</v>
      </c>
      <c r="L71" s="10">
        <v>1</v>
      </c>
      <c r="M71" s="10">
        <v>2</v>
      </c>
      <c r="N71" s="402">
        <f t="shared" si="25"/>
        <v>0.35859414261160716</v>
      </c>
      <c r="O71" s="402">
        <f t="shared" si="26"/>
        <v>0.37356464144298934</v>
      </c>
      <c r="P71" s="43"/>
      <c r="Q71" s="433"/>
      <c r="R71" s="433"/>
      <c r="S71" s="433"/>
      <c r="T71" s="433"/>
      <c r="U71" s="433"/>
      <c r="V71" s="433"/>
      <c r="W71" s="433"/>
      <c r="X71" s="433"/>
      <c r="Y71" s="433"/>
      <c r="Z71" s="433"/>
      <c r="AA71" s="433"/>
      <c r="AB71" s="433"/>
      <c r="AC71" s="433"/>
      <c r="AD71" s="433"/>
      <c r="AE71" s="433"/>
      <c r="AF71" s="433"/>
      <c r="AG71" s="433"/>
      <c r="AH71" s="433"/>
      <c r="AI71" s="433"/>
      <c r="AJ71" s="433"/>
      <c r="AK71" s="433"/>
      <c r="AL71" s="433"/>
      <c r="AM71" s="433"/>
      <c r="AN71" s="433"/>
      <c r="AO71" s="433"/>
      <c r="AP71" s="433"/>
      <c r="AQ71" s="433"/>
      <c r="AR71" s="433"/>
      <c r="AS71" s="433"/>
      <c r="AT71" s="433"/>
      <c r="AU71" s="433"/>
      <c r="AV71" s="433"/>
      <c r="AW71" s="433"/>
      <c r="AX71" s="433"/>
      <c r="AY71" s="433"/>
      <c r="AZ71" s="433"/>
      <c r="BA71" s="433"/>
      <c r="BB71" s="433"/>
      <c r="BC71" s="433"/>
      <c r="BD71" s="433"/>
      <c r="BE71" s="433"/>
      <c r="BF71" s="433"/>
      <c r="BG71" s="433"/>
      <c r="BH71" s="433"/>
      <c r="BI71" s="433"/>
      <c r="BJ71" s="433"/>
      <c r="BK71" s="433"/>
      <c r="BL71" s="433"/>
      <c r="BM71" s="433"/>
      <c r="BN71" s="433"/>
      <c r="BO71" s="433"/>
      <c r="BP71" s="433"/>
      <c r="BQ71" s="433"/>
      <c r="BR71" s="433"/>
      <c r="BS71" s="433"/>
      <c r="BT71" s="433"/>
      <c r="BU71" s="433"/>
      <c r="BV71" s="433"/>
      <c r="BW71" s="433"/>
      <c r="BX71" s="433"/>
      <c r="BY71" s="433"/>
      <c r="BZ71" s="433"/>
      <c r="CA71" s="433"/>
      <c r="CB71" s="433"/>
      <c r="CC71" s="433"/>
      <c r="CD71" s="433"/>
      <c r="CE71" s="433"/>
      <c r="CF71" s="433"/>
      <c r="CG71" s="433"/>
      <c r="CH71" s="433"/>
      <c r="CI71" s="433"/>
      <c r="CJ71" s="433"/>
      <c r="CK71" s="433"/>
      <c r="CL71" s="433"/>
      <c r="CM71" s="433"/>
      <c r="CN71" s="433"/>
      <c r="CO71" s="433"/>
      <c r="CP71" s="433"/>
      <c r="CQ71" s="433"/>
      <c r="CR71" s="433"/>
      <c r="CS71" s="433"/>
      <c r="CT71" s="433"/>
      <c r="CU71" s="433"/>
      <c r="CV71" s="433"/>
      <c r="CW71" s="433"/>
      <c r="CX71" s="433"/>
      <c r="CY71" s="433"/>
      <c r="CZ71" s="433"/>
      <c r="DA71" s="433"/>
      <c r="DB71" s="433"/>
      <c r="DC71" s="433"/>
      <c r="DD71" s="433"/>
      <c r="DE71" s="433"/>
      <c r="DF71" s="433"/>
      <c r="DG71" s="433"/>
      <c r="DH71" s="433"/>
      <c r="DI71" s="433"/>
      <c r="DJ71" s="433"/>
      <c r="DK71" s="433"/>
      <c r="DL71" s="433"/>
      <c r="DM71" s="433"/>
      <c r="DN71" s="433"/>
      <c r="DO71" s="433"/>
      <c r="DP71" s="433"/>
      <c r="DQ71" s="433"/>
      <c r="DR71" s="433"/>
      <c r="DS71" s="433"/>
      <c r="DT71" s="433"/>
      <c r="DU71" s="433"/>
      <c r="DV71" s="433"/>
      <c r="DW71" s="433"/>
      <c r="DX71" s="433"/>
      <c r="DY71" s="433"/>
      <c r="DZ71" s="433"/>
      <c r="EA71" s="433"/>
      <c r="EB71" s="433"/>
      <c r="EC71" s="433"/>
      <c r="ED71" s="433"/>
      <c r="EE71" s="433"/>
      <c r="EF71" s="433"/>
      <c r="EG71" s="433"/>
      <c r="EH71" s="433"/>
      <c r="EI71" s="433"/>
      <c r="EJ71" s="433"/>
      <c r="EK71" s="433"/>
      <c r="EL71" s="433"/>
      <c r="EM71" s="433"/>
      <c r="EN71" s="433"/>
      <c r="EO71" s="433"/>
      <c r="EP71" s="433"/>
      <c r="EQ71" s="433"/>
      <c r="ER71" s="433"/>
      <c r="ES71" s="433"/>
      <c r="ET71" s="433"/>
      <c r="EU71" s="433"/>
      <c r="EV71" s="433"/>
      <c r="EW71" s="433"/>
      <c r="EX71" s="433"/>
      <c r="EY71" s="433"/>
      <c r="EZ71" s="433"/>
      <c r="FA71" s="433"/>
      <c r="FB71" s="433"/>
      <c r="FC71" s="433"/>
      <c r="FD71" s="433"/>
      <c r="FE71" s="433"/>
      <c r="FF71" s="433"/>
      <c r="FG71" s="433"/>
      <c r="FH71" s="433"/>
      <c r="FI71" s="433"/>
      <c r="FJ71" s="433"/>
      <c r="FK71" s="433"/>
      <c r="FL71" s="433"/>
      <c r="FM71" s="433"/>
      <c r="FN71" s="433"/>
      <c r="FO71" s="433"/>
      <c r="FP71" s="433"/>
      <c r="FQ71" s="433"/>
      <c r="FR71" s="433"/>
      <c r="FS71" s="433"/>
      <c r="FT71" s="433"/>
      <c r="FU71" s="433"/>
      <c r="FV71" s="433"/>
      <c r="FW71" s="433"/>
      <c r="FX71" s="433"/>
      <c r="FY71" s="433"/>
      <c r="FZ71" s="433"/>
      <c r="GA71" s="433"/>
      <c r="GB71" s="433"/>
      <c r="GC71" s="433"/>
      <c r="GD71" s="433"/>
      <c r="GE71" s="433"/>
      <c r="GF71" s="433"/>
      <c r="GG71" s="433"/>
      <c r="GH71" s="433"/>
      <c r="GI71" s="433"/>
      <c r="GJ71" s="433"/>
      <c r="GK71" s="433"/>
      <c r="GL71" s="433"/>
      <c r="GM71" s="433"/>
      <c r="GN71" s="433"/>
      <c r="GO71" s="433"/>
      <c r="GP71" s="433"/>
      <c r="GQ71" s="433"/>
      <c r="GR71" s="433"/>
      <c r="GS71" s="433"/>
      <c r="GT71" s="433"/>
      <c r="GU71" s="433"/>
      <c r="GV71" s="433"/>
      <c r="GW71" s="433"/>
      <c r="GX71" s="433"/>
      <c r="GY71" s="433"/>
      <c r="GZ71" s="433"/>
      <c r="HA71" s="433"/>
      <c r="HB71" s="433"/>
      <c r="HC71" s="433"/>
      <c r="HD71" s="433"/>
      <c r="HE71" s="433"/>
      <c r="HF71" s="433"/>
      <c r="HG71" s="433"/>
      <c r="HH71" s="433"/>
      <c r="HI71" s="433"/>
      <c r="HJ71" s="433"/>
      <c r="HK71" s="433"/>
      <c r="HL71" s="433"/>
      <c r="HM71" s="433"/>
      <c r="HN71" s="433"/>
      <c r="HO71" s="433"/>
      <c r="HP71" s="433"/>
      <c r="HQ71" s="433"/>
      <c r="HR71" s="433"/>
      <c r="HS71" s="433"/>
      <c r="HT71" s="433"/>
      <c r="HU71" s="433"/>
      <c r="HV71" s="433"/>
      <c r="HW71" s="433"/>
      <c r="HX71" s="433"/>
      <c r="HY71" s="433"/>
      <c r="HZ71" s="433"/>
      <c r="IA71" s="433"/>
      <c r="IB71" s="433"/>
      <c r="IC71" s="433"/>
      <c r="ID71" s="433"/>
      <c r="IE71" s="433"/>
      <c r="IF71" s="433"/>
      <c r="IG71" s="433"/>
      <c r="IH71" s="433"/>
      <c r="II71" s="433"/>
      <c r="IJ71" s="433"/>
      <c r="IK71" s="433"/>
      <c r="IL71" s="433"/>
      <c r="IM71" s="433"/>
      <c r="IN71" s="433"/>
      <c r="IO71" s="433"/>
      <c r="IP71" s="433"/>
      <c r="IQ71" s="433"/>
      <c r="IR71" s="433"/>
      <c r="IS71" s="433"/>
      <c r="IT71" s="433"/>
      <c r="IU71" s="433"/>
      <c r="IV71" s="433"/>
      <c r="IW71" s="433"/>
      <c r="IX71" s="433"/>
      <c r="IY71" s="433"/>
      <c r="IZ71" s="433"/>
      <c r="JA71" s="433"/>
      <c r="JB71" s="433"/>
      <c r="JC71" s="433"/>
      <c r="JD71" s="433"/>
      <c r="JE71" s="433"/>
      <c r="JF71" s="433"/>
      <c r="JG71" s="433"/>
      <c r="JH71" s="433"/>
      <c r="JI71" s="433"/>
      <c r="JJ71" s="433"/>
      <c r="JK71" s="433"/>
      <c r="JL71" s="433"/>
      <c r="JM71" s="433"/>
      <c r="JN71" s="433"/>
      <c r="JO71" s="433"/>
      <c r="JP71" s="433"/>
      <c r="JQ71" s="433"/>
      <c r="JR71" s="433"/>
      <c r="JS71" s="433"/>
      <c r="JT71" s="433"/>
      <c r="JU71" s="433"/>
      <c r="JV71" s="433"/>
      <c r="JW71" s="433"/>
      <c r="JX71" s="433"/>
      <c r="JY71" s="433"/>
      <c r="JZ71" s="433"/>
      <c r="KA71" s="433"/>
      <c r="KB71" s="433"/>
      <c r="KC71" s="433"/>
      <c r="KD71" s="433"/>
      <c r="KE71" s="433"/>
      <c r="KF71" s="433"/>
      <c r="KG71" s="433"/>
      <c r="KH71" s="433"/>
      <c r="KI71" s="433"/>
      <c r="KJ71" s="433"/>
      <c r="KK71" s="433"/>
      <c r="KL71" s="433"/>
      <c r="KM71" s="433"/>
      <c r="KN71" s="433"/>
      <c r="KO71" s="433"/>
      <c r="KP71" s="433"/>
      <c r="KQ71" s="433"/>
      <c r="KR71" s="433"/>
      <c r="KS71" s="433"/>
      <c r="KT71" s="433"/>
      <c r="KU71" s="433"/>
      <c r="KV71" s="433"/>
      <c r="KW71" s="433"/>
      <c r="KX71" s="433"/>
      <c r="KY71" s="433"/>
      <c r="KZ71" s="433"/>
      <c r="LA71" s="433"/>
      <c r="LB71" s="433"/>
      <c r="LC71" s="433"/>
      <c r="LD71" s="433"/>
      <c r="LE71" s="433"/>
      <c r="LF71" s="433"/>
      <c r="LG71" s="433"/>
      <c r="LH71" s="433"/>
      <c r="LI71" s="433"/>
      <c r="LJ71" s="433"/>
      <c r="LK71" s="433"/>
      <c r="LL71" s="433"/>
      <c r="LM71" s="433"/>
      <c r="LN71" s="433"/>
      <c r="LO71" s="433"/>
      <c r="LP71" s="433"/>
      <c r="LQ71" s="433"/>
      <c r="LR71" s="433"/>
      <c r="LS71" s="433"/>
      <c r="LT71" s="433"/>
      <c r="LU71" s="433"/>
      <c r="LV71" s="433"/>
      <c r="LW71" s="433"/>
      <c r="LX71" s="433"/>
      <c r="LY71" s="433"/>
      <c r="LZ71" s="433"/>
      <c r="MA71" s="433"/>
      <c r="MB71" s="433"/>
      <c r="MC71" s="433"/>
      <c r="MD71" s="433"/>
      <c r="ME71" s="433"/>
      <c r="MF71" s="433"/>
      <c r="MG71" s="433"/>
      <c r="MH71" s="433"/>
      <c r="MI71" s="433"/>
      <c r="MJ71" s="433"/>
      <c r="MK71" s="433"/>
      <c r="ML71" s="433"/>
      <c r="MM71" s="433"/>
      <c r="MN71" s="433"/>
      <c r="MO71" s="433"/>
      <c r="MP71" s="433"/>
      <c r="MQ71" s="433"/>
      <c r="MR71" s="433"/>
      <c r="MS71" s="433"/>
      <c r="MT71" s="433"/>
      <c r="MU71" s="433"/>
      <c r="MV71" s="433"/>
      <c r="MW71" s="433"/>
      <c r="MX71" s="433"/>
      <c r="MY71" s="433"/>
      <c r="MZ71" s="433"/>
      <c r="NA71" s="433"/>
      <c r="NB71" s="433"/>
      <c r="NC71" s="433"/>
      <c r="ND71" s="433"/>
      <c r="NE71" s="433"/>
      <c r="NF71" s="433"/>
      <c r="NG71" s="433"/>
      <c r="NH71" s="433"/>
      <c r="NI71" s="433"/>
      <c r="NJ71" s="433"/>
      <c r="NK71" s="433"/>
      <c r="NL71" s="433"/>
      <c r="NM71" s="433"/>
      <c r="NN71" s="433"/>
      <c r="NO71" s="433"/>
      <c r="NP71" s="433"/>
      <c r="NQ71" s="433"/>
      <c r="NR71" s="433"/>
      <c r="NS71" s="433"/>
      <c r="NT71" s="433"/>
      <c r="NU71" s="433"/>
      <c r="NV71" s="433"/>
      <c r="NW71" s="433"/>
      <c r="NX71" s="433"/>
      <c r="NY71" s="433"/>
      <c r="NZ71" s="433"/>
      <c r="OA71" s="433"/>
      <c r="OB71" s="433"/>
      <c r="OC71" s="433"/>
      <c r="OD71" s="433"/>
      <c r="OE71" s="433"/>
      <c r="OF71" s="433"/>
      <c r="OG71" s="433"/>
      <c r="OH71" s="433"/>
      <c r="OI71" s="433"/>
      <c r="OJ71" s="433"/>
      <c r="OK71" s="433"/>
      <c r="OL71" s="433"/>
      <c r="OM71" s="433"/>
      <c r="ON71" s="433"/>
      <c r="OO71" s="433"/>
      <c r="OP71" s="433"/>
      <c r="OQ71" s="433"/>
      <c r="OR71" s="433"/>
      <c r="OS71" s="433"/>
      <c r="OT71" s="433"/>
      <c r="OU71" s="433"/>
      <c r="OV71" s="433"/>
      <c r="OW71" s="433"/>
      <c r="OX71" s="433"/>
      <c r="OY71" s="433"/>
      <c r="OZ71" s="433"/>
      <c r="PA71" s="433"/>
      <c r="PB71" s="433"/>
      <c r="PC71" s="433"/>
      <c r="PD71" s="433"/>
      <c r="PE71" s="433"/>
      <c r="PF71" s="433"/>
      <c r="PG71" s="433"/>
      <c r="PH71" s="433"/>
      <c r="PI71" s="433"/>
      <c r="PJ71" s="433"/>
      <c r="PK71" s="433"/>
      <c r="PL71" s="433"/>
      <c r="PM71" s="433"/>
      <c r="PN71" s="433"/>
      <c r="PO71" s="433"/>
      <c r="PP71" s="433"/>
      <c r="PQ71" s="433"/>
      <c r="PR71" s="433"/>
      <c r="PS71" s="433"/>
      <c r="PT71" s="433"/>
      <c r="PU71" s="433"/>
      <c r="PV71" s="433"/>
      <c r="PW71" s="433"/>
      <c r="PX71" s="433"/>
      <c r="PY71" s="433"/>
      <c r="PZ71" s="433"/>
      <c r="QA71" s="433"/>
      <c r="QB71" s="433"/>
      <c r="QC71" s="433"/>
      <c r="QD71" s="433"/>
      <c r="QE71" s="433"/>
      <c r="QF71" s="433"/>
      <c r="QG71" s="433"/>
      <c r="QH71" s="433"/>
      <c r="QI71" s="433"/>
      <c r="QJ71" s="433"/>
      <c r="QK71" s="433"/>
      <c r="QL71" s="433"/>
      <c r="QM71" s="433"/>
      <c r="QN71" s="433"/>
      <c r="QO71" s="433"/>
      <c r="QP71" s="433"/>
      <c r="QQ71" s="433"/>
      <c r="QR71" s="433"/>
      <c r="QS71" s="433"/>
      <c r="QT71" s="433"/>
      <c r="QU71" s="433"/>
      <c r="QV71" s="433"/>
      <c r="QW71" s="433"/>
      <c r="QX71" s="433"/>
      <c r="QY71" s="433"/>
      <c r="QZ71" s="433"/>
      <c r="RA71" s="433"/>
      <c r="RB71" s="433"/>
      <c r="RC71" s="433"/>
      <c r="RD71" s="433"/>
      <c r="RE71" s="433"/>
      <c r="RF71" s="433"/>
      <c r="RG71" s="433"/>
      <c r="RH71" s="433"/>
      <c r="RI71" s="433"/>
      <c r="RJ71" s="433"/>
      <c r="RK71" s="433"/>
      <c r="RL71" s="433"/>
      <c r="RM71" s="433"/>
      <c r="RN71" s="433"/>
      <c r="RO71" s="433"/>
      <c r="RP71" s="433"/>
      <c r="RQ71" s="433"/>
      <c r="RR71" s="433"/>
      <c r="RS71" s="433"/>
      <c r="RT71" s="433"/>
      <c r="RU71" s="433"/>
      <c r="RV71" s="433"/>
      <c r="RW71" s="433"/>
      <c r="RX71" s="433"/>
      <c r="RY71" s="433"/>
      <c r="RZ71" s="433"/>
      <c r="SA71" s="433"/>
      <c r="SB71" s="433"/>
      <c r="SC71" s="433"/>
      <c r="SD71" s="433"/>
      <c r="SE71" s="433"/>
      <c r="SF71" s="433"/>
      <c r="SG71" s="433"/>
      <c r="SH71" s="433"/>
      <c r="SI71" s="433"/>
      <c r="SJ71" s="433"/>
      <c r="SK71" s="433"/>
      <c r="SL71" s="433"/>
      <c r="SM71" s="433"/>
      <c r="SN71" s="433"/>
      <c r="SO71" s="433"/>
      <c r="SP71" s="433"/>
      <c r="SQ71" s="433"/>
      <c r="SR71" s="433"/>
      <c r="SS71" s="433"/>
      <c r="ST71" s="433"/>
      <c r="SU71" s="433"/>
      <c r="SV71" s="433"/>
      <c r="SW71" s="433"/>
      <c r="SX71" s="433"/>
      <c r="SY71" s="433"/>
      <c r="SZ71" s="433"/>
      <c r="TA71" s="433"/>
      <c r="TB71" s="433"/>
      <c r="TC71" s="433"/>
      <c r="TD71" s="433"/>
      <c r="TE71" s="433"/>
      <c r="TF71" s="433"/>
      <c r="TG71" s="433"/>
      <c r="TH71" s="433"/>
      <c r="TI71" s="433"/>
      <c r="TJ71" s="433"/>
      <c r="TK71" s="433"/>
      <c r="TL71" s="433"/>
      <c r="TM71" s="433"/>
      <c r="TN71" s="433"/>
      <c r="TO71" s="433"/>
      <c r="TP71" s="433"/>
      <c r="TQ71" s="433"/>
      <c r="TR71" s="433"/>
      <c r="TS71" s="433"/>
      <c r="TT71" s="433"/>
      <c r="TU71" s="433"/>
      <c r="TV71" s="433"/>
      <c r="TW71" s="433"/>
      <c r="TX71" s="433"/>
      <c r="TY71" s="433"/>
      <c r="TZ71" s="433"/>
      <c r="UA71" s="433"/>
      <c r="UB71" s="433"/>
      <c r="UC71" s="433"/>
      <c r="UD71" s="433"/>
      <c r="UE71" s="433"/>
      <c r="UF71" s="433"/>
      <c r="UG71" s="433"/>
      <c r="UH71" s="433"/>
      <c r="UI71" s="433"/>
      <c r="UJ71" s="433"/>
      <c r="UK71" s="433"/>
      <c r="UL71" s="433"/>
      <c r="UM71" s="433"/>
      <c r="UN71" s="433"/>
      <c r="UO71" s="433"/>
      <c r="UP71" s="433"/>
      <c r="UQ71" s="433"/>
      <c r="UR71" s="433"/>
      <c r="US71" s="433"/>
      <c r="UT71" s="433"/>
      <c r="UU71" s="433"/>
      <c r="UV71" s="433"/>
      <c r="UW71" s="433"/>
      <c r="UX71" s="433"/>
      <c r="UY71" s="433"/>
      <c r="UZ71" s="433"/>
      <c r="VA71" s="433"/>
      <c r="VB71" s="433"/>
      <c r="VC71" s="433"/>
      <c r="VD71" s="433"/>
      <c r="VE71" s="433"/>
      <c r="VF71" s="433"/>
      <c r="VG71" s="433"/>
      <c r="VH71" s="433"/>
      <c r="VI71" s="433"/>
      <c r="VJ71" s="433"/>
      <c r="VK71" s="433"/>
      <c r="VL71" s="433"/>
      <c r="VM71" s="433"/>
      <c r="VN71" s="433"/>
      <c r="VO71" s="433"/>
      <c r="VP71" s="433"/>
      <c r="VQ71" s="433"/>
      <c r="VR71" s="433"/>
      <c r="VS71" s="433"/>
      <c r="VT71" s="433"/>
      <c r="VU71" s="433"/>
      <c r="VV71" s="433"/>
      <c r="VW71" s="433"/>
      <c r="VX71" s="433"/>
      <c r="VY71" s="433"/>
      <c r="VZ71" s="433"/>
      <c r="WA71" s="433"/>
      <c r="WB71" s="433"/>
      <c r="WC71" s="433"/>
      <c r="WD71" s="433"/>
      <c r="WE71" s="433"/>
      <c r="WF71" s="433"/>
      <c r="WG71" s="433"/>
      <c r="WH71" s="433"/>
      <c r="WI71" s="433"/>
      <c r="WJ71" s="433"/>
      <c r="WK71" s="433"/>
      <c r="WL71" s="433"/>
      <c r="WM71" s="433"/>
      <c r="WN71" s="433"/>
      <c r="WO71" s="433"/>
      <c r="WP71" s="433"/>
      <c r="WQ71" s="433"/>
      <c r="WR71" s="433"/>
      <c r="WS71" s="433"/>
      <c r="WT71" s="433"/>
      <c r="WU71" s="433"/>
      <c r="WV71" s="433"/>
      <c r="WW71" s="433"/>
      <c r="WX71" s="433"/>
      <c r="WY71" s="433"/>
      <c r="WZ71" s="433"/>
      <c r="XA71" s="433"/>
      <c r="XB71" s="433"/>
      <c r="XC71" s="433"/>
      <c r="XD71" s="433"/>
      <c r="XE71" s="433"/>
      <c r="XF71" s="433"/>
      <c r="XG71" s="433"/>
      <c r="XH71" s="433"/>
      <c r="XI71" s="433"/>
      <c r="XJ71" s="433"/>
      <c r="XK71" s="433"/>
      <c r="XL71" s="433"/>
      <c r="XM71" s="433"/>
      <c r="XN71" s="433"/>
      <c r="XO71" s="433"/>
      <c r="XP71" s="433"/>
      <c r="XQ71" s="433"/>
      <c r="XR71" s="433"/>
      <c r="XS71" s="433"/>
      <c r="XT71" s="433"/>
      <c r="XU71" s="433"/>
      <c r="XV71" s="433"/>
      <c r="XW71" s="433"/>
      <c r="XX71" s="433"/>
      <c r="XY71" s="433"/>
      <c r="XZ71" s="433"/>
      <c r="YA71" s="433"/>
      <c r="YB71" s="433"/>
      <c r="YC71" s="433"/>
      <c r="YD71" s="433"/>
      <c r="YE71" s="433"/>
      <c r="YF71" s="433"/>
      <c r="YG71" s="433"/>
      <c r="YH71" s="433"/>
      <c r="YI71" s="433"/>
      <c r="YJ71" s="433"/>
      <c r="YK71" s="433"/>
      <c r="YL71" s="433"/>
      <c r="YM71" s="433"/>
      <c r="YN71" s="433"/>
      <c r="YO71" s="433"/>
      <c r="YP71" s="433"/>
      <c r="YQ71" s="433"/>
      <c r="YR71" s="433"/>
      <c r="YS71" s="433"/>
      <c r="YT71" s="433"/>
      <c r="YU71" s="433"/>
      <c r="YV71" s="433"/>
      <c r="YW71" s="433"/>
      <c r="YX71" s="433"/>
      <c r="YY71" s="433"/>
      <c r="YZ71" s="433"/>
      <c r="ZA71" s="433"/>
      <c r="ZB71" s="433"/>
      <c r="ZC71" s="433"/>
      <c r="ZD71" s="433"/>
      <c r="ZE71" s="433"/>
      <c r="ZF71" s="433"/>
      <c r="ZG71" s="433"/>
      <c r="ZH71" s="433"/>
      <c r="ZI71" s="433"/>
      <c r="ZJ71" s="433"/>
      <c r="ZK71" s="433"/>
      <c r="ZL71" s="433"/>
      <c r="ZM71" s="433"/>
      <c r="ZN71" s="433"/>
      <c r="ZO71" s="433"/>
      <c r="ZP71" s="433"/>
      <c r="ZQ71" s="433"/>
      <c r="ZR71" s="433"/>
      <c r="ZS71" s="433"/>
      <c r="ZT71" s="433"/>
      <c r="ZU71" s="433"/>
      <c r="ZV71" s="433"/>
      <c r="ZW71" s="433"/>
      <c r="ZX71" s="433"/>
      <c r="ZY71" s="433"/>
      <c r="ZZ71" s="433"/>
      <c r="AAA71" s="433"/>
      <c r="AAB71" s="433"/>
      <c r="AAC71" s="433"/>
      <c r="AAD71" s="433"/>
      <c r="AAE71" s="433"/>
      <c r="AAF71" s="433"/>
      <c r="AAG71" s="433"/>
      <c r="AAH71" s="433"/>
      <c r="AAI71" s="433"/>
      <c r="AAJ71" s="433"/>
      <c r="AAK71" s="433"/>
      <c r="AAL71" s="433"/>
      <c r="AAM71" s="433"/>
      <c r="AAN71" s="433"/>
      <c r="AAO71" s="433"/>
      <c r="AAP71" s="433"/>
      <c r="AAQ71" s="433"/>
      <c r="AAR71" s="433"/>
      <c r="AAS71" s="433"/>
      <c r="AAT71" s="433"/>
      <c r="AAU71" s="433"/>
      <c r="AAV71" s="433"/>
      <c r="AAW71" s="433"/>
      <c r="AAX71" s="433"/>
      <c r="AAY71" s="433"/>
      <c r="AAZ71" s="433"/>
      <c r="ABA71" s="433"/>
      <c r="ABB71" s="433"/>
      <c r="ABC71" s="433"/>
      <c r="ABD71" s="433"/>
      <c r="ABE71" s="433"/>
      <c r="ABF71" s="433"/>
      <c r="ABG71" s="433"/>
      <c r="ABH71" s="433"/>
      <c r="ABI71" s="433"/>
      <c r="ABJ71" s="433"/>
      <c r="ABK71" s="433"/>
      <c r="ABL71" s="433"/>
      <c r="ABM71" s="433"/>
      <c r="ABN71" s="433"/>
      <c r="ABO71" s="433"/>
      <c r="ABP71" s="433"/>
      <c r="ABQ71" s="433"/>
      <c r="ABR71" s="433"/>
      <c r="ABS71" s="433"/>
      <c r="ABT71" s="433"/>
      <c r="ABU71" s="433"/>
      <c r="ABV71" s="433"/>
      <c r="ABW71" s="433"/>
      <c r="ABX71" s="433"/>
      <c r="ABY71" s="433"/>
      <c r="ABZ71" s="433"/>
      <c r="ACA71" s="433"/>
      <c r="ACB71" s="433"/>
      <c r="ACC71" s="433"/>
      <c r="ACD71" s="433"/>
      <c r="ACE71" s="433"/>
      <c r="ACF71" s="433"/>
      <c r="ACG71" s="433"/>
      <c r="ACH71" s="433"/>
      <c r="ACI71" s="433"/>
      <c r="ACJ71" s="433"/>
      <c r="ACK71" s="433"/>
      <c r="ACL71" s="433"/>
      <c r="ACM71" s="433"/>
      <c r="ACN71" s="433"/>
      <c r="ACO71" s="433"/>
      <c r="ACP71" s="433"/>
      <c r="ACQ71" s="433"/>
      <c r="ACR71" s="433"/>
      <c r="ACS71" s="433"/>
      <c r="ACT71" s="433"/>
      <c r="ACU71" s="433"/>
      <c r="ACV71" s="433"/>
      <c r="ACW71" s="433"/>
      <c r="ACX71" s="433"/>
      <c r="ACY71" s="433"/>
      <c r="ACZ71" s="433"/>
      <c r="ADA71" s="433"/>
      <c r="ADB71" s="433"/>
      <c r="ADC71" s="433"/>
      <c r="ADD71" s="433"/>
      <c r="ADE71" s="433"/>
      <c r="ADF71" s="433"/>
      <c r="ADG71" s="433"/>
      <c r="ADH71" s="433"/>
      <c r="ADI71" s="433"/>
      <c r="ADJ71" s="433"/>
      <c r="ADK71" s="433"/>
      <c r="ADL71" s="433"/>
      <c r="ADM71" s="433"/>
      <c r="ADN71" s="433"/>
      <c r="ADO71" s="433"/>
      <c r="ADP71" s="433"/>
      <c r="ADQ71" s="433"/>
      <c r="ADR71" s="433"/>
      <c r="ADS71" s="433"/>
      <c r="ADT71" s="433"/>
      <c r="ADU71" s="433"/>
      <c r="ADV71" s="433"/>
      <c r="ADW71" s="433"/>
      <c r="ADX71" s="433"/>
      <c r="ADY71" s="433"/>
      <c r="ADZ71" s="433"/>
      <c r="AEA71" s="433"/>
      <c r="AEB71" s="433"/>
      <c r="AEC71" s="433"/>
      <c r="AED71" s="433"/>
      <c r="AEE71" s="433"/>
      <c r="AEF71" s="433"/>
      <c r="AEG71" s="433"/>
      <c r="AEH71" s="433"/>
      <c r="AEI71" s="433"/>
      <c r="AEJ71" s="433"/>
      <c r="AEK71" s="433"/>
      <c r="AEL71" s="433"/>
      <c r="AEM71" s="433"/>
      <c r="AEN71" s="433"/>
      <c r="AEO71" s="433"/>
      <c r="AEP71" s="433"/>
      <c r="AEQ71" s="433"/>
      <c r="AER71" s="433"/>
      <c r="AES71" s="433"/>
      <c r="AET71" s="433"/>
      <c r="AEU71" s="433"/>
      <c r="AEV71" s="433"/>
      <c r="AEW71" s="433"/>
      <c r="AEX71" s="433"/>
      <c r="AEY71" s="433"/>
      <c r="AEZ71" s="433"/>
      <c r="AFA71" s="433"/>
      <c r="AFB71" s="433"/>
      <c r="AFC71" s="433"/>
      <c r="AFD71" s="433"/>
      <c r="AFE71" s="433"/>
      <c r="AFF71" s="433"/>
      <c r="AFG71" s="433"/>
      <c r="AFH71" s="433"/>
      <c r="AFI71" s="433"/>
      <c r="AFJ71" s="433"/>
      <c r="AFK71" s="433"/>
      <c r="AFL71" s="433"/>
      <c r="AFM71" s="433"/>
      <c r="AFN71" s="433"/>
      <c r="AFO71" s="433"/>
      <c r="AFP71" s="433"/>
      <c r="AFQ71" s="433"/>
      <c r="AFR71" s="433"/>
      <c r="AFS71" s="433"/>
      <c r="AFT71" s="433"/>
      <c r="AFU71" s="433"/>
      <c r="AFV71" s="433"/>
      <c r="AFW71" s="433"/>
      <c r="AFX71" s="433"/>
      <c r="AFY71" s="433"/>
      <c r="AFZ71" s="433"/>
      <c r="AGA71" s="433"/>
      <c r="AGB71" s="433"/>
      <c r="AGC71" s="433"/>
      <c r="AGD71" s="433"/>
      <c r="AGE71" s="433"/>
      <c r="AGF71" s="433"/>
      <c r="AGG71" s="433"/>
      <c r="AGH71" s="433"/>
      <c r="AGI71" s="433"/>
      <c r="AGJ71" s="433"/>
    </row>
    <row r="72" spans="1:868" s="1" customFormat="1">
      <c r="A72" s="633" t="s">
        <v>118</v>
      </c>
      <c r="B72" s="777" t="s">
        <v>423</v>
      </c>
      <c r="C72" s="34" t="s">
        <v>139</v>
      </c>
      <c r="D72" s="122" t="s">
        <v>99</v>
      </c>
      <c r="E72" s="618">
        <f t="shared" si="22"/>
        <v>6.4613472974172373E-2</v>
      </c>
      <c r="F72" s="9">
        <v>1</v>
      </c>
      <c r="G72" s="9" t="s">
        <v>412</v>
      </c>
      <c r="H72" s="10">
        <v>1</v>
      </c>
      <c r="I72" s="10">
        <v>2</v>
      </c>
      <c r="J72" s="10">
        <v>2</v>
      </c>
      <c r="K72" s="10">
        <v>1</v>
      </c>
      <c r="L72" s="10">
        <v>1</v>
      </c>
      <c r="M72" s="10">
        <v>2</v>
      </c>
      <c r="N72" s="402">
        <f t="shared" si="25"/>
        <v>0.35859414261160716</v>
      </c>
      <c r="O72" s="402">
        <f t="shared" si="26"/>
        <v>0.37356464144298934</v>
      </c>
      <c r="P72" s="43"/>
      <c r="Q72" s="433"/>
      <c r="R72" s="433"/>
      <c r="S72" s="433"/>
      <c r="T72" s="433"/>
      <c r="U72" s="433"/>
      <c r="V72" s="433"/>
      <c r="W72" s="433"/>
      <c r="X72" s="433"/>
      <c r="Y72" s="433"/>
      <c r="Z72" s="433"/>
      <c r="AA72" s="433"/>
      <c r="AB72" s="433"/>
      <c r="AC72" s="433"/>
      <c r="AD72" s="433"/>
      <c r="AE72" s="433"/>
      <c r="AF72" s="433"/>
      <c r="AG72" s="433"/>
      <c r="AH72" s="433"/>
      <c r="AI72" s="433"/>
      <c r="AJ72" s="433"/>
      <c r="AK72" s="433"/>
      <c r="AL72" s="433"/>
      <c r="AM72" s="433"/>
      <c r="AN72" s="433"/>
      <c r="AO72" s="433"/>
      <c r="AP72" s="433"/>
      <c r="AQ72" s="433"/>
      <c r="AR72" s="433"/>
      <c r="AS72" s="433"/>
      <c r="AT72" s="433"/>
      <c r="AU72" s="433"/>
      <c r="AV72" s="433"/>
      <c r="AW72" s="433"/>
      <c r="AX72" s="433"/>
      <c r="AY72" s="433"/>
      <c r="AZ72" s="433"/>
      <c r="BA72" s="433"/>
      <c r="BB72" s="433"/>
      <c r="BC72" s="433"/>
      <c r="BD72" s="433"/>
      <c r="BE72" s="433"/>
      <c r="BF72" s="433"/>
      <c r="BG72" s="433"/>
      <c r="BH72" s="433"/>
      <c r="BI72" s="433"/>
      <c r="BJ72" s="433"/>
      <c r="BK72" s="433"/>
      <c r="BL72" s="433"/>
      <c r="BM72" s="433"/>
      <c r="BN72" s="433"/>
      <c r="BO72" s="433"/>
      <c r="BP72" s="433"/>
      <c r="BQ72" s="433"/>
      <c r="BR72" s="433"/>
      <c r="BS72" s="433"/>
      <c r="BT72" s="433"/>
      <c r="BU72" s="433"/>
      <c r="BV72" s="433"/>
      <c r="BW72" s="433"/>
      <c r="BX72" s="433"/>
      <c r="BY72" s="433"/>
      <c r="BZ72" s="433"/>
      <c r="CA72" s="433"/>
      <c r="CB72" s="433"/>
      <c r="CC72" s="433"/>
      <c r="CD72" s="433"/>
      <c r="CE72" s="433"/>
      <c r="CF72" s="433"/>
      <c r="CG72" s="433"/>
      <c r="CH72" s="433"/>
      <c r="CI72" s="433"/>
      <c r="CJ72" s="433"/>
      <c r="CK72" s="433"/>
      <c r="CL72" s="433"/>
      <c r="CM72" s="433"/>
      <c r="CN72" s="433"/>
      <c r="CO72" s="433"/>
      <c r="CP72" s="433"/>
      <c r="CQ72" s="433"/>
      <c r="CR72" s="433"/>
      <c r="CS72" s="433"/>
      <c r="CT72" s="433"/>
      <c r="CU72" s="433"/>
      <c r="CV72" s="433"/>
      <c r="CW72" s="433"/>
      <c r="CX72" s="433"/>
      <c r="CY72" s="433"/>
      <c r="CZ72" s="433"/>
      <c r="DA72" s="433"/>
      <c r="DB72" s="433"/>
      <c r="DC72" s="433"/>
      <c r="DD72" s="433"/>
      <c r="DE72" s="433"/>
      <c r="DF72" s="433"/>
      <c r="DG72" s="433"/>
      <c r="DH72" s="433"/>
      <c r="DI72" s="433"/>
      <c r="DJ72" s="433"/>
      <c r="DK72" s="433"/>
      <c r="DL72" s="433"/>
      <c r="DM72" s="433"/>
      <c r="DN72" s="433"/>
      <c r="DO72" s="433"/>
      <c r="DP72" s="433"/>
      <c r="DQ72" s="433"/>
      <c r="DR72" s="433"/>
      <c r="DS72" s="433"/>
      <c r="DT72" s="433"/>
      <c r="DU72" s="433"/>
      <c r="DV72" s="433"/>
      <c r="DW72" s="433"/>
      <c r="DX72" s="433"/>
      <c r="DY72" s="433"/>
      <c r="DZ72" s="433"/>
      <c r="EA72" s="433"/>
      <c r="EB72" s="433"/>
      <c r="EC72" s="433"/>
      <c r="ED72" s="433"/>
      <c r="EE72" s="433"/>
      <c r="EF72" s="433"/>
      <c r="EG72" s="433"/>
      <c r="EH72" s="433"/>
      <c r="EI72" s="433"/>
      <c r="EJ72" s="433"/>
      <c r="EK72" s="433"/>
      <c r="EL72" s="433"/>
      <c r="EM72" s="433"/>
      <c r="EN72" s="433"/>
      <c r="EO72" s="433"/>
      <c r="EP72" s="433"/>
      <c r="EQ72" s="433"/>
      <c r="ER72" s="433"/>
      <c r="ES72" s="433"/>
      <c r="ET72" s="433"/>
      <c r="EU72" s="433"/>
      <c r="EV72" s="433"/>
      <c r="EW72" s="433"/>
      <c r="EX72" s="433"/>
      <c r="EY72" s="433"/>
      <c r="EZ72" s="433"/>
      <c r="FA72" s="433"/>
      <c r="FB72" s="433"/>
      <c r="FC72" s="433"/>
      <c r="FD72" s="433"/>
      <c r="FE72" s="433"/>
      <c r="FF72" s="433"/>
      <c r="FG72" s="433"/>
      <c r="FH72" s="433"/>
      <c r="FI72" s="433"/>
      <c r="FJ72" s="433"/>
      <c r="FK72" s="433"/>
      <c r="FL72" s="433"/>
      <c r="FM72" s="433"/>
      <c r="FN72" s="433"/>
      <c r="FO72" s="433"/>
      <c r="FP72" s="433"/>
      <c r="FQ72" s="433"/>
      <c r="FR72" s="433"/>
      <c r="FS72" s="433"/>
      <c r="FT72" s="433"/>
      <c r="FU72" s="433"/>
      <c r="FV72" s="433"/>
      <c r="FW72" s="433"/>
      <c r="FX72" s="433"/>
      <c r="FY72" s="433"/>
      <c r="FZ72" s="433"/>
      <c r="GA72" s="433"/>
      <c r="GB72" s="433"/>
      <c r="GC72" s="433"/>
      <c r="GD72" s="433"/>
      <c r="GE72" s="433"/>
      <c r="GF72" s="433"/>
      <c r="GG72" s="433"/>
      <c r="GH72" s="433"/>
      <c r="GI72" s="433"/>
      <c r="GJ72" s="433"/>
      <c r="GK72" s="433"/>
      <c r="GL72" s="433"/>
      <c r="GM72" s="433"/>
      <c r="GN72" s="433"/>
      <c r="GO72" s="433"/>
      <c r="GP72" s="433"/>
      <c r="GQ72" s="433"/>
      <c r="GR72" s="433"/>
      <c r="GS72" s="433"/>
      <c r="GT72" s="433"/>
      <c r="GU72" s="433"/>
      <c r="GV72" s="433"/>
      <c r="GW72" s="433"/>
      <c r="GX72" s="433"/>
      <c r="GY72" s="433"/>
      <c r="GZ72" s="433"/>
      <c r="HA72" s="433"/>
      <c r="HB72" s="433"/>
      <c r="HC72" s="433"/>
      <c r="HD72" s="433"/>
      <c r="HE72" s="433"/>
      <c r="HF72" s="433"/>
      <c r="HG72" s="433"/>
      <c r="HH72" s="433"/>
      <c r="HI72" s="433"/>
      <c r="HJ72" s="433"/>
      <c r="HK72" s="433"/>
      <c r="HL72" s="433"/>
      <c r="HM72" s="433"/>
      <c r="HN72" s="433"/>
      <c r="HO72" s="433"/>
      <c r="HP72" s="433"/>
      <c r="HQ72" s="433"/>
      <c r="HR72" s="433"/>
      <c r="HS72" s="433"/>
      <c r="HT72" s="433"/>
      <c r="HU72" s="433"/>
      <c r="HV72" s="433"/>
      <c r="HW72" s="433"/>
      <c r="HX72" s="433"/>
      <c r="HY72" s="433"/>
      <c r="HZ72" s="433"/>
      <c r="IA72" s="433"/>
      <c r="IB72" s="433"/>
      <c r="IC72" s="433"/>
      <c r="ID72" s="433"/>
      <c r="IE72" s="433"/>
      <c r="IF72" s="433"/>
      <c r="IG72" s="433"/>
      <c r="IH72" s="433"/>
      <c r="II72" s="433"/>
      <c r="IJ72" s="433"/>
      <c r="IK72" s="433"/>
      <c r="IL72" s="433"/>
      <c r="IM72" s="433"/>
      <c r="IN72" s="433"/>
      <c r="IO72" s="433"/>
      <c r="IP72" s="433"/>
      <c r="IQ72" s="433"/>
      <c r="IR72" s="433"/>
      <c r="IS72" s="433"/>
      <c r="IT72" s="433"/>
      <c r="IU72" s="433"/>
      <c r="IV72" s="433"/>
      <c r="IW72" s="433"/>
      <c r="IX72" s="433"/>
      <c r="IY72" s="433"/>
      <c r="IZ72" s="433"/>
      <c r="JA72" s="433"/>
      <c r="JB72" s="433"/>
      <c r="JC72" s="433"/>
      <c r="JD72" s="433"/>
      <c r="JE72" s="433"/>
      <c r="JF72" s="433"/>
      <c r="JG72" s="433"/>
      <c r="JH72" s="433"/>
      <c r="JI72" s="433"/>
      <c r="JJ72" s="433"/>
      <c r="JK72" s="433"/>
      <c r="JL72" s="433"/>
      <c r="JM72" s="433"/>
      <c r="JN72" s="433"/>
      <c r="JO72" s="433"/>
      <c r="JP72" s="433"/>
      <c r="JQ72" s="433"/>
      <c r="JR72" s="433"/>
      <c r="JS72" s="433"/>
      <c r="JT72" s="433"/>
      <c r="JU72" s="433"/>
      <c r="JV72" s="433"/>
      <c r="JW72" s="433"/>
      <c r="JX72" s="433"/>
      <c r="JY72" s="433"/>
      <c r="JZ72" s="433"/>
      <c r="KA72" s="433"/>
      <c r="KB72" s="433"/>
      <c r="KC72" s="433"/>
      <c r="KD72" s="433"/>
      <c r="KE72" s="433"/>
      <c r="KF72" s="433"/>
      <c r="KG72" s="433"/>
      <c r="KH72" s="433"/>
      <c r="KI72" s="433"/>
      <c r="KJ72" s="433"/>
      <c r="KK72" s="433"/>
      <c r="KL72" s="433"/>
      <c r="KM72" s="433"/>
      <c r="KN72" s="433"/>
      <c r="KO72" s="433"/>
      <c r="KP72" s="433"/>
      <c r="KQ72" s="433"/>
      <c r="KR72" s="433"/>
      <c r="KS72" s="433"/>
      <c r="KT72" s="433"/>
      <c r="KU72" s="433"/>
      <c r="KV72" s="433"/>
      <c r="KW72" s="433"/>
      <c r="KX72" s="433"/>
      <c r="KY72" s="433"/>
      <c r="KZ72" s="433"/>
      <c r="LA72" s="433"/>
      <c r="LB72" s="433"/>
      <c r="LC72" s="433"/>
      <c r="LD72" s="433"/>
      <c r="LE72" s="433"/>
      <c r="LF72" s="433"/>
      <c r="LG72" s="433"/>
      <c r="LH72" s="433"/>
      <c r="LI72" s="433"/>
      <c r="LJ72" s="433"/>
      <c r="LK72" s="433"/>
      <c r="LL72" s="433"/>
      <c r="LM72" s="433"/>
      <c r="LN72" s="433"/>
      <c r="LO72" s="433"/>
      <c r="LP72" s="433"/>
      <c r="LQ72" s="433"/>
      <c r="LR72" s="433"/>
      <c r="LS72" s="433"/>
      <c r="LT72" s="433"/>
      <c r="LU72" s="433"/>
      <c r="LV72" s="433"/>
      <c r="LW72" s="433"/>
      <c r="LX72" s="433"/>
      <c r="LY72" s="433"/>
      <c r="LZ72" s="433"/>
      <c r="MA72" s="433"/>
      <c r="MB72" s="433"/>
      <c r="MC72" s="433"/>
      <c r="MD72" s="433"/>
      <c r="ME72" s="433"/>
      <c r="MF72" s="433"/>
      <c r="MG72" s="433"/>
      <c r="MH72" s="433"/>
      <c r="MI72" s="433"/>
      <c r="MJ72" s="433"/>
      <c r="MK72" s="433"/>
      <c r="ML72" s="433"/>
      <c r="MM72" s="433"/>
      <c r="MN72" s="433"/>
      <c r="MO72" s="433"/>
      <c r="MP72" s="433"/>
      <c r="MQ72" s="433"/>
      <c r="MR72" s="433"/>
      <c r="MS72" s="433"/>
      <c r="MT72" s="433"/>
      <c r="MU72" s="433"/>
      <c r="MV72" s="433"/>
      <c r="MW72" s="433"/>
      <c r="MX72" s="433"/>
      <c r="MY72" s="433"/>
      <c r="MZ72" s="433"/>
      <c r="NA72" s="433"/>
      <c r="NB72" s="433"/>
      <c r="NC72" s="433"/>
      <c r="ND72" s="433"/>
      <c r="NE72" s="433"/>
      <c r="NF72" s="433"/>
      <c r="NG72" s="433"/>
      <c r="NH72" s="433"/>
      <c r="NI72" s="433"/>
      <c r="NJ72" s="433"/>
      <c r="NK72" s="433"/>
      <c r="NL72" s="433"/>
      <c r="NM72" s="433"/>
      <c r="NN72" s="433"/>
      <c r="NO72" s="433"/>
      <c r="NP72" s="433"/>
      <c r="NQ72" s="433"/>
      <c r="NR72" s="433"/>
      <c r="NS72" s="433"/>
      <c r="NT72" s="433"/>
      <c r="NU72" s="433"/>
      <c r="NV72" s="433"/>
      <c r="NW72" s="433"/>
      <c r="NX72" s="433"/>
      <c r="NY72" s="433"/>
      <c r="NZ72" s="433"/>
      <c r="OA72" s="433"/>
      <c r="OB72" s="433"/>
      <c r="OC72" s="433"/>
      <c r="OD72" s="433"/>
      <c r="OE72" s="433"/>
      <c r="OF72" s="433"/>
      <c r="OG72" s="433"/>
      <c r="OH72" s="433"/>
      <c r="OI72" s="433"/>
      <c r="OJ72" s="433"/>
      <c r="OK72" s="433"/>
      <c r="OL72" s="433"/>
      <c r="OM72" s="433"/>
      <c r="ON72" s="433"/>
      <c r="OO72" s="433"/>
      <c r="OP72" s="433"/>
      <c r="OQ72" s="433"/>
      <c r="OR72" s="433"/>
      <c r="OS72" s="433"/>
      <c r="OT72" s="433"/>
      <c r="OU72" s="433"/>
      <c r="OV72" s="433"/>
      <c r="OW72" s="433"/>
      <c r="OX72" s="433"/>
      <c r="OY72" s="433"/>
      <c r="OZ72" s="433"/>
      <c r="PA72" s="433"/>
      <c r="PB72" s="433"/>
      <c r="PC72" s="433"/>
      <c r="PD72" s="433"/>
      <c r="PE72" s="433"/>
      <c r="PF72" s="433"/>
      <c r="PG72" s="433"/>
      <c r="PH72" s="433"/>
      <c r="PI72" s="433"/>
      <c r="PJ72" s="433"/>
      <c r="PK72" s="433"/>
      <c r="PL72" s="433"/>
      <c r="PM72" s="433"/>
      <c r="PN72" s="433"/>
      <c r="PO72" s="433"/>
      <c r="PP72" s="433"/>
      <c r="PQ72" s="433"/>
      <c r="PR72" s="433"/>
      <c r="PS72" s="433"/>
      <c r="PT72" s="433"/>
      <c r="PU72" s="433"/>
      <c r="PV72" s="433"/>
      <c r="PW72" s="433"/>
      <c r="PX72" s="433"/>
      <c r="PY72" s="433"/>
      <c r="PZ72" s="433"/>
      <c r="QA72" s="433"/>
      <c r="QB72" s="433"/>
      <c r="QC72" s="433"/>
      <c r="QD72" s="433"/>
      <c r="QE72" s="433"/>
      <c r="QF72" s="433"/>
      <c r="QG72" s="433"/>
      <c r="QH72" s="433"/>
      <c r="QI72" s="433"/>
      <c r="QJ72" s="433"/>
      <c r="QK72" s="433"/>
      <c r="QL72" s="433"/>
      <c r="QM72" s="433"/>
      <c r="QN72" s="433"/>
      <c r="QO72" s="433"/>
      <c r="QP72" s="433"/>
      <c r="QQ72" s="433"/>
      <c r="QR72" s="433"/>
      <c r="QS72" s="433"/>
      <c r="QT72" s="433"/>
      <c r="QU72" s="433"/>
      <c r="QV72" s="433"/>
      <c r="QW72" s="433"/>
      <c r="QX72" s="433"/>
      <c r="QY72" s="433"/>
      <c r="QZ72" s="433"/>
      <c r="RA72" s="433"/>
      <c r="RB72" s="433"/>
      <c r="RC72" s="433"/>
      <c r="RD72" s="433"/>
      <c r="RE72" s="433"/>
      <c r="RF72" s="433"/>
      <c r="RG72" s="433"/>
      <c r="RH72" s="433"/>
      <c r="RI72" s="433"/>
      <c r="RJ72" s="433"/>
      <c r="RK72" s="433"/>
      <c r="RL72" s="433"/>
      <c r="RM72" s="433"/>
      <c r="RN72" s="433"/>
      <c r="RO72" s="433"/>
      <c r="RP72" s="433"/>
      <c r="RQ72" s="433"/>
      <c r="RR72" s="433"/>
      <c r="RS72" s="433"/>
      <c r="RT72" s="433"/>
      <c r="RU72" s="433"/>
      <c r="RV72" s="433"/>
      <c r="RW72" s="433"/>
      <c r="RX72" s="433"/>
      <c r="RY72" s="433"/>
      <c r="RZ72" s="433"/>
      <c r="SA72" s="433"/>
      <c r="SB72" s="433"/>
      <c r="SC72" s="433"/>
      <c r="SD72" s="433"/>
      <c r="SE72" s="433"/>
      <c r="SF72" s="433"/>
      <c r="SG72" s="433"/>
      <c r="SH72" s="433"/>
      <c r="SI72" s="433"/>
      <c r="SJ72" s="433"/>
      <c r="SK72" s="433"/>
      <c r="SL72" s="433"/>
      <c r="SM72" s="433"/>
      <c r="SN72" s="433"/>
      <c r="SO72" s="433"/>
      <c r="SP72" s="433"/>
      <c r="SQ72" s="433"/>
      <c r="SR72" s="433"/>
      <c r="SS72" s="433"/>
      <c r="ST72" s="433"/>
      <c r="SU72" s="433"/>
      <c r="SV72" s="433"/>
      <c r="SW72" s="433"/>
      <c r="SX72" s="433"/>
      <c r="SY72" s="433"/>
      <c r="SZ72" s="433"/>
      <c r="TA72" s="433"/>
      <c r="TB72" s="433"/>
      <c r="TC72" s="433"/>
      <c r="TD72" s="433"/>
      <c r="TE72" s="433"/>
      <c r="TF72" s="433"/>
      <c r="TG72" s="433"/>
      <c r="TH72" s="433"/>
      <c r="TI72" s="433"/>
      <c r="TJ72" s="433"/>
      <c r="TK72" s="433"/>
      <c r="TL72" s="433"/>
      <c r="TM72" s="433"/>
      <c r="TN72" s="433"/>
      <c r="TO72" s="433"/>
      <c r="TP72" s="433"/>
      <c r="TQ72" s="433"/>
      <c r="TR72" s="433"/>
      <c r="TS72" s="433"/>
      <c r="TT72" s="433"/>
      <c r="TU72" s="433"/>
      <c r="TV72" s="433"/>
      <c r="TW72" s="433"/>
      <c r="TX72" s="433"/>
      <c r="TY72" s="433"/>
      <c r="TZ72" s="433"/>
      <c r="UA72" s="433"/>
      <c r="UB72" s="433"/>
      <c r="UC72" s="433"/>
      <c r="UD72" s="433"/>
      <c r="UE72" s="433"/>
      <c r="UF72" s="433"/>
      <c r="UG72" s="433"/>
      <c r="UH72" s="433"/>
      <c r="UI72" s="433"/>
      <c r="UJ72" s="433"/>
      <c r="UK72" s="433"/>
      <c r="UL72" s="433"/>
      <c r="UM72" s="433"/>
      <c r="UN72" s="433"/>
      <c r="UO72" s="433"/>
      <c r="UP72" s="433"/>
      <c r="UQ72" s="433"/>
      <c r="UR72" s="433"/>
      <c r="US72" s="433"/>
      <c r="UT72" s="433"/>
      <c r="UU72" s="433"/>
      <c r="UV72" s="433"/>
      <c r="UW72" s="433"/>
      <c r="UX72" s="433"/>
      <c r="UY72" s="433"/>
      <c r="UZ72" s="433"/>
      <c r="VA72" s="433"/>
      <c r="VB72" s="433"/>
      <c r="VC72" s="433"/>
      <c r="VD72" s="433"/>
      <c r="VE72" s="433"/>
      <c r="VF72" s="433"/>
      <c r="VG72" s="433"/>
      <c r="VH72" s="433"/>
      <c r="VI72" s="433"/>
      <c r="VJ72" s="433"/>
      <c r="VK72" s="433"/>
      <c r="VL72" s="433"/>
      <c r="VM72" s="433"/>
      <c r="VN72" s="433"/>
      <c r="VO72" s="433"/>
      <c r="VP72" s="433"/>
      <c r="VQ72" s="433"/>
      <c r="VR72" s="433"/>
      <c r="VS72" s="433"/>
      <c r="VT72" s="433"/>
      <c r="VU72" s="433"/>
      <c r="VV72" s="433"/>
      <c r="VW72" s="433"/>
      <c r="VX72" s="433"/>
      <c r="VY72" s="433"/>
      <c r="VZ72" s="433"/>
      <c r="WA72" s="433"/>
      <c r="WB72" s="433"/>
      <c r="WC72" s="433"/>
      <c r="WD72" s="433"/>
      <c r="WE72" s="433"/>
      <c r="WF72" s="433"/>
      <c r="WG72" s="433"/>
      <c r="WH72" s="433"/>
      <c r="WI72" s="433"/>
      <c r="WJ72" s="433"/>
      <c r="WK72" s="433"/>
      <c r="WL72" s="433"/>
      <c r="WM72" s="433"/>
      <c r="WN72" s="433"/>
      <c r="WO72" s="433"/>
      <c r="WP72" s="433"/>
      <c r="WQ72" s="433"/>
      <c r="WR72" s="433"/>
      <c r="WS72" s="433"/>
      <c r="WT72" s="433"/>
      <c r="WU72" s="433"/>
      <c r="WV72" s="433"/>
      <c r="WW72" s="433"/>
      <c r="WX72" s="433"/>
      <c r="WY72" s="433"/>
      <c r="WZ72" s="433"/>
      <c r="XA72" s="433"/>
      <c r="XB72" s="433"/>
      <c r="XC72" s="433"/>
      <c r="XD72" s="433"/>
      <c r="XE72" s="433"/>
      <c r="XF72" s="433"/>
      <c r="XG72" s="433"/>
      <c r="XH72" s="433"/>
      <c r="XI72" s="433"/>
      <c r="XJ72" s="433"/>
      <c r="XK72" s="433"/>
      <c r="XL72" s="433"/>
      <c r="XM72" s="433"/>
      <c r="XN72" s="433"/>
      <c r="XO72" s="433"/>
      <c r="XP72" s="433"/>
      <c r="XQ72" s="433"/>
      <c r="XR72" s="433"/>
      <c r="XS72" s="433"/>
      <c r="XT72" s="433"/>
      <c r="XU72" s="433"/>
      <c r="XV72" s="433"/>
      <c r="XW72" s="433"/>
      <c r="XX72" s="433"/>
      <c r="XY72" s="433"/>
      <c r="XZ72" s="433"/>
      <c r="YA72" s="433"/>
      <c r="YB72" s="433"/>
      <c r="YC72" s="433"/>
      <c r="YD72" s="433"/>
      <c r="YE72" s="433"/>
      <c r="YF72" s="433"/>
      <c r="YG72" s="433"/>
      <c r="YH72" s="433"/>
      <c r="YI72" s="433"/>
      <c r="YJ72" s="433"/>
      <c r="YK72" s="433"/>
      <c r="YL72" s="433"/>
      <c r="YM72" s="433"/>
      <c r="YN72" s="433"/>
      <c r="YO72" s="433"/>
      <c r="YP72" s="433"/>
      <c r="YQ72" s="433"/>
      <c r="YR72" s="433"/>
      <c r="YS72" s="433"/>
      <c r="YT72" s="433"/>
      <c r="YU72" s="433"/>
      <c r="YV72" s="433"/>
      <c r="YW72" s="433"/>
      <c r="YX72" s="433"/>
      <c r="YY72" s="433"/>
      <c r="YZ72" s="433"/>
      <c r="ZA72" s="433"/>
      <c r="ZB72" s="433"/>
      <c r="ZC72" s="433"/>
      <c r="ZD72" s="433"/>
      <c r="ZE72" s="433"/>
      <c r="ZF72" s="433"/>
      <c r="ZG72" s="433"/>
      <c r="ZH72" s="433"/>
      <c r="ZI72" s="433"/>
      <c r="ZJ72" s="433"/>
      <c r="ZK72" s="433"/>
      <c r="ZL72" s="433"/>
      <c r="ZM72" s="433"/>
      <c r="ZN72" s="433"/>
      <c r="ZO72" s="433"/>
      <c r="ZP72" s="433"/>
      <c r="ZQ72" s="433"/>
      <c r="ZR72" s="433"/>
      <c r="ZS72" s="433"/>
      <c r="ZT72" s="433"/>
      <c r="ZU72" s="433"/>
      <c r="ZV72" s="433"/>
      <c r="ZW72" s="433"/>
      <c r="ZX72" s="433"/>
      <c r="ZY72" s="433"/>
      <c r="ZZ72" s="433"/>
      <c r="AAA72" s="433"/>
      <c r="AAB72" s="433"/>
      <c r="AAC72" s="433"/>
      <c r="AAD72" s="433"/>
      <c r="AAE72" s="433"/>
      <c r="AAF72" s="433"/>
      <c r="AAG72" s="433"/>
      <c r="AAH72" s="433"/>
      <c r="AAI72" s="433"/>
      <c r="AAJ72" s="433"/>
      <c r="AAK72" s="433"/>
      <c r="AAL72" s="433"/>
      <c r="AAM72" s="433"/>
      <c r="AAN72" s="433"/>
      <c r="AAO72" s="433"/>
      <c r="AAP72" s="433"/>
      <c r="AAQ72" s="433"/>
      <c r="AAR72" s="433"/>
      <c r="AAS72" s="433"/>
      <c r="AAT72" s="433"/>
      <c r="AAU72" s="433"/>
      <c r="AAV72" s="433"/>
      <c r="AAW72" s="433"/>
      <c r="AAX72" s="433"/>
      <c r="AAY72" s="433"/>
      <c r="AAZ72" s="433"/>
      <c r="ABA72" s="433"/>
      <c r="ABB72" s="433"/>
      <c r="ABC72" s="433"/>
      <c r="ABD72" s="433"/>
      <c r="ABE72" s="433"/>
      <c r="ABF72" s="433"/>
      <c r="ABG72" s="433"/>
      <c r="ABH72" s="433"/>
      <c r="ABI72" s="433"/>
      <c r="ABJ72" s="433"/>
      <c r="ABK72" s="433"/>
      <c r="ABL72" s="433"/>
      <c r="ABM72" s="433"/>
      <c r="ABN72" s="433"/>
      <c r="ABO72" s="433"/>
      <c r="ABP72" s="433"/>
      <c r="ABQ72" s="433"/>
      <c r="ABR72" s="433"/>
      <c r="ABS72" s="433"/>
      <c r="ABT72" s="433"/>
      <c r="ABU72" s="433"/>
      <c r="ABV72" s="433"/>
      <c r="ABW72" s="433"/>
      <c r="ABX72" s="433"/>
      <c r="ABY72" s="433"/>
      <c r="ABZ72" s="433"/>
      <c r="ACA72" s="433"/>
      <c r="ACB72" s="433"/>
      <c r="ACC72" s="433"/>
      <c r="ACD72" s="433"/>
      <c r="ACE72" s="433"/>
      <c r="ACF72" s="433"/>
      <c r="ACG72" s="433"/>
      <c r="ACH72" s="433"/>
      <c r="ACI72" s="433"/>
      <c r="ACJ72" s="433"/>
      <c r="ACK72" s="433"/>
      <c r="ACL72" s="433"/>
      <c r="ACM72" s="433"/>
      <c r="ACN72" s="433"/>
      <c r="ACO72" s="433"/>
      <c r="ACP72" s="433"/>
      <c r="ACQ72" s="433"/>
      <c r="ACR72" s="433"/>
      <c r="ACS72" s="433"/>
      <c r="ACT72" s="433"/>
      <c r="ACU72" s="433"/>
      <c r="ACV72" s="433"/>
      <c r="ACW72" s="433"/>
      <c r="ACX72" s="433"/>
      <c r="ACY72" s="433"/>
      <c r="ACZ72" s="433"/>
      <c r="ADA72" s="433"/>
      <c r="ADB72" s="433"/>
      <c r="ADC72" s="433"/>
      <c r="ADD72" s="433"/>
      <c r="ADE72" s="433"/>
      <c r="ADF72" s="433"/>
      <c r="ADG72" s="433"/>
      <c r="ADH72" s="433"/>
      <c r="ADI72" s="433"/>
      <c r="ADJ72" s="433"/>
      <c r="ADK72" s="433"/>
      <c r="ADL72" s="433"/>
      <c r="ADM72" s="433"/>
      <c r="ADN72" s="433"/>
      <c r="ADO72" s="433"/>
      <c r="ADP72" s="433"/>
      <c r="ADQ72" s="433"/>
      <c r="ADR72" s="433"/>
      <c r="ADS72" s="433"/>
      <c r="ADT72" s="433"/>
      <c r="ADU72" s="433"/>
      <c r="ADV72" s="433"/>
      <c r="ADW72" s="433"/>
      <c r="ADX72" s="433"/>
      <c r="ADY72" s="433"/>
      <c r="ADZ72" s="433"/>
      <c r="AEA72" s="433"/>
      <c r="AEB72" s="433"/>
      <c r="AEC72" s="433"/>
      <c r="AED72" s="433"/>
      <c r="AEE72" s="433"/>
      <c r="AEF72" s="433"/>
      <c r="AEG72" s="433"/>
      <c r="AEH72" s="433"/>
      <c r="AEI72" s="433"/>
      <c r="AEJ72" s="433"/>
      <c r="AEK72" s="433"/>
      <c r="AEL72" s="433"/>
      <c r="AEM72" s="433"/>
      <c r="AEN72" s="433"/>
      <c r="AEO72" s="433"/>
      <c r="AEP72" s="433"/>
      <c r="AEQ72" s="433"/>
      <c r="AER72" s="433"/>
      <c r="AES72" s="433"/>
      <c r="AET72" s="433"/>
      <c r="AEU72" s="433"/>
      <c r="AEV72" s="433"/>
      <c r="AEW72" s="433"/>
      <c r="AEX72" s="433"/>
      <c r="AEY72" s="433"/>
      <c r="AEZ72" s="433"/>
      <c r="AFA72" s="433"/>
      <c r="AFB72" s="433"/>
      <c r="AFC72" s="433"/>
      <c r="AFD72" s="433"/>
      <c r="AFE72" s="433"/>
      <c r="AFF72" s="433"/>
      <c r="AFG72" s="433"/>
      <c r="AFH72" s="433"/>
      <c r="AFI72" s="433"/>
      <c r="AFJ72" s="433"/>
      <c r="AFK72" s="433"/>
      <c r="AFL72" s="433"/>
      <c r="AFM72" s="433"/>
      <c r="AFN72" s="433"/>
      <c r="AFO72" s="433"/>
      <c r="AFP72" s="433"/>
      <c r="AFQ72" s="433"/>
      <c r="AFR72" s="433"/>
      <c r="AFS72" s="433"/>
      <c r="AFT72" s="433"/>
      <c r="AFU72" s="433"/>
      <c r="AFV72" s="433"/>
      <c r="AFW72" s="433"/>
      <c r="AFX72" s="433"/>
      <c r="AFY72" s="433"/>
      <c r="AFZ72" s="433"/>
      <c r="AGA72" s="433"/>
      <c r="AGB72" s="433"/>
      <c r="AGC72" s="433"/>
      <c r="AGD72" s="433"/>
      <c r="AGE72" s="433"/>
      <c r="AGF72" s="433"/>
      <c r="AGG72" s="433"/>
      <c r="AGH72" s="433"/>
      <c r="AGI72" s="433"/>
      <c r="AGJ72" s="433"/>
    </row>
    <row r="73" spans="1:868" s="1" customFormat="1">
      <c r="A73" s="633" t="s">
        <v>118</v>
      </c>
      <c r="B73" s="777" t="s">
        <v>424</v>
      </c>
      <c r="C73" s="34" t="s">
        <v>139</v>
      </c>
      <c r="D73" s="122" t="s">
        <v>99</v>
      </c>
      <c r="E73" s="618">
        <f t="shared" si="22"/>
        <v>4.6596254548681999E-2</v>
      </c>
      <c r="F73" s="9">
        <v>1</v>
      </c>
      <c r="G73" s="9" t="s">
        <v>412</v>
      </c>
      <c r="H73" s="10">
        <v>1</v>
      </c>
      <c r="I73" s="10">
        <v>2</v>
      </c>
      <c r="J73" s="10">
        <v>2</v>
      </c>
      <c r="K73" s="10">
        <v>1</v>
      </c>
      <c r="L73" s="10">
        <v>1</v>
      </c>
      <c r="M73" s="10">
        <v>2</v>
      </c>
      <c r="N73" s="402">
        <f t="shared" si="25"/>
        <v>0.35859414261160716</v>
      </c>
      <c r="O73" s="402">
        <f t="shared" si="26"/>
        <v>0.37356464144298934</v>
      </c>
      <c r="P73" s="43"/>
      <c r="Q73" s="433"/>
      <c r="R73" s="433"/>
      <c r="S73" s="433"/>
      <c r="T73" s="433"/>
      <c r="U73" s="433"/>
      <c r="V73" s="433"/>
      <c r="W73" s="433"/>
      <c r="X73" s="433"/>
      <c r="Y73" s="433"/>
      <c r="Z73" s="433"/>
      <c r="AA73" s="433"/>
      <c r="AB73" s="433"/>
      <c r="AC73" s="433"/>
      <c r="AD73" s="433"/>
      <c r="AE73" s="433"/>
      <c r="AF73" s="433"/>
      <c r="AG73" s="433"/>
      <c r="AH73" s="433"/>
      <c r="AI73" s="433"/>
      <c r="AJ73" s="433"/>
      <c r="AK73" s="433"/>
      <c r="AL73" s="433"/>
      <c r="AM73" s="433"/>
      <c r="AN73" s="433"/>
      <c r="AO73" s="433"/>
      <c r="AP73" s="433"/>
      <c r="AQ73" s="433"/>
      <c r="AR73" s="433"/>
      <c r="AS73" s="433"/>
      <c r="AT73" s="433"/>
      <c r="AU73" s="433"/>
      <c r="AV73" s="433"/>
      <c r="AW73" s="433"/>
      <c r="AX73" s="433"/>
      <c r="AY73" s="433"/>
      <c r="AZ73" s="433"/>
      <c r="BA73" s="433"/>
      <c r="BB73" s="433"/>
      <c r="BC73" s="433"/>
      <c r="BD73" s="433"/>
      <c r="BE73" s="433"/>
      <c r="BF73" s="433"/>
      <c r="BG73" s="433"/>
      <c r="BH73" s="433"/>
      <c r="BI73" s="433"/>
      <c r="BJ73" s="433"/>
      <c r="BK73" s="433"/>
      <c r="BL73" s="433"/>
      <c r="BM73" s="433"/>
      <c r="BN73" s="433"/>
      <c r="BO73" s="433"/>
      <c r="BP73" s="433"/>
      <c r="BQ73" s="433"/>
      <c r="BR73" s="433"/>
      <c r="BS73" s="433"/>
      <c r="BT73" s="433"/>
      <c r="BU73" s="433"/>
      <c r="BV73" s="433"/>
      <c r="BW73" s="433"/>
      <c r="BX73" s="433"/>
      <c r="BY73" s="433"/>
      <c r="BZ73" s="433"/>
      <c r="CA73" s="433"/>
      <c r="CB73" s="433"/>
      <c r="CC73" s="433"/>
      <c r="CD73" s="433"/>
      <c r="CE73" s="433"/>
      <c r="CF73" s="433"/>
      <c r="CG73" s="433"/>
      <c r="CH73" s="433"/>
      <c r="CI73" s="433"/>
      <c r="CJ73" s="433"/>
      <c r="CK73" s="433"/>
      <c r="CL73" s="433"/>
      <c r="CM73" s="433"/>
      <c r="CN73" s="433"/>
      <c r="CO73" s="433"/>
      <c r="CP73" s="433"/>
      <c r="CQ73" s="433"/>
      <c r="CR73" s="433"/>
      <c r="CS73" s="433"/>
      <c r="CT73" s="433"/>
      <c r="CU73" s="433"/>
      <c r="CV73" s="433"/>
      <c r="CW73" s="433"/>
      <c r="CX73" s="433"/>
      <c r="CY73" s="433"/>
      <c r="CZ73" s="433"/>
      <c r="DA73" s="433"/>
      <c r="DB73" s="433"/>
      <c r="DC73" s="433"/>
      <c r="DD73" s="433"/>
      <c r="DE73" s="433"/>
      <c r="DF73" s="433"/>
      <c r="DG73" s="433"/>
      <c r="DH73" s="433"/>
      <c r="DI73" s="433"/>
      <c r="DJ73" s="433"/>
      <c r="DK73" s="433"/>
      <c r="DL73" s="433"/>
      <c r="DM73" s="433"/>
      <c r="DN73" s="433"/>
      <c r="DO73" s="433"/>
      <c r="DP73" s="433"/>
      <c r="DQ73" s="433"/>
      <c r="DR73" s="433"/>
      <c r="DS73" s="433"/>
      <c r="DT73" s="433"/>
      <c r="DU73" s="433"/>
      <c r="DV73" s="433"/>
      <c r="DW73" s="433"/>
      <c r="DX73" s="433"/>
      <c r="DY73" s="433"/>
      <c r="DZ73" s="433"/>
      <c r="EA73" s="433"/>
      <c r="EB73" s="433"/>
      <c r="EC73" s="433"/>
      <c r="ED73" s="433"/>
      <c r="EE73" s="433"/>
      <c r="EF73" s="433"/>
      <c r="EG73" s="433"/>
      <c r="EH73" s="433"/>
      <c r="EI73" s="433"/>
      <c r="EJ73" s="433"/>
      <c r="EK73" s="433"/>
      <c r="EL73" s="433"/>
      <c r="EM73" s="433"/>
      <c r="EN73" s="433"/>
      <c r="EO73" s="433"/>
      <c r="EP73" s="433"/>
      <c r="EQ73" s="433"/>
      <c r="ER73" s="433"/>
      <c r="ES73" s="433"/>
      <c r="ET73" s="433"/>
      <c r="EU73" s="433"/>
      <c r="EV73" s="433"/>
      <c r="EW73" s="433"/>
      <c r="EX73" s="433"/>
      <c r="EY73" s="433"/>
      <c r="EZ73" s="433"/>
      <c r="FA73" s="433"/>
      <c r="FB73" s="433"/>
      <c r="FC73" s="433"/>
      <c r="FD73" s="433"/>
      <c r="FE73" s="433"/>
      <c r="FF73" s="433"/>
      <c r="FG73" s="433"/>
      <c r="FH73" s="433"/>
      <c r="FI73" s="433"/>
      <c r="FJ73" s="433"/>
      <c r="FK73" s="433"/>
      <c r="FL73" s="433"/>
      <c r="FM73" s="433"/>
      <c r="FN73" s="433"/>
      <c r="FO73" s="433"/>
      <c r="FP73" s="433"/>
      <c r="FQ73" s="433"/>
      <c r="FR73" s="433"/>
      <c r="FS73" s="433"/>
      <c r="FT73" s="433"/>
      <c r="FU73" s="433"/>
      <c r="FV73" s="433"/>
      <c r="FW73" s="433"/>
      <c r="FX73" s="433"/>
      <c r="FY73" s="433"/>
      <c r="FZ73" s="433"/>
      <c r="GA73" s="433"/>
      <c r="GB73" s="433"/>
      <c r="GC73" s="433"/>
      <c r="GD73" s="433"/>
      <c r="GE73" s="433"/>
      <c r="GF73" s="433"/>
      <c r="GG73" s="433"/>
      <c r="GH73" s="433"/>
      <c r="GI73" s="433"/>
      <c r="GJ73" s="433"/>
      <c r="GK73" s="433"/>
      <c r="GL73" s="433"/>
      <c r="GM73" s="433"/>
      <c r="GN73" s="433"/>
      <c r="GO73" s="433"/>
      <c r="GP73" s="433"/>
      <c r="GQ73" s="433"/>
      <c r="GR73" s="433"/>
      <c r="GS73" s="433"/>
      <c r="GT73" s="433"/>
      <c r="GU73" s="433"/>
      <c r="GV73" s="433"/>
      <c r="GW73" s="433"/>
      <c r="GX73" s="433"/>
      <c r="GY73" s="433"/>
      <c r="GZ73" s="433"/>
      <c r="HA73" s="433"/>
      <c r="HB73" s="433"/>
      <c r="HC73" s="433"/>
      <c r="HD73" s="433"/>
      <c r="HE73" s="433"/>
      <c r="HF73" s="433"/>
      <c r="HG73" s="433"/>
      <c r="HH73" s="433"/>
      <c r="HI73" s="433"/>
      <c r="HJ73" s="433"/>
      <c r="HK73" s="433"/>
      <c r="HL73" s="433"/>
      <c r="HM73" s="433"/>
      <c r="HN73" s="433"/>
      <c r="HO73" s="433"/>
      <c r="HP73" s="433"/>
      <c r="HQ73" s="433"/>
      <c r="HR73" s="433"/>
      <c r="HS73" s="433"/>
      <c r="HT73" s="433"/>
      <c r="HU73" s="433"/>
      <c r="HV73" s="433"/>
      <c r="HW73" s="433"/>
      <c r="HX73" s="433"/>
      <c r="HY73" s="433"/>
      <c r="HZ73" s="433"/>
      <c r="IA73" s="433"/>
      <c r="IB73" s="433"/>
      <c r="IC73" s="433"/>
      <c r="ID73" s="433"/>
      <c r="IE73" s="433"/>
      <c r="IF73" s="433"/>
      <c r="IG73" s="433"/>
      <c r="IH73" s="433"/>
      <c r="II73" s="433"/>
      <c r="IJ73" s="433"/>
      <c r="IK73" s="433"/>
      <c r="IL73" s="433"/>
      <c r="IM73" s="433"/>
      <c r="IN73" s="433"/>
      <c r="IO73" s="433"/>
      <c r="IP73" s="433"/>
      <c r="IQ73" s="433"/>
      <c r="IR73" s="433"/>
      <c r="IS73" s="433"/>
      <c r="IT73" s="433"/>
      <c r="IU73" s="433"/>
      <c r="IV73" s="433"/>
      <c r="IW73" s="433"/>
      <c r="IX73" s="433"/>
      <c r="IY73" s="433"/>
      <c r="IZ73" s="433"/>
      <c r="JA73" s="433"/>
      <c r="JB73" s="433"/>
      <c r="JC73" s="433"/>
      <c r="JD73" s="433"/>
      <c r="JE73" s="433"/>
      <c r="JF73" s="433"/>
      <c r="JG73" s="433"/>
      <c r="JH73" s="433"/>
      <c r="JI73" s="433"/>
      <c r="JJ73" s="433"/>
      <c r="JK73" s="433"/>
      <c r="JL73" s="433"/>
      <c r="JM73" s="433"/>
      <c r="JN73" s="433"/>
      <c r="JO73" s="433"/>
      <c r="JP73" s="433"/>
      <c r="JQ73" s="433"/>
      <c r="JR73" s="433"/>
      <c r="JS73" s="433"/>
      <c r="JT73" s="433"/>
      <c r="JU73" s="433"/>
      <c r="JV73" s="433"/>
      <c r="JW73" s="433"/>
      <c r="JX73" s="433"/>
      <c r="JY73" s="433"/>
      <c r="JZ73" s="433"/>
      <c r="KA73" s="433"/>
      <c r="KB73" s="433"/>
      <c r="KC73" s="433"/>
      <c r="KD73" s="433"/>
      <c r="KE73" s="433"/>
      <c r="KF73" s="433"/>
      <c r="KG73" s="433"/>
      <c r="KH73" s="433"/>
      <c r="KI73" s="433"/>
      <c r="KJ73" s="433"/>
      <c r="KK73" s="433"/>
      <c r="KL73" s="433"/>
      <c r="KM73" s="433"/>
      <c r="KN73" s="433"/>
      <c r="KO73" s="433"/>
      <c r="KP73" s="433"/>
      <c r="KQ73" s="433"/>
      <c r="KR73" s="433"/>
      <c r="KS73" s="433"/>
      <c r="KT73" s="433"/>
      <c r="KU73" s="433"/>
      <c r="KV73" s="433"/>
      <c r="KW73" s="433"/>
      <c r="KX73" s="433"/>
      <c r="KY73" s="433"/>
      <c r="KZ73" s="433"/>
      <c r="LA73" s="433"/>
      <c r="LB73" s="433"/>
      <c r="LC73" s="433"/>
      <c r="LD73" s="433"/>
      <c r="LE73" s="433"/>
      <c r="LF73" s="433"/>
      <c r="LG73" s="433"/>
      <c r="LH73" s="433"/>
      <c r="LI73" s="433"/>
      <c r="LJ73" s="433"/>
      <c r="LK73" s="433"/>
      <c r="LL73" s="433"/>
      <c r="LM73" s="433"/>
      <c r="LN73" s="433"/>
      <c r="LO73" s="433"/>
      <c r="LP73" s="433"/>
      <c r="LQ73" s="433"/>
      <c r="LR73" s="433"/>
      <c r="LS73" s="433"/>
      <c r="LT73" s="433"/>
      <c r="LU73" s="433"/>
      <c r="LV73" s="433"/>
      <c r="LW73" s="433"/>
      <c r="LX73" s="433"/>
      <c r="LY73" s="433"/>
      <c r="LZ73" s="433"/>
      <c r="MA73" s="433"/>
      <c r="MB73" s="433"/>
      <c r="MC73" s="433"/>
      <c r="MD73" s="433"/>
      <c r="ME73" s="433"/>
      <c r="MF73" s="433"/>
      <c r="MG73" s="433"/>
      <c r="MH73" s="433"/>
      <c r="MI73" s="433"/>
      <c r="MJ73" s="433"/>
      <c r="MK73" s="433"/>
      <c r="ML73" s="433"/>
      <c r="MM73" s="433"/>
      <c r="MN73" s="433"/>
      <c r="MO73" s="433"/>
      <c r="MP73" s="433"/>
      <c r="MQ73" s="433"/>
      <c r="MR73" s="433"/>
      <c r="MS73" s="433"/>
      <c r="MT73" s="433"/>
      <c r="MU73" s="433"/>
      <c r="MV73" s="433"/>
      <c r="MW73" s="433"/>
      <c r="MX73" s="433"/>
      <c r="MY73" s="433"/>
      <c r="MZ73" s="433"/>
      <c r="NA73" s="433"/>
      <c r="NB73" s="433"/>
      <c r="NC73" s="433"/>
      <c r="ND73" s="433"/>
      <c r="NE73" s="433"/>
      <c r="NF73" s="433"/>
      <c r="NG73" s="433"/>
      <c r="NH73" s="433"/>
      <c r="NI73" s="433"/>
      <c r="NJ73" s="433"/>
      <c r="NK73" s="433"/>
      <c r="NL73" s="433"/>
      <c r="NM73" s="433"/>
      <c r="NN73" s="433"/>
      <c r="NO73" s="433"/>
      <c r="NP73" s="433"/>
      <c r="NQ73" s="433"/>
      <c r="NR73" s="433"/>
      <c r="NS73" s="433"/>
      <c r="NT73" s="433"/>
      <c r="NU73" s="433"/>
      <c r="NV73" s="433"/>
      <c r="NW73" s="433"/>
      <c r="NX73" s="433"/>
      <c r="NY73" s="433"/>
      <c r="NZ73" s="433"/>
      <c r="OA73" s="433"/>
      <c r="OB73" s="433"/>
      <c r="OC73" s="433"/>
      <c r="OD73" s="433"/>
      <c r="OE73" s="433"/>
      <c r="OF73" s="433"/>
      <c r="OG73" s="433"/>
      <c r="OH73" s="433"/>
      <c r="OI73" s="433"/>
      <c r="OJ73" s="433"/>
      <c r="OK73" s="433"/>
      <c r="OL73" s="433"/>
      <c r="OM73" s="433"/>
      <c r="ON73" s="433"/>
      <c r="OO73" s="433"/>
      <c r="OP73" s="433"/>
      <c r="OQ73" s="433"/>
      <c r="OR73" s="433"/>
      <c r="OS73" s="433"/>
      <c r="OT73" s="433"/>
      <c r="OU73" s="433"/>
      <c r="OV73" s="433"/>
      <c r="OW73" s="433"/>
      <c r="OX73" s="433"/>
      <c r="OY73" s="433"/>
      <c r="OZ73" s="433"/>
      <c r="PA73" s="433"/>
      <c r="PB73" s="433"/>
      <c r="PC73" s="433"/>
      <c r="PD73" s="433"/>
      <c r="PE73" s="433"/>
      <c r="PF73" s="433"/>
      <c r="PG73" s="433"/>
      <c r="PH73" s="433"/>
      <c r="PI73" s="433"/>
      <c r="PJ73" s="433"/>
      <c r="PK73" s="433"/>
      <c r="PL73" s="433"/>
      <c r="PM73" s="433"/>
      <c r="PN73" s="433"/>
      <c r="PO73" s="433"/>
      <c r="PP73" s="433"/>
      <c r="PQ73" s="433"/>
      <c r="PR73" s="433"/>
      <c r="PS73" s="433"/>
      <c r="PT73" s="433"/>
      <c r="PU73" s="433"/>
      <c r="PV73" s="433"/>
      <c r="PW73" s="433"/>
      <c r="PX73" s="433"/>
      <c r="PY73" s="433"/>
      <c r="PZ73" s="433"/>
      <c r="QA73" s="433"/>
      <c r="QB73" s="433"/>
      <c r="QC73" s="433"/>
      <c r="QD73" s="433"/>
      <c r="QE73" s="433"/>
      <c r="QF73" s="433"/>
      <c r="QG73" s="433"/>
      <c r="QH73" s="433"/>
      <c r="QI73" s="433"/>
      <c r="QJ73" s="433"/>
      <c r="QK73" s="433"/>
      <c r="QL73" s="433"/>
      <c r="QM73" s="433"/>
      <c r="QN73" s="433"/>
      <c r="QO73" s="433"/>
      <c r="QP73" s="433"/>
      <c r="QQ73" s="433"/>
      <c r="QR73" s="433"/>
      <c r="QS73" s="433"/>
      <c r="QT73" s="433"/>
      <c r="QU73" s="433"/>
      <c r="QV73" s="433"/>
      <c r="QW73" s="433"/>
      <c r="QX73" s="433"/>
      <c r="QY73" s="433"/>
      <c r="QZ73" s="433"/>
      <c r="RA73" s="433"/>
      <c r="RB73" s="433"/>
      <c r="RC73" s="433"/>
      <c r="RD73" s="433"/>
      <c r="RE73" s="433"/>
      <c r="RF73" s="433"/>
      <c r="RG73" s="433"/>
      <c r="RH73" s="433"/>
      <c r="RI73" s="433"/>
      <c r="RJ73" s="433"/>
      <c r="RK73" s="433"/>
      <c r="RL73" s="433"/>
      <c r="RM73" s="433"/>
      <c r="RN73" s="433"/>
      <c r="RO73" s="433"/>
      <c r="RP73" s="433"/>
      <c r="RQ73" s="433"/>
      <c r="RR73" s="433"/>
      <c r="RS73" s="433"/>
      <c r="RT73" s="433"/>
      <c r="RU73" s="433"/>
      <c r="RV73" s="433"/>
      <c r="RW73" s="433"/>
      <c r="RX73" s="433"/>
      <c r="RY73" s="433"/>
      <c r="RZ73" s="433"/>
      <c r="SA73" s="433"/>
      <c r="SB73" s="433"/>
      <c r="SC73" s="433"/>
      <c r="SD73" s="433"/>
      <c r="SE73" s="433"/>
      <c r="SF73" s="433"/>
      <c r="SG73" s="433"/>
      <c r="SH73" s="433"/>
      <c r="SI73" s="433"/>
      <c r="SJ73" s="433"/>
      <c r="SK73" s="433"/>
      <c r="SL73" s="433"/>
      <c r="SM73" s="433"/>
      <c r="SN73" s="433"/>
      <c r="SO73" s="433"/>
      <c r="SP73" s="433"/>
      <c r="SQ73" s="433"/>
      <c r="SR73" s="433"/>
      <c r="SS73" s="433"/>
      <c r="ST73" s="433"/>
      <c r="SU73" s="433"/>
      <c r="SV73" s="433"/>
      <c r="SW73" s="433"/>
      <c r="SX73" s="433"/>
      <c r="SY73" s="433"/>
      <c r="SZ73" s="433"/>
      <c r="TA73" s="433"/>
      <c r="TB73" s="433"/>
      <c r="TC73" s="433"/>
      <c r="TD73" s="433"/>
      <c r="TE73" s="433"/>
      <c r="TF73" s="433"/>
      <c r="TG73" s="433"/>
      <c r="TH73" s="433"/>
      <c r="TI73" s="433"/>
      <c r="TJ73" s="433"/>
      <c r="TK73" s="433"/>
      <c r="TL73" s="433"/>
      <c r="TM73" s="433"/>
      <c r="TN73" s="433"/>
      <c r="TO73" s="433"/>
      <c r="TP73" s="433"/>
      <c r="TQ73" s="433"/>
      <c r="TR73" s="433"/>
      <c r="TS73" s="433"/>
      <c r="TT73" s="433"/>
      <c r="TU73" s="433"/>
      <c r="TV73" s="433"/>
      <c r="TW73" s="433"/>
      <c r="TX73" s="433"/>
      <c r="TY73" s="433"/>
      <c r="TZ73" s="433"/>
      <c r="UA73" s="433"/>
      <c r="UB73" s="433"/>
      <c r="UC73" s="433"/>
      <c r="UD73" s="433"/>
      <c r="UE73" s="433"/>
      <c r="UF73" s="433"/>
      <c r="UG73" s="433"/>
      <c r="UH73" s="433"/>
      <c r="UI73" s="433"/>
      <c r="UJ73" s="433"/>
      <c r="UK73" s="433"/>
      <c r="UL73" s="433"/>
      <c r="UM73" s="433"/>
      <c r="UN73" s="433"/>
      <c r="UO73" s="433"/>
      <c r="UP73" s="433"/>
      <c r="UQ73" s="433"/>
      <c r="UR73" s="433"/>
      <c r="US73" s="433"/>
      <c r="UT73" s="433"/>
      <c r="UU73" s="433"/>
      <c r="UV73" s="433"/>
      <c r="UW73" s="433"/>
      <c r="UX73" s="433"/>
      <c r="UY73" s="433"/>
      <c r="UZ73" s="433"/>
      <c r="VA73" s="433"/>
      <c r="VB73" s="433"/>
      <c r="VC73" s="433"/>
      <c r="VD73" s="433"/>
      <c r="VE73" s="433"/>
      <c r="VF73" s="433"/>
      <c r="VG73" s="433"/>
      <c r="VH73" s="433"/>
      <c r="VI73" s="433"/>
      <c r="VJ73" s="433"/>
      <c r="VK73" s="433"/>
      <c r="VL73" s="433"/>
      <c r="VM73" s="433"/>
      <c r="VN73" s="433"/>
      <c r="VO73" s="433"/>
      <c r="VP73" s="433"/>
      <c r="VQ73" s="433"/>
      <c r="VR73" s="433"/>
      <c r="VS73" s="433"/>
      <c r="VT73" s="433"/>
      <c r="VU73" s="433"/>
      <c r="VV73" s="433"/>
      <c r="VW73" s="433"/>
      <c r="VX73" s="433"/>
      <c r="VY73" s="433"/>
      <c r="VZ73" s="433"/>
      <c r="WA73" s="433"/>
      <c r="WB73" s="433"/>
      <c r="WC73" s="433"/>
      <c r="WD73" s="433"/>
      <c r="WE73" s="433"/>
      <c r="WF73" s="433"/>
      <c r="WG73" s="433"/>
      <c r="WH73" s="433"/>
      <c r="WI73" s="433"/>
      <c r="WJ73" s="433"/>
      <c r="WK73" s="433"/>
      <c r="WL73" s="433"/>
      <c r="WM73" s="433"/>
      <c r="WN73" s="433"/>
      <c r="WO73" s="433"/>
      <c r="WP73" s="433"/>
      <c r="WQ73" s="433"/>
      <c r="WR73" s="433"/>
      <c r="WS73" s="433"/>
      <c r="WT73" s="433"/>
      <c r="WU73" s="433"/>
      <c r="WV73" s="433"/>
      <c r="WW73" s="433"/>
      <c r="WX73" s="433"/>
      <c r="WY73" s="433"/>
      <c r="WZ73" s="433"/>
      <c r="XA73" s="433"/>
      <c r="XB73" s="433"/>
      <c r="XC73" s="433"/>
      <c r="XD73" s="433"/>
      <c r="XE73" s="433"/>
      <c r="XF73" s="433"/>
      <c r="XG73" s="433"/>
      <c r="XH73" s="433"/>
      <c r="XI73" s="433"/>
      <c r="XJ73" s="433"/>
      <c r="XK73" s="433"/>
      <c r="XL73" s="433"/>
      <c r="XM73" s="433"/>
      <c r="XN73" s="433"/>
      <c r="XO73" s="433"/>
      <c r="XP73" s="433"/>
      <c r="XQ73" s="433"/>
      <c r="XR73" s="433"/>
      <c r="XS73" s="433"/>
      <c r="XT73" s="433"/>
      <c r="XU73" s="433"/>
      <c r="XV73" s="433"/>
      <c r="XW73" s="433"/>
      <c r="XX73" s="433"/>
      <c r="XY73" s="433"/>
      <c r="XZ73" s="433"/>
      <c r="YA73" s="433"/>
      <c r="YB73" s="433"/>
      <c r="YC73" s="433"/>
      <c r="YD73" s="433"/>
      <c r="YE73" s="433"/>
      <c r="YF73" s="433"/>
      <c r="YG73" s="433"/>
      <c r="YH73" s="433"/>
      <c r="YI73" s="433"/>
      <c r="YJ73" s="433"/>
      <c r="YK73" s="433"/>
      <c r="YL73" s="433"/>
      <c r="YM73" s="433"/>
      <c r="YN73" s="433"/>
      <c r="YO73" s="433"/>
      <c r="YP73" s="433"/>
      <c r="YQ73" s="433"/>
      <c r="YR73" s="433"/>
      <c r="YS73" s="433"/>
      <c r="YT73" s="433"/>
      <c r="YU73" s="433"/>
      <c r="YV73" s="433"/>
      <c r="YW73" s="433"/>
      <c r="YX73" s="433"/>
      <c r="YY73" s="433"/>
      <c r="YZ73" s="433"/>
      <c r="ZA73" s="433"/>
      <c r="ZB73" s="433"/>
      <c r="ZC73" s="433"/>
      <c r="ZD73" s="433"/>
      <c r="ZE73" s="433"/>
      <c r="ZF73" s="433"/>
      <c r="ZG73" s="433"/>
      <c r="ZH73" s="433"/>
      <c r="ZI73" s="433"/>
      <c r="ZJ73" s="433"/>
      <c r="ZK73" s="433"/>
      <c r="ZL73" s="433"/>
      <c r="ZM73" s="433"/>
      <c r="ZN73" s="433"/>
      <c r="ZO73" s="433"/>
      <c r="ZP73" s="433"/>
      <c r="ZQ73" s="433"/>
      <c r="ZR73" s="433"/>
      <c r="ZS73" s="433"/>
      <c r="ZT73" s="433"/>
      <c r="ZU73" s="433"/>
      <c r="ZV73" s="433"/>
      <c r="ZW73" s="433"/>
      <c r="ZX73" s="433"/>
      <c r="ZY73" s="433"/>
      <c r="ZZ73" s="433"/>
      <c r="AAA73" s="433"/>
      <c r="AAB73" s="433"/>
      <c r="AAC73" s="433"/>
      <c r="AAD73" s="433"/>
      <c r="AAE73" s="433"/>
      <c r="AAF73" s="433"/>
      <c r="AAG73" s="433"/>
      <c r="AAH73" s="433"/>
      <c r="AAI73" s="433"/>
      <c r="AAJ73" s="433"/>
      <c r="AAK73" s="433"/>
      <c r="AAL73" s="433"/>
      <c r="AAM73" s="433"/>
      <c r="AAN73" s="433"/>
      <c r="AAO73" s="433"/>
      <c r="AAP73" s="433"/>
      <c r="AAQ73" s="433"/>
      <c r="AAR73" s="433"/>
      <c r="AAS73" s="433"/>
      <c r="AAT73" s="433"/>
      <c r="AAU73" s="433"/>
      <c r="AAV73" s="433"/>
      <c r="AAW73" s="433"/>
      <c r="AAX73" s="433"/>
      <c r="AAY73" s="433"/>
      <c r="AAZ73" s="433"/>
      <c r="ABA73" s="433"/>
      <c r="ABB73" s="433"/>
      <c r="ABC73" s="433"/>
      <c r="ABD73" s="433"/>
      <c r="ABE73" s="433"/>
      <c r="ABF73" s="433"/>
      <c r="ABG73" s="433"/>
      <c r="ABH73" s="433"/>
      <c r="ABI73" s="433"/>
      <c r="ABJ73" s="433"/>
      <c r="ABK73" s="433"/>
      <c r="ABL73" s="433"/>
      <c r="ABM73" s="433"/>
      <c r="ABN73" s="433"/>
      <c r="ABO73" s="433"/>
      <c r="ABP73" s="433"/>
      <c r="ABQ73" s="433"/>
      <c r="ABR73" s="433"/>
      <c r="ABS73" s="433"/>
      <c r="ABT73" s="433"/>
      <c r="ABU73" s="433"/>
      <c r="ABV73" s="433"/>
      <c r="ABW73" s="433"/>
      <c r="ABX73" s="433"/>
      <c r="ABY73" s="433"/>
      <c r="ABZ73" s="433"/>
      <c r="ACA73" s="433"/>
      <c r="ACB73" s="433"/>
      <c r="ACC73" s="433"/>
      <c r="ACD73" s="433"/>
      <c r="ACE73" s="433"/>
      <c r="ACF73" s="433"/>
      <c r="ACG73" s="433"/>
      <c r="ACH73" s="433"/>
      <c r="ACI73" s="433"/>
      <c r="ACJ73" s="433"/>
      <c r="ACK73" s="433"/>
      <c r="ACL73" s="433"/>
      <c r="ACM73" s="433"/>
      <c r="ACN73" s="433"/>
      <c r="ACO73" s="433"/>
      <c r="ACP73" s="433"/>
      <c r="ACQ73" s="433"/>
      <c r="ACR73" s="433"/>
      <c r="ACS73" s="433"/>
      <c r="ACT73" s="433"/>
      <c r="ACU73" s="433"/>
      <c r="ACV73" s="433"/>
      <c r="ACW73" s="433"/>
      <c r="ACX73" s="433"/>
      <c r="ACY73" s="433"/>
      <c r="ACZ73" s="433"/>
      <c r="ADA73" s="433"/>
      <c r="ADB73" s="433"/>
      <c r="ADC73" s="433"/>
      <c r="ADD73" s="433"/>
      <c r="ADE73" s="433"/>
      <c r="ADF73" s="433"/>
      <c r="ADG73" s="433"/>
      <c r="ADH73" s="433"/>
      <c r="ADI73" s="433"/>
      <c r="ADJ73" s="433"/>
      <c r="ADK73" s="433"/>
      <c r="ADL73" s="433"/>
      <c r="ADM73" s="433"/>
      <c r="ADN73" s="433"/>
      <c r="ADO73" s="433"/>
      <c r="ADP73" s="433"/>
      <c r="ADQ73" s="433"/>
      <c r="ADR73" s="433"/>
      <c r="ADS73" s="433"/>
      <c r="ADT73" s="433"/>
      <c r="ADU73" s="433"/>
      <c r="ADV73" s="433"/>
      <c r="ADW73" s="433"/>
      <c r="ADX73" s="433"/>
      <c r="ADY73" s="433"/>
      <c r="ADZ73" s="433"/>
      <c r="AEA73" s="433"/>
      <c r="AEB73" s="433"/>
      <c r="AEC73" s="433"/>
      <c r="AED73" s="433"/>
      <c r="AEE73" s="433"/>
      <c r="AEF73" s="433"/>
      <c r="AEG73" s="433"/>
      <c r="AEH73" s="433"/>
      <c r="AEI73" s="433"/>
      <c r="AEJ73" s="433"/>
      <c r="AEK73" s="433"/>
      <c r="AEL73" s="433"/>
      <c r="AEM73" s="433"/>
      <c r="AEN73" s="433"/>
      <c r="AEO73" s="433"/>
      <c r="AEP73" s="433"/>
      <c r="AEQ73" s="433"/>
      <c r="AER73" s="433"/>
      <c r="AES73" s="433"/>
      <c r="AET73" s="433"/>
      <c r="AEU73" s="433"/>
      <c r="AEV73" s="433"/>
      <c r="AEW73" s="433"/>
      <c r="AEX73" s="433"/>
      <c r="AEY73" s="433"/>
      <c r="AEZ73" s="433"/>
      <c r="AFA73" s="433"/>
      <c r="AFB73" s="433"/>
      <c r="AFC73" s="433"/>
      <c r="AFD73" s="433"/>
      <c r="AFE73" s="433"/>
      <c r="AFF73" s="433"/>
      <c r="AFG73" s="433"/>
      <c r="AFH73" s="433"/>
      <c r="AFI73" s="433"/>
      <c r="AFJ73" s="433"/>
      <c r="AFK73" s="433"/>
      <c r="AFL73" s="433"/>
      <c r="AFM73" s="433"/>
      <c r="AFN73" s="433"/>
      <c r="AFO73" s="433"/>
      <c r="AFP73" s="433"/>
      <c r="AFQ73" s="433"/>
      <c r="AFR73" s="433"/>
      <c r="AFS73" s="433"/>
      <c r="AFT73" s="433"/>
      <c r="AFU73" s="433"/>
      <c r="AFV73" s="433"/>
      <c r="AFW73" s="433"/>
      <c r="AFX73" s="433"/>
      <c r="AFY73" s="433"/>
      <c r="AFZ73" s="433"/>
      <c r="AGA73" s="433"/>
      <c r="AGB73" s="433"/>
      <c r="AGC73" s="433"/>
      <c r="AGD73" s="433"/>
      <c r="AGE73" s="433"/>
      <c r="AGF73" s="433"/>
      <c r="AGG73" s="433"/>
      <c r="AGH73" s="433"/>
      <c r="AGI73" s="433"/>
      <c r="AGJ73" s="433"/>
    </row>
    <row r="74" spans="1:868" s="1" customFormat="1" ht="15" thickBot="1">
      <c r="A74" s="632" t="s">
        <v>118</v>
      </c>
      <c r="B74" s="781" t="s">
        <v>425</v>
      </c>
      <c r="C74" s="34" t="s">
        <v>139</v>
      </c>
      <c r="D74" s="123" t="s">
        <v>99</v>
      </c>
      <c r="E74" s="745">
        <f t="shared" si="22"/>
        <v>5.5915505458418391E-2</v>
      </c>
      <c r="F74" s="12">
        <v>1</v>
      </c>
      <c r="G74" s="12" t="s">
        <v>412</v>
      </c>
      <c r="H74" s="14">
        <v>1</v>
      </c>
      <c r="I74" s="14">
        <v>2</v>
      </c>
      <c r="J74" s="14">
        <v>2</v>
      </c>
      <c r="K74" s="14">
        <v>1</v>
      </c>
      <c r="L74" s="14">
        <v>1</v>
      </c>
      <c r="M74" s="14">
        <v>2</v>
      </c>
      <c r="N74" s="425">
        <f t="shared" si="25"/>
        <v>0.35859414261160716</v>
      </c>
      <c r="O74" s="425">
        <f t="shared" si="26"/>
        <v>0.37356464144298934</v>
      </c>
      <c r="P74" s="44"/>
      <c r="Q74" s="433"/>
      <c r="R74" s="433"/>
      <c r="S74" s="433"/>
      <c r="T74" s="433"/>
      <c r="U74" s="433"/>
      <c r="V74" s="433"/>
      <c r="W74" s="433"/>
      <c r="X74" s="433"/>
      <c r="Y74" s="433"/>
      <c r="Z74" s="433"/>
      <c r="AA74" s="433"/>
      <c r="AB74" s="433"/>
      <c r="AC74" s="433"/>
      <c r="AD74" s="433"/>
      <c r="AE74" s="433"/>
      <c r="AF74" s="433"/>
      <c r="AG74" s="433"/>
      <c r="AH74" s="433"/>
      <c r="AI74" s="433"/>
      <c r="AJ74" s="433"/>
      <c r="AK74" s="433"/>
      <c r="AL74" s="433"/>
      <c r="AM74" s="433"/>
      <c r="AN74" s="433"/>
      <c r="AO74" s="433"/>
      <c r="AP74" s="433"/>
      <c r="AQ74" s="433"/>
      <c r="AR74" s="433"/>
      <c r="AS74" s="433"/>
      <c r="AT74" s="433"/>
      <c r="AU74" s="433"/>
      <c r="AV74" s="433"/>
      <c r="AW74" s="433"/>
      <c r="AX74" s="433"/>
      <c r="AY74" s="433"/>
      <c r="AZ74" s="433"/>
      <c r="BA74" s="433"/>
      <c r="BB74" s="433"/>
      <c r="BC74" s="433"/>
      <c r="BD74" s="433"/>
      <c r="BE74" s="433"/>
      <c r="BF74" s="433"/>
      <c r="BG74" s="433"/>
      <c r="BH74" s="433"/>
      <c r="BI74" s="433"/>
      <c r="BJ74" s="433"/>
      <c r="BK74" s="433"/>
      <c r="BL74" s="433"/>
      <c r="BM74" s="433"/>
      <c r="BN74" s="433"/>
      <c r="BO74" s="433"/>
      <c r="BP74" s="433"/>
      <c r="BQ74" s="433"/>
      <c r="BR74" s="433"/>
      <c r="BS74" s="433"/>
      <c r="BT74" s="433"/>
      <c r="BU74" s="433"/>
      <c r="BV74" s="433"/>
      <c r="BW74" s="433"/>
      <c r="BX74" s="433"/>
      <c r="BY74" s="433"/>
      <c r="BZ74" s="433"/>
      <c r="CA74" s="433"/>
      <c r="CB74" s="433"/>
      <c r="CC74" s="433"/>
      <c r="CD74" s="433"/>
      <c r="CE74" s="433"/>
      <c r="CF74" s="433"/>
      <c r="CG74" s="433"/>
      <c r="CH74" s="433"/>
      <c r="CI74" s="433"/>
      <c r="CJ74" s="433"/>
      <c r="CK74" s="433"/>
      <c r="CL74" s="433"/>
      <c r="CM74" s="433"/>
      <c r="CN74" s="433"/>
      <c r="CO74" s="433"/>
      <c r="CP74" s="433"/>
      <c r="CQ74" s="433"/>
      <c r="CR74" s="433"/>
      <c r="CS74" s="433"/>
      <c r="CT74" s="433"/>
      <c r="CU74" s="433"/>
      <c r="CV74" s="433"/>
      <c r="CW74" s="433"/>
      <c r="CX74" s="433"/>
      <c r="CY74" s="433"/>
      <c r="CZ74" s="433"/>
      <c r="DA74" s="433"/>
      <c r="DB74" s="433"/>
      <c r="DC74" s="433"/>
      <c r="DD74" s="433"/>
      <c r="DE74" s="433"/>
      <c r="DF74" s="433"/>
      <c r="DG74" s="433"/>
      <c r="DH74" s="433"/>
      <c r="DI74" s="433"/>
      <c r="DJ74" s="433"/>
      <c r="DK74" s="433"/>
      <c r="DL74" s="433"/>
      <c r="DM74" s="433"/>
      <c r="DN74" s="433"/>
      <c r="DO74" s="433"/>
      <c r="DP74" s="433"/>
      <c r="DQ74" s="433"/>
      <c r="DR74" s="433"/>
      <c r="DS74" s="433"/>
      <c r="DT74" s="433"/>
      <c r="DU74" s="433"/>
      <c r="DV74" s="433"/>
      <c r="DW74" s="433"/>
      <c r="DX74" s="433"/>
      <c r="DY74" s="433"/>
      <c r="DZ74" s="433"/>
      <c r="EA74" s="433"/>
      <c r="EB74" s="433"/>
      <c r="EC74" s="433"/>
      <c r="ED74" s="433"/>
      <c r="EE74" s="433"/>
      <c r="EF74" s="433"/>
      <c r="EG74" s="433"/>
      <c r="EH74" s="433"/>
      <c r="EI74" s="433"/>
      <c r="EJ74" s="433"/>
      <c r="EK74" s="433"/>
      <c r="EL74" s="433"/>
      <c r="EM74" s="433"/>
      <c r="EN74" s="433"/>
      <c r="EO74" s="433"/>
      <c r="EP74" s="433"/>
      <c r="EQ74" s="433"/>
      <c r="ER74" s="433"/>
      <c r="ES74" s="433"/>
      <c r="ET74" s="433"/>
      <c r="EU74" s="433"/>
      <c r="EV74" s="433"/>
      <c r="EW74" s="433"/>
      <c r="EX74" s="433"/>
      <c r="EY74" s="433"/>
      <c r="EZ74" s="433"/>
      <c r="FA74" s="433"/>
      <c r="FB74" s="433"/>
      <c r="FC74" s="433"/>
      <c r="FD74" s="433"/>
      <c r="FE74" s="433"/>
      <c r="FF74" s="433"/>
      <c r="FG74" s="433"/>
      <c r="FH74" s="433"/>
      <c r="FI74" s="433"/>
      <c r="FJ74" s="433"/>
      <c r="FK74" s="433"/>
      <c r="FL74" s="433"/>
      <c r="FM74" s="433"/>
      <c r="FN74" s="433"/>
      <c r="FO74" s="433"/>
      <c r="FP74" s="433"/>
      <c r="FQ74" s="433"/>
      <c r="FR74" s="433"/>
      <c r="FS74" s="433"/>
      <c r="FT74" s="433"/>
      <c r="FU74" s="433"/>
      <c r="FV74" s="433"/>
      <c r="FW74" s="433"/>
      <c r="FX74" s="433"/>
      <c r="FY74" s="433"/>
      <c r="FZ74" s="433"/>
      <c r="GA74" s="433"/>
      <c r="GB74" s="433"/>
      <c r="GC74" s="433"/>
      <c r="GD74" s="433"/>
      <c r="GE74" s="433"/>
      <c r="GF74" s="433"/>
      <c r="GG74" s="433"/>
      <c r="GH74" s="433"/>
      <c r="GI74" s="433"/>
      <c r="GJ74" s="433"/>
      <c r="GK74" s="433"/>
      <c r="GL74" s="433"/>
      <c r="GM74" s="433"/>
      <c r="GN74" s="433"/>
      <c r="GO74" s="433"/>
      <c r="GP74" s="433"/>
      <c r="GQ74" s="433"/>
      <c r="GR74" s="433"/>
      <c r="GS74" s="433"/>
      <c r="GT74" s="433"/>
      <c r="GU74" s="433"/>
      <c r="GV74" s="433"/>
      <c r="GW74" s="433"/>
      <c r="GX74" s="433"/>
      <c r="GY74" s="433"/>
      <c r="GZ74" s="433"/>
      <c r="HA74" s="433"/>
      <c r="HB74" s="433"/>
      <c r="HC74" s="433"/>
      <c r="HD74" s="433"/>
      <c r="HE74" s="433"/>
      <c r="HF74" s="433"/>
      <c r="HG74" s="433"/>
      <c r="HH74" s="433"/>
      <c r="HI74" s="433"/>
      <c r="HJ74" s="433"/>
      <c r="HK74" s="433"/>
      <c r="HL74" s="433"/>
      <c r="HM74" s="433"/>
      <c r="HN74" s="433"/>
      <c r="HO74" s="433"/>
      <c r="HP74" s="433"/>
      <c r="HQ74" s="433"/>
      <c r="HR74" s="433"/>
      <c r="HS74" s="433"/>
      <c r="HT74" s="433"/>
      <c r="HU74" s="433"/>
      <c r="HV74" s="433"/>
      <c r="HW74" s="433"/>
      <c r="HX74" s="433"/>
      <c r="HY74" s="433"/>
      <c r="HZ74" s="433"/>
      <c r="IA74" s="433"/>
      <c r="IB74" s="433"/>
      <c r="IC74" s="433"/>
      <c r="ID74" s="433"/>
      <c r="IE74" s="433"/>
      <c r="IF74" s="433"/>
      <c r="IG74" s="433"/>
      <c r="IH74" s="433"/>
      <c r="II74" s="433"/>
      <c r="IJ74" s="433"/>
      <c r="IK74" s="433"/>
      <c r="IL74" s="433"/>
      <c r="IM74" s="433"/>
      <c r="IN74" s="433"/>
      <c r="IO74" s="433"/>
      <c r="IP74" s="433"/>
      <c r="IQ74" s="433"/>
      <c r="IR74" s="433"/>
      <c r="IS74" s="433"/>
      <c r="IT74" s="433"/>
      <c r="IU74" s="433"/>
      <c r="IV74" s="433"/>
      <c r="IW74" s="433"/>
      <c r="IX74" s="433"/>
      <c r="IY74" s="433"/>
      <c r="IZ74" s="433"/>
      <c r="JA74" s="433"/>
      <c r="JB74" s="433"/>
      <c r="JC74" s="433"/>
      <c r="JD74" s="433"/>
      <c r="JE74" s="433"/>
      <c r="JF74" s="433"/>
      <c r="JG74" s="433"/>
      <c r="JH74" s="433"/>
      <c r="JI74" s="433"/>
      <c r="JJ74" s="433"/>
      <c r="JK74" s="433"/>
      <c r="JL74" s="433"/>
      <c r="JM74" s="433"/>
      <c r="JN74" s="433"/>
      <c r="JO74" s="433"/>
      <c r="JP74" s="433"/>
      <c r="JQ74" s="433"/>
      <c r="JR74" s="433"/>
      <c r="JS74" s="433"/>
      <c r="JT74" s="433"/>
      <c r="JU74" s="433"/>
      <c r="JV74" s="433"/>
      <c r="JW74" s="433"/>
      <c r="JX74" s="433"/>
      <c r="JY74" s="433"/>
      <c r="JZ74" s="433"/>
      <c r="KA74" s="433"/>
      <c r="KB74" s="433"/>
      <c r="KC74" s="433"/>
      <c r="KD74" s="433"/>
      <c r="KE74" s="433"/>
      <c r="KF74" s="433"/>
      <c r="KG74" s="433"/>
      <c r="KH74" s="433"/>
      <c r="KI74" s="433"/>
      <c r="KJ74" s="433"/>
      <c r="KK74" s="433"/>
      <c r="KL74" s="433"/>
      <c r="KM74" s="433"/>
      <c r="KN74" s="433"/>
      <c r="KO74" s="433"/>
      <c r="KP74" s="433"/>
      <c r="KQ74" s="433"/>
      <c r="KR74" s="433"/>
      <c r="KS74" s="433"/>
      <c r="KT74" s="433"/>
      <c r="KU74" s="433"/>
      <c r="KV74" s="433"/>
      <c r="KW74" s="433"/>
      <c r="KX74" s="433"/>
      <c r="KY74" s="433"/>
      <c r="KZ74" s="433"/>
      <c r="LA74" s="433"/>
      <c r="LB74" s="433"/>
      <c r="LC74" s="433"/>
      <c r="LD74" s="433"/>
      <c r="LE74" s="433"/>
      <c r="LF74" s="433"/>
      <c r="LG74" s="433"/>
      <c r="LH74" s="433"/>
      <c r="LI74" s="433"/>
      <c r="LJ74" s="433"/>
      <c r="LK74" s="433"/>
      <c r="LL74" s="433"/>
      <c r="LM74" s="433"/>
      <c r="LN74" s="433"/>
      <c r="LO74" s="433"/>
      <c r="LP74" s="433"/>
      <c r="LQ74" s="433"/>
      <c r="LR74" s="433"/>
      <c r="LS74" s="433"/>
      <c r="LT74" s="433"/>
      <c r="LU74" s="433"/>
      <c r="LV74" s="433"/>
      <c r="LW74" s="433"/>
      <c r="LX74" s="433"/>
      <c r="LY74" s="433"/>
      <c r="LZ74" s="433"/>
      <c r="MA74" s="433"/>
      <c r="MB74" s="433"/>
      <c r="MC74" s="433"/>
      <c r="MD74" s="433"/>
      <c r="ME74" s="433"/>
      <c r="MF74" s="433"/>
      <c r="MG74" s="433"/>
      <c r="MH74" s="433"/>
      <c r="MI74" s="433"/>
      <c r="MJ74" s="433"/>
      <c r="MK74" s="433"/>
      <c r="ML74" s="433"/>
      <c r="MM74" s="433"/>
      <c r="MN74" s="433"/>
      <c r="MO74" s="433"/>
      <c r="MP74" s="433"/>
      <c r="MQ74" s="433"/>
      <c r="MR74" s="433"/>
      <c r="MS74" s="433"/>
      <c r="MT74" s="433"/>
      <c r="MU74" s="433"/>
      <c r="MV74" s="433"/>
      <c r="MW74" s="433"/>
      <c r="MX74" s="433"/>
      <c r="MY74" s="433"/>
      <c r="MZ74" s="433"/>
      <c r="NA74" s="433"/>
      <c r="NB74" s="433"/>
      <c r="NC74" s="433"/>
      <c r="ND74" s="433"/>
      <c r="NE74" s="433"/>
      <c r="NF74" s="433"/>
      <c r="NG74" s="433"/>
      <c r="NH74" s="433"/>
      <c r="NI74" s="433"/>
      <c r="NJ74" s="433"/>
      <c r="NK74" s="433"/>
      <c r="NL74" s="433"/>
      <c r="NM74" s="433"/>
      <c r="NN74" s="433"/>
      <c r="NO74" s="433"/>
      <c r="NP74" s="433"/>
      <c r="NQ74" s="433"/>
      <c r="NR74" s="433"/>
      <c r="NS74" s="433"/>
      <c r="NT74" s="433"/>
      <c r="NU74" s="433"/>
      <c r="NV74" s="433"/>
      <c r="NW74" s="433"/>
      <c r="NX74" s="433"/>
      <c r="NY74" s="433"/>
      <c r="NZ74" s="433"/>
      <c r="OA74" s="433"/>
      <c r="OB74" s="433"/>
      <c r="OC74" s="433"/>
      <c r="OD74" s="433"/>
      <c r="OE74" s="433"/>
      <c r="OF74" s="433"/>
      <c r="OG74" s="433"/>
      <c r="OH74" s="433"/>
      <c r="OI74" s="433"/>
      <c r="OJ74" s="433"/>
      <c r="OK74" s="433"/>
      <c r="OL74" s="433"/>
      <c r="OM74" s="433"/>
      <c r="ON74" s="433"/>
      <c r="OO74" s="433"/>
      <c r="OP74" s="433"/>
      <c r="OQ74" s="433"/>
      <c r="OR74" s="433"/>
      <c r="OS74" s="433"/>
      <c r="OT74" s="433"/>
      <c r="OU74" s="433"/>
      <c r="OV74" s="433"/>
      <c r="OW74" s="433"/>
      <c r="OX74" s="433"/>
      <c r="OY74" s="433"/>
      <c r="OZ74" s="433"/>
      <c r="PA74" s="433"/>
      <c r="PB74" s="433"/>
      <c r="PC74" s="433"/>
      <c r="PD74" s="433"/>
      <c r="PE74" s="433"/>
      <c r="PF74" s="433"/>
      <c r="PG74" s="433"/>
      <c r="PH74" s="433"/>
      <c r="PI74" s="433"/>
      <c r="PJ74" s="433"/>
      <c r="PK74" s="433"/>
      <c r="PL74" s="433"/>
      <c r="PM74" s="433"/>
      <c r="PN74" s="433"/>
      <c r="PO74" s="433"/>
      <c r="PP74" s="433"/>
      <c r="PQ74" s="433"/>
      <c r="PR74" s="433"/>
      <c r="PS74" s="433"/>
      <c r="PT74" s="433"/>
      <c r="PU74" s="433"/>
      <c r="PV74" s="433"/>
      <c r="PW74" s="433"/>
      <c r="PX74" s="433"/>
      <c r="PY74" s="433"/>
      <c r="PZ74" s="433"/>
      <c r="QA74" s="433"/>
      <c r="QB74" s="433"/>
      <c r="QC74" s="433"/>
      <c r="QD74" s="433"/>
      <c r="QE74" s="433"/>
      <c r="QF74" s="433"/>
      <c r="QG74" s="433"/>
      <c r="QH74" s="433"/>
      <c r="QI74" s="433"/>
      <c r="QJ74" s="433"/>
      <c r="QK74" s="433"/>
      <c r="QL74" s="433"/>
      <c r="QM74" s="433"/>
      <c r="QN74" s="433"/>
      <c r="QO74" s="433"/>
      <c r="QP74" s="433"/>
      <c r="QQ74" s="433"/>
      <c r="QR74" s="433"/>
      <c r="QS74" s="433"/>
      <c r="QT74" s="433"/>
      <c r="QU74" s="433"/>
      <c r="QV74" s="433"/>
      <c r="QW74" s="433"/>
      <c r="QX74" s="433"/>
      <c r="QY74" s="433"/>
      <c r="QZ74" s="433"/>
      <c r="RA74" s="433"/>
      <c r="RB74" s="433"/>
      <c r="RC74" s="433"/>
      <c r="RD74" s="433"/>
      <c r="RE74" s="433"/>
      <c r="RF74" s="433"/>
      <c r="RG74" s="433"/>
      <c r="RH74" s="433"/>
      <c r="RI74" s="433"/>
      <c r="RJ74" s="433"/>
      <c r="RK74" s="433"/>
      <c r="RL74" s="433"/>
      <c r="RM74" s="433"/>
      <c r="RN74" s="433"/>
      <c r="RO74" s="433"/>
      <c r="RP74" s="433"/>
      <c r="RQ74" s="433"/>
      <c r="RR74" s="433"/>
      <c r="RS74" s="433"/>
      <c r="RT74" s="433"/>
      <c r="RU74" s="433"/>
      <c r="RV74" s="433"/>
      <c r="RW74" s="433"/>
      <c r="RX74" s="433"/>
      <c r="RY74" s="433"/>
      <c r="RZ74" s="433"/>
      <c r="SA74" s="433"/>
      <c r="SB74" s="433"/>
      <c r="SC74" s="433"/>
      <c r="SD74" s="433"/>
      <c r="SE74" s="433"/>
      <c r="SF74" s="433"/>
      <c r="SG74" s="433"/>
      <c r="SH74" s="433"/>
      <c r="SI74" s="433"/>
      <c r="SJ74" s="433"/>
      <c r="SK74" s="433"/>
      <c r="SL74" s="433"/>
      <c r="SM74" s="433"/>
      <c r="SN74" s="433"/>
      <c r="SO74" s="433"/>
      <c r="SP74" s="433"/>
      <c r="SQ74" s="433"/>
      <c r="SR74" s="433"/>
      <c r="SS74" s="433"/>
      <c r="ST74" s="433"/>
      <c r="SU74" s="433"/>
      <c r="SV74" s="433"/>
      <c r="SW74" s="433"/>
      <c r="SX74" s="433"/>
      <c r="SY74" s="433"/>
      <c r="SZ74" s="433"/>
      <c r="TA74" s="433"/>
      <c r="TB74" s="433"/>
      <c r="TC74" s="433"/>
      <c r="TD74" s="433"/>
      <c r="TE74" s="433"/>
      <c r="TF74" s="433"/>
      <c r="TG74" s="433"/>
      <c r="TH74" s="433"/>
      <c r="TI74" s="433"/>
      <c r="TJ74" s="433"/>
      <c r="TK74" s="433"/>
      <c r="TL74" s="433"/>
      <c r="TM74" s="433"/>
      <c r="TN74" s="433"/>
      <c r="TO74" s="433"/>
      <c r="TP74" s="433"/>
      <c r="TQ74" s="433"/>
      <c r="TR74" s="433"/>
      <c r="TS74" s="433"/>
      <c r="TT74" s="433"/>
      <c r="TU74" s="433"/>
      <c r="TV74" s="433"/>
      <c r="TW74" s="433"/>
      <c r="TX74" s="433"/>
      <c r="TY74" s="433"/>
      <c r="TZ74" s="433"/>
      <c r="UA74" s="433"/>
      <c r="UB74" s="433"/>
      <c r="UC74" s="433"/>
      <c r="UD74" s="433"/>
      <c r="UE74" s="433"/>
      <c r="UF74" s="433"/>
      <c r="UG74" s="433"/>
      <c r="UH74" s="433"/>
      <c r="UI74" s="433"/>
      <c r="UJ74" s="433"/>
      <c r="UK74" s="433"/>
      <c r="UL74" s="433"/>
      <c r="UM74" s="433"/>
      <c r="UN74" s="433"/>
      <c r="UO74" s="433"/>
      <c r="UP74" s="433"/>
      <c r="UQ74" s="433"/>
      <c r="UR74" s="433"/>
      <c r="US74" s="433"/>
      <c r="UT74" s="433"/>
      <c r="UU74" s="433"/>
      <c r="UV74" s="433"/>
      <c r="UW74" s="433"/>
      <c r="UX74" s="433"/>
      <c r="UY74" s="433"/>
      <c r="UZ74" s="433"/>
      <c r="VA74" s="433"/>
      <c r="VB74" s="433"/>
      <c r="VC74" s="433"/>
      <c r="VD74" s="433"/>
      <c r="VE74" s="433"/>
      <c r="VF74" s="433"/>
      <c r="VG74" s="433"/>
      <c r="VH74" s="433"/>
      <c r="VI74" s="433"/>
      <c r="VJ74" s="433"/>
      <c r="VK74" s="433"/>
      <c r="VL74" s="433"/>
      <c r="VM74" s="433"/>
      <c r="VN74" s="433"/>
      <c r="VO74" s="433"/>
      <c r="VP74" s="433"/>
      <c r="VQ74" s="433"/>
      <c r="VR74" s="433"/>
      <c r="VS74" s="433"/>
      <c r="VT74" s="433"/>
      <c r="VU74" s="433"/>
      <c r="VV74" s="433"/>
      <c r="VW74" s="433"/>
      <c r="VX74" s="433"/>
      <c r="VY74" s="433"/>
      <c r="VZ74" s="433"/>
      <c r="WA74" s="433"/>
      <c r="WB74" s="433"/>
      <c r="WC74" s="433"/>
      <c r="WD74" s="433"/>
      <c r="WE74" s="433"/>
      <c r="WF74" s="433"/>
      <c r="WG74" s="433"/>
      <c r="WH74" s="433"/>
      <c r="WI74" s="433"/>
      <c r="WJ74" s="433"/>
      <c r="WK74" s="433"/>
      <c r="WL74" s="433"/>
      <c r="WM74" s="433"/>
      <c r="WN74" s="433"/>
      <c r="WO74" s="433"/>
      <c r="WP74" s="433"/>
      <c r="WQ74" s="433"/>
      <c r="WR74" s="433"/>
      <c r="WS74" s="433"/>
      <c r="WT74" s="433"/>
      <c r="WU74" s="433"/>
      <c r="WV74" s="433"/>
      <c r="WW74" s="433"/>
      <c r="WX74" s="433"/>
      <c r="WY74" s="433"/>
      <c r="WZ74" s="433"/>
      <c r="XA74" s="433"/>
      <c r="XB74" s="433"/>
      <c r="XC74" s="433"/>
      <c r="XD74" s="433"/>
      <c r="XE74" s="433"/>
      <c r="XF74" s="433"/>
      <c r="XG74" s="433"/>
      <c r="XH74" s="433"/>
      <c r="XI74" s="433"/>
      <c r="XJ74" s="433"/>
      <c r="XK74" s="433"/>
      <c r="XL74" s="433"/>
      <c r="XM74" s="433"/>
      <c r="XN74" s="433"/>
      <c r="XO74" s="433"/>
      <c r="XP74" s="433"/>
      <c r="XQ74" s="433"/>
      <c r="XR74" s="433"/>
      <c r="XS74" s="433"/>
      <c r="XT74" s="433"/>
      <c r="XU74" s="433"/>
      <c r="XV74" s="433"/>
      <c r="XW74" s="433"/>
      <c r="XX74" s="433"/>
      <c r="XY74" s="433"/>
      <c r="XZ74" s="433"/>
      <c r="YA74" s="433"/>
      <c r="YB74" s="433"/>
      <c r="YC74" s="433"/>
      <c r="YD74" s="433"/>
      <c r="YE74" s="433"/>
      <c r="YF74" s="433"/>
      <c r="YG74" s="433"/>
      <c r="YH74" s="433"/>
      <c r="YI74" s="433"/>
      <c r="YJ74" s="433"/>
      <c r="YK74" s="433"/>
      <c r="YL74" s="433"/>
      <c r="YM74" s="433"/>
      <c r="YN74" s="433"/>
      <c r="YO74" s="433"/>
      <c r="YP74" s="433"/>
      <c r="YQ74" s="433"/>
      <c r="YR74" s="433"/>
      <c r="YS74" s="433"/>
      <c r="YT74" s="433"/>
      <c r="YU74" s="433"/>
      <c r="YV74" s="433"/>
      <c r="YW74" s="433"/>
      <c r="YX74" s="433"/>
      <c r="YY74" s="433"/>
      <c r="YZ74" s="433"/>
      <c r="ZA74" s="433"/>
      <c r="ZB74" s="433"/>
      <c r="ZC74" s="433"/>
      <c r="ZD74" s="433"/>
      <c r="ZE74" s="433"/>
      <c r="ZF74" s="433"/>
      <c r="ZG74" s="433"/>
      <c r="ZH74" s="433"/>
      <c r="ZI74" s="433"/>
      <c r="ZJ74" s="433"/>
      <c r="ZK74" s="433"/>
      <c r="ZL74" s="433"/>
      <c r="ZM74" s="433"/>
      <c r="ZN74" s="433"/>
      <c r="ZO74" s="433"/>
      <c r="ZP74" s="433"/>
      <c r="ZQ74" s="433"/>
      <c r="ZR74" s="433"/>
      <c r="ZS74" s="433"/>
      <c r="ZT74" s="433"/>
      <c r="ZU74" s="433"/>
      <c r="ZV74" s="433"/>
      <c r="ZW74" s="433"/>
      <c r="ZX74" s="433"/>
      <c r="ZY74" s="433"/>
      <c r="ZZ74" s="433"/>
      <c r="AAA74" s="433"/>
      <c r="AAB74" s="433"/>
      <c r="AAC74" s="433"/>
      <c r="AAD74" s="433"/>
      <c r="AAE74" s="433"/>
      <c r="AAF74" s="433"/>
      <c r="AAG74" s="433"/>
      <c r="AAH74" s="433"/>
      <c r="AAI74" s="433"/>
      <c r="AAJ74" s="433"/>
      <c r="AAK74" s="433"/>
      <c r="AAL74" s="433"/>
      <c r="AAM74" s="433"/>
      <c r="AAN74" s="433"/>
      <c r="AAO74" s="433"/>
      <c r="AAP74" s="433"/>
      <c r="AAQ74" s="433"/>
      <c r="AAR74" s="433"/>
      <c r="AAS74" s="433"/>
      <c r="AAT74" s="433"/>
      <c r="AAU74" s="433"/>
      <c r="AAV74" s="433"/>
      <c r="AAW74" s="433"/>
      <c r="AAX74" s="433"/>
      <c r="AAY74" s="433"/>
      <c r="AAZ74" s="433"/>
      <c r="ABA74" s="433"/>
      <c r="ABB74" s="433"/>
      <c r="ABC74" s="433"/>
      <c r="ABD74" s="433"/>
      <c r="ABE74" s="433"/>
      <c r="ABF74" s="433"/>
      <c r="ABG74" s="433"/>
      <c r="ABH74" s="433"/>
      <c r="ABI74" s="433"/>
      <c r="ABJ74" s="433"/>
      <c r="ABK74" s="433"/>
      <c r="ABL74" s="433"/>
      <c r="ABM74" s="433"/>
      <c r="ABN74" s="433"/>
      <c r="ABO74" s="433"/>
      <c r="ABP74" s="433"/>
      <c r="ABQ74" s="433"/>
      <c r="ABR74" s="433"/>
      <c r="ABS74" s="433"/>
      <c r="ABT74" s="433"/>
      <c r="ABU74" s="433"/>
      <c r="ABV74" s="433"/>
      <c r="ABW74" s="433"/>
      <c r="ABX74" s="433"/>
      <c r="ABY74" s="433"/>
      <c r="ABZ74" s="433"/>
      <c r="ACA74" s="433"/>
      <c r="ACB74" s="433"/>
      <c r="ACC74" s="433"/>
      <c r="ACD74" s="433"/>
      <c r="ACE74" s="433"/>
      <c r="ACF74" s="433"/>
      <c r="ACG74" s="433"/>
      <c r="ACH74" s="433"/>
      <c r="ACI74" s="433"/>
      <c r="ACJ74" s="433"/>
      <c r="ACK74" s="433"/>
      <c r="ACL74" s="433"/>
      <c r="ACM74" s="433"/>
      <c r="ACN74" s="433"/>
      <c r="ACO74" s="433"/>
      <c r="ACP74" s="433"/>
      <c r="ACQ74" s="433"/>
      <c r="ACR74" s="433"/>
      <c r="ACS74" s="433"/>
      <c r="ACT74" s="433"/>
      <c r="ACU74" s="433"/>
      <c r="ACV74" s="433"/>
      <c r="ACW74" s="433"/>
      <c r="ACX74" s="433"/>
      <c r="ACY74" s="433"/>
      <c r="ACZ74" s="433"/>
      <c r="ADA74" s="433"/>
      <c r="ADB74" s="433"/>
      <c r="ADC74" s="433"/>
      <c r="ADD74" s="433"/>
      <c r="ADE74" s="433"/>
      <c r="ADF74" s="433"/>
      <c r="ADG74" s="433"/>
      <c r="ADH74" s="433"/>
      <c r="ADI74" s="433"/>
      <c r="ADJ74" s="433"/>
      <c r="ADK74" s="433"/>
      <c r="ADL74" s="433"/>
      <c r="ADM74" s="433"/>
      <c r="ADN74" s="433"/>
      <c r="ADO74" s="433"/>
      <c r="ADP74" s="433"/>
      <c r="ADQ74" s="433"/>
      <c r="ADR74" s="433"/>
      <c r="ADS74" s="433"/>
      <c r="ADT74" s="433"/>
      <c r="ADU74" s="433"/>
      <c r="ADV74" s="433"/>
      <c r="ADW74" s="433"/>
      <c r="ADX74" s="433"/>
      <c r="ADY74" s="433"/>
      <c r="ADZ74" s="433"/>
      <c r="AEA74" s="433"/>
      <c r="AEB74" s="433"/>
      <c r="AEC74" s="433"/>
      <c r="AED74" s="433"/>
      <c r="AEE74" s="433"/>
      <c r="AEF74" s="433"/>
      <c r="AEG74" s="433"/>
      <c r="AEH74" s="433"/>
      <c r="AEI74" s="433"/>
      <c r="AEJ74" s="433"/>
      <c r="AEK74" s="433"/>
      <c r="AEL74" s="433"/>
      <c r="AEM74" s="433"/>
      <c r="AEN74" s="433"/>
      <c r="AEO74" s="433"/>
      <c r="AEP74" s="433"/>
      <c r="AEQ74" s="433"/>
      <c r="AER74" s="433"/>
      <c r="AES74" s="433"/>
      <c r="AET74" s="433"/>
      <c r="AEU74" s="433"/>
      <c r="AEV74" s="433"/>
      <c r="AEW74" s="433"/>
      <c r="AEX74" s="433"/>
      <c r="AEY74" s="433"/>
      <c r="AEZ74" s="433"/>
      <c r="AFA74" s="433"/>
      <c r="AFB74" s="433"/>
      <c r="AFC74" s="433"/>
      <c r="AFD74" s="433"/>
      <c r="AFE74" s="433"/>
      <c r="AFF74" s="433"/>
      <c r="AFG74" s="433"/>
      <c r="AFH74" s="433"/>
      <c r="AFI74" s="433"/>
      <c r="AFJ74" s="433"/>
      <c r="AFK74" s="433"/>
      <c r="AFL74" s="433"/>
      <c r="AFM74" s="433"/>
      <c r="AFN74" s="433"/>
      <c r="AFO74" s="433"/>
      <c r="AFP74" s="433"/>
      <c r="AFQ74" s="433"/>
      <c r="AFR74" s="433"/>
      <c r="AFS74" s="433"/>
      <c r="AFT74" s="433"/>
      <c r="AFU74" s="433"/>
      <c r="AFV74" s="433"/>
      <c r="AFW74" s="433"/>
      <c r="AFX74" s="433"/>
      <c r="AFY74" s="433"/>
      <c r="AFZ74" s="433"/>
      <c r="AGA74" s="433"/>
      <c r="AGB74" s="433"/>
      <c r="AGC74" s="433"/>
      <c r="AGD74" s="433"/>
      <c r="AGE74" s="433"/>
      <c r="AGF74" s="433"/>
      <c r="AGG74" s="433"/>
      <c r="AGH74" s="433"/>
      <c r="AGI74" s="433"/>
      <c r="AGJ74" s="433"/>
    </row>
    <row r="75" spans="1:868" s="433" customFormat="1">
      <c r="A75" s="634" t="s">
        <v>424</v>
      </c>
      <c r="B75" s="771" t="s">
        <v>426</v>
      </c>
      <c r="C75" s="34" t="s">
        <v>139</v>
      </c>
      <c r="D75" s="611" t="s">
        <v>99</v>
      </c>
      <c r="E75" s="741">
        <v>0.01</v>
      </c>
      <c r="F75" s="118">
        <v>2</v>
      </c>
      <c r="G75" s="118" t="s">
        <v>412</v>
      </c>
      <c r="H75" s="66">
        <v>1</v>
      </c>
      <c r="I75" s="66">
        <v>2</v>
      </c>
      <c r="J75" s="66">
        <v>2</v>
      </c>
      <c r="K75" s="66">
        <v>1</v>
      </c>
      <c r="L75" s="66">
        <v>1</v>
      </c>
      <c r="M75" s="66">
        <v>1</v>
      </c>
      <c r="N75" s="435">
        <f t="shared" si="25"/>
        <v>0.16933510251023262</v>
      </c>
      <c r="O75" s="435">
        <f t="shared" si="26"/>
        <v>0.19908580854301616</v>
      </c>
      <c r="P75" s="118" t="s">
        <v>826</v>
      </c>
    </row>
    <row r="76" spans="1:868" s="433" customFormat="1" ht="15" thickBot="1">
      <c r="A76" s="635" t="s">
        <v>424</v>
      </c>
      <c r="B76" s="772" t="s">
        <v>427</v>
      </c>
      <c r="C76" s="34" t="s">
        <v>139</v>
      </c>
      <c r="D76" s="124" t="s">
        <v>99</v>
      </c>
      <c r="E76" s="746" t="s">
        <v>150</v>
      </c>
      <c r="F76" s="119">
        <v>1</v>
      </c>
      <c r="G76" s="119" t="s">
        <v>412</v>
      </c>
      <c r="H76" s="15"/>
      <c r="I76" s="15"/>
      <c r="J76" s="15"/>
      <c r="K76" s="15"/>
      <c r="L76" s="15"/>
      <c r="M76" s="15"/>
      <c r="N76" s="421" t="str">
        <f t="shared" si="25"/>
        <v/>
      </c>
      <c r="O76" s="421" t="str">
        <f t="shared" si="26"/>
        <v/>
      </c>
      <c r="P76" s="119"/>
    </row>
    <row r="77" spans="1:868" s="433" customFormat="1" ht="15" thickBot="1">
      <c r="A77" s="630" t="s">
        <v>426</v>
      </c>
      <c r="B77" s="782" t="s">
        <v>258</v>
      </c>
      <c r="C77" s="34" t="s">
        <v>139</v>
      </c>
      <c r="D77" s="778" t="s">
        <v>99</v>
      </c>
      <c r="E77" s="748">
        <v>1</v>
      </c>
      <c r="F77" s="747">
        <v>2</v>
      </c>
      <c r="G77" s="747" t="s">
        <v>412</v>
      </c>
      <c r="H77" s="70">
        <v>1</v>
      </c>
      <c r="I77" s="70">
        <v>2</v>
      </c>
      <c r="J77" s="70">
        <v>2</v>
      </c>
      <c r="K77" s="70">
        <v>1</v>
      </c>
      <c r="L77" s="70">
        <v>1</v>
      </c>
      <c r="M77" s="70">
        <v>1</v>
      </c>
      <c r="N77" s="436">
        <f t="shared" si="25"/>
        <v>0.16933510251023262</v>
      </c>
      <c r="O77" s="436">
        <f t="shared" si="26"/>
        <v>0.19908580854301616</v>
      </c>
      <c r="P77" s="749" t="s">
        <v>827</v>
      </c>
    </row>
    <row r="78" spans="1:868" s="433" customFormat="1">
      <c r="A78" s="634" t="s">
        <v>425</v>
      </c>
      <c r="B78" s="771" t="s">
        <v>428</v>
      </c>
      <c r="C78" s="34" t="s">
        <v>139</v>
      </c>
      <c r="D78" s="611" t="s">
        <v>99</v>
      </c>
      <c r="E78" s="741">
        <v>0.01</v>
      </c>
      <c r="F78" s="118">
        <v>2</v>
      </c>
      <c r="G78" s="118" t="s">
        <v>412</v>
      </c>
      <c r="H78" s="66">
        <v>1</v>
      </c>
      <c r="I78" s="66">
        <v>2</v>
      </c>
      <c r="J78" s="66">
        <v>2</v>
      </c>
      <c r="K78" s="66">
        <v>1</v>
      </c>
      <c r="L78" s="66">
        <v>1</v>
      </c>
      <c r="M78" s="66">
        <v>1</v>
      </c>
      <c r="N78" s="435">
        <f t="shared" si="25"/>
        <v>0.16933510251023262</v>
      </c>
      <c r="O78" s="435">
        <f t="shared" si="26"/>
        <v>0.19908580854301616</v>
      </c>
      <c r="P78" s="118" t="s">
        <v>828</v>
      </c>
    </row>
    <row r="79" spans="1:868" s="433" customFormat="1" ht="15" thickBot="1">
      <c r="A79" s="635" t="s">
        <v>425</v>
      </c>
      <c r="B79" s="772" t="s">
        <v>429</v>
      </c>
      <c r="C79" s="34" t="s">
        <v>139</v>
      </c>
      <c r="D79" s="124" t="s">
        <v>99</v>
      </c>
      <c r="E79" s="746" t="s">
        <v>150</v>
      </c>
      <c r="F79" s="119">
        <v>1</v>
      </c>
      <c r="G79" s="119" t="s">
        <v>412</v>
      </c>
      <c r="H79" s="15"/>
      <c r="I79" s="15"/>
      <c r="J79" s="15"/>
      <c r="K79" s="15"/>
      <c r="L79" s="15"/>
      <c r="M79" s="15"/>
      <c r="N79" s="421" t="str">
        <f t="shared" si="25"/>
        <v/>
      </c>
      <c r="O79" s="421" t="str">
        <f t="shared" si="26"/>
        <v/>
      </c>
      <c r="P79" s="119"/>
    </row>
    <row r="80" spans="1:868" s="433" customFormat="1" ht="15" thickBot="1">
      <c r="A80" s="630" t="s">
        <v>428</v>
      </c>
      <c r="B80" s="782" t="s">
        <v>258</v>
      </c>
      <c r="C80" s="34" t="s">
        <v>139</v>
      </c>
      <c r="D80" s="778" t="s">
        <v>99</v>
      </c>
      <c r="E80" s="748">
        <v>1</v>
      </c>
      <c r="F80" s="747">
        <v>2</v>
      </c>
      <c r="G80" s="747" t="s">
        <v>412</v>
      </c>
      <c r="H80" s="70">
        <v>1</v>
      </c>
      <c r="I80" s="70">
        <v>2</v>
      </c>
      <c r="J80" s="70">
        <v>2</v>
      </c>
      <c r="K80" s="70">
        <v>1</v>
      </c>
      <c r="L80" s="70">
        <v>1</v>
      </c>
      <c r="M80" s="70">
        <v>1</v>
      </c>
      <c r="N80" s="436">
        <f t="shared" si="25"/>
        <v>0.16933510251023262</v>
      </c>
      <c r="O80" s="436">
        <f t="shared" si="26"/>
        <v>0.19908580854301616</v>
      </c>
      <c r="P80" s="749" t="s">
        <v>827</v>
      </c>
    </row>
    <row r="81" spans="1:18" s="433" customFormat="1">
      <c r="A81" s="634" t="s">
        <v>427</v>
      </c>
      <c r="B81" s="771" t="s">
        <v>258</v>
      </c>
      <c r="C81" s="34" t="s">
        <v>139</v>
      </c>
      <c r="D81" s="611" t="s">
        <v>99</v>
      </c>
      <c r="E81" s="741">
        <v>0.01</v>
      </c>
      <c r="F81" s="118">
        <v>2</v>
      </c>
      <c r="G81" s="118" t="s">
        <v>412</v>
      </c>
      <c r="H81" s="66">
        <v>1</v>
      </c>
      <c r="I81" s="66">
        <v>2</v>
      </c>
      <c r="J81" s="66">
        <v>2</v>
      </c>
      <c r="K81" s="66">
        <v>1</v>
      </c>
      <c r="L81" s="66">
        <v>1</v>
      </c>
      <c r="M81" s="66">
        <v>1</v>
      </c>
      <c r="N81" s="435">
        <f t="shared" si="25"/>
        <v>0.16933510251023262</v>
      </c>
      <c r="O81" s="435">
        <f t="shared" si="26"/>
        <v>0.19908580854301616</v>
      </c>
      <c r="P81" s="118" t="s">
        <v>829</v>
      </c>
    </row>
    <row r="82" spans="1:18" s="433" customFormat="1" ht="15" thickBot="1">
      <c r="A82" s="635" t="s">
        <v>427</v>
      </c>
      <c r="B82" s="772" t="s">
        <v>327</v>
      </c>
      <c r="C82" s="34" t="s">
        <v>139</v>
      </c>
      <c r="D82" s="124" t="s">
        <v>99</v>
      </c>
      <c r="E82" s="746" t="s">
        <v>150</v>
      </c>
      <c r="F82" s="119">
        <v>1</v>
      </c>
      <c r="G82" s="119" t="s">
        <v>412</v>
      </c>
      <c r="H82" s="15"/>
      <c r="I82" s="15"/>
      <c r="J82" s="15"/>
      <c r="K82" s="15"/>
      <c r="L82" s="15"/>
      <c r="M82" s="15"/>
      <c r="N82" s="421" t="str">
        <f t="shared" si="25"/>
        <v/>
      </c>
      <c r="O82" s="421" t="str">
        <f t="shared" si="26"/>
        <v/>
      </c>
      <c r="P82" s="119"/>
    </row>
    <row r="83" spans="1:18" s="433" customFormat="1">
      <c r="A83" s="631" t="s">
        <v>429</v>
      </c>
      <c r="B83" s="780" t="s">
        <v>258</v>
      </c>
      <c r="C83" s="34" t="s">
        <v>139</v>
      </c>
      <c r="D83" s="121" t="s">
        <v>99</v>
      </c>
      <c r="E83" s="629">
        <v>0.05</v>
      </c>
      <c r="F83" s="11">
        <v>2</v>
      </c>
      <c r="G83" s="11" t="s">
        <v>412</v>
      </c>
      <c r="H83" s="13">
        <v>1</v>
      </c>
      <c r="I83" s="13">
        <v>2</v>
      </c>
      <c r="J83" s="13">
        <v>2</v>
      </c>
      <c r="K83" s="13">
        <v>1</v>
      </c>
      <c r="L83" s="13">
        <v>1</v>
      </c>
      <c r="M83" s="13">
        <v>1</v>
      </c>
      <c r="N83" s="422">
        <f t="shared" si="25"/>
        <v>0.16933510251023262</v>
      </c>
      <c r="O83" s="422">
        <f t="shared" si="26"/>
        <v>0.19908580854301616</v>
      </c>
      <c r="P83" s="42" t="s">
        <v>830</v>
      </c>
    </row>
    <row r="84" spans="1:18" s="433" customFormat="1" ht="15" thickBot="1">
      <c r="A84" s="632" t="s">
        <v>429</v>
      </c>
      <c r="B84" s="781" t="s">
        <v>327</v>
      </c>
      <c r="C84" s="34" t="s">
        <v>139</v>
      </c>
      <c r="D84" s="123" t="s">
        <v>99</v>
      </c>
      <c r="E84" s="750" t="s">
        <v>150</v>
      </c>
      <c r="F84" s="12">
        <v>1</v>
      </c>
      <c r="G84" s="12" t="s">
        <v>412</v>
      </c>
      <c r="H84" s="14"/>
      <c r="I84" s="14"/>
      <c r="J84" s="14"/>
      <c r="K84" s="14"/>
      <c r="L84" s="14"/>
      <c r="M84" s="14"/>
      <c r="N84" s="425" t="str">
        <f t="shared" si="25"/>
        <v/>
      </c>
      <c r="O84" s="425" t="str">
        <f t="shared" si="26"/>
        <v/>
      </c>
      <c r="P84" s="44"/>
    </row>
    <row r="85" spans="1:18" s="433" customFormat="1">
      <c r="A85" s="634" t="s">
        <v>411</v>
      </c>
      <c r="B85" s="771" t="s">
        <v>431</v>
      </c>
      <c r="C85" s="34" t="s">
        <v>139</v>
      </c>
      <c r="D85" s="611" t="s">
        <v>99</v>
      </c>
      <c r="E85" s="741">
        <f>0.5*0.97</f>
        <v>0.48499999999999999</v>
      </c>
      <c r="F85" s="118">
        <v>2</v>
      </c>
      <c r="G85" s="118" t="s">
        <v>412</v>
      </c>
      <c r="H85" s="66">
        <v>1</v>
      </c>
      <c r="I85" s="66">
        <v>2</v>
      </c>
      <c r="J85" s="66">
        <v>2</v>
      </c>
      <c r="K85" s="66">
        <v>1</v>
      </c>
      <c r="L85" s="66">
        <v>1</v>
      </c>
      <c r="M85" s="66">
        <v>1</v>
      </c>
      <c r="N85" s="435">
        <f t="shared" si="25"/>
        <v>0.16933510251023262</v>
      </c>
      <c r="O85" s="435">
        <f t="shared" si="26"/>
        <v>0.19908580854301616</v>
      </c>
      <c r="P85" s="118" t="s">
        <v>831</v>
      </c>
    </row>
    <row r="86" spans="1:18" s="433" customFormat="1">
      <c r="A86" s="310" t="s">
        <v>411</v>
      </c>
      <c r="B86" s="777" t="s">
        <v>432</v>
      </c>
      <c r="C86" s="34" t="s">
        <v>139</v>
      </c>
      <c r="D86" s="122" t="s">
        <v>99</v>
      </c>
      <c r="E86" s="242">
        <f>0.5*0.97</f>
        <v>0.48499999999999999</v>
      </c>
      <c r="F86" s="9">
        <v>2</v>
      </c>
      <c r="G86" s="9" t="s">
        <v>412</v>
      </c>
      <c r="H86" s="10">
        <v>1</v>
      </c>
      <c r="I86" s="10">
        <v>2</v>
      </c>
      <c r="J86" s="10">
        <v>2</v>
      </c>
      <c r="K86" s="10">
        <v>1</v>
      </c>
      <c r="L86" s="10">
        <v>1</v>
      </c>
      <c r="M86" s="10">
        <v>1</v>
      </c>
      <c r="N86" s="402">
        <f t="shared" si="25"/>
        <v>0.16933510251023262</v>
      </c>
      <c r="O86" s="402">
        <f t="shared" si="26"/>
        <v>0.19908580854301616</v>
      </c>
      <c r="P86" s="9" t="s">
        <v>832</v>
      </c>
    </row>
    <row r="87" spans="1:18" s="433" customFormat="1" ht="15" thickBot="1">
      <c r="A87" s="635" t="s">
        <v>411</v>
      </c>
      <c r="B87" s="772" t="s">
        <v>223</v>
      </c>
      <c r="C87" s="34" t="s">
        <v>139</v>
      </c>
      <c r="D87" s="124" t="s">
        <v>99</v>
      </c>
      <c r="E87" s="746">
        <v>0.03</v>
      </c>
      <c r="F87" s="119">
        <v>1</v>
      </c>
      <c r="G87" s="119" t="s">
        <v>412</v>
      </c>
      <c r="H87" s="15">
        <v>1</v>
      </c>
      <c r="I87" s="15">
        <v>2</v>
      </c>
      <c r="J87" s="15">
        <v>2</v>
      </c>
      <c r="K87" s="15">
        <v>1</v>
      </c>
      <c r="L87" s="15">
        <v>1</v>
      </c>
      <c r="M87" s="15">
        <v>1</v>
      </c>
      <c r="N87" s="421">
        <f t="shared" si="25"/>
        <v>0.16933510251023262</v>
      </c>
      <c r="O87" s="421">
        <f t="shared" si="26"/>
        <v>0.19908580854301616</v>
      </c>
      <c r="P87" s="119" t="s">
        <v>833</v>
      </c>
    </row>
    <row r="88" spans="1:18" s="433" customFormat="1">
      <c r="A88" s="631" t="s">
        <v>431</v>
      </c>
      <c r="B88" s="780" t="s">
        <v>434</v>
      </c>
      <c r="C88" s="34" t="s">
        <v>139</v>
      </c>
      <c r="D88" s="121" t="s">
        <v>99</v>
      </c>
      <c r="E88" s="629">
        <v>0.03</v>
      </c>
      <c r="F88" s="11">
        <v>2</v>
      </c>
      <c r="G88" s="11" t="s">
        <v>412</v>
      </c>
      <c r="H88" s="13">
        <v>1</v>
      </c>
      <c r="I88" s="13">
        <v>2</v>
      </c>
      <c r="J88" s="13">
        <v>2</v>
      </c>
      <c r="K88" s="13">
        <v>1</v>
      </c>
      <c r="L88" s="13">
        <v>1</v>
      </c>
      <c r="M88" s="13">
        <v>1</v>
      </c>
      <c r="N88" s="422">
        <f t="shared" si="25"/>
        <v>0.16933510251023262</v>
      </c>
      <c r="O88" s="422">
        <f t="shared" si="26"/>
        <v>0.19908580854301616</v>
      </c>
      <c r="P88" s="42" t="s">
        <v>834</v>
      </c>
    </row>
    <row r="89" spans="1:18" s="433" customFormat="1" ht="15" thickBot="1">
      <c r="A89" s="632" t="s">
        <v>431</v>
      </c>
      <c r="B89" s="781" t="s">
        <v>433</v>
      </c>
      <c r="C89" s="34" t="s">
        <v>139</v>
      </c>
      <c r="D89" s="123" t="s">
        <v>99</v>
      </c>
      <c r="E89" s="750" t="s">
        <v>150</v>
      </c>
      <c r="F89" s="12">
        <v>1</v>
      </c>
      <c r="G89" s="12" t="s">
        <v>412</v>
      </c>
      <c r="H89" s="14"/>
      <c r="I89" s="14"/>
      <c r="J89" s="14"/>
      <c r="K89" s="14"/>
      <c r="L89" s="14"/>
      <c r="M89" s="14"/>
      <c r="N89" s="425" t="str">
        <f t="shared" si="25"/>
        <v/>
      </c>
      <c r="O89" s="425" t="str">
        <f t="shared" si="26"/>
        <v/>
      </c>
      <c r="P89" s="44"/>
    </row>
    <row r="90" spans="1:18" s="433" customFormat="1">
      <c r="A90" s="634" t="s">
        <v>434</v>
      </c>
      <c r="B90" s="771" t="s">
        <v>231</v>
      </c>
      <c r="C90" s="34" t="s">
        <v>139</v>
      </c>
      <c r="D90" s="611" t="s">
        <v>99</v>
      </c>
      <c r="E90" s="746">
        <v>0.05</v>
      </c>
      <c r="F90" s="119">
        <v>2</v>
      </c>
      <c r="G90" s="11" t="s">
        <v>157</v>
      </c>
      <c r="H90" s="15">
        <v>1</v>
      </c>
      <c r="I90" s="15">
        <v>2</v>
      </c>
      <c r="J90" s="15">
        <v>2</v>
      </c>
      <c r="K90" s="15">
        <v>1</v>
      </c>
      <c r="L90" s="15">
        <v>3</v>
      </c>
      <c r="M90" s="13">
        <v>3</v>
      </c>
      <c r="N90" s="421">
        <f>IF( OR( ISBLANK(H90),ISBLANK(J90), ISBLANK(K90), ISBLANK(L90), ISBLANK(M90) ), "", 1.5*SQRT(   EXP(2.21*(H90-1)) + EXP(2.21*(J90-1)) + EXP(2.21*(K90-1)) + EXP(2.21*(L90-1)) + EXP(2.21*M90)   )/100*2.45 )</f>
        <v>1.0725046436742278</v>
      </c>
      <c r="O90" s="421">
        <f>IF( OR( ISBLANK(I90),ISBLANK(J90), ISBLANK(K90), ISBLANK(L90), ISBLANK(M90) ), "", 1.5*SQRT( EXP(2.21*(I90-1)) + EXP(2.21*(J90-1)) + EXP(2.21*(K90-1)) + EXP(2.21*(L90-1)) + EXP(2.21*M90)   )/100*2.45 )</f>
        <v>1.0776024280428556</v>
      </c>
      <c r="P90" s="119" t="s">
        <v>1916</v>
      </c>
      <c r="R90" s="753"/>
    </row>
    <row r="91" spans="1:18" s="433" customFormat="1">
      <c r="A91" s="310" t="s">
        <v>434</v>
      </c>
      <c r="B91" s="777" t="s">
        <v>232</v>
      </c>
      <c r="C91" s="34" t="s">
        <v>139</v>
      </c>
      <c r="D91" s="122" t="s">
        <v>99</v>
      </c>
      <c r="E91" s="242">
        <v>0.39400000000000002</v>
      </c>
      <c r="F91" s="9">
        <v>2</v>
      </c>
      <c r="G91" s="9" t="s">
        <v>412</v>
      </c>
      <c r="H91" s="10">
        <v>1</v>
      </c>
      <c r="I91" s="10">
        <v>2</v>
      </c>
      <c r="J91" s="10">
        <v>2</v>
      </c>
      <c r="K91" s="10">
        <v>1</v>
      </c>
      <c r="L91" s="10">
        <v>1</v>
      </c>
      <c r="M91" s="10">
        <v>1</v>
      </c>
      <c r="N91" s="402">
        <f t="shared" si="25"/>
        <v>0.16933510251023262</v>
      </c>
      <c r="O91" s="402">
        <f t="shared" si="26"/>
        <v>0.19908580854301616</v>
      </c>
      <c r="P91" s="9" t="s">
        <v>1940</v>
      </c>
    </row>
    <row r="92" spans="1:18" s="433" customFormat="1">
      <c r="A92" s="635" t="s">
        <v>434</v>
      </c>
      <c r="B92" s="772" t="s">
        <v>251</v>
      </c>
      <c r="C92" s="34" t="s">
        <v>139</v>
      </c>
      <c r="D92" s="124" t="s">
        <v>99</v>
      </c>
      <c r="E92" s="242">
        <v>0.52200000000000002</v>
      </c>
      <c r="F92" s="7">
        <v>1</v>
      </c>
      <c r="G92" s="9" t="s">
        <v>412</v>
      </c>
      <c r="H92" s="10">
        <v>1</v>
      </c>
      <c r="I92" s="10">
        <v>2</v>
      </c>
      <c r="J92" s="10">
        <v>2</v>
      </c>
      <c r="K92" s="10">
        <v>1</v>
      </c>
      <c r="L92" s="10">
        <v>1</v>
      </c>
      <c r="M92" s="10">
        <v>1</v>
      </c>
      <c r="N92" s="402">
        <f>IF( OR( ISBLANK(H92),ISBLANK(J92), ISBLANK(K92), ISBLANK(L92), ISBLANK(M92) ), "", 1.5*SQRT(   EXP(2.21*(H92-1)) + EXP(2.21*(J92-1)) + EXP(2.21*(K92-1)) + EXP(2.21*(L92-1)) + EXP(2.21*M92)   )/100*2.45 )</f>
        <v>0.16933510251023262</v>
      </c>
      <c r="O92" s="402">
        <f>IF( OR( ISBLANK(I92),ISBLANK(J92), ISBLANK(K92), ISBLANK(L92), ISBLANK(M92) ), "", 1.5*SQRT( EXP(2.21*(I92-1)) + EXP(2.21*(J92-1)) + EXP(2.21*(K92-1)) + EXP(2.21*(L92-1)) + EXP(2.21*M92)   )/100*2.45 )</f>
        <v>0.19908580854301616</v>
      </c>
      <c r="P92" s="9" t="s">
        <v>1941</v>
      </c>
    </row>
    <row r="93" spans="1:18" s="433" customFormat="1" ht="15" thickBot="1">
      <c r="A93" s="635" t="s">
        <v>434</v>
      </c>
      <c r="B93" s="772" t="s">
        <v>258</v>
      </c>
      <c r="C93" s="34" t="s">
        <v>139</v>
      </c>
      <c r="D93" s="124" t="s">
        <v>99</v>
      </c>
      <c r="E93" s="746">
        <v>3.4000000000000002E-2</v>
      </c>
      <c r="F93" s="119">
        <v>2</v>
      </c>
      <c r="G93" s="9" t="s">
        <v>412</v>
      </c>
      <c r="H93" s="15"/>
      <c r="I93" s="15"/>
      <c r="J93" s="15"/>
      <c r="K93" s="15"/>
      <c r="L93" s="15"/>
      <c r="M93" s="15"/>
      <c r="N93" s="421"/>
      <c r="O93" s="421"/>
      <c r="P93" s="751" t="s">
        <v>1942</v>
      </c>
    </row>
    <row r="94" spans="1:18" s="433" customFormat="1">
      <c r="A94" s="631" t="s">
        <v>432</v>
      </c>
      <c r="B94" s="780" t="s">
        <v>435</v>
      </c>
      <c r="C94" s="34" t="s">
        <v>139</v>
      </c>
      <c r="D94" s="121" t="s">
        <v>99</v>
      </c>
      <c r="E94" s="629">
        <f>0.1*E88</f>
        <v>3.0000000000000001E-3</v>
      </c>
      <c r="F94" s="11">
        <v>2</v>
      </c>
      <c r="G94" s="11" t="s">
        <v>412</v>
      </c>
      <c r="H94" s="13">
        <v>1</v>
      </c>
      <c r="I94" s="13">
        <v>2</v>
      </c>
      <c r="J94" s="13">
        <v>2</v>
      </c>
      <c r="K94" s="13">
        <v>1</v>
      </c>
      <c r="L94" s="13">
        <v>1</v>
      </c>
      <c r="M94" s="13">
        <v>1</v>
      </c>
      <c r="N94" s="422">
        <f t="shared" si="25"/>
        <v>0.16933510251023262</v>
      </c>
      <c r="O94" s="422">
        <f t="shared" si="26"/>
        <v>0.19908580854301616</v>
      </c>
      <c r="P94" s="42" t="s">
        <v>835</v>
      </c>
    </row>
    <row r="95" spans="1:18" s="433" customFormat="1" ht="15" thickBot="1">
      <c r="A95" s="632" t="s">
        <v>432</v>
      </c>
      <c r="B95" s="781" t="s">
        <v>430</v>
      </c>
      <c r="C95" s="34" t="s">
        <v>139</v>
      </c>
      <c r="D95" s="123" t="s">
        <v>99</v>
      </c>
      <c r="E95" s="750" t="s">
        <v>150</v>
      </c>
      <c r="F95" s="12">
        <v>1</v>
      </c>
      <c r="G95" s="12" t="s">
        <v>412</v>
      </c>
      <c r="H95" s="14"/>
      <c r="I95" s="14"/>
      <c r="J95" s="14"/>
      <c r="K95" s="14"/>
      <c r="L95" s="14"/>
      <c r="M95" s="14"/>
      <c r="N95" s="425" t="str">
        <f t="shared" si="25"/>
        <v/>
      </c>
      <c r="O95" s="425" t="str">
        <f t="shared" si="26"/>
        <v/>
      </c>
      <c r="P95" s="44" t="s">
        <v>1917</v>
      </c>
    </row>
    <row r="96" spans="1:18" s="433" customFormat="1" ht="15" thickBot="1">
      <c r="A96" s="755" t="s">
        <v>435</v>
      </c>
      <c r="B96" s="774" t="s">
        <v>228</v>
      </c>
      <c r="C96" s="34" t="s">
        <v>139</v>
      </c>
      <c r="D96" s="784" t="s">
        <v>99</v>
      </c>
      <c r="E96" s="752">
        <v>1</v>
      </c>
      <c r="F96" s="751">
        <v>2</v>
      </c>
      <c r="G96" s="751" t="s">
        <v>412</v>
      </c>
      <c r="H96" s="71">
        <v>1</v>
      </c>
      <c r="I96" s="71">
        <v>2</v>
      </c>
      <c r="J96" s="71">
        <v>2</v>
      </c>
      <c r="K96" s="71">
        <v>1</v>
      </c>
      <c r="L96" s="71">
        <v>1</v>
      </c>
      <c r="M96" s="71">
        <v>1</v>
      </c>
      <c r="N96" s="756">
        <f t="shared" si="25"/>
        <v>0.16933510251023262</v>
      </c>
      <c r="O96" s="756">
        <f t="shared" si="26"/>
        <v>0.19908580854301616</v>
      </c>
      <c r="P96" s="751" t="s">
        <v>836</v>
      </c>
    </row>
    <row r="97" spans="1:16" s="433" customFormat="1">
      <c r="A97" s="631" t="s">
        <v>433</v>
      </c>
      <c r="B97" s="780" t="s">
        <v>231</v>
      </c>
      <c r="C97" s="34" t="s">
        <v>139</v>
      </c>
      <c r="D97" s="121" t="s">
        <v>99</v>
      </c>
      <c r="E97" s="629">
        <v>0</v>
      </c>
      <c r="F97" s="11">
        <v>2</v>
      </c>
      <c r="G97" s="11" t="s">
        <v>412</v>
      </c>
      <c r="H97" s="13">
        <v>1</v>
      </c>
      <c r="I97" s="13">
        <v>2</v>
      </c>
      <c r="J97" s="13">
        <v>2</v>
      </c>
      <c r="K97" s="13">
        <v>1</v>
      </c>
      <c r="L97" s="13">
        <v>1</v>
      </c>
      <c r="M97" s="13">
        <v>1</v>
      </c>
      <c r="N97" s="422">
        <f t="shared" si="25"/>
        <v>0.16933510251023262</v>
      </c>
      <c r="O97" s="422">
        <f t="shared" si="26"/>
        <v>0.19908580854301616</v>
      </c>
      <c r="P97" s="42" t="s">
        <v>1958</v>
      </c>
    </row>
    <row r="98" spans="1:16" s="433" customFormat="1">
      <c r="A98" s="633" t="s">
        <v>433</v>
      </c>
      <c r="B98" s="777" t="s">
        <v>232</v>
      </c>
      <c r="C98" s="34" t="s">
        <v>139</v>
      </c>
      <c r="D98" s="122" t="s">
        <v>99</v>
      </c>
      <c r="E98" s="242">
        <v>0</v>
      </c>
      <c r="F98" s="9">
        <v>2</v>
      </c>
      <c r="G98" s="9" t="s">
        <v>412</v>
      </c>
      <c r="H98" s="10">
        <v>1</v>
      </c>
      <c r="I98" s="10">
        <v>2</v>
      </c>
      <c r="J98" s="10">
        <v>2</v>
      </c>
      <c r="K98" s="10">
        <v>1</v>
      </c>
      <c r="L98" s="10">
        <v>1</v>
      </c>
      <c r="M98" s="10">
        <v>1</v>
      </c>
      <c r="N98" s="402">
        <f t="shared" si="25"/>
        <v>0.16933510251023262</v>
      </c>
      <c r="O98" s="402">
        <f t="shared" si="26"/>
        <v>0.19908580854301616</v>
      </c>
      <c r="P98" s="43" t="s">
        <v>1958</v>
      </c>
    </row>
    <row r="99" spans="1:16" s="433" customFormat="1">
      <c r="A99" s="633" t="s">
        <v>433</v>
      </c>
      <c r="B99" s="777" t="s">
        <v>251</v>
      </c>
      <c r="C99" s="34" t="s">
        <v>139</v>
      </c>
      <c r="D99" s="122" t="s">
        <v>99</v>
      </c>
      <c r="E99" s="242">
        <v>0</v>
      </c>
      <c r="F99" s="9">
        <v>2</v>
      </c>
      <c r="G99" s="9" t="s">
        <v>412</v>
      </c>
      <c r="H99" s="10">
        <v>1</v>
      </c>
      <c r="I99" s="10">
        <v>2</v>
      </c>
      <c r="J99" s="10">
        <v>2</v>
      </c>
      <c r="K99" s="10">
        <v>1</v>
      </c>
      <c r="L99" s="10">
        <v>1</v>
      </c>
      <c r="M99" s="10">
        <v>1</v>
      </c>
      <c r="N99" s="402">
        <f>IF( OR( ISBLANK(H99),ISBLANK(J99), ISBLANK(K99), ISBLANK(L99), ISBLANK(M99) ), "", 1.5*SQRT(   EXP(2.21*(H99-1)) + EXP(2.21*(J99-1)) + EXP(2.21*(K99-1)) + EXP(2.21*(L99-1)) + EXP(2.21*M99)   )/100*2.45 )</f>
        <v>0.16933510251023262</v>
      </c>
      <c r="O99" s="402">
        <f>IF( OR( ISBLANK(I99),ISBLANK(J99), ISBLANK(K99), ISBLANK(L99), ISBLANK(M99) ), "", 1.5*SQRT( EXP(2.21*(I99-1)) + EXP(2.21*(J99-1)) + EXP(2.21*(K99-1)) + EXP(2.21*(L99-1)) + EXP(2.21*M99)   )/100*2.45 )</f>
        <v>0.19908580854301616</v>
      </c>
      <c r="P99" s="43" t="s">
        <v>1958</v>
      </c>
    </row>
    <row r="100" spans="1:16" s="433" customFormat="1">
      <c r="A100" s="633" t="s">
        <v>433</v>
      </c>
      <c r="B100" s="772" t="s">
        <v>258</v>
      </c>
      <c r="C100" s="34" t="s">
        <v>139</v>
      </c>
      <c r="D100" s="124" t="s">
        <v>99</v>
      </c>
      <c r="E100" s="746">
        <v>0</v>
      </c>
      <c r="F100" s="119">
        <v>2</v>
      </c>
      <c r="G100" s="119" t="s">
        <v>412</v>
      </c>
      <c r="H100" s="10">
        <v>1</v>
      </c>
      <c r="I100" s="10">
        <v>2</v>
      </c>
      <c r="J100" s="10">
        <v>2</v>
      </c>
      <c r="K100" s="10">
        <v>1</v>
      </c>
      <c r="L100" s="10">
        <v>1</v>
      </c>
      <c r="M100" s="10">
        <v>1</v>
      </c>
      <c r="N100" s="402">
        <f>IF( OR( ISBLANK(H100),ISBLANK(J100), ISBLANK(K100), ISBLANK(L100), ISBLANK(M100) ), "", 1.5*SQRT(   EXP(2.21*(H100-1)) + EXP(2.21*(J100-1)) + EXP(2.21*(K100-1)) + EXP(2.21*(L100-1)) + EXP(2.21*M100)   )/100*2.45 )</f>
        <v>0.16933510251023262</v>
      </c>
      <c r="O100" s="402">
        <f>IF( OR( ISBLANK(I100),ISBLANK(J100), ISBLANK(K100), ISBLANK(L100), ISBLANK(M100) ), "", 1.5*SQRT( EXP(2.21*(I100-1)) + EXP(2.21*(J100-1)) + EXP(2.21*(K100-1)) + EXP(2.21*(L100-1)) + EXP(2.21*M100)   )/100*2.45 )</f>
        <v>0.19908580854301616</v>
      </c>
      <c r="P100" s="155" t="s">
        <v>1958</v>
      </c>
    </row>
    <row r="101" spans="1:16" s="433" customFormat="1" ht="15" thickBot="1">
      <c r="A101" s="632" t="s">
        <v>433</v>
      </c>
      <c r="B101" s="781" t="s">
        <v>327</v>
      </c>
      <c r="C101" s="34" t="s">
        <v>139</v>
      </c>
      <c r="D101" s="123" t="s">
        <v>99</v>
      </c>
      <c r="E101" s="750" t="s">
        <v>150</v>
      </c>
      <c r="F101" s="12">
        <v>1</v>
      </c>
      <c r="G101" s="12" t="s">
        <v>412</v>
      </c>
      <c r="H101" s="14"/>
      <c r="I101" s="14"/>
      <c r="J101" s="14"/>
      <c r="K101" s="14"/>
      <c r="L101" s="14"/>
      <c r="M101" s="14"/>
      <c r="N101" s="425" t="str">
        <f t="shared" si="25"/>
        <v/>
      </c>
      <c r="O101" s="425" t="str">
        <f t="shared" si="26"/>
        <v/>
      </c>
      <c r="P101" s="44"/>
    </row>
    <row r="102" spans="1:16" s="433" customFormat="1">
      <c r="A102" s="634" t="s">
        <v>430</v>
      </c>
      <c r="B102" s="771" t="s">
        <v>228</v>
      </c>
      <c r="C102" s="34" t="s">
        <v>139</v>
      </c>
      <c r="D102" s="611" t="s">
        <v>99</v>
      </c>
      <c r="E102" s="741">
        <v>0</v>
      </c>
      <c r="F102" s="118">
        <v>2</v>
      </c>
      <c r="G102" s="118" t="s">
        <v>412</v>
      </c>
      <c r="H102" s="66">
        <v>1</v>
      </c>
      <c r="I102" s="66">
        <v>2</v>
      </c>
      <c r="J102" s="66">
        <v>2</v>
      </c>
      <c r="K102" s="66">
        <v>1</v>
      </c>
      <c r="L102" s="66">
        <v>1</v>
      </c>
      <c r="M102" s="66">
        <v>1</v>
      </c>
      <c r="N102" s="435">
        <f t="shared" si="25"/>
        <v>0.16933510251023262</v>
      </c>
      <c r="O102" s="435">
        <f t="shared" si="26"/>
        <v>0.19908580854301616</v>
      </c>
      <c r="P102" s="118" t="s">
        <v>837</v>
      </c>
    </row>
    <row r="103" spans="1:16" s="433" customFormat="1" ht="15" thickBot="1">
      <c r="A103" s="635" t="s">
        <v>430</v>
      </c>
      <c r="B103" s="772" t="s">
        <v>327</v>
      </c>
      <c r="C103" s="34" t="s">
        <v>139</v>
      </c>
      <c r="D103" s="124" t="s">
        <v>99</v>
      </c>
      <c r="E103" s="746" t="s">
        <v>150</v>
      </c>
      <c r="F103" s="119">
        <v>1</v>
      </c>
      <c r="G103" s="119" t="s">
        <v>412</v>
      </c>
      <c r="H103" s="15"/>
      <c r="I103" s="15"/>
      <c r="J103" s="15"/>
      <c r="K103" s="15"/>
      <c r="L103" s="15"/>
      <c r="M103" s="15"/>
      <c r="N103" s="421" t="str">
        <f t="shared" si="25"/>
        <v/>
      </c>
      <c r="O103" s="421" t="str">
        <f t="shared" si="26"/>
        <v/>
      </c>
      <c r="P103" s="119" t="s">
        <v>1918</v>
      </c>
    </row>
    <row r="104" spans="1:16" s="433" customFormat="1">
      <c r="A104" s="631" t="s">
        <v>413</v>
      </c>
      <c r="B104" s="780" t="s">
        <v>436</v>
      </c>
      <c r="C104" s="34" t="s">
        <v>139</v>
      </c>
      <c r="D104" s="121" t="s">
        <v>99</v>
      </c>
      <c r="E104" s="629">
        <f>0.97*0.4</f>
        <v>0.38800000000000001</v>
      </c>
      <c r="F104" s="11">
        <v>2</v>
      </c>
      <c r="G104" s="11" t="s">
        <v>412</v>
      </c>
      <c r="H104" s="13">
        <v>1</v>
      </c>
      <c r="I104" s="13">
        <v>2</v>
      </c>
      <c r="J104" s="13">
        <v>2</v>
      </c>
      <c r="K104" s="13">
        <v>1</v>
      </c>
      <c r="L104" s="13">
        <v>1</v>
      </c>
      <c r="M104" s="13">
        <v>1</v>
      </c>
      <c r="N104" s="422">
        <f t="shared" si="25"/>
        <v>0.16933510251023262</v>
      </c>
      <c r="O104" s="422">
        <f t="shared" si="26"/>
        <v>0.19908580854301616</v>
      </c>
      <c r="P104" s="42" t="s">
        <v>838</v>
      </c>
    </row>
    <row r="105" spans="1:16" s="433" customFormat="1">
      <c r="A105" s="633" t="s">
        <v>413</v>
      </c>
      <c r="B105" s="777" t="s">
        <v>437</v>
      </c>
      <c r="C105" s="34" t="s">
        <v>139</v>
      </c>
      <c r="D105" s="122" t="s">
        <v>99</v>
      </c>
      <c r="E105" s="242">
        <f>0.97*0.6</f>
        <v>0.58199999999999996</v>
      </c>
      <c r="F105" s="9">
        <v>2</v>
      </c>
      <c r="G105" s="9" t="s">
        <v>412</v>
      </c>
      <c r="H105" s="10">
        <v>1</v>
      </c>
      <c r="I105" s="10">
        <v>2</v>
      </c>
      <c r="J105" s="10">
        <v>2</v>
      </c>
      <c r="K105" s="10">
        <v>1</v>
      </c>
      <c r="L105" s="10">
        <v>1</v>
      </c>
      <c r="M105" s="10">
        <v>1</v>
      </c>
      <c r="N105" s="402">
        <f t="shared" si="25"/>
        <v>0.16933510251023262</v>
      </c>
      <c r="O105" s="402">
        <f t="shared" si="26"/>
        <v>0.19908580854301616</v>
      </c>
      <c r="P105" s="43" t="s">
        <v>839</v>
      </c>
    </row>
    <row r="106" spans="1:16" s="433" customFormat="1" ht="15" thickBot="1">
      <c r="A106" s="632" t="s">
        <v>413</v>
      </c>
      <c r="B106" s="781" t="s">
        <v>223</v>
      </c>
      <c r="C106" s="34" t="s">
        <v>139</v>
      </c>
      <c r="D106" s="123" t="s">
        <v>99</v>
      </c>
      <c r="E106" s="750">
        <v>0.03</v>
      </c>
      <c r="F106" s="12">
        <v>1</v>
      </c>
      <c r="G106" s="12" t="s">
        <v>412</v>
      </c>
      <c r="H106" s="14">
        <v>1</v>
      </c>
      <c r="I106" s="14">
        <v>2</v>
      </c>
      <c r="J106" s="14">
        <v>2</v>
      </c>
      <c r="K106" s="14">
        <v>1</v>
      </c>
      <c r="L106" s="14">
        <v>1</v>
      </c>
      <c r="M106" s="14">
        <v>1</v>
      </c>
      <c r="N106" s="425">
        <f t="shared" si="25"/>
        <v>0.16933510251023262</v>
      </c>
      <c r="O106" s="425">
        <f t="shared" si="26"/>
        <v>0.19908580854301616</v>
      </c>
      <c r="P106" s="44" t="s">
        <v>833</v>
      </c>
    </row>
    <row r="107" spans="1:16" s="433" customFormat="1">
      <c r="A107" s="634" t="s">
        <v>436</v>
      </c>
      <c r="B107" s="771" t="s">
        <v>438</v>
      </c>
      <c r="C107" s="34" t="s">
        <v>139</v>
      </c>
      <c r="D107" s="611" t="s">
        <v>99</v>
      </c>
      <c r="E107" s="741">
        <v>0.03</v>
      </c>
      <c r="F107" s="118">
        <v>2</v>
      </c>
      <c r="G107" s="118" t="s">
        <v>412</v>
      </c>
      <c r="H107" s="66">
        <v>1</v>
      </c>
      <c r="I107" s="66">
        <v>2</v>
      </c>
      <c r="J107" s="66">
        <v>2</v>
      </c>
      <c r="K107" s="66">
        <v>1</v>
      </c>
      <c r="L107" s="66">
        <v>1</v>
      </c>
      <c r="M107" s="66">
        <v>1</v>
      </c>
      <c r="N107" s="435">
        <f t="shared" si="25"/>
        <v>0.16933510251023262</v>
      </c>
      <c r="O107" s="435">
        <f t="shared" si="26"/>
        <v>0.19908580854301616</v>
      </c>
      <c r="P107" s="118" t="s">
        <v>834</v>
      </c>
    </row>
    <row r="108" spans="1:16" s="433" customFormat="1" ht="15" thickBot="1">
      <c r="A108" s="635" t="s">
        <v>436</v>
      </c>
      <c r="B108" s="772" t="s">
        <v>439</v>
      </c>
      <c r="C108" s="34" t="s">
        <v>139</v>
      </c>
      <c r="D108" s="124" t="s">
        <v>99</v>
      </c>
      <c r="E108" s="746" t="s">
        <v>150</v>
      </c>
      <c r="F108" s="119">
        <v>1</v>
      </c>
      <c r="G108" s="119" t="s">
        <v>412</v>
      </c>
      <c r="H108" s="15"/>
      <c r="I108" s="15"/>
      <c r="J108" s="15"/>
      <c r="K108" s="15"/>
      <c r="L108" s="15"/>
      <c r="M108" s="15"/>
      <c r="N108" s="421" t="str">
        <f t="shared" si="25"/>
        <v/>
      </c>
      <c r="O108" s="421" t="str">
        <f t="shared" si="26"/>
        <v/>
      </c>
      <c r="P108" s="119" t="s">
        <v>1919</v>
      </c>
    </row>
    <row r="109" spans="1:16" s="433" customFormat="1">
      <c r="A109" s="434" t="s">
        <v>438</v>
      </c>
      <c r="B109" s="434" t="s">
        <v>231</v>
      </c>
      <c r="C109" s="34" t="s">
        <v>139</v>
      </c>
      <c r="D109" s="121" t="s">
        <v>99</v>
      </c>
      <c r="E109" s="767">
        <v>0.05</v>
      </c>
      <c r="F109" s="768">
        <v>2</v>
      </c>
      <c r="G109" s="11" t="s">
        <v>157</v>
      </c>
      <c r="H109" s="13">
        <v>1</v>
      </c>
      <c r="I109" s="13">
        <v>2</v>
      </c>
      <c r="J109" s="13">
        <v>2</v>
      </c>
      <c r="K109" s="13">
        <v>1</v>
      </c>
      <c r="L109" s="769">
        <v>3</v>
      </c>
      <c r="M109" s="13">
        <v>3</v>
      </c>
      <c r="N109" s="422">
        <f t="shared" si="25"/>
        <v>1.0725046436742278</v>
      </c>
      <c r="O109" s="422">
        <f t="shared" si="26"/>
        <v>1.0776024280428556</v>
      </c>
      <c r="P109" s="757" t="s">
        <v>1916</v>
      </c>
    </row>
    <row r="110" spans="1:16" s="433" customFormat="1">
      <c r="A110" s="493" t="s">
        <v>438</v>
      </c>
      <c r="B110" s="493" t="s">
        <v>232</v>
      </c>
      <c r="C110" s="34" t="s">
        <v>139</v>
      </c>
      <c r="D110" s="122" t="s">
        <v>99</v>
      </c>
      <c r="E110" s="242">
        <v>0.39400000000000002</v>
      </c>
      <c r="F110" s="9">
        <v>2</v>
      </c>
      <c r="G110" s="9" t="s">
        <v>412</v>
      </c>
      <c r="H110" s="10">
        <v>1</v>
      </c>
      <c r="I110" s="10">
        <v>2</v>
      </c>
      <c r="J110" s="10">
        <v>2</v>
      </c>
      <c r="K110" s="10">
        <v>1</v>
      </c>
      <c r="L110" s="10">
        <v>1</v>
      </c>
      <c r="M110" s="10">
        <v>1</v>
      </c>
      <c r="N110" s="402">
        <f t="shared" si="25"/>
        <v>0.16933510251023262</v>
      </c>
      <c r="O110" s="402">
        <f t="shared" si="26"/>
        <v>0.19908580854301616</v>
      </c>
      <c r="P110" s="43" t="s">
        <v>1940</v>
      </c>
    </row>
    <row r="111" spans="1:16" s="433" customFormat="1">
      <c r="A111" s="493" t="s">
        <v>438</v>
      </c>
      <c r="B111" s="493" t="s">
        <v>251</v>
      </c>
      <c r="C111" s="34" t="s">
        <v>139</v>
      </c>
      <c r="D111" s="122" t="s">
        <v>99</v>
      </c>
      <c r="E111" s="242">
        <v>0.52200000000000002</v>
      </c>
      <c r="F111" s="7">
        <v>1</v>
      </c>
      <c r="G111" s="9" t="s">
        <v>412</v>
      </c>
      <c r="H111" s="10">
        <v>1</v>
      </c>
      <c r="I111" s="10">
        <v>2</v>
      </c>
      <c r="J111" s="10">
        <v>2</v>
      </c>
      <c r="K111" s="10">
        <v>1</v>
      </c>
      <c r="L111" s="10">
        <v>1</v>
      </c>
      <c r="M111" s="10">
        <v>1</v>
      </c>
      <c r="N111" s="402">
        <f t="shared" si="25"/>
        <v>0.16933510251023262</v>
      </c>
      <c r="O111" s="402">
        <f t="shared" si="26"/>
        <v>0.19908580854301616</v>
      </c>
      <c r="P111" s="43" t="s">
        <v>1941</v>
      </c>
    </row>
    <row r="112" spans="1:16" s="433" customFormat="1" ht="15" thickBot="1">
      <c r="A112" s="493" t="s">
        <v>438</v>
      </c>
      <c r="B112" s="770" t="s">
        <v>258</v>
      </c>
      <c r="C112" s="34" t="s">
        <v>139</v>
      </c>
      <c r="D112" s="123" t="s">
        <v>99</v>
      </c>
      <c r="E112" s="750">
        <v>3.4000000000000002E-2</v>
      </c>
      <c r="F112" s="12">
        <v>2</v>
      </c>
      <c r="G112" s="12" t="s">
        <v>412</v>
      </c>
      <c r="H112" s="14"/>
      <c r="I112" s="14"/>
      <c r="J112" s="14"/>
      <c r="K112" s="14"/>
      <c r="L112" s="14"/>
      <c r="M112" s="14"/>
      <c r="N112" s="425"/>
      <c r="O112" s="425"/>
      <c r="P112" s="44" t="s">
        <v>1942</v>
      </c>
    </row>
    <row r="113" spans="1:16" s="433" customFormat="1">
      <c r="A113" s="634" t="s">
        <v>437</v>
      </c>
      <c r="B113" s="771" t="s">
        <v>440</v>
      </c>
      <c r="C113" s="34" t="s">
        <v>139</v>
      </c>
      <c r="D113" s="611" t="s">
        <v>99</v>
      </c>
      <c r="E113" s="741">
        <f>0.1*E107</f>
        <v>3.0000000000000001E-3</v>
      </c>
      <c r="F113" s="118">
        <v>2</v>
      </c>
      <c r="G113" s="118" t="s">
        <v>412</v>
      </c>
      <c r="H113" s="66">
        <v>1</v>
      </c>
      <c r="I113" s="66">
        <v>2</v>
      </c>
      <c r="J113" s="66">
        <v>2</v>
      </c>
      <c r="K113" s="66">
        <v>1</v>
      </c>
      <c r="L113" s="66">
        <v>1</v>
      </c>
      <c r="M113" s="66">
        <v>1</v>
      </c>
      <c r="N113" s="435">
        <f t="shared" si="25"/>
        <v>0.16933510251023262</v>
      </c>
      <c r="O113" s="435">
        <f t="shared" si="26"/>
        <v>0.19908580854301616</v>
      </c>
      <c r="P113" s="118" t="s">
        <v>835</v>
      </c>
    </row>
    <row r="114" spans="1:16" s="433" customFormat="1" ht="15" thickBot="1">
      <c r="A114" s="635" t="s">
        <v>437</v>
      </c>
      <c r="B114" s="772" t="s">
        <v>441</v>
      </c>
      <c r="C114" s="34" t="s">
        <v>139</v>
      </c>
      <c r="D114" s="124" t="s">
        <v>99</v>
      </c>
      <c r="E114" s="746" t="s">
        <v>150</v>
      </c>
      <c r="F114" s="119">
        <v>1</v>
      </c>
      <c r="G114" s="119" t="s">
        <v>412</v>
      </c>
      <c r="H114" s="15"/>
      <c r="I114" s="15"/>
      <c r="J114" s="15"/>
      <c r="K114" s="15"/>
      <c r="L114" s="15"/>
      <c r="M114" s="15"/>
      <c r="N114" s="421" t="str">
        <f t="shared" si="25"/>
        <v/>
      </c>
      <c r="O114" s="421" t="str">
        <f t="shared" si="26"/>
        <v/>
      </c>
      <c r="P114" s="119" t="s">
        <v>1919</v>
      </c>
    </row>
    <row r="115" spans="1:16" s="433" customFormat="1" ht="15" thickBot="1">
      <c r="A115" s="630" t="s">
        <v>440</v>
      </c>
      <c r="B115" s="782" t="s">
        <v>228</v>
      </c>
      <c r="C115" s="34" t="s">
        <v>139</v>
      </c>
      <c r="D115" s="778" t="s">
        <v>99</v>
      </c>
      <c r="E115" s="748">
        <v>1</v>
      </c>
      <c r="F115" s="747">
        <v>2</v>
      </c>
      <c r="G115" s="747" t="s">
        <v>412</v>
      </c>
      <c r="H115" s="70">
        <v>1</v>
      </c>
      <c r="I115" s="70">
        <v>2</v>
      </c>
      <c r="J115" s="70">
        <v>2</v>
      </c>
      <c r="K115" s="70">
        <v>1</v>
      </c>
      <c r="L115" s="70">
        <v>1</v>
      </c>
      <c r="M115" s="70">
        <v>1</v>
      </c>
      <c r="N115" s="436">
        <f t="shared" si="25"/>
        <v>0.16933510251023262</v>
      </c>
      <c r="O115" s="436">
        <f t="shared" si="26"/>
        <v>0.19908580854301616</v>
      </c>
      <c r="P115" s="749" t="s">
        <v>836</v>
      </c>
    </row>
    <row r="116" spans="1:16" s="433" customFormat="1">
      <c r="A116" s="634" t="s">
        <v>439</v>
      </c>
      <c r="B116" s="780" t="s">
        <v>231</v>
      </c>
      <c r="C116" s="34" t="s">
        <v>139</v>
      </c>
      <c r="D116" s="611" t="s">
        <v>99</v>
      </c>
      <c r="E116" s="741">
        <v>1.6000000000000001E-3</v>
      </c>
      <c r="F116" s="118">
        <v>2</v>
      </c>
      <c r="G116" s="118" t="s">
        <v>1976</v>
      </c>
      <c r="H116" s="66">
        <v>1</v>
      </c>
      <c r="I116" s="66">
        <v>2</v>
      </c>
      <c r="J116" s="66">
        <v>2</v>
      </c>
      <c r="K116" s="66">
        <v>1</v>
      </c>
      <c r="L116" s="15">
        <v>3</v>
      </c>
      <c r="M116" s="13">
        <v>3</v>
      </c>
      <c r="N116" s="435">
        <f t="shared" si="25"/>
        <v>1.0725046436742278</v>
      </c>
      <c r="O116" s="435">
        <f t="shared" si="26"/>
        <v>1.0776024280428556</v>
      </c>
      <c r="P116" s="118" t="s">
        <v>1955</v>
      </c>
    </row>
    <row r="117" spans="1:16" s="433" customFormat="1">
      <c r="A117" s="310" t="s">
        <v>439</v>
      </c>
      <c r="B117" s="777" t="s">
        <v>232</v>
      </c>
      <c r="C117" s="34" t="s">
        <v>139</v>
      </c>
      <c r="D117" s="122" t="s">
        <v>99</v>
      </c>
      <c r="E117" s="242">
        <v>1.26E-2</v>
      </c>
      <c r="F117" s="9">
        <v>2</v>
      </c>
      <c r="G117" s="9" t="s">
        <v>412</v>
      </c>
      <c r="H117" s="10">
        <v>1</v>
      </c>
      <c r="I117" s="10">
        <v>2</v>
      </c>
      <c r="J117" s="10">
        <v>2</v>
      </c>
      <c r="K117" s="10">
        <v>1</v>
      </c>
      <c r="L117" s="10">
        <v>1</v>
      </c>
      <c r="M117" s="10">
        <v>1</v>
      </c>
      <c r="N117" s="402">
        <f t="shared" si="25"/>
        <v>0.16933510251023262</v>
      </c>
      <c r="O117" s="402">
        <f t="shared" si="26"/>
        <v>0.19908580854301616</v>
      </c>
      <c r="P117" s="9" t="s">
        <v>1956</v>
      </c>
    </row>
    <row r="118" spans="1:16" s="433" customFormat="1">
      <c r="A118" s="310" t="s">
        <v>439</v>
      </c>
      <c r="B118" s="777" t="s">
        <v>251</v>
      </c>
      <c r="C118" s="34" t="s">
        <v>139</v>
      </c>
      <c r="D118" s="122" t="s">
        <v>99</v>
      </c>
      <c r="E118" s="242">
        <v>1.67E-2</v>
      </c>
      <c r="F118" s="9">
        <v>2</v>
      </c>
      <c r="G118" s="9" t="s">
        <v>412</v>
      </c>
      <c r="H118" s="10">
        <v>1</v>
      </c>
      <c r="I118" s="10">
        <v>2</v>
      </c>
      <c r="J118" s="10">
        <v>2</v>
      </c>
      <c r="K118" s="10">
        <v>1</v>
      </c>
      <c r="L118" s="10">
        <v>1</v>
      </c>
      <c r="M118" s="10">
        <v>1</v>
      </c>
      <c r="N118" s="402">
        <f t="shared" si="25"/>
        <v>0.16933510251023262</v>
      </c>
      <c r="O118" s="402">
        <f t="shared" si="26"/>
        <v>0.19908580854301616</v>
      </c>
      <c r="P118" s="9" t="s">
        <v>1960</v>
      </c>
    </row>
    <row r="119" spans="1:16" s="433" customFormat="1">
      <c r="A119" s="310" t="s">
        <v>439</v>
      </c>
      <c r="B119" s="772" t="s">
        <v>258</v>
      </c>
      <c r="C119" s="34" t="s">
        <v>139</v>
      </c>
      <c r="D119" s="124" t="s">
        <v>99</v>
      </c>
      <c r="E119" s="746">
        <v>1.1000000000000001E-3</v>
      </c>
      <c r="F119" s="119">
        <v>2</v>
      </c>
      <c r="G119" s="119" t="s">
        <v>412</v>
      </c>
      <c r="H119" s="10">
        <v>1</v>
      </c>
      <c r="I119" s="10">
        <v>2</v>
      </c>
      <c r="J119" s="10">
        <v>2</v>
      </c>
      <c r="K119" s="10">
        <v>1</v>
      </c>
      <c r="L119" s="10">
        <v>1</v>
      </c>
      <c r="M119" s="10">
        <v>1</v>
      </c>
      <c r="N119" s="402">
        <f>IF( OR( ISBLANK(H119),ISBLANK(J119), ISBLANK(K119), ISBLANK(L119), ISBLANK(M119) ), "", 1.5*SQRT(   EXP(2.21*(H119-1)) + EXP(2.21*(J119-1)) + EXP(2.21*(K119-1)) + EXP(2.21*(L119-1)) + EXP(2.21*M119)   )/100*2.45 )</f>
        <v>0.16933510251023262</v>
      </c>
      <c r="O119" s="402">
        <f>IF( OR( ISBLANK(I119),ISBLANK(J119), ISBLANK(K119), ISBLANK(L119), ISBLANK(M119) ), "", 1.5*SQRT( EXP(2.21*(I119-1)) + EXP(2.21*(J119-1)) + EXP(2.21*(K119-1)) + EXP(2.21*(L119-1)) + EXP(2.21*M119)   )/100*2.45 )</f>
        <v>0.19908580854301616</v>
      </c>
      <c r="P119" s="9" t="s">
        <v>1957</v>
      </c>
    </row>
    <row r="120" spans="1:16" s="433" customFormat="1" ht="15" thickBot="1">
      <c r="A120" s="635" t="s">
        <v>439</v>
      </c>
      <c r="B120" s="781" t="s">
        <v>327</v>
      </c>
      <c r="C120" s="34" t="s">
        <v>139</v>
      </c>
      <c r="D120" s="124" t="s">
        <v>99</v>
      </c>
      <c r="E120" s="746" t="s">
        <v>150</v>
      </c>
      <c r="F120" s="119">
        <v>1</v>
      </c>
      <c r="G120" s="119" t="s">
        <v>412</v>
      </c>
      <c r="H120" s="15"/>
      <c r="I120" s="15"/>
      <c r="J120" s="15"/>
      <c r="K120" s="15"/>
      <c r="L120" s="15"/>
      <c r="M120" s="15"/>
      <c r="N120" s="421" t="str">
        <f t="shared" si="25"/>
        <v/>
      </c>
      <c r="O120" s="421" t="str">
        <f t="shared" si="26"/>
        <v/>
      </c>
      <c r="P120" s="119"/>
    </row>
    <row r="121" spans="1:16" s="433" customFormat="1">
      <c r="A121" s="631" t="s">
        <v>441</v>
      </c>
      <c r="B121" s="780" t="s">
        <v>228</v>
      </c>
      <c r="C121" s="34" t="s">
        <v>139</v>
      </c>
      <c r="D121" s="121" t="s">
        <v>99</v>
      </c>
      <c r="E121" s="629">
        <v>3.2000000000000001E-2</v>
      </c>
      <c r="F121" s="11">
        <v>2</v>
      </c>
      <c r="G121" s="11" t="s">
        <v>412</v>
      </c>
      <c r="H121" s="13">
        <v>1</v>
      </c>
      <c r="I121" s="13">
        <v>2</v>
      </c>
      <c r="J121" s="13">
        <v>2</v>
      </c>
      <c r="K121" s="13">
        <v>1</v>
      </c>
      <c r="L121" s="13">
        <v>1</v>
      </c>
      <c r="M121" s="13">
        <v>1</v>
      </c>
      <c r="N121" s="422">
        <f t="shared" si="25"/>
        <v>0.16933510251023262</v>
      </c>
      <c r="O121" s="422">
        <f t="shared" si="26"/>
        <v>0.19908580854301616</v>
      </c>
      <c r="P121" s="42" t="s">
        <v>840</v>
      </c>
    </row>
    <row r="122" spans="1:16" s="433" customFormat="1" ht="15" thickBot="1">
      <c r="A122" s="632" t="s">
        <v>441</v>
      </c>
      <c r="B122" s="781" t="s">
        <v>327</v>
      </c>
      <c r="C122" s="34" t="s">
        <v>139</v>
      </c>
      <c r="D122" s="123" t="s">
        <v>99</v>
      </c>
      <c r="E122" s="750" t="s">
        <v>150</v>
      </c>
      <c r="F122" s="12">
        <v>1</v>
      </c>
      <c r="G122" s="12" t="s">
        <v>412</v>
      </c>
      <c r="H122" s="14"/>
      <c r="I122" s="14"/>
      <c r="J122" s="14"/>
      <c r="K122" s="14"/>
      <c r="L122" s="14"/>
      <c r="M122" s="14"/>
      <c r="N122" s="425" t="str">
        <f t="shared" si="25"/>
        <v/>
      </c>
      <c r="O122" s="425" t="str">
        <f t="shared" si="26"/>
        <v/>
      </c>
      <c r="P122" s="44" t="s">
        <v>1920</v>
      </c>
    </row>
    <row r="123" spans="1:16" s="433" customFormat="1">
      <c r="A123" s="634" t="s">
        <v>414</v>
      </c>
      <c r="B123" s="771" t="s">
        <v>442</v>
      </c>
      <c r="C123" s="34" t="s">
        <v>139</v>
      </c>
      <c r="D123" s="611" t="s">
        <v>99</v>
      </c>
      <c r="E123" s="741">
        <f>0.97*0.25</f>
        <v>0.24249999999999999</v>
      </c>
      <c r="F123" s="118">
        <v>2</v>
      </c>
      <c r="G123" s="118" t="s">
        <v>412</v>
      </c>
      <c r="H123" s="66">
        <v>1</v>
      </c>
      <c r="I123" s="66">
        <v>2</v>
      </c>
      <c r="J123" s="66">
        <v>2</v>
      </c>
      <c r="K123" s="66">
        <v>1</v>
      </c>
      <c r="L123" s="66">
        <v>1</v>
      </c>
      <c r="M123" s="66">
        <v>1</v>
      </c>
      <c r="N123" s="435">
        <f t="shared" si="25"/>
        <v>0.16933510251023262</v>
      </c>
      <c r="O123" s="435">
        <f t="shared" si="26"/>
        <v>0.19908580854301616</v>
      </c>
      <c r="P123" s="118" t="s">
        <v>841</v>
      </c>
    </row>
    <row r="124" spans="1:16" s="433" customFormat="1">
      <c r="A124" s="310" t="s">
        <v>414</v>
      </c>
      <c r="B124" s="777" t="s">
        <v>443</v>
      </c>
      <c r="C124" s="34" t="s">
        <v>139</v>
      </c>
      <c r="D124" s="122" t="s">
        <v>99</v>
      </c>
      <c r="E124" s="242">
        <f>0.97*0.75</f>
        <v>0.72750000000000004</v>
      </c>
      <c r="F124" s="9">
        <v>2</v>
      </c>
      <c r="G124" s="9" t="s">
        <v>412</v>
      </c>
      <c r="H124" s="10">
        <v>1</v>
      </c>
      <c r="I124" s="10">
        <v>2</v>
      </c>
      <c r="J124" s="10">
        <v>2</v>
      </c>
      <c r="K124" s="10">
        <v>1</v>
      </c>
      <c r="L124" s="10">
        <v>1</v>
      </c>
      <c r="M124" s="10">
        <v>1</v>
      </c>
      <c r="N124" s="402">
        <f t="shared" si="25"/>
        <v>0.16933510251023262</v>
      </c>
      <c r="O124" s="402">
        <f t="shared" si="26"/>
        <v>0.19908580854301616</v>
      </c>
      <c r="P124" s="9" t="s">
        <v>842</v>
      </c>
    </row>
    <row r="125" spans="1:16" s="433" customFormat="1" ht="15" thickBot="1">
      <c r="A125" s="635" t="s">
        <v>414</v>
      </c>
      <c r="B125" s="772" t="s">
        <v>223</v>
      </c>
      <c r="C125" s="34" t="s">
        <v>139</v>
      </c>
      <c r="D125" s="124" t="s">
        <v>99</v>
      </c>
      <c r="E125" s="746">
        <v>0.03</v>
      </c>
      <c r="F125" s="119">
        <v>1</v>
      </c>
      <c r="G125" s="119" t="s">
        <v>412</v>
      </c>
      <c r="H125" s="15">
        <v>1</v>
      </c>
      <c r="I125" s="15">
        <v>2</v>
      </c>
      <c r="J125" s="15">
        <v>2</v>
      </c>
      <c r="K125" s="15">
        <v>1</v>
      </c>
      <c r="L125" s="15">
        <v>1</v>
      </c>
      <c r="M125" s="15">
        <v>1</v>
      </c>
      <c r="N125" s="421">
        <f t="shared" si="25"/>
        <v>0.16933510251023262</v>
      </c>
      <c r="O125" s="421">
        <f t="shared" si="26"/>
        <v>0.19908580854301616</v>
      </c>
      <c r="P125" s="119" t="s">
        <v>833</v>
      </c>
    </row>
    <row r="126" spans="1:16" s="433" customFormat="1">
      <c r="A126" s="631" t="s">
        <v>442</v>
      </c>
      <c r="B126" s="780" t="s">
        <v>445</v>
      </c>
      <c r="C126" s="34" t="s">
        <v>139</v>
      </c>
      <c r="D126" s="121" t="s">
        <v>99</v>
      </c>
      <c r="E126" s="629">
        <v>0.03</v>
      </c>
      <c r="F126" s="11">
        <v>2</v>
      </c>
      <c r="G126" s="11" t="s">
        <v>412</v>
      </c>
      <c r="H126" s="13">
        <v>1</v>
      </c>
      <c r="I126" s="13">
        <v>2</v>
      </c>
      <c r="J126" s="13">
        <v>2</v>
      </c>
      <c r="K126" s="13">
        <v>1</v>
      </c>
      <c r="L126" s="13">
        <v>1</v>
      </c>
      <c r="M126" s="13">
        <v>1</v>
      </c>
      <c r="N126" s="422">
        <f t="shared" si="25"/>
        <v>0.16933510251023262</v>
      </c>
      <c r="O126" s="422">
        <f t="shared" si="26"/>
        <v>0.19908580854301616</v>
      </c>
      <c r="P126" s="42" t="s">
        <v>834</v>
      </c>
    </row>
    <row r="127" spans="1:16" s="433" customFormat="1" ht="15" thickBot="1">
      <c r="A127" s="632" t="s">
        <v>442</v>
      </c>
      <c r="B127" s="781" t="s">
        <v>446</v>
      </c>
      <c r="C127" s="34" t="s">
        <v>139</v>
      </c>
      <c r="D127" s="123" t="s">
        <v>99</v>
      </c>
      <c r="E127" s="750" t="s">
        <v>150</v>
      </c>
      <c r="F127" s="12">
        <v>1</v>
      </c>
      <c r="G127" s="12" t="s">
        <v>412</v>
      </c>
      <c r="H127" s="14"/>
      <c r="I127" s="14"/>
      <c r="J127" s="14"/>
      <c r="K127" s="14"/>
      <c r="L127" s="14"/>
      <c r="M127" s="14"/>
      <c r="N127" s="425" t="str">
        <f t="shared" si="25"/>
        <v/>
      </c>
      <c r="O127" s="425" t="str">
        <f t="shared" si="26"/>
        <v/>
      </c>
      <c r="P127" s="44" t="s">
        <v>1921</v>
      </c>
    </row>
    <row r="128" spans="1:16" s="433" customFormat="1">
      <c r="A128" s="634" t="s">
        <v>445</v>
      </c>
      <c r="B128" s="771" t="s">
        <v>231</v>
      </c>
      <c r="C128" s="34" t="s">
        <v>139</v>
      </c>
      <c r="D128" s="611" t="s">
        <v>99</v>
      </c>
      <c r="E128" s="746">
        <v>0.05</v>
      </c>
      <c r="F128" s="119">
        <v>2</v>
      </c>
      <c r="G128" s="11" t="s">
        <v>157</v>
      </c>
      <c r="H128" s="66">
        <v>1</v>
      </c>
      <c r="I128" s="66">
        <v>2</v>
      </c>
      <c r="J128" s="66">
        <v>2</v>
      </c>
      <c r="K128" s="66">
        <v>1</v>
      </c>
      <c r="L128" s="15">
        <v>3</v>
      </c>
      <c r="M128" s="13">
        <v>3</v>
      </c>
      <c r="N128" s="435">
        <f t="shared" si="25"/>
        <v>1.0725046436742278</v>
      </c>
      <c r="O128" s="435">
        <f t="shared" si="26"/>
        <v>1.0776024280428556</v>
      </c>
      <c r="P128" s="119" t="s">
        <v>1916</v>
      </c>
    </row>
    <row r="129" spans="1:16" s="433" customFormat="1">
      <c r="A129" s="310" t="s">
        <v>445</v>
      </c>
      <c r="B129" s="777" t="s">
        <v>232</v>
      </c>
      <c r="C129" s="34" t="s">
        <v>139</v>
      </c>
      <c r="D129" s="122" t="s">
        <v>99</v>
      </c>
      <c r="E129" s="242">
        <v>0.39400000000000002</v>
      </c>
      <c r="F129" s="9">
        <v>2</v>
      </c>
      <c r="G129" s="9" t="s">
        <v>412</v>
      </c>
      <c r="H129" s="10">
        <v>1</v>
      </c>
      <c r="I129" s="10">
        <v>2</v>
      </c>
      <c r="J129" s="10">
        <v>2</v>
      </c>
      <c r="K129" s="10">
        <v>1</v>
      </c>
      <c r="L129" s="10">
        <v>1</v>
      </c>
      <c r="M129" s="10">
        <v>1</v>
      </c>
      <c r="N129" s="402">
        <f t="shared" si="25"/>
        <v>0.16933510251023262</v>
      </c>
      <c r="O129" s="402">
        <f t="shared" si="26"/>
        <v>0.19908580854301616</v>
      </c>
      <c r="P129" s="9" t="s">
        <v>1940</v>
      </c>
    </row>
    <row r="130" spans="1:16" s="433" customFormat="1">
      <c r="A130" s="635" t="s">
        <v>445</v>
      </c>
      <c r="B130" s="772" t="s">
        <v>251</v>
      </c>
      <c r="C130" s="34" t="s">
        <v>139</v>
      </c>
      <c r="D130" s="124" t="s">
        <v>99</v>
      </c>
      <c r="E130" s="242">
        <v>0.52200000000000002</v>
      </c>
      <c r="F130" s="7">
        <v>1</v>
      </c>
      <c r="G130" s="9" t="s">
        <v>412</v>
      </c>
      <c r="H130" s="15">
        <v>1</v>
      </c>
      <c r="I130" s="15">
        <v>2</v>
      </c>
      <c r="J130" s="15">
        <v>2</v>
      </c>
      <c r="K130" s="15">
        <v>1</v>
      </c>
      <c r="L130" s="15">
        <v>1</v>
      </c>
      <c r="M130" s="15">
        <v>1</v>
      </c>
      <c r="N130" s="421">
        <f t="shared" ref="N130:N201" si="27">IF( OR( ISBLANK(H130),ISBLANK(J130), ISBLANK(K130), ISBLANK(L130), ISBLANK(M130) ), "", 1.5*SQRT(   EXP(2.21*(H130-1)) + EXP(2.21*(J130-1)) + EXP(2.21*(K130-1)) + EXP(2.21*(L130-1)) + EXP(2.21*M130)   )/100*2.45 )</f>
        <v>0.16933510251023262</v>
      </c>
      <c r="O130" s="421">
        <f t="shared" ref="O130:O201" si="28">IF( OR( ISBLANK(I130),ISBLANK(J130), ISBLANK(K130), ISBLANK(L130), ISBLANK(M130) ), "", 1.5*SQRT( EXP(2.21*(I130-1)) + EXP(2.21*(J130-1)) + EXP(2.21*(K130-1)) + EXP(2.21*(L130-1)) + EXP(2.21*M130)   )/100*2.45 )</f>
        <v>0.19908580854301616</v>
      </c>
      <c r="P130" s="9" t="s">
        <v>1941</v>
      </c>
    </row>
    <row r="131" spans="1:16" s="433" customFormat="1" ht="15" thickBot="1">
      <c r="A131" s="635" t="s">
        <v>445</v>
      </c>
      <c r="B131" s="772" t="s">
        <v>258</v>
      </c>
      <c r="C131" s="34" t="s">
        <v>139</v>
      </c>
      <c r="D131" s="124" t="s">
        <v>99</v>
      </c>
      <c r="E131" s="746">
        <v>3.4000000000000002E-2</v>
      </c>
      <c r="F131" s="119">
        <v>2</v>
      </c>
      <c r="G131" s="9" t="s">
        <v>412</v>
      </c>
      <c r="H131" s="15"/>
      <c r="I131" s="15"/>
      <c r="J131" s="15"/>
      <c r="K131" s="15"/>
      <c r="L131" s="15"/>
      <c r="M131" s="15"/>
      <c r="N131" s="421"/>
      <c r="O131" s="421"/>
      <c r="P131" s="119" t="s">
        <v>1942</v>
      </c>
    </row>
    <row r="132" spans="1:16" s="433" customFormat="1">
      <c r="A132" s="631" t="s">
        <v>443</v>
      </c>
      <c r="B132" s="780" t="s">
        <v>447</v>
      </c>
      <c r="C132" s="34" t="s">
        <v>139</v>
      </c>
      <c r="D132" s="121" t="s">
        <v>99</v>
      </c>
      <c r="E132" s="629">
        <f>0.1*E126</f>
        <v>3.0000000000000001E-3</v>
      </c>
      <c r="F132" s="11">
        <v>2</v>
      </c>
      <c r="G132" s="11" t="s">
        <v>412</v>
      </c>
      <c r="H132" s="13">
        <v>1</v>
      </c>
      <c r="I132" s="13">
        <v>2</v>
      </c>
      <c r="J132" s="13">
        <v>2</v>
      </c>
      <c r="K132" s="13">
        <v>1</v>
      </c>
      <c r="L132" s="13">
        <v>1</v>
      </c>
      <c r="M132" s="13">
        <v>1</v>
      </c>
      <c r="N132" s="422">
        <f t="shared" si="27"/>
        <v>0.16933510251023262</v>
      </c>
      <c r="O132" s="422">
        <f t="shared" si="28"/>
        <v>0.19908580854301616</v>
      </c>
      <c r="P132" s="42" t="s">
        <v>835</v>
      </c>
    </row>
    <row r="133" spans="1:16" s="433" customFormat="1" ht="15" thickBot="1">
      <c r="A133" s="632" t="s">
        <v>443</v>
      </c>
      <c r="B133" s="781" t="s">
        <v>448</v>
      </c>
      <c r="C133" s="34" t="s">
        <v>139</v>
      </c>
      <c r="D133" s="123" t="s">
        <v>99</v>
      </c>
      <c r="E133" s="750" t="s">
        <v>150</v>
      </c>
      <c r="F133" s="12">
        <v>1</v>
      </c>
      <c r="G133" s="12" t="s">
        <v>412</v>
      </c>
      <c r="H133" s="14"/>
      <c r="I133" s="14"/>
      <c r="J133" s="14"/>
      <c r="K133" s="14"/>
      <c r="L133" s="14"/>
      <c r="M133" s="14"/>
      <c r="N133" s="425" t="str">
        <f t="shared" si="27"/>
        <v/>
      </c>
      <c r="O133" s="425" t="str">
        <f t="shared" si="28"/>
        <v/>
      </c>
      <c r="P133" s="44" t="s">
        <v>1921</v>
      </c>
    </row>
    <row r="134" spans="1:16" s="433" customFormat="1" ht="15" thickBot="1">
      <c r="A134" s="755" t="s">
        <v>447</v>
      </c>
      <c r="B134" s="774" t="s">
        <v>228</v>
      </c>
      <c r="C134" s="34" t="s">
        <v>139</v>
      </c>
      <c r="D134" s="784" t="s">
        <v>99</v>
      </c>
      <c r="E134" s="752">
        <v>1</v>
      </c>
      <c r="F134" s="751">
        <v>2</v>
      </c>
      <c r="G134" s="751" t="s">
        <v>412</v>
      </c>
      <c r="H134" s="71">
        <v>1</v>
      </c>
      <c r="I134" s="71">
        <v>2</v>
      </c>
      <c r="J134" s="71">
        <v>2</v>
      </c>
      <c r="K134" s="71">
        <v>1</v>
      </c>
      <c r="L134" s="71">
        <v>1</v>
      </c>
      <c r="M134" s="71">
        <v>1</v>
      </c>
      <c r="N134" s="756">
        <f t="shared" si="27"/>
        <v>0.16933510251023262</v>
      </c>
      <c r="O134" s="756">
        <f t="shared" si="28"/>
        <v>0.19908580854301616</v>
      </c>
      <c r="P134" s="751" t="s">
        <v>836</v>
      </c>
    </row>
    <row r="135" spans="1:16" s="433" customFormat="1">
      <c r="A135" s="631" t="s">
        <v>446</v>
      </c>
      <c r="B135" s="780" t="s">
        <v>231</v>
      </c>
      <c r="C135" s="34" t="s">
        <v>139</v>
      </c>
      <c r="D135" s="121" t="s">
        <v>99</v>
      </c>
      <c r="E135" s="629">
        <v>1.6000000000000001E-3</v>
      </c>
      <c r="F135" s="11">
        <v>2</v>
      </c>
      <c r="G135" s="118" t="s">
        <v>1976</v>
      </c>
      <c r="H135" s="13">
        <v>1</v>
      </c>
      <c r="I135" s="13">
        <v>2</v>
      </c>
      <c r="J135" s="13">
        <v>2</v>
      </c>
      <c r="K135" s="13">
        <v>1</v>
      </c>
      <c r="L135" s="15">
        <v>3</v>
      </c>
      <c r="M135" s="13">
        <v>3</v>
      </c>
      <c r="N135" s="422">
        <f t="shared" si="27"/>
        <v>1.0725046436742278</v>
      </c>
      <c r="O135" s="422">
        <f t="shared" si="28"/>
        <v>1.0776024280428556</v>
      </c>
      <c r="P135" s="42" t="s">
        <v>1949</v>
      </c>
    </row>
    <row r="136" spans="1:16" s="433" customFormat="1">
      <c r="A136" s="633" t="s">
        <v>446</v>
      </c>
      <c r="B136" s="777" t="s">
        <v>232</v>
      </c>
      <c r="C136" s="34" t="s">
        <v>139</v>
      </c>
      <c r="D136" s="122" t="s">
        <v>99</v>
      </c>
      <c r="E136" s="242">
        <v>1.26E-2</v>
      </c>
      <c r="F136" s="9">
        <v>2</v>
      </c>
      <c r="G136" s="9" t="s">
        <v>412</v>
      </c>
      <c r="H136" s="10">
        <v>1</v>
      </c>
      <c r="I136" s="10">
        <v>2</v>
      </c>
      <c r="J136" s="10">
        <v>2</v>
      </c>
      <c r="K136" s="10">
        <v>1</v>
      </c>
      <c r="L136" s="10">
        <v>1</v>
      </c>
      <c r="M136" s="10">
        <v>1</v>
      </c>
      <c r="N136" s="402">
        <f t="shared" si="27"/>
        <v>0.16933510251023262</v>
      </c>
      <c r="O136" s="402">
        <f t="shared" si="28"/>
        <v>0.19908580854301616</v>
      </c>
      <c r="P136" s="43" t="s">
        <v>1950</v>
      </c>
    </row>
    <row r="137" spans="1:16" s="433" customFormat="1">
      <c r="A137" s="633" t="s">
        <v>446</v>
      </c>
      <c r="B137" s="777" t="s">
        <v>251</v>
      </c>
      <c r="C137" s="34" t="s">
        <v>139</v>
      </c>
      <c r="D137" s="122" t="s">
        <v>99</v>
      </c>
      <c r="E137" s="242">
        <v>1.67E-2</v>
      </c>
      <c r="F137" s="9">
        <v>2</v>
      </c>
      <c r="G137" s="9" t="s">
        <v>412</v>
      </c>
      <c r="H137" s="10">
        <v>1</v>
      </c>
      <c r="I137" s="10">
        <v>2</v>
      </c>
      <c r="J137" s="10">
        <v>2</v>
      </c>
      <c r="K137" s="10">
        <v>1</v>
      </c>
      <c r="L137" s="10">
        <v>1</v>
      </c>
      <c r="M137" s="10">
        <v>1</v>
      </c>
      <c r="N137" s="402">
        <f t="shared" si="27"/>
        <v>0.16933510251023262</v>
      </c>
      <c r="O137" s="402">
        <f t="shared" si="28"/>
        <v>0.19908580854301616</v>
      </c>
      <c r="P137" s="43" t="s">
        <v>1961</v>
      </c>
    </row>
    <row r="138" spans="1:16" s="433" customFormat="1">
      <c r="A138" s="633" t="s">
        <v>446</v>
      </c>
      <c r="B138" s="772" t="s">
        <v>258</v>
      </c>
      <c r="C138" s="34" t="s">
        <v>139</v>
      </c>
      <c r="D138" s="124" t="s">
        <v>99</v>
      </c>
      <c r="E138" s="746">
        <v>1.1000000000000001E-3</v>
      </c>
      <c r="F138" s="119">
        <v>2</v>
      </c>
      <c r="G138" s="119" t="s">
        <v>412</v>
      </c>
      <c r="H138" s="10">
        <v>1</v>
      </c>
      <c r="I138" s="10">
        <v>2</v>
      </c>
      <c r="J138" s="10">
        <v>2</v>
      </c>
      <c r="K138" s="10">
        <v>1</v>
      </c>
      <c r="L138" s="10">
        <v>1</v>
      </c>
      <c r="M138" s="10">
        <v>1</v>
      </c>
      <c r="N138" s="402">
        <f>IF( OR( ISBLANK(H138),ISBLANK(J138), ISBLANK(K138), ISBLANK(L138), ISBLANK(M138) ), "", 1.5*SQRT(   EXP(2.21*(H138-1)) + EXP(2.21*(J138-1)) + EXP(2.21*(K138-1)) + EXP(2.21*(L138-1)) + EXP(2.21*M138)   )/100*2.45 )</f>
        <v>0.16933510251023262</v>
      </c>
      <c r="O138" s="402">
        <f>IF( OR( ISBLANK(I138),ISBLANK(J138), ISBLANK(K138), ISBLANK(L138), ISBLANK(M138) ), "", 1.5*SQRT( EXP(2.21*(I138-1)) + EXP(2.21*(J138-1)) + EXP(2.21*(K138-1)) + EXP(2.21*(L138-1)) + EXP(2.21*M138)   )/100*2.45 )</f>
        <v>0.19908580854301616</v>
      </c>
      <c r="P138" s="43" t="s">
        <v>1951</v>
      </c>
    </row>
    <row r="139" spans="1:16" s="433" customFormat="1" ht="15" thickBot="1">
      <c r="A139" s="632" t="s">
        <v>446</v>
      </c>
      <c r="B139" s="781" t="s">
        <v>327</v>
      </c>
      <c r="C139" s="34" t="s">
        <v>139</v>
      </c>
      <c r="D139" s="123" t="s">
        <v>99</v>
      </c>
      <c r="E139" s="750" t="s">
        <v>150</v>
      </c>
      <c r="F139" s="12">
        <v>1</v>
      </c>
      <c r="G139" s="12" t="s">
        <v>412</v>
      </c>
      <c r="H139" s="14"/>
      <c r="I139" s="14"/>
      <c r="J139" s="14"/>
      <c r="K139" s="14"/>
      <c r="L139" s="14"/>
      <c r="M139" s="14"/>
      <c r="N139" s="425" t="str">
        <f t="shared" si="27"/>
        <v/>
      </c>
      <c r="O139" s="425" t="str">
        <f t="shared" si="28"/>
        <v/>
      </c>
      <c r="P139" s="44"/>
    </row>
    <row r="140" spans="1:16" s="433" customFormat="1">
      <c r="A140" s="634" t="s">
        <v>448</v>
      </c>
      <c r="B140" s="771" t="s">
        <v>228</v>
      </c>
      <c r="C140" s="34" t="s">
        <v>139</v>
      </c>
      <c r="D140" s="611" t="s">
        <v>99</v>
      </c>
      <c r="E140" s="741">
        <v>3.2000000000000001E-2</v>
      </c>
      <c r="F140" s="118">
        <v>2</v>
      </c>
      <c r="G140" s="118" t="s">
        <v>412</v>
      </c>
      <c r="H140" s="66">
        <v>1</v>
      </c>
      <c r="I140" s="66">
        <v>2</v>
      </c>
      <c r="J140" s="66">
        <v>2</v>
      </c>
      <c r="K140" s="66">
        <v>1</v>
      </c>
      <c r="L140" s="66">
        <v>1</v>
      </c>
      <c r="M140" s="66">
        <v>1</v>
      </c>
      <c r="N140" s="435">
        <f t="shared" si="27"/>
        <v>0.16933510251023262</v>
      </c>
      <c r="O140" s="435">
        <f t="shared" si="28"/>
        <v>0.19908580854301616</v>
      </c>
      <c r="P140" s="118" t="s">
        <v>840</v>
      </c>
    </row>
    <row r="141" spans="1:16" s="433" customFormat="1" ht="15" thickBot="1">
      <c r="A141" s="635" t="s">
        <v>448</v>
      </c>
      <c r="B141" s="772" t="s">
        <v>327</v>
      </c>
      <c r="C141" s="34" t="s">
        <v>139</v>
      </c>
      <c r="D141" s="124" t="s">
        <v>99</v>
      </c>
      <c r="E141" s="746" t="s">
        <v>150</v>
      </c>
      <c r="F141" s="119">
        <v>1</v>
      </c>
      <c r="G141" s="119" t="s">
        <v>412</v>
      </c>
      <c r="H141" s="15"/>
      <c r="I141" s="15"/>
      <c r="J141" s="15"/>
      <c r="K141" s="15"/>
      <c r="L141" s="15"/>
      <c r="M141" s="15"/>
      <c r="N141" s="421" t="str">
        <f t="shared" si="27"/>
        <v/>
      </c>
      <c r="O141" s="421" t="str">
        <f t="shared" si="28"/>
        <v/>
      </c>
      <c r="P141" s="119" t="s">
        <v>1922</v>
      </c>
    </row>
    <row r="142" spans="1:16" s="433" customFormat="1">
      <c r="A142" s="631" t="s">
        <v>415</v>
      </c>
      <c r="B142" s="780" t="s">
        <v>449</v>
      </c>
      <c r="C142" s="34" t="s">
        <v>139</v>
      </c>
      <c r="D142" s="121" t="s">
        <v>99</v>
      </c>
      <c r="E142" s="629">
        <f>0.97*0.07</f>
        <v>6.7900000000000002E-2</v>
      </c>
      <c r="F142" s="11">
        <v>2</v>
      </c>
      <c r="G142" s="11" t="s">
        <v>412</v>
      </c>
      <c r="H142" s="13">
        <v>1</v>
      </c>
      <c r="I142" s="13">
        <v>2</v>
      </c>
      <c r="J142" s="13">
        <v>2</v>
      </c>
      <c r="K142" s="13">
        <v>1</v>
      </c>
      <c r="L142" s="13">
        <v>1</v>
      </c>
      <c r="M142" s="13">
        <v>1</v>
      </c>
      <c r="N142" s="422">
        <f t="shared" si="27"/>
        <v>0.16933510251023262</v>
      </c>
      <c r="O142" s="422">
        <f t="shared" si="28"/>
        <v>0.19908580854301616</v>
      </c>
      <c r="P142" s="42" t="s">
        <v>843</v>
      </c>
    </row>
    <row r="143" spans="1:16" s="433" customFormat="1">
      <c r="A143" s="633" t="s">
        <v>415</v>
      </c>
      <c r="B143" s="777" t="s">
        <v>450</v>
      </c>
      <c r="C143" s="34" t="s">
        <v>139</v>
      </c>
      <c r="D143" s="122" t="s">
        <v>99</v>
      </c>
      <c r="E143" s="242">
        <f>0.97*0.93</f>
        <v>0.90210000000000001</v>
      </c>
      <c r="F143" s="9">
        <v>2</v>
      </c>
      <c r="G143" s="9" t="s">
        <v>412</v>
      </c>
      <c r="H143" s="10">
        <v>1</v>
      </c>
      <c r="I143" s="10">
        <v>2</v>
      </c>
      <c r="J143" s="10">
        <v>2</v>
      </c>
      <c r="K143" s="10">
        <v>1</v>
      </c>
      <c r="L143" s="10">
        <v>1</v>
      </c>
      <c r="M143" s="10">
        <v>1</v>
      </c>
      <c r="N143" s="402">
        <f t="shared" si="27"/>
        <v>0.16933510251023262</v>
      </c>
      <c r="O143" s="402">
        <f t="shared" si="28"/>
        <v>0.19908580854301616</v>
      </c>
      <c r="P143" s="43" t="s">
        <v>844</v>
      </c>
    </row>
    <row r="144" spans="1:16" s="433" customFormat="1" ht="15" thickBot="1">
      <c r="A144" s="632" t="s">
        <v>415</v>
      </c>
      <c r="B144" s="781" t="s">
        <v>223</v>
      </c>
      <c r="C144" s="34" t="s">
        <v>139</v>
      </c>
      <c r="D144" s="123" t="s">
        <v>99</v>
      </c>
      <c r="E144" s="750">
        <v>0.03</v>
      </c>
      <c r="F144" s="12">
        <v>1</v>
      </c>
      <c r="G144" s="12" t="s">
        <v>412</v>
      </c>
      <c r="H144" s="14">
        <v>1</v>
      </c>
      <c r="I144" s="14">
        <v>2</v>
      </c>
      <c r="J144" s="14">
        <v>2</v>
      </c>
      <c r="K144" s="14">
        <v>1</v>
      </c>
      <c r="L144" s="14">
        <v>1</v>
      </c>
      <c r="M144" s="14">
        <v>1</v>
      </c>
      <c r="N144" s="425">
        <f t="shared" si="27"/>
        <v>0.16933510251023262</v>
      </c>
      <c r="O144" s="425">
        <f t="shared" si="28"/>
        <v>0.19908580854301616</v>
      </c>
      <c r="P144" s="44" t="s">
        <v>833</v>
      </c>
    </row>
    <row r="145" spans="1:16" s="433" customFormat="1">
      <c r="A145" s="771" t="s">
        <v>449</v>
      </c>
      <c r="B145" s="434" t="s">
        <v>452</v>
      </c>
      <c r="C145" s="34" t="s">
        <v>139</v>
      </c>
      <c r="D145" s="121" t="s">
        <v>99</v>
      </c>
      <c r="E145" s="629">
        <v>0.03</v>
      </c>
      <c r="F145" s="11">
        <v>2</v>
      </c>
      <c r="G145" s="11" t="s">
        <v>412</v>
      </c>
      <c r="H145" s="13">
        <v>1</v>
      </c>
      <c r="I145" s="13">
        <v>2</v>
      </c>
      <c r="J145" s="13">
        <v>2</v>
      </c>
      <c r="K145" s="13">
        <v>1</v>
      </c>
      <c r="L145" s="13">
        <v>1</v>
      </c>
      <c r="M145" s="13">
        <v>1</v>
      </c>
      <c r="N145" s="422">
        <f t="shared" si="27"/>
        <v>0.16933510251023262</v>
      </c>
      <c r="O145" s="422">
        <f t="shared" si="28"/>
        <v>0.19908580854301616</v>
      </c>
      <c r="P145" s="42" t="s">
        <v>834</v>
      </c>
    </row>
    <row r="146" spans="1:16" s="433" customFormat="1" ht="15" thickBot="1">
      <c r="A146" s="772" t="s">
        <v>449</v>
      </c>
      <c r="B146" s="770" t="s">
        <v>453</v>
      </c>
      <c r="C146" s="34" t="s">
        <v>139</v>
      </c>
      <c r="D146" s="123" t="s">
        <v>99</v>
      </c>
      <c r="E146" s="750" t="s">
        <v>150</v>
      </c>
      <c r="F146" s="12">
        <v>1</v>
      </c>
      <c r="G146" s="12" t="s">
        <v>412</v>
      </c>
      <c r="H146" s="14"/>
      <c r="I146" s="14"/>
      <c r="J146" s="14"/>
      <c r="K146" s="14"/>
      <c r="L146" s="14"/>
      <c r="M146" s="14"/>
      <c r="N146" s="425" t="str">
        <f t="shared" si="27"/>
        <v/>
      </c>
      <c r="O146" s="425" t="str">
        <f t="shared" si="28"/>
        <v/>
      </c>
      <c r="P146" s="44" t="s">
        <v>1923</v>
      </c>
    </row>
    <row r="147" spans="1:16" s="433" customFormat="1">
      <c r="A147" s="631" t="s">
        <v>452</v>
      </c>
      <c r="B147" s="771" t="s">
        <v>231</v>
      </c>
      <c r="C147" s="34" t="s">
        <v>139</v>
      </c>
      <c r="D147" s="611" t="s">
        <v>99</v>
      </c>
      <c r="E147" s="752">
        <v>0.05</v>
      </c>
      <c r="F147" s="751">
        <v>2</v>
      </c>
      <c r="G147" s="11" t="s">
        <v>157</v>
      </c>
      <c r="H147" s="66">
        <v>1</v>
      </c>
      <c r="I147" s="66">
        <v>2</v>
      </c>
      <c r="J147" s="66">
        <v>2</v>
      </c>
      <c r="K147" s="66">
        <v>1</v>
      </c>
      <c r="L147" s="71">
        <v>3</v>
      </c>
      <c r="M147" s="66">
        <v>3</v>
      </c>
      <c r="N147" s="435">
        <f t="shared" si="27"/>
        <v>1.0725046436742278</v>
      </c>
      <c r="O147" s="435">
        <f t="shared" si="28"/>
        <v>1.0776024280428556</v>
      </c>
      <c r="P147" s="773" t="s">
        <v>1916</v>
      </c>
    </row>
    <row r="148" spans="1:16" s="433" customFormat="1">
      <c r="A148" s="633" t="s">
        <v>452</v>
      </c>
      <c r="B148" s="777" t="s">
        <v>232</v>
      </c>
      <c r="C148" s="34" t="s">
        <v>139</v>
      </c>
      <c r="D148" s="122" t="s">
        <v>99</v>
      </c>
      <c r="E148" s="242">
        <v>0.39400000000000002</v>
      </c>
      <c r="F148" s="9">
        <v>2</v>
      </c>
      <c r="G148" s="9" t="s">
        <v>412</v>
      </c>
      <c r="H148" s="10">
        <v>1</v>
      </c>
      <c r="I148" s="10">
        <v>2</v>
      </c>
      <c r="J148" s="10">
        <v>2</v>
      </c>
      <c r="K148" s="10">
        <v>1</v>
      </c>
      <c r="L148" s="10">
        <v>1</v>
      </c>
      <c r="M148" s="10">
        <v>1</v>
      </c>
      <c r="N148" s="402">
        <f t="shared" si="27"/>
        <v>0.16933510251023262</v>
      </c>
      <c r="O148" s="402">
        <f t="shared" si="28"/>
        <v>0.19908580854301616</v>
      </c>
      <c r="P148" s="43" t="s">
        <v>1940</v>
      </c>
    </row>
    <row r="149" spans="1:16" s="433" customFormat="1">
      <c r="A149" s="633" t="s">
        <v>452</v>
      </c>
      <c r="B149" s="777" t="s">
        <v>251</v>
      </c>
      <c r="C149" s="34" t="s">
        <v>139</v>
      </c>
      <c r="D149" s="122" t="s">
        <v>99</v>
      </c>
      <c r="E149" s="242">
        <v>0.52200000000000002</v>
      </c>
      <c r="F149" s="7">
        <v>1</v>
      </c>
      <c r="G149" s="9" t="s">
        <v>412</v>
      </c>
      <c r="H149" s="10">
        <v>1</v>
      </c>
      <c r="I149" s="10">
        <v>2</v>
      </c>
      <c r="J149" s="10">
        <v>2</v>
      </c>
      <c r="K149" s="10">
        <v>1</v>
      </c>
      <c r="L149" s="10">
        <v>1</v>
      </c>
      <c r="M149" s="10">
        <v>1</v>
      </c>
      <c r="N149" s="402">
        <f t="shared" si="27"/>
        <v>0.16933510251023262</v>
      </c>
      <c r="O149" s="402">
        <f t="shared" si="28"/>
        <v>0.19908580854301616</v>
      </c>
      <c r="P149" s="43" t="s">
        <v>1941</v>
      </c>
    </row>
    <row r="150" spans="1:16" s="433" customFormat="1" ht="15" thickBot="1">
      <c r="A150" s="632" t="s">
        <v>452</v>
      </c>
      <c r="B150" s="772" t="s">
        <v>258</v>
      </c>
      <c r="C150" s="34" t="s">
        <v>139</v>
      </c>
      <c r="D150" s="124" t="s">
        <v>99</v>
      </c>
      <c r="E150" s="746">
        <v>3.4000000000000002E-2</v>
      </c>
      <c r="F150" s="119">
        <v>2</v>
      </c>
      <c r="G150" s="119" t="s">
        <v>412</v>
      </c>
      <c r="H150" s="15"/>
      <c r="I150" s="15"/>
      <c r="J150" s="15"/>
      <c r="K150" s="15"/>
      <c r="L150" s="15"/>
      <c r="M150" s="15"/>
      <c r="N150" s="421"/>
      <c r="O150" s="421"/>
      <c r="P150" s="155" t="s">
        <v>1942</v>
      </c>
    </row>
    <row r="151" spans="1:16" s="433" customFormat="1">
      <c r="A151" s="771" t="s">
        <v>450</v>
      </c>
      <c r="B151" s="434" t="s">
        <v>454</v>
      </c>
      <c r="C151" s="34" t="s">
        <v>139</v>
      </c>
      <c r="D151" s="121" t="s">
        <v>99</v>
      </c>
      <c r="E151" s="629">
        <f>0.1*E145</f>
        <v>3.0000000000000001E-3</v>
      </c>
      <c r="F151" s="11">
        <v>2</v>
      </c>
      <c r="G151" s="11" t="s">
        <v>412</v>
      </c>
      <c r="H151" s="13">
        <v>1</v>
      </c>
      <c r="I151" s="13">
        <v>2</v>
      </c>
      <c r="J151" s="13">
        <v>2</v>
      </c>
      <c r="K151" s="13">
        <v>1</v>
      </c>
      <c r="L151" s="13">
        <v>1</v>
      </c>
      <c r="M151" s="13">
        <v>1</v>
      </c>
      <c r="N151" s="422">
        <f t="shared" si="27"/>
        <v>0.16933510251023262</v>
      </c>
      <c r="O151" s="422">
        <f t="shared" si="28"/>
        <v>0.19908580854301616</v>
      </c>
      <c r="P151" s="42" t="s">
        <v>835</v>
      </c>
    </row>
    <row r="152" spans="1:16" s="433" customFormat="1" ht="15" thickBot="1">
      <c r="A152" s="772" t="s">
        <v>450</v>
      </c>
      <c r="B152" s="770" t="s">
        <v>455</v>
      </c>
      <c r="C152" s="34" t="s">
        <v>139</v>
      </c>
      <c r="D152" s="123" t="s">
        <v>99</v>
      </c>
      <c r="E152" s="750" t="s">
        <v>150</v>
      </c>
      <c r="F152" s="12">
        <v>1</v>
      </c>
      <c r="G152" s="12" t="s">
        <v>412</v>
      </c>
      <c r="H152" s="14"/>
      <c r="I152" s="14"/>
      <c r="J152" s="14"/>
      <c r="K152" s="14"/>
      <c r="L152" s="14"/>
      <c r="M152" s="14"/>
      <c r="N152" s="425" t="str">
        <f t="shared" si="27"/>
        <v/>
      </c>
      <c r="O152" s="425" t="str">
        <f t="shared" si="28"/>
        <v/>
      </c>
      <c r="P152" s="44" t="s">
        <v>1923</v>
      </c>
    </row>
    <row r="153" spans="1:16" s="433" customFormat="1" ht="15" thickBot="1">
      <c r="A153" s="630" t="s">
        <v>454</v>
      </c>
      <c r="B153" s="782" t="s">
        <v>228</v>
      </c>
      <c r="C153" s="34" t="s">
        <v>139</v>
      </c>
      <c r="D153" s="778" t="s">
        <v>99</v>
      </c>
      <c r="E153" s="748">
        <v>1</v>
      </c>
      <c r="F153" s="747">
        <v>2</v>
      </c>
      <c r="G153" s="747" t="s">
        <v>412</v>
      </c>
      <c r="H153" s="70">
        <v>1</v>
      </c>
      <c r="I153" s="70">
        <v>2</v>
      </c>
      <c r="J153" s="70">
        <v>2</v>
      </c>
      <c r="K153" s="70">
        <v>1</v>
      </c>
      <c r="L153" s="70">
        <v>1</v>
      </c>
      <c r="M153" s="70">
        <v>1</v>
      </c>
      <c r="N153" s="436">
        <f t="shared" si="27"/>
        <v>0.16933510251023262</v>
      </c>
      <c r="O153" s="436">
        <f t="shared" si="28"/>
        <v>0.19908580854301616</v>
      </c>
      <c r="P153" s="749" t="s">
        <v>836</v>
      </c>
    </row>
    <row r="154" spans="1:16" s="433" customFormat="1">
      <c r="A154" s="634" t="s">
        <v>453</v>
      </c>
      <c r="B154" s="780" t="s">
        <v>231</v>
      </c>
      <c r="C154" s="34" t="s">
        <v>139</v>
      </c>
      <c r="D154" s="611" t="s">
        <v>99</v>
      </c>
      <c r="E154" s="741">
        <v>0</v>
      </c>
      <c r="F154" s="118">
        <v>2</v>
      </c>
      <c r="G154" s="118" t="s">
        <v>412</v>
      </c>
      <c r="H154" s="66">
        <v>1</v>
      </c>
      <c r="I154" s="66">
        <v>2</v>
      </c>
      <c r="J154" s="66">
        <v>2</v>
      </c>
      <c r="K154" s="66">
        <v>1</v>
      </c>
      <c r="L154" s="15">
        <v>1</v>
      </c>
      <c r="M154" s="13">
        <v>1</v>
      </c>
      <c r="N154" s="435">
        <f t="shared" si="27"/>
        <v>0.16933510251023262</v>
      </c>
      <c r="O154" s="435">
        <f t="shared" si="28"/>
        <v>0.19908580854301616</v>
      </c>
      <c r="P154" s="42" t="s">
        <v>1948</v>
      </c>
    </row>
    <row r="155" spans="1:16" s="433" customFormat="1">
      <c r="A155" s="310" t="s">
        <v>453</v>
      </c>
      <c r="B155" s="777" t="s">
        <v>232</v>
      </c>
      <c r="C155" s="34" t="s">
        <v>139</v>
      </c>
      <c r="D155" s="122" t="s">
        <v>99</v>
      </c>
      <c r="E155" s="242">
        <v>0</v>
      </c>
      <c r="F155" s="9">
        <v>2</v>
      </c>
      <c r="G155" s="9" t="s">
        <v>412</v>
      </c>
      <c r="H155" s="10">
        <v>1</v>
      </c>
      <c r="I155" s="10">
        <v>2</v>
      </c>
      <c r="J155" s="10">
        <v>2</v>
      </c>
      <c r="K155" s="10">
        <v>1</v>
      </c>
      <c r="L155" s="10">
        <v>1</v>
      </c>
      <c r="M155" s="10">
        <v>1</v>
      </c>
      <c r="N155" s="402">
        <f t="shared" si="27"/>
        <v>0.16933510251023262</v>
      </c>
      <c r="O155" s="402">
        <f t="shared" si="28"/>
        <v>0.19908580854301616</v>
      </c>
      <c r="P155" s="43" t="s">
        <v>1948</v>
      </c>
    </row>
    <row r="156" spans="1:16" s="433" customFormat="1">
      <c r="A156" s="310" t="s">
        <v>453</v>
      </c>
      <c r="B156" s="777" t="s">
        <v>251</v>
      </c>
      <c r="C156" s="34" t="s">
        <v>139</v>
      </c>
      <c r="D156" s="122" t="s">
        <v>99</v>
      </c>
      <c r="E156" s="242">
        <v>0</v>
      </c>
      <c r="F156" s="9">
        <v>2</v>
      </c>
      <c r="G156" s="9" t="s">
        <v>412</v>
      </c>
      <c r="H156" s="10">
        <v>1</v>
      </c>
      <c r="I156" s="10">
        <v>2</v>
      </c>
      <c r="J156" s="10">
        <v>2</v>
      </c>
      <c r="K156" s="10">
        <v>1</v>
      </c>
      <c r="L156" s="10">
        <v>1</v>
      </c>
      <c r="M156" s="10">
        <v>1</v>
      </c>
      <c r="N156" s="402">
        <f t="shared" si="27"/>
        <v>0.16933510251023262</v>
      </c>
      <c r="O156" s="402">
        <f t="shared" si="28"/>
        <v>0.19908580854301616</v>
      </c>
      <c r="P156" s="43" t="s">
        <v>1948</v>
      </c>
    </row>
    <row r="157" spans="1:16" s="433" customFormat="1">
      <c r="A157" s="310" t="s">
        <v>453</v>
      </c>
      <c r="B157" s="772" t="s">
        <v>258</v>
      </c>
      <c r="C157" s="34" t="s">
        <v>139</v>
      </c>
      <c r="D157" s="124" t="s">
        <v>99</v>
      </c>
      <c r="E157" s="746">
        <v>0</v>
      </c>
      <c r="F157" s="119">
        <v>2</v>
      </c>
      <c r="G157" s="119" t="s">
        <v>412</v>
      </c>
      <c r="H157" s="10">
        <v>1</v>
      </c>
      <c r="I157" s="10">
        <v>2</v>
      </c>
      <c r="J157" s="10">
        <v>2</v>
      </c>
      <c r="K157" s="10">
        <v>1</v>
      </c>
      <c r="L157" s="10">
        <v>1</v>
      </c>
      <c r="M157" s="10">
        <v>1</v>
      </c>
      <c r="N157" s="402">
        <f>IF( OR( ISBLANK(H157),ISBLANK(J157), ISBLANK(K157), ISBLANK(L157), ISBLANK(M157) ), "", 1.5*SQRT(   EXP(2.21*(H157-1)) + EXP(2.21*(J157-1)) + EXP(2.21*(K157-1)) + EXP(2.21*(L157-1)) + EXP(2.21*M157)   )/100*2.45 )</f>
        <v>0.16933510251023262</v>
      </c>
      <c r="O157" s="402">
        <f>IF( OR( ISBLANK(I157),ISBLANK(J157), ISBLANK(K157), ISBLANK(L157), ISBLANK(M157) ), "", 1.5*SQRT( EXP(2.21*(I157-1)) + EXP(2.21*(J157-1)) + EXP(2.21*(K157-1)) + EXP(2.21*(L157-1)) + EXP(2.21*M157)   )/100*2.45 )</f>
        <v>0.19908580854301616</v>
      </c>
      <c r="P157" s="155" t="s">
        <v>1948</v>
      </c>
    </row>
    <row r="158" spans="1:16" s="433" customFormat="1" ht="15" thickBot="1">
      <c r="A158" s="635" t="s">
        <v>453</v>
      </c>
      <c r="B158" s="781" t="s">
        <v>327</v>
      </c>
      <c r="C158" s="34" t="s">
        <v>139</v>
      </c>
      <c r="D158" s="124" t="s">
        <v>99</v>
      </c>
      <c r="E158" s="746" t="s">
        <v>150</v>
      </c>
      <c r="F158" s="119">
        <v>1</v>
      </c>
      <c r="G158" s="119" t="s">
        <v>412</v>
      </c>
      <c r="H158" s="15"/>
      <c r="I158" s="15"/>
      <c r="J158" s="15"/>
      <c r="K158" s="15"/>
      <c r="L158" s="15"/>
      <c r="M158" s="15"/>
      <c r="N158" s="421" t="str">
        <f t="shared" si="27"/>
        <v/>
      </c>
      <c r="O158" s="421" t="str">
        <f t="shared" si="28"/>
        <v/>
      </c>
      <c r="P158" s="44"/>
    </row>
    <row r="159" spans="1:16" s="433" customFormat="1">
      <c r="A159" s="631" t="s">
        <v>455</v>
      </c>
      <c r="B159" s="780" t="s">
        <v>228</v>
      </c>
      <c r="C159" s="34" t="s">
        <v>139</v>
      </c>
      <c r="D159" s="121" t="s">
        <v>99</v>
      </c>
      <c r="E159" s="629">
        <v>0</v>
      </c>
      <c r="F159" s="11">
        <v>2</v>
      </c>
      <c r="G159" s="11" t="s">
        <v>412</v>
      </c>
      <c r="H159" s="13">
        <v>1</v>
      </c>
      <c r="I159" s="13">
        <v>2</v>
      </c>
      <c r="J159" s="13">
        <v>2</v>
      </c>
      <c r="K159" s="13">
        <v>1</v>
      </c>
      <c r="L159" s="13">
        <v>1</v>
      </c>
      <c r="M159" s="13">
        <v>1</v>
      </c>
      <c r="N159" s="422">
        <f t="shared" si="27"/>
        <v>0.16933510251023262</v>
      </c>
      <c r="O159" s="422">
        <f t="shared" si="28"/>
        <v>0.19908580854301616</v>
      </c>
      <c r="P159" s="42" t="s">
        <v>837</v>
      </c>
    </row>
    <row r="160" spans="1:16" s="433" customFormat="1" ht="15" thickBot="1">
      <c r="A160" s="632" t="s">
        <v>455</v>
      </c>
      <c r="B160" s="781" t="s">
        <v>327</v>
      </c>
      <c r="C160" s="34" t="s">
        <v>139</v>
      </c>
      <c r="D160" s="123" t="s">
        <v>99</v>
      </c>
      <c r="E160" s="750" t="s">
        <v>150</v>
      </c>
      <c r="F160" s="12">
        <v>1</v>
      </c>
      <c r="G160" s="12" t="s">
        <v>412</v>
      </c>
      <c r="H160" s="14"/>
      <c r="I160" s="14"/>
      <c r="J160" s="14"/>
      <c r="K160" s="14"/>
      <c r="L160" s="14"/>
      <c r="M160" s="14"/>
      <c r="N160" s="425" t="str">
        <f t="shared" si="27"/>
        <v/>
      </c>
      <c r="O160" s="425" t="str">
        <f t="shared" si="28"/>
        <v/>
      </c>
      <c r="P160" s="44" t="s">
        <v>1924</v>
      </c>
    </row>
    <row r="161" spans="1:16" s="433" customFormat="1">
      <c r="A161" s="634" t="s">
        <v>416</v>
      </c>
      <c r="B161" s="771" t="s">
        <v>457</v>
      </c>
      <c r="C161" s="34" t="s">
        <v>139</v>
      </c>
      <c r="D161" s="611" t="s">
        <v>99</v>
      </c>
      <c r="E161" s="741">
        <f>0.97*0.03</f>
        <v>2.9099999999999997E-2</v>
      </c>
      <c r="F161" s="118">
        <v>2</v>
      </c>
      <c r="G161" s="118" t="s">
        <v>412</v>
      </c>
      <c r="H161" s="66">
        <v>1</v>
      </c>
      <c r="I161" s="66">
        <v>2</v>
      </c>
      <c r="J161" s="66">
        <v>2</v>
      </c>
      <c r="K161" s="66">
        <v>1</v>
      </c>
      <c r="L161" s="66">
        <v>1</v>
      </c>
      <c r="M161" s="66">
        <v>1</v>
      </c>
      <c r="N161" s="435">
        <f t="shared" si="27"/>
        <v>0.16933510251023262</v>
      </c>
      <c r="O161" s="435">
        <f t="shared" si="28"/>
        <v>0.19908580854301616</v>
      </c>
      <c r="P161" s="118" t="s">
        <v>845</v>
      </c>
    </row>
    <row r="162" spans="1:16" s="433" customFormat="1">
      <c r="A162" s="310" t="s">
        <v>416</v>
      </c>
      <c r="B162" s="777" t="s">
        <v>458</v>
      </c>
      <c r="C162" s="34" t="s">
        <v>139</v>
      </c>
      <c r="D162" s="122" t="s">
        <v>99</v>
      </c>
      <c r="E162" s="242">
        <f>0.97*0.97</f>
        <v>0.94089999999999996</v>
      </c>
      <c r="F162" s="9">
        <v>2</v>
      </c>
      <c r="G162" s="9" t="s">
        <v>412</v>
      </c>
      <c r="H162" s="10">
        <v>1</v>
      </c>
      <c r="I162" s="10">
        <v>2</v>
      </c>
      <c r="J162" s="10">
        <v>2</v>
      </c>
      <c r="K162" s="10">
        <v>1</v>
      </c>
      <c r="L162" s="10">
        <v>1</v>
      </c>
      <c r="M162" s="10">
        <v>1</v>
      </c>
      <c r="N162" s="402">
        <f t="shared" si="27"/>
        <v>0.16933510251023262</v>
      </c>
      <c r="O162" s="402">
        <f t="shared" si="28"/>
        <v>0.19908580854301616</v>
      </c>
      <c r="P162" s="9" t="s">
        <v>846</v>
      </c>
    </row>
    <row r="163" spans="1:16" s="433" customFormat="1" ht="15" thickBot="1">
      <c r="A163" s="635" t="s">
        <v>416</v>
      </c>
      <c r="B163" s="772" t="s">
        <v>223</v>
      </c>
      <c r="C163" s="34" t="s">
        <v>139</v>
      </c>
      <c r="D163" s="124" t="s">
        <v>99</v>
      </c>
      <c r="E163" s="746">
        <v>0.03</v>
      </c>
      <c r="F163" s="119">
        <v>1</v>
      </c>
      <c r="G163" s="119" t="s">
        <v>412</v>
      </c>
      <c r="H163" s="15">
        <v>1</v>
      </c>
      <c r="I163" s="15">
        <v>2</v>
      </c>
      <c r="J163" s="15">
        <v>2</v>
      </c>
      <c r="K163" s="15">
        <v>1</v>
      </c>
      <c r="L163" s="15">
        <v>1</v>
      </c>
      <c r="M163" s="15">
        <v>1</v>
      </c>
      <c r="N163" s="421">
        <f t="shared" si="27"/>
        <v>0.16933510251023262</v>
      </c>
      <c r="O163" s="421">
        <f t="shared" si="28"/>
        <v>0.19908580854301616</v>
      </c>
      <c r="P163" s="119" t="s">
        <v>833</v>
      </c>
    </row>
    <row r="164" spans="1:16" s="433" customFormat="1">
      <c r="A164" s="631" t="s">
        <v>457</v>
      </c>
      <c r="B164" s="780" t="s">
        <v>460</v>
      </c>
      <c r="C164" s="34" t="s">
        <v>139</v>
      </c>
      <c r="D164" s="121" t="s">
        <v>99</v>
      </c>
      <c r="E164" s="629">
        <v>0.03</v>
      </c>
      <c r="F164" s="11">
        <v>2</v>
      </c>
      <c r="G164" s="11" t="s">
        <v>412</v>
      </c>
      <c r="H164" s="13">
        <v>1</v>
      </c>
      <c r="I164" s="13">
        <v>2</v>
      </c>
      <c r="J164" s="13">
        <v>2</v>
      </c>
      <c r="K164" s="13">
        <v>1</v>
      </c>
      <c r="L164" s="13">
        <v>1</v>
      </c>
      <c r="M164" s="13">
        <v>1</v>
      </c>
      <c r="N164" s="422">
        <f t="shared" si="27"/>
        <v>0.16933510251023262</v>
      </c>
      <c r="O164" s="422">
        <f t="shared" si="28"/>
        <v>0.19908580854301616</v>
      </c>
      <c r="P164" s="42" t="s">
        <v>834</v>
      </c>
    </row>
    <row r="165" spans="1:16" s="433" customFormat="1" ht="15" thickBot="1">
      <c r="A165" s="632" t="s">
        <v>457</v>
      </c>
      <c r="B165" s="781" t="s">
        <v>461</v>
      </c>
      <c r="C165" s="34" t="s">
        <v>139</v>
      </c>
      <c r="D165" s="123" t="s">
        <v>99</v>
      </c>
      <c r="E165" s="750" t="s">
        <v>150</v>
      </c>
      <c r="F165" s="12">
        <v>1</v>
      </c>
      <c r="G165" s="12" t="s">
        <v>412</v>
      </c>
      <c r="H165" s="14"/>
      <c r="I165" s="14"/>
      <c r="J165" s="14"/>
      <c r="K165" s="14"/>
      <c r="L165" s="14"/>
      <c r="M165" s="14"/>
      <c r="N165" s="425" t="str">
        <f t="shared" si="27"/>
        <v/>
      </c>
      <c r="O165" s="425" t="str">
        <f t="shared" si="28"/>
        <v/>
      </c>
      <c r="P165" s="44" t="s">
        <v>1925</v>
      </c>
    </row>
    <row r="166" spans="1:16" s="433" customFormat="1">
      <c r="A166" s="634" t="s">
        <v>460</v>
      </c>
      <c r="B166" s="771" t="s">
        <v>231</v>
      </c>
      <c r="C166" s="34" t="s">
        <v>139</v>
      </c>
      <c r="D166" s="611" t="s">
        <v>99</v>
      </c>
      <c r="E166" s="746">
        <v>0.05</v>
      </c>
      <c r="F166" s="119">
        <v>2</v>
      </c>
      <c r="G166" s="11" t="s">
        <v>157</v>
      </c>
      <c r="H166" s="66">
        <v>1</v>
      </c>
      <c r="I166" s="66">
        <v>2</v>
      </c>
      <c r="J166" s="66">
        <v>2</v>
      </c>
      <c r="K166" s="66">
        <v>1</v>
      </c>
      <c r="L166" s="15">
        <v>3</v>
      </c>
      <c r="M166" s="13">
        <v>3</v>
      </c>
      <c r="N166" s="435">
        <f t="shared" si="27"/>
        <v>1.0725046436742278</v>
      </c>
      <c r="O166" s="435">
        <f t="shared" si="28"/>
        <v>1.0776024280428556</v>
      </c>
      <c r="P166" s="119" t="s">
        <v>1916</v>
      </c>
    </row>
    <row r="167" spans="1:16" s="433" customFormat="1">
      <c r="A167" s="310" t="s">
        <v>460</v>
      </c>
      <c r="B167" s="777" t="s">
        <v>232</v>
      </c>
      <c r="C167" s="34" t="s">
        <v>139</v>
      </c>
      <c r="D167" s="122" t="s">
        <v>99</v>
      </c>
      <c r="E167" s="242">
        <v>0.39400000000000002</v>
      </c>
      <c r="F167" s="9">
        <v>2</v>
      </c>
      <c r="G167" s="9" t="s">
        <v>412</v>
      </c>
      <c r="H167" s="10">
        <v>1</v>
      </c>
      <c r="I167" s="10">
        <v>2</v>
      </c>
      <c r="J167" s="10">
        <v>2</v>
      </c>
      <c r="K167" s="10">
        <v>1</v>
      </c>
      <c r="L167" s="10">
        <v>1</v>
      </c>
      <c r="M167" s="10">
        <v>1</v>
      </c>
      <c r="N167" s="402">
        <f t="shared" si="27"/>
        <v>0.16933510251023262</v>
      </c>
      <c r="O167" s="402">
        <f t="shared" si="28"/>
        <v>0.19908580854301616</v>
      </c>
      <c r="P167" s="9" t="s">
        <v>1940</v>
      </c>
    </row>
    <row r="168" spans="1:16" s="433" customFormat="1">
      <c r="A168" s="635" t="s">
        <v>460</v>
      </c>
      <c r="B168" s="772" t="s">
        <v>251</v>
      </c>
      <c r="C168" s="34" t="s">
        <v>139</v>
      </c>
      <c r="D168" s="124" t="s">
        <v>99</v>
      </c>
      <c r="E168" s="242">
        <v>0.52200000000000002</v>
      </c>
      <c r="F168" s="7">
        <v>1</v>
      </c>
      <c r="G168" s="9" t="s">
        <v>412</v>
      </c>
      <c r="H168" s="15">
        <v>1</v>
      </c>
      <c r="I168" s="15">
        <v>2</v>
      </c>
      <c r="J168" s="15">
        <v>2</v>
      </c>
      <c r="K168" s="15">
        <v>1</v>
      </c>
      <c r="L168" s="15">
        <v>1</v>
      </c>
      <c r="M168" s="15">
        <v>1</v>
      </c>
      <c r="N168" s="421">
        <f t="shared" si="27"/>
        <v>0.16933510251023262</v>
      </c>
      <c r="O168" s="421">
        <f t="shared" si="28"/>
        <v>0.19908580854301616</v>
      </c>
      <c r="P168" s="9" t="s">
        <v>1941</v>
      </c>
    </row>
    <row r="169" spans="1:16" s="433" customFormat="1" ht="15" thickBot="1">
      <c r="A169" s="635" t="s">
        <v>460</v>
      </c>
      <c r="B169" s="772" t="s">
        <v>258</v>
      </c>
      <c r="C169" s="34" t="s">
        <v>139</v>
      </c>
      <c r="D169" s="124" t="s">
        <v>99</v>
      </c>
      <c r="E169" s="746">
        <v>3.4000000000000002E-2</v>
      </c>
      <c r="F169" s="119">
        <v>2</v>
      </c>
      <c r="G169" s="9" t="s">
        <v>412</v>
      </c>
      <c r="H169" s="15"/>
      <c r="I169" s="15"/>
      <c r="J169" s="15"/>
      <c r="K169" s="15"/>
      <c r="L169" s="15"/>
      <c r="M169" s="15"/>
      <c r="N169" s="421"/>
      <c r="O169" s="421"/>
      <c r="P169" s="119" t="s">
        <v>1942</v>
      </c>
    </row>
    <row r="170" spans="1:16" s="433" customFormat="1">
      <c r="A170" s="631" t="s">
        <v>458</v>
      </c>
      <c r="B170" s="780" t="s">
        <v>462</v>
      </c>
      <c r="C170" s="34" t="s">
        <v>139</v>
      </c>
      <c r="D170" s="121" t="s">
        <v>99</v>
      </c>
      <c r="E170" s="629">
        <f>0.1*E164</f>
        <v>3.0000000000000001E-3</v>
      </c>
      <c r="F170" s="11">
        <v>2</v>
      </c>
      <c r="G170" s="11" t="s">
        <v>412</v>
      </c>
      <c r="H170" s="13">
        <v>1</v>
      </c>
      <c r="I170" s="13">
        <v>2</v>
      </c>
      <c r="J170" s="13">
        <v>2</v>
      </c>
      <c r="K170" s="13">
        <v>1</v>
      </c>
      <c r="L170" s="13">
        <v>1</v>
      </c>
      <c r="M170" s="13">
        <v>1</v>
      </c>
      <c r="N170" s="422">
        <f t="shared" si="27"/>
        <v>0.16933510251023262</v>
      </c>
      <c r="O170" s="422">
        <f t="shared" si="28"/>
        <v>0.19908580854301616</v>
      </c>
      <c r="P170" s="42" t="s">
        <v>835</v>
      </c>
    </row>
    <row r="171" spans="1:16" s="433" customFormat="1" ht="15" thickBot="1">
      <c r="A171" s="632" t="s">
        <v>458</v>
      </c>
      <c r="B171" s="781" t="s">
        <v>463</v>
      </c>
      <c r="C171" s="34" t="s">
        <v>139</v>
      </c>
      <c r="D171" s="123" t="s">
        <v>99</v>
      </c>
      <c r="E171" s="750" t="s">
        <v>150</v>
      </c>
      <c r="F171" s="12">
        <v>1</v>
      </c>
      <c r="G171" s="12" t="s">
        <v>412</v>
      </c>
      <c r="H171" s="14"/>
      <c r="I171" s="14"/>
      <c r="J171" s="14"/>
      <c r="K171" s="14"/>
      <c r="L171" s="14"/>
      <c r="M171" s="14"/>
      <c r="N171" s="425" t="str">
        <f t="shared" si="27"/>
        <v/>
      </c>
      <c r="O171" s="425" t="str">
        <f t="shared" si="28"/>
        <v/>
      </c>
      <c r="P171" s="44" t="s">
        <v>1925</v>
      </c>
    </row>
    <row r="172" spans="1:16" s="433" customFormat="1" ht="15" thickBot="1">
      <c r="A172" s="774" t="s">
        <v>462</v>
      </c>
      <c r="B172" s="783" t="s">
        <v>228</v>
      </c>
      <c r="C172" s="34" t="s">
        <v>139</v>
      </c>
      <c r="D172" s="778" t="s">
        <v>99</v>
      </c>
      <c r="E172" s="748">
        <v>1</v>
      </c>
      <c r="F172" s="747">
        <v>2</v>
      </c>
      <c r="G172" s="747" t="s">
        <v>412</v>
      </c>
      <c r="H172" s="70">
        <v>1</v>
      </c>
      <c r="I172" s="70">
        <v>2</v>
      </c>
      <c r="J172" s="70">
        <v>2</v>
      </c>
      <c r="K172" s="70">
        <v>1</v>
      </c>
      <c r="L172" s="70">
        <v>1</v>
      </c>
      <c r="M172" s="70">
        <v>1</v>
      </c>
      <c r="N172" s="436">
        <f t="shared" si="27"/>
        <v>0.16933510251023262</v>
      </c>
      <c r="O172" s="436">
        <f t="shared" si="28"/>
        <v>0.19908580854301616</v>
      </c>
      <c r="P172" s="749" t="s">
        <v>836</v>
      </c>
    </row>
    <row r="173" spans="1:16" s="433" customFormat="1">
      <c r="A173" s="631" t="s">
        <v>461</v>
      </c>
      <c r="B173" s="771" t="s">
        <v>231</v>
      </c>
      <c r="C173" s="34" t="s">
        <v>139</v>
      </c>
      <c r="D173" s="611" t="s">
        <v>99</v>
      </c>
      <c r="E173" s="741">
        <v>0</v>
      </c>
      <c r="F173" s="118">
        <v>2</v>
      </c>
      <c r="G173" s="118" t="s">
        <v>412</v>
      </c>
      <c r="H173" s="66">
        <v>1</v>
      </c>
      <c r="I173" s="66">
        <v>2</v>
      </c>
      <c r="J173" s="66">
        <v>2</v>
      </c>
      <c r="K173" s="66">
        <v>1</v>
      </c>
      <c r="L173" s="71">
        <v>1</v>
      </c>
      <c r="M173" s="66">
        <v>1</v>
      </c>
      <c r="N173" s="435">
        <f t="shared" si="27"/>
        <v>0.16933510251023262</v>
      </c>
      <c r="O173" s="435">
        <f t="shared" si="28"/>
        <v>0.19908580854301616</v>
      </c>
      <c r="P173" s="657" t="s">
        <v>1947</v>
      </c>
    </row>
    <row r="174" spans="1:16" s="433" customFormat="1">
      <c r="A174" s="633" t="s">
        <v>461</v>
      </c>
      <c r="B174" s="777" t="s">
        <v>232</v>
      </c>
      <c r="C174" s="34" t="s">
        <v>139</v>
      </c>
      <c r="D174" s="122" t="s">
        <v>99</v>
      </c>
      <c r="E174" s="242">
        <v>0</v>
      </c>
      <c r="F174" s="9">
        <v>2</v>
      </c>
      <c r="G174" s="9" t="s">
        <v>412</v>
      </c>
      <c r="H174" s="10">
        <v>1</v>
      </c>
      <c r="I174" s="10">
        <v>2</v>
      </c>
      <c r="J174" s="10">
        <v>2</v>
      </c>
      <c r="K174" s="10">
        <v>1</v>
      </c>
      <c r="L174" s="10">
        <v>1</v>
      </c>
      <c r="M174" s="10">
        <v>1</v>
      </c>
      <c r="N174" s="402">
        <f t="shared" si="27"/>
        <v>0.16933510251023262</v>
      </c>
      <c r="O174" s="402">
        <f t="shared" si="28"/>
        <v>0.19908580854301616</v>
      </c>
      <c r="P174" s="43" t="s">
        <v>1947</v>
      </c>
    </row>
    <row r="175" spans="1:16" s="433" customFormat="1">
      <c r="A175" s="633" t="s">
        <v>461</v>
      </c>
      <c r="B175" s="777" t="s">
        <v>251</v>
      </c>
      <c r="C175" s="34" t="s">
        <v>139</v>
      </c>
      <c r="D175" s="122" t="s">
        <v>99</v>
      </c>
      <c r="E175" s="242">
        <v>0</v>
      </c>
      <c r="F175" s="9">
        <v>2</v>
      </c>
      <c r="G175" s="9" t="s">
        <v>412</v>
      </c>
      <c r="H175" s="10">
        <v>1</v>
      </c>
      <c r="I175" s="10">
        <v>2</v>
      </c>
      <c r="J175" s="10">
        <v>2</v>
      </c>
      <c r="K175" s="10">
        <v>1</v>
      </c>
      <c r="L175" s="10">
        <v>1</v>
      </c>
      <c r="M175" s="10">
        <v>1</v>
      </c>
      <c r="N175" s="402">
        <f t="shared" si="27"/>
        <v>0.16933510251023262</v>
      </c>
      <c r="O175" s="402">
        <f t="shared" si="28"/>
        <v>0.19908580854301616</v>
      </c>
      <c r="P175" s="43" t="s">
        <v>1947</v>
      </c>
    </row>
    <row r="176" spans="1:16" s="433" customFormat="1">
      <c r="A176" s="633" t="s">
        <v>461</v>
      </c>
      <c r="B176" s="772" t="s">
        <v>258</v>
      </c>
      <c r="C176" s="34" t="s">
        <v>139</v>
      </c>
      <c r="D176" s="124" t="s">
        <v>99</v>
      </c>
      <c r="E176" s="746">
        <v>0</v>
      </c>
      <c r="F176" s="119">
        <v>2</v>
      </c>
      <c r="G176" s="119" t="s">
        <v>412</v>
      </c>
      <c r="H176" s="10">
        <v>1</v>
      </c>
      <c r="I176" s="10">
        <v>2</v>
      </c>
      <c r="J176" s="10">
        <v>2</v>
      </c>
      <c r="K176" s="10">
        <v>1</v>
      </c>
      <c r="L176" s="10">
        <v>1</v>
      </c>
      <c r="M176" s="10">
        <v>1</v>
      </c>
      <c r="N176" s="402">
        <f>IF( OR( ISBLANK(H176),ISBLANK(J176), ISBLANK(K176), ISBLANK(L176), ISBLANK(M176) ), "", 1.5*SQRT(   EXP(2.21*(H176-1)) + EXP(2.21*(J176-1)) + EXP(2.21*(K176-1)) + EXP(2.21*(L176-1)) + EXP(2.21*M176)   )/100*2.45 )</f>
        <v>0.16933510251023262</v>
      </c>
      <c r="O176" s="402">
        <f>IF( OR( ISBLANK(I176),ISBLANK(J176), ISBLANK(K176), ISBLANK(L176), ISBLANK(M176) ), "", 1.5*SQRT( EXP(2.21*(I176-1)) + EXP(2.21*(J176-1)) + EXP(2.21*(K176-1)) + EXP(2.21*(L176-1)) + EXP(2.21*M176)   )/100*2.45 )</f>
        <v>0.19908580854301616</v>
      </c>
      <c r="P176" s="155" t="s">
        <v>1947</v>
      </c>
    </row>
    <row r="177" spans="1:16" s="433" customFormat="1" ht="15" thickBot="1">
      <c r="A177" s="632" t="s">
        <v>461</v>
      </c>
      <c r="B177" s="781" t="s">
        <v>327</v>
      </c>
      <c r="C177" s="34" t="s">
        <v>139</v>
      </c>
      <c r="D177" s="123" t="s">
        <v>99</v>
      </c>
      <c r="E177" s="750" t="s">
        <v>150</v>
      </c>
      <c r="F177" s="12">
        <v>1</v>
      </c>
      <c r="G177" s="12" t="s">
        <v>412</v>
      </c>
      <c r="H177" s="14"/>
      <c r="I177" s="14"/>
      <c r="J177" s="14"/>
      <c r="K177" s="14"/>
      <c r="L177" s="14"/>
      <c r="M177" s="14"/>
      <c r="N177" s="425" t="str">
        <f t="shared" si="27"/>
        <v/>
      </c>
      <c r="O177" s="425" t="str">
        <f t="shared" si="28"/>
        <v/>
      </c>
      <c r="P177" s="44"/>
    </row>
    <row r="178" spans="1:16" s="433" customFormat="1">
      <c r="A178" s="634" t="s">
        <v>463</v>
      </c>
      <c r="B178" s="771" t="s">
        <v>228</v>
      </c>
      <c r="C178" s="34" t="s">
        <v>139</v>
      </c>
      <c r="D178" s="611" t="s">
        <v>99</v>
      </c>
      <c r="E178" s="741">
        <v>0</v>
      </c>
      <c r="F178" s="118">
        <v>2</v>
      </c>
      <c r="G178" s="118" t="s">
        <v>412</v>
      </c>
      <c r="H178" s="66">
        <v>1</v>
      </c>
      <c r="I178" s="66">
        <v>2</v>
      </c>
      <c r="J178" s="66">
        <v>2</v>
      </c>
      <c r="K178" s="66">
        <v>1</v>
      </c>
      <c r="L178" s="66">
        <v>1</v>
      </c>
      <c r="M178" s="66">
        <v>1</v>
      </c>
      <c r="N178" s="435">
        <f t="shared" si="27"/>
        <v>0.16933510251023262</v>
      </c>
      <c r="O178" s="435">
        <f t="shared" si="28"/>
        <v>0.19908580854301616</v>
      </c>
      <c r="P178" s="118" t="s">
        <v>837</v>
      </c>
    </row>
    <row r="179" spans="1:16" s="433" customFormat="1" ht="15" thickBot="1">
      <c r="A179" s="635" t="s">
        <v>463</v>
      </c>
      <c r="B179" s="772" t="s">
        <v>327</v>
      </c>
      <c r="C179" s="34" t="s">
        <v>139</v>
      </c>
      <c r="D179" s="124" t="s">
        <v>99</v>
      </c>
      <c r="E179" s="746" t="s">
        <v>150</v>
      </c>
      <c r="F179" s="119">
        <v>1</v>
      </c>
      <c r="G179" s="119" t="s">
        <v>412</v>
      </c>
      <c r="H179" s="15"/>
      <c r="I179" s="15"/>
      <c r="J179" s="15"/>
      <c r="K179" s="15"/>
      <c r="L179" s="15"/>
      <c r="M179" s="15"/>
      <c r="N179" s="421" t="str">
        <f t="shared" si="27"/>
        <v/>
      </c>
      <c r="O179" s="421" t="str">
        <f t="shared" si="28"/>
        <v/>
      </c>
      <c r="P179" s="119" t="s">
        <v>1926</v>
      </c>
    </row>
    <row r="180" spans="1:16" s="433" customFormat="1">
      <c r="A180" s="631" t="s">
        <v>417</v>
      </c>
      <c r="B180" s="780" t="s">
        <v>464</v>
      </c>
      <c r="C180" s="34" t="s">
        <v>139</v>
      </c>
      <c r="D180" s="121" t="s">
        <v>99</v>
      </c>
      <c r="E180" s="629">
        <f>0.97*0.1</f>
        <v>9.7000000000000003E-2</v>
      </c>
      <c r="F180" s="11">
        <v>2</v>
      </c>
      <c r="G180" s="11" t="s">
        <v>412</v>
      </c>
      <c r="H180" s="13">
        <v>1</v>
      </c>
      <c r="I180" s="13">
        <v>2</v>
      </c>
      <c r="J180" s="13">
        <v>2</v>
      </c>
      <c r="K180" s="13">
        <v>1</v>
      </c>
      <c r="L180" s="13">
        <v>1</v>
      </c>
      <c r="M180" s="13">
        <v>1</v>
      </c>
      <c r="N180" s="422">
        <f t="shared" si="27"/>
        <v>0.16933510251023262</v>
      </c>
      <c r="O180" s="422">
        <f t="shared" si="28"/>
        <v>0.19908580854301616</v>
      </c>
      <c r="P180" s="42" t="s">
        <v>847</v>
      </c>
    </row>
    <row r="181" spans="1:16" s="433" customFormat="1">
      <c r="A181" s="633" t="s">
        <v>417</v>
      </c>
      <c r="B181" s="777" t="s">
        <v>465</v>
      </c>
      <c r="C181" s="34" t="s">
        <v>139</v>
      </c>
      <c r="D181" s="122" t="s">
        <v>99</v>
      </c>
      <c r="E181" s="242">
        <f>0.97*0.9</f>
        <v>0.873</v>
      </c>
      <c r="F181" s="9">
        <v>2</v>
      </c>
      <c r="G181" s="9" t="s">
        <v>412</v>
      </c>
      <c r="H181" s="10">
        <v>1</v>
      </c>
      <c r="I181" s="10">
        <v>2</v>
      </c>
      <c r="J181" s="10">
        <v>2</v>
      </c>
      <c r="K181" s="10">
        <v>1</v>
      </c>
      <c r="L181" s="10">
        <v>1</v>
      </c>
      <c r="M181" s="10">
        <v>1</v>
      </c>
      <c r="N181" s="402">
        <f t="shared" si="27"/>
        <v>0.16933510251023262</v>
      </c>
      <c r="O181" s="402">
        <f t="shared" si="28"/>
        <v>0.19908580854301616</v>
      </c>
      <c r="P181" s="43" t="s">
        <v>848</v>
      </c>
    </row>
    <row r="182" spans="1:16" s="433" customFormat="1" ht="15" thickBot="1">
      <c r="A182" s="632" t="s">
        <v>417</v>
      </c>
      <c r="B182" s="781" t="s">
        <v>223</v>
      </c>
      <c r="C182" s="34" t="s">
        <v>139</v>
      </c>
      <c r="D182" s="123" t="s">
        <v>99</v>
      </c>
      <c r="E182" s="750">
        <v>0.03</v>
      </c>
      <c r="F182" s="12">
        <v>1</v>
      </c>
      <c r="G182" s="12" t="s">
        <v>412</v>
      </c>
      <c r="H182" s="14">
        <v>1</v>
      </c>
      <c r="I182" s="14">
        <v>2</v>
      </c>
      <c r="J182" s="14">
        <v>2</v>
      </c>
      <c r="K182" s="14">
        <v>1</v>
      </c>
      <c r="L182" s="14">
        <v>1</v>
      </c>
      <c r="M182" s="14">
        <v>1</v>
      </c>
      <c r="N182" s="425">
        <f t="shared" si="27"/>
        <v>0.16933510251023262</v>
      </c>
      <c r="O182" s="425">
        <f t="shared" si="28"/>
        <v>0.19908580854301616</v>
      </c>
      <c r="P182" s="44" t="s">
        <v>833</v>
      </c>
    </row>
    <row r="183" spans="1:16" s="433" customFormat="1">
      <c r="A183" s="634" t="s">
        <v>464</v>
      </c>
      <c r="B183" s="771" t="s">
        <v>466</v>
      </c>
      <c r="C183" s="34" t="s">
        <v>139</v>
      </c>
      <c r="D183" s="611" t="s">
        <v>99</v>
      </c>
      <c r="E183" s="741">
        <v>0.03</v>
      </c>
      <c r="F183" s="118">
        <v>2</v>
      </c>
      <c r="G183" s="118" t="s">
        <v>412</v>
      </c>
      <c r="H183" s="66">
        <v>1</v>
      </c>
      <c r="I183" s="66">
        <v>2</v>
      </c>
      <c r="J183" s="66">
        <v>2</v>
      </c>
      <c r="K183" s="66">
        <v>1</v>
      </c>
      <c r="L183" s="66">
        <v>1</v>
      </c>
      <c r="M183" s="66">
        <v>1</v>
      </c>
      <c r="N183" s="435">
        <f t="shared" si="27"/>
        <v>0.16933510251023262</v>
      </c>
      <c r="O183" s="435">
        <f t="shared" si="28"/>
        <v>0.19908580854301616</v>
      </c>
      <c r="P183" s="118" t="s">
        <v>834</v>
      </c>
    </row>
    <row r="184" spans="1:16" s="433" customFormat="1" ht="15" thickBot="1">
      <c r="A184" s="635" t="s">
        <v>464</v>
      </c>
      <c r="B184" s="772" t="s">
        <v>459</v>
      </c>
      <c r="C184" s="34" t="s">
        <v>139</v>
      </c>
      <c r="D184" s="124" t="s">
        <v>99</v>
      </c>
      <c r="E184" s="746" t="s">
        <v>150</v>
      </c>
      <c r="F184" s="119">
        <v>1</v>
      </c>
      <c r="G184" s="119" t="s">
        <v>412</v>
      </c>
      <c r="H184" s="15"/>
      <c r="I184" s="15"/>
      <c r="J184" s="15"/>
      <c r="K184" s="15"/>
      <c r="L184" s="15"/>
      <c r="M184" s="15"/>
      <c r="N184" s="421" t="str">
        <f t="shared" si="27"/>
        <v/>
      </c>
      <c r="O184" s="421" t="str">
        <f t="shared" si="28"/>
        <v/>
      </c>
      <c r="P184" s="119" t="s">
        <v>1927</v>
      </c>
    </row>
    <row r="185" spans="1:16" s="433" customFormat="1">
      <c r="A185" s="434" t="s">
        <v>466</v>
      </c>
      <c r="B185" s="434" t="s">
        <v>231</v>
      </c>
      <c r="C185" s="34" t="s">
        <v>139</v>
      </c>
      <c r="D185" s="121" t="s">
        <v>99</v>
      </c>
      <c r="E185" s="767">
        <v>0.05</v>
      </c>
      <c r="F185" s="768">
        <v>2</v>
      </c>
      <c r="G185" s="11" t="s">
        <v>157</v>
      </c>
      <c r="H185" s="13">
        <v>1</v>
      </c>
      <c r="I185" s="13">
        <v>2</v>
      </c>
      <c r="J185" s="13">
        <v>2</v>
      </c>
      <c r="K185" s="13">
        <v>1</v>
      </c>
      <c r="L185" s="769">
        <v>3</v>
      </c>
      <c r="M185" s="13">
        <v>3</v>
      </c>
      <c r="N185" s="422">
        <f t="shared" si="27"/>
        <v>1.0725046436742278</v>
      </c>
      <c r="O185" s="422">
        <f t="shared" si="28"/>
        <v>1.0776024280428556</v>
      </c>
      <c r="P185" s="757" t="s">
        <v>1916</v>
      </c>
    </row>
    <row r="186" spans="1:16" s="433" customFormat="1">
      <c r="A186" s="493" t="s">
        <v>466</v>
      </c>
      <c r="B186" s="493" t="s">
        <v>232</v>
      </c>
      <c r="C186" s="34" t="s">
        <v>139</v>
      </c>
      <c r="D186" s="122" t="s">
        <v>99</v>
      </c>
      <c r="E186" s="242">
        <v>0.39400000000000002</v>
      </c>
      <c r="F186" s="9">
        <v>2</v>
      </c>
      <c r="G186" s="9" t="s">
        <v>412</v>
      </c>
      <c r="H186" s="10">
        <v>1</v>
      </c>
      <c r="I186" s="10">
        <v>2</v>
      </c>
      <c r="J186" s="10">
        <v>2</v>
      </c>
      <c r="K186" s="10">
        <v>1</v>
      </c>
      <c r="L186" s="10">
        <v>1</v>
      </c>
      <c r="M186" s="10">
        <v>1</v>
      </c>
      <c r="N186" s="402">
        <f t="shared" si="27"/>
        <v>0.16933510251023262</v>
      </c>
      <c r="O186" s="402">
        <f t="shared" si="28"/>
        <v>0.19908580854301616</v>
      </c>
      <c r="P186" s="43" t="s">
        <v>1940</v>
      </c>
    </row>
    <row r="187" spans="1:16" s="433" customFormat="1">
      <c r="A187" s="493" t="s">
        <v>466</v>
      </c>
      <c r="B187" s="493" t="s">
        <v>251</v>
      </c>
      <c r="C187" s="34" t="s">
        <v>139</v>
      </c>
      <c r="D187" s="122" t="s">
        <v>99</v>
      </c>
      <c r="E187" s="242">
        <v>0.52200000000000002</v>
      </c>
      <c r="F187" s="7">
        <v>1</v>
      </c>
      <c r="G187" s="9" t="s">
        <v>412</v>
      </c>
      <c r="H187" s="10">
        <v>1</v>
      </c>
      <c r="I187" s="10">
        <v>2</v>
      </c>
      <c r="J187" s="10">
        <v>2</v>
      </c>
      <c r="K187" s="10">
        <v>1</v>
      </c>
      <c r="L187" s="10">
        <v>1</v>
      </c>
      <c r="M187" s="10">
        <v>1</v>
      </c>
      <c r="N187" s="402">
        <f t="shared" si="27"/>
        <v>0.16933510251023262</v>
      </c>
      <c r="O187" s="402">
        <f t="shared" si="28"/>
        <v>0.19908580854301616</v>
      </c>
      <c r="P187" s="43" t="s">
        <v>1941</v>
      </c>
    </row>
    <row r="188" spans="1:16" s="433" customFormat="1" ht="15" thickBot="1">
      <c r="A188" s="770" t="s">
        <v>466</v>
      </c>
      <c r="B188" s="770" t="s">
        <v>258</v>
      </c>
      <c r="C188" s="34" t="s">
        <v>139</v>
      </c>
      <c r="D188" s="123" t="s">
        <v>99</v>
      </c>
      <c r="E188" s="750">
        <v>3.4000000000000002E-2</v>
      </c>
      <c r="F188" s="12">
        <v>2</v>
      </c>
      <c r="G188" s="12" t="s">
        <v>412</v>
      </c>
      <c r="H188" s="14"/>
      <c r="I188" s="14"/>
      <c r="J188" s="14"/>
      <c r="K188" s="14"/>
      <c r="L188" s="14"/>
      <c r="M188" s="14"/>
      <c r="N188" s="425"/>
      <c r="O188" s="425"/>
      <c r="P188" s="44" t="s">
        <v>1942</v>
      </c>
    </row>
    <row r="189" spans="1:16" s="433" customFormat="1">
      <c r="A189" s="634" t="s">
        <v>465</v>
      </c>
      <c r="B189" s="771" t="s">
        <v>467</v>
      </c>
      <c r="C189" s="34" t="s">
        <v>139</v>
      </c>
      <c r="D189" s="611" t="s">
        <v>99</v>
      </c>
      <c r="E189" s="741">
        <f>0.1*E183</f>
        <v>3.0000000000000001E-3</v>
      </c>
      <c r="F189" s="118">
        <v>2</v>
      </c>
      <c r="G189" s="118" t="s">
        <v>412</v>
      </c>
      <c r="H189" s="66">
        <v>1</v>
      </c>
      <c r="I189" s="66">
        <v>2</v>
      </c>
      <c r="J189" s="66">
        <v>2</v>
      </c>
      <c r="K189" s="66">
        <v>1</v>
      </c>
      <c r="L189" s="66">
        <v>1</v>
      </c>
      <c r="M189" s="66">
        <v>1</v>
      </c>
      <c r="N189" s="435">
        <f t="shared" si="27"/>
        <v>0.16933510251023262</v>
      </c>
      <c r="O189" s="435">
        <f t="shared" si="28"/>
        <v>0.19908580854301616</v>
      </c>
      <c r="P189" s="118" t="s">
        <v>835</v>
      </c>
    </row>
    <row r="190" spans="1:16" s="433" customFormat="1" ht="15" thickBot="1">
      <c r="A190" s="635" t="s">
        <v>465</v>
      </c>
      <c r="B190" s="772" t="s">
        <v>456</v>
      </c>
      <c r="C190" s="34" t="s">
        <v>139</v>
      </c>
      <c r="D190" s="124" t="s">
        <v>99</v>
      </c>
      <c r="E190" s="746" t="s">
        <v>150</v>
      </c>
      <c r="F190" s="119">
        <v>1</v>
      </c>
      <c r="G190" s="119" t="s">
        <v>412</v>
      </c>
      <c r="H190" s="15"/>
      <c r="I190" s="15"/>
      <c r="J190" s="15"/>
      <c r="K190" s="15"/>
      <c r="L190" s="15"/>
      <c r="M190" s="15"/>
      <c r="N190" s="421" t="str">
        <f t="shared" si="27"/>
        <v/>
      </c>
      <c r="O190" s="421" t="str">
        <f t="shared" si="28"/>
        <v/>
      </c>
      <c r="P190" s="119" t="s">
        <v>1927</v>
      </c>
    </row>
    <row r="191" spans="1:16" s="433" customFormat="1" ht="15" thickBot="1">
      <c r="A191" s="630" t="s">
        <v>467</v>
      </c>
      <c r="B191" s="782" t="s">
        <v>228</v>
      </c>
      <c r="C191" s="34" t="s">
        <v>139</v>
      </c>
      <c r="D191" s="778" t="s">
        <v>99</v>
      </c>
      <c r="E191" s="748">
        <v>1</v>
      </c>
      <c r="F191" s="747">
        <v>2</v>
      </c>
      <c r="G191" s="747" t="s">
        <v>412</v>
      </c>
      <c r="H191" s="70">
        <v>1</v>
      </c>
      <c r="I191" s="70">
        <v>2</v>
      </c>
      <c r="J191" s="70">
        <v>2</v>
      </c>
      <c r="K191" s="70">
        <v>1</v>
      </c>
      <c r="L191" s="70">
        <v>1</v>
      </c>
      <c r="M191" s="70">
        <v>1</v>
      </c>
      <c r="N191" s="436">
        <f t="shared" si="27"/>
        <v>0.16933510251023262</v>
      </c>
      <c r="O191" s="436">
        <f t="shared" si="28"/>
        <v>0.19908580854301616</v>
      </c>
      <c r="P191" s="749" t="s">
        <v>836</v>
      </c>
    </row>
    <row r="192" spans="1:16" s="433" customFormat="1">
      <c r="A192" s="634" t="s">
        <v>459</v>
      </c>
      <c r="B192" s="780" t="s">
        <v>231</v>
      </c>
      <c r="C192" s="34" t="s">
        <v>139</v>
      </c>
      <c r="D192" s="611" t="s">
        <v>99</v>
      </c>
      <c r="E192" s="741">
        <v>0</v>
      </c>
      <c r="F192" s="118">
        <v>2</v>
      </c>
      <c r="G192" s="118" t="s">
        <v>412</v>
      </c>
      <c r="H192" s="66">
        <v>1</v>
      </c>
      <c r="I192" s="66">
        <v>2</v>
      </c>
      <c r="J192" s="66">
        <v>2</v>
      </c>
      <c r="K192" s="66">
        <v>1</v>
      </c>
      <c r="L192" s="66">
        <v>1</v>
      </c>
      <c r="M192" s="66">
        <v>1</v>
      </c>
      <c r="N192" s="435">
        <f t="shared" si="27"/>
        <v>0.16933510251023262</v>
      </c>
      <c r="O192" s="435">
        <f t="shared" si="28"/>
        <v>0.19908580854301616</v>
      </c>
      <c r="P192" s="42" t="s">
        <v>1946</v>
      </c>
    </row>
    <row r="193" spans="1:16" s="433" customFormat="1">
      <c r="A193" s="310" t="s">
        <v>459</v>
      </c>
      <c r="B193" s="777" t="s">
        <v>232</v>
      </c>
      <c r="C193" s="34" t="s">
        <v>139</v>
      </c>
      <c r="D193" s="122" t="s">
        <v>99</v>
      </c>
      <c r="E193" s="242">
        <v>0</v>
      </c>
      <c r="F193" s="9">
        <v>2</v>
      </c>
      <c r="G193" s="9" t="s">
        <v>412</v>
      </c>
      <c r="H193" s="10">
        <v>1</v>
      </c>
      <c r="I193" s="10">
        <v>2</v>
      </c>
      <c r="J193" s="10">
        <v>2</v>
      </c>
      <c r="K193" s="10">
        <v>1</v>
      </c>
      <c r="L193" s="10">
        <v>1</v>
      </c>
      <c r="M193" s="10">
        <v>1</v>
      </c>
      <c r="N193" s="402">
        <f t="shared" si="27"/>
        <v>0.16933510251023262</v>
      </c>
      <c r="O193" s="402">
        <f t="shared" si="28"/>
        <v>0.19908580854301616</v>
      </c>
      <c r="P193" s="43" t="s">
        <v>1946</v>
      </c>
    </row>
    <row r="194" spans="1:16" s="433" customFormat="1">
      <c r="A194" s="310" t="s">
        <v>459</v>
      </c>
      <c r="B194" s="777" t="s">
        <v>251</v>
      </c>
      <c r="C194" s="34" t="s">
        <v>139</v>
      </c>
      <c r="D194" s="122" t="s">
        <v>99</v>
      </c>
      <c r="E194" s="242">
        <v>0</v>
      </c>
      <c r="F194" s="9">
        <v>2</v>
      </c>
      <c r="G194" s="9" t="s">
        <v>412</v>
      </c>
      <c r="H194" s="10">
        <v>1</v>
      </c>
      <c r="I194" s="10">
        <v>2</v>
      </c>
      <c r="J194" s="10">
        <v>2</v>
      </c>
      <c r="K194" s="10">
        <v>1</v>
      </c>
      <c r="L194" s="10">
        <v>1</v>
      </c>
      <c r="M194" s="10">
        <v>1</v>
      </c>
      <c r="N194" s="402">
        <f t="shared" si="27"/>
        <v>0.16933510251023262</v>
      </c>
      <c r="O194" s="402">
        <f t="shared" si="28"/>
        <v>0.19908580854301616</v>
      </c>
      <c r="P194" s="43" t="s">
        <v>1946</v>
      </c>
    </row>
    <row r="195" spans="1:16" s="433" customFormat="1">
      <c r="A195" s="310" t="s">
        <v>459</v>
      </c>
      <c r="B195" s="772" t="s">
        <v>258</v>
      </c>
      <c r="C195" s="34" t="s">
        <v>139</v>
      </c>
      <c r="D195" s="124" t="s">
        <v>99</v>
      </c>
      <c r="E195" s="746">
        <v>0</v>
      </c>
      <c r="F195" s="119">
        <v>2</v>
      </c>
      <c r="G195" s="119" t="s">
        <v>412</v>
      </c>
      <c r="H195" s="10">
        <v>1</v>
      </c>
      <c r="I195" s="10">
        <v>2</v>
      </c>
      <c r="J195" s="10">
        <v>2</v>
      </c>
      <c r="K195" s="10">
        <v>1</v>
      </c>
      <c r="L195" s="10">
        <v>1</v>
      </c>
      <c r="M195" s="10">
        <v>1</v>
      </c>
      <c r="N195" s="402">
        <f>IF( OR( ISBLANK(H195),ISBLANK(J195), ISBLANK(K195), ISBLANK(L195), ISBLANK(M195) ), "", 1.5*SQRT(   EXP(2.21*(H195-1)) + EXP(2.21*(J195-1)) + EXP(2.21*(K195-1)) + EXP(2.21*(L195-1)) + EXP(2.21*M195)   )/100*2.45 )</f>
        <v>0.16933510251023262</v>
      </c>
      <c r="O195" s="402">
        <f>IF( OR( ISBLANK(I195),ISBLANK(J195), ISBLANK(K195), ISBLANK(L195), ISBLANK(M195) ), "", 1.5*SQRT( EXP(2.21*(I195-1)) + EXP(2.21*(J195-1)) + EXP(2.21*(K195-1)) + EXP(2.21*(L195-1)) + EXP(2.21*M195)   )/100*2.45 )</f>
        <v>0.19908580854301616</v>
      </c>
      <c r="P195" s="155" t="s">
        <v>1946</v>
      </c>
    </row>
    <row r="196" spans="1:16" s="433" customFormat="1" ht="15" thickBot="1">
      <c r="A196" s="635" t="s">
        <v>459</v>
      </c>
      <c r="B196" s="781" t="s">
        <v>327</v>
      </c>
      <c r="C196" s="34" t="s">
        <v>139</v>
      </c>
      <c r="D196" s="124" t="s">
        <v>99</v>
      </c>
      <c r="E196" s="746" t="s">
        <v>150</v>
      </c>
      <c r="F196" s="119">
        <v>1</v>
      </c>
      <c r="G196" s="119" t="s">
        <v>412</v>
      </c>
      <c r="H196" s="15"/>
      <c r="I196" s="15"/>
      <c r="J196" s="15"/>
      <c r="K196" s="15"/>
      <c r="L196" s="15"/>
      <c r="M196" s="15"/>
      <c r="N196" s="421" t="str">
        <f t="shared" si="27"/>
        <v/>
      </c>
      <c r="O196" s="421" t="str">
        <f t="shared" si="28"/>
        <v/>
      </c>
      <c r="P196" s="44"/>
    </row>
    <row r="197" spans="1:16" s="433" customFormat="1">
      <c r="A197" s="631" t="s">
        <v>456</v>
      </c>
      <c r="B197" s="780" t="s">
        <v>228</v>
      </c>
      <c r="C197" s="34" t="s">
        <v>139</v>
      </c>
      <c r="D197" s="121" t="s">
        <v>99</v>
      </c>
      <c r="E197" s="629">
        <v>0</v>
      </c>
      <c r="F197" s="11">
        <v>2</v>
      </c>
      <c r="G197" s="11" t="s">
        <v>412</v>
      </c>
      <c r="H197" s="13">
        <v>1</v>
      </c>
      <c r="I197" s="13">
        <v>2</v>
      </c>
      <c r="J197" s="13">
        <v>2</v>
      </c>
      <c r="K197" s="13">
        <v>1</v>
      </c>
      <c r="L197" s="13">
        <v>1</v>
      </c>
      <c r="M197" s="13">
        <v>1</v>
      </c>
      <c r="N197" s="422">
        <f t="shared" si="27"/>
        <v>0.16933510251023262</v>
      </c>
      <c r="O197" s="422">
        <f t="shared" si="28"/>
        <v>0.19908580854301616</v>
      </c>
      <c r="P197" s="42" t="s">
        <v>837</v>
      </c>
    </row>
    <row r="198" spans="1:16" s="433" customFormat="1" ht="15" thickBot="1">
      <c r="A198" s="632" t="s">
        <v>456</v>
      </c>
      <c r="B198" s="781" t="s">
        <v>327</v>
      </c>
      <c r="C198" s="34" t="s">
        <v>139</v>
      </c>
      <c r="D198" s="123" t="s">
        <v>99</v>
      </c>
      <c r="E198" s="750" t="s">
        <v>150</v>
      </c>
      <c r="F198" s="12">
        <v>1</v>
      </c>
      <c r="G198" s="12" t="s">
        <v>412</v>
      </c>
      <c r="H198" s="14"/>
      <c r="I198" s="14"/>
      <c r="J198" s="14"/>
      <c r="K198" s="14"/>
      <c r="L198" s="14"/>
      <c r="M198" s="14"/>
      <c r="N198" s="425" t="str">
        <f t="shared" si="27"/>
        <v/>
      </c>
      <c r="O198" s="425" t="str">
        <f t="shared" si="28"/>
        <v/>
      </c>
      <c r="P198" s="44" t="s">
        <v>1928</v>
      </c>
    </row>
    <row r="199" spans="1:16" s="433" customFormat="1">
      <c r="A199" s="634" t="s">
        <v>418</v>
      </c>
      <c r="B199" s="771" t="s">
        <v>470</v>
      </c>
      <c r="C199" s="34" t="s">
        <v>139</v>
      </c>
      <c r="D199" s="611" t="s">
        <v>99</v>
      </c>
      <c r="E199" s="741">
        <f>0.97*0.25</f>
        <v>0.24249999999999999</v>
      </c>
      <c r="F199" s="118">
        <v>2</v>
      </c>
      <c r="G199" s="118" t="s">
        <v>412</v>
      </c>
      <c r="H199" s="66">
        <v>1</v>
      </c>
      <c r="I199" s="66">
        <v>2</v>
      </c>
      <c r="J199" s="66">
        <v>2</v>
      </c>
      <c r="K199" s="66">
        <v>1</v>
      </c>
      <c r="L199" s="66">
        <v>1</v>
      </c>
      <c r="M199" s="66">
        <v>1</v>
      </c>
      <c r="N199" s="435">
        <f t="shared" si="27"/>
        <v>0.16933510251023262</v>
      </c>
      <c r="O199" s="435">
        <f t="shared" si="28"/>
        <v>0.19908580854301616</v>
      </c>
      <c r="P199" s="118" t="s">
        <v>841</v>
      </c>
    </row>
    <row r="200" spans="1:16" s="433" customFormat="1">
      <c r="A200" s="310" t="s">
        <v>418</v>
      </c>
      <c r="B200" s="777" t="s">
        <v>471</v>
      </c>
      <c r="C200" s="34" t="s">
        <v>139</v>
      </c>
      <c r="D200" s="122" t="s">
        <v>99</v>
      </c>
      <c r="E200" s="242">
        <f>0.97*0.75</f>
        <v>0.72750000000000004</v>
      </c>
      <c r="F200" s="9">
        <v>2</v>
      </c>
      <c r="G200" s="9" t="s">
        <v>412</v>
      </c>
      <c r="H200" s="10">
        <v>1</v>
      </c>
      <c r="I200" s="10">
        <v>2</v>
      </c>
      <c r="J200" s="10">
        <v>2</v>
      </c>
      <c r="K200" s="10">
        <v>1</v>
      </c>
      <c r="L200" s="10">
        <v>1</v>
      </c>
      <c r="M200" s="10">
        <v>1</v>
      </c>
      <c r="N200" s="402">
        <f t="shared" si="27"/>
        <v>0.16933510251023262</v>
      </c>
      <c r="O200" s="402">
        <f t="shared" si="28"/>
        <v>0.19908580854301616</v>
      </c>
      <c r="P200" s="9" t="s">
        <v>848</v>
      </c>
    </row>
    <row r="201" spans="1:16" s="433" customFormat="1" ht="15" thickBot="1">
      <c r="A201" s="635" t="s">
        <v>418</v>
      </c>
      <c r="B201" s="772" t="s">
        <v>223</v>
      </c>
      <c r="C201" s="34" t="s">
        <v>139</v>
      </c>
      <c r="D201" s="124" t="s">
        <v>99</v>
      </c>
      <c r="E201" s="746">
        <v>0.03</v>
      </c>
      <c r="F201" s="119">
        <v>1</v>
      </c>
      <c r="G201" s="119" t="s">
        <v>412</v>
      </c>
      <c r="H201" s="15">
        <v>1</v>
      </c>
      <c r="I201" s="15">
        <v>2</v>
      </c>
      <c r="J201" s="15">
        <v>2</v>
      </c>
      <c r="K201" s="15">
        <v>1</v>
      </c>
      <c r="L201" s="15">
        <v>1</v>
      </c>
      <c r="M201" s="15">
        <v>1</v>
      </c>
      <c r="N201" s="421">
        <f t="shared" si="27"/>
        <v>0.16933510251023262</v>
      </c>
      <c r="O201" s="421">
        <f t="shared" si="28"/>
        <v>0.19908580854301616</v>
      </c>
      <c r="P201" s="119" t="s">
        <v>833</v>
      </c>
    </row>
    <row r="202" spans="1:16" s="433" customFormat="1">
      <c r="A202" s="631" t="s">
        <v>470</v>
      </c>
      <c r="B202" s="780" t="s">
        <v>472</v>
      </c>
      <c r="C202" s="34" t="s">
        <v>139</v>
      </c>
      <c r="D202" s="121" t="s">
        <v>99</v>
      </c>
      <c r="E202" s="629">
        <v>0.03</v>
      </c>
      <c r="F202" s="11">
        <v>2</v>
      </c>
      <c r="G202" s="11" t="s">
        <v>412</v>
      </c>
      <c r="H202" s="13">
        <v>1</v>
      </c>
      <c r="I202" s="13">
        <v>2</v>
      </c>
      <c r="J202" s="13">
        <v>2</v>
      </c>
      <c r="K202" s="13">
        <v>1</v>
      </c>
      <c r="L202" s="13">
        <v>1</v>
      </c>
      <c r="M202" s="13">
        <v>1</v>
      </c>
      <c r="N202" s="422">
        <f t="shared" ref="N202:N272" si="29">IF( OR( ISBLANK(H202),ISBLANK(J202), ISBLANK(K202), ISBLANK(L202), ISBLANK(M202) ), "", 1.5*SQRT(   EXP(2.21*(H202-1)) + EXP(2.21*(J202-1)) + EXP(2.21*(K202-1)) + EXP(2.21*(L202-1)) + EXP(2.21*M202)   )/100*2.45 )</f>
        <v>0.16933510251023262</v>
      </c>
      <c r="O202" s="422">
        <f t="shared" ref="O202:O272" si="30">IF( OR( ISBLANK(I202),ISBLANK(J202), ISBLANK(K202), ISBLANK(L202), ISBLANK(M202) ), "", 1.5*SQRT( EXP(2.21*(I202-1)) + EXP(2.21*(J202-1)) + EXP(2.21*(K202-1)) + EXP(2.21*(L202-1)) + EXP(2.21*M202)   )/100*2.45 )</f>
        <v>0.19908580854301616</v>
      </c>
      <c r="P202" s="42" t="s">
        <v>834</v>
      </c>
    </row>
    <row r="203" spans="1:16" s="433" customFormat="1" ht="15" thickBot="1">
      <c r="A203" s="632" t="s">
        <v>470</v>
      </c>
      <c r="B203" s="781" t="s">
        <v>469</v>
      </c>
      <c r="C203" s="34" t="s">
        <v>139</v>
      </c>
      <c r="D203" s="123" t="s">
        <v>99</v>
      </c>
      <c r="E203" s="750" t="s">
        <v>150</v>
      </c>
      <c r="F203" s="12">
        <v>1</v>
      </c>
      <c r="G203" s="12" t="s">
        <v>412</v>
      </c>
      <c r="H203" s="14"/>
      <c r="I203" s="14"/>
      <c r="J203" s="14"/>
      <c r="K203" s="14"/>
      <c r="L203" s="14"/>
      <c r="M203" s="14"/>
      <c r="N203" s="425" t="str">
        <f t="shared" si="29"/>
        <v/>
      </c>
      <c r="O203" s="425" t="str">
        <f t="shared" si="30"/>
        <v/>
      </c>
      <c r="P203" s="44" t="s">
        <v>1962</v>
      </c>
    </row>
    <row r="204" spans="1:16" s="433" customFormat="1">
      <c r="A204" s="634" t="s">
        <v>472</v>
      </c>
      <c r="B204" s="771" t="s">
        <v>231</v>
      </c>
      <c r="C204" s="34" t="s">
        <v>139</v>
      </c>
      <c r="D204" s="611" t="s">
        <v>99</v>
      </c>
      <c r="E204" s="746">
        <v>0.05</v>
      </c>
      <c r="F204" s="119">
        <v>2</v>
      </c>
      <c r="G204" s="11" t="s">
        <v>157</v>
      </c>
      <c r="H204" s="66">
        <v>1</v>
      </c>
      <c r="I204" s="66">
        <v>2</v>
      </c>
      <c r="J204" s="66">
        <v>2</v>
      </c>
      <c r="K204" s="66">
        <v>1</v>
      </c>
      <c r="L204" s="15">
        <v>3</v>
      </c>
      <c r="M204" s="13">
        <v>3</v>
      </c>
      <c r="N204" s="435">
        <f t="shared" si="29"/>
        <v>1.0725046436742278</v>
      </c>
      <c r="O204" s="435">
        <f t="shared" si="30"/>
        <v>1.0776024280428556</v>
      </c>
      <c r="P204" s="119" t="s">
        <v>1916</v>
      </c>
    </row>
    <row r="205" spans="1:16" s="433" customFormat="1">
      <c r="A205" s="310" t="s">
        <v>472</v>
      </c>
      <c r="B205" s="777" t="s">
        <v>232</v>
      </c>
      <c r="C205" s="34" t="s">
        <v>139</v>
      </c>
      <c r="D205" s="122" t="s">
        <v>99</v>
      </c>
      <c r="E205" s="242">
        <v>0.39400000000000002</v>
      </c>
      <c r="F205" s="9">
        <v>2</v>
      </c>
      <c r="G205" s="9" t="s">
        <v>412</v>
      </c>
      <c r="H205" s="10">
        <v>1</v>
      </c>
      <c r="I205" s="10">
        <v>2</v>
      </c>
      <c r="J205" s="10">
        <v>2</v>
      </c>
      <c r="K205" s="10">
        <v>1</v>
      </c>
      <c r="L205" s="10">
        <v>1</v>
      </c>
      <c r="M205" s="10">
        <v>1</v>
      </c>
      <c r="N205" s="402">
        <f t="shared" si="29"/>
        <v>0.16933510251023262</v>
      </c>
      <c r="O205" s="402">
        <f t="shared" si="30"/>
        <v>0.19908580854301616</v>
      </c>
      <c r="P205" s="9" t="s">
        <v>1940</v>
      </c>
    </row>
    <row r="206" spans="1:16" s="433" customFormat="1">
      <c r="A206" s="635" t="s">
        <v>472</v>
      </c>
      <c r="B206" s="772" t="s">
        <v>251</v>
      </c>
      <c r="C206" s="34" t="s">
        <v>139</v>
      </c>
      <c r="D206" s="124" t="s">
        <v>99</v>
      </c>
      <c r="E206" s="242">
        <v>0.52200000000000002</v>
      </c>
      <c r="F206" s="7">
        <v>1</v>
      </c>
      <c r="G206" s="9" t="s">
        <v>412</v>
      </c>
      <c r="H206" s="15">
        <v>1</v>
      </c>
      <c r="I206" s="15">
        <v>2</v>
      </c>
      <c r="J206" s="15">
        <v>2</v>
      </c>
      <c r="K206" s="15">
        <v>1</v>
      </c>
      <c r="L206" s="15">
        <v>1</v>
      </c>
      <c r="M206" s="15">
        <v>1</v>
      </c>
      <c r="N206" s="421">
        <f t="shared" si="29"/>
        <v>0.16933510251023262</v>
      </c>
      <c r="O206" s="421">
        <f t="shared" si="30"/>
        <v>0.19908580854301616</v>
      </c>
      <c r="P206" s="9" t="s">
        <v>1941</v>
      </c>
    </row>
    <row r="207" spans="1:16" s="433" customFormat="1" ht="15" thickBot="1">
      <c r="A207" s="635" t="s">
        <v>472</v>
      </c>
      <c r="B207" s="772" t="s">
        <v>258</v>
      </c>
      <c r="C207" s="34" t="s">
        <v>139</v>
      </c>
      <c r="D207" s="124" t="s">
        <v>99</v>
      </c>
      <c r="E207" s="746">
        <v>3.4000000000000002E-2</v>
      </c>
      <c r="F207" s="119">
        <v>2</v>
      </c>
      <c r="G207" s="9" t="s">
        <v>412</v>
      </c>
      <c r="H207" s="15"/>
      <c r="I207" s="15"/>
      <c r="J207" s="15"/>
      <c r="K207" s="15"/>
      <c r="L207" s="15"/>
      <c r="M207" s="15"/>
      <c r="N207" s="421"/>
      <c r="O207" s="421"/>
      <c r="P207" s="119" t="s">
        <v>1942</v>
      </c>
    </row>
    <row r="208" spans="1:16" s="433" customFormat="1">
      <c r="A208" s="631" t="s">
        <v>471</v>
      </c>
      <c r="B208" s="780" t="s">
        <v>473</v>
      </c>
      <c r="C208" s="34" t="s">
        <v>139</v>
      </c>
      <c r="D208" s="121" t="s">
        <v>99</v>
      </c>
      <c r="E208" s="629">
        <f>0.1*E202</f>
        <v>3.0000000000000001E-3</v>
      </c>
      <c r="F208" s="11">
        <v>2</v>
      </c>
      <c r="G208" s="11" t="s">
        <v>412</v>
      </c>
      <c r="H208" s="13">
        <v>1</v>
      </c>
      <c r="I208" s="13">
        <v>2</v>
      </c>
      <c r="J208" s="13">
        <v>2</v>
      </c>
      <c r="K208" s="13">
        <v>1</v>
      </c>
      <c r="L208" s="13">
        <v>1</v>
      </c>
      <c r="M208" s="13">
        <v>1</v>
      </c>
      <c r="N208" s="422">
        <f t="shared" si="29"/>
        <v>0.16933510251023262</v>
      </c>
      <c r="O208" s="422">
        <f t="shared" si="30"/>
        <v>0.19908580854301616</v>
      </c>
      <c r="P208" s="42" t="s">
        <v>835</v>
      </c>
    </row>
    <row r="209" spans="1:16" s="433" customFormat="1" ht="15" thickBot="1">
      <c r="A209" s="632" t="s">
        <v>471</v>
      </c>
      <c r="B209" s="781" t="s">
        <v>468</v>
      </c>
      <c r="C209" s="34" t="s">
        <v>139</v>
      </c>
      <c r="D209" s="123" t="s">
        <v>99</v>
      </c>
      <c r="E209" s="750" t="s">
        <v>150</v>
      </c>
      <c r="F209" s="12">
        <v>1</v>
      </c>
      <c r="G209" s="12" t="s">
        <v>412</v>
      </c>
      <c r="H209" s="14">
        <v>1</v>
      </c>
      <c r="I209" s="14">
        <v>2</v>
      </c>
      <c r="J209" s="14">
        <v>2</v>
      </c>
      <c r="K209" s="14">
        <v>1</v>
      </c>
      <c r="L209" s="14">
        <v>1</v>
      </c>
      <c r="M209" s="14">
        <v>1</v>
      </c>
      <c r="N209" s="425">
        <f t="shared" si="29"/>
        <v>0.16933510251023262</v>
      </c>
      <c r="O209" s="425">
        <f t="shared" si="30"/>
        <v>0.19908580854301616</v>
      </c>
      <c r="P209" s="44" t="s">
        <v>1962</v>
      </c>
    </row>
    <row r="210" spans="1:16" s="433" customFormat="1" ht="15" thickBot="1">
      <c r="A210" s="774" t="s">
        <v>473</v>
      </c>
      <c r="B210" s="783" t="s">
        <v>228</v>
      </c>
      <c r="C210" s="34" t="s">
        <v>139</v>
      </c>
      <c r="D210" s="778" t="s">
        <v>99</v>
      </c>
      <c r="E210" s="748">
        <v>1</v>
      </c>
      <c r="F210" s="747">
        <v>2</v>
      </c>
      <c r="G210" s="747" t="s">
        <v>412</v>
      </c>
      <c r="H210" s="70"/>
      <c r="I210" s="70"/>
      <c r="J210" s="70"/>
      <c r="K210" s="70"/>
      <c r="L210" s="70"/>
      <c r="M210" s="70"/>
      <c r="N210" s="436" t="str">
        <f t="shared" si="29"/>
        <v/>
      </c>
      <c r="O210" s="436" t="str">
        <f t="shared" si="30"/>
        <v/>
      </c>
      <c r="P210" s="749" t="s">
        <v>836</v>
      </c>
    </row>
    <row r="211" spans="1:16" s="433" customFormat="1">
      <c r="A211" s="631" t="s">
        <v>469</v>
      </c>
      <c r="B211" s="771" t="s">
        <v>231</v>
      </c>
      <c r="C211" s="34" t="s">
        <v>139</v>
      </c>
      <c r="D211" s="611" t="s">
        <v>99</v>
      </c>
      <c r="E211" s="741">
        <v>1.6000000000000001E-3</v>
      </c>
      <c r="F211" s="118">
        <v>2</v>
      </c>
      <c r="G211" s="118" t="s">
        <v>1976</v>
      </c>
      <c r="H211" s="66">
        <v>1</v>
      </c>
      <c r="I211" s="66">
        <v>2</v>
      </c>
      <c r="J211" s="66">
        <v>2</v>
      </c>
      <c r="K211" s="66">
        <v>1</v>
      </c>
      <c r="L211" s="71">
        <v>3</v>
      </c>
      <c r="M211" s="66">
        <v>3</v>
      </c>
      <c r="N211" s="435">
        <f t="shared" si="29"/>
        <v>1.0725046436742278</v>
      </c>
      <c r="O211" s="435">
        <f t="shared" si="30"/>
        <v>1.0776024280428556</v>
      </c>
      <c r="P211" s="657" t="s">
        <v>1952</v>
      </c>
    </row>
    <row r="212" spans="1:16" s="433" customFormat="1">
      <c r="A212" s="633" t="s">
        <v>469</v>
      </c>
      <c r="B212" s="777" t="s">
        <v>232</v>
      </c>
      <c r="C212" s="34" t="s">
        <v>139</v>
      </c>
      <c r="D212" s="122" t="s">
        <v>99</v>
      </c>
      <c r="E212" s="242">
        <v>1.26E-2</v>
      </c>
      <c r="F212" s="9">
        <v>2</v>
      </c>
      <c r="G212" s="9" t="s">
        <v>412</v>
      </c>
      <c r="H212" s="10">
        <v>1</v>
      </c>
      <c r="I212" s="10">
        <v>2</v>
      </c>
      <c r="J212" s="10">
        <v>2</v>
      </c>
      <c r="K212" s="10">
        <v>1</v>
      </c>
      <c r="L212" s="10">
        <v>1</v>
      </c>
      <c r="M212" s="10">
        <v>1</v>
      </c>
      <c r="N212" s="402">
        <f t="shared" si="29"/>
        <v>0.16933510251023262</v>
      </c>
      <c r="O212" s="402">
        <f t="shared" si="30"/>
        <v>0.19908580854301616</v>
      </c>
      <c r="P212" s="43" t="s">
        <v>1953</v>
      </c>
    </row>
    <row r="213" spans="1:16" s="433" customFormat="1">
      <c r="A213" s="633" t="s">
        <v>469</v>
      </c>
      <c r="B213" s="777" t="s">
        <v>251</v>
      </c>
      <c r="C213" s="34" t="s">
        <v>139</v>
      </c>
      <c r="D213" s="122" t="s">
        <v>99</v>
      </c>
      <c r="E213" s="242">
        <v>1.67E-2</v>
      </c>
      <c r="F213" s="9">
        <v>2</v>
      </c>
      <c r="G213" s="9" t="s">
        <v>412</v>
      </c>
      <c r="H213" s="10">
        <v>1</v>
      </c>
      <c r="I213" s="10">
        <v>2</v>
      </c>
      <c r="J213" s="10">
        <v>2</v>
      </c>
      <c r="K213" s="10">
        <v>1</v>
      </c>
      <c r="L213" s="10">
        <v>1</v>
      </c>
      <c r="M213" s="10">
        <v>1</v>
      </c>
      <c r="N213" s="402">
        <f t="shared" si="29"/>
        <v>0.16933510251023262</v>
      </c>
      <c r="O213" s="402">
        <f t="shared" si="30"/>
        <v>0.19908580854301616</v>
      </c>
      <c r="P213" s="43" t="s">
        <v>1959</v>
      </c>
    </row>
    <row r="214" spans="1:16" s="433" customFormat="1">
      <c r="A214" s="633" t="s">
        <v>469</v>
      </c>
      <c r="B214" s="772" t="s">
        <v>258</v>
      </c>
      <c r="C214" s="34" t="s">
        <v>139</v>
      </c>
      <c r="D214" s="124" t="s">
        <v>99</v>
      </c>
      <c r="E214" s="746">
        <v>1.1000000000000001E-3</v>
      </c>
      <c r="F214" s="119">
        <v>2</v>
      </c>
      <c r="G214" s="119" t="s">
        <v>412</v>
      </c>
      <c r="H214" s="10">
        <v>1</v>
      </c>
      <c r="I214" s="10">
        <v>2</v>
      </c>
      <c r="J214" s="10">
        <v>2</v>
      </c>
      <c r="K214" s="10">
        <v>1</v>
      </c>
      <c r="L214" s="10">
        <v>1</v>
      </c>
      <c r="M214" s="10">
        <v>1</v>
      </c>
      <c r="N214" s="402">
        <f>IF( OR( ISBLANK(H214),ISBLANK(J214), ISBLANK(K214), ISBLANK(L214), ISBLANK(M214) ), "", 1.5*SQRT(   EXP(2.21*(H214-1)) + EXP(2.21*(J214-1)) + EXP(2.21*(K214-1)) + EXP(2.21*(L214-1)) + EXP(2.21*M214)   )/100*2.45 )</f>
        <v>0.16933510251023262</v>
      </c>
      <c r="O214" s="402">
        <f>IF( OR( ISBLANK(I214),ISBLANK(J214), ISBLANK(K214), ISBLANK(L214), ISBLANK(M214) ), "", 1.5*SQRT( EXP(2.21*(I214-1)) + EXP(2.21*(J214-1)) + EXP(2.21*(K214-1)) + EXP(2.21*(L214-1)) + EXP(2.21*M214)   )/100*2.45 )</f>
        <v>0.19908580854301616</v>
      </c>
      <c r="P214" s="43" t="s">
        <v>1954</v>
      </c>
    </row>
    <row r="215" spans="1:16" s="433" customFormat="1" ht="15" thickBot="1">
      <c r="A215" s="632" t="s">
        <v>469</v>
      </c>
      <c r="B215" s="781" t="s">
        <v>327</v>
      </c>
      <c r="C215" s="34" t="s">
        <v>139</v>
      </c>
      <c r="D215" s="123" t="s">
        <v>99</v>
      </c>
      <c r="E215" s="750" t="s">
        <v>150</v>
      </c>
      <c r="F215" s="12">
        <v>1</v>
      </c>
      <c r="G215" s="12" t="s">
        <v>412</v>
      </c>
      <c r="H215" s="14"/>
      <c r="I215" s="14"/>
      <c r="J215" s="14"/>
      <c r="K215" s="14"/>
      <c r="L215" s="14"/>
      <c r="M215" s="14"/>
      <c r="N215" s="425" t="str">
        <f t="shared" si="29"/>
        <v/>
      </c>
      <c r="O215" s="425" t="str">
        <f t="shared" si="30"/>
        <v/>
      </c>
      <c r="P215" s="44"/>
    </row>
    <row r="216" spans="1:16" s="433" customFormat="1">
      <c r="A216" s="634" t="s">
        <v>468</v>
      </c>
      <c r="B216" s="771" t="s">
        <v>228</v>
      </c>
      <c r="C216" s="34" t="s">
        <v>139</v>
      </c>
      <c r="D216" s="611" t="s">
        <v>99</v>
      </c>
      <c r="E216" s="741">
        <v>3.2000000000000001E-2</v>
      </c>
      <c r="F216" s="118">
        <v>2</v>
      </c>
      <c r="G216" s="118" t="s">
        <v>412</v>
      </c>
      <c r="H216" s="66">
        <v>1</v>
      </c>
      <c r="I216" s="66">
        <v>2</v>
      </c>
      <c r="J216" s="66">
        <v>2</v>
      </c>
      <c r="K216" s="66">
        <v>1</v>
      </c>
      <c r="L216" s="66">
        <v>1</v>
      </c>
      <c r="M216" s="66">
        <v>1</v>
      </c>
      <c r="N216" s="435">
        <f t="shared" si="29"/>
        <v>0.16933510251023262</v>
      </c>
      <c r="O216" s="435">
        <f t="shared" si="30"/>
        <v>0.19908580854301616</v>
      </c>
      <c r="P216" s="118" t="s">
        <v>840</v>
      </c>
    </row>
    <row r="217" spans="1:16" s="433" customFormat="1" ht="15" thickBot="1">
      <c r="A217" s="635" t="s">
        <v>468</v>
      </c>
      <c r="B217" s="772" t="s">
        <v>327</v>
      </c>
      <c r="C217" s="34" t="s">
        <v>139</v>
      </c>
      <c r="D217" s="124" t="s">
        <v>99</v>
      </c>
      <c r="E217" s="746" t="s">
        <v>150</v>
      </c>
      <c r="F217" s="119">
        <v>1</v>
      </c>
      <c r="G217" s="119" t="s">
        <v>412</v>
      </c>
      <c r="H217" s="15"/>
      <c r="I217" s="15"/>
      <c r="J217" s="15"/>
      <c r="K217" s="15"/>
      <c r="L217" s="15"/>
      <c r="M217" s="15"/>
      <c r="N217" s="421" t="str">
        <f t="shared" si="29"/>
        <v/>
      </c>
      <c r="O217" s="421" t="str">
        <f t="shared" si="30"/>
        <v/>
      </c>
      <c r="P217" s="119" t="s">
        <v>1963</v>
      </c>
    </row>
    <row r="218" spans="1:16" s="433" customFormat="1">
      <c r="A218" s="631" t="s">
        <v>419</v>
      </c>
      <c r="B218" s="780" t="s">
        <v>474</v>
      </c>
      <c r="C218" s="34" t="s">
        <v>139</v>
      </c>
      <c r="D218" s="121" t="s">
        <v>99</v>
      </c>
      <c r="E218" s="629">
        <f>0.85*0.4</f>
        <v>0.34</v>
      </c>
      <c r="F218" s="11">
        <v>2</v>
      </c>
      <c r="G218" s="11" t="s">
        <v>412</v>
      </c>
      <c r="H218" s="13">
        <v>1</v>
      </c>
      <c r="I218" s="13">
        <v>2</v>
      </c>
      <c r="J218" s="13">
        <v>2</v>
      </c>
      <c r="K218" s="13">
        <v>1</v>
      </c>
      <c r="L218" s="13">
        <v>1</v>
      </c>
      <c r="M218" s="13">
        <v>1</v>
      </c>
      <c r="N218" s="422">
        <f t="shared" si="29"/>
        <v>0.16933510251023262</v>
      </c>
      <c r="O218" s="422">
        <f t="shared" si="30"/>
        <v>0.19908580854301616</v>
      </c>
      <c r="P218" s="42" t="s">
        <v>849</v>
      </c>
    </row>
    <row r="219" spans="1:16" s="433" customFormat="1">
      <c r="A219" s="633" t="s">
        <v>419</v>
      </c>
      <c r="B219" s="777" t="s">
        <v>475</v>
      </c>
      <c r="C219" s="34" t="s">
        <v>139</v>
      </c>
      <c r="D219" s="122" t="s">
        <v>99</v>
      </c>
      <c r="E219" s="242">
        <f>0.85*0.6</f>
        <v>0.51</v>
      </c>
      <c r="F219" s="9">
        <v>2</v>
      </c>
      <c r="G219" s="9" t="s">
        <v>412</v>
      </c>
      <c r="H219" s="10">
        <v>1</v>
      </c>
      <c r="I219" s="10">
        <v>2</v>
      </c>
      <c r="J219" s="10">
        <v>2</v>
      </c>
      <c r="K219" s="10">
        <v>1</v>
      </c>
      <c r="L219" s="10">
        <v>1</v>
      </c>
      <c r="M219" s="10">
        <v>1</v>
      </c>
      <c r="N219" s="402">
        <f t="shared" si="29"/>
        <v>0.16933510251023262</v>
      </c>
      <c r="O219" s="402">
        <f t="shared" si="30"/>
        <v>0.19908580854301616</v>
      </c>
      <c r="P219" s="43" t="s">
        <v>850</v>
      </c>
    </row>
    <row r="220" spans="1:16" s="433" customFormat="1" ht="15" thickBot="1">
      <c r="A220" s="632" t="s">
        <v>419</v>
      </c>
      <c r="B220" s="781" t="s">
        <v>223</v>
      </c>
      <c r="C220" s="34" t="s">
        <v>139</v>
      </c>
      <c r="D220" s="123" t="s">
        <v>99</v>
      </c>
      <c r="E220" s="750">
        <v>0.15</v>
      </c>
      <c r="F220" s="12">
        <v>1</v>
      </c>
      <c r="G220" s="12" t="s">
        <v>412</v>
      </c>
      <c r="H220" s="14">
        <v>1</v>
      </c>
      <c r="I220" s="14">
        <v>2</v>
      </c>
      <c r="J220" s="14">
        <v>2</v>
      </c>
      <c r="K220" s="14">
        <v>1</v>
      </c>
      <c r="L220" s="14">
        <v>1</v>
      </c>
      <c r="M220" s="14">
        <v>1</v>
      </c>
      <c r="N220" s="425">
        <f t="shared" si="29"/>
        <v>0.16933510251023262</v>
      </c>
      <c r="O220" s="425">
        <f t="shared" si="30"/>
        <v>0.19908580854301616</v>
      </c>
      <c r="P220" s="44" t="s">
        <v>851</v>
      </c>
    </row>
    <row r="221" spans="1:16" s="433" customFormat="1">
      <c r="A221" s="634" t="s">
        <v>474</v>
      </c>
      <c r="B221" s="771" t="s">
        <v>476</v>
      </c>
      <c r="C221" s="34" t="s">
        <v>139</v>
      </c>
      <c r="D221" s="611" t="s">
        <v>99</v>
      </c>
      <c r="E221" s="741">
        <v>0.03</v>
      </c>
      <c r="F221" s="118">
        <v>2</v>
      </c>
      <c r="G221" s="118" t="s">
        <v>412</v>
      </c>
      <c r="H221" s="66">
        <v>1</v>
      </c>
      <c r="I221" s="66">
        <v>2</v>
      </c>
      <c r="J221" s="66">
        <v>2</v>
      </c>
      <c r="K221" s="66">
        <v>1</v>
      </c>
      <c r="L221" s="66">
        <v>1</v>
      </c>
      <c r="M221" s="66">
        <v>1</v>
      </c>
      <c r="N221" s="435">
        <f t="shared" si="29"/>
        <v>0.16933510251023262</v>
      </c>
      <c r="O221" s="435">
        <f t="shared" si="30"/>
        <v>0.19908580854301616</v>
      </c>
      <c r="P221" s="118" t="s">
        <v>834</v>
      </c>
    </row>
    <row r="222" spans="1:16" s="433" customFormat="1" ht="15" thickBot="1">
      <c r="A222" s="635" t="s">
        <v>474</v>
      </c>
      <c r="B222" s="772" t="s">
        <v>477</v>
      </c>
      <c r="C222" s="34" t="s">
        <v>139</v>
      </c>
      <c r="D222" s="124" t="s">
        <v>99</v>
      </c>
      <c r="E222" s="746" t="s">
        <v>150</v>
      </c>
      <c r="F222" s="119">
        <v>1</v>
      </c>
      <c r="G222" s="119" t="s">
        <v>412</v>
      </c>
      <c r="H222" s="15"/>
      <c r="I222" s="15"/>
      <c r="J222" s="15"/>
      <c r="K222" s="15"/>
      <c r="L222" s="15"/>
      <c r="M222" s="15"/>
      <c r="N222" s="421" t="str">
        <f t="shared" si="29"/>
        <v/>
      </c>
      <c r="O222" s="421" t="str">
        <f t="shared" si="30"/>
        <v/>
      </c>
      <c r="P222" s="119" t="s">
        <v>1929</v>
      </c>
    </row>
    <row r="223" spans="1:16" s="433" customFormat="1">
      <c r="A223" s="434" t="s">
        <v>476</v>
      </c>
      <c r="B223" s="434" t="s">
        <v>231</v>
      </c>
      <c r="C223" s="34" t="s">
        <v>139</v>
      </c>
      <c r="D223" s="121" t="s">
        <v>99</v>
      </c>
      <c r="E223" s="767">
        <v>0.05</v>
      </c>
      <c r="F223" s="768">
        <v>2</v>
      </c>
      <c r="G223" s="11" t="s">
        <v>157</v>
      </c>
      <c r="H223" s="13">
        <v>1</v>
      </c>
      <c r="I223" s="13">
        <v>2</v>
      </c>
      <c r="J223" s="13">
        <v>2</v>
      </c>
      <c r="K223" s="13">
        <v>1</v>
      </c>
      <c r="L223" s="769">
        <v>3</v>
      </c>
      <c r="M223" s="13">
        <v>3</v>
      </c>
      <c r="N223" s="422">
        <f t="shared" si="29"/>
        <v>1.0725046436742278</v>
      </c>
      <c r="O223" s="422">
        <f t="shared" si="30"/>
        <v>1.0776024280428556</v>
      </c>
      <c r="P223" s="757" t="s">
        <v>1916</v>
      </c>
    </row>
    <row r="224" spans="1:16" s="433" customFormat="1">
      <c r="A224" s="493" t="s">
        <v>476</v>
      </c>
      <c r="B224" s="493" t="s">
        <v>232</v>
      </c>
      <c r="C224" s="34" t="s">
        <v>139</v>
      </c>
      <c r="D224" s="122" t="s">
        <v>99</v>
      </c>
      <c r="E224" s="242">
        <v>0.39400000000000002</v>
      </c>
      <c r="F224" s="9">
        <v>2</v>
      </c>
      <c r="G224" s="9" t="s">
        <v>412</v>
      </c>
      <c r="H224" s="10">
        <v>1</v>
      </c>
      <c r="I224" s="10">
        <v>2</v>
      </c>
      <c r="J224" s="10">
        <v>2</v>
      </c>
      <c r="K224" s="10">
        <v>1</v>
      </c>
      <c r="L224" s="10">
        <v>1</v>
      </c>
      <c r="M224" s="10">
        <v>1</v>
      </c>
      <c r="N224" s="402">
        <f t="shared" si="29"/>
        <v>0.16933510251023262</v>
      </c>
      <c r="O224" s="402">
        <f t="shared" si="30"/>
        <v>0.19908580854301616</v>
      </c>
      <c r="P224" s="43" t="s">
        <v>1940</v>
      </c>
    </row>
    <row r="225" spans="1:20" s="433" customFormat="1">
      <c r="A225" s="493" t="s">
        <v>476</v>
      </c>
      <c r="B225" s="493" t="s">
        <v>251</v>
      </c>
      <c r="C225" s="34" t="s">
        <v>139</v>
      </c>
      <c r="D225" s="122" t="s">
        <v>99</v>
      </c>
      <c r="E225" s="242">
        <v>0.52200000000000002</v>
      </c>
      <c r="F225" s="7">
        <v>1</v>
      </c>
      <c r="G225" s="9" t="s">
        <v>412</v>
      </c>
      <c r="H225" s="10">
        <v>1</v>
      </c>
      <c r="I225" s="10">
        <v>2</v>
      </c>
      <c r="J225" s="10">
        <v>2</v>
      </c>
      <c r="K225" s="10">
        <v>1</v>
      </c>
      <c r="L225" s="10">
        <v>1</v>
      </c>
      <c r="M225" s="10">
        <v>1</v>
      </c>
      <c r="N225" s="402">
        <f t="shared" si="29"/>
        <v>0.16933510251023262</v>
      </c>
      <c r="O225" s="402">
        <f t="shared" si="30"/>
        <v>0.19908580854301616</v>
      </c>
      <c r="P225" s="43" t="s">
        <v>1941</v>
      </c>
    </row>
    <row r="226" spans="1:20" s="433" customFormat="1" ht="15" thickBot="1">
      <c r="A226" s="770" t="s">
        <v>476</v>
      </c>
      <c r="B226" s="770" t="s">
        <v>258</v>
      </c>
      <c r="C226" s="34" t="s">
        <v>139</v>
      </c>
      <c r="D226" s="123" t="s">
        <v>99</v>
      </c>
      <c r="E226" s="750">
        <v>3.4000000000000002E-2</v>
      </c>
      <c r="F226" s="12">
        <v>2</v>
      </c>
      <c r="G226" s="12" t="s">
        <v>412</v>
      </c>
      <c r="H226" s="14"/>
      <c r="I226" s="14"/>
      <c r="J226" s="14"/>
      <c r="K226" s="14"/>
      <c r="L226" s="14"/>
      <c r="M226" s="14"/>
      <c r="N226" s="425"/>
      <c r="O226" s="425"/>
      <c r="P226" s="44" t="s">
        <v>1942</v>
      </c>
    </row>
    <row r="227" spans="1:20" s="433" customFormat="1">
      <c r="A227" s="634" t="s">
        <v>475</v>
      </c>
      <c r="B227" s="771" t="s">
        <v>478</v>
      </c>
      <c r="C227" s="34" t="s">
        <v>139</v>
      </c>
      <c r="D227" s="611" t="s">
        <v>99</v>
      </c>
      <c r="E227" s="741">
        <f>0.1*E221</f>
        <v>3.0000000000000001E-3</v>
      </c>
      <c r="F227" s="118">
        <v>2</v>
      </c>
      <c r="G227" s="118" t="s">
        <v>412</v>
      </c>
      <c r="H227" s="66">
        <v>1</v>
      </c>
      <c r="I227" s="66">
        <v>2</v>
      </c>
      <c r="J227" s="66">
        <v>2</v>
      </c>
      <c r="K227" s="66">
        <v>1</v>
      </c>
      <c r="L227" s="66">
        <v>1</v>
      </c>
      <c r="M227" s="66">
        <v>1</v>
      </c>
      <c r="N227" s="435">
        <f t="shared" si="29"/>
        <v>0.16933510251023262</v>
      </c>
      <c r="O227" s="435">
        <f t="shared" si="30"/>
        <v>0.19908580854301616</v>
      </c>
      <c r="P227" s="118" t="s">
        <v>835</v>
      </c>
    </row>
    <row r="228" spans="1:20" s="433" customFormat="1" ht="15" thickBot="1">
      <c r="A228" s="635" t="s">
        <v>475</v>
      </c>
      <c r="B228" s="772" t="s">
        <v>479</v>
      </c>
      <c r="C228" s="34" t="s">
        <v>139</v>
      </c>
      <c r="D228" s="124" t="s">
        <v>99</v>
      </c>
      <c r="E228" s="746" t="s">
        <v>150</v>
      </c>
      <c r="F228" s="119">
        <v>1</v>
      </c>
      <c r="G228" s="119" t="s">
        <v>412</v>
      </c>
      <c r="H228" s="15"/>
      <c r="I228" s="15"/>
      <c r="J228" s="15"/>
      <c r="K228" s="15"/>
      <c r="L228" s="15"/>
      <c r="M228" s="15"/>
      <c r="N228" s="421" t="str">
        <f t="shared" si="29"/>
        <v/>
      </c>
      <c r="O228" s="421" t="str">
        <f t="shared" si="30"/>
        <v/>
      </c>
      <c r="P228" s="119" t="s">
        <v>1929</v>
      </c>
    </row>
    <row r="229" spans="1:20" s="433" customFormat="1" ht="15" thickBot="1">
      <c r="A229" s="630" t="s">
        <v>478</v>
      </c>
      <c r="B229" s="782" t="s">
        <v>228</v>
      </c>
      <c r="C229" s="34" t="s">
        <v>139</v>
      </c>
      <c r="D229" s="778" t="s">
        <v>99</v>
      </c>
      <c r="E229" s="748">
        <v>1</v>
      </c>
      <c r="F229" s="747">
        <v>2</v>
      </c>
      <c r="G229" s="747" t="s">
        <v>412</v>
      </c>
      <c r="H229" s="70">
        <v>1</v>
      </c>
      <c r="I229" s="70">
        <v>2</v>
      </c>
      <c r="J229" s="70">
        <v>2</v>
      </c>
      <c r="K229" s="70">
        <v>1</v>
      </c>
      <c r="L229" s="70">
        <v>1</v>
      </c>
      <c r="M229" s="70">
        <v>1</v>
      </c>
      <c r="N229" s="436">
        <f t="shared" si="29"/>
        <v>0.16933510251023262</v>
      </c>
      <c r="O229" s="436">
        <f t="shared" si="30"/>
        <v>0.19908580854301616</v>
      </c>
      <c r="P229" s="749" t="s">
        <v>836</v>
      </c>
    </row>
    <row r="230" spans="1:20" s="433" customFormat="1">
      <c r="A230" s="634" t="s">
        <v>477</v>
      </c>
      <c r="B230" s="780" t="s">
        <v>231</v>
      </c>
      <c r="C230" s="34" t="s">
        <v>139</v>
      </c>
      <c r="D230" s="611" t="s">
        <v>99</v>
      </c>
      <c r="E230" s="741">
        <v>3.2000000000000002E-3</v>
      </c>
      <c r="F230" s="118">
        <v>2</v>
      </c>
      <c r="G230" s="118" t="s">
        <v>1976</v>
      </c>
      <c r="H230" s="66">
        <v>1</v>
      </c>
      <c r="I230" s="66">
        <v>2</v>
      </c>
      <c r="J230" s="66">
        <v>2</v>
      </c>
      <c r="K230" s="66">
        <v>1</v>
      </c>
      <c r="L230" s="15">
        <v>3</v>
      </c>
      <c r="M230" s="13">
        <v>3</v>
      </c>
      <c r="N230" s="435">
        <f t="shared" si="29"/>
        <v>1.0725046436742278</v>
      </c>
      <c r="O230" s="435">
        <f t="shared" si="30"/>
        <v>1.0776024280428556</v>
      </c>
      <c r="P230" s="118" t="s">
        <v>1964</v>
      </c>
      <c r="T230" s="758"/>
    </row>
    <row r="231" spans="1:20" s="433" customFormat="1">
      <c r="A231" s="310" t="s">
        <v>477</v>
      </c>
      <c r="B231" s="777" t="s">
        <v>232</v>
      </c>
      <c r="C231" s="34" t="s">
        <v>139</v>
      </c>
      <c r="D231" s="122" t="s">
        <v>99</v>
      </c>
      <c r="E231" s="242">
        <v>2.5215999999999999E-2</v>
      </c>
      <c r="F231" s="9">
        <v>2</v>
      </c>
      <c r="G231" s="9" t="s">
        <v>412</v>
      </c>
      <c r="H231" s="10">
        <v>1</v>
      </c>
      <c r="I231" s="10">
        <v>2</v>
      </c>
      <c r="J231" s="10">
        <v>2</v>
      </c>
      <c r="K231" s="10">
        <v>1</v>
      </c>
      <c r="L231" s="10">
        <v>1</v>
      </c>
      <c r="M231" s="10">
        <v>1</v>
      </c>
      <c r="N231" s="402">
        <f t="shared" si="29"/>
        <v>0.16933510251023262</v>
      </c>
      <c r="O231" s="402">
        <f t="shared" si="30"/>
        <v>0.19908580854301616</v>
      </c>
      <c r="P231" s="9" t="s">
        <v>1967</v>
      </c>
      <c r="R231" s="754"/>
      <c r="T231" s="758"/>
    </row>
    <row r="232" spans="1:20" s="433" customFormat="1">
      <c r="A232" s="310" t="s">
        <v>477</v>
      </c>
      <c r="B232" s="777" t="s">
        <v>251</v>
      </c>
      <c r="C232" s="34" t="s">
        <v>139</v>
      </c>
      <c r="D232" s="122" t="s">
        <v>99</v>
      </c>
      <c r="E232" s="242">
        <v>3.3408E-2</v>
      </c>
      <c r="F232" s="9">
        <v>2</v>
      </c>
      <c r="G232" s="9" t="s">
        <v>412</v>
      </c>
      <c r="H232" s="10">
        <v>1</v>
      </c>
      <c r="I232" s="10">
        <v>2</v>
      </c>
      <c r="J232" s="10">
        <v>2</v>
      </c>
      <c r="K232" s="10">
        <v>1</v>
      </c>
      <c r="L232" s="10">
        <v>1</v>
      </c>
      <c r="M232" s="10">
        <v>1</v>
      </c>
      <c r="N232" s="402">
        <f t="shared" si="29"/>
        <v>0.16933510251023262</v>
      </c>
      <c r="O232" s="402">
        <f t="shared" si="30"/>
        <v>0.19908580854301616</v>
      </c>
      <c r="P232" s="9" t="s">
        <v>1965</v>
      </c>
      <c r="T232" s="758"/>
    </row>
    <row r="233" spans="1:20" s="433" customFormat="1">
      <c r="A233" s="310" t="s">
        <v>477</v>
      </c>
      <c r="B233" s="772" t="s">
        <v>258</v>
      </c>
      <c r="C233" s="34" t="s">
        <v>139</v>
      </c>
      <c r="D233" s="124" t="s">
        <v>99</v>
      </c>
      <c r="E233" s="746">
        <v>2.176E-3</v>
      </c>
      <c r="F233" s="119">
        <v>2</v>
      </c>
      <c r="G233" s="119" t="s">
        <v>412</v>
      </c>
      <c r="H233" s="10">
        <v>1</v>
      </c>
      <c r="I233" s="10">
        <v>2</v>
      </c>
      <c r="J233" s="10">
        <v>2</v>
      </c>
      <c r="K233" s="10">
        <v>1</v>
      </c>
      <c r="L233" s="10">
        <v>1</v>
      </c>
      <c r="M233" s="10">
        <v>1</v>
      </c>
      <c r="N233" s="402">
        <f>IF( OR( ISBLANK(H233),ISBLANK(J233), ISBLANK(K233), ISBLANK(L233), ISBLANK(M233) ), "", 1.5*SQRT(   EXP(2.21*(H233-1)) + EXP(2.21*(J233-1)) + EXP(2.21*(K233-1)) + EXP(2.21*(L233-1)) + EXP(2.21*M233)   )/100*2.45 )</f>
        <v>0.16933510251023262</v>
      </c>
      <c r="O233" s="402">
        <f>IF( OR( ISBLANK(I233),ISBLANK(J233), ISBLANK(K233), ISBLANK(L233), ISBLANK(M233) ), "", 1.5*SQRT( EXP(2.21*(I233-1)) + EXP(2.21*(J233-1)) + EXP(2.21*(K233-1)) + EXP(2.21*(L233-1)) + EXP(2.21*M233)   )/100*2.45 )</f>
        <v>0.19908580854301616</v>
      </c>
      <c r="P233" s="155" t="s">
        <v>1966</v>
      </c>
      <c r="T233" s="758"/>
    </row>
    <row r="234" spans="1:20" s="433" customFormat="1" ht="15" thickBot="1">
      <c r="A234" s="635" t="s">
        <v>477</v>
      </c>
      <c r="B234" s="781" t="s">
        <v>327</v>
      </c>
      <c r="C234" s="34" t="s">
        <v>139</v>
      </c>
      <c r="D234" s="124" t="s">
        <v>99</v>
      </c>
      <c r="E234" s="746" t="s">
        <v>150</v>
      </c>
      <c r="F234" s="119">
        <v>1</v>
      </c>
      <c r="G234" s="119" t="s">
        <v>412</v>
      </c>
      <c r="H234" s="15"/>
      <c r="I234" s="15"/>
      <c r="J234" s="15"/>
      <c r="K234" s="15"/>
      <c r="L234" s="15"/>
      <c r="M234" s="15"/>
      <c r="N234" s="421" t="str">
        <f t="shared" si="29"/>
        <v/>
      </c>
      <c r="O234" s="421" t="str">
        <f t="shared" si="30"/>
        <v/>
      </c>
      <c r="P234" s="119"/>
      <c r="T234" s="758"/>
    </row>
    <row r="235" spans="1:20" s="433" customFormat="1">
      <c r="A235" s="631" t="s">
        <v>479</v>
      </c>
      <c r="B235" s="780" t="s">
        <v>228</v>
      </c>
      <c r="C235" s="34" t="s">
        <v>139</v>
      </c>
      <c r="D235" s="121" t="s">
        <v>99</v>
      </c>
      <c r="E235" s="629">
        <v>6.4000000000000001E-2</v>
      </c>
      <c r="F235" s="11">
        <v>2</v>
      </c>
      <c r="G235" s="11" t="s">
        <v>412</v>
      </c>
      <c r="H235" s="13">
        <v>1</v>
      </c>
      <c r="I235" s="13">
        <v>2</v>
      </c>
      <c r="J235" s="13">
        <v>2</v>
      </c>
      <c r="K235" s="13">
        <v>1</v>
      </c>
      <c r="L235" s="13">
        <v>1</v>
      </c>
      <c r="M235" s="13">
        <v>1</v>
      </c>
      <c r="N235" s="422">
        <f t="shared" si="29"/>
        <v>0.16933510251023262</v>
      </c>
      <c r="O235" s="422">
        <f t="shared" si="30"/>
        <v>0.19908580854301616</v>
      </c>
      <c r="P235" s="42" t="s">
        <v>852</v>
      </c>
    </row>
    <row r="236" spans="1:20" s="433" customFormat="1" ht="15" thickBot="1">
      <c r="A236" s="632" t="s">
        <v>479</v>
      </c>
      <c r="B236" s="781" t="s">
        <v>327</v>
      </c>
      <c r="C236" s="34" t="s">
        <v>139</v>
      </c>
      <c r="D236" s="123" t="s">
        <v>99</v>
      </c>
      <c r="E236" s="750" t="s">
        <v>150</v>
      </c>
      <c r="F236" s="12">
        <v>1</v>
      </c>
      <c r="G236" s="12" t="s">
        <v>412</v>
      </c>
      <c r="H236" s="14"/>
      <c r="I236" s="14"/>
      <c r="J236" s="14"/>
      <c r="K236" s="14"/>
      <c r="L236" s="14"/>
      <c r="M236" s="14"/>
      <c r="N236" s="425" t="str">
        <f t="shared" si="29"/>
        <v/>
      </c>
      <c r="O236" s="425" t="str">
        <f t="shared" si="30"/>
        <v/>
      </c>
      <c r="P236" s="44" t="s">
        <v>1930</v>
      </c>
    </row>
    <row r="237" spans="1:20" s="433" customFormat="1">
      <c r="A237" s="634" t="s">
        <v>420</v>
      </c>
      <c r="B237" s="771" t="s">
        <v>480</v>
      </c>
      <c r="C237" s="34" t="s">
        <v>139</v>
      </c>
      <c r="D237" s="611" t="s">
        <v>99</v>
      </c>
      <c r="E237" s="741">
        <f>0.85*0.6</f>
        <v>0.51</v>
      </c>
      <c r="F237" s="118">
        <v>2</v>
      </c>
      <c r="G237" s="118" t="s">
        <v>412</v>
      </c>
      <c r="H237" s="66">
        <v>1</v>
      </c>
      <c r="I237" s="66">
        <v>2</v>
      </c>
      <c r="J237" s="66">
        <v>2</v>
      </c>
      <c r="K237" s="66">
        <v>1</v>
      </c>
      <c r="L237" s="66">
        <v>1</v>
      </c>
      <c r="M237" s="66">
        <v>1</v>
      </c>
      <c r="N237" s="435">
        <f t="shared" si="29"/>
        <v>0.16933510251023262</v>
      </c>
      <c r="O237" s="435">
        <f t="shared" si="30"/>
        <v>0.19908580854301616</v>
      </c>
      <c r="P237" s="118" t="s">
        <v>853</v>
      </c>
    </row>
    <row r="238" spans="1:20" s="433" customFormat="1">
      <c r="A238" s="310" t="s">
        <v>420</v>
      </c>
      <c r="B238" s="777" t="s">
        <v>481</v>
      </c>
      <c r="C238" s="34" t="s">
        <v>139</v>
      </c>
      <c r="D238" s="122" t="s">
        <v>99</v>
      </c>
      <c r="E238" s="242">
        <f>0.85*0.4</f>
        <v>0.34</v>
      </c>
      <c r="F238" s="9">
        <v>2</v>
      </c>
      <c r="G238" s="9" t="s">
        <v>412</v>
      </c>
      <c r="H238" s="10">
        <v>1</v>
      </c>
      <c r="I238" s="10">
        <v>2</v>
      </c>
      <c r="J238" s="10">
        <v>2</v>
      </c>
      <c r="K238" s="10">
        <v>1</v>
      </c>
      <c r="L238" s="10">
        <v>1</v>
      </c>
      <c r="M238" s="10">
        <v>1</v>
      </c>
      <c r="N238" s="402">
        <f t="shared" si="29"/>
        <v>0.16933510251023262</v>
      </c>
      <c r="O238" s="402">
        <f t="shared" si="30"/>
        <v>0.19908580854301616</v>
      </c>
      <c r="P238" s="9" t="s">
        <v>854</v>
      </c>
    </row>
    <row r="239" spans="1:20" s="433" customFormat="1" ht="15" thickBot="1">
      <c r="A239" s="635" t="s">
        <v>420</v>
      </c>
      <c r="B239" s="772" t="s">
        <v>223</v>
      </c>
      <c r="C239" s="34" t="s">
        <v>139</v>
      </c>
      <c r="D239" s="124" t="s">
        <v>99</v>
      </c>
      <c r="E239" s="746">
        <v>0.15</v>
      </c>
      <c r="F239" s="119">
        <v>1</v>
      </c>
      <c r="G239" s="119" t="s">
        <v>412</v>
      </c>
      <c r="H239" s="15">
        <v>1</v>
      </c>
      <c r="I239" s="15">
        <v>2</v>
      </c>
      <c r="J239" s="15">
        <v>2</v>
      </c>
      <c r="K239" s="15">
        <v>1</v>
      </c>
      <c r="L239" s="15">
        <v>1</v>
      </c>
      <c r="M239" s="15">
        <v>1</v>
      </c>
      <c r="N239" s="421">
        <f t="shared" si="29"/>
        <v>0.16933510251023262</v>
      </c>
      <c r="O239" s="421">
        <f t="shared" si="30"/>
        <v>0.19908580854301616</v>
      </c>
      <c r="P239" s="119" t="s">
        <v>851</v>
      </c>
    </row>
    <row r="240" spans="1:20" s="433" customFormat="1">
      <c r="A240" s="631" t="s">
        <v>480</v>
      </c>
      <c r="B240" s="780" t="s">
        <v>482</v>
      </c>
      <c r="C240" s="34" t="s">
        <v>139</v>
      </c>
      <c r="D240" s="121" t="s">
        <v>99</v>
      </c>
      <c r="E240" s="629">
        <v>0.15</v>
      </c>
      <c r="F240" s="11">
        <v>2</v>
      </c>
      <c r="G240" s="11" t="s">
        <v>412</v>
      </c>
      <c r="H240" s="13">
        <v>1</v>
      </c>
      <c r="I240" s="13">
        <v>2</v>
      </c>
      <c r="J240" s="13">
        <v>2</v>
      </c>
      <c r="K240" s="13">
        <v>1</v>
      </c>
      <c r="L240" s="13">
        <v>1</v>
      </c>
      <c r="M240" s="13">
        <v>1</v>
      </c>
      <c r="N240" s="422">
        <f t="shared" si="29"/>
        <v>0.16933510251023262</v>
      </c>
      <c r="O240" s="422">
        <f t="shared" si="30"/>
        <v>0.19908580854301616</v>
      </c>
      <c r="P240" s="42" t="s">
        <v>855</v>
      </c>
    </row>
    <row r="241" spans="1:16" s="433" customFormat="1" ht="15" thickBot="1">
      <c r="A241" s="632" t="s">
        <v>480</v>
      </c>
      <c r="B241" s="781" t="s">
        <v>483</v>
      </c>
      <c r="C241" s="34" t="s">
        <v>139</v>
      </c>
      <c r="D241" s="123" t="s">
        <v>99</v>
      </c>
      <c r="E241" s="750" t="s">
        <v>150</v>
      </c>
      <c r="F241" s="12">
        <v>1</v>
      </c>
      <c r="G241" s="12" t="s">
        <v>412</v>
      </c>
      <c r="H241" s="14"/>
      <c r="I241" s="14"/>
      <c r="J241" s="14"/>
      <c r="K241" s="14"/>
      <c r="L241" s="14"/>
      <c r="M241" s="14"/>
      <c r="N241" s="425" t="str">
        <f t="shared" si="29"/>
        <v/>
      </c>
      <c r="O241" s="425" t="str">
        <f t="shared" si="30"/>
        <v/>
      </c>
      <c r="P241" s="44" t="s">
        <v>1931</v>
      </c>
    </row>
    <row r="242" spans="1:16" s="433" customFormat="1">
      <c r="A242" s="634" t="s">
        <v>482</v>
      </c>
      <c r="B242" s="771" t="s">
        <v>231</v>
      </c>
      <c r="C242" s="34" t="s">
        <v>139</v>
      </c>
      <c r="D242" s="611" t="s">
        <v>99</v>
      </c>
      <c r="E242" s="746">
        <v>0.05</v>
      </c>
      <c r="F242" s="119">
        <v>2</v>
      </c>
      <c r="G242" s="11" t="s">
        <v>157</v>
      </c>
      <c r="H242" s="66">
        <v>1</v>
      </c>
      <c r="I242" s="66">
        <v>2</v>
      </c>
      <c r="J242" s="66">
        <v>2</v>
      </c>
      <c r="K242" s="66">
        <v>1</v>
      </c>
      <c r="L242" s="15">
        <v>3</v>
      </c>
      <c r="M242" s="13">
        <v>3</v>
      </c>
      <c r="N242" s="435">
        <f t="shared" si="29"/>
        <v>1.0725046436742278</v>
      </c>
      <c r="O242" s="435">
        <f t="shared" si="30"/>
        <v>1.0776024280428556</v>
      </c>
      <c r="P242" s="119" t="s">
        <v>1916</v>
      </c>
    </row>
    <row r="243" spans="1:16" s="433" customFormat="1">
      <c r="A243" s="310" t="s">
        <v>482</v>
      </c>
      <c r="B243" s="777" t="s">
        <v>232</v>
      </c>
      <c r="C243" s="34" t="s">
        <v>139</v>
      </c>
      <c r="D243" s="122" t="s">
        <v>99</v>
      </c>
      <c r="E243" s="242">
        <v>0.39400000000000002</v>
      </c>
      <c r="F243" s="9">
        <v>2</v>
      </c>
      <c r="G243" s="9" t="s">
        <v>412</v>
      </c>
      <c r="H243" s="10">
        <v>1</v>
      </c>
      <c r="I243" s="10">
        <v>2</v>
      </c>
      <c r="J243" s="10">
        <v>2</v>
      </c>
      <c r="K243" s="10">
        <v>1</v>
      </c>
      <c r="L243" s="10">
        <v>1</v>
      </c>
      <c r="M243" s="10">
        <v>1</v>
      </c>
      <c r="N243" s="402">
        <f t="shared" si="29"/>
        <v>0.16933510251023262</v>
      </c>
      <c r="O243" s="402">
        <f t="shared" si="30"/>
        <v>0.19908580854301616</v>
      </c>
      <c r="P243" s="9" t="s">
        <v>1940</v>
      </c>
    </row>
    <row r="244" spans="1:16" s="433" customFormat="1">
      <c r="A244" s="635" t="s">
        <v>482</v>
      </c>
      <c r="B244" s="772" t="s">
        <v>251</v>
      </c>
      <c r="C244" s="34" t="s">
        <v>139</v>
      </c>
      <c r="D244" s="124" t="s">
        <v>99</v>
      </c>
      <c r="E244" s="242">
        <v>0.52200000000000002</v>
      </c>
      <c r="F244" s="7">
        <v>1</v>
      </c>
      <c r="G244" s="9" t="s">
        <v>412</v>
      </c>
      <c r="H244" s="15">
        <v>1</v>
      </c>
      <c r="I244" s="15">
        <v>2</v>
      </c>
      <c r="J244" s="15">
        <v>2</v>
      </c>
      <c r="K244" s="15">
        <v>1</v>
      </c>
      <c r="L244" s="15">
        <v>1</v>
      </c>
      <c r="M244" s="15">
        <v>1</v>
      </c>
      <c r="N244" s="421">
        <f t="shared" si="29"/>
        <v>0.16933510251023262</v>
      </c>
      <c r="O244" s="421">
        <f t="shared" si="30"/>
        <v>0.19908580854301616</v>
      </c>
      <c r="P244" s="9" t="s">
        <v>1941</v>
      </c>
    </row>
    <row r="245" spans="1:16" s="433" customFormat="1" ht="15" thickBot="1">
      <c r="A245" s="635" t="s">
        <v>482</v>
      </c>
      <c r="B245" s="772" t="s">
        <v>258</v>
      </c>
      <c r="C245" s="34" t="s">
        <v>139</v>
      </c>
      <c r="D245" s="124" t="s">
        <v>99</v>
      </c>
      <c r="E245" s="746">
        <v>3.4000000000000002E-2</v>
      </c>
      <c r="F245" s="119">
        <v>2</v>
      </c>
      <c r="G245" s="9" t="s">
        <v>412</v>
      </c>
      <c r="H245" s="15"/>
      <c r="I245" s="15"/>
      <c r="J245" s="15"/>
      <c r="K245" s="15"/>
      <c r="L245" s="15"/>
      <c r="M245" s="15"/>
      <c r="N245" s="421"/>
      <c r="O245" s="421"/>
      <c r="P245" s="119" t="s">
        <v>1942</v>
      </c>
    </row>
    <row r="246" spans="1:16" s="433" customFormat="1">
      <c r="A246" s="631" t="s">
        <v>481</v>
      </c>
      <c r="B246" s="780" t="s">
        <v>484</v>
      </c>
      <c r="C246" s="34" t="s">
        <v>139</v>
      </c>
      <c r="D246" s="121" t="s">
        <v>99</v>
      </c>
      <c r="E246" s="629">
        <f>0.1*E240</f>
        <v>1.4999999999999999E-2</v>
      </c>
      <c r="F246" s="11">
        <v>2</v>
      </c>
      <c r="G246" s="11" t="s">
        <v>412</v>
      </c>
      <c r="H246" s="13">
        <v>1</v>
      </c>
      <c r="I246" s="13">
        <v>2</v>
      </c>
      <c r="J246" s="13">
        <v>2</v>
      </c>
      <c r="K246" s="13">
        <v>1</v>
      </c>
      <c r="L246" s="13">
        <v>1</v>
      </c>
      <c r="M246" s="13">
        <v>1</v>
      </c>
      <c r="N246" s="422">
        <f t="shared" si="29"/>
        <v>0.16933510251023262</v>
      </c>
      <c r="O246" s="422">
        <f t="shared" si="30"/>
        <v>0.19908580854301616</v>
      </c>
      <c r="P246" s="42" t="s">
        <v>835</v>
      </c>
    </row>
    <row r="247" spans="1:16" s="433" customFormat="1" ht="15" thickBot="1">
      <c r="A247" s="632" t="s">
        <v>481</v>
      </c>
      <c r="B247" s="781" t="s">
        <v>485</v>
      </c>
      <c r="C247" s="34" t="s">
        <v>139</v>
      </c>
      <c r="D247" s="123" t="s">
        <v>99</v>
      </c>
      <c r="E247" s="750" t="s">
        <v>150</v>
      </c>
      <c r="F247" s="12">
        <v>1</v>
      </c>
      <c r="G247" s="12" t="s">
        <v>412</v>
      </c>
      <c r="H247" s="14"/>
      <c r="I247" s="14"/>
      <c r="J247" s="14"/>
      <c r="K247" s="14"/>
      <c r="L247" s="14"/>
      <c r="M247" s="14"/>
      <c r="N247" s="425" t="str">
        <f t="shared" si="29"/>
        <v/>
      </c>
      <c r="O247" s="425" t="str">
        <f t="shared" si="30"/>
        <v/>
      </c>
      <c r="P247" s="44" t="s">
        <v>1931</v>
      </c>
    </row>
    <row r="248" spans="1:16" s="433" customFormat="1" ht="15" thickBot="1">
      <c r="A248" s="755" t="s">
        <v>484</v>
      </c>
      <c r="B248" s="774" t="s">
        <v>228</v>
      </c>
      <c r="C248" s="34" t="s">
        <v>139</v>
      </c>
      <c r="D248" s="784" t="s">
        <v>99</v>
      </c>
      <c r="E248" s="752">
        <v>1</v>
      </c>
      <c r="F248" s="751">
        <v>2</v>
      </c>
      <c r="G248" s="751" t="s">
        <v>412</v>
      </c>
      <c r="H248" s="71">
        <v>1</v>
      </c>
      <c r="I248" s="71">
        <v>2</v>
      </c>
      <c r="J248" s="71">
        <v>2</v>
      </c>
      <c r="K248" s="71">
        <v>1</v>
      </c>
      <c r="L248" s="71">
        <v>1</v>
      </c>
      <c r="M248" s="71">
        <v>1</v>
      </c>
      <c r="N248" s="756">
        <f t="shared" si="29"/>
        <v>0.16933510251023262</v>
      </c>
      <c r="O248" s="756">
        <f t="shared" si="30"/>
        <v>0.19908580854301616</v>
      </c>
      <c r="P248" s="751" t="s">
        <v>836</v>
      </c>
    </row>
    <row r="249" spans="1:16" s="433" customFormat="1">
      <c r="A249" s="434" t="s">
        <v>483</v>
      </c>
      <c r="B249" s="434" t="s">
        <v>231</v>
      </c>
      <c r="C249" s="34" t="s">
        <v>139</v>
      </c>
      <c r="D249" s="121" t="s">
        <v>99</v>
      </c>
      <c r="E249" s="629">
        <v>0</v>
      </c>
      <c r="F249" s="11">
        <v>2</v>
      </c>
      <c r="G249" s="11" t="s">
        <v>412</v>
      </c>
      <c r="H249" s="13">
        <v>1</v>
      </c>
      <c r="I249" s="13">
        <v>2</v>
      </c>
      <c r="J249" s="13">
        <v>2</v>
      </c>
      <c r="K249" s="13">
        <v>1</v>
      </c>
      <c r="L249" s="769">
        <v>1</v>
      </c>
      <c r="M249" s="13">
        <v>1</v>
      </c>
      <c r="N249" s="422">
        <f t="shared" si="29"/>
        <v>0.16933510251023262</v>
      </c>
      <c r="O249" s="422">
        <f t="shared" si="30"/>
        <v>0.19908580854301616</v>
      </c>
      <c r="P249" s="42" t="s">
        <v>1945</v>
      </c>
    </row>
    <row r="250" spans="1:16" s="433" customFormat="1">
      <c r="A250" s="493" t="s">
        <v>483</v>
      </c>
      <c r="B250" s="493" t="s">
        <v>232</v>
      </c>
      <c r="C250" s="34" t="s">
        <v>139</v>
      </c>
      <c r="D250" s="122" t="s">
        <v>99</v>
      </c>
      <c r="E250" s="242">
        <v>0</v>
      </c>
      <c r="F250" s="9">
        <v>2</v>
      </c>
      <c r="G250" s="9" t="s">
        <v>412</v>
      </c>
      <c r="H250" s="10">
        <v>1</v>
      </c>
      <c r="I250" s="10">
        <v>2</v>
      </c>
      <c r="J250" s="10">
        <v>2</v>
      </c>
      <c r="K250" s="10">
        <v>1</v>
      </c>
      <c r="L250" s="10">
        <v>1</v>
      </c>
      <c r="M250" s="10">
        <v>1</v>
      </c>
      <c r="N250" s="402">
        <f t="shared" si="29"/>
        <v>0.16933510251023262</v>
      </c>
      <c r="O250" s="402">
        <f t="shared" si="30"/>
        <v>0.19908580854301616</v>
      </c>
      <c r="P250" s="43" t="s">
        <v>1945</v>
      </c>
    </row>
    <row r="251" spans="1:16" s="433" customFormat="1">
      <c r="A251" s="493" t="s">
        <v>483</v>
      </c>
      <c r="B251" s="493" t="s">
        <v>251</v>
      </c>
      <c r="C251" s="34" t="s">
        <v>139</v>
      </c>
      <c r="D251" s="122" t="s">
        <v>99</v>
      </c>
      <c r="E251" s="242">
        <v>0</v>
      </c>
      <c r="F251" s="9">
        <v>2</v>
      </c>
      <c r="G251" s="9" t="s">
        <v>412</v>
      </c>
      <c r="H251" s="10">
        <v>1</v>
      </c>
      <c r="I251" s="10">
        <v>2</v>
      </c>
      <c r="J251" s="10">
        <v>2</v>
      </c>
      <c r="K251" s="10">
        <v>1</v>
      </c>
      <c r="L251" s="10">
        <v>1</v>
      </c>
      <c r="M251" s="10">
        <v>1</v>
      </c>
      <c r="N251" s="402">
        <f t="shared" si="29"/>
        <v>0.16933510251023262</v>
      </c>
      <c r="O251" s="402">
        <f t="shared" si="30"/>
        <v>0.19908580854301616</v>
      </c>
      <c r="P251" s="43" t="s">
        <v>1945</v>
      </c>
    </row>
    <row r="252" spans="1:16" s="433" customFormat="1">
      <c r="A252" s="493" t="s">
        <v>483</v>
      </c>
      <c r="B252" s="779" t="s">
        <v>258</v>
      </c>
      <c r="C252" s="34" t="s">
        <v>139</v>
      </c>
      <c r="D252" s="124" t="s">
        <v>99</v>
      </c>
      <c r="E252" s="746">
        <v>0</v>
      </c>
      <c r="F252" s="119">
        <v>2</v>
      </c>
      <c r="G252" s="119" t="s">
        <v>412</v>
      </c>
      <c r="H252" s="10">
        <v>1</v>
      </c>
      <c r="I252" s="10">
        <v>2</v>
      </c>
      <c r="J252" s="10">
        <v>2</v>
      </c>
      <c r="K252" s="10">
        <v>1</v>
      </c>
      <c r="L252" s="10">
        <v>1</v>
      </c>
      <c r="M252" s="10">
        <v>1</v>
      </c>
      <c r="N252" s="402">
        <f>IF( OR( ISBLANK(H252),ISBLANK(J252), ISBLANK(K252), ISBLANK(L252), ISBLANK(M252) ), "", 1.5*SQRT(   EXP(2.21*(H252-1)) + EXP(2.21*(J252-1)) + EXP(2.21*(K252-1)) + EXP(2.21*(L252-1)) + EXP(2.21*M252)   )/100*2.45 )</f>
        <v>0.16933510251023262</v>
      </c>
      <c r="O252" s="402">
        <f>IF( OR( ISBLANK(I252),ISBLANK(J252), ISBLANK(K252), ISBLANK(L252), ISBLANK(M252) ), "", 1.5*SQRT( EXP(2.21*(I252-1)) + EXP(2.21*(J252-1)) + EXP(2.21*(K252-1)) + EXP(2.21*(L252-1)) + EXP(2.21*M252)   )/100*2.45 )</f>
        <v>0.19908580854301616</v>
      </c>
      <c r="P252" s="155" t="s">
        <v>1945</v>
      </c>
    </row>
    <row r="253" spans="1:16" s="433" customFormat="1" ht="15" thickBot="1">
      <c r="A253" s="770" t="s">
        <v>483</v>
      </c>
      <c r="B253" s="770" t="s">
        <v>327</v>
      </c>
      <c r="C253" s="34" t="s">
        <v>139</v>
      </c>
      <c r="D253" s="123" t="s">
        <v>99</v>
      </c>
      <c r="E253" s="750" t="s">
        <v>150</v>
      </c>
      <c r="F253" s="12">
        <v>1</v>
      </c>
      <c r="G253" s="12" t="s">
        <v>412</v>
      </c>
      <c r="H253" s="14"/>
      <c r="I253" s="14"/>
      <c r="J253" s="14"/>
      <c r="K253" s="14"/>
      <c r="L253" s="14"/>
      <c r="M253" s="14"/>
      <c r="N253" s="425" t="str">
        <f t="shared" si="29"/>
        <v/>
      </c>
      <c r="O253" s="425" t="str">
        <f t="shared" si="30"/>
        <v/>
      </c>
      <c r="P253" s="44"/>
    </row>
    <row r="254" spans="1:16" s="433" customFormat="1">
      <c r="A254" s="634" t="s">
        <v>485</v>
      </c>
      <c r="B254" s="771" t="s">
        <v>228</v>
      </c>
      <c r="C254" s="34" t="s">
        <v>139</v>
      </c>
      <c r="D254" s="611" t="s">
        <v>99</v>
      </c>
      <c r="E254" s="741">
        <v>0</v>
      </c>
      <c r="F254" s="118">
        <v>2</v>
      </c>
      <c r="G254" s="118" t="s">
        <v>412</v>
      </c>
      <c r="H254" s="66">
        <v>1</v>
      </c>
      <c r="I254" s="66">
        <v>2</v>
      </c>
      <c r="J254" s="66">
        <v>2</v>
      </c>
      <c r="K254" s="66">
        <v>1</v>
      </c>
      <c r="L254" s="66">
        <v>1</v>
      </c>
      <c r="M254" s="66">
        <v>1</v>
      </c>
      <c r="N254" s="435">
        <f t="shared" si="29"/>
        <v>0.16933510251023262</v>
      </c>
      <c r="O254" s="435">
        <f t="shared" si="30"/>
        <v>0.19908580854301616</v>
      </c>
      <c r="P254" s="118" t="s">
        <v>837</v>
      </c>
    </row>
    <row r="255" spans="1:16" s="433" customFormat="1" ht="15" thickBot="1">
      <c r="A255" s="635" t="s">
        <v>485</v>
      </c>
      <c r="B255" s="772" t="s">
        <v>327</v>
      </c>
      <c r="C255" s="34" t="s">
        <v>139</v>
      </c>
      <c r="D255" s="124" t="s">
        <v>99</v>
      </c>
      <c r="E255" s="746" t="s">
        <v>150</v>
      </c>
      <c r="F255" s="119">
        <v>1</v>
      </c>
      <c r="G255" s="119" t="s">
        <v>412</v>
      </c>
      <c r="H255" s="15">
        <v>1</v>
      </c>
      <c r="I255" s="15">
        <v>2</v>
      </c>
      <c r="J255" s="15">
        <v>2</v>
      </c>
      <c r="K255" s="15">
        <v>1</v>
      </c>
      <c r="L255" s="15">
        <v>1</v>
      </c>
      <c r="M255" s="15">
        <v>1</v>
      </c>
      <c r="N255" s="421">
        <f t="shared" si="29"/>
        <v>0.16933510251023262</v>
      </c>
      <c r="O255" s="421">
        <f t="shared" si="30"/>
        <v>0.19908580854301616</v>
      </c>
      <c r="P255" s="119" t="s">
        <v>1932</v>
      </c>
    </row>
    <row r="256" spans="1:16" s="433" customFormat="1">
      <c r="A256" s="631" t="s">
        <v>421</v>
      </c>
      <c r="B256" s="780" t="s">
        <v>486</v>
      </c>
      <c r="C256" s="34" t="s">
        <v>139</v>
      </c>
      <c r="D256" s="121" t="s">
        <v>99</v>
      </c>
      <c r="E256" s="629">
        <v>0</v>
      </c>
      <c r="F256" s="11">
        <v>2</v>
      </c>
      <c r="G256" s="11" t="s">
        <v>412</v>
      </c>
      <c r="H256" s="13">
        <v>1</v>
      </c>
      <c r="I256" s="13">
        <v>2</v>
      </c>
      <c r="J256" s="13">
        <v>2</v>
      </c>
      <c r="K256" s="13">
        <v>1</v>
      </c>
      <c r="L256" s="13">
        <v>1</v>
      </c>
      <c r="M256" s="13">
        <v>1</v>
      </c>
      <c r="N256" s="422">
        <f t="shared" si="29"/>
        <v>0.16933510251023262</v>
      </c>
      <c r="O256" s="422">
        <f t="shared" si="30"/>
        <v>0.19908580854301616</v>
      </c>
      <c r="P256" s="42" t="s">
        <v>856</v>
      </c>
    </row>
    <row r="257" spans="1:16" s="433" customFormat="1">
      <c r="A257" s="633" t="s">
        <v>421</v>
      </c>
      <c r="B257" s="777" t="s">
        <v>487</v>
      </c>
      <c r="C257" s="34" t="s">
        <v>139</v>
      </c>
      <c r="D257" s="122" t="s">
        <v>99</v>
      </c>
      <c r="E257" s="242">
        <v>0.85</v>
      </c>
      <c r="F257" s="9">
        <v>2</v>
      </c>
      <c r="G257" s="9" t="s">
        <v>412</v>
      </c>
      <c r="H257" s="10">
        <v>1</v>
      </c>
      <c r="I257" s="10">
        <v>2</v>
      </c>
      <c r="J257" s="10">
        <v>2</v>
      </c>
      <c r="K257" s="10">
        <v>1</v>
      </c>
      <c r="L257" s="10">
        <v>1</v>
      </c>
      <c r="M257" s="10">
        <v>1</v>
      </c>
      <c r="N257" s="402">
        <f t="shared" si="29"/>
        <v>0.16933510251023262</v>
      </c>
      <c r="O257" s="402">
        <f t="shared" si="30"/>
        <v>0.19908580854301616</v>
      </c>
      <c r="P257" s="43" t="s">
        <v>857</v>
      </c>
    </row>
    <row r="258" spans="1:16" s="433" customFormat="1" ht="15" thickBot="1">
      <c r="A258" s="632" t="s">
        <v>421</v>
      </c>
      <c r="B258" s="781" t="s">
        <v>223</v>
      </c>
      <c r="C258" s="34" t="s">
        <v>139</v>
      </c>
      <c r="D258" s="123" t="s">
        <v>99</v>
      </c>
      <c r="E258" s="750">
        <v>0.15</v>
      </c>
      <c r="F258" s="12">
        <v>1</v>
      </c>
      <c r="G258" s="12" t="s">
        <v>412</v>
      </c>
      <c r="H258" s="14">
        <v>1</v>
      </c>
      <c r="I258" s="14">
        <v>2</v>
      </c>
      <c r="J258" s="14">
        <v>2</v>
      </c>
      <c r="K258" s="14">
        <v>1</v>
      </c>
      <c r="L258" s="14">
        <v>1</v>
      </c>
      <c r="M258" s="14">
        <v>1</v>
      </c>
      <c r="N258" s="425">
        <f t="shared" si="29"/>
        <v>0.16933510251023262</v>
      </c>
      <c r="O258" s="425">
        <f t="shared" si="30"/>
        <v>0.19908580854301616</v>
      </c>
      <c r="P258" s="44" t="s">
        <v>851</v>
      </c>
    </row>
    <row r="259" spans="1:16" s="433" customFormat="1">
      <c r="A259" s="771" t="s">
        <v>486</v>
      </c>
      <c r="B259" s="434" t="s">
        <v>489</v>
      </c>
      <c r="C259" s="34" t="s">
        <v>139</v>
      </c>
      <c r="D259" s="121" t="s">
        <v>99</v>
      </c>
      <c r="E259" s="629">
        <v>0.03</v>
      </c>
      <c r="F259" s="11">
        <v>2</v>
      </c>
      <c r="G259" s="11" t="s">
        <v>412</v>
      </c>
      <c r="H259" s="13">
        <v>1</v>
      </c>
      <c r="I259" s="13">
        <v>2</v>
      </c>
      <c r="J259" s="13">
        <v>2</v>
      </c>
      <c r="K259" s="13">
        <v>1</v>
      </c>
      <c r="L259" s="13">
        <v>1</v>
      </c>
      <c r="M259" s="13">
        <v>1</v>
      </c>
      <c r="N259" s="422">
        <f t="shared" si="29"/>
        <v>0.16933510251023262</v>
      </c>
      <c r="O259" s="422">
        <f t="shared" si="30"/>
        <v>0.19908580854301616</v>
      </c>
      <c r="P259" s="42" t="s">
        <v>834</v>
      </c>
    </row>
    <row r="260" spans="1:16" s="433" customFormat="1" ht="15" thickBot="1">
      <c r="A260" s="772" t="s">
        <v>486</v>
      </c>
      <c r="B260" s="770" t="s">
        <v>490</v>
      </c>
      <c r="C260" s="34" t="s">
        <v>139</v>
      </c>
      <c r="D260" s="123" t="s">
        <v>99</v>
      </c>
      <c r="E260" s="750" t="s">
        <v>150</v>
      </c>
      <c r="F260" s="12">
        <v>1</v>
      </c>
      <c r="G260" s="12" t="s">
        <v>412</v>
      </c>
      <c r="H260" s="14"/>
      <c r="I260" s="14"/>
      <c r="J260" s="14"/>
      <c r="K260" s="14"/>
      <c r="L260" s="14"/>
      <c r="M260" s="14"/>
      <c r="N260" s="425" t="str">
        <f t="shared" si="29"/>
        <v/>
      </c>
      <c r="O260" s="425" t="str">
        <f t="shared" si="30"/>
        <v/>
      </c>
      <c r="P260" s="44" t="s">
        <v>1933</v>
      </c>
    </row>
    <row r="261" spans="1:16" s="433" customFormat="1">
      <c r="A261" s="631" t="s">
        <v>489</v>
      </c>
      <c r="B261" s="771" t="s">
        <v>231</v>
      </c>
      <c r="C261" s="34" t="s">
        <v>139</v>
      </c>
      <c r="D261" s="611" t="s">
        <v>99</v>
      </c>
      <c r="E261" s="752">
        <v>0.05</v>
      </c>
      <c r="F261" s="751">
        <v>2</v>
      </c>
      <c r="G261" s="751"/>
      <c r="H261" s="66">
        <v>1</v>
      </c>
      <c r="I261" s="66">
        <v>2</v>
      </c>
      <c r="J261" s="66">
        <v>2</v>
      </c>
      <c r="K261" s="66">
        <v>1</v>
      </c>
      <c r="L261" s="71">
        <v>3</v>
      </c>
      <c r="M261" s="66">
        <v>3</v>
      </c>
      <c r="N261" s="435">
        <f t="shared" si="29"/>
        <v>1.0725046436742278</v>
      </c>
      <c r="O261" s="435">
        <f t="shared" si="30"/>
        <v>1.0776024280428556</v>
      </c>
      <c r="P261" s="773" t="s">
        <v>1916</v>
      </c>
    </row>
    <row r="262" spans="1:16" s="433" customFormat="1">
      <c r="A262" s="633" t="s">
        <v>489</v>
      </c>
      <c r="B262" s="777" t="s">
        <v>232</v>
      </c>
      <c r="C262" s="34" t="s">
        <v>139</v>
      </c>
      <c r="D262" s="122" t="s">
        <v>99</v>
      </c>
      <c r="E262" s="242">
        <v>0.39400000000000002</v>
      </c>
      <c r="F262" s="9">
        <v>2</v>
      </c>
      <c r="G262" s="9" t="s">
        <v>412</v>
      </c>
      <c r="H262" s="10">
        <v>1</v>
      </c>
      <c r="I262" s="10">
        <v>2</v>
      </c>
      <c r="J262" s="10">
        <v>2</v>
      </c>
      <c r="K262" s="10">
        <v>1</v>
      </c>
      <c r="L262" s="10">
        <v>1</v>
      </c>
      <c r="M262" s="10">
        <v>1</v>
      </c>
      <c r="N262" s="402">
        <f t="shared" si="29"/>
        <v>0.16933510251023262</v>
      </c>
      <c r="O262" s="402">
        <f t="shared" si="30"/>
        <v>0.19908580854301616</v>
      </c>
      <c r="P262" s="43" t="s">
        <v>1940</v>
      </c>
    </row>
    <row r="263" spans="1:16" s="433" customFormat="1">
      <c r="A263" s="633" t="s">
        <v>489</v>
      </c>
      <c r="B263" s="777" t="s">
        <v>251</v>
      </c>
      <c r="C263" s="34" t="s">
        <v>139</v>
      </c>
      <c r="D263" s="122" t="s">
        <v>99</v>
      </c>
      <c r="E263" s="242">
        <v>0.52200000000000002</v>
      </c>
      <c r="F263" s="7">
        <v>1</v>
      </c>
      <c r="G263" s="9" t="s">
        <v>412</v>
      </c>
      <c r="H263" s="10">
        <v>1</v>
      </c>
      <c r="I263" s="10">
        <v>2</v>
      </c>
      <c r="J263" s="10">
        <v>2</v>
      </c>
      <c r="K263" s="10">
        <v>1</v>
      </c>
      <c r="L263" s="10">
        <v>1</v>
      </c>
      <c r="M263" s="10">
        <v>1</v>
      </c>
      <c r="N263" s="402">
        <f t="shared" si="29"/>
        <v>0.16933510251023262</v>
      </c>
      <c r="O263" s="402">
        <f t="shared" si="30"/>
        <v>0.19908580854301616</v>
      </c>
      <c r="P263" s="43" t="s">
        <v>1941</v>
      </c>
    </row>
    <row r="264" spans="1:16" s="433" customFormat="1" ht="15" thickBot="1">
      <c r="A264" s="632" t="s">
        <v>489</v>
      </c>
      <c r="B264" s="772" t="s">
        <v>258</v>
      </c>
      <c r="C264" s="34" t="s">
        <v>139</v>
      </c>
      <c r="D264" s="124" t="s">
        <v>99</v>
      </c>
      <c r="E264" s="746">
        <v>3.4000000000000002E-2</v>
      </c>
      <c r="F264" s="119">
        <v>2</v>
      </c>
      <c r="G264" s="119" t="s">
        <v>412</v>
      </c>
      <c r="H264" s="15"/>
      <c r="I264" s="15"/>
      <c r="J264" s="15"/>
      <c r="K264" s="15"/>
      <c r="L264" s="15"/>
      <c r="M264" s="15"/>
      <c r="N264" s="421"/>
      <c r="O264" s="421"/>
      <c r="P264" s="155" t="s">
        <v>1942</v>
      </c>
    </row>
    <row r="265" spans="1:16" s="433" customFormat="1">
      <c r="A265" s="771" t="s">
        <v>487</v>
      </c>
      <c r="B265" s="434" t="s">
        <v>491</v>
      </c>
      <c r="C265" s="34" t="s">
        <v>139</v>
      </c>
      <c r="D265" s="121" t="s">
        <v>99</v>
      </c>
      <c r="E265" s="629" t="s">
        <v>150</v>
      </c>
      <c r="F265" s="11">
        <v>1</v>
      </c>
      <c r="G265" s="11" t="s">
        <v>412</v>
      </c>
      <c r="H265" s="13">
        <v>1</v>
      </c>
      <c r="I265" s="13">
        <v>2</v>
      </c>
      <c r="J265" s="13">
        <v>2</v>
      </c>
      <c r="K265" s="13">
        <v>1</v>
      </c>
      <c r="L265" s="13">
        <v>1</v>
      </c>
      <c r="M265" s="13">
        <v>1</v>
      </c>
      <c r="N265" s="422">
        <f t="shared" si="29"/>
        <v>0.16933510251023262</v>
      </c>
      <c r="O265" s="422">
        <f t="shared" si="30"/>
        <v>0.19908580854301616</v>
      </c>
      <c r="P265" s="42" t="s">
        <v>1934</v>
      </c>
    </row>
    <row r="266" spans="1:16" s="433" customFormat="1" ht="15" thickBot="1">
      <c r="A266" s="772" t="s">
        <v>487</v>
      </c>
      <c r="B266" s="770" t="s">
        <v>492</v>
      </c>
      <c r="C266" s="34" t="s">
        <v>139</v>
      </c>
      <c r="D266" s="123" t="s">
        <v>99</v>
      </c>
      <c r="E266" s="750">
        <f>0.016*0.091</f>
        <v>1.456E-3</v>
      </c>
      <c r="F266" s="12">
        <v>2</v>
      </c>
      <c r="G266" s="12" t="s">
        <v>412</v>
      </c>
      <c r="H266" s="14">
        <v>1</v>
      </c>
      <c r="I266" s="14">
        <v>2</v>
      </c>
      <c r="J266" s="14">
        <v>2</v>
      </c>
      <c r="K266" s="14">
        <v>1</v>
      </c>
      <c r="L266" s="14">
        <v>1</v>
      </c>
      <c r="M266" s="14">
        <v>1</v>
      </c>
      <c r="N266" s="425">
        <f t="shared" si="29"/>
        <v>0.16933510251023262</v>
      </c>
      <c r="O266" s="425">
        <f t="shared" si="30"/>
        <v>0.19908580854301616</v>
      </c>
      <c r="P266" s="44" t="s">
        <v>858</v>
      </c>
    </row>
    <row r="267" spans="1:16" s="433" customFormat="1">
      <c r="A267" s="631" t="s">
        <v>491</v>
      </c>
      <c r="B267" s="780" t="s">
        <v>493</v>
      </c>
      <c r="C267" s="34" t="s">
        <v>139</v>
      </c>
      <c r="D267" s="121" t="s">
        <v>99</v>
      </c>
      <c r="E267" s="629">
        <f>0.1*E259</f>
        <v>3.0000000000000001E-3</v>
      </c>
      <c r="F267" s="11">
        <v>2</v>
      </c>
      <c r="G267" s="11" t="s">
        <v>412</v>
      </c>
      <c r="H267" s="13">
        <v>1</v>
      </c>
      <c r="I267" s="13">
        <v>2</v>
      </c>
      <c r="J267" s="13">
        <v>2</v>
      </c>
      <c r="K267" s="13">
        <v>1</v>
      </c>
      <c r="L267" s="13">
        <v>1</v>
      </c>
      <c r="M267" s="13">
        <v>1</v>
      </c>
      <c r="N267" s="422">
        <f t="shared" si="29"/>
        <v>0.16933510251023262</v>
      </c>
      <c r="O267" s="422">
        <f t="shared" si="30"/>
        <v>0.19908580854301616</v>
      </c>
      <c r="P267" s="42" t="s">
        <v>835</v>
      </c>
    </row>
    <row r="268" spans="1:16" s="433" customFormat="1" ht="15" thickBot="1">
      <c r="A268" s="632" t="s">
        <v>491</v>
      </c>
      <c r="B268" s="781" t="s">
        <v>488</v>
      </c>
      <c r="C268" s="34" t="s">
        <v>139</v>
      </c>
      <c r="D268" s="123" t="s">
        <v>99</v>
      </c>
      <c r="E268" s="750" t="s">
        <v>150</v>
      </c>
      <c r="F268" s="12">
        <v>1</v>
      </c>
      <c r="G268" s="12" t="s">
        <v>412</v>
      </c>
      <c r="H268" s="14"/>
      <c r="I268" s="14"/>
      <c r="J268" s="14"/>
      <c r="K268" s="14"/>
      <c r="L268" s="14"/>
      <c r="M268" s="14"/>
      <c r="N268" s="425" t="str">
        <f t="shared" si="29"/>
        <v/>
      </c>
      <c r="O268" s="425" t="str">
        <f t="shared" si="30"/>
        <v/>
      </c>
      <c r="P268" s="44" t="s">
        <v>1935</v>
      </c>
    </row>
    <row r="269" spans="1:16" s="433" customFormat="1" ht="15" thickBot="1">
      <c r="A269" s="755" t="s">
        <v>493</v>
      </c>
      <c r="B269" s="774" t="s">
        <v>228</v>
      </c>
      <c r="C269" s="34" t="s">
        <v>139</v>
      </c>
      <c r="D269" s="784" t="s">
        <v>99</v>
      </c>
      <c r="E269" s="752">
        <v>1</v>
      </c>
      <c r="F269" s="751">
        <v>2</v>
      </c>
      <c r="G269" s="751" t="s">
        <v>412</v>
      </c>
      <c r="H269" s="71">
        <v>1</v>
      </c>
      <c r="I269" s="71">
        <v>2</v>
      </c>
      <c r="J269" s="71">
        <v>2</v>
      </c>
      <c r="K269" s="71">
        <v>1</v>
      </c>
      <c r="L269" s="71">
        <v>1</v>
      </c>
      <c r="M269" s="71">
        <v>1</v>
      </c>
      <c r="N269" s="756">
        <f t="shared" si="29"/>
        <v>0.16933510251023262</v>
      </c>
      <c r="O269" s="756">
        <f t="shared" si="30"/>
        <v>0.19908580854301616</v>
      </c>
      <c r="P269" s="751" t="s">
        <v>836</v>
      </c>
    </row>
    <row r="270" spans="1:16" s="433" customFormat="1" ht="15" thickBot="1">
      <c r="A270" s="630" t="s">
        <v>492</v>
      </c>
      <c r="B270" s="782" t="s">
        <v>232</v>
      </c>
      <c r="C270" s="34" t="s">
        <v>139</v>
      </c>
      <c r="D270" s="778" t="s">
        <v>99</v>
      </c>
      <c r="E270" s="748">
        <v>1</v>
      </c>
      <c r="F270" s="747">
        <v>1</v>
      </c>
      <c r="G270" s="747" t="s">
        <v>412</v>
      </c>
      <c r="H270" s="70">
        <v>1</v>
      </c>
      <c r="I270" s="70">
        <v>2</v>
      </c>
      <c r="J270" s="70">
        <v>2</v>
      </c>
      <c r="K270" s="70">
        <v>1</v>
      </c>
      <c r="L270" s="70">
        <v>1</v>
      </c>
      <c r="M270" s="70">
        <v>1</v>
      </c>
      <c r="N270" s="436">
        <f t="shared" si="29"/>
        <v>0.16933510251023262</v>
      </c>
      <c r="O270" s="436">
        <f t="shared" si="30"/>
        <v>0.19908580854301616</v>
      </c>
      <c r="P270" s="749" t="s">
        <v>836</v>
      </c>
    </row>
    <row r="271" spans="1:16" s="433" customFormat="1">
      <c r="A271" s="634" t="s">
        <v>490</v>
      </c>
      <c r="B271" s="780" t="s">
        <v>231</v>
      </c>
      <c r="C271" s="34" t="s">
        <v>139</v>
      </c>
      <c r="D271" s="611" t="s">
        <v>99</v>
      </c>
      <c r="E271" s="741">
        <v>0</v>
      </c>
      <c r="F271" s="118">
        <v>2</v>
      </c>
      <c r="G271" s="118" t="s">
        <v>412</v>
      </c>
      <c r="H271" s="66">
        <v>1</v>
      </c>
      <c r="I271" s="66">
        <v>2</v>
      </c>
      <c r="J271" s="66">
        <v>2</v>
      </c>
      <c r="K271" s="66">
        <v>1</v>
      </c>
      <c r="L271" s="15">
        <v>1</v>
      </c>
      <c r="M271" s="13">
        <v>1</v>
      </c>
      <c r="N271" s="435">
        <f t="shared" si="29"/>
        <v>0.16933510251023262</v>
      </c>
      <c r="O271" s="435">
        <f t="shared" si="30"/>
        <v>0.19908580854301616</v>
      </c>
      <c r="P271" s="42" t="s">
        <v>1944</v>
      </c>
    </row>
    <row r="272" spans="1:16" s="433" customFormat="1">
      <c r="A272" s="310" t="s">
        <v>490</v>
      </c>
      <c r="B272" s="777" t="s">
        <v>232</v>
      </c>
      <c r="C272" s="34" t="s">
        <v>139</v>
      </c>
      <c r="D272" s="122" t="s">
        <v>99</v>
      </c>
      <c r="E272" s="242">
        <v>0</v>
      </c>
      <c r="F272" s="9">
        <v>2</v>
      </c>
      <c r="G272" s="9" t="s">
        <v>412</v>
      </c>
      <c r="H272" s="10">
        <v>1</v>
      </c>
      <c r="I272" s="10">
        <v>2</v>
      </c>
      <c r="J272" s="10">
        <v>2</v>
      </c>
      <c r="K272" s="10">
        <v>1</v>
      </c>
      <c r="L272" s="10">
        <v>1</v>
      </c>
      <c r="M272" s="10">
        <v>1</v>
      </c>
      <c r="N272" s="402">
        <f t="shared" si="29"/>
        <v>0.16933510251023262</v>
      </c>
      <c r="O272" s="402">
        <f t="shared" si="30"/>
        <v>0.19908580854301616</v>
      </c>
      <c r="P272" s="43" t="s">
        <v>1944</v>
      </c>
    </row>
    <row r="273" spans="1:16" s="433" customFormat="1">
      <c r="A273" s="310" t="s">
        <v>490</v>
      </c>
      <c r="B273" s="777" t="s">
        <v>251</v>
      </c>
      <c r="C273" s="34" t="s">
        <v>139</v>
      </c>
      <c r="D273" s="122" t="s">
        <v>99</v>
      </c>
      <c r="E273" s="242">
        <v>0</v>
      </c>
      <c r="F273" s="9">
        <v>2</v>
      </c>
      <c r="G273" s="9" t="s">
        <v>412</v>
      </c>
      <c r="H273" s="10">
        <v>1</v>
      </c>
      <c r="I273" s="10">
        <v>2</v>
      </c>
      <c r="J273" s="10">
        <v>2</v>
      </c>
      <c r="K273" s="10">
        <v>1</v>
      </c>
      <c r="L273" s="10">
        <v>1</v>
      </c>
      <c r="M273" s="10">
        <v>1</v>
      </c>
      <c r="N273" s="402">
        <f t="shared" ref="N273:N315" si="31">IF( OR( ISBLANK(H273),ISBLANK(J273), ISBLANK(K273), ISBLANK(L273), ISBLANK(M273) ), "", 1.5*SQRT(   EXP(2.21*(H273-1)) + EXP(2.21*(J273-1)) + EXP(2.21*(K273-1)) + EXP(2.21*(L273-1)) + EXP(2.21*M273)   )/100*2.45 )</f>
        <v>0.16933510251023262</v>
      </c>
      <c r="O273" s="402">
        <f t="shared" ref="O273:O315" si="32">IF( OR( ISBLANK(I273),ISBLANK(J273), ISBLANK(K273), ISBLANK(L273), ISBLANK(M273) ), "", 1.5*SQRT( EXP(2.21*(I273-1)) + EXP(2.21*(J273-1)) + EXP(2.21*(K273-1)) + EXP(2.21*(L273-1)) + EXP(2.21*M273)   )/100*2.45 )</f>
        <v>0.19908580854301616</v>
      </c>
      <c r="P273" s="43" t="s">
        <v>1944</v>
      </c>
    </row>
    <row r="274" spans="1:16" s="433" customFormat="1">
      <c r="A274" s="310" t="s">
        <v>490</v>
      </c>
      <c r="B274" s="772" t="s">
        <v>258</v>
      </c>
      <c r="C274" s="34" t="s">
        <v>139</v>
      </c>
      <c r="D274" s="124" t="s">
        <v>99</v>
      </c>
      <c r="E274" s="746">
        <v>0</v>
      </c>
      <c r="F274" s="119">
        <v>2</v>
      </c>
      <c r="G274" s="119" t="s">
        <v>412</v>
      </c>
      <c r="H274" s="10">
        <v>1</v>
      </c>
      <c r="I274" s="10">
        <v>2</v>
      </c>
      <c r="J274" s="10">
        <v>2</v>
      </c>
      <c r="K274" s="10">
        <v>1</v>
      </c>
      <c r="L274" s="10">
        <v>1</v>
      </c>
      <c r="M274" s="10">
        <v>1</v>
      </c>
      <c r="N274" s="402">
        <f>IF( OR( ISBLANK(H274),ISBLANK(J274), ISBLANK(K274), ISBLANK(L274), ISBLANK(M274) ), "", 1.5*SQRT(   EXP(2.21*(H274-1)) + EXP(2.21*(J274-1)) + EXP(2.21*(K274-1)) + EXP(2.21*(L274-1)) + EXP(2.21*M274)   )/100*2.45 )</f>
        <v>0.16933510251023262</v>
      </c>
      <c r="O274" s="402">
        <f>IF( OR( ISBLANK(I274),ISBLANK(J274), ISBLANK(K274), ISBLANK(L274), ISBLANK(M274) ), "", 1.5*SQRT( EXP(2.21*(I274-1)) + EXP(2.21*(J274-1)) + EXP(2.21*(K274-1)) + EXP(2.21*(L274-1)) + EXP(2.21*M274)   )/100*2.45 )</f>
        <v>0.19908580854301616</v>
      </c>
      <c r="P274" s="155" t="s">
        <v>1944</v>
      </c>
    </row>
    <row r="275" spans="1:16" s="433" customFormat="1" ht="15" thickBot="1">
      <c r="A275" s="635" t="s">
        <v>490</v>
      </c>
      <c r="B275" s="781" t="s">
        <v>327</v>
      </c>
      <c r="C275" s="34" t="s">
        <v>139</v>
      </c>
      <c r="D275" s="124" t="s">
        <v>99</v>
      </c>
      <c r="E275" s="746" t="s">
        <v>150</v>
      </c>
      <c r="F275" s="119">
        <v>1</v>
      </c>
      <c r="G275" s="119" t="s">
        <v>412</v>
      </c>
      <c r="H275" s="15"/>
      <c r="I275" s="15"/>
      <c r="J275" s="15"/>
      <c r="K275" s="15"/>
      <c r="L275" s="15"/>
      <c r="M275" s="15"/>
      <c r="N275" s="421" t="str">
        <f t="shared" si="31"/>
        <v/>
      </c>
      <c r="O275" s="421" t="str">
        <f t="shared" si="32"/>
        <v/>
      </c>
      <c r="P275" s="44"/>
    </row>
    <row r="276" spans="1:16" s="433" customFormat="1">
      <c r="A276" s="631" t="s">
        <v>488</v>
      </c>
      <c r="B276" s="780" t="s">
        <v>228</v>
      </c>
      <c r="C276" s="34" t="s">
        <v>139</v>
      </c>
      <c r="D276" s="121" t="s">
        <v>99</v>
      </c>
      <c r="E276" s="629">
        <v>0</v>
      </c>
      <c r="F276" s="11">
        <v>2</v>
      </c>
      <c r="G276" s="11" t="s">
        <v>412</v>
      </c>
      <c r="H276" s="13">
        <v>1</v>
      </c>
      <c r="I276" s="13">
        <v>2</v>
      </c>
      <c r="J276" s="13">
        <v>2</v>
      </c>
      <c r="K276" s="13">
        <v>1</v>
      </c>
      <c r="L276" s="13">
        <v>1</v>
      </c>
      <c r="M276" s="13">
        <v>1</v>
      </c>
      <c r="N276" s="422">
        <f t="shared" si="31"/>
        <v>0.16933510251023262</v>
      </c>
      <c r="O276" s="422">
        <f t="shared" si="32"/>
        <v>0.19908580854301616</v>
      </c>
      <c r="P276" s="42" t="s">
        <v>837</v>
      </c>
    </row>
    <row r="277" spans="1:16" s="433" customFormat="1" ht="15" thickBot="1">
      <c r="A277" s="632" t="s">
        <v>488</v>
      </c>
      <c r="B277" s="781" t="s">
        <v>327</v>
      </c>
      <c r="C277" s="34" t="s">
        <v>139</v>
      </c>
      <c r="D277" s="123" t="s">
        <v>99</v>
      </c>
      <c r="E277" s="750" t="s">
        <v>150</v>
      </c>
      <c r="F277" s="12">
        <v>1</v>
      </c>
      <c r="G277" s="12" t="s">
        <v>412</v>
      </c>
      <c r="H277" s="14"/>
      <c r="I277" s="14"/>
      <c r="J277" s="14"/>
      <c r="K277" s="14"/>
      <c r="L277" s="14"/>
      <c r="M277" s="14"/>
      <c r="N277" s="425" t="str">
        <f t="shared" si="31"/>
        <v/>
      </c>
      <c r="O277" s="425" t="str">
        <f t="shared" si="32"/>
        <v/>
      </c>
      <c r="P277" s="44" t="s">
        <v>1936</v>
      </c>
    </row>
    <row r="278" spans="1:16" s="433" customFormat="1">
      <c r="A278" s="634" t="s">
        <v>422</v>
      </c>
      <c r="B278" s="771" t="s">
        <v>494</v>
      </c>
      <c r="C278" s="34" t="s">
        <v>139</v>
      </c>
      <c r="D278" s="611" t="s">
        <v>99</v>
      </c>
      <c r="E278" s="741">
        <v>0</v>
      </c>
      <c r="F278" s="118">
        <v>2</v>
      </c>
      <c r="G278" s="118" t="s">
        <v>412</v>
      </c>
      <c r="H278" s="66">
        <v>1</v>
      </c>
      <c r="I278" s="66">
        <v>2</v>
      </c>
      <c r="J278" s="66">
        <v>2</v>
      </c>
      <c r="K278" s="66">
        <v>1</v>
      </c>
      <c r="L278" s="66">
        <v>1</v>
      </c>
      <c r="M278" s="66">
        <v>1</v>
      </c>
      <c r="N278" s="435">
        <f t="shared" si="31"/>
        <v>0.16933510251023262</v>
      </c>
      <c r="O278" s="435">
        <f t="shared" si="32"/>
        <v>0.19908580854301616</v>
      </c>
      <c r="P278" s="118" t="s">
        <v>856</v>
      </c>
    </row>
    <row r="279" spans="1:16" s="433" customFormat="1">
      <c r="A279" s="310" t="s">
        <v>422</v>
      </c>
      <c r="B279" s="777" t="s">
        <v>495</v>
      </c>
      <c r="C279" s="34" t="s">
        <v>139</v>
      </c>
      <c r="D279" s="122" t="s">
        <v>99</v>
      </c>
      <c r="E279" s="242">
        <v>0.85</v>
      </c>
      <c r="F279" s="9">
        <v>2</v>
      </c>
      <c r="G279" s="9" t="s">
        <v>412</v>
      </c>
      <c r="H279" s="10">
        <v>1</v>
      </c>
      <c r="I279" s="10">
        <v>2</v>
      </c>
      <c r="J279" s="10">
        <v>2</v>
      </c>
      <c r="K279" s="10">
        <v>1</v>
      </c>
      <c r="L279" s="10">
        <v>1</v>
      </c>
      <c r="M279" s="10">
        <v>1</v>
      </c>
      <c r="N279" s="402">
        <f t="shared" si="31"/>
        <v>0.16933510251023262</v>
      </c>
      <c r="O279" s="402">
        <f t="shared" si="32"/>
        <v>0.19908580854301616</v>
      </c>
      <c r="P279" s="9" t="s">
        <v>857</v>
      </c>
    </row>
    <row r="280" spans="1:16" s="433" customFormat="1" ht="15" thickBot="1">
      <c r="A280" s="635" t="s">
        <v>422</v>
      </c>
      <c r="B280" s="772" t="s">
        <v>223</v>
      </c>
      <c r="C280" s="34" t="s">
        <v>139</v>
      </c>
      <c r="D280" s="124" t="s">
        <v>99</v>
      </c>
      <c r="E280" s="746">
        <v>0.15</v>
      </c>
      <c r="F280" s="119">
        <v>1</v>
      </c>
      <c r="G280" s="119" t="s">
        <v>412</v>
      </c>
      <c r="H280" s="15">
        <v>1</v>
      </c>
      <c r="I280" s="15">
        <v>2</v>
      </c>
      <c r="J280" s="15">
        <v>2</v>
      </c>
      <c r="K280" s="15">
        <v>1</v>
      </c>
      <c r="L280" s="15">
        <v>1</v>
      </c>
      <c r="M280" s="15">
        <v>1</v>
      </c>
      <c r="N280" s="421">
        <f t="shared" si="31"/>
        <v>0.16933510251023262</v>
      </c>
      <c r="O280" s="421">
        <f t="shared" si="32"/>
        <v>0.19908580854301616</v>
      </c>
      <c r="P280" s="119" t="s">
        <v>851</v>
      </c>
    </row>
    <row r="281" spans="1:16" s="433" customFormat="1">
      <c r="A281" s="631" t="s">
        <v>494</v>
      </c>
      <c r="B281" s="780" t="s">
        <v>496</v>
      </c>
      <c r="C281" s="34" t="s">
        <v>139</v>
      </c>
      <c r="D281" s="121" t="s">
        <v>99</v>
      </c>
      <c r="E281" s="629">
        <v>0.03</v>
      </c>
      <c r="F281" s="11">
        <v>2</v>
      </c>
      <c r="G281" s="11" t="s">
        <v>412</v>
      </c>
      <c r="H281" s="13">
        <v>1</v>
      </c>
      <c r="I281" s="13">
        <v>2</v>
      </c>
      <c r="J281" s="13">
        <v>2</v>
      </c>
      <c r="K281" s="13">
        <v>1</v>
      </c>
      <c r="L281" s="13">
        <v>1</v>
      </c>
      <c r="M281" s="13">
        <v>1</v>
      </c>
      <c r="N281" s="422">
        <f t="shared" si="31"/>
        <v>0.16933510251023262</v>
      </c>
      <c r="O281" s="422">
        <f t="shared" si="32"/>
        <v>0.19908580854301616</v>
      </c>
      <c r="P281" s="42" t="s">
        <v>834</v>
      </c>
    </row>
    <row r="282" spans="1:16" s="433" customFormat="1" ht="15" thickBot="1">
      <c r="A282" s="632" t="s">
        <v>494</v>
      </c>
      <c r="B282" s="781" t="s">
        <v>497</v>
      </c>
      <c r="C282" s="34" t="s">
        <v>139</v>
      </c>
      <c r="D282" s="123" t="s">
        <v>99</v>
      </c>
      <c r="E282" s="750" t="s">
        <v>150</v>
      </c>
      <c r="F282" s="12">
        <v>1</v>
      </c>
      <c r="G282" s="12" t="s">
        <v>412</v>
      </c>
      <c r="H282" s="14"/>
      <c r="I282" s="14"/>
      <c r="J282" s="14"/>
      <c r="K282" s="14"/>
      <c r="L282" s="14"/>
      <c r="M282" s="14"/>
      <c r="N282" s="425" t="str">
        <f t="shared" si="31"/>
        <v/>
      </c>
      <c r="O282" s="425" t="str">
        <f t="shared" si="32"/>
        <v/>
      </c>
      <c r="P282" s="44" t="s">
        <v>1929</v>
      </c>
    </row>
    <row r="283" spans="1:16" s="433" customFormat="1">
      <c r="A283" s="634" t="s">
        <v>496</v>
      </c>
      <c r="B283" s="771" t="s">
        <v>231</v>
      </c>
      <c r="C283" s="34" t="s">
        <v>139</v>
      </c>
      <c r="D283" s="611" t="s">
        <v>99</v>
      </c>
      <c r="E283" s="746">
        <v>0.05</v>
      </c>
      <c r="F283" s="119">
        <v>2</v>
      </c>
      <c r="G283" s="11" t="s">
        <v>157</v>
      </c>
      <c r="H283" s="66">
        <v>1</v>
      </c>
      <c r="I283" s="66">
        <v>2</v>
      </c>
      <c r="J283" s="66">
        <v>2</v>
      </c>
      <c r="K283" s="66">
        <v>1</v>
      </c>
      <c r="L283" s="15">
        <v>3</v>
      </c>
      <c r="M283" s="13">
        <v>3</v>
      </c>
      <c r="N283" s="435">
        <f t="shared" si="31"/>
        <v>1.0725046436742278</v>
      </c>
      <c r="O283" s="435">
        <f t="shared" si="32"/>
        <v>1.0776024280428556</v>
      </c>
      <c r="P283" s="119" t="s">
        <v>1916</v>
      </c>
    </row>
    <row r="284" spans="1:16" s="433" customFormat="1">
      <c r="A284" s="310" t="s">
        <v>496</v>
      </c>
      <c r="B284" s="777" t="s">
        <v>232</v>
      </c>
      <c r="C284" s="34" t="s">
        <v>139</v>
      </c>
      <c r="D284" s="122" t="s">
        <v>99</v>
      </c>
      <c r="E284" s="242">
        <v>0.39400000000000002</v>
      </c>
      <c r="F284" s="9">
        <v>2</v>
      </c>
      <c r="G284" s="9" t="s">
        <v>412</v>
      </c>
      <c r="H284" s="10">
        <v>1</v>
      </c>
      <c r="I284" s="10">
        <v>2</v>
      </c>
      <c r="J284" s="10">
        <v>2</v>
      </c>
      <c r="K284" s="10">
        <v>1</v>
      </c>
      <c r="L284" s="10">
        <v>1</v>
      </c>
      <c r="M284" s="10">
        <v>1</v>
      </c>
      <c r="N284" s="402">
        <f t="shared" si="31"/>
        <v>0.16933510251023262</v>
      </c>
      <c r="O284" s="402">
        <f t="shared" si="32"/>
        <v>0.19908580854301616</v>
      </c>
      <c r="P284" s="9" t="s">
        <v>1940</v>
      </c>
    </row>
    <row r="285" spans="1:16" s="433" customFormat="1">
      <c r="A285" s="635" t="s">
        <v>496</v>
      </c>
      <c r="B285" s="772" t="s">
        <v>251</v>
      </c>
      <c r="C285" s="34" t="s">
        <v>139</v>
      </c>
      <c r="D285" s="124" t="s">
        <v>99</v>
      </c>
      <c r="E285" s="242">
        <v>0.52200000000000002</v>
      </c>
      <c r="F285" s="7">
        <v>1</v>
      </c>
      <c r="G285" s="9" t="s">
        <v>412</v>
      </c>
      <c r="H285" s="15">
        <v>1</v>
      </c>
      <c r="I285" s="15">
        <v>2</v>
      </c>
      <c r="J285" s="15">
        <v>2</v>
      </c>
      <c r="K285" s="15">
        <v>1</v>
      </c>
      <c r="L285" s="15">
        <v>1</v>
      </c>
      <c r="M285" s="15">
        <v>1</v>
      </c>
      <c r="N285" s="421">
        <f t="shared" si="31"/>
        <v>0.16933510251023262</v>
      </c>
      <c r="O285" s="421">
        <f t="shared" si="32"/>
        <v>0.19908580854301616</v>
      </c>
      <c r="P285" s="9" t="s">
        <v>1941</v>
      </c>
    </row>
    <row r="286" spans="1:16" s="433" customFormat="1" ht="15" thickBot="1">
      <c r="A286" s="635" t="s">
        <v>496</v>
      </c>
      <c r="B286" s="772" t="s">
        <v>258</v>
      </c>
      <c r="C286" s="34" t="s">
        <v>139</v>
      </c>
      <c r="D286" s="124" t="s">
        <v>99</v>
      </c>
      <c r="E286" s="746">
        <v>3.4000000000000002E-2</v>
      </c>
      <c r="F286" s="119">
        <v>2</v>
      </c>
      <c r="G286" s="9" t="s">
        <v>412</v>
      </c>
      <c r="H286" s="15"/>
      <c r="I286" s="15"/>
      <c r="J286" s="15"/>
      <c r="K286" s="15"/>
      <c r="L286" s="15"/>
      <c r="M286" s="15"/>
      <c r="N286" s="421"/>
      <c r="O286" s="421"/>
      <c r="P286" s="119" t="s">
        <v>1942</v>
      </c>
    </row>
    <row r="287" spans="1:16" s="433" customFormat="1">
      <c r="A287" s="631" t="s">
        <v>495</v>
      </c>
      <c r="B287" s="780" t="s">
        <v>498</v>
      </c>
      <c r="C287" s="34" t="s">
        <v>139</v>
      </c>
      <c r="D287" s="121" t="s">
        <v>99</v>
      </c>
      <c r="E287" s="629">
        <f>0.1*E281</f>
        <v>3.0000000000000001E-3</v>
      </c>
      <c r="F287" s="11">
        <v>2</v>
      </c>
      <c r="G287" s="11" t="s">
        <v>412</v>
      </c>
      <c r="H287" s="13">
        <v>1</v>
      </c>
      <c r="I287" s="13">
        <v>2</v>
      </c>
      <c r="J287" s="13">
        <v>2</v>
      </c>
      <c r="K287" s="13">
        <v>1</v>
      </c>
      <c r="L287" s="13">
        <v>1</v>
      </c>
      <c r="M287" s="13">
        <v>1</v>
      </c>
      <c r="N287" s="422">
        <f t="shared" si="31"/>
        <v>0.16933510251023262</v>
      </c>
      <c r="O287" s="422">
        <f t="shared" si="32"/>
        <v>0.19908580854301616</v>
      </c>
      <c r="P287" s="42" t="s">
        <v>835</v>
      </c>
    </row>
    <row r="288" spans="1:16" s="433" customFormat="1" ht="15" thickBot="1">
      <c r="A288" s="632" t="s">
        <v>495</v>
      </c>
      <c r="B288" s="781" t="s">
        <v>499</v>
      </c>
      <c r="C288" s="34" t="s">
        <v>139</v>
      </c>
      <c r="D288" s="123" t="s">
        <v>99</v>
      </c>
      <c r="E288" s="750" t="s">
        <v>150</v>
      </c>
      <c r="F288" s="12">
        <v>1</v>
      </c>
      <c r="G288" s="12" t="s">
        <v>412</v>
      </c>
      <c r="H288" s="14"/>
      <c r="I288" s="14"/>
      <c r="J288" s="14"/>
      <c r="K288" s="14"/>
      <c r="L288" s="14"/>
      <c r="M288" s="14"/>
      <c r="N288" s="425" t="str">
        <f t="shared" si="31"/>
        <v/>
      </c>
      <c r="O288" s="425" t="str">
        <f t="shared" si="32"/>
        <v/>
      </c>
      <c r="P288" s="44" t="s">
        <v>1929</v>
      </c>
    </row>
    <row r="289" spans="1:16" s="433" customFormat="1" ht="15" thickBot="1">
      <c r="A289" s="755" t="s">
        <v>498</v>
      </c>
      <c r="B289" s="774" t="s">
        <v>228</v>
      </c>
      <c r="C289" s="34" t="s">
        <v>139</v>
      </c>
      <c r="D289" s="784" t="s">
        <v>99</v>
      </c>
      <c r="E289" s="752">
        <v>1</v>
      </c>
      <c r="F289" s="751">
        <v>2</v>
      </c>
      <c r="G289" s="751" t="s">
        <v>412</v>
      </c>
      <c r="H289" s="71">
        <v>1</v>
      </c>
      <c r="I289" s="71">
        <v>2</v>
      </c>
      <c r="J289" s="71">
        <v>2</v>
      </c>
      <c r="K289" s="71">
        <v>1</v>
      </c>
      <c r="L289" s="71">
        <v>1</v>
      </c>
      <c r="M289" s="71">
        <v>1</v>
      </c>
      <c r="N289" s="756">
        <f t="shared" si="31"/>
        <v>0.16933510251023262</v>
      </c>
      <c r="O289" s="756">
        <f t="shared" si="32"/>
        <v>0.19908580854301616</v>
      </c>
      <c r="P289" s="751" t="s">
        <v>836</v>
      </c>
    </row>
    <row r="290" spans="1:16" s="433" customFormat="1">
      <c r="A290" s="631" t="s">
        <v>497</v>
      </c>
      <c r="B290" s="780" t="s">
        <v>231</v>
      </c>
      <c r="C290" s="34" t="s">
        <v>139</v>
      </c>
      <c r="D290" s="121" t="s">
        <v>99</v>
      </c>
      <c r="E290" s="629">
        <v>0</v>
      </c>
      <c r="F290" s="11">
        <v>2</v>
      </c>
      <c r="G290" s="11" t="s">
        <v>412</v>
      </c>
      <c r="H290" s="13">
        <v>1</v>
      </c>
      <c r="I290" s="13">
        <v>2</v>
      </c>
      <c r="J290" s="13">
        <v>2</v>
      </c>
      <c r="K290" s="13">
        <v>1</v>
      </c>
      <c r="L290" s="769">
        <v>1</v>
      </c>
      <c r="M290" s="13">
        <v>1</v>
      </c>
      <c r="N290" s="422">
        <f t="shared" si="31"/>
        <v>0.16933510251023262</v>
      </c>
      <c r="O290" s="422">
        <f t="shared" si="32"/>
        <v>0.19908580854301616</v>
      </c>
      <c r="P290" s="42" t="s">
        <v>1943</v>
      </c>
    </row>
    <row r="291" spans="1:16" s="433" customFormat="1">
      <c r="A291" s="633" t="s">
        <v>497</v>
      </c>
      <c r="B291" s="777" t="s">
        <v>232</v>
      </c>
      <c r="C291" s="34" t="s">
        <v>139</v>
      </c>
      <c r="D291" s="122" t="s">
        <v>99</v>
      </c>
      <c r="E291" s="242">
        <v>0</v>
      </c>
      <c r="F291" s="9">
        <v>2</v>
      </c>
      <c r="G291" s="9" t="s">
        <v>412</v>
      </c>
      <c r="H291" s="10">
        <v>1</v>
      </c>
      <c r="I291" s="10">
        <v>2</v>
      </c>
      <c r="J291" s="10">
        <v>2</v>
      </c>
      <c r="K291" s="10">
        <v>1</v>
      </c>
      <c r="L291" s="10">
        <v>1</v>
      </c>
      <c r="M291" s="10">
        <v>1</v>
      </c>
      <c r="N291" s="402">
        <f t="shared" si="31"/>
        <v>0.16933510251023262</v>
      </c>
      <c r="O291" s="402">
        <f t="shared" si="32"/>
        <v>0.19908580854301616</v>
      </c>
      <c r="P291" s="43" t="s">
        <v>1943</v>
      </c>
    </row>
    <row r="292" spans="1:16" s="433" customFormat="1">
      <c r="A292" s="633" t="s">
        <v>497</v>
      </c>
      <c r="B292" s="777" t="s">
        <v>251</v>
      </c>
      <c r="C292" s="34" t="s">
        <v>139</v>
      </c>
      <c r="D292" s="122" t="s">
        <v>99</v>
      </c>
      <c r="E292" s="242">
        <v>0</v>
      </c>
      <c r="F292" s="9">
        <v>2</v>
      </c>
      <c r="G292" s="9" t="s">
        <v>412</v>
      </c>
      <c r="H292" s="10">
        <v>1</v>
      </c>
      <c r="I292" s="10">
        <v>2</v>
      </c>
      <c r="J292" s="10">
        <v>2</v>
      </c>
      <c r="K292" s="10">
        <v>1</v>
      </c>
      <c r="L292" s="10">
        <v>1</v>
      </c>
      <c r="M292" s="10">
        <v>1</v>
      </c>
      <c r="N292" s="402">
        <f t="shared" si="31"/>
        <v>0.16933510251023262</v>
      </c>
      <c r="O292" s="402">
        <f t="shared" si="32"/>
        <v>0.19908580854301616</v>
      </c>
      <c r="P292" s="43" t="s">
        <v>1943</v>
      </c>
    </row>
    <row r="293" spans="1:16" s="433" customFormat="1">
      <c r="A293" s="633" t="s">
        <v>497</v>
      </c>
      <c r="B293" s="772" t="s">
        <v>258</v>
      </c>
      <c r="C293" s="34" t="s">
        <v>139</v>
      </c>
      <c r="D293" s="124" t="s">
        <v>99</v>
      </c>
      <c r="E293" s="746">
        <v>0</v>
      </c>
      <c r="F293" s="119">
        <v>2</v>
      </c>
      <c r="G293" s="119" t="s">
        <v>412</v>
      </c>
      <c r="H293" s="10">
        <v>1</v>
      </c>
      <c r="I293" s="10">
        <v>2</v>
      </c>
      <c r="J293" s="10">
        <v>2</v>
      </c>
      <c r="K293" s="10">
        <v>1</v>
      </c>
      <c r="L293" s="10">
        <v>1</v>
      </c>
      <c r="M293" s="10">
        <v>1</v>
      </c>
      <c r="N293" s="402">
        <f>IF( OR( ISBLANK(H293),ISBLANK(J293), ISBLANK(K293), ISBLANK(L293), ISBLANK(M293) ), "", 1.5*SQRT(   EXP(2.21*(H293-1)) + EXP(2.21*(J293-1)) + EXP(2.21*(K293-1)) + EXP(2.21*(L293-1)) + EXP(2.21*M293)   )/100*2.45 )</f>
        <v>0.16933510251023262</v>
      </c>
      <c r="O293" s="402">
        <f>IF( OR( ISBLANK(I293),ISBLANK(J293), ISBLANK(K293), ISBLANK(L293), ISBLANK(M293) ), "", 1.5*SQRT( EXP(2.21*(I293-1)) + EXP(2.21*(J293-1)) + EXP(2.21*(K293-1)) + EXP(2.21*(L293-1)) + EXP(2.21*M293)   )/100*2.45 )</f>
        <v>0.19908580854301616</v>
      </c>
      <c r="P293" s="155" t="s">
        <v>1943</v>
      </c>
    </row>
    <row r="294" spans="1:16" s="433" customFormat="1" ht="15" thickBot="1">
      <c r="A294" s="632" t="s">
        <v>497</v>
      </c>
      <c r="B294" s="781" t="s">
        <v>327</v>
      </c>
      <c r="C294" s="34" t="s">
        <v>139</v>
      </c>
      <c r="D294" s="123" t="s">
        <v>99</v>
      </c>
      <c r="E294" s="750" t="s">
        <v>150</v>
      </c>
      <c r="F294" s="12">
        <v>1</v>
      </c>
      <c r="G294" s="12" t="s">
        <v>412</v>
      </c>
      <c r="H294" s="14"/>
      <c r="I294" s="14"/>
      <c r="J294" s="14"/>
      <c r="K294" s="14"/>
      <c r="L294" s="14"/>
      <c r="M294" s="14"/>
      <c r="N294" s="425" t="str">
        <f t="shared" si="31"/>
        <v/>
      </c>
      <c r="O294" s="425" t="str">
        <f t="shared" si="32"/>
        <v/>
      </c>
      <c r="P294" s="44"/>
    </row>
    <row r="295" spans="1:16" s="433" customFormat="1">
      <c r="A295" s="634" t="s">
        <v>499</v>
      </c>
      <c r="B295" s="771" t="s">
        <v>228</v>
      </c>
      <c r="C295" s="34" t="s">
        <v>139</v>
      </c>
      <c r="D295" s="611" t="s">
        <v>99</v>
      </c>
      <c r="E295" s="741">
        <v>0</v>
      </c>
      <c r="F295" s="118">
        <v>2</v>
      </c>
      <c r="G295" s="118" t="s">
        <v>412</v>
      </c>
      <c r="H295" s="66">
        <v>1</v>
      </c>
      <c r="I295" s="66">
        <v>2</v>
      </c>
      <c r="J295" s="66">
        <v>2</v>
      </c>
      <c r="K295" s="66">
        <v>1</v>
      </c>
      <c r="L295" s="66">
        <v>1</v>
      </c>
      <c r="M295" s="66">
        <v>1</v>
      </c>
      <c r="N295" s="435">
        <f t="shared" si="31"/>
        <v>0.16933510251023262</v>
      </c>
      <c r="O295" s="435">
        <f t="shared" si="32"/>
        <v>0.19908580854301616</v>
      </c>
      <c r="P295" s="118" t="s">
        <v>837</v>
      </c>
    </row>
    <row r="296" spans="1:16" s="433" customFormat="1" ht="15" thickBot="1">
      <c r="A296" s="635" t="s">
        <v>499</v>
      </c>
      <c r="B296" s="772" t="s">
        <v>327</v>
      </c>
      <c r="C296" s="34" t="s">
        <v>139</v>
      </c>
      <c r="D296" s="124" t="s">
        <v>99</v>
      </c>
      <c r="E296" s="746" t="s">
        <v>150</v>
      </c>
      <c r="F296" s="119">
        <v>1</v>
      </c>
      <c r="G296" s="119" t="s">
        <v>412</v>
      </c>
      <c r="H296" s="15"/>
      <c r="I296" s="15"/>
      <c r="J296" s="15"/>
      <c r="K296" s="15"/>
      <c r="L296" s="15"/>
      <c r="M296" s="15"/>
      <c r="N296" s="421" t="str">
        <f t="shared" si="31"/>
        <v/>
      </c>
      <c r="O296" s="421" t="str">
        <f t="shared" si="32"/>
        <v/>
      </c>
      <c r="P296" s="119" t="s">
        <v>1937</v>
      </c>
    </row>
    <row r="297" spans="1:16" s="433" customFormat="1">
      <c r="A297" s="631" t="s">
        <v>423</v>
      </c>
      <c r="B297" s="780" t="s">
        <v>500</v>
      </c>
      <c r="C297" s="34" t="s">
        <v>139</v>
      </c>
      <c r="D297" s="121" t="s">
        <v>99</v>
      </c>
      <c r="E297" s="629">
        <v>0</v>
      </c>
      <c r="F297" s="11">
        <v>2</v>
      </c>
      <c r="G297" s="11" t="s">
        <v>412</v>
      </c>
      <c r="H297" s="13">
        <v>1</v>
      </c>
      <c r="I297" s="13">
        <v>2</v>
      </c>
      <c r="J297" s="13">
        <v>2</v>
      </c>
      <c r="K297" s="13">
        <v>1</v>
      </c>
      <c r="L297" s="13">
        <v>1</v>
      </c>
      <c r="M297" s="13">
        <v>1</v>
      </c>
      <c r="N297" s="422">
        <f t="shared" si="31"/>
        <v>0.16933510251023262</v>
      </c>
      <c r="O297" s="422">
        <f t="shared" si="32"/>
        <v>0.19908580854301616</v>
      </c>
      <c r="P297" s="42" t="s">
        <v>856</v>
      </c>
    </row>
    <row r="298" spans="1:16" s="433" customFormat="1">
      <c r="A298" s="633" t="s">
        <v>423</v>
      </c>
      <c r="B298" s="777" t="s">
        <v>501</v>
      </c>
      <c r="C298" s="34" t="s">
        <v>139</v>
      </c>
      <c r="D298" s="122" t="s">
        <v>99</v>
      </c>
      <c r="E298" s="242">
        <v>0.85</v>
      </c>
      <c r="F298" s="9">
        <v>2</v>
      </c>
      <c r="G298" s="9" t="s">
        <v>412</v>
      </c>
      <c r="H298" s="10">
        <v>1</v>
      </c>
      <c r="I298" s="10">
        <v>2</v>
      </c>
      <c r="J298" s="10">
        <v>2</v>
      </c>
      <c r="K298" s="10">
        <v>1</v>
      </c>
      <c r="L298" s="10">
        <v>1</v>
      </c>
      <c r="M298" s="10">
        <v>1</v>
      </c>
      <c r="N298" s="402">
        <f t="shared" si="31"/>
        <v>0.16933510251023262</v>
      </c>
      <c r="O298" s="402">
        <f t="shared" si="32"/>
        <v>0.19908580854301616</v>
      </c>
      <c r="P298" s="43" t="s">
        <v>857</v>
      </c>
    </row>
    <row r="299" spans="1:16" s="433" customFormat="1" ht="15" thickBot="1">
      <c r="A299" s="632" t="s">
        <v>423</v>
      </c>
      <c r="B299" s="781" t="s">
        <v>223</v>
      </c>
      <c r="C299" s="34" t="s">
        <v>139</v>
      </c>
      <c r="D299" s="123" t="s">
        <v>99</v>
      </c>
      <c r="E299" s="750">
        <v>0.15</v>
      </c>
      <c r="F299" s="12">
        <v>1</v>
      </c>
      <c r="G299" s="12" t="s">
        <v>412</v>
      </c>
      <c r="H299" s="14">
        <v>1</v>
      </c>
      <c r="I299" s="14">
        <v>2</v>
      </c>
      <c r="J299" s="14">
        <v>2</v>
      </c>
      <c r="K299" s="14">
        <v>1</v>
      </c>
      <c r="L299" s="14">
        <v>1</v>
      </c>
      <c r="M299" s="14">
        <v>1</v>
      </c>
      <c r="N299" s="425">
        <f t="shared" si="31"/>
        <v>0.16933510251023262</v>
      </c>
      <c r="O299" s="425">
        <f t="shared" si="32"/>
        <v>0.19908580854301616</v>
      </c>
      <c r="P299" s="44" t="s">
        <v>851</v>
      </c>
    </row>
    <row r="300" spans="1:16" s="433" customFormat="1">
      <c r="A300" s="634" t="s">
        <v>500</v>
      </c>
      <c r="B300" s="771" t="s">
        <v>502</v>
      </c>
      <c r="C300" s="34" t="s">
        <v>139</v>
      </c>
      <c r="D300" s="611" t="s">
        <v>99</v>
      </c>
      <c r="E300" s="741">
        <v>0.03</v>
      </c>
      <c r="F300" s="118">
        <v>2</v>
      </c>
      <c r="G300" s="118" t="s">
        <v>412</v>
      </c>
      <c r="H300" s="66">
        <v>1</v>
      </c>
      <c r="I300" s="66">
        <v>2</v>
      </c>
      <c r="J300" s="66">
        <v>2</v>
      </c>
      <c r="K300" s="66">
        <v>1</v>
      </c>
      <c r="L300" s="66">
        <v>1</v>
      </c>
      <c r="M300" s="66">
        <v>1</v>
      </c>
      <c r="N300" s="435">
        <f t="shared" si="31"/>
        <v>0.16933510251023262</v>
      </c>
      <c r="O300" s="435">
        <f t="shared" si="32"/>
        <v>0.19908580854301616</v>
      </c>
      <c r="P300" s="118" t="s">
        <v>834</v>
      </c>
    </row>
    <row r="301" spans="1:16" s="433" customFormat="1" ht="15" thickBot="1">
      <c r="A301" s="635" t="s">
        <v>500</v>
      </c>
      <c r="B301" s="772" t="s">
        <v>451</v>
      </c>
      <c r="C301" s="34" t="s">
        <v>139</v>
      </c>
      <c r="D301" s="124" t="s">
        <v>99</v>
      </c>
      <c r="E301" s="746" t="s">
        <v>150</v>
      </c>
      <c r="F301" s="119">
        <v>1</v>
      </c>
      <c r="G301" s="119" t="s">
        <v>412</v>
      </c>
      <c r="H301" s="15"/>
      <c r="I301" s="15"/>
      <c r="J301" s="15"/>
      <c r="K301" s="15"/>
      <c r="L301" s="15"/>
      <c r="M301" s="15"/>
      <c r="N301" s="421" t="str">
        <f t="shared" si="31"/>
        <v/>
      </c>
      <c r="O301" s="421" t="str">
        <f t="shared" si="32"/>
        <v/>
      </c>
      <c r="P301" s="119" t="s">
        <v>1938</v>
      </c>
    </row>
    <row r="302" spans="1:16" s="433" customFormat="1">
      <c r="A302" s="631" t="s">
        <v>502</v>
      </c>
      <c r="B302" s="780" t="s">
        <v>231</v>
      </c>
      <c r="C302" s="34" t="s">
        <v>139</v>
      </c>
      <c r="D302" s="121" t="s">
        <v>99</v>
      </c>
      <c r="E302" s="629">
        <v>0.05</v>
      </c>
      <c r="F302" s="11">
        <v>2</v>
      </c>
      <c r="G302" s="11" t="s">
        <v>157</v>
      </c>
      <c r="H302" s="13">
        <v>1</v>
      </c>
      <c r="I302" s="13">
        <v>2</v>
      </c>
      <c r="J302" s="13">
        <v>2</v>
      </c>
      <c r="K302" s="13">
        <v>1</v>
      </c>
      <c r="L302" s="13">
        <v>3</v>
      </c>
      <c r="M302" s="13">
        <v>3</v>
      </c>
      <c r="N302" s="422">
        <f t="shared" si="31"/>
        <v>1.0725046436742278</v>
      </c>
      <c r="O302" s="422">
        <f t="shared" si="32"/>
        <v>1.0776024280428556</v>
      </c>
      <c r="P302" s="42" t="s">
        <v>1916</v>
      </c>
    </row>
    <row r="303" spans="1:16" s="433" customFormat="1">
      <c r="A303" s="633" t="s">
        <v>502</v>
      </c>
      <c r="B303" s="777" t="s">
        <v>232</v>
      </c>
      <c r="C303" s="34" t="s">
        <v>139</v>
      </c>
      <c r="D303" s="122" t="s">
        <v>99</v>
      </c>
      <c r="E303" s="242">
        <v>0.39400000000000002</v>
      </c>
      <c r="F303" s="9">
        <v>2</v>
      </c>
      <c r="G303" s="9" t="s">
        <v>412</v>
      </c>
      <c r="H303" s="10">
        <v>1</v>
      </c>
      <c r="I303" s="10">
        <v>2</v>
      </c>
      <c r="J303" s="10">
        <v>2</v>
      </c>
      <c r="K303" s="10">
        <v>1</v>
      </c>
      <c r="L303" s="10">
        <v>1</v>
      </c>
      <c r="M303" s="10">
        <v>1</v>
      </c>
      <c r="N303" s="402">
        <f t="shared" si="31"/>
        <v>0.16933510251023262</v>
      </c>
      <c r="O303" s="402">
        <f t="shared" si="32"/>
        <v>0.19908580854301616</v>
      </c>
      <c r="P303" s="43" t="s">
        <v>1940</v>
      </c>
    </row>
    <row r="304" spans="1:16" s="433" customFormat="1">
      <c r="A304" s="633" t="s">
        <v>502</v>
      </c>
      <c r="B304" s="777" t="s">
        <v>251</v>
      </c>
      <c r="C304" s="34" t="s">
        <v>139</v>
      </c>
      <c r="D304" s="122" t="s">
        <v>99</v>
      </c>
      <c r="E304" s="242">
        <v>0.52200000000000002</v>
      </c>
      <c r="F304" s="9">
        <v>1</v>
      </c>
      <c r="G304" s="9" t="s">
        <v>412</v>
      </c>
      <c r="H304" s="10">
        <v>1</v>
      </c>
      <c r="I304" s="10">
        <v>2</v>
      </c>
      <c r="J304" s="10">
        <v>2</v>
      </c>
      <c r="K304" s="10">
        <v>1</v>
      </c>
      <c r="L304" s="10">
        <v>1</v>
      </c>
      <c r="M304" s="10">
        <v>1</v>
      </c>
      <c r="N304" s="402">
        <f t="shared" si="31"/>
        <v>0.16933510251023262</v>
      </c>
      <c r="O304" s="402">
        <f t="shared" si="32"/>
        <v>0.19908580854301616</v>
      </c>
      <c r="P304" s="43" t="s">
        <v>1941</v>
      </c>
    </row>
    <row r="305" spans="1:19" s="433" customFormat="1" ht="15" thickBot="1">
      <c r="A305" s="632" t="s">
        <v>502</v>
      </c>
      <c r="B305" s="781" t="s">
        <v>258</v>
      </c>
      <c r="C305" s="34" t="s">
        <v>139</v>
      </c>
      <c r="D305" s="123" t="s">
        <v>99</v>
      </c>
      <c r="E305" s="750">
        <v>3.4000000000000002E-2</v>
      </c>
      <c r="F305" s="12">
        <v>2</v>
      </c>
      <c r="G305" s="12" t="s">
        <v>412</v>
      </c>
      <c r="H305" s="14"/>
      <c r="I305" s="14"/>
      <c r="J305" s="14"/>
      <c r="K305" s="14"/>
      <c r="L305" s="14"/>
      <c r="M305" s="14"/>
      <c r="N305" s="425"/>
      <c r="O305" s="425"/>
      <c r="P305" s="44" t="s">
        <v>1942</v>
      </c>
    </row>
    <row r="306" spans="1:19" s="433" customFormat="1">
      <c r="A306" s="634" t="s">
        <v>501</v>
      </c>
      <c r="B306" s="771" t="s">
        <v>503</v>
      </c>
      <c r="C306" s="34" t="s">
        <v>139</v>
      </c>
      <c r="D306" s="611" t="s">
        <v>99</v>
      </c>
      <c r="E306" s="741">
        <f>0.1*E300</f>
        <v>3.0000000000000001E-3</v>
      </c>
      <c r="F306" s="118">
        <v>2</v>
      </c>
      <c r="G306" s="118" t="s">
        <v>412</v>
      </c>
      <c r="H306" s="66">
        <v>1</v>
      </c>
      <c r="I306" s="66">
        <v>2</v>
      </c>
      <c r="J306" s="66">
        <v>2</v>
      </c>
      <c r="K306" s="66">
        <v>1</v>
      </c>
      <c r="L306" s="66">
        <v>1</v>
      </c>
      <c r="M306" s="66">
        <v>1</v>
      </c>
      <c r="N306" s="435">
        <f t="shared" si="31"/>
        <v>0.16933510251023262</v>
      </c>
      <c r="O306" s="435">
        <f t="shared" si="32"/>
        <v>0.19908580854301616</v>
      </c>
      <c r="P306" s="118" t="s">
        <v>835</v>
      </c>
    </row>
    <row r="307" spans="1:19" s="433" customFormat="1" ht="15" thickBot="1">
      <c r="A307" s="635" t="s">
        <v>501</v>
      </c>
      <c r="B307" s="772" t="s">
        <v>444</v>
      </c>
      <c r="C307" s="34" t="s">
        <v>139</v>
      </c>
      <c r="D307" s="124" t="s">
        <v>99</v>
      </c>
      <c r="E307" s="746" t="s">
        <v>150</v>
      </c>
      <c r="F307" s="119">
        <v>1</v>
      </c>
      <c r="G307" s="119" t="s">
        <v>412</v>
      </c>
      <c r="H307" s="15"/>
      <c r="I307" s="15"/>
      <c r="J307" s="15"/>
      <c r="K307" s="15"/>
      <c r="L307" s="15"/>
      <c r="M307" s="15"/>
      <c r="N307" s="421" t="str">
        <f t="shared" si="31"/>
        <v/>
      </c>
      <c r="O307" s="421" t="str">
        <f t="shared" si="32"/>
        <v/>
      </c>
      <c r="P307" s="119" t="s">
        <v>1938</v>
      </c>
    </row>
    <row r="308" spans="1:19" s="433" customFormat="1" ht="15" thickBot="1">
      <c r="A308" s="630" t="s">
        <v>503</v>
      </c>
      <c r="B308" s="782" t="s">
        <v>228</v>
      </c>
      <c r="C308" s="34" t="s">
        <v>139</v>
      </c>
      <c r="D308" s="778" t="s">
        <v>99</v>
      </c>
      <c r="E308" s="748">
        <v>1</v>
      </c>
      <c r="F308" s="747">
        <v>2</v>
      </c>
      <c r="G308" s="747" t="s">
        <v>412</v>
      </c>
      <c r="H308" s="70">
        <v>1</v>
      </c>
      <c r="I308" s="70">
        <v>2</v>
      </c>
      <c r="J308" s="70">
        <v>2</v>
      </c>
      <c r="K308" s="70">
        <v>1</v>
      </c>
      <c r="L308" s="70">
        <v>1</v>
      </c>
      <c r="M308" s="70">
        <v>1</v>
      </c>
      <c r="N308" s="436">
        <f t="shared" si="31"/>
        <v>0.16933510251023262</v>
      </c>
      <c r="O308" s="436">
        <f t="shared" si="32"/>
        <v>0.19908580854301616</v>
      </c>
      <c r="P308" s="749" t="s">
        <v>836</v>
      </c>
    </row>
    <row r="309" spans="1:19" s="433" customFormat="1">
      <c r="A309" s="634" t="s">
        <v>451</v>
      </c>
      <c r="B309" s="780" t="s">
        <v>231</v>
      </c>
      <c r="C309" s="34" t="s">
        <v>139</v>
      </c>
      <c r="D309" s="611" t="s">
        <v>99</v>
      </c>
      <c r="E309" s="741">
        <v>3.2000000000000002E-3</v>
      </c>
      <c r="F309" s="118">
        <v>2</v>
      </c>
      <c r="G309" s="118" t="s">
        <v>1976</v>
      </c>
      <c r="H309" s="66">
        <v>1</v>
      </c>
      <c r="I309" s="66">
        <v>2</v>
      </c>
      <c r="J309" s="66">
        <v>2</v>
      </c>
      <c r="K309" s="66">
        <v>1</v>
      </c>
      <c r="L309" s="15">
        <v>3</v>
      </c>
      <c r="M309" s="13">
        <v>3</v>
      </c>
      <c r="N309" s="435">
        <f t="shared" si="31"/>
        <v>1.0725046436742278</v>
      </c>
      <c r="O309" s="435">
        <f t="shared" si="32"/>
        <v>1.0776024280428556</v>
      </c>
      <c r="P309" s="118" t="s">
        <v>1968</v>
      </c>
    </row>
    <row r="310" spans="1:19" s="433" customFormat="1">
      <c r="A310" s="310" t="s">
        <v>451</v>
      </c>
      <c r="B310" s="777" t="s">
        <v>232</v>
      </c>
      <c r="C310" s="34" t="s">
        <v>139</v>
      </c>
      <c r="D310" s="122" t="s">
        <v>99</v>
      </c>
      <c r="E310" s="242">
        <v>2.5215999999999999E-2</v>
      </c>
      <c r="F310" s="9">
        <v>2</v>
      </c>
      <c r="G310" s="9" t="s">
        <v>412</v>
      </c>
      <c r="H310" s="10">
        <v>1</v>
      </c>
      <c r="I310" s="10">
        <v>2</v>
      </c>
      <c r="J310" s="10">
        <v>2</v>
      </c>
      <c r="K310" s="10">
        <v>1</v>
      </c>
      <c r="L310" s="10">
        <v>1</v>
      </c>
      <c r="M310" s="10">
        <v>1</v>
      </c>
      <c r="N310" s="402">
        <f t="shared" si="31"/>
        <v>0.16933510251023262</v>
      </c>
      <c r="O310" s="402">
        <f t="shared" si="32"/>
        <v>0.19908580854301616</v>
      </c>
      <c r="P310" s="9" t="s">
        <v>1969</v>
      </c>
    </row>
    <row r="311" spans="1:19" s="433" customFormat="1">
      <c r="A311" s="310" t="s">
        <v>451</v>
      </c>
      <c r="B311" s="777" t="s">
        <v>251</v>
      </c>
      <c r="C311" s="34" t="s">
        <v>139</v>
      </c>
      <c r="D311" s="122" t="s">
        <v>99</v>
      </c>
      <c r="E311" s="242">
        <v>3.3408E-2</v>
      </c>
      <c r="F311" s="9">
        <v>2</v>
      </c>
      <c r="G311" s="9" t="s">
        <v>412</v>
      </c>
      <c r="H311" s="10">
        <v>1</v>
      </c>
      <c r="I311" s="10">
        <v>2</v>
      </c>
      <c r="J311" s="10">
        <v>2</v>
      </c>
      <c r="K311" s="10">
        <v>1</v>
      </c>
      <c r="L311" s="10">
        <v>1</v>
      </c>
      <c r="M311" s="10">
        <v>1</v>
      </c>
      <c r="N311" s="402">
        <f t="shared" si="31"/>
        <v>0.16933510251023262</v>
      </c>
      <c r="O311" s="402">
        <f t="shared" si="32"/>
        <v>0.19908580854301616</v>
      </c>
      <c r="P311" s="9" t="s">
        <v>1970</v>
      </c>
    </row>
    <row r="312" spans="1:19" s="433" customFormat="1">
      <c r="A312" s="310" t="s">
        <v>451</v>
      </c>
      <c r="B312" s="772" t="s">
        <v>258</v>
      </c>
      <c r="C312" s="34" t="s">
        <v>139</v>
      </c>
      <c r="D312" s="124" t="s">
        <v>99</v>
      </c>
      <c r="E312" s="746">
        <v>2.176E-3</v>
      </c>
      <c r="F312" s="119">
        <v>2</v>
      </c>
      <c r="G312" s="119" t="s">
        <v>412</v>
      </c>
      <c r="H312" s="10">
        <v>1</v>
      </c>
      <c r="I312" s="10">
        <v>2</v>
      </c>
      <c r="J312" s="10">
        <v>2</v>
      </c>
      <c r="K312" s="10">
        <v>1</v>
      </c>
      <c r="L312" s="10">
        <v>1</v>
      </c>
      <c r="M312" s="10">
        <v>1</v>
      </c>
      <c r="N312" s="402">
        <f>IF( OR( ISBLANK(H312),ISBLANK(J312), ISBLANK(K312), ISBLANK(L312), ISBLANK(M312) ), "", 1.5*SQRT(   EXP(2.21*(H312-1)) + EXP(2.21*(J312-1)) + EXP(2.21*(K312-1)) + EXP(2.21*(L312-1)) + EXP(2.21*M312)   )/100*2.45 )</f>
        <v>0.16933510251023262</v>
      </c>
      <c r="O312" s="402">
        <f>IF( OR( ISBLANK(I312),ISBLANK(J312), ISBLANK(K312), ISBLANK(L312), ISBLANK(M312) ), "", 1.5*SQRT( EXP(2.21*(I312-1)) + EXP(2.21*(J312-1)) + EXP(2.21*(K312-1)) + EXP(2.21*(L312-1)) + EXP(2.21*M312)   )/100*2.45 )</f>
        <v>0.19908580854301616</v>
      </c>
      <c r="P312" s="155" t="s">
        <v>1971</v>
      </c>
    </row>
    <row r="313" spans="1:19" s="433" customFormat="1" ht="15" thickBot="1">
      <c r="A313" s="635" t="s">
        <v>451</v>
      </c>
      <c r="B313" s="781" t="s">
        <v>327</v>
      </c>
      <c r="C313" s="34" t="s">
        <v>139</v>
      </c>
      <c r="D313" s="124" t="s">
        <v>99</v>
      </c>
      <c r="E313" s="746" t="s">
        <v>150</v>
      </c>
      <c r="F313" s="119">
        <v>1</v>
      </c>
      <c r="G313" s="119" t="s">
        <v>412</v>
      </c>
      <c r="H313" s="15"/>
      <c r="I313" s="15"/>
      <c r="J313" s="15"/>
      <c r="K313" s="15"/>
      <c r="L313" s="15"/>
      <c r="M313" s="15"/>
      <c r="N313" s="421" t="str">
        <f t="shared" si="31"/>
        <v/>
      </c>
      <c r="O313" s="421" t="str">
        <f t="shared" si="32"/>
        <v/>
      </c>
      <c r="P313" s="119"/>
    </row>
    <row r="314" spans="1:19" s="433" customFormat="1">
      <c r="A314" s="631" t="s">
        <v>444</v>
      </c>
      <c r="B314" s="780" t="s">
        <v>228</v>
      </c>
      <c r="C314" s="34" t="s">
        <v>139</v>
      </c>
      <c r="D314" s="121" t="s">
        <v>99</v>
      </c>
      <c r="E314" s="629">
        <v>6.4000000000000001E-2</v>
      </c>
      <c r="F314" s="11">
        <v>2</v>
      </c>
      <c r="G314" s="11" t="s">
        <v>412</v>
      </c>
      <c r="H314" s="13">
        <v>1</v>
      </c>
      <c r="I314" s="13">
        <v>2</v>
      </c>
      <c r="J314" s="13">
        <v>2</v>
      </c>
      <c r="K314" s="13">
        <v>1</v>
      </c>
      <c r="L314" s="13">
        <v>1</v>
      </c>
      <c r="M314" s="13">
        <v>1</v>
      </c>
      <c r="N314" s="422">
        <f t="shared" si="31"/>
        <v>0.16933510251023262</v>
      </c>
      <c r="O314" s="422">
        <f t="shared" si="32"/>
        <v>0.19908580854301616</v>
      </c>
      <c r="P314" s="42" t="s">
        <v>852</v>
      </c>
    </row>
    <row r="315" spans="1:19" s="433" customFormat="1" ht="15" thickBot="1">
      <c r="A315" s="632" t="s">
        <v>444</v>
      </c>
      <c r="B315" s="781" t="s">
        <v>327</v>
      </c>
      <c r="C315" s="35" t="s">
        <v>139</v>
      </c>
      <c r="D315" s="123" t="s">
        <v>99</v>
      </c>
      <c r="E315" s="750" t="s">
        <v>150</v>
      </c>
      <c r="F315" s="12">
        <v>1</v>
      </c>
      <c r="G315" s="12" t="s">
        <v>412</v>
      </c>
      <c r="H315" s="14"/>
      <c r="I315" s="14"/>
      <c r="J315" s="14"/>
      <c r="K315" s="14"/>
      <c r="L315" s="14"/>
      <c r="M315" s="14"/>
      <c r="N315" s="425" t="str">
        <f t="shared" si="31"/>
        <v/>
      </c>
      <c r="O315" s="425" t="str">
        <f t="shared" si="32"/>
        <v/>
      </c>
      <c r="P315" s="44" t="s">
        <v>1939</v>
      </c>
    </row>
    <row r="317" spans="1:19" s="6" customFormat="1" ht="18">
      <c r="A317" s="1038" t="s">
        <v>859</v>
      </c>
      <c r="B317" s="1038"/>
      <c r="C317" s="1038"/>
      <c r="D317" s="1038"/>
      <c r="E317" s="1038"/>
      <c r="F317" s="1038"/>
      <c r="G317" s="1038"/>
      <c r="H317" s="1038"/>
      <c r="I317" s="1038"/>
      <c r="J317" s="1038"/>
      <c r="K317" s="1038"/>
      <c r="L317" s="1038"/>
      <c r="M317" s="1038"/>
      <c r="N317" s="1038"/>
      <c r="O317" s="1038"/>
      <c r="P317" s="1038"/>
      <c r="Q317" s="1038"/>
      <c r="R317" s="1038"/>
      <c r="S317" s="1038"/>
    </row>
    <row r="319" spans="1:19">
      <c r="A319" t="s">
        <v>860</v>
      </c>
    </row>
    <row r="323" spans="1:1">
      <c r="A323" s="637"/>
    </row>
  </sheetData>
  <autoFilter ref="A60:P315" xr:uid="{E8338EDF-3B93-4267-BDF4-561D15195B80}"/>
  <mergeCells count="54">
    <mergeCell ref="E3:G3"/>
    <mergeCell ref="H3:O3"/>
    <mergeCell ref="H8:O8"/>
    <mergeCell ref="H9:O9"/>
    <mergeCell ref="H10:O10"/>
    <mergeCell ref="A317:S317"/>
    <mergeCell ref="D46:E46"/>
    <mergeCell ref="D47:E47"/>
    <mergeCell ref="D48:E48"/>
    <mergeCell ref="D49:E49"/>
    <mergeCell ref="L56:N56"/>
    <mergeCell ref="L57:N57"/>
    <mergeCell ref="A55:G55"/>
    <mergeCell ref="A51:G51"/>
    <mergeCell ref="D43:E43"/>
    <mergeCell ref="D44:E44"/>
    <mergeCell ref="A59:S59"/>
    <mergeCell ref="D45:E45"/>
    <mergeCell ref="D41:E41"/>
    <mergeCell ref="D42:E42"/>
    <mergeCell ref="L52:N52"/>
    <mergeCell ref="L53:N53"/>
    <mergeCell ref="D36:E36"/>
    <mergeCell ref="D37:E37"/>
    <mergeCell ref="D38:E38"/>
    <mergeCell ref="D39:E39"/>
    <mergeCell ref="D40:E40"/>
    <mergeCell ref="D14:E14"/>
    <mergeCell ref="D35:E35"/>
    <mergeCell ref="D20:E20"/>
    <mergeCell ref="D21:E27"/>
    <mergeCell ref="D28:E32"/>
    <mergeCell ref="D33:E34"/>
    <mergeCell ref="D15:E15"/>
    <mergeCell ref="D17:E17"/>
    <mergeCell ref="D16:E16"/>
    <mergeCell ref="D18:E18"/>
    <mergeCell ref="D19:E19"/>
    <mergeCell ref="A1:S1"/>
    <mergeCell ref="D13:E13"/>
    <mergeCell ref="E4:G4"/>
    <mergeCell ref="E5:G5"/>
    <mergeCell ref="E6:G6"/>
    <mergeCell ref="E7:G7"/>
    <mergeCell ref="E8:G8"/>
    <mergeCell ref="E9:G9"/>
    <mergeCell ref="E10:G10"/>
    <mergeCell ref="E11:G11"/>
    <mergeCell ref="E2:O2"/>
    <mergeCell ref="H11:O11"/>
    <mergeCell ref="H4:O4"/>
    <mergeCell ref="H5:O5"/>
    <mergeCell ref="H6:O6"/>
    <mergeCell ref="H7:O7"/>
  </mergeCells>
  <phoneticPr fontId="22" type="noConversion"/>
  <conditionalFormatting sqref="D52">
    <cfRule type="cellIs" dxfId="90" priority="62" operator="greaterThan">
      <formula>0</formula>
    </cfRule>
    <cfRule type="cellIs" dxfId="89" priority="63" operator="equal">
      <formula>0</formula>
    </cfRule>
  </conditionalFormatting>
  <conditionalFormatting sqref="D56">
    <cfRule type="cellIs" dxfId="88" priority="57" operator="greaterThan">
      <formula>0</formula>
    </cfRule>
    <cfRule type="cellIs" dxfId="87" priority="58" operator="equal">
      <formula>0</formula>
    </cfRule>
  </conditionalFormatting>
  <conditionalFormatting sqref="F57:J57 F53:J53">
    <cfRule type="dataBar" priority="60">
      <dataBar>
        <cfvo type="min"/>
        <cfvo type="num" val="4"/>
        <color rgb="FFFFC000"/>
      </dataBar>
      <extLst>
        <ext xmlns:x14="http://schemas.microsoft.com/office/spreadsheetml/2009/9/main" uri="{B025F937-C7B1-47D3-B67F-A62EFF666E3E}">
          <x14:id>{3A722EE9-4AD8-468F-912A-D15B9889449A}</x14:id>
        </ext>
      </extLst>
    </cfRule>
  </conditionalFormatting>
  <conditionalFormatting sqref="F53:K53 F57:K57">
    <cfRule type="containsBlanks" dxfId="86" priority="59">
      <formula>LEN(TRIM(F53))=0</formula>
    </cfRule>
  </conditionalFormatting>
  <conditionalFormatting sqref="H61:M74">
    <cfRule type="dataBar" priority="74">
      <dataBar>
        <cfvo type="min"/>
        <cfvo type="num" val="4"/>
        <color rgb="FFFFC000"/>
      </dataBar>
      <extLst>
        <ext xmlns:x14="http://schemas.microsoft.com/office/spreadsheetml/2009/9/main" uri="{B025F937-C7B1-47D3-B67F-A62EFF666E3E}">
          <x14:id>{8BED2EB0-F282-4F38-BA10-752BAED5F9D3}</x14:id>
        </ext>
      </extLst>
    </cfRule>
  </conditionalFormatting>
  <conditionalFormatting sqref="H61:M315">
    <cfRule type="cellIs" dxfId="85" priority="3" stopIfTrue="1" operator="notBetween">
      <formula>1</formula>
      <formula>4</formula>
    </cfRule>
  </conditionalFormatting>
  <conditionalFormatting sqref="H75:M315">
    <cfRule type="containsBlanks" dxfId="84" priority="2" stopIfTrue="1">
      <formula>LEN(TRIM(H75))=0</formula>
    </cfRule>
  </conditionalFormatting>
  <conditionalFormatting sqref="H92:M92">
    <cfRule type="dataBar" priority="56">
      <dataBar>
        <cfvo type="min"/>
        <cfvo type="num" val="4"/>
        <color rgb="FFFFC000"/>
      </dataBar>
      <extLst>
        <ext xmlns:x14="http://schemas.microsoft.com/office/spreadsheetml/2009/9/main" uri="{B025F937-C7B1-47D3-B67F-A62EFF666E3E}">
          <x14:id>{13BFA7C7-29FC-471F-982B-8F9EDBA4F32D}</x14:id>
        </ext>
      </extLst>
    </cfRule>
  </conditionalFormatting>
  <conditionalFormatting sqref="H93:M98 H313:M315 H75:M91 H101:M118 H120:M137 H139:M156 H158:M175 H177:M194 H196:M213 H215:M232 H234:M251 H253:M273 H275:M292 H294:M311">
    <cfRule type="dataBar" priority="7099">
      <dataBar>
        <cfvo type="min"/>
        <cfvo type="num" val="4"/>
        <color rgb="FFFFC000"/>
      </dataBar>
      <extLst>
        <ext xmlns:x14="http://schemas.microsoft.com/office/spreadsheetml/2009/9/main" uri="{B025F937-C7B1-47D3-B67F-A62EFF666E3E}">
          <x14:id>{2C3CE673-9A40-40F4-AB61-33FB72B5B39F}</x14:id>
        </ext>
      </extLst>
    </cfRule>
  </conditionalFormatting>
  <conditionalFormatting sqref="H99:M100">
    <cfRule type="dataBar" priority="52">
      <dataBar>
        <cfvo type="min"/>
        <cfvo type="num" val="4"/>
        <color rgb="FFFFC000"/>
      </dataBar>
      <extLst>
        <ext xmlns:x14="http://schemas.microsoft.com/office/spreadsheetml/2009/9/main" uri="{B025F937-C7B1-47D3-B67F-A62EFF666E3E}">
          <x14:id>{7FADE4B1-0CC7-438F-B82E-2F91F34C5B15}</x14:id>
        </ext>
      </extLst>
    </cfRule>
  </conditionalFormatting>
  <conditionalFormatting sqref="H119:M119">
    <cfRule type="dataBar" priority="48">
      <dataBar>
        <cfvo type="min"/>
        <cfvo type="num" val="4"/>
        <color rgb="FFFFC000"/>
      </dataBar>
      <extLst>
        <ext xmlns:x14="http://schemas.microsoft.com/office/spreadsheetml/2009/9/main" uri="{B025F937-C7B1-47D3-B67F-A62EFF666E3E}">
          <x14:id>{D42B2016-A305-4BFB-B49A-F31ED28893A6}</x14:id>
        </ext>
      </extLst>
    </cfRule>
  </conditionalFormatting>
  <conditionalFormatting sqref="H138:M138">
    <cfRule type="dataBar" priority="40">
      <dataBar>
        <cfvo type="min"/>
        <cfvo type="num" val="4"/>
        <color rgb="FFFFC000"/>
      </dataBar>
      <extLst>
        <ext xmlns:x14="http://schemas.microsoft.com/office/spreadsheetml/2009/9/main" uri="{B025F937-C7B1-47D3-B67F-A62EFF666E3E}">
          <x14:id>{999CA19B-1545-4F65-800F-470D70C61C1B}</x14:id>
        </ext>
      </extLst>
    </cfRule>
  </conditionalFormatting>
  <conditionalFormatting sqref="H157:M157">
    <cfRule type="dataBar" priority="36">
      <dataBar>
        <cfvo type="min"/>
        <cfvo type="num" val="4"/>
        <color rgb="FFFFC000"/>
      </dataBar>
      <extLst>
        <ext xmlns:x14="http://schemas.microsoft.com/office/spreadsheetml/2009/9/main" uri="{B025F937-C7B1-47D3-B67F-A62EFF666E3E}">
          <x14:id>{21E0EBD7-68F7-40DD-A96F-E96019312248}</x14:id>
        </ext>
      </extLst>
    </cfRule>
  </conditionalFormatting>
  <conditionalFormatting sqref="H176:M176">
    <cfRule type="dataBar" priority="32">
      <dataBar>
        <cfvo type="min"/>
        <cfvo type="num" val="4"/>
        <color rgb="FFFFC000"/>
      </dataBar>
      <extLst>
        <ext xmlns:x14="http://schemas.microsoft.com/office/spreadsheetml/2009/9/main" uri="{B025F937-C7B1-47D3-B67F-A62EFF666E3E}">
          <x14:id>{CCE07B65-D941-439C-993B-7236BF62814A}</x14:id>
        </ext>
      </extLst>
    </cfRule>
  </conditionalFormatting>
  <conditionalFormatting sqref="H195:M195">
    <cfRule type="dataBar" priority="28">
      <dataBar>
        <cfvo type="min"/>
        <cfvo type="num" val="4"/>
        <color rgb="FFFFC000"/>
      </dataBar>
      <extLst>
        <ext xmlns:x14="http://schemas.microsoft.com/office/spreadsheetml/2009/9/main" uri="{B025F937-C7B1-47D3-B67F-A62EFF666E3E}">
          <x14:id>{8ECF9FF9-D23E-4379-B97D-AFBF8CBBC197}</x14:id>
        </ext>
      </extLst>
    </cfRule>
  </conditionalFormatting>
  <conditionalFormatting sqref="H214:M214">
    <cfRule type="dataBar" priority="24">
      <dataBar>
        <cfvo type="min"/>
        <cfvo type="num" val="4"/>
        <color rgb="FFFFC000"/>
      </dataBar>
      <extLst>
        <ext xmlns:x14="http://schemas.microsoft.com/office/spreadsheetml/2009/9/main" uri="{B025F937-C7B1-47D3-B67F-A62EFF666E3E}">
          <x14:id>{33B090F6-CEE9-41AE-8443-E53952BCA93B}</x14:id>
        </ext>
      </extLst>
    </cfRule>
  </conditionalFormatting>
  <conditionalFormatting sqref="H233:M233">
    <cfRule type="dataBar" priority="20">
      <dataBar>
        <cfvo type="min"/>
        <cfvo type="num" val="4"/>
        <color rgb="FFFFC000"/>
      </dataBar>
      <extLst>
        <ext xmlns:x14="http://schemas.microsoft.com/office/spreadsheetml/2009/9/main" uri="{B025F937-C7B1-47D3-B67F-A62EFF666E3E}">
          <x14:id>{1209E3A6-3055-4E8F-8B96-8758FD76BA64}</x14:id>
        </ext>
      </extLst>
    </cfRule>
  </conditionalFormatting>
  <conditionalFormatting sqref="H252:M252">
    <cfRule type="dataBar" priority="16">
      <dataBar>
        <cfvo type="min"/>
        <cfvo type="num" val="4"/>
        <color rgb="FFFFC000"/>
      </dataBar>
      <extLst>
        <ext xmlns:x14="http://schemas.microsoft.com/office/spreadsheetml/2009/9/main" uri="{B025F937-C7B1-47D3-B67F-A62EFF666E3E}">
          <x14:id>{125F6B38-82FD-4AAA-A200-BEFDA1E19609}</x14:id>
        </ext>
      </extLst>
    </cfRule>
  </conditionalFormatting>
  <conditionalFormatting sqref="H274:M274">
    <cfRule type="dataBar" priority="12">
      <dataBar>
        <cfvo type="min"/>
        <cfvo type="num" val="4"/>
        <color rgb="FFFFC000"/>
      </dataBar>
      <extLst>
        <ext xmlns:x14="http://schemas.microsoft.com/office/spreadsheetml/2009/9/main" uri="{B025F937-C7B1-47D3-B67F-A62EFF666E3E}">
          <x14:id>{86489237-8ED2-4F6C-BA92-14053B5076F5}</x14:id>
        </ext>
      </extLst>
    </cfRule>
  </conditionalFormatting>
  <conditionalFormatting sqref="H293:M293">
    <cfRule type="dataBar" priority="8">
      <dataBar>
        <cfvo type="min"/>
        <cfvo type="num" val="4"/>
        <color rgb="FFFFC000"/>
      </dataBar>
      <extLst>
        <ext xmlns:x14="http://schemas.microsoft.com/office/spreadsheetml/2009/9/main" uri="{B025F937-C7B1-47D3-B67F-A62EFF666E3E}">
          <x14:id>{CBB9E265-0A48-40A8-BFE6-BA26A6B0B8D9}</x14:id>
        </ext>
      </extLst>
    </cfRule>
  </conditionalFormatting>
  <conditionalFormatting sqref="H312:M312">
    <cfRule type="dataBar" priority="4">
      <dataBar>
        <cfvo type="min"/>
        <cfvo type="num" val="4"/>
        <color rgb="FFFFC000"/>
      </dataBar>
      <extLst>
        <ext xmlns:x14="http://schemas.microsoft.com/office/spreadsheetml/2009/9/main" uri="{B025F937-C7B1-47D3-B67F-A62EFF666E3E}">
          <x14:id>{E5B27D8B-02E0-4DC9-9799-3F74D0D31E25}</x14:id>
        </ext>
      </extLst>
    </cfRule>
  </conditionalFormatting>
  <conditionalFormatting sqref="H61:O61 H62:M74">
    <cfRule type="containsBlanks" dxfId="83" priority="75">
      <formula>LEN(TRIM(H61))=0</formula>
    </cfRule>
  </conditionalFormatting>
  <conditionalFormatting sqref="K53 K57">
    <cfRule type="dataBar" priority="61">
      <dataBar>
        <cfvo type="min"/>
        <cfvo type="max"/>
        <color rgb="FF3FCDFF"/>
      </dataBar>
      <extLst>
        <ext xmlns:x14="http://schemas.microsoft.com/office/spreadsheetml/2009/9/main" uri="{B025F937-C7B1-47D3-B67F-A62EFF666E3E}">
          <x14:id>{33465670-860A-497C-8F9E-62B2FB11C992}</x14:id>
        </ext>
      </extLst>
    </cfRule>
  </conditionalFormatting>
  <conditionalFormatting sqref="N61:N315">
    <cfRule type="dataBar" priority="76">
      <dataBar>
        <cfvo type="min"/>
        <cfvo type="max"/>
        <color rgb="FF3FCDFF"/>
      </dataBar>
      <extLst>
        <ext xmlns:x14="http://schemas.microsoft.com/office/spreadsheetml/2009/9/main" uri="{B025F937-C7B1-47D3-B67F-A62EFF666E3E}">
          <x14:id>{BF2F1159-2A6A-4893-92D2-5A2683E7BC2A}</x14:id>
        </ext>
      </extLst>
    </cfRule>
  </conditionalFormatting>
  <conditionalFormatting sqref="N62:O315">
    <cfRule type="containsBlanks" dxfId="82" priority="1">
      <formula>LEN(TRIM(N62))=0</formula>
    </cfRule>
  </conditionalFormatting>
  <conditionalFormatting sqref="O61:O315">
    <cfRule type="dataBar" priority="77">
      <dataBar>
        <cfvo type="min"/>
        <cfvo type="max"/>
        <color rgb="FF3FCDFF"/>
      </dataBar>
      <extLst>
        <ext xmlns:x14="http://schemas.microsoft.com/office/spreadsheetml/2009/9/main" uri="{B025F937-C7B1-47D3-B67F-A62EFF666E3E}">
          <x14:id>{9DCB1330-52A5-4F24-A2B2-10F12C5227DB}</x14:id>
        </ext>
      </extLst>
    </cfRule>
  </conditionalFormatting>
  <hyperlinks>
    <hyperlink ref="H4" r:id="rId1" xr:uid="{35A91B79-19C1-4C63-BF8D-A86B20D37553}"/>
    <hyperlink ref="H5" r:id="rId2" xr:uid="{1BD113FD-B881-4FAB-AF0B-A2A6356BF2A3}"/>
    <hyperlink ref="H7" r:id="rId3" display="https://docplayer.nl/138278287-Vvvf-jaaroverzicht-2018.html" xr:uid="{494CE9A3-BE07-43EF-9498-CBE144B24711}"/>
    <hyperlink ref="H6" r:id="rId4" display="https://docplayer.nl/138278287-Vvvf-jaaroverzicht-2018.html" xr:uid="{12111823-B9B8-4AA7-8E4A-14057C7D47DB}"/>
    <hyperlink ref="H8" r:id="rId5" xr:uid="{BB984821-D46D-4CF4-B969-236893BE6212}"/>
    <hyperlink ref="H9" r:id="rId6" xr:uid="{C82287F3-0522-4C9B-99F7-EA9986FEFD93}"/>
    <hyperlink ref="H10" r:id="rId7" xr:uid="{0A708D5D-F25E-4CDF-AFC4-97585C531CEC}"/>
    <hyperlink ref="H11" r:id="rId8" xr:uid="{8DA6866D-9E7C-4F2A-A880-35FCFA9253F1}"/>
  </hyperlinks>
  <pageMargins left="0.7" right="0.7" top="0.75" bottom="0.75" header="0.3" footer="0.3"/>
  <pageSetup paperSize="9" orientation="portrait" r:id="rId9"/>
  <extLst>
    <ext xmlns:x14="http://schemas.microsoft.com/office/spreadsheetml/2009/9/main" uri="{78C0D931-6437-407d-A8EE-F0AAD7539E65}">
      <x14:conditionalFormattings>
        <x14:conditionalFormatting xmlns:xm="http://schemas.microsoft.com/office/excel/2006/main">
          <x14:cfRule type="dataBar" id="{3A722EE9-4AD8-468F-912A-D15B9889449A}">
            <x14:dataBar minLength="0" maxLength="100" gradient="0">
              <x14:cfvo type="autoMin"/>
              <x14:cfvo type="num">
                <xm:f>4</xm:f>
              </x14:cfvo>
              <x14:negativeFillColor rgb="FFFF0000"/>
              <x14:axisColor rgb="FF000000"/>
            </x14:dataBar>
          </x14:cfRule>
          <xm:sqref>F57:J57 F53:J53</xm:sqref>
        </x14:conditionalFormatting>
        <x14:conditionalFormatting xmlns:xm="http://schemas.microsoft.com/office/excel/2006/main">
          <x14:cfRule type="dataBar" id="{8BED2EB0-F282-4F38-BA10-752BAED5F9D3}">
            <x14:dataBar minLength="0" maxLength="100" gradient="0">
              <x14:cfvo type="autoMin"/>
              <x14:cfvo type="num">
                <xm:f>4</xm:f>
              </x14:cfvo>
              <x14:negativeFillColor rgb="FFFF0000"/>
              <x14:axisColor rgb="FF000000"/>
            </x14:dataBar>
          </x14:cfRule>
          <xm:sqref>H61:M74</xm:sqref>
        </x14:conditionalFormatting>
        <x14:conditionalFormatting xmlns:xm="http://schemas.microsoft.com/office/excel/2006/main">
          <x14:cfRule type="dataBar" id="{13BFA7C7-29FC-471F-982B-8F9EDBA4F32D}">
            <x14:dataBar minLength="0" maxLength="100" gradient="0">
              <x14:cfvo type="autoMin"/>
              <x14:cfvo type="num">
                <xm:f>4</xm:f>
              </x14:cfvo>
              <x14:negativeFillColor rgb="FFFF0000"/>
              <x14:axisColor rgb="FF000000"/>
            </x14:dataBar>
          </x14:cfRule>
          <xm:sqref>H92:M92</xm:sqref>
        </x14:conditionalFormatting>
        <x14:conditionalFormatting xmlns:xm="http://schemas.microsoft.com/office/excel/2006/main">
          <x14:cfRule type="dataBar" id="{2C3CE673-9A40-40F4-AB61-33FB72B5B39F}">
            <x14:dataBar minLength="0" maxLength="100" gradient="0">
              <x14:cfvo type="autoMin"/>
              <x14:cfvo type="num">
                <xm:f>4</xm:f>
              </x14:cfvo>
              <x14:negativeFillColor rgb="FFFF0000"/>
              <x14:axisColor rgb="FF000000"/>
            </x14:dataBar>
          </x14:cfRule>
          <xm:sqref>H93:M98 H313:M315 H75:M91 H101:M118 H120:M137 H139:M156 H158:M175 H177:M194 H196:M213 H215:M232 H234:M251 H253:M273 H275:M292 H294:M311</xm:sqref>
        </x14:conditionalFormatting>
        <x14:conditionalFormatting xmlns:xm="http://schemas.microsoft.com/office/excel/2006/main">
          <x14:cfRule type="dataBar" id="{7FADE4B1-0CC7-438F-B82E-2F91F34C5B15}">
            <x14:dataBar minLength="0" maxLength="100" gradient="0">
              <x14:cfvo type="autoMin"/>
              <x14:cfvo type="num">
                <xm:f>4</xm:f>
              </x14:cfvo>
              <x14:negativeFillColor rgb="FFFF0000"/>
              <x14:axisColor rgb="FF000000"/>
            </x14:dataBar>
          </x14:cfRule>
          <xm:sqref>H99:M100</xm:sqref>
        </x14:conditionalFormatting>
        <x14:conditionalFormatting xmlns:xm="http://schemas.microsoft.com/office/excel/2006/main">
          <x14:cfRule type="dataBar" id="{D42B2016-A305-4BFB-B49A-F31ED28893A6}">
            <x14:dataBar minLength="0" maxLength="100" gradient="0">
              <x14:cfvo type="autoMin"/>
              <x14:cfvo type="num">
                <xm:f>4</xm:f>
              </x14:cfvo>
              <x14:negativeFillColor rgb="FFFF0000"/>
              <x14:axisColor rgb="FF000000"/>
            </x14:dataBar>
          </x14:cfRule>
          <xm:sqref>H119:M119</xm:sqref>
        </x14:conditionalFormatting>
        <x14:conditionalFormatting xmlns:xm="http://schemas.microsoft.com/office/excel/2006/main">
          <x14:cfRule type="dataBar" id="{999CA19B-1545-4F65-800F-470D70C61C1B}">
            <x14:dataBar minLength="0" maxLength="100" gradient="0">
              <x14:cfvo type="autoMin"/>
              <x14:cfvo type="num">
                <xm:f>4</xm:f>
              </x14:cfvo>
              <x14:negativeFillColor rgb="FFFF0000"/>
              <x14:axisColor rgb="FF000000"/>
            </x14:dataBar>
          </x14:cfRule>
          <xm:sqref>H138:M138</xm:sqref>
        </x14:conditionalFormatting>
        <x14:conditionalFormatting xmlns:xm="http://schemas.microsoft.com/office/excel/2006/main">
          <x14:cfRule type="dataBar" id="{21E0EBD7-68F7-40DD-A96F-E96019312248}">
            <x14:dataBar minLength="0" maxLength="100" gradient="0">
              <x14:cfvo type="autoMin"/>
              <x14:cfvo type="num">
                <xm:f>4</xm:f>
              </x14:cfvo>
              <x14:negativeFillColor rgb="FFFF0000"/>
              <x14:axisColor rgb="FF000000"/>
            </x14:dataBar>
          </x14:cfRule>
          <xm:sqref>H157:M157</xm:sqref>
        </x14:conditionalFormatting>
        <x14:conditionalFormatting xmlns:xm="http://schemas.microsoft.com/office/excel/2006/main">
          <x14:cfRule type="dataBar" id="{CCE07B65-D941-439C-993B-7236BF62814A}">
            <x14:dataBar minLength="0" maxLength="100" gradient="0">
              <x14:cfvo type="autoMin"/>
              <x14:cfvo type="num">
                <xm:f>4</xm:f>
              </x14:cfvo>
              <x14:negativeFillColor rgb="FFFF0000"/>
              <x14:axisColor rgb="FF000000"/>
            </x14:dataBar>
          </x14:cfRule>
          <xm:sqref>H176:M176</xm:sqref>
        </x14:conditionalFormatting>
        <x14:conditionalFormatting xmlns:xm="http://schemas.microsoft.com/office/excel/2006/main">
          <x14:cfRule type="dataBar" id="{8ECF9FF9-D23E-4379-B97D-AFBF8CBBC197}">
            <x14:dataBar minLength="0" maxLength="100" gradient="0">
              <x14:cfvo type="autoMin"/>
              <x14:cfvo type="num">
                <xm:f>4</xm:f>
              </x14:cfvo>
              <x14:negativeFillColor rgb="FFFF0000"/>
              <x14:axisColor rgb="FF000000"/>
            </x14:dataBar>
          </x14:cfRule>
          <xm:sqref>H195:M195</xm:sqref>
        </x14:conditionalFormatting>
        <x14:conditionalFormatting xmlns:xm="http://schemas.microsoft.com/office/excel/2006/main">
          <x14:cfRule type="dataBar" id="{33B090F6-CEE9-41AE-8443-E53952BCA93B}">
            <x14:dataBar minLength="0" maxLength="100" gradient="0">
              <x14:cfvo type="autoMin"/>
              <x14:cfvo type="num">
                <xm:f>4</xm:f>
              </x14:cfvo>
              <x14:negativeFillColor rgb="FFFF0000"/>
              <x14:axisColor rgb="FF000000"/>
            </x14:dataBar>
          </x14:cfRule>
          <xm:sqref>H214:M214</xm:sqref>
        </x14:conditionalFormatting>
        <x14:conditionalFormatting xmlns:xm="http://schemas.microsoft.com/office/excel/2006/main">
          <x14:cfRule type="dataBar" id="{1209E3A6-3055-4E8F-8B96-8758FD76BA64}">
            <x14:dataBar minLength="0" maxLength="100" gradient="0">
              <x14:cfvo type="autoMin"/>
              <x14:cfvo type="num">
                <xm:f>4</xm:f>
              </x14:cfvo>
              <x14:negativeFillColor rgb="FFFF0000"/>
              <x14:axisColor rgb="FF000000"/>
            </x14:dataBar>
          </x14:cfRule>
          <xm:sqref>H233:M233</xm:sqref>
        </x14:conditionalFormatting>
        <x14:conditionalFormatting xmlns:xm="http://schemas.microsoft.com/office/excel/2006/main">
          <x14:cfRule type="dataBar" id="{125F6B38-82FD-4AAA-A200-BEFDA1E19609}">
            <x14:dataBar minLength="0" maxLength="100" gradient="0">
              <x14:cfvo type="autoMin"/>
              <x14:cfvo type="num">
                <xm:f>4</xm:f>
              </x14:cfvo>
              <x14:negativeFillColor rgb="FFFF0000"/>
              <x14:axisColor rgb="FF000000"/>
            </x14:dataBar>
          </x14:cfRule>
          <xm:sqref>H252:M252</xm:sqref>
        </x14:conditionalFormatting>
        <x14:conditionalFormatting xmlns:xm="http://schemas.microsoft.com/office/excel/2006/main">
          <x14:cfRule type="dataBar" id="{86489237-8ED2-4F6C-BA92-14053B5076F5}">
            <x14:dataBar minLength="0" maxLength="100" gradient="0">
              <x14:cfvo type="autoMin"/>
              <x14:cfvo type="num">
                <xm:f>4</xm:f>
              </x14:cfvo>
              <x14:negativeFillColor rgb="FFFF0000"/>
              <x14:axisColor rgb="FF000000"/>
            </x14:dataBar>
          </x14:cfRule>
          <xm:sqref>H274:M274</xm:sqref>
        </x14:conditionalFormatting>
        <x14:conditionalFormatting xmlns:xm="http://schemas.microsoft.com/office/excel/2006/main">
          <x14:cfRule type="dataBar" id="{CBB9E265-0A48-40A8-BFE6-BA26A6B0B8D9}">
            <x14:dataBar minLength="0" maxLength="100" gradient="0">
              <x14:cfvo type="autoMin"/>
              <x14:cfvo type="num">
                <xm:f>4</xm:f>
              </x14:cfvo>
              <x14:negativeFillColor rgb="FFFF0000"/>
              <x14:axisColor rgb="FF000000"/>
            </x14:dataBar>
          </x14:cfRule>
          <xm:sqref>H293:M293</xm:sqref>
        </x14:conditionalFormatting>
        <x14:conditionalFormatting xmlns:xm="http://schemas.microsoft.com/office/excel/2006/main">
          <x14:cfRule type="dataBar" id="{E5B27D8B-02E0-4DC9-9799-3F74D0D31E25}">
            <x14:dataBar minLength="0" maxLength="100" gradient="0">
              <x14:cfvo type="autoMin"/>
              <x14:cfvo type="num">
                <xm:f>4</xm:f>
              </x14:cfvo>
              <x14:negativeFillColor rgb="FFFF0000"/>
              <x14:axisColor rgb="FF000000"/>
            </x14:dataBar>
          </x14:cfRule>
          <xm:sqref>H312:M312</xm:sqref>
        </x14:conditionalFormatting>
        <x14:conditionalFormatting xmlns:xm="http://schemas.microsoft.com/office/excel/2006/main">
          <x14:cfRule type="dataBar" id="{33465670-860A-497C-8F9E-62B2FB11C992}">
            <x14:dataBar minLength="0" maxLength="100" gradient="0">
              <x14:cfvo type="autoMin"/>
              <x14:cfvo type="autoMax"/>
              <x14:negativeFillColor rgb="FFFF0000"/>
              <x14:axisColor rgb="FF000000"/>
            </x14:dataBar>
          </x14:cfRule>
          <xm:sqref>K53 K57</xm:sqref>
        </x14:conditionalFormatting>
        <x14:conditionalFormatting xmlns:xm="http://schemas.microsoft.com/office/excel/2006/main">
          <x14:cfRule type="dataBar" id="{BF2F1159-2A6A-4893-92D2-5A2683E7BC2A}">
            <x14:dataBar minLength="0" maxLength="100" gradient="0">
              <x14:cfvo type="autoMin"/>
              <x14:cfvo type="autoMax"/>
              <x14:negativeFillColor rgb="FFFF0000"/>
              <x14:axisColor rgb="FF000000"/>
            </x14:dataBar>
          </x14:cfRule>
          <xm:sqref>N61:N315</xm:sqref>
        </x14:conditionalFormatting>
        <x14:conditionalFormatting xmlns:xm="http://schemas.microsoft.com/office/excel/2006/main">
          <x14:cfRule type="dataBar" id="{9DCB1330-52A5-4F24-A2B2-10F12C5227DB}">
            <x14:dataBar minLength="0" maxLength="100" gradient="0">
              <x14:cfvo type="autoMin"/>
              <x14:cfvo type="autoMax"/>
              <x14:negativeFillColor rgb="FFFF0000"/>
              <x14:axisColor rgb="FF000000"/>
            </x14:dataBar>
          </x14:cfRule>
          <xm:sqref>O61:O315</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7341A-5EA0-4D17-A641-6A977AEA044B}">
  <sheetPr>
    <tabColor theme="8"/>
  </sheetPr>
  <dimension ref="A2:AI408"/>
  <sheetViews>
    <sheetView topLeftCell="A231" zoomScale="70" zoomScaleNormal="70" workbookViewId="0">
      <selection activeCell="B253" sqref="B253"/>
    </sheetView>
  </sheetViews>
  <sheetFormatPr defaultRowHeight="14.4"/>
  <cols>
    <col min="1" max="1" width="40.5546875" customWidth="1"/>
    <col min="2" max="2" width="29.88671875" customWidth="1"/>
    <col min="3" max="3" width="19.33203125" customWidth="1"/>
    <col min="4" max="4" width="26" customWidth="1"/>
    <col min="5" max="5" width="32" bestFit="1" customWidth="1"/>
    <col min="6" max="6" width="11.6640625" customWidth="1"/>
    <col min="7" max="7" width="14.33203125" customWidth="1"/>
    <col min="8" max="8" width="12.33203125" customWidth="1"/>
    <col min="9" max="9" width="14.44140625" customWidth="1"/>
    <col min="10" max="10" width="14.33203125" customWidth="1"/>
    <col min="11" max="11" width="13" customWidth="1"/>
    <col min="12" max="12" width="13.6640625" customWidth="1"/>
    <col min="13" max="13" width="16.5546875" customWidth="1"/>
    <col min="14" max="14" width="14.6640625" customWidth="1"/>
    <col min="15" max="15" width="15.44140625" customWidth="1"/>
    <col min="16" max="16" width="30.88671875" customWidth="1"/>
    <col min="17" max="17" width="18.5546875" bestFit="1" customWidth="1"/>
    <col min="18" max="18" width="25.109375" bestFit="1" customWidth="1"/>
    <col min="19" max="19" width="16.33203125" bestFit="1" customWidth="1"/>
    <col min="20" max="20" width="13.109375" bestFit="1" customWidth="1"/>
    <col min="21" max="21" width="13.88671875" bestFit="1" customWidth="1"/>
    <col min="22" max="22" width="16.88671875" customWidth="1"/>
    <col min="23" max="23" width="23.5546875" customWidth="1"/>
    <col min="24" max="24" width="11.5546875" bestFit="1" customWidth="1"/>
    <col min="25" max="25" width="12" bestFit="1" customWidth="1"/>
    <col min="27" max="27" width="13.109375" bestFit="1" customWidth="1"/>
    <col min="29" max="29" width="12.88671875" customWidth="1"/>
    <col min="30" max="30" width="11.109375" customWidth="1"/>
    <col min="31" max="31" width="12" customWidth="1"/>
    <col min="32" max="32" width="12.109375" customWidth="1"/>
    <col min="33" max="33" width="11.5546875" customWidth="1"/>
    <col min="34" max="34" width="12.5546875" customWidth="1"/>
    <col min="35" max="38" width="14.88671875" bestFit="1" customWidth="1"/>
    <col min="40" max="40" width="16.5546875" bestFit="1" customWidth="1"/>
    <col min="41" max="42" width="14.33203125" bestFit="1" customWidth="1"/>
    <col min="43" max="43" width="18.33203125" customWidth="1"/>
    <col min="44" max="44" width="24.44140625" customWidth="1"/>
  </cols>
  <sheetData>
    <row r="2" spans="1:19" s="131" customFormat="1" ht="30" customHeight="1">
      <c r="A2" s="466" t="s">
        <v>824</v>
      </c>
      <c r="B2" s="406"/>
      <c r="C2" s="406"/>
      <c r="D2" s="406"/>
      <c r="E2" s="406"/>
      <c r="F2" s="406"/>
      <c r="G2" s="406"/>
      <c r="H2" s="406"/>
      <c r="I2" s="406"/>
      <c r="J2" s="406"/>
      <c r="K2" s="406"/>
      <c r="L2" s="406"/>
      <c r="M2" s="406"/>
      <c r="N2" s="406"/>
      <c r="O2"/>
      <c r="P2"/>
      <c r="Q2"/>
    </row>
    <row r="3" spans="1:19" s="6" customFormat="1" ht="30" customHeight="1">
      <c r="A3" s="140" t="s">
        <v>100</v>
      </c>
      <c r="B3" s="140" t="s">
        <v>131</v>
      </c>
      <c r="C3" s="140" t="s">
        <v>101</v>
      </c>
      <c r="D3" s="140" t="s">
        <v>102</v>
      </c>
      <c r="E3" s="140" t="s">
        <v>873</v>
      </c>
      <c r="F3" s="358" t="s">
        <v>104</v>
      </c>
      <c r="G3" s="225"/>
      <c r="H3" s="225"/>
      <c r="I3" s="225"/>
      <c r="J3" s="225"/>
      <c r="K3" s="225"/>
      <c r="L3" s="225"/>
      <c r="O3"/>
      <c r="P3"/>
      <c r="Q3"/>
      <c r="R3"/>
      <c r="S3"/>
    </row>
    <row r="4" spans="1:19" s="6" customFormat="1">
      <c r="A4" s="408" t="s">
        <v>933</v>
      </c>
      <c r="B4" s="408" t="s">
        <v>182</v>
      </c>
      <c r="C4" s="220">
        <v>2018</v>
      </c>
      <c r="D4" s="117" t="s">
        <v>934</v>
      </c>
      <c r="E4" s="487">
        <f>((D200)/1000)-B232</f>
        <v>692.81</v>
      </c>
      <c r="F4" t="s">
        <v>935</v>
      </c>
      <c r="G4"/>
      <c r="H4"/>
      <c r="I4"/>
      <c r="O4"/>
      <c r="P4"/>
      <c r="Q4"/>
      <c r="R4"/>
      <c r="S4"/>
    </row>
    <row r="5" spans="1:19" s="6" customFormat="1">
      <c r="A5" s="409" t="s">
        <v>933</v>
      </c>
      <c r="B5" s="409" t="s">
        <v>182</v>
      </c>
      <c r="C5" s="407">
        <v>2019</v>
      </c>
      <c r="D5" s="117" t="s">
        <v>934</v>
      </c>
      <c r="E5" s="410">
        <f>((D203/1000)-B232)</f>
        <v>695.5</v>
      </c>
      <c r="F5" t="s">
        <v>935</v>
      </c>
      <c r="G5"/>
      <c r="H5"/>
      <c r="I5"/>
      <c r="O5"/>
      <c r="P5"/>
      <c r="Q5"/>
      <c r="R5"/>
      <c r="S5"/>
    </row>
    <row r="6" spans="1:19" s="6" customFormat="1">
      <c r="A6"/>
      <c r="B6"/>
      <c r="C6"/>
      <c r="D6"/>
      <c r="E6"/>
      <c r="F6"/>
      <c r="G6"/>
      <c r="H6"/>
      <c r="I6"/>
      <c r="J6"/>
      <c r="K6"/>
      <c r="L6"/>
      <c r="M6"/>
      <c r="O6"/>
      <c r="P6"/>
      <c r="Q6"/>
      <c r="R6"/>
      <c r="S6"/>
    </row>
    <row r="7" spans="1:19" s="6" customFormat="1" ht="15" thickBot="1">
      <c r="A7" s="6" t="s">
        <v>936</v>
      </c>
      <c r="E7"/>
      <c r="O7"/>
      <c r="P7"/>
      <c r="Q7"/>
      <c r="R7"/>
      <c r="S7"/>
    </row>
    <row r="8" spans="1:19" s="6" customFormat="1">
      <c r="A8" s="140" t="s">
        <v>100</v>
      </c>
      <c r="B8" s="140" t="s">
        <v>131</v>
      </c>
      <c r="C8" s="140" t="s">
        <v>101</v>
      </c>
      <c r="D8" s="140" t="s">
        <v>102</v>
      </c>
      <c r="E8" s="140" t="s">
        <v>873</v>
      </c>
      <c r="F8" s="358" t="s">
        <v>104</v>
      </c>
      <c r="G8" s="111" t="s">
        <v>135</v>
      </c>
      <c r="H8" s="112" t="s">
        <v>65</v>
      </c>
      <c r="I8" s="112" t="s">
        <v>67</v>
      </c>
      <c r="J8" s="112" t="s">
        <v>73</v>
      </c>
      <c r="K8" s="113" t="s">
        <v>79</v>
      </c>
      <c r="L8" s="114" t="s">
        <v>106</v>
      </c>
      <c r="M8" s="115" t="s">
        <v>123</v>
      </c>
      <c r="O8"/>
      <c r="P8"/>
      <c r="Q8"/>
      <c r="R8"/>
      <c r="S8"/>
    </row>
    <row r="9" spans="1:19" s="6" customFormat="1">
      <c r="A9" s="143" t="s">
        <v>933</v>
      </c>
      <c r="B9" s="143" t="s">
        <v>182</v>
      </c>
      <c r="C9" s="220">
        <v>2018</v>
      </c>
      <c r="D9" s="9" t="s">
        <v>90</v>
      </c>
      <c r="E9" s="405">
        <f>E4*H165</f>
        <v>56.385014842085823</v>
      </c>
      <c r="F9" t="s">
        <v>937</v>
      </c>
      <c r="G9" s="174">
        <v>1</v>
      </c>
      <c r="H9" s="66">
        <v>1</v>
      </c>
      <c r="I9" s="66">
        <v>2</v>
      </c>
      <c r="J9" s="66">
        <v>1</v>
      </c>
      <c r="K9" s="66">
        <v>2</v>
      </c>
      <c r="L9" s="179">
        <f t="shared" ref="L9:L18" si="0">IF( OR( ISBLANK(G9),ISBLANK(H9), ISBLANK(I9), ISBLANK(J9), ISBLANK(K9) ), "", 1.5*SQRT(   EXP(2.21*(G9-1)) + EXP(2.21*(H9-1)) + EXP(2.21*(I9-1)) + EXP(2.21*(J9-1)) + EXP(2.21*K9)   )/100*2.45 )</f>
        <v>0.35859414261160716</v>
      </c>
      <c r="M9" s="60"/>
      <c r="O9"/>
      <c r="P9"/>
      <c r="Q9"/>
      <c r="R9"/>
      <c r="S9"/>
    </row>
    <row r="10" spans="1:19" s="6" customFormat="1">
      <c r="A10" s="143" t="s">
        <v>933</v>
      </c>
      <c r="B10" s="143" t="s">
        <v>182</v>
      </c>
      <c r="C10" s="220">
        <v>2018</v>
      </c>
      <c r="D10" s="9" t="s">
        <v>88</v>
      </c>
      <c r="E10" s="405">
        <f>E4*H166</f>
        <v>3.9507478925049049</v>
      </c>
      <c r="F10" t="s">
        <v>937</v>
      </c>
      <c r="G10" s="172">
        <v>1</v>
      </c>
      <c r="H10" s="10">
        <v>1</v>
      </c>
      <c r="I10" s="66">
        <v>2</v>
      </c>
      <c r="J10" s="10">
        <v>1</v>
      </c>
      <c r="K10" s="10">
        <v>2</v>
      </c>
      <c r="L10" s="179">
        <f t="shared" si="0"/>
        <v>0.35859414261160716</v>
      </c>
      <c r="M10" s="34"/>
      <c r="O10"/>
      <c r="P10"/>
      <c r="Q10"/>
      <c r="R10"/>
      <c r="S10"/>
    </row>
    <row r="11" spans="1:19" s="6" customFormat="1">
      <c r="A11" s="143" t="s">
        <v>933</v>
      </c>
      <c r="B11" s="143" t="s">
        <v>182</v>
      </c>
      <c r="C11" s="220">
        <v>2018</v>
      </c>
      <c r="D11" s="9" t="s">
        <v>87</v>
      </c>
      <c r="E11" s="405">
        <f>E5*H167</f>
        <v>3.9660876131077227</v>
      </c>
      <c r="F11" t="s">
        <v>937</v>
      </c>
      <c r="G11" s="172">
        <v>1</v>
      </c>
      <c r="H11" s="10">
        <v>1</v>
      </c>
      <c r="I11" s="66">
        <v>2</v>
      </c>
      <c r="J11" s="10">
        <v>1</v>
      </c>
      <c r="K11" s="10">
        <v>2</v>
      </c>
      <c r="L11" s="179">
        <f t="shared" si="0"/>
        <v>0.35859414261160716</v>
      </c>
      <c r="M11" s="34"/>
      <c r="O11"/>
      <c r="P11"/>
      <c r="Q11"/>
      <c r="R11"/>
      <c r="S11"/>
    </row>
    <row r="12" spans="1:19" s="6" customFormat="1">
      <c r="A12" s="143" t="s">
        <v>933</v>
      </c>
      <c r="B12" s="143" t="s">
        <v>182</v>
      </c>
      <c r="C12" s="220">
        <v>2018</v>
      </c>
      <c r="D12" s="9" t="s">
        <v>85</v>
      </c>
      <c r="E12" s="405">
        <f>E4*H168</f>
        <v>622.8710048492452</v>
      </c>
      <c r="F12" t="s">
        <v>937</v>
      </c>
      <c r="G12" s="172">
        <v>1</v>
      </c>
      <c r="H12" s="10">
        <v>1</v>
      </c>
      <c r="I12" s="66">
        <v>2</v>
      </c>
      <c r="J12" s="10">
        <v>1</v>
      </c>
      <c r="K12" s="10">
        <v>2</v>
      </c>
      <c r="L12" s="179">
        <f t="shared" si="0"/>
        <v>0.35859414261160716</v>
      </c>
      <c r="M12" s="34"/>
      <c r="O12"/>
      <c r="P12"/>
      <c r="Q12"/>
      <c r="R12"/>
      <c r="S12"/>
    </row>
    <row r="13" spans="1:19">
      <c r="A13" s="143" t="s">
        <v>933</v>
      </c>
      <c r="B13" s="143" t="s">
        <v>182</v>
      </c>
      <c r="C13" s="220">
        <v>2018</v>
      </c>
      <c r="D13" s="9" t="s">
        <v>86</v>
      </c>
      <c r="E13" s="405">
        <f>E4*H169</f>
        <v>5.6494845366498607</v>
      </c>
      <c r="F13" t="s">
        <v>937</v>
      </c>
      <c r="G13" s="172">
        <v>1</v>
      </c>
      <c r="H13" s="10">
        <v>1</v>
      </c>
      <c r="I13" s="66">
        <v>2</v>
      </c>
      <c r="J13" s="10">
        <v>1</v>
      </c>
      <c r="K13" s="10">
        <v>2</v>
      </c>
      <c r="L13" s="179">
        <f t="shared" si="0"/>
        <v>0.35859414261160716</v>
      </c>
      <c r="M13" s="34"/>
    </row>
    <row r="14" spans="1:19" s="131" customFormat="1" ht="18">
      <c r="A14" s="143" t="s">
        <v>933</v>
      </c>
      <c r="B14" s="143" t="s">
        <v>182</v>
      </c>
      <c r="C14" s="220">
        <v>2019</v>
      </c>
      <c r="D14" s="9" t="s">
        <v>90</v>
      </c>
      <c r="E14" s="405">
        <f>E5*H165</f>
        <v>56.60394310513805</v>
      </c>
      <c r="F14" t="s">
        <v>937</v>
      </c>
      <c r="G14" s="174">
        <v>1</v>
      </c>
      <c r="H14" s="66">
        <v>1</v>
      </c>
      <c r="I14" s="66">
        <v>2</v>
      </c>
      <c r="J14" s="66">
        <v>1</v>
      </c>
      <c r="K14" s="66">
        <v>2</v>
      </c>
      <c r="L14" s="179">
        <f t="shared" si="0"/>
        <v>0.35859414261160716</v>
      </c>
      <c r="M14" s="60"/>
      <c r="O14"/>
      <c r="P14"/>
      <c r="Q14"/>
      <c r="R14"/>
      <c r="S14"/>
    </row>
    <row r="15" spans="1:19" s="6" customFormat="1">
      <c r="A15" s="143" t="s">
        <v>933</v>
      </c>
      <c r="B15" s="143" t="s">
        <v>182</v>
      </c>
      <c r="C15" s="220">
        <v>2019</v>
      </c>
      <c r="D15" s="9" t="s">
        <v>88</v>
      </c>
      <c r="E15" s="405">
        <f>E5*H166</f>
        <v>3.9660876131077227</v>
      </c>
      <c r="F15" t="s">
        <v>937</v>
      </c>
      <c r="G15" s="172">
        <v>1</v>
      </c>
      <c r="H15" s="10">
        <v>1</v>
      </c>
      <c r="I15" s="66">
        <v>2</v>
      </c>
      <c r="J15" s="10">
        <v>1</v>
      </c>
      <c r="K15" s="10">
        <v>2</v>
      </c>
      <c r="L15" s="179">
        <f t="shared" si="0"/>
        <v>0.35859414261160716</v>
      </c>
      <c r="M15" s="34"/>
      <c r="O15"/>
      <c r="P15"/>
      <c r="Q15"/>
      <c r="R15"/>
      <c r="S15"/>
    </row>
    <row r="16" spans="1:19" s="6" customFormat="1">
      <c r="A16" s="143" t="s">
        <v>933</v>
      </c>
      <c r="B16" s="143" t="s">
        <v>182</v>
      </c>
      <c r="C16" s="220">
        <v>2019</v>
      </c>
      <c r="D16" s="9" t="s">
        <v>87</v>
      </c>
      <c r="E16" s="405">
        <f>E5*H167</f>
        <v>3.9660876131077227</v>
      </c>
      <c r="F16" t="s">
        <v>937</v>
      </c>
      <c r="G16" s="172">
        <v>1</v>
      </c>
      <c r="H16" s="10">
        <v>1</v>
      </c>
      <c r="I16" s="66">
        <v>2</v>
      </c>
      <c r="J16" s="10">
        <v>1</v>
      </c>
      <c r="K16" s="10">
        <v>2</v>
      </c>
      <c r="L16" s="179">
        <f t="shared" si="0"/>
        <v>0.35859414261160716</v>
      </c>
      <c r="M16" s="34"/>
      <c r="O16"/>
      <c r="P16"/>
      <c r="Q16"/>
      <c r="R16"/>
      <c r="S16"/>
    </row>
    <row r="17" spans="1:19" s="6" customFormat="1">
      <c r="A17" s="143" t="s">
        <v>933</v>
      </c>
      <c r="B17" s="143" t="s">
        <v>182</v>
      </c>
      <c r="C17" s="220">
        <v>2019</v>
      </c>
      <c r="D17" s="9" t="s">
        <v>85</v>
      </c>
      <c r="E17" s="405">
        <f>E5*H168</f>
        <v>625.28945002619776</v>
      </c>
      <c r="F17" t="s">
        <v>937</v>
      </c>
      <c r="G17" s="172">
        <v>1</v>
      </c>
      <c r="H17" s="10">
        <v>1</v>
      </c>
      <c r="I17" s="66">
        <v>2</v>
      </c>
      <c r="J17" s="10">
        <v>1</v>
      </c>
      <c r="K17" s="10">
        <v>2</v>
      </c>
      <c r="L17" s="179">
        <f t="shared" si="0"/>
        <v>0.35859414261160716</v>
      </c>
      <c r="M17" s="34"/>
      <c r="O17"/>
      <c r="P17"/>
      <c r="Q17"/>
      <c r="R17"/>
      <c r="S17"/>
    </row>
    <row r="18" spans="1:19" s="6" customFormat="1">
      <c r="A18" s="143" t="s">
        <v>933</v>
      </c>
      <c r="B18" s="143" t="s">
        <v>182</v>
      </c>
      <c r="C18" s="220">
        <v>2019</v>
      </c>
      <c r="D18" s="9" t="s">
        <v>86</v>
      </c>
      <c r="E18" s="405">
        <f>E5*H169</f>
        <v>5.6714200072746905</v>
      </c>
      <c r="F18" t="s">
        <v>937</v>
      </c>
      <c r="G18" s="172">
        <v>1</v>
      </c>
      <c r="H18" s="10">
        <v>1</v>
      </c>
      <c r="I18" s="66">
        <v>2</v>
      </c>
      <c r="J18" s="10">
        <v>1</v>
      </c>
      <c r="K18" s="10">
        <v>2</v>
      </c>
      <c r="L18" s="179">
        <f t="shared" si="0"/>
        <v>0.35859414261160716</v>
      </c>
      <c r="M18" s="34"/>
      <c r="O18"/>
      <c r="P18"/>
      <c r="Q18"/>
      <c r="R18"/>
      <c r="S18"/>
    </row>
    <row r="19" spans="1:19" s="6" customFormat="1">
      <c r="B19"/>
      <c r="C19"/>
      <c r="D19"/>
      <c r="E19"/>
      <c r="F19" s="404"/>
      <c r="G19"/>
      <c r="H19"/>
      <c r="I19"/>
      <c r="J19"/>
      <c r="K19"/>
      <c r="L19"/>
      <c r="M19"/>
      <c r="N19"/>
      <c r="O19"/>
      <c r="P19"/>
      <c r="Q19"/>
      <c r="R19"/>
      <c r="S19"/>
    </row>
    <row r="20" spans="1:19" s="6" customFormat="1" ht="27" customHeight="1">
      <c r="A20" s="466" t="s">
        <v>823</v>
      </c>
      <c r="B20" s="466"/>
      <c r="C20" s="466"/>
      <c r="D20" s="406"/>
      <c r="E20" s="406"/>
      <c r="F20" s="406"/>
      <c r="G20" s="406"/>
      <c r="H20" s="406"/>
      <c r="I20" s="406"/>
      <c r="J20" s="406"/>
      <c r="K20" s="406"/>
      <c r="L20" s="406"/>
      <c r="M20" s="406"/>
      <c r="N20" s="406"/>
      <c r="O20"/>
      <c r="P20"/>
      <c r="Q20"/>
      <c r="R20"/>
      <c r="S20"/>
    </row>
    <row r="21" spans="1:19" s="6" customFormat="1">
      <c r="A21" s="140" t="s">
        <v>100</v>
      </c>
      <c r="B21" s="140" t="s">
        <v>131</v>
      </c>
      <c r="C21" s="140" t="s">
        <v>101</v>
      </c>
      <c r="D21" s="140" t="s">
        <v>102</v>
      </c>
      <c r="E21" s="140" t="s">
        <v>873</v>
      </c>
      <c r="F21" s="358" t="s">
        <v>104</v>
      </c>
      <c r="G21" s="788" t="s">
        <v>123</v>
      </c>
      <c r="H21" s="788"/>
      <c r="I21" s="788"/>
      <c r="O21"/>
      <c r="P21"/>
      <c r="Q21"/>
      <c r="R21"/>
      <c r="S21"/>
    </row>
    <row r="22" spans="1:19" s="6" customFormat="1">
      <c r="A22" s="143" t="s">
        <v>933</v>
      </c>
      <c r="B22" s="143" t="s">
        <v>180</v>
      </c>
      <c r="C22" s="220">
        <v>2018</v>
      </c>
      <c r="D22" s="117" t="s">
        <v>934</v>
      </c>
      <c r="E22" s="410">
        <f>(((D200)/1000))*$C$222-Intentional_Agr_NL_2020*'Input projections'!$C$42</f>
        <v>22.798165427830579</v>
      </c>
      <c r="F22" s="224" t="s">
        <v>938</v>
      </c>
      <c r="G22" s="60" t="s">
        <v>939</v>
      </c>
      <c r="H22"/>
      <c r="I22"/>
      <c r="O22"/>
      <c r="P22"/>
      <c r="Q22"/>
      <c r="R22"/>
      <c r="S22"/>
    </row>
    <row r="23" spans="1:19" s="6" customFormat="1">
      <c r="A23" s="409" t="s">
        <v>933</v>
      </c>
      <c r="B23" s="143" t="s">
        <v>180</v>
      </c>
      <c r="C23" s="220">
        <v>2018</v>
      </c>
      <c r="D23" s="117" t="s">
        <v>934</v>
      </c>
      <c r="E23" s="410">
        <f>(((D200)/1000))*$C$224-Intentional_Agr_NL_2020*'Input projections'!$C$42</f>
        <v>46.525919248910952</v>
      </c>
      <c r="F23" s="224" t="s">
        <v>938</v>
      </c>
      <c r="G23" s="60" t="s">
        <v>940</v>
      </c>
      <c r="H23"/>
      <c r="I23"/>
      <c r="O23"/>
      <c r="P23"/>
      <c r="Q23"/>
      <c r="R23"/>
      <c r="S23"/>
    </row>
    <row r="24" spans="1:19">
      <c r="A24" s="143" t="s">
        <v>933</v>
      </c>
      <c r="B24" s="143" t="s">
        <v>180</v>
      </c>
      <c r="C24" s="220">
        <v>2019</v>
      </c>
      <c r="D24" s="117" t="s">
        <v>934</v>
      </c>
      <c r="E24" s="410">
        <f>(((D203)/1000))*$C$222-Intentional_Agr_NL_2020*'Input projections'!$C$42</f>
        <v>22.888549427830579</v>
      </c>
      <c r="F24" s="224" t="s">
        <v>938</v>
      </c>
      <c r="G24" s="60" t="s">
        <v>939</v>
      </c>
    </row>
    <row r="25" spans="1:19">
      <c r="A25" s="409" t="s">
        <v>933</v>
      </c>
      <c r="B25" s="143" t="s">
        <v>180</v>
      </c>
      <c r="C25" s="220">
        <v>2019</v>
      </c>
      <c r="D25" s="117" t="s">
        <v>934</v>
      </c>
      <c r="E25" s="410">
        <f>(((D203)/1000))*$C$224-Intentional_Agr_NL_2020*'Input projections'!$C$42</f>
        <v>46.706479507763902</v>
      </c>
      <c r="F25" s="224" t="s">
        <v>938</v>
      </c>
      <c r="G25" s="60" t="s">
        <v>940</v>
      </c>
    </row>
    <row r="26" spans="1:19" s="6" customFormat="1">
      <c r="A26"/>
      <c r="B26"/>
      <c r="C26"/>
      <c r="D26"/>
      <c r="E26"/>
      <c r="F26"/>
      <c r="G26"/>
      <c r="H26"/>
      <c r="I26"/>
      <c r="J26"/>
      <c r="K26"/>
      <c r="L26"/>
      <c r="M26"/>
    </row>
    <row r="27" spans="1:19" s="6" customFormat="1" ht="15" thickBot="1">
      <c r="A27" s="6" t="s">
        <v>936</v>
      </c>
      <c r="E27"/>
    </row>
    <row r="28" spans="1:19" s="2" customFormat="1">
      <c r="A28" s="140" t="s">
        <v>100</v>
      </c>
      <c r="B28" s="140" t="s">
        <v>131</v>
      </c>
      <c r="C28" s="140" t="s">
        <v>101</v>
      </c>
      <c r="D28" s="140" t="s">
        <v>102</v>
      </c>
      <c r="E28" s="140" t="s">
        <v>873</v>
      </c>
      <c r="F28" s="225" t="s">
        <v>104</v>
      </c>
      <c r="G28" s="111" t="s">
        <v>134</v>
      </c>
      <c r="H28" s="112" t="s">
        <v>65</v>
      </c>
      <c r="I28" s="112" t="s">
        <v>67</v>
      </c>
      <c r="J28" s="112" t="s">
        <v>73</v>
      </c>
      <c r="K28" s="113" t="s">
        <v>79</v>
      </c>
      <c r="L28" s="114" t="s">
        <v>106</v>
      </c>
      <c r="M28" s="115" t="s">
        <v>123</v>
      </c>
    </row>
    <row r="29" spans="1:19" s="2" customFormat="1">
      <c r="A29" s="143" t="s">
        <v>933</v>
      </c>
      <c r="B29" s="143" t="s">
        <v>180</v>
      </c>
      <c r="C29" s="220">
        <v>2018</v>
      </c>
      <c r="D29" s="462" t="s">
        <v>90</v>
      </c>
      <c r="E29" s="136">
        <f>$E$22*H183</f>
        <v>2.3385327534831104</v>
      </c>
      <c r="F29" t="s">
        <v>941</v>
      </c>
      <c r="G29" s="174">
        <v>2</v>
      </c>
      <c r="H29" s="66">
        <v>1</v>
      </c>
      <c r="I29" s="66">
        <v>2</v>
      </c>
      <c r="J29" s="66">
        <v>1</v>
      </c>
      <c r="K29" s="66">
        <v>2</v>
      </c>
      <c r="L29" s="179">
        <f t="shared" ref="L29:L48" si="1">IF( OR( ISBLANK(G29),ISBLANK(H29), ISBLANK(I29), ISBLANK(J29), ISBLANK(K29) ), "", 1.5*SQRT(   EXP(2.21*(G29-1)) + EXP(2.21*(H29-1)) + EXP(2.21*(I29-1)) + EXP(2.21*(J29-1)) + EXP(2.21*K29)   )/100*2.45 )</f>
        <v>0.37356464144298934</v>
      </c>
      <c r="M29" s="60" t="s">
        <v>939</v>
      </c>
    </row>
    <row r="30" spans="1:19" s="2" customFormat="1">
      <c r="A30" s="143" t="s">
        <v>933</v>
      </c>
      <c r="B30" s="143" t="s">
        <v>180</v>
      </c>
      <c r="C30" s="220">
        <v>2018</v>
      </c>
      <c r="D30" s="462" t="s">
        <v>88</v>
      </c>
      <c r="E30" s="136">
        <f>$E$22*H184</f>
        <v>0.11106595848154695</v>
      </c>
      <c r="F30" t="s">
        <v>941</v>
      </c>
      <c r="G30" s="172">
        <v>2</v>
      </c>
      <c r="H30" s="10">
        <v>1</v>
      </c>
      <c r="I30" s="66">
        <v>2</v>
      </c>
      <c r="J30" s="10">
        <v>1</v>
      </c>
      <c r="K30" s="10">
        <v>2</v>
      </c>
      <c r="L30" s="179">
        <f t="shared" si="1"/>
        <v>0.37356464144298934</v>
      </c>
      <c r="M30" s="60" t="s">
        <v>939</v>
      </c>
    </row>
    <row r="31" spans="1:19" s="2" customFormat="1">
      <c r="A31" s="143" t="s">
        <v>933</v>
      </c>
      <c r="B31" s="143" t="s">
        <v>180</v>
      </c>
      <c r="C31" s="220">
        <v>2018</v>
      </c>
      <c r="D31" s="462" t="s">
        <v>87</v>
      </c>
      <c r="E31" s="136">
        <f>$E$22*H185</f>
        <v>0.11106595848154695</v>
      </c>
      <c r="F31" t="s">
        <v>941</v>
      </c>
      <c r="G31" s="172">
        <v>2</v>
      </c>
      <c r="H31" s="10">
        <v>1</v>
      </c>
      <c r="I31" s="66">
        <v>2</v>
      </c>
      <c r="J31" s="10">
        <v>1</v>
      </c>
      <c r="K31" s="10">
        <v>2</v>
      </c>
      <c r="L31" s="179">
        <f t="shared" si="1"/>
        <v>0.37356464144298934</v>
      </c>
      <c r="M31" s="60" t="s">
        <v>939</v>
      </c>
    </row>
    <row r="32" spans="1:19" s="2" customFormat="1">
      <c r="A32" s="143" t="s">
        <v>933</v>
      </c>
      <c r="B32" s="143" t="s">
        <v>180</v>
      </c>
      <c r="C32" s="220">
        <v>2018</v>
      </c>
      <c r="D32" s="462" t="s">
        <v>85</v>
      </c>
      <c r="E32" s="136">
        <f>$E$22*H186</f>
        <v>19.95503155784176</v>
      </c>
      <c r="F32" t="s">
        <v>941</v>
      </c>
      <c r="G32" s="172">
        <v>2</v>
      </c>
      <c r="H32" s="10">
        <v>1</v>
      </c>
      <c r="I32" s="66">
        <v>2</v>
      </c>
      <c r="J32" s="10">
        <v>1</v>
      </c>
      <c r="K32" s="10">
        <v>2</v>
      </c>
      <c r="L32" s="179">
        <f t="shared" si="1"/>
        <v>0.37356464144298934</v>
      </c>
      <c r="M32" s="60" t="s">
        <v>939</v>
      </c>
    </row>
    <row r="33" spans="1:13" s="2" customFormat="1">
      <c r="A33" s="143" t="s">
        <v>933</v>
      </c>
      <c r="B33" s="143" t="s">
        <v>180</v>
      </c>
      <c r="C33" s="220">
        <v>2018</v>
      </c>
      <c r="D33" s="462" t="s">
        <v>86</v>
      </c>
      <c r="E33" s="136">
        <f>$E$22*H187</f>
        <v>0.2824691995426149</v>
      </c>
      <c r="F33" t="s">
        <v>941</v>
      </c>
      <c r="G33" s="172">
        <v>2</v>
      </c>
      <c r="H33" s="10">
        <v>1</v>
      </c>
      <c r="I33" s="66">
        <v>2</v>
      </c>
      <c r="J33" s="10">
        <v>1</v>
      </c>
      <c r="K33" s="10">
        <v>2</v>
      </c>
      <c r="L33" s="179">
        <f t="shared" si="1"/>
        <v>0.37356464144298934</v>
      </c>
      <c r="M33" s="60" t="s">
        <v>939</v>
      </c>
    </row>
    <row r="34" spans="1:13" s="2" customFormat="1">
      <c r="A34" s="143" t="s">
        <v>933</v>
      </c>
      <c r="B34" s="143" t="s">
        <v>180</v>
      </c>
      <c r="C34" s="220">
        <v>2018</v>
      </c>
      <c r="D34" s="9" t="s">
        <v>90</v>
      </c>
      <c r="E34" s="136">
        <f>$E$23*H183</f>
        <v>4.7724184822639018</v>
      </c>
      <c r="F34" t="s">
        <v>942</v>
      </c>
      <c r="G34" s="174">
        <v>2</v>
      </c>
      <c r="H34" s="66">
        <v>1</v>
      </c>
      <c r="I34" s="66">
        <v>2</v>
      </c>
      <c r="J34" s="66">
        <v>1</v>
      </c>
      <c r="K34" s="66">
        <v>2</v>
      </c>
      <c r="L34" s="179">
        <f t="shared" si="1"/>
        <v>0.37356464144298934</v>
      </c>
      <c r="M34" s="60" t="s">
        <v>940</v>
      </c>
    </row>
    <row r="35" spans="1:13" s="2" customFormat="1">
      <c r="A35" s="143" t="s">
        <v>933</v>
      </c>
      <c r="B35" s="143" t="s">
        <v>180</v>
      </c>
      <c r="C35" s="220">
        <v>2018</v>
      </c>
      <c r="D35" s="9" t="s">
        <v>88</v>
      </c>
      <c r="E35" s="136">
        <f>$E$23*H184</f>
        <v>0.22666059828249402</v>
      </c>
      <c r="F35" t="s">
        <v>942</v>
      </c>
      <c r="G35" s="172">
        <v>2</v>
      </c>
      <c r="H35" s="10">
        <v>1</v>
      </c>
      <c r="I35" s="66">
        <v>2</v>
      </c>
      <c r="J35" s="10">
        <v>1</v>
      </c>
      <c r="K35" s="10">
        <v>2</v>
      </c>
      <c r="L35" s="179">
        <f t="shared" si="1"/>
        <v>0.37356464144298934</v>
      </c>
      <c r="M35" s="60" t="s">
        <v>940</v>
      </c>
    </row>
    <row r="36" spans="1:13" s="2" customFormat="1">
      <c r="A36" s="143" t="s">
        <v>933</v>
      </c>
      <c r="B36" s="143" t="s">
        <v>180</v>
      </c>
      <c r="C36" s="220">
        <v>2018</v>
      </c>
      <c r="D36" s="9" t="s">
        <v>87</v>
      </c>
      <c r="E36" s="136">
        <f>$E$23*H185</f>
        <v>0.22666059828249402</v>
      </c>
      <c r="F36" t="s">
        <v>942</v>
      </c>
      <c r="G36" s="172">
        <v>2</v>
      </c>
      <c r="H36" s="10">
        <v>1</v>
      </c>
      <c r="I36" s="66">
        <v>2</v>
      </c>
      <c r="J36" s="10">
        <v>1</v>
      </c>
      <c r="K36" s="10">
        <v>2</v>
      </c>
      <c r="L36" s="179">
        <f t="shared" si="1"/>
        <v>0.37356464144298934</v>
      </c>
      <c r="M36" s="60" t="s">
        <v>940</v>
      </c>
    </row>
    <row r="37" spans="1:13" s="2" customFormat="1">
      <c r="A37" s="143" t="s">
        <v>933</v>
      </c>
      <c r="B37" s="143" t="s">
        <v>180</v>
      </c>
      <c r="C37" s="220">
        <v>2018</v>
      </c>
      <c r="D37" s="9" t="s">
        <v>85</v>
      </c>
      <c r="E37" s="136">
        <f>$E$23*H186</f>
        <v>40.723723573663108</v>
      </c>
      <c r="F37" t="s">
        <v>942</v>
      </c>
      <c r="G37" s="172">
        <v>2</v>
      </c>
      <c r="H37" s="10">
        <v>1</v>
      </c>
      <c r="I37" s="66">
        <v>2</v>
      </c>
      <c r="J37" s="10">
        <v>1</v>
      </c>
      <c r="K37" s="10">
        <v>2</v>
      </c>
      <c r="L37" s="179">
        <f t="shared" si="1"/>
        <v>0.37356464144298934</v>
      </c>
      <c r="M37" s="60" t="s">
        <v>940</v>
      </c>
    </row>
    <row r="38" spans="1:13" s="2" customFormat="1">
      <c r="A38" s="143" t="s">
        <v>933</v>
      </c>
      <c r="B38" s="143" t="s">
        <v>180</v>
      </c>
      <c r="C38" s="220">
        <v>2018</v>
      </c>
      <c r="D38" s="9" t="s">
        <v>86</v>
      </c>
      <c r="E38" s="136">
        <f>$E$23*H187</f>
        <v>0.57645599641895362</v>
      </c>
      <c r="F38" t="s">
        <v>942</v>
      </c>
      <c r="G38" s="172">
        <v>2</v>
      </c>
      <c r="H38" s="10">
        <v>1</v>
      </c>
      <c r="I38" s="66">
        <v>2</v>
      </c>
      <c r="J38" s="10">
        <v>1</v>
      </c>
      <c r="K38" s="10">
        <v>2</v>
      </c>
      <c r="L38" s="179">
        <f t="shared" si="1"/>
        <v>0.37356464144298934</v>
      </c>
      <c r="M38" s="60" t="s">
        <v>940</v>
      </c>
    </row>
    <row r="39" spans="1:13" s="2" customFormat="1">
      <c r="A39" s="143" t="s">
        <v>933</v>
      </c>
      <c r="B39" s="143" t="s">
        <v>180</v>
      </c>
      <c r="C39" s="220">
        <v>2019</v>
      </c>
      <c r="D39" s="462" t="s">
        <v>90</v>
      </c>
      <c r="E39" s="136">
        <f>$E$24*H183</f>
        <v>2.3478039356341438</v>
      </c>
      <c r="F39" t="s">
        <v>941</v>
      </c>
      <c r="G39" s="174">
        <v>2</v>
      </c>
      <c r="H39" s="66">
        <v>1</v>
      </c>
      <c r="I39" s="66">
        <v>2</v>
      </c>
      <c r="J39" s="66">
        <v>1</v>
      </c>
      <c r="K39" s="66">
        <v>2</v>
      </c>
      <c r="L39" s="179">
        <f t="shared" si="1"/>
        <v>0.37356464144298934</v>
      </c>
      <c r="M39" s="60" t="s">
        <v>939</v>
      </c>
    </row>
    <row r="40" spans="1:13" s="2" customFormat="1">
      <c r="A40" s="143" t="s">
        <v>933</v>
      </c>
      <c r="B40" s="143" t="s">
        <v>180</v>
      </c>
      <c r="C40" s="220">
        <v>2019</v>
      </c>
      <c r="D40" s="462" t="s">
        <v>88</v>
      </c>
      <c r="E40" s="136">
        <f>$E$24*H184</f>
        <v>0.11150628275339129</v>
      </c>
      <c r="F40" t="s">
        <v>941</v>
      </c>
      <c r="G40" s="172">
        <v>2</v>
      </c>
      <c r="H40" s="10">
        <v>1</v>
      </c>
      <c r="I40" s="66">
        <v>2</v>
      </c>
      <c r="J40" s="10">
        <v>1</v>
      </c>
      <c r="K40" s="10">
        <v>2</v>
      </c>
      <c r="L40" s="179">
        <f t="shared" si="1"/>
        <v>0.37356464144298934</v>
      </c>
      <c r="M40" s="60" t="s">
        <v>939</v>
      </c>
    </row>
    <row r="41" spans="1:13" s="2" customFormat="1">
      <c r="A41" s="143" t="s">
        <v>933</v>
      </c>
      <c r="B41" s="143" t="s">
        <v>180</v>
      </c>
      <c r="C41" s="220">
        <v>2019</v>
      </c>
      <c r="D41" s="462" t="s">
        <v>87</v>
      </c>
      <c r="E41" s="136">
        <f>$E$24*H185</f>
        <v>0.11150628275339129</v>
      </c>
      <c r="F41" t="s">
        <v>941</v>
      </c>
      <c r="G41" s="172">
        <v>2</v>
      </c>
      <c r="H41" s="10">
        <v>1</v>
      </c>
      <c r="I41" s="66">
        <v>2</v>
      </c>
      <c r="J41" s="10">
        <v>1</v>
      </c>
      <c r="K41" s="10">
        <v>2</v>
      </c>
      <c r="L41" s="179">
        <f t="shared" si="1"/>
        <v>0.37356464144298934</v>
      </c>
      <c r="M41" s="60" t="s">
        <v>939</v>
      </c>
    </row>
    <row r="42" spans="1:13" s="2" customFormat="1">
      <c r="A42" s="143" t="s">
        <v>933</v>
      </c>
      <c r="B42" s="143" t="s">
        <v>180</v>
      </c>
      <c r="C42" s="220">
        <v>2019</v>
      </c>
      <c r="D42" s="462" t="s">
        <v>85</v>
      </c>
      <c r="E42" s="136">
        <f>$E$24*H186</f>
        <v>20.034143869664984</v>
      </c>
      <c r="F42" t="s">
        <v>941</v>
      </c>
      <c r="G42" s="172">
        <v>2</v>
      </c>
      <c r="H42" s="10">
        <v>1</v>
      </c>
      <c r="I42" s="66">
        <v>2</v>
      </c>
      <c r="J42" s="10">
        <v>1</v>
      </c>
      <c r="K42" s="10">
        <v>2</v>
      </c>
      <c r="L42" s="179">
        <f t="shared" si="1"/>
        <v>0.37356464144298934</v>
      </c>
      <c r="M42" s="60" t="s">
        <v>939</v>
      </c>
    </row>
    <row r="43" spans="1:13" s="2" customFormat="1">
      <c r="A43" s="143" t="s">
        <v>933</v>
      </c>
      <c r="B43" s="143" t="s">
        <v>180</v>
      </c>
      <c r="C43" s="220">
        <v>2019</v>
      </c>
      <c r="D43" s="462" t="s">
        <v>86</v>
      </c>
      <c r="E43" s="136">
        <f>$E$24*H187</f>
        <v>0.28358905702466886</v>
      </c>
      <c r="F43" t="s">
        <v>941</v>
      </c>
      <c r="G43" s="172">
        <v>2</v>
      </c>
      <c r="H43" s="10">
        <v>1</v>
      </c>
      <c r="I43" s="66">
        <v>2</v>
      </c>
      <c r="J43" s="10">
        <v>1</v>
      </c>
      <c r="K43" s="10">
        <v>2</v>
      </c>
      <c r="L43" s="179">
        <f t="shared" si="1"/>
        <v>0.37356464144298934</v>
      </c>
      <c r="M43" s="60" t="s">
        <v>939</v>
      </c>
    </row>
    <row r="44" spans="1:13" s="2" customFormat="1">
      <c r="A44" s="143" t="s">
        <v>933</v>
      </c>
      <c r="B44" s="143" t="s">
        <v>180</v>
      </c>
      <c r="C44" s="220">
        <v>2019</v>
      </c>
      <c r="D44" s="9" t="s">
        <v>90</v>
      </c>
      <c r="E44" s="136">
        <f>$E$25*H183</f>
        <v>4.7909395374181711</v>
      </c>
      <c r="F44" t="s">
        <v>942</v>
      </c>
      <c r="G44" s="174">
        <v>2</v>
      </c>
      <c r="H44" s="66">
        <v>1</v>
      </c>
      <c r="I44" s="66">
        <v>2</v>
      </c>
      <c r="J44" s="66">
        <v>1</v>
      </c>
      <c r="K44" s="66">
        <v>2</v>
      </c>
      <c r="L44" s="179">
        <f t="shared" si="1"/>
        <v>0.37356464144298934</v>
      </c>
      <c r="M44" s="60" t="s">
        <v>940</v>
      </c>
    </row>
    <row r="45" spans="1:13" s="2" customFormat="1">
      <c r="A45" s="143" t="s">
        <v>933</v>
      </c>
      <c r="B45" s="143" t="s">
        <v>180</v>
      </c>
      <c r="C45" s="220">
        <v>2019</v>
      </c>
      <c r="D45" s="9" t="s">
        <v>88</v>
      </c>
      <c r="E45" s="136">
        <f>$E$25*H184</f>
        <v>0.22754023477239763</v>
      </c>
      <c r="F45" t="s">
        <v>942</v>
      </c>
      <c r="G45" s="172">
        <v>2</v>
      </c>
      <c r="H45" s="10">
        <v>1</v>
      </c>
      <c r="I45" s="66">
        <v>2</v>
      </c>
      <c r="J45" s="10">
        <v>1</v>
      </c>
      <c r="K45" s="10">
        <v>2</v>
      </c>
      <c r="L45" s="179">
        <f t="shared" si="1"/>
        <v>0.37356464144298934</v>
      </c>
      <c r="M45" s="60" t="s">
        <v>940</v>
      </c>
    </row>
    <row r="46" spans="1:13" s="2" customFormat="1">
      <c r="A46" s="143" t="s">
        <v>933</v>
      </c>
      <c r="B46" s="143" t="s">
        <v>180</v>
      </c>
      <c r="C46" s="220">
        <v>2019</v>
      </c>
      <c r="D46" s="9" t="s">
        <v>87</v>
      </c>
      <c r="E46" s="136">
        <f>$E$25*H185</f>
        <v>0.22754023477239763</v>
      </c>
      <c r="F46" t="s">
        <v>942</v>
      </c>
      <c r="G46" s="172">
        <v>2</v>
      </c>
      <c r="H46" s="10">
        <v>1</v>
      </c>
      <c r="I46" s="66">
        <v>2</v>
      </c>
      <c r="J46" s="10">
        <v>1</v>
      </c>
      <c r="K46" s="10">
        <v>2</v>
      </c>
      <c r="L46" s="179">
        <f t="shared" si="1"/>
        <v>0.37356464144298934</v>
      </c>
      <c r="M46" s="60" t="s">
        <v>940</v>
      </c>
    </row>
    <row r="47" spans="1:13" s="2" customFormat="1">
      <c r="A47" s="143" t="s">
        <v>933</v>
      </c>
      <c r="B47" s="143" t="s">
        <v>180</v>
      </c>
      <c r="C47" s="220">
        <v>2019</v>
      </c>
      <c r="D47" s="9" t="s">
        <v>85</v>
      </c>
      <c r="E47" s="136">
        <f>$E$25*H186</f>
        <v>40.881766363330044</v>
      </c>
      <c r="F47" t="s">
        <v>942</v>
      </c>
      <c r="G47" s="172">
        <v>2</v>
      </c>
      <c r="H47" s="10">
        <v>1</v>
      </c>
      <c r="I47" s="66">
        <v>2</v>
      </c>
      <c r="J47" s="10">
        <v>1</v>
      </c>
      <c r="K47" s="10">
        <v>2</v>
      </c>
      <c r="L47" s="179">
        <f t="shared" si="1"/>
        <v>0.37356464144298934</v>
      </c>
      <c r="M47" s="60" t="s">
        <v>940</v>
      </c>
    </row>
    <row r="48" spans="1:13" s="2" customFormat="1">
      <c r="A48" s="143" t="s">
        <v>933</v>
      </c>
      <c r="B48" s="143" t="s">
        <v>180</v>
      </c>
      <c r="C48" s="220">
        <v>2019</v>
      </c>
      <c r="D48" s="9" t="s">
        <v>86</v>
      </c>
      <c r="E48" s="136">
        <f>$E$25*H187</f>
        <v>0.57869313747088835</v>
      </c>
      <c r="F48" t="s">
        <v>942</v>
      </c>
      <c r="G48" s="172">
        <v>2</v>
      </c>
      <c r="H48" s="10">
        <v>1</v>
      </c>
      <c r="I48" s="66">
        <v>2</v>
      </c>
      <c r="J48" s="10">
        <v>1</v>
      </c>
      <c r="K48" s="10">
        <v>2</v>
      </c>
      <c r="L48" s="179">
        <f t="shared" si="1"/>
        <v>0.37356464144298934</v>
      </c>
      <c r="M48" s="60" t="s">
        <v>940</v>
      </c>
    </row>
    <row r="49" spans="1:35" s="2" customFormat="1"/>
    <row r="50" spans="1:35" s="467" customFormat="1" ht="26.4" thickBot="1">
      <c r="A50" s="466" t="s">
        <v>15</v>
      </c>
    </row>
    <row r="51" spans="1:35" s="2" customFormat="1">
      <c r="A51" s="65" t="s">
        <v>129</v>
      </c>
      <c r="B51" s="107" t="s">
        <v>130</v>
      </c>
      <c r="C51" s="108" t="s">
        <v>131</v>
      </c>
      <c r="D51" s="109" t="s">
        <v>102</v>
      </c>
      <c r="E51" s="226" t="s">
        <v>132</v>
      </c>
      <c r="F51" s="109" t="s">
        <v>133</v>
      </c>
      <c r="G51" s="108" t="s">
        <v>104</v>
      </c>
      <c r="H51" s="111" t="s">
        <v>134</v>
      </c>
      <c r="I51" s="112" t="s">
        <v>135</v>
      </c>
      <c r="J51" s="112" t="s">
        <v>65</v>
      </c>
      <c r="K51" s="112" t="s">
        <v>67</v>
      </c>
      <c r="L51" s="112" t="s">
        <v>73</v>
      </c>
      <c r="M51" s="113" t="s">
        <v>79</v>
      </c>
      <c r="N51" s="452" t="s">
        <v>136</v>
      </c>
      <c r="O51" s="442" t="s">
        <v>137</v>
      </c>
      <c r="P51" s="445" t="s">
        <v>123</v>
      </c>
    </row>
    <row r="52" spans="1:35" s="2" customFormat="1">
      <c r="A52" s="60" t="s">
        <v>933</v>
      </c>
      <c r="B52" s="161" t="s">
        <v>943</v>
      </c>
      <c r="C52" s="60" t="s">
        <v>180</v>
      </c>
      <c r="D52" s="161" t="s">
        <v>90</v>
      </c>
      <c r="E52" s="488">
        <f>E183*$E$249</f>
        <v>0.40710942904980374</v>
      </c>
      <c r="F52" s="415">
        <v>2</v>
      </c>
      <c r="G52" s="60" t="s">
        <v>944</v>
      </c>
      <c r="H52" s="251">
        <v>1</v>
      </c>
      <c r="I52" s="66"/>
      <c r="J52" s="66">
        <v>2</v>
      </c>
      <c r="K52" s="66">
        <v>1</v>
      </c>
      <c r="L52" s="66">
        <v>1</v>
      </c>
      <c r="M52" s="292">
        <v>2</v>
      </c>
      <c r="N52" s="295">
        <f t="shared" ref="N52:N81" si="2">IF( OR( ISBLANK(H52),ISBLANK(J52), ISBLANK(K52), ISBLANK(L52), ISBLANK(M52) ), "", 1.5*SQRT(   EXP(2.21*(H52-1)) + EXP(2.21*(J52-1)) + EXP(2.21*(K52-1)) + EXP(2.21*(L52-1)) + EXP(2.21*M52)   )/100*2.45 )</f>
        <v>0.35859414261160716</v>
      </c>
      <c r="O52" s="443" t="str">
        <f t="shared" ref="O52:O81" si="3">IF( OR( ISBLANK(I52),ISBLANK(J52), ISBLANK(K52), ISBLANK(L52), ISBLANK(M52) ), "", 1.5*SQRT( EXP(2.21*(I52-1)) + EXP(2.21*(J52-1)) + EXP(2.21*(K52-1)) + EXP(2.21*(L52-1)) + EXP(2.21*M52)   )/100*2.45 )</f>
        <v/>
      </c>
      <c r="P52" s="68"/>
    </row>
    <row r="53" spans="1:35" s="2" customFormat="1">
      <c r="A53" s="34" t="s">
        <v>933</v>
      </c>
      <c r="B53" s="161" t="s">
        <v>943</v>
      </c>
      <c r="C53" s="34" t="s">
        <v>180</v>
      </c>
      <c r="D53" s="40" t="s">
        <v>88</v>
      </c>
      <c r="E53" s="488">
        <f t="shared" ref="E53:E56" si="4">E184*$E$249</f>
        <v>0</v>
      </c>
      <c r="F53" s="415">
        <v>2</v>
      </c>
      <c r="G53" s="34" t="s">
        <v>944</v>
      </c>
      <c r="H53" s="249">
        <v>1</v>
      </c>
      <c r="I53" s="10"/>
      <c r="J53" s="66">
        <v>2</v>
      </c>
      <c r="K53" s="66">
        <v>1</v>
      </c>
      <c r="L53" s="66">
        <v>1</v>
      </c>
      <c r="M53" s="292">
        <v>2</v>
      </c>
      <c r="N53" s="295">
        <f t="shared" si="2"/>
        <v>0.35859414261160716</v>
      </c>
      <c r="O53" s="443" t="str">
        <f t="shared" si="3"/>
        <v/>
      </c>
      <c r="P53" s="68"/>
    </row>
    <row r="54" spans="1:35" s="2" customFormat="1">
      <c r="A54" s="34" t="s">
        <v>933</v>
      </c>
      <c r="B54" s="161" t="s">
        <v>943</v>
      </c>
      <c r="C54" s="34" t="s">
        <v>180</v>
      </c>
      <c r="D54" s="40" t="s">
        <v>87</v>
      </c>
      <c r="E54" s="488">
        <f t="shared" si="4"/>
        <v>0</v>
      </c>
      <c r="F54" s="415">
        <v>2</v>
      </c>
      <c r="G54" s="34" t="s">
        <v>944</v>
      </c>
      <c r="H54" s="249">
        <v>1</v>
      </c>
      <c r="I54" s="10"/>
      <c r="J54" s="66">
        <v>2</v>
      </c>
      <c r="K54" s="66">
        <v>1</v>
      </c>
      <c r="L54" s="66">
        <v>1</v>
      </c>
      <c r="M54" s="292">
        <v>2</v>
      </c>
      <c r="N54" s="295">
        <f t="shared" si="2"/>
        <v>0.35859414261160716</v>
      </c>
      <c r="O54" s="443" t="str">
        <f t="shared" si="3"/>
        <v/>
      </c>
      <c r="P54" s="68"/>
    </row>
    <row r="55" spans="1:35" s="2" customFormat="1">
      <c r="A55" s="34" t="s">
        <v>933</v>
      </c>
      <c r="B55" s="161" t="s">
        <v>943</v>
      </c>
      <c r="C55" s="34" t="s">
        <v>180</v>
      </c>
      <c r="D55" s="40" t="s">
        <v>85</v>
      </c>
      <c r="E55" s="488">
        <f t="shared" si="4"/>
        <v>0.14312762142097193</v>
      </c>
      <c r="F55" s="415">
        <v>2</v>
      </c>
      <c r="G55" s="34" t="s">
        <v>944</v>
      </c>
      <c r="H55" s="249">
        <v>1</v>
      </c>
      <c r="I55" s="10"/>
      <c r="J55" s="10">
        <v>2</v>
      </c>
      <c r="K55" s="10">
        <v>1</v>
      </c>
      <c r="L55" s="10">
        <v>1</v>
      </c>
      <c r="M55" s="290">
        <v>2</v>
      </c>
      <c r="N55" s="295">
        <f t="shared" si="2"/>
        <v>0.35859414261160716</v>
      </c>
      <c r="O55" s="443" t="str">
        <f t="shared" si="3"/>
        <v/>
      </c>
      <c r="P55" s="68"/>
    </row>
    <row r="56" spans="1:35" s="2" customFormat="1">
      <c r="A56" s="34" t="s">
        <v>933</v>
      </c>
      <c r="B56" s="161" t="s">
        <v>943</v>
      </c>
      <c r="C56" s="34" t="s">
        <v>180</v>
      </c>
      <c r="D56" s="40" t="s">
        <v>86</v>
      </c>
      <c r="E56" s="488">
        <f t="shared" si="4"/>
        <v>0.56173601441995114</v>
      </c>
      <c r="F56" s="415">
        <v>2</v>
      </c>
      <c r="G56" s="34" t="s">
        <v>944</v>
      </c>
      <c r="H56" s="249">
        <v>1</v>
      </c>
      <c r="I56" s="10"/>
      <c r="J56" s="10">
        <v>2</v>
      </c>
      <c r="K56" s="10">
        <v>1</v>
      </c>
      <c r="L56" s="10">
        <v>1</v>
      </c>
      <c r="M56" s="290">
        <v>2</v>
      </c>
      <c r="N56" s="295">
        <f t="shared" si="2"/>
        <v>0.35859414261160716</v>
      </c>
      <c r="O56" s="443" t="str">
        <f t="shared" si="3"/>
        <v/>
      </c>
      <c r="P56" s="68"/>
    </row>
    <row r="57" spans="1:35" s="2" customFormat="1">
      <c r="A57" s="34" t="s">
        <v>933</v>
      </c>
      <c r="B57" s="161" t="s">
        <v>943</v>
      </c>
      <c r="C57" s="34" t="s">
        <v>182</v>
      </c>
      <c r="D57" s="40" t="s">
        <v>90</v>
      </c>
      <c r="E57" s="488">
        <f>E165*$E$249</f>
        <v>0.16733929871138836</v>
      </c>
      <c r="F57" s="415">
        <v>2</v>
      </c>
      <c r="G57" s="34" t="s">
        <v>945</v>
      </c>
      <c r="H57" s="249"/>
      <c r="I57" s="10">
        <v>1</v>
      </c>
      <c r="J57" s="66">
        <v>2</v>
      </c>
      <c r="K57" s="10">
        <v>1</v>
      </c>
      <c r="L57" s="10">
        <v>1</v>
      </c>
      <c r="M57" s="290">
        <v>2</v>
      </c>
      <c r="N57" s="295" t="str">
        <f>IF( OR( ISBLANK(H57),ISBLANK(J57), ISBLANK(K57), ISBLANK(L57), ISBLANK(M57) ), "", 1.5*SQRT(   EXP(2.21*(H57-1)) + EXP(2.21*(J57-1)) + EXP(2.21*(K57-1)) + EXP(2.21*(L57-1)) + EXP(2.21*M57)   )/100*2.45 )</f>
        <v/>
      </c>
      <c r="O57" s="443">
        <f>IF( OR( ISBLANK(I57),ISBLANK(J57), ISBLANK(K57), ISBLANK(L57), ISBLANK(M57) ), "", 1.5*SQRT( EXP(2.21*(I57-1)) + EXP(2.21*(J57-1)) + EXP(2.21*(K57-1)) + EXP(2.21*(L57-1)) + EXP(2.21*M57)   )/100*2.45 )</f>
        <v>0.35859414261160716</v>
      </c>
      <c r="P57" s="68"/>
    </row>
    <row r="58" spans="1:35" s="2" customFormat="1">
      <c r="A58" s="34" t="s">
        <v>933</v>
      </c>
      <c r="B58" s="161" t="s">
        <v>943</v>
      </c>
      <c r="C58" s="34" t="s">
        <v>182</v>
      </c>
      <c r="D58" s="40" t="s">
        <v>88</v>
      </c>
      <c r="E58" s="488">
        <f>E166*$E$249</f>
        <v>0</v>
      </c>
      <c r="F58" s="415">
        <v>2</v>
      </c>
      <c r="G58" s="34" t="s">
        <v>945</v>
      </c>
      <c r="H58" s="249"/>
      <c r="I58" s="10">
        <v>1</v>
      </c>
      <c r="J58" s="66">
        <v>2</v>
      </c>
      <c r="K58" s="10">
        <v>1</v>
      </c>
      <c r="L58" s="10">
        <v>1</v>
      </c>
      <c r="M58" s="290">
        <v>2</v>
      </c>
      <c r="N58" s="295" t="str">
        <f>IF( OR( ISBLANK(H58),ISBLANK(J58), ISBLANK(K58), ISBLANK(L58), ISBLANK(M58) ), "", 1.5*SQRT(   EXP(2.21*(H58-1)) + EXP(2.21*(J58-1)) + EXP(2.21*(K58-1)) + EXP(2.21*(L58-1)) + EXP(2.21*M58)   )/100*2.45 )</f>
        <v/>
      </c>
      <c r="O58" s="443">
        <f>IF( OR( ISBLANK(I58),ISBLANK(J58), ISBLANK(K58), ISBLANK(L58), ISBLANK(M58) ), "", 1.5*SQRT( EXP(2.21*(I58-1)) + EXP(2.21*(J58-1)) + EXP(2.21*(K58-1)) + EXP(2.21*(L58-1)) + EXP(2.21*M58)   )/100*2.45 )</f>
        <v>0.35859414261160716</v>
      </c>
      <c r="P58" s="68"/>
    </row>
    <row r="59" spans="1:35">
      <c r="A59" s="34" t="s">
        <v>933</v>
      </c>
      <c r="B59" s="161" t="s">
        <v>943</v>
      </c>
      <c r="C59" s="34" t="s">
        <v>182</v>
      </c>
      <c r="D59" s="40" t="s">
        <v>87</v>
      </c>
      <c r="E59" s="488">
        <f>E167*$E$249</f>
        <v>0</v>
      </c>
      <c r="F59" s="415">
        <v>2</v>
      </c>
      <c r="G59" s="34" t="s">
        <v>945</v>
      </c>
      <c r="H59" s="249"/>
      <c r="I59" s="10">
        <v>1</v>
      </c>
      <c r="J59" s="66">
        <v>2</v>
      </c>
      <c r="K59" s="10">
        <v>1</v>
      </c>
      <c r="L59" s="10">
        <v>1</v>
      </c>
      <c r="M59" s="290">
        <v>2</v>
      </c>
      <c r="N59" s="295" t="str">
        <f>IF( OR( ISBLANK(H59),ISBLANK(J59), ISBLANK(K59), ISBLANK(L59), ISBLANK(M59) ), "", 1.5*SQRT(   EXP(2.21*(H59-1)) + EXP(2.21*(J59-1)) + EXP(2.21*(K59-1)) + EXP(2.21*(L59-1)) + EXP(2.21*M59)   )/100*2.45 )</f>
        <v/>
      </c>
      <c r="O59" s="443">
        <f>IF( OR( ISBLANK(I59),ISBLANK(J59), ISBLANK(K59), ISBLANK(L59), ISBLANK(M59) ), "", 1.5*SQRT( EXP(2.21*(I59-1)) + EXP(2.21*(J59-1)) + EXP(2.21*(K59-1)) + EXP(2.21*(L59-1)) + EXP(2.21*M59)   )/100*2.45 )</f>
        <v>0.35859414261160716</v>
      </c>
      <c r="P59" s="68"/>
    </row>
    <row r="60" spans="1:35" s="221" customFormat="1">
      <c r="A60" s="34" t="s">
        <v>933</v>
      </c>
      <c r="B60" s="161" t="s">
        <v>943</v>
      </c>
      <c r="C60" s="34" t="s">
        <v>182</v>
      </c>
      <c r="D60" s="40" t="s">
        <v>85</v>
      </c>
      <c r="E60" s="488">
        <f>E168*$E$249</f>
        <v>4.5444861462717513E-2</v>
      </c>
      <c r="F60" s="415">
        <v>2</v>
      </c>
      <c r="G60" s="34" t="s">
        <v>945</v>
      </c>
      <c r="H60" s="249"/>
      <c r="I60" s="10">
        <v>1</v>
      </c>
      <c r="J60" s="10">
        <v>2</v>
      </c>
      <c r="K60" s="10">
        <v>1</v>
      </c>
      <c r="L60" s="10">
        <v>1</v>
      </c>
      <c r="M60" s="290">
        <v>2</v>
      </c>
      <c r="N60" s="295" t="str">
        <f>IF( OR( ISBLANK(H60),ISBLANK(J60), ISBLANK(K60), ISBLANK(L60), ISBLANK(M60) ), "", 1.5*SQRT(   EXP(2.21*(H60-1)) + EXP(2.21*(J60-1)) + EXP(2.21*(K60-1)) + EXP(2.21*(L60-1)) + EXP(2.21*M60)   )/100*2.45 )</f>
        <v/>
      </c>
      <c r="O60" s="443">
        <f>IF( OR( ISBLANK(I60),ISBLANK(J60), ISBLANK(K60), ISBLANK(L60), ISBLANK(M60) ), "", 1.5*SQRT( EXP(2.21*(I60-1)) + EXP(2.21*(J60-1)) + EXP(2.21*(K60-1)) + EXP(2.21*(L60-1)) + EXP(2.21*M60)   )/100*2.45 )</f>
        <v>0.35859414261160716</v>
      </c>
      <c r="P60" s="68"/>
      <c r="Q60"/>
      <c r="R60"/>
      <c r="S60"/>
      <c r="T60"/>
      <c r="U60"/>
      <c r="V60"/>
      <c r="W60"/>
      <c r="X60"/>
      <c r="Y60"/>
      <c r="Z60"/>
      <c r="AA60"/>
      <c r="AB60"/>
      <c r="AC60"/>
      <c r="AD60"/>
      <c r="AE60"/>
      <c r="AF60"/>
      <c r="AG60"/>
      <c r="AH60"/>
      <c r="AI60"/>
    </row>
    <row r="61" spans="1:35">
      <c r="A61" s="34" t="s">
        <v>933</v>
      </c>
      <c r="B61" s="161" t="s">
        <v>943</v>
      </c>
      <c r="C61" s="34" t="s">
        <v>182</v>
      </c>
      <c r="D61" s="40" t="s">
        <v>86</v>
      </c>
      <c r="E61" s="488">
        <f>E169*$E$249</f>
        <v>0.27835662942036199</v>
      </c>
      <c r="F61" s="415">
        <v>2</v>
      </c>
      <c r="G61" s="34" t="s">
        <v>945</v>
      </c>
      <c r="H61" s="249"/>
      <c r="I61" s="10">
        <v>1</v>
      </c>
      <c r="J61" s="10">
        <v>2</v>
      </c>
      <c r="K61" s="10">
        <v>1</v>
      </c>
      <c r="L61" s="10">
        <v>1</v>
      </c>
      <c r="M61" s="290">
        <v>2</v>
      </c>
      <c r="N61" s="295" t="str">
        <f>IF( OR( ISBLANK(H61),ISBLANK(J61), ISBLANK(K61), ISBLANK(L61), ISBLANK(M61) ), "", 1.5*SQRT(   EXP(2.21*(H61-1)) + EXP(2.21*(J61-1)) + EXP(2.21*(K61-1)) + EXP(2.21*(L61-1)) + EXP(2.21*M61)   )/100*2.45 )</f>
        <v/>
      </c>
      <c r="O61" s="443">
        <f>IF( OR( ISBLANK(I61),ISBLANK(J61), ISBLANK(K61), ISBLANK(L61), ISBLANK(M61) ), "", 1.5*SQRT( EXP(2.21*(I61-1)) + EXP(2.21*(J61-1)) + EXP(2.21*(K61-1)) + EXP(2.21*(L61-1)) + EXP(2.21*M61)   )/100*2.45 )</f>
        <v>0.35859414261160716</v>
      </c>
      <c r="P61" s="68"/>
    </row>
    <row r="62" spans="1:35">
      <c r="A62" s="60" t="s">
        <v>933</v>
      </c>
      <c r="B62" s="161" t="s">
        <v>946</v>
      </c>
      <c r="C62" s="60" t="s">
        <v>180</v>
      </c>
      <c r="D62" s="161" t="s">
        <v>90</v>
      </c>
      <c r="E62" s="488">
        <f>F183</f>
        <v>0.2192024530360637</v>
      </c>
      <c r="F62" s="415">
        <v>2</v>
      </c>
      <c r="G62" s="60" t="s">
        <v>944</v>
      </c>
      <c r="H62" s="251">
        <v>1</v>
      </c>
      <c r="I62" s="66"/>
      <c r="J62" s="66">
        <v>2</v>
      </c>
      <c r="K62" s="66">
        <v>1</v>
      </c>
      <c r="L62" s="66">
        <v>1</v>
      </c>
      <c r="M62" s="292">
        <v>2</v>
      </c>
      <c r="N62" s="295">
        <f t="shared" si="2"/>
        <v>0.35859414261160716</v>
      </c>
      <c r="O62" s="443" t="str">
        <f t="shared" si="3"/>
        <v/>
      </c>
      <c r="P62" s="68"/>
    </row>
    <row r="63" spans="1:35">
      <c r="A63" s="34" t="s">
        <v>933</v>
      </c>
      <c r="B63" s="40" t="s">
        <v>946</v>
      </c>
      <c r="C63" s="34" t="s">
        <v>180</v>
      </c>
      <c r="D63" s="40" t="s">
        <v>88</v>
      </c>
      <c r="E63" s="488">
        <f>F184</f>
        <v>1</v>
      </c>
      <c r="F63" s="415">
        <v>2</v>
      </c>
      <c r="G63" s="34" t="s">
        <v>944</v>
      </c>
      <c r="H63" s="249">
        <v>1</v>
      </c>
      <c r="I63" s="10"/>
      <c r="J63" s="66">
        <v>2</v>
      </c>
      <c r="K63" s="66">
        <v>1</v>
      </c>
      <c r="L63" s="66">
        <v>1</v>
      </c>
      <c r="M63" s="292">
        <v>2</v>
      </c>
      <c r="N63" s="295">
        <f t="shared" si="2"/>
        <v>0.35859414261160716</v>
      </c>
      <c r="O63" s="443" t="str">
        <f t="shared" si="3"/>
        <v/>
      </c>
      <c r="P63" s="68"/>
    </row>
    <row r="64" spans="1:35">
      <c r="A64" s="34" t="s">
        <v>933</v>
      </c>
      <c r="B64" s="40" t="s">
        <v>946</v>
      </c>
      <c r="C64" s="34" t="s">
        <v>180</v>
      </c>
      <c r="D64" s="40" t="s">
        <v>87</v>
      </c>
      <c r="E64" s="488">
        <f>F185</f>
        <v>1</v>
      </c>
      <c r="F64" s="415">
        <v>2</v>
      </c>
      <c r="G64" s="34" t="s">
        <v>944</v>
      </c>
      <c r="H64" s="249">
        <v>1</v>
      </c>
      <c r="I64" s="10"/>
      <c r="J64" s="66">
        <v>2</v>
      </c>
      <c r="K64" s="66">
        <v>1</v>
      </c>
      <c r="L64" s="66">
        <v>1</v>
      </c>
      <c r="M64" s="292">
        <v>2</v>
      </c>
      <c r="N64" s="295">
        <f t="shared" si="2"/>
        <v>0.35859414261160716</v>
      </c>
      <c r="O64" s="443" t="str">
        <f t="shared" si="3"/>
        <v/>
      </c>
      <c r="P64" s="68"/>
    </row>
    <row r="65" spans="1:16">
      <c r="A65" s="34" t="s">
        <v>933</v>
      </c>
      <c r="B65" s="40" t="s">
        <v>946</v>
      </c>
      <c r="C65" s="34" t="s">
        <v>180</v>
      </c>
      <c r="D65" s="40" t="s">
        <v>85</v>
      </c>
      <c r="E65" s="488">
        <f>F186</f>
        <v>8.6056019698713113E-2</v>
      </c>
      <c r="F65" s="415">
        <v>2</v>
      </c>
      <c r="G65" s="34" t="s">
        <v>944</v>
      </c>
      <c r="H65" s="249">
        <v>1</v>
      </c>
      <c r="I65" s="10"/>
      <c r="J65" s="10">
        <v>2</v>
      </c>
      <c r="K65" s="10">
        <v>1</v>
      </c>
      <c r="L65" s="10">
        <v>1</v>
      </c>
      <c r="M65" s="290">
        <v>2</v>
      </c>
      <c r="N65" s="295">
        <f t="shared" si="2"/>
        <v>0.35859414261160716</v>
      </c>
      <c r="O65" s="443" t="str">
        <f t="shared" si="3"/>
        <v/>
      </c>
      <c r="P65" s="68"/>
    </row>
    <row r="66" spans="1:16">
      <c r="A66" s="34" t="s">
        <v>933</v>
      </c>
      <c r="B66" s="40" t="s">
        <v>946</v>
      </c>
      <c r="C66" s="34" t="s">
        <v>180</v>
      </c>
      <c r="D66" s="40" t="s">
        <v>86</v>
      </c>
      <c r="E66" s="488">
        <f>F187</f>
        <v>0.39319670484919866</v>
      </c>
      <c r="F66" s="415">
        <v>2</v>
      </c>
      <c r="G66" s="34" t="s">
        <v>944</v>
      </c>
      <c r="H66" s="249">
        <v>1</v>
      </c>
      <c r="I66" s="10"/>
      <c r="J66" s="10">
        <v>2</v>
      </c>
      <c r="K66" s="10">
        <v>1</v>
      </c>
      <c r="L66" s="10">
        <v>1</v>
      </c>
      <c r="M66" s="290">
        <v>2</v>
      </c>
      <c r="N66" s="295">
        <f t="shared" si="2"/>
        <v>0.35859414261160716</v>
      </c>
      <c r="O66" s="443" t="str">
        <f t="shared" si="3"/>
        <v/>
      </c>
      <c r="P66" s="68"/>
    </row>
    <row r="67" spans="1:16">
      <c r="A67" s="34" t="s">
        <v>933</v>
      </c>
      <c r="B67" s="40" t="s">
        <v>946</v>
      </c>
      <c r="C67" s="34" t="s">
        <v>182</v>
      </c>
      <c r="D67" s="40" t="s">
        <v>90</v>
      </c>
      <c r="E67" s="216">
        <f>F165</f>
        <v>0.32338771379945241</v>
      </c>
      <c r="F67" s="415">
        <v>2</v>
      </c>
      <c r="G67" s="34" t="s">
        <v>945</v>
      </c>
      <c r="H67" s="249"/>
      <c r="I67" s="10">
        <v>1</v>
      </c>
      <c r="J67" s="66">
        <v>2</v>
      </c>
      <c r="K67" s="10">
        <v>1</v>
      </c>
      <c r="L67" s="10">
        <v>1</v>
      </c>
      <c r="M67" s="290">
        <v>2</v>
      </c>
      <c r="N67" s="295" t="str">
        <f t="shared" si="2"/>
        <v/>
      </c>
      <c r="O67" s="443">
        <f t="shared" si="3"/>
        <v>0.35859414261160716</v>
      </c>
      <c r="P67" s="68"/>
    </row>
    <row r="68" spans="1:16">
      <c r="A68" s="34" t="s">
        <v>933</v>
      </c>
      <c r="B68" s="40" t="s">
        <v>946</v>
      </c>
      <c r="C68" s="34" t="s">
        <v>182</v>
      </c>
      <c r="D68" s="40" t="s">
        <v>88</v>
      </c>
      <c r="E68" s="216">
        <f t="shared" ref="E68:E71" si="5">F166</f>
        <v>1</v>
      </c>
      <c r="F68" s="415">
        <v>2</v>
      </c>
      <c r="G68" s="34" t="s">
        <v>945</v>
      </c>
      <c r="H68" s="249"/>
      <c r="I68" s="10">
        <v>1</v>
      </c>
      <c r="J68" s="66">
        <v>2</v>
      </c>
      <c r="K68" s="10">
        <v>1</v>
      </c>
      <c r="L68" s="10">
        <v>1</v>
      </c>
      <c r="M68" s="290">
        <v>2</v>
      </c>
      <c r="N68" s="295" t="str">
        <f t="shared" si="2"/>
        <v/>
      </c>
      <c r="O68" s="443">
        <f t="shared" si="3"/>
        <v>0.35859414261160716</v>
      </c>
      <c r="P68" s="68"/>
    </row>
    <row r="69" spans="1:16">
      <c r="A69" s="34" t="s">
        <v>933</v>
      </c>
      <c r="B69" s="40" t="s">
        <v>946</v>
      </c>
      <c r="C69" s="34" t="s">
        <v>182</v>
      </c>
      <c r="D69" s="40" t="s">
        <v>87</v>
      </c>
      <c r="E69" s="216">
        <f t="shared" si="5"/>
        <v>1</v>
      </c>
      <c r="F69" s="415">
        <v>2</v>
      </c>
      <c r="G69" s="34" t="s">
        <v>945</v>
      </c>
      <c r="H69" s="249"/>
      <c r="I69" s="10">
        <v>1</v>
      </c>
      <c r="J69" s="66">
        <v>2</v>
      </c>
      <c r="K69" s="10">
        <v>1</v>
      </c>
      <c r="L69" s="10">
        <v>1</v>
      </c>
      <c r="M69" s="290">
        <v>2</v>
      </c>
      <c r="N69" s="295" t="str">
        <f t="shared" si="2"/>
        <v/>
      </c>
      <c r="O69" s="443">
        <f t="shared" si="3"/>
        <v>0.35859414261160716</v>
      </c>
      <c r="P69" s="68"/>
    </row>
    <row r="70" spans="1:16">
      <c r="A70" s="34" t="s">
        <v>933</v>
      </c>
      <c r="B70" s="40" t="s">
        <v>946</v>
      </c>
      <c r="C70" s="34" t="s">
        <v>182</v>
      </c>
      <c r="D70" s="40" t="s">
        <v>85</v>
      </c>
      <c r="E70" s="216">
        <f t="shared" si="5"/>
        <v>9.8069487929673418E-2</v>
      </c>
      <c r="F70" s="415">
        <v>2</v>
      </c>
      <c r="G70" s="34" t="s">
        <v>945</v>
      </c>
      <c r="H70" s="249"/>
      <c r="I70" s="10">
        <v>1</v>
      </c>
      <c r="J70" s="10">
        <v>2</v>
      </c>
      <c r="K70" s="10">
        <v>1</v>
      </c>
      <c r="L70" s="10">
        <v>1</v>
      </c>
      <c r="M70" s="290">
        <v>2</v>
      </c>
      <c r="N70" s="295" t="str">
        <f t="shared" si="2"/>
        <v/>
      </c>
      <c r="O70" s="443">
        <f t="shared" si="3"/>
        <v>0.35859414261160716</v>
      </c>
      <c r="P70" s="68"/>
    </row>
    <row r="71" spans="1:16">
      <c r="A71" s="34" t="s">
        <v>933</v>
      </c>
      <c r="B71" s="40" t="s">
        <v>946</v>
      </c>
      <c r="C71" s="34" t="s">
        <v>182</v>
      </c>
      <c r="D71" s="40" t="s">
        <v>86</v>
      </c>
      <c r="E71" s="216">
        <f t="shared" si="5"/>
        <v>0.6993112144789928</v>
      </c>
      <c r="F71" s="415">
        <v>2</v>
      </c>
      <c r="G71" s="34" t="s">
        <v>945</v>
      </c>
      <c r="H71" s="249"/>
      <c r="I71" s="10">
        <v>1</v>
      </c>
      <c r="J71" s="10">
        <v>2</v>
      </c>
      <c r="K71" s="10">
        <v>1</v>
      </c>
      <c r="L71" s="10">
        <v>1</v>
      </c>
      <c r="M71" s="290">
        <v>2</v>
      </c>
      <c r="N71" s="295" t="str">
        <f t="shared" si="2"/>
        <v/>
      </c>
      <c r="O71" s="443">
        <f t="shared" si="3"/>
        <v>0.35859414261160716</v>
      </c>
      <c r="P71" s="68"/>
    </row>
    <row r="72" spans="1:16">
      <c r="A72" s="60" t="s">
        <v>933</v>
      </c>
      <c r="B72" s="161" t="s">
        <v>947</v>
      </c>
      <c r="C72" s="60" t="s">
        <v>180</v>
      </c>
      <c r="D72" s="161" t="s">
        <v>90</v>
      </c>
      <c r="E72" s="488">
        <f>G183*SUM($E$238:$E$241, $E$236)</f>
        <v>6.3729615065902419E-3</v>
      </c>
      <c r="F72" s="415">
        <v>2</v>
      </c>
      <c r="G72" s="230" t="s">
        <v>944</v>
      </c>
      <c r="H72" s="224">
        <v>1</v>
      </c>
      <c r="I72" s="224"/>
      <c r="J72" s="66">
        <v>2</v>
      </c>
      <c r="K72" s="224">
        <v>1</v>
      </c>
      <c r="L72" s="224">
        <v>1</v>
      </c>
      <c r="M72" s="292">
        <v>2</v>
      </c>
      <c r="N72" s="295">
        <f t="shared" si="2"/>
        <v>0.35859414261160716</v>
      </c>
      <c r="O72" s="443" t="str">
        <f t="shared" si="3"/>
        <v/>
      </c>
      <c r="P72" s="68"/>
    </row>
    <row r="73" spans="1:16">
      <c r="A73" s="34" t="s">
        <v>933</v>
      </c>
      <c r="B73" s="161" t="s">
        <v>947</v>
      </c>
      <c r="C73" s="34" t="s">
        <v>180</v>
      </c>
      <c r="D73" s="40" t="s">
        <v>88</v>
      </c>
      <c r="E73" s="488">
        <f t="shared" ref="E73:E76" si="6">G184*SUM($E$238:$E$241, $E$236)</f>
        <v>0</v>
      </c>
      <c r="F73" s="168">
        <v>2</v>
      </c>
      <c r="G73" s="151" t="s">
        <v>944</v>
      </c>
      <c r="H73" s="224">
        <v>1</v>
      </c>
      <c r="I73" s="224"/>
      <c r="J73" s="66">
        <v>2</v>
      </c>
      <c r="K73" s="224">
        <v>1</v>
      </c>
      <c r="L73" s="224">
        <v>1</v>
      </c>
      <c r="M73" s="292">
        <v>2</v>
      </c>
      <c r="N73" s="295">
        <f t="shared" si="2"/>
        <v>0.35859414261160716</v>
      </c>
      <c r="O73" s="443" t="str">
        <f t="shared" si="3"/>
        <v/>
      </c>
      <c r="P73" s="68"/>
    </row>
    <row r="74" spans="1:16">
      <c r="A74" s="34" t="s">
        <v>933</v>
      </c>
      <c r="B74" s="161" t="s">
        <v>947</v>
      </c>
      <c r="C74" s="34" t="s">
        <v>180</v>
      </c>
      <c r="D74" s="40" t="s">
        <v>87</v>
      </c>
      <c r="E74" s="488">
        <f t="shared" si="6"/>
        <v>0</v>
      </c>
      <c r="F74" s="168">
        <v>2</v>
      </c>
      <c r="G74" s="151" t="s">
        <v>944</v>
      </c>
      <c r="H74" s="224">
        <v>1</v>
      </c>
      <c r="I74" s="224"/>
      <c r="J74" s="66">
        <v>2</v>
      </c>
      <c r="K74" s="224">
        <v>1</v>
      </c>
      <c r="L74" s="224">
        <v>1</v>
      </c>
      <c r="M74" s="292">
        <v>2</v>
      </c>
      <c r="N74" s="295">
        <f t="shared" si="2"/>
        <v>0.35859414261160716</v>
      </c>
      <c r="O74" s="443" t="str">
        <f t="shared" si="3"/>
        <v/>
      </c>
      <c r="P74" s="68"/>
    </row>
    <row r="75" spans="1:16">
      <c r="A75" s="34" t="s">
        <v>933</v>
      </c>
      <c r="B75" s="161" t="s">
        <v>947</v>
      </c>
      <c r="C75" s="34" t="s">
        <v>180</v>
      </c>
      <c r="D75" s="40" t="s">
        <v>85</v>
      </c>
      <c r="E75" s="488">
        <f t="shared" si="6"/>
        <v>1.4190115628548983E-2</v>
      </c>
      <c r="F75" s="168">
        <v>2</v>
      </c>
      <c r="G75" s="151" t="s">
        <v>944</v>
      </c>
      <c r="H75" s="224">
        <v>1</v>
      </c>
      <c r="I75" s="224"/>
      <c r="J75" s="10">
        <v>2</v>
      </c>
      <c r="K75" s="224">
        <v>1</v>
      </c>
      <c r="L75" s="224">
        <v>1</v>
      </c>
      <c r="M75" s="290">
        <v>2</v>
      </c>
      <c r="N75" s="295">
        <f t="shared" si="2"/>
        <v>0.35859414261160716</v>
      </c>
      <c r="O75" s="443" t="str">
        <f t="shared" si="3"/>
        <v/>
      </c>
      <c r="P75" s="68"/>
    </row>
    <row r="76" spans="1:16">
      <c r="A76" s="34" t="s">
        <v>933</v>
      </c>
      <c r="B76" s="161" t="s">
        <v>947</v>
      </c>
      <c r="C76" s="34" t="s">
        <v>180</v>
      </c>
      <c r="D76" s="40" t="s">
        <v>86</v>
      </c>
      <c r="E76" s="488">
        <f t="shared" si="6"/>
        <v>0</v>
      </c>
      <c r="F76" s="168">
        <v>2</v>
      </c>
      <c r="G76" s="151" t="s">
        <v>944</v>
      </c>
      <c r="H76" s="224">
        <v>1</v>
      </c>
      <c r="I76" s="224"/>
      <c r="J76" s="10">
        <v>2</v>
      </c>
      <c r="K76" s="224">
        <v>1</v>
      </c>
      <c r="L76" s="224">
        <v>1</v>
      </c>
      <c r="M76" s="290">
        <v>2</v>
      </c>
      <c r="N76" s="295">
        <f t="shared" si="2"/>
        <v>0.35859414261160716</v>
      </c>
      <c r="O76" s="443" t="str">
        <f t="shared" si="3"/>
        <v/>
      </c>
      <c r="P76" s="68"/>
    </row>
    <row r="77" spans="1:16">
      <c r="A77" s="34" t="s">
        <v>933</v>
      </c>
      <c r="B77" s="161" t="s">
        <v>947</v>
      </c>
      <c r="C77" s="34" t="s">
        <v>182</v>
      </c>
      <c r="D77" s="40" t="s">
        <v>90</v>
      </c>
      <c r="E77" s="488">
        <f>G165*SUM($E$238:$E$241, $E$236)</f>
        <v>9.2661989829646799E-3</v>
      </c>
      <c r="F77" s="168">
        <v>2</v>
      </c>
      <c r="G77" s="151" t="s">
        <v>945</v>
      </c>
      <c r="H77" s="224"/>
      <c r="I77" s="224">
        <v>1</v>
      </c>
      <c r="J77" s="66">
        <v>2</v>
      </c>
      <c r="K77" s="224">
        <v>1</v>
      </c>
      <c r="L77" s="224">
        <v>1</v>
      </c>
      <c r="M77" s="290">
        <v>2</v>
      </c>
      <c r="N77" s="295" t="str">
        <f t="shared" si="2"/>
        <v/>
      </c>
      <c r="O77" s="443">
        <f t="shared" si="3"/>
        <v>0.35859414261160716</v>
      </c>
      <c r="P77" s="68"/>
    </row>
    <row r="78" spans="1:16">
      <c r="A78" s="34" t="s">
        <v>933</v>
      </c>
      <c r="B78" s="161" t="s">
        <v>947</v>
      </c>
      <c r="C78" s="34" t="s">
        <v>182</v>
      </c>
      <c r="D78" s="40" t="s">
        <v>88</v>
      </c>
      <c r="E78" s="488">
        <f t="shared" ref="E78:E81" si="7">G166*SUM($E$238:$E$241, $E$236)</f>
        <v>0</v>
      </c>
      <c r="F78" s="168">
        <v>2</v>
      </c>
      <c r="G78" s="151" t="s">
        <v>945</v>
      </c>
      <c r="H78" s="224"/>
      <c r="I78" s="224">
        <v>1</v>
      </c>
      <c r="J78" s="66">
        <v>2</v>
      </c>
      <c r="K78" s="224">
        <v>1</v>
      </c>
      <c r="L78" s="224">
        <v>1</v>
      </c>
      <c r="M78" s="290">
        <v>2</v>
      </c>
      <c r="N78" s="295" t="str">
        <f t="shared" si="2"/>
        <v/>
      </c>
      <c r="O78" s="443">
        <f t="shared" si="3"/>
        <v>0.35859414261160716</v>
      </c>
      <c r="P78" s="68"/>
    </row>
    <row r="79" spans="1:16">
      <c r="A79" s="34" t="s">
        <v>933</v>
      </c>
      <c r="B79" s="161" t="s">
        <v>947</v>
      </c>
      <c r="C79" s="34" t="s">
        <v>182</v>
      </c>
      <c r="D79" s="40" t="s">
        <v>87</v>
      </c>
      <c r="E79" s="488">
        <f t="shared" si="7"/>
        <v>0</v>
      </c>
      <c r="F79" s="168">
        <v>2</v>
      </c>
      <c r="G79" s="151" t="s">
        <v>945</v>
      </c>
      <c r="H79" s="224"/>
      <c r="I79" s="224">
        <v>1</v>
      </c>
      <c r="J79" s="66">
        <v>2</v>
      </c>
      <c r="K79" s="224">
        <v>1</v>
      </c>
      <c r="L79" s="224">
        <v>1</v>
      </c>
      <c r="M79" s="290">
        <v>2</v>
      </c>
      <c r="N79" s="295" t="str">
        <f t="shared" si="2"/>
        <v/>
      </c>
      <c r="O79" s="443">
        <f t="shared" si="3"/>
        <v>0.35859414261160716</v>
      </c>
      <c r="P79" s="68"/>
    </row>
    <row r="80" spans="1:16">
      <c r="A80" s="34" t="s">
        <v>933</v>
      </c>
      <c r="B80" s="161" t="s">
        <v>947</v>
      </c>
      <c r="C80" s="34" t="s">
        <v>182</v>
      </c>
      <c r="D80" s="40" t="s">
        <v>85</v>
      </c>
      <c r="E80" s="488">
        <f t="shared" si="7"/>
        <v>1.5937522374961335E-2</v>
      </c>
      <c r="F80" s="168">
        <v>2</v>
      </c>
      <c r="G80" s="151" t="s">
        <v>945</v>
      </c>
      <c r="H80" s="224"/>
      <c r="I80" s="224">
        <v>1</v>
      </c>
      <c r="J80" s="10">
        <v>2</v>
      </c>
      <c r="K80" s="224">
        <v>1</v>
      </c>
      <c r="L80" s="224">
        <v>1</v>
      </c>
      <c r="M80" s="290">
        <v>2</v>
      </c>
      <c r="N80" s="295" t="str">
        <f t="shared" si="2"/>
        <v/>
      </c>
      <c r="O80" s="443">
        <f t="shared" si="3"/>
        <v>0.35859414261160716</v>
      </c>
      <c r="P80" s="68"/>
    </row>
    <row r="81" spans="1:16">
      <c r="A81" s="149" t="s">
        <v>933</v>
      </c>
      <c r="B81" s="161" t="s">
        <v>947</v>
      </c>
      <c r="C81" s="34" t="s">
        <v>182</v>
      </c>
      <c r="D81" s="63" t="s">
        <v>86</v>
      </c>
      <c r="E81" s="488">
        <f t="shared" si="7"/>
        <v>0</v>
      </c>
      <c r="F81" s="170">
        <v>2</v>
      </c>
      <c r="G81" s="227" t="s">
        <v>945</v>
      </c>
      <c r="H81" s="224"/>
      <c r="I81" s="224">
        <v>1</v>
      </c>
      <c r="J81" s="10">
        <v>2</v>
      </c>
      <c r="K81" s="224">
        <v>1</v>
      </c>
      <c r="L81" s="224">
        <v>1</v>
      </c>
      <c r="M81" s="290">
        <v>2</v>
      </c>
      <c r="N81" s="295" t="str">
        <f t="shared" si="2"/>
        <v/>
      </c>
      <c r="O81" s="443">
        <f t="shared" si="3"/>
        <v>0.35859414261160716</v>
      </c>
      <c r="P81" s="68"/>
    </row>
    <row r="82" spans="1:16">
      <c r="A82" s="149" t="s">
        <v>933</v>
      </c>
      <c r="B82" s="161" t="s">
        <v>948</v>
      </c>
      <c r="C82" s="60" t="s">
        <v>180</v>
      </c>
      <c r="D82" s="161" t="s">
        <v>90</v>
      </c>
      <c r="E82" s="489">
        <f>E183*SUM($E$250:$E$253, $E$248)</f>
        <v>3.2661809918149924E-2</v>
      </c>
      <c r="F82" s="171">
        <v>2</v>
      </c>
      <c r="G82" s="151" t="s">
        <v>944</v>
      </c>
      <c r="H82" s="224">
        <v>1</v>
      </c>
      <c r="I82" s="224"/>
      <c r="J82" s="66">
        <v>2</v>
      </c>
      <c r="K82" s="224">
        <v>1</v>
      </c>
      <c r="L82" s="224">
        <v>1</v>
      </c>
      <c r="M82" s="292">
        <v>2</v>
      </c>
      <c r="N82" s="295">
        <f t="shared" ref="N82:N86" si="8">IF( OR( ISBLANK(H82),ISBLANK(J82), ISBLANK(K82), ISBLANK(L82), ISBLANK(M82) ), "", 1.5*SQRT(   EXP(2.21*(H82-1)) + EXP(2.21*(J82-1)) + EXP(2.21*(K82-1)) + EXP(2.21*(L82-1)) + EXP(2.21*M82)   )/100*2.45 )</f>
        <v>0.35859414261160716</v>
      </c>
      <c r="O82" s="443" t="str">
        <f t="shared" ref="O82:O86" si="9">IF( OR( ISBLANK(I82),ISBLANK(J82), ISBLANK(K82), ISBLANK(L82), ISBLANK(M82) ), "", 1.5*SQRT( EXP(2.21*(I82-1)) + EXP(2.21*(J82-1)) + EXP(2.21*(K82-1)) + EXP(2.21*(L82-1)) + EXP(2.21*M82)   )/100*2.45 )</f>
        <v/>
      </c>
      <c r="P82" s="68"/>
    </row>
    <row r="83" spans="1:16">
      <c r="A83" s="149" t="s">
        <v>933</v>
      </c>
      <c r="B83" s="161" t="s">
        <v>948</v>
      </c>
      <c r="C83" s="34" t="s">
        <v>180</v>
      </c>
      <c r="D83" s="40" t="s">
        <v>88</v>
      </c>
      <c r="E83" s="488">
        <f t="shared" ref="E83:E86" si="10">E184*SUM($E$250:$E$253, $E$248)</f>
        <v>0</v>
      </c>
      <c r="F83" s="415">
        <v>2</v>
      </c>
      <c r="G83" s="230" t="s">
        <v>944</v>
      </c>
      <c r="H83" s="224">
        <v>1</v>
      </c>
      <c r="I83" s="224"/>
      <c r="J83" s="66">
        <v>2</v>
      </c>
      <c r="K83" s="224">
        <v>1</v>
      </c>
      <c r="L83" s="224">
        <v>1</v>
      </c>
      <c r="M83" s="292">
        <v>2</v>
      </c>
      <c r="N83" s="295">
        <f t="shared" si="8"/>
        <v>0.35859414261160716</v>
      </c>
      <c r="O83" s="443" t="str">
        <f t="shared" si="9"/>
        <v/>
      </c>
      <c r="P83" s="68"/>
    </row>
    <row r="84" spans="1:16">
      <c r="A84" s="149" t="s">
        <v>933</v>
      </c>
      <c r="B84" s="161" t="s">
        <v>948</v>
      </c>
      <c r="C84" s="34" t="s">
        <v>180</v>
      </c>
      <c r="D84" s="40" t="s">
        <v>87</v>
      </c>
      <c r="E84" s="488">
        <f t="shared" si="10"/>
        <v>0</v>
      </c>
      <c r="F84" s="168">
        <v>2</v>
      </c>
      <c r="G84" s="151" t="s">
        <v>944</v>
      </c>
      <c r="H84" s="224">
        <v>1</v>
      </c>
      <c r="I84" s="224"/>
      <c r="J84" s="66">
        <v>2</v>
      </c>
      <c r="K84" s="224">
        <v>1</v>
      </c>
      <c r="L84" s="224">
        <v>1</v>
      </c>
      <c r="M84" s="292">
        <v>2</v>
      </c>
      <c r="N84" s="295">
        <f t="shared" si="8"/>
        <v>0.35859414261160716</v>
      </c>
      <c r="O84" s="443" t="str">
        <f t="shared" si="9"/>
        <v/>
      </c>
      <c r="P84" s="68"/>
    </row>
    <row r="85" spans="1:16">
      <c r="A85" s="149" t="s">
        <v>933</v>
      </c>
      <c r="B85" s="161" t="s">
        <v>948</v>
      </c>
      <c r="C85" s="34" t="s">
        <v>180</v>
      </c>
      <c r="D85" s="40" t="s">
        <v>85</v>
      </c>
      <c r="E85" s="488">
        <f t="shared" si="10"/>
        <v>1.1482925305365051E-2</v>
      </c>
      <c r="F85" s="168">
        <v>2</v>
      </c>
      <c r="G85" s="151" t="s">
        <v>944</v>
      </c>
      <c r="H85" s="224">
        <v>1</v>
      </c>
      <c r="I85" s="224"/>
      <c r="J85" s="10">
        <v>2</v>
      </c>
      <c r="K85" s="224">
        <v>1</v>
      </c>
      <c r="L85" s="224">
        <v>1</v>
      </c>
      <c r="M85" s="290">
        <v>2</v>
      </c>
      <c r="N85" s="295">
        <f t="shared" si="8"/>
        <v>0.35859414261160716</v>
      </c>
      <c r="O85" s="443" t="str">
        <f t="shared" si="9"/>
        <v/>
      </c>
      <c r="P85" s="68"/>
    </row>
    <row r="86" spans="1:16">
      <c r="A86" s="149" t="s">
        <v>933</v>
      </c>
      <c r="B86" s="161" t="s">
        <v>948</v>
      </c>
      <c r="C86" s="34" t="s">
        <v>180</v>
      </c>
      <c r="D86" s="40" t="s">
        <v>86</v>
      </c>
      <c r="E86" s="488">
        <f t="shared" si="10"/>
        <v>4.5067280730850014E-2</v>
      </c>
      <c r="F86" s="168">
        <v>2</v>
      </c>
      <c r="G86" s="151" t="s">
        <v>944</v>
      </c>
      <c r="H86" s="224">
        <v>1</v>
      </c>
      <c r="I86" s="224"/>
      <c r="J86" s="10">
        <v>2</v>
      </c>
      <c r="K86" s="224">
        <v>1</v>
      </c>
      <c r="L86" s="224">
        <v>1</v>
      </c>
      <c r="M86" s="290">
        <v>2</v>
      </c>
      <c r="N86" s="295">
        <f t="shared" si="8"/>
        <v>0.35859414261160716</v>
      </c>
      <c r="O86" s="443" t="str">
        <f t="shared" si="9"/>
        <v/>
      </c>
      <c r="P86" s="68"/>
    </row>
    <row r="87" spans="1:16">
      <c r="A87" s="149" t="s">
        <v>933</v>
      </c>
      <c r="B87" s="161" t="s">
        <v>948</v>
      </c>
      <c r="C87" s="34" t="s">
        <v>182</v>
      </c>
      <c r="D87" s="40" t="s">
        <v>90</v>
      </c>
      <c r="E87" s="488">
        <f>E165*SUM($E$250:$E$253, $E$248)</f>
        <v>1.3425393705826556E-2</v>
      </c>
      <c r="F87" s="168">
        <v>2</v>
      </c>
      <c r="G87" s="151" t="s">
        <v>945</v>
      </c>
      <c r="H87" s="224"/>
      <c r="I87" s="224">
        <v>1</v>
      </c>
      <c r="J87" s="66">
        <v>2</v>
      </c>
      <c r="K87" s="224">
        <v>1</v>
      </c>
      <c r="L87" s="224">
        <v>1</v>
      </c>
      <c r="M87" s="290">
        <v>2</v>
      </c>
      <c r="N87" s="295" t="str">
        <f>IF( OR( ISBLANK(H87),ISBLANK(J87), ISBLANK(K87), ISBLANK(L87), ISBLANK(M87) ), "", 1.5*SQRT(   EXP(2.21*(H87-1)) + EXP(2.21*(J87-1)) + EXP(2.21*(K87-1)) + EXP(2.21*(L87-1)) + EXP(2.21*M87)   )/100*2.45 )</f>
        <v/>
      </c>
      <c r="O87" s="443">
        <f>IF( OR( ISBLANK(I87),ISBLANK(J87), ISBLANK(K87), ISBLANK(L87), ISBLANK(M87) ), "", 1.5*SQRT( EXP(2.21*(I87-1)) + EXP(2.21*(J87-1)) + EXP(2.21*(K87-1)) + EXP(2.21*(L87-1)) + EXP(2.21*M87)   )/100*2.45 )</f>
        <v>0.35859414261160716</v>
      </c>
      <c r="P87" s="68"/>
    </row>
    <row r="88" spans="1:16">
      <c r="A88" s="149" t="s">
        <v>933</v>
      </c>
      <c r="B88" s="161" t="s">
        <v>948</v>
      </c>
      <c r="C88" s="34" t="s">
        <v>182</v>
      </c>
      <c r="D88" s="40" t="s">
        <v>88</v>
      </c>
      <c r="E88" s="488">
        <f t="shared" ref="E88:E91" si="11">E166*SUM($E$250:$E$253, $E$248)</f>
        <v>0</v>
      </c>
      <c r="F88" s="168">
        <v>2</v>
      </c>
      <c r="G88" s="151" t="s">
        <v>945</v>
      </c>
      <c r="H88" s="224"/>
      <c r="I88" s="224">
        <v>1</v>
      </c>
      <c r="J88" s="66">
        <v>2</v>
      </c>
      <c r="K88" s="224">
        <v>1</v>
      </c>
      <c r="L88" s="224">
        <v>1</v>
      </c>
      <c r="M88" s="290">
        <v>2</v>
      </c>
      <c r="N88" s="295" t="str">
        <f>IF( OR( ISBLANK(H88),ISBLANK(J88), ISBLANK(K88), ISBLANK(L88), ISBLANK(M88) ), "", 1.5*SQRT(   EXP(2.21*(H88-1)) + EXP(2.21*(J88-1)) + EXP(2.21*(K88-1)) + EXP(2.21*(L88-1)) + EXP(2.21*M88)   )/100*2.45 )</f>
        <v/>
      </c>
      <c r="O88" s="443">
        <f>IF( OR( ISBLANK(I88),ISBLANK(J88), ISBLANK(K88), ISBLANK(L88), ISBLANK(M88) ), "", 1.5*SQRT( EXP(2.21*(I88-1)) + EXP(2.21*(J88-1)) + EXP(2.21*(K88-1)) + EXP(2.21*(L88-1)) + EXP(2.21*M88)   )/100*2.45 )</f>
        <v>0.35859414261160716</v>
      </c>
      <c r="P88" s="68"/>
    </row>
    <row r="89" spans="1:16">
      <c r="A89" s="149" t="s">
        <v>933</v>
      </c>
      <c r="B89" s="161" t="s">
        <v>948</v>
      </c>
      <c r="C89" s="34" t="s">
        <v>182</v>
      </c>
      <c r="D89" s="40" t="s">
        <v>87</v>
      </c>
      <c r="E89" s="488">
        <f t="shared" si="11"/>
        <v>0</v>
      </c>
      <c r="F89" s="168">
        <v>2</v>
      </c>
      <c r="G89" s="151" t="s">
        <v>945</v>
      </c>
      <c r="H89" s="224"/>
      <c r="I89" s="224">
        <v>1</v>
      </c>
      <c r="J89" s="66">
        <v>2</v>
      </c>
      <c r="K89" s="224">
        <v>1</v>
      </c>
      <c r="L89" s="224">
        <v>1</v>
      </c>
      <c r="M89" s="290">
        <v>2</v>
      </c>
      <c r="N89" s="295" t="str">
        <f>IF( OR( ISBLANK(H89),ISBLANK(J89), ISBLANK(K89), ISBLANK(L89), ISBLANK(M89) ), "", 1.5*SQRT(   EXP(2.21*(H89-1)) + EXP(2.21*(J89-1)) + EXP(2.21*(K89-1)) + EXP(2.21*(L89-1)) + EXP(2.21*M89)   )/100*2.45 )</f>
        <v/>
      </c>
      <c r="O89" s="443">
        <f>IF( OR( ISBLANK(I89),ISBLANK(J89), ISBLANK(K89), ISBLANK(L89), ISBLANK(M89) ), "", 1.5*SQRT( EXP(2.21*(I89-1)) + EXP(2.21*(J89-1)) + EXP(2.21*(K89-1)) + EXP(2.21*(L89-1)) + EXP(2.21*M89)   )/100*2.45 )</f>
        <v>0.35859414261160716</v>
      </c>
      <c r="P89" s="68"/>
    </row>
    <row r="90" spans="1:16">
      <c r="A90" s="149" t="s">
        <v>933</v>
      </c>
      <c r="B90" s="161" t="s">
        <v>948</v>
      </c>
      <c r="C90" s="34" t="s">
        <v>182</v>
      </c>
      <c r="D90" s="40" t="s">
        <v>85</v>
      </c>
      <c r="E90" s="488">
        <f t="shared" si="11"/>
        <v>3.6459765383384255E-3</v>
      </c>
      <c r="F90" s="168">
        <v>2</v>
      </c>
      <c r="G90" s="151" t="s">
        <v>945</v>
      </c>
      <c r="H90" s="224"/>
      <c r="I90" s="224">
        <v>1</v>
      </c>
      <c r="J90" s="10">
        <v>2</v>
      </c>
      <c r="K90" s="224">
        <v>1</v>
      </c>
      <c r="L90" s="224">
        <v>1</v>
      </c>
      <c r="M90" s="290">
        <v>2</v>
      </c>
      <c r="N90" s="295" t="str">
        <f>IF( OR( ISBLANK(H90),ISBLANK(J90), ISBLANK(K90), ISBLANK(L90), ISBLANK(M90) ), "", 1.5*SQRT(   EXP(2.21*(H90-1)) + EXP(2.21*(J90-1)) + EXP(2.21*(K90-1)) + EXP(2.21*(L90-1)) + EXP(2.21*M90)   )/100*2.45 )</f>
        <v/>
      </c>
      <c r="O90" s="443">
        <f>IF( OR( ISBLANK(I90),ISBLANK(J90), ISBLANK(K90), ISBLANK(L90), ISBLANK(M90) ), "", 1.5*SQRT( EXP(2.21*(I90-1)) + EXP(2.21*(J90-1)) + EXP(2.21*(K90-1)) + EXP(2.21*(L90-1)) + EXP(2.21*M90)   )/100*2.45 )</f>
        <v>0.35859414261160716</v>
      </c>
      <c r="P90" s="68"/>
    </row>
    <row r="91" spans="1:16">
      <c r="A91" s="149" t="s">
        <v>933</v>
      </c>
      <c r="B91" s="161" t="s">
        <v>948</v>
      </c>
      <c r="C91" s="34" t="s">
        <v>182</v>
      </c>
      <c r="D91" s="40" t="s">
        <v>86</v>
      </c>
      <c r="E91" s="488">
        <f t="shared" si="11"/>
        <v>2.233215610064521E-2</v>
      </c>
      <c r="F91" s="168">
        <v>2</v>
      </c>
      <c r="G91" s="151" t="s">
        <v>945</v>
      </c>
      <c r="H91" s="224"/>
      <c r="I91" s="224">
        <v>1</v>
      </c>
      <c r="J91" s="10">
        <v>2</v>
      </c>
      <c r="K91" s="224">
        <v>1</v>
      </c>
      <c r="L91" s="224">
        <v>1</v>
      </c>
      <c r="M91" s="290">
        <v>2</v>
      </c>
      <c r="N91" s="295" t="str">
        <f>IF( OR( ISBLANK(H91),ISBLANK(J91), ISBLANK(K91), ISBLANK(L91), ISBLANK(M91) ), "", 1.5*SQRT(   EXP(2.21*(H91-1)) + EXP(2.21*(J91-1)) + EXP(2.21*(K91-1)) + EXP(2.21*(L91-1)) + EXP(2.21*M91)   )/100*2.45 )</f>
        <v/>
      </c>
      <c r="O91" s="443">
        <f>IF( OR( ISBLANK(I91),ISBLANK(J91), ISBLANK(K91), ISBLANK(L91), ISBLANK(M91) ), "", 1.5*SQRT( EXP(2.21*(I91-1)) + EXP(2.21*(J91-1)) + EXP(2.21*(K91-1)) + EXP(2.21*(L91-1)) + EXP(2.21*M91)   )/100*2.45 )</f>
        <v>0.35859414261160716</v>
      </c>
      <c r="P91" s="68"/>
    </row>
    <row r="92" spans="1:16">
      <c r="A92" s="34" t="s">
        <v>933</v>
      </c>
      <c r="B92" s="161" t="s">
        <v>949</v>
      </c>
      <c r="C92" s="60" t="s">
        <v>180</v>
      </c>
      <c r="D92" s="161" t="s">
        <v>90</v>
      </c>
      <c r="E92" s="446">
        <f>G183*$E$237</f>
        <v>6.2695657834368257E-2</v>
      </c>
      <c r="F92" s="415">
        <v>1</v>
      </c>
      <c r="G92" s="230" t="s">
        <v>944</v>
      </c>
      <c r="H92" s="10">
        <v>1</v>
      </c>
      <c r="I92" s="10"/>
      <c r="J92" s="66">
        <v>2</v>
      </c>
      <c r="K92" s="10">
        <v>1</v>
      </c>
      <c r="L92" s="10">
        <v>1</v>
      </c>
      <c r="M92" s="292">
        <v>2</v>
      </c>
      <c r="N92" s="295">
        <f t="shared" ref="N92:N101" si="12">IF( OR( ISBLANK(H92),ISBLANK(J92), ISBLANK(K92), ISBLANK(L92), ISBLANK(M92) ), "", 1.5*SQRT(   EXP(2.21*(H92-1)) + EXP(2.21*(J92-1)) + EXP(2.21*(K92-1)) + EXP(2.21*(L92-1)) + EXP(2.21*M92)   )/100*2.45 )</f>
        <v>0.35859414261160716</v>
      </c>
      <c r="O92" s="443" t="str">
        <f t="shared" ref="O92:O101" si="13">IF( OR( ISBLANK(I92),ISBLANK(J92), ISBLANK(K92), ISBLANK(L92), ISBLANK(M92) ), "", 1.5*SQRT( EXP(2.21*(I92-1)) + EXP(2.21*(J92-1)) + EXP(2.21*(K92-1)) + EXP(2.21*(L92-1)) + EXP(2.21*M92)   )/100*2.45 )</f>
        <v/>
      </c>
      <c r="P92" s="68"/>
    </row>
    <row r="93" spans="1:16">
      <c r="A93" s="34" t="s">
        <v>933</v>
      </c>
      <c r="B93" s="161" t="s">
        <v>949</v>
      </c>
      <c r="C93" s="34" t="s">
        <v>180</v>
      </c>
      <c r="D93" s="40" t="s">
        <v>88</v>
      </c>
      <c r="E93" s="446">
        <f>G184*$E$237</f>
        <v>0</v>
      </c>
      <c r="F93" s="168">
        <v>1</v>
      </c>
      <c r="G93" s="34" t="s">
        <v>944</v>
      </c>
      <c r="H93" s="251">
        <v>1</v>
      </c>
      <c r="I93" s="66"/>
      <c r="J93" s="66">
        <v>2</v>
      </c>
      <c r="K93" s="66">
        <v>1</v>
      </c>
      <c r="L93" s="66">
        <v>1</v>
      </c>
      <c r="M93" s="292">
        <v>2</v>
      </c>
      <c r="N93" s="295">
        <f t="shared" si="12"/>
        <v>0.35859414261160716</v>
      </c>
      <c r="O93" s="443" t="str">
        <f t="shared" si="13"/>
        <v/>
      </c>
      <c r="P93" s="68"/>
    </row>
    <row r="94" spans="1:16">
      <c r="A94" s="34" t="s">
        <v>933</v>
      </c>
      <c r="B94" s="161" t="s">
        <v>949</v>
      </c>
      <c r="C94" s="34" t="s">
        <v>180</v>
      </c>
      <c r="D94" s="40" t="s">
        <v>87</v>
      </c>
      <c r="E94" s="446">
        <f>G185*$E$237</f>
        <v>0</v>
      </c>
      <c r="F94" s="168">
        <v>1</v>
      </c>
      <c r="G94" s="34" t="s">
        <v>944</v>
      </c>
      <c r="H94" s="251">
        <v>1</v>
      </c>
      <c r="I94" s="66"/>
      <c r="J94" s="66">
        <v>2</v>
      </c>
      <c r="K94" s="66">
        <v>1</v>
      </c>
      <c r="L94" s="66">
        <v>1</v>
      </c>
      <c r="M94" s="292">
        <v>2</v>
      </c>
      <c r="N94" s="295">
        <f t="shared" si="12"/>
        <v>0.35859414261160716</v>
      </c>
      <c r="O94" s="443" t="str">
        <f t="shared" si="13"/>
        <v/>
      </c>
      <c r="P94" s="68"/>
    </row>
    <row r="95" spans="1:16">
      <c r="A95" s="34" t="s">
        <v>933</v>
      </c>
      <c r="B95" s="161" t="s">
        <v>949</v>
      </c>
      <c r="C95" s="34" t="s">
        <v>180</v>
      </c>
      <c r="D95" s="40" t="s">
        <v>85</v>
      </c>
      <c r="E95" s="446">
        <f>G186*$E$237</f>
        <v>0.13959893420941549</v>
      </c>
      <c r="F95" s="168">
        <v>1</v>
      </c>
      <c r="G95" s="34" t="s">
        <v>944</v>
      </c>
      <c r="H95" s="251">
        <v>1</v>
      </c>
      <c r="I95" s="66"/>
      <c r="J95" s="10">
        <v>2</v>
      </c>
      <c r="K95" s="66">
        <v>1</v>
      </c>
      <c r="L95" s="66">
        <v>1</v>
      </c>
      <c r="M95" s="290">
        <v>2</v>
      </c>
      <c r="N95" s="295">
        <f t="shared" si="12"/>
        <v>0.35859414261160716</v>
      </c>
      <c r="O95" s="443" t="str">
        <f t="shared" si="13"/>
        <v/>
      </c>
      <c r="P95" s="68"/>
    </row>
    <row r="96" spans="1:16">
      <c r="A96" s="34" t="s">
        <v>933</v>
      </c>
      <c r="B96" s="161" t="s">
        <v>949</v>
      </c>
      <c r="C96" s="34" t="s">
        <v>180</v>
      </c>
      <c r="D96" s="40" t="s">
        <v>86</v>
      </c>
      <c r="E96" s="446">
        <f>G187*$E$237</f>
        <v>0</v>
      </c>
      <c r="F96" s="168">
        <v>1</v>
      </c>
      <c r="G96" s="34" t="s">
        <v>944</v>
      </c>
      <c r="H96" s="251">
        <v>1</v>
      </c>
      <c r="I96" s="66"/>
      <c r="J96" s="10">
        <v>2</v>
      </c>
      <c r="K96" s="66">
        <v>1</v>
      </c>
      <c r="L96" s="66">
        <v>1</v>
      </c>
      <c r="M96" s="290">
        <v>2</v>
      </c>
      <c r="N96" s="295">
        <f t="shared" si="12"/>
        <v>0.35859414261160716</v>
      </c>
      <c r="O96" s="443" t="str">
        <f t="shared" si="13"/>
        <v/>
      </c>
      <c r="P96" s="68"/>
    </row>
    <row r="97" spans="1:16">
      <c r="A97" s="34" t="s">
        <v>933</v>
      </c>
      <c r="B97" s="161" t="s">
        <v>949</v>
      </c>
      <c r="C97" s="34" t="s">
        <v>182</v>
      </c>
      <c r="D97" s="40" t="s">
        <v>90</v>
      </c>
      <c r="E97" s="446">
        <f>G165*$E$237</f>
        <v>9.1158630137710292E-2</v>
      </c>
      <c r="F97" s="168">
        <v>1</v>
      </c>
      <c r="G97" s="34" t="s">
        <v>945</v>
      </c>
      <c r="H97" s="249"/>
      <c r="I97" s="10">
        <v>1</v>
      </c>
      <c r="J97" s="66">
        <v>2</v>
      </c>
      <c r="K97" s="10">
        <v>1</v>
      </c>
      <c r="L97" s="10">
        <v>1</v>
      </c>
      <c r="M97" s="290">
        <v>2</v>
      </c>
      <c r="N97" s="295" t="str">
        <f t="shared" si="12"/>
        <v/>
      </c>
      <c r="O97" s="443">
        <f t="shared" si="13"/>
        <v>0.35859414261160716</v>
      </c>
      <c r="P97" s="68"/>
    </row>
    <row r="98" spans="1:16">
      <c r="A98" s="34" t="s">
        <v>933</v>
      </c>
      <c r="B98" s="161" t="s">
        <v>949</v>
      </c>
      <c r="C98" s="34" t="s">
        <v>182</v>
      </c>
      <c r="D98" s="40" t="s">
        <v>88</v>
      </c>
      <c r="E98" s="446">
        <f>G166*$E$237</f>
        <v>0</v>
      </c>
      <c r="F98" s="168">
        <v>1</v>
      </c>
      <c r="G98" s="34" t="s">
        <v>945</v>
      </c>
      <c r="H98" s="249"/>
      <c r="I98" s="10">
        <v>1</v>
      </c>
      <c r="J98" s="66">
        <v>2</v>
      </c>
      <c r="K98" s="10">
        <v>1</v>
      </c>
      <c r="L98" s="10">
        <v>1</v>
      </c>
      <c r="M98" s="290">
        <v>2</v>
      </c>
      <c r="N98" s="295" t="str">
        <f t="shared" si="12"/>
        <v/>
      </c>
      <c r="O98" s="443">
        <f t="shared" si="13"/>
        <v>0.35859414261160716</v>
      </c>
      <c r="P98" s="68"/>
    </row>
    <row r="99" spans="1:16">
      <c r="A99" s="34" t="s">
        <v>933</v>
      </c>
      <c r="B99" s="161" t="s">
        <v>949</v>
      </c>
      <c r="C99" s="34" t="s">
        <v>182</v>
      </c>
      <c r="D99" s="40" t="s">
        <v>87</v>
      </c>
      <c r="E99" s="446">
        <f>G167*$E$237</f>
        <v>0</v>
      </c>
      <c r="F99" s="168">
        <v>1</v>
      </c>
      <c r="G99" s="34" t="s">
        <v>945</v>
      </c>
      <c r="H99" s="249"/>
      <c r="I99" s="10">
        <v>1</v>
      </c>
      <c r="J99" s="66">
        <v>2</v>
      </c>
      <c r="K99" s="10">
        <v>1</v>
      </c>
      <c r="L99" s="10">
        <v>1</v>
      </c>
      <c r="M99" s="290">
        <v>2</v>
      </c>
      <c r="N99" s="295" t="str">
        <f t="shared" si="12"/>
        <v/>
      </c>
      <c r="O99" s="443">
        <f t="shared" si="13"/>
        <v>0.35859414261160716</v>
      </c>
      <c r="P99" s="68"/>
    </row>
    <row r="100" spans="1:16">
      <c r="A100" s="34" t="s">
        <v>933</v>
      </c>
      <c r="B100" s="161" t="s">
        <v>949</v>
      </c>
      <c r="C100" s="34" t="s">
        <v>182</v>
      </c>
      <c r="D100" s="40" t="s">
        <v>85</v>
      </c>
      <c r="E100" s="446">
        <f>G168*$E$237</f>
        <v>0.15678950022134661</v>
      </c>
      <c r="F100" s="168">
        <v>1</v>
      </c>
      <c r="G100" s="34" t="s">
        <v>945</v>
      </c>
      <c r="H100" s="249"/>
      <c r="I100" s="10">
        <v>1</v>
      </c>
      <c r="J100" s="10">
        <v>2</v>
      </c>
      <c r="K100" s="10">
        <v>1</v>
      </c>
      <c r="L100" s="10">
        <v>1</v>
      </c>
      <c r="M100" s="290">
        <v>2</v>
      </c>
      <c r="N100" s="295" t="str">
        <f t="shared" si="12"/>
        <v/>
      </c>
      <c r="O100" s="443">
        <f t="shared" si="13"/>
        <v>0.35859414261160716</v>
      </c>
      <c r="P100" s="68"/>
    </row>
    <row r="101" spans="1:16">
      <c r="A101" s="149" t="s">
        <v>933</v>
      </c>
      <c r="B101" s="7" t="s">
        <v>949</v>
      </c>
      <c r="C101" s="149" t="s">
        <v>182</v>
      </c>
      <c r="D101" s="153" t="s">
        <v>86</v>
      </c>
      <c r="E101" s="446">
        <f>G169*$E$237</f>
        <v>0</v>
      </c>
      <c r="F101" s="170">
        <v>1</v>
      </c>
      <c r="G101" s="149" t="s">
        <v>945</v>
      </c>
      <c r="H101" s="248"/>
      <c r="I101" s="10">
        <v>1</v>
      </c>
      <c r="J101" s="10">
        <v>2</v>
      </c>
      <c r="K101" s="10">
        <v>1</v>
      </c>
      <c r="L101" s="10">
        <v>1</v>
      </c>
      <c r="M101" s="290">
        <v>2</v>
      </c>
      <c r="N101" s="295" t="str">
        <f t="shared" si="12"/>
        <v/>
      </c>
      <c r="O101" s="443">
        <f t="shared" si="13"/>
        <v>0.35859414261160716</v>
      </c>
      <c r="P101" s="68"/>
    </row>
    <row r="102" spans="1:16">
      <c r="A102" s="34" t="s">
        <v>933</v>
      </c>
      <c r="B102" s="40" t="s">
        <v>950</v>
      </c>
      <c r="C102" s="34" t="s">
        <v>180</v>
      </c>
      <c r="D102" s="40" t="s">
        <v>90</v>
      </c>
      <c r="E102" s="237">
        <f>D183</f>
        <v>0.27195768865502412</v>
      </c>
      <c r="F102" s="168">
        <v>1</v>
      </c>
      <c r="G102" s="34" t="s">
        <v>944</v>
      </c>
      <c r="H102" s="249">
        <v>1</v>
      </c>
      <c r="I102" s="10"/>
      <c r="J102" s="66">
        <v>2</v>
      </c>
      <c r="K102" s="10">
        <v>1</v>
      </c>
      <c r="L102" s="10">
        <v>1</v>
      </c>
      <c r="M102" s="292">
        <v>2</v>
      </c>
      <c r="N102" s="295">
        <f t="shared" ref="N102:N111" si="14">IF( OR( ISBLANK(H102),ISBLANK(J102), ISBLANK(K102), ISBLANK(L102), ISBLANK(M102) ), "", 1.5*SQRT(   EXP(2.21*(H102-1)) + EXP(2.21*(J102-1)) + EXP(2.21*(K102-1)) + EXP(2.21*(L102-1)) + EXP(2.21*M102)   )/100*2.45 )</f>
        <v>0.35859414261160716</v>
      </c>
      <c r="O102" s="443" t="str">
        <f t="shared" ref="O102:O111" si="15">IF( OR( ISBLANK(I102),ISBLANK(J102), ISBLANK(K102), ISBLANK(L102), ISBLANK(M102) ), "", 1.5*SQRT( EXP(2.21*(I102-1)) + EXP(2.21*(J102-1)) + EXP(2.21*(K102-1)) + EXP(2.21*(L102-1)) + EXP(2.21*M102)   )/100*2.45 )</f>
        <v/>
      </c>
      <c r="P102" s="68"/>
    </row>
    <row r="103" spans="1:16">
      <c r="A103" s="34" t="s">
        <v>933</v>
      </c>
      <c r="B103" s="161" t="s">
        <v>950</v>
      </c>
      <c r="C103" s="34" t="s">
        <v>180</v>
      </c>
      <c r="D103" s="40" t="s">
        <v>88</v>
      </c>
      <c r="E103" s="237">
        <f>D184</f>
        <v>0</v>
      </c>
      <c r="F103" s="168">
        <v>1</v>
      </c>
      <c r="G103" s="34" t="s">
        <v>944</v>
      </c>
      <c r="H103" s="249">
        <v>1</v>
      </c>
      <c r="I103" s="10"/>
      <c r="J103" s="66">
        <v>2</v>
      </c>
      <c r="K103" s="10">
        <v>1</v>
      </c>
      <c r="L103" s="10">
        <v>1</v>
      </c>
      <c r="M103" s="292">
        <v>2</v>
      </c>
      <c r="N103" s="295">
        <f t="shared" si="14"/>
        <v>0.35859414261160716</v>
      </c>
      <c r="O103" s="443" t="str">
        <f t="shared" si="15"/>
        <v/>
      </c>
      <c r="P103" s="68"/>
    </row>
    <row r="104" spans="1:16">
      <c r="A104" s="34" t="s">
        <v>933</v>
      </c>
      <c r="B104" s="161" t="s">
        <v>950</v>
      </c>
      <c r="C104" s="34" t="s">
        <v>180</v>
      </c>
      <c r="D104" s="40" t="s">
        <v>87</v>
      </c>
      <c r="E104" s="237">
        <f>D185</f>
        <v>0</v>
      </c>
      <c r="F104" s="168">
        <v>1</v>
      </c>
      <c r="G104" s="34" t="s">
        <v>944</v>
      </c>
      <c r="H104" s="249">
        <v>1</v>
      </c>
      <c r="I104" s="10"/>
      <c r="J104" s="66">
        <v>2</v>
      </c>
      <c r="K104" s="10">
        <v>1</v>
      </c>
      <c r="L104" s="10">
        <v>1</v>
      </c>
      <c r="M104" s="292">
        <v>2</v>
      </c>
      <c r="N104" s="295">
        <f t="shared" si="14"/>
        <v>0.35859414261160716</v>
      </c>
      <c r="O104" s="443" t="str">
        <f t="shared" si="15"/>
        <v/>
      </c>
      <c r="P104" s="68"/>
    </row>
    <row r="105" spans="1:16">
      <c r="A105" s="34" t="s">
        <v>933</v>
      </c>
      <c r="B105" s="161" t="s">
        <v>950</v>
      </c>
      <c r="C105" s="34" t="s">
        <v>180</v>
      </c>
      <c r="D105" s="40" t="s">
        <v>85</v>
      </c>
      <c r="E105" s="237">
        <f>D186</f>
        <v>0.60554438373698527</v>
      </c>
      <c r="F105" s="168">
        <v>1</v>
      </c>
      <c r="G105" s="34" t="s">
        <v>944</v>
      </c>
      <c r="H105" s="249">
        <v>1</v>
      </c>
      <c r="I105" s="10"/>
      <c r="J105" s="10">
        <v>2</v>
      </c>
      <c r="K105" s="10">
        <v>1</v>
      </c>
      <c r="L105" s="10">
        <v>1</v>
      </c>
      <c r="M105" s="290">
        <v>2</v>
      </c>
      <c r="N105" s="295">
        <f t="shared" si="14"/>
        <v>0.35859414261160716</v>
      </c>
      <c r="O105" s="443" t="str">
        <f t="shared" si="15"/>
        <v/>
      </c>
      <c r="P105" s="68"/>
    </row>
    <row r="106" spans="1:16">
      <c r="A106" s="34" t="s">
        <v>933</v>
      </c>
      <c r="B106" s="161" t="s">
        <v>950</v>
      </c>
      <c r="C106" s="34" t="s">
        <v>180</v>
      </c>
      <c r="D106" s="40" t="s">
        <v>86</v>
      </c>
      <c r="E106" s="237">
        <f>D187</f>
        <v>0</v>
      </c>
      <c r="F106" s="168">
        <v>1</v>
      </c>
      <c r="G106" s="34" t="s">
        <v>944</v>
      </c>
      <c r="H106" s="249">
        <v>1</v>
      </c>
      <c r="I106" s="10"/>
      <c r="J106" s="10">
        <v>2</v>
      </c>
      <c r="K106" s="10">
        <v>1</v>
      </c>
      <c r="L106" s="10">
        <v>1</v>
      </c>
      <c r="M106" s="290">
        <v>2</v>
      </c>
      <c r="N106" s="295">
        <f t="shared" si="14"/>
        <v>0.35859414261160716</v>
      </c>
      <c r="O106" s="443" t="str">
        <f t="shared" si="15"/>
        <v/>
      </c>
      <c r="P106" s="68"/>
    </row>
    <row r="107" spans="1:16">
      <c r="A107" s="34" t="s">
        <v>933</v>
      </c>
      <c r="B107" s="161" t="s">
        <v>950</v>
      </c>
      <c r="C107" s="34" t="s">
        <v>182</v>
      </c>
      <c r="D107" s="40" t="s">
        <v>90</v>
      </c>
      <c r="E107" s="237">
        <f>D165</f>
        <v>0.39542276466265769</v>
      </c>
      <c r="F107" s="168">
        <v>1</v>
      </c>
      <c r="G107" s="34" t="s">
        <v>945</v>
      </c>
      <c r="H107" s="249"/>
      <c r="I107" s="10">
        <v>1</v>
      </c>
      <c r="J107" s="66">
        <v>2</v>
      </c>
      <c r="K107" s="10">
        <v>1</v>
      </c>
      <c r="L107" s="10">
        <v>1</v>
      </c>
      <c r="M107" s="290">
        <v>2</v>
      </c>
      <c r="N107" s="295" t="str">
        <f t="shared" si="14"/>
        <v/>
      </c>
      <c r="O107" s="443">
        <f t="shared" si="15"/>
        <v>0.35859414261160716</v>
      </c>
      <c r="P107" s="68"/>
    </row>
    <row r="108" spans="1:16">
      <c r="A108" s="34" t="s">
        <v>933</v>
      </c>
      <c r="B108" s="161" t="s">
        <v>950</v>
      </c>
      <c r="C108" s="34" t="s">
        <v>182</v>
      </c>
      <c r="D108" s="40" t="s">
        <v>88</v>
      </c>
      <c r="E108" s="237">
        <f t="shared" ref="E108:E111" si="16">D166</f>
        <v>0</v>
      </c>
      <c r="F108" s="168">
        <v>1</v>
      </c>
      <c r="G108" s="34" t="s">
        <v>945</v>
      </c>
      <c r="H108" s="249"/>
      <c r="I108" s="10">
        <v>1</v>
      </c>
      <c r="J108" s="66">
        <v>2</v>
      </c>
      <c r="K108" s="10">
        <v>1</v>
      </c>
      <c r="L108" s="10">
        <v>1</v>
      </c>
      <c r="M108" s="290">
        <v>2</v>
      </c>
      <c r="N108" s="295" t="str">
        <f t="shared" si="14"/>
        <v/>
      </c>
      <c r="O108" s="443">
        <f t="shared" si="15"/>
        <v>0.35859414261160716</v>
      </c>
      <c r="P108" s="68"/>
    </row>
    <row r="109" spans="1:16">
      <c r="A109" s="34" t="s">
        <v>933</v>
      </c>
      <c r="B109" s="161" t="s">
        <v>950</v>
      </c>
      <c r="C109" s="34" t="s">
        <v>182</v>
      </c>
      <c r="D109" s="40" t="s">
        <v>87</v>
      </c>
      <c r="E109" s="237">
        <f t="shared" si="16"/>
        <v>0</v>
      </c>
      <c r="F109" s="168">
        <v>1</v>
      </c>
      <c r="G109" s="34" t="s">
        <v>945</v>
      </c>
      <c r="H109" s="249"/>
      <c r="I109" s="10">
        <v>1</v>
      </c>
      <c r="J109" s="66">
        <v>2</v>
      </c>
      <c r="K109" s="10">
        <v>1</v>
      </c>
      <c r="L109" s="10">
        <v>1</v>
      </c>
      <c r="M109" s="290">
        <v>2</v>
      </c>
      <c r="N109" s="295" t="str">
        <f t="shared" si="14"/>
        <v/>
      </c>
      <c r="O109" s="443">
        <f t="shared" si="15"/>
        <v>0.35859414261160716</v>
      </c>
      <c r="P109" s="68"/>
    </row>
    <row r="110" spans="1:16">
      <c r="A110" s="34" t="s">
        <v>933</v>
      </c>
      <c r="B110" s="161" t="s">
        <v>950</v>
      </c>
      <c r="C110" s="34" t="s">
        <v>182</v>
      </c>
      <c r="D110" s="40" t="s">
        <v>85</v>
      </c>
      <c r="E110" s="237">
        <f t="shared" si="16"/>
        <v>0.68011265147296251</v>
      </c>
      <c r="F110" s="168">
        <v>1</v>
      </c>
      <c r="G110" s="34" t="s">
        <v>945</v>
      </c>
      <c r="H110" s="249"/>
      <c r="I110" s="10">
        <v>1</v>
      </c>
      <c r="J110" s="10">
        <v>2</v>
      </c>
      <c r="K110" s="10">
        <v>1</v>
      </c>
      <c r="L110" s="10">
        <v>1</v>
      </c>
      <c r="M110" s="290">
        <v>2</v>
      </c>
      <c r="N110" s="295" t="str">
        <f t="shared" si="14"/>
        <v/>
      </c>
      <c r="O110" s="443">
        <f t="shared" si="15"/>
        <v>0.35859414261160716</v>
      </c>
      <c r="P110" s="68"/>
    </row>
    <row r="111" spans="1:16" ht="15" thickBot="1">
      <c r="A111" s="35" t="s">
        <v>933</v>
      </c>
      <c r="B111" s="161" t="s">
        <v>950</v>
      </c>
      <c r="C111" s="35" t="s">
        <v>182</v>
      </c>
      <c r="D111" s="153" t="s">
        <v>86</v>
      </c>
      <c r="E111" s="237">
        <f t="shared" si="16"/>
        <v>0</v>
      </c>
      <c r="F111" s="170">
        <v>1</v>
      </c>
      <c r="G111" s="149" t="s">
        <v>945</v>
      </c>
      <c r="H111" s="248"/>
      <c r="I111" s="10">
        <v>1</v>
      </c>
      <c r="J111" s="10">
        <v>2</v>
      </c>
      <c r="K111" s="10">
        <v>1</v>
      </c>
      <c r="L111" s="10">
        <v>1</v>
      </c>
      <c r="M111" s="290">
        <v>2</v>
      </c>
      <c r="N111" s="295" t="str">
        <f t="shared" si="14"/>
        <v/>
      </c>
      <c r="O111" s="443">
        <f t="shared" si="15"/>
        <v>0.35859414261160716</v>
      </c>
      <c r="P111" s="68"/>
    </row>
    <row r="112" spans="1:16">
      <c r="A112" s="33" t="s">
        <v>950</v>
      </c>
      <c r="B112" s="316" t="str">
        <f>B236</f>
        <v>Dumping</v>
      </c>
      <c r="C112" s="95" t="str">
        <f>C236</f>
        <v>any</v>
      </c>
      <c r="D112" s="316" t="str">
        <f>D236</f>
        <v>any</v>
      </c>
      <c r="E112" s="447">
        <f>E236</f>
        <v>2.7E-4</v>
      </c>
      <c r="F112" s="450">
        <f>F236</f>
        <v>2</v>
      </c>
      <c r="G112" s="33" t="s">
        <v>951</v>
      </c>
      <c r="H112" s="250">
        <v>2</v>
      </c>
      <c r="I112" s="13">
        <v>2</v>
      </c>
      <c r="J112" s="13">
        <v>2</v>
      </c>
      <c r="K112" s="13">
        <v>3</v>
      </c>
      <c r="L112" s="13">
        <v>3</v>
      </c>
      <c r="M112" s="289">
        <v>3</v>
      </c>
      <c r="N112" s="295">
        <f t="shared" ref="N112:N135" si="17">IF( OR( ISBLANK(H112),ISBLANK(J112), ISBLANK(K112), ISBLANK(L112), ISBLANK(M112) ), "", 1.5*SQRT(   EXP(2.21*(H112-1)) + EXP(2.21*(J112-1)) + EXP(2.21*(K112-1)) + EXP(2.21*(L112-1)) + EXP(2.21*M112)   )/100*2.45 )</f>
        <v>1.1278755061256258</v>
      </c>
      <c r="O112" s="443">
        <f t="shared" ref="O112:O135" si="18">IF( OR( ISBLANK(I112),ISBLANK(J112), ISBLANK(K112), ISBLANK(L112), ISBLANK(M112) ), "", 1.5*SQRT( EXP(2.21*(I112-1)) + EXP(2.21*(J112-1)) + EXP(2.21*(K112-1)) + EXP(2.21*(L112-1)) + EXP(2.21*M112)   )/100*2.45 )</f>
        <v>1.1278755061256258</v>
      </c>
      <c r="P112" s="68"/>
    </row>
    <row r="113" spans="1:32">
      <c r="A113" s="34" t="s">
        <v>950</v>
      </c>
      <c r="B113" s="304" t="str">
        <f t="shared" ref="B113:D123" si="19">B237</f>
        <v>Agricultural waste collection</v>
      </c>
      <c r="C113" s="68" t="str">
        <f t="shared" si="19"/>
        <v>any</v>
      </c>
      <c r="D113" s="304" t="str">
        <f t="shared" si="19"/>
        <v>any</v>
      </c>
      <c r="E113" s="448" t="s">
        <v>150</v>
      </c>
      <c r="F113" s="451">
        <f t="shared" ref="F113:F123" si="20">F237</f>
        <v>1</v>
      </c>
      <c r="G113" s="68"/>
      <c r="H113" s="249"/>
      <c r="I113" s="10"/>
      <c r="J113" s="10"/>
      <c r="K113" s="10"/>
      <c r="L113" s="10"/>
      <c r="M113" s="290"/>
      <c r="N113" s="295" t="str">
        <f t="shared" si="17"/>
        <v/>
      </c>
      <c r="O113" s="443" t="str">
        <f t="shared" si="18"/>
        <v/>
      </c>
      <c r="P113" s="68"/>
    </row>
    <row r="114" spans="1:32">
      <c r="A114" s="34" t="s">
        <v>950</v>
      </c>
      <c r="B114" s="304" t="str">
        <f t="shared" si="19"/>
        <v>Agricultural soil (micro)</v>
      </c>
      <c r="C114" s="68" t="str">
        <f t="shared" si="19"/>
        <v>any</v>
      </c>
      <c r="D114" s="304" t="str">
        <f t="shared" si="19"/>
        <v>any</v>
      </c>
      <c r="E114" s="448">
        <f t="shared" ref="E114:E123" si="21">E238</f>
        <v>0.02</v>
      </c>
      <c r="F114" s="451">
        <f t="shared" si="20"/>
        <v>2</v>
      </c>
      <c r="G114" s="68" t="str">
        <f>G238</f>
        <v>Assumption by Kawecki and Nowack (explained on page 38 of the SI)</v>
      </c>
      <c r="H114" s="249">
        <v>2</v>
      </c>
      <c r="I114" s="10">
        <v>2</v>
      </c>
      <c r="J114" s="10">
        <v>2</v>
      </c>
      <c r="K114" s="10">
        <v>1</v>
      </c>
      <c r="L114" s="10">
        <v>1</v>
      </c>
      <c r="M114" s="290">
        <v>3</v>
      </c>
      <c r="N114" s="295">
        <f t="shared" si="17"/>
        <v>1.0248662490928169</v>
      </c>
      <c r="O114" s="443">
        <f t="shared" si="18"/>
        <v>1.0248662490928169</v>
      </c>
      <c r="P114" s="34" t="s">
        <v>952</v>
      </c>
    </row>
    <row r="115" spans="1:32">
      <c r="A115" s="34" t="s">
        <v>950</v>
      </c>
      <c r="B115" s="304" t="str">
        <f t="shared" si="19"/>
        <v>Agricultural soil (macro)</v>
      </c>
      <c r="C115" s="68" t="str">
        <f t="shared" si="19"/>
        <v>any</v>
      </c>
      <c r="D115" s="304" t="str">
        <f t="shared" si="19"/>
        <v>any</v>
      </c>
      <c r="E115" s="448">
        <f t="shared" si="21"/>
        <v>0</v>
      </c>
      <c r="F115" s="451">
        <f t="shared" si="20"/>
        <v>2</v>
      </c>
      <c r="G115" s="68" t="str">
        <f>G239</f>
        <v>Best case scenario</v>
      </c>
      <c r="H115" s="249"/>
      <c r="I115" s="10"/>
      <c r="J115" s="10"/>
      <c r="K115" s="10"/>
      <c r="L115" s="10"/>
      <c r="M115" s="290"/>
      <c r="N115" s="295" t="str">
        <f t="shared" si="17"/>
        <v/>
      </c>
      <c r="O115" s="443" t="str">
        <f t="shared" si="18"/>
        <v/>
      </c>
      <c r="P115" s="68"/>
    </row>
    <row r="116" spans="1:32">
      <c r="A116" s="34" t="s">
        <v>950</v>
      </c>
      <c r="B116" s="304" t="str">
        <f t="shared" si="19"/>
        <v>Agricultural soil (macro)</v>
      </c>
      <c r="C116" s="68" t="str">
        <f t="shared" si="19"/>
        <v>any</v>
      </c>
      <c r="D116" s="304" t="str">
        <f t="shared" si="19"/>
        <v>any</v>
      </c>
      <c r="E116" s="448">
        <f t="shared" si="21"/>
        <v>3.6999999999999998E-2</v>
      </c>
      <c r="F116" s="451">
        <f t="shared" si="20"/>
        <v>2</v>
      </c>
      <c r="G116" s="68" t="str">
        <f>G240</f>
        <v>Based on Agreste. Chiffres-Clés : 61 Hectares En Moyenne Par Exploitation; 2017</v>
      </c>
      <c r="H116" s="249">
        <v>2</v>
      </c>
      <c r="I116" s="10">
        <v>2</v>
      </c>
      <c r="J116" s="10">
        <v>2</v>
      </c>
      <c r="K116" s="10">
        <v>1</v>
      </c>
      <c r="L116" s="10">
        <v>1</v>
      </c>
      <c r="M116" s="290">
        <v>3</v>
      </c>
      <c r="N116" s="295">
        <f t="shared" si="17"/>
        <v>1.0248662490928169</v>
      </c>
      <c r="O116" s="443">
        <f t="shared" si="18"/>
        <v>1.0248662490928169</v>
      </c>
      <c r="P116" s="68"/>
    </row>
    <row r="117" spans="1:32" ht="15" thickBot="1">
      <c r="A117" s="149" t="s">
        <v>950</v>
      </c>
      <c r="B117" s="319" t="str">
        <f t="shared" si="19"/>
        <v>Collected organic waste</v>
      </c>
      <c r="C117" s="320" t="str">
        <f t="shared" si="19"/>
        <v>any</v>
      </c>
      <c r="D117" s="319" t="str">
        <f t="shared" si="19"/>
        <v>any</v>
      </c>
      <c r="E117" s="449">
        <f t="shared" si="21"/>
        <v>3.5000000000000003E-2</v>
      </c>
      <c r="F117" s="429">
        <f t="shared" si="20"/>
        <v>2</v>
      </c>
      <c r="G117" s="320" t="str">
        <f>G241</f>
        <v>See calculation in Compost sheet</v>
      </c>
      <c r="H117" s="441">
        <v>1</v>
      </c>
      <c r="I117" s="427">
        <v>2</v>
      </c>
      <c r="J117" s="427">
        <v>3</v>
      </c>
      <c r="K117" s="427">
        <v>3</v>
      </c>
      <c r="L117" s="427">
        <v>3</v>
      </c>
      <c r="M117" s="453">
        <v>2</v>
      </c>
      <c r="N117" s="295">
        <f t="shared" si="17"/>
        <v>0.67101227267249941</v>
      </c>
      <c r="O117" s="443">
        <f t="shared" si="18"/>
        <v>0.67913051197703389</v>
      </c>
      <c r="P117" s="68"/>
    </row>
    <row r="118" spans="1:32">
      <c r="A118" s="95" t="str">
        <f t="shared" ref="A118:A123" si="22">A242</f>
        <v>Agricultural other</v>
      </c>
      <c r="B118" s="316" t="str">
        <f t="shared" si="19"/>
        <v>Dumping</v>
      </c>
      <c r="C118" s="95" t="str">
        <f t="shared" si="19"/>
        <v>any</v>
      </c>
      <c r="D118" s="316" t="str">
        <f t="shared" si="19"/>
        <v>any</v>
      </c>
      <c r="E118" s="447">
        <f t="shared" si="21"/>
        <v>2.7E-4</v>
      </c>
      <c r="F118" s="450">
        <f t="shared" si="20"/>
        <v>2</v>
      </c>
      <c r="G118" s="33" t="s">
        <v>951</v>
      </c>
      <c r="H118" s="250">
        <v>2</v>
      </c>
      <c r="I118" s="13">
        <v>2</v>
      </c>
      <c r="J118" s="13">
        <v>2</v>
      </c>
      <c r="K118" s="13">
        <v>3</v>
      </c>
      <c r="L118" s="13">
        <v>3</v>
      </c>
      <c r="M118" s="289">
        <v>3</v>
      </c>
      <c r="N118" s="295">
        <f t="shared" si="17"/>
        <v>1.1278755061256258</v>
      </c>
      <c r="O118" s="443">
        <f t="shared" si="18"/>
        <v>1.1278755061256258</v>
      </c>
      <c r="P118" s="68"/>
    </row>
    <row r="119" spans="1:32">
      <c r="A119" s="68" t="str">
        <f t="shared" si="22"/>
        <v>Agricultural other</v>
      </c>
      <c r="B119" s="304" t="str">
        <f t="shared" si="19"/>
        <v>Agricultural waste collection</v>
      </c>
      <c r="C119" s="68" t="str">
        <f t="shared" si="19"/>
        <v>any</v>
      </c>
      <c r="D119" s="304" t="str">
        <f t="shared" si="19"/>
        <v>any</v>
      </c>
      <c r="E119" s="448" t="str">
        <f t="shared" si="21"/>
        <v>rest</v>
      </c>
      <c r="F119" s="451">
        <f t="shared" si="20"/>
        <v>1</v>
      </c>
      <c r="G119" s="68"/>
      <c r="H119" s="249"/>
      <c r="I119" s="10"/>
      <c r="J119" s="10"/>
      <c r="K119" s="10"/>
      <c r="L119" s="10"/>
      <c r="M119" s="290"/>
      <c r="N119" s="295" t="str">
        <f t="shared" si="17"/>
        <v/>
      </c>
      <c r="O119" s="443" t="str">
        <f t="shared" si="18"/>
        <v/>
      </c>
      <c r="P119" s="68"/>
    </row>
    <row r="120" spans="1:32">
      <c r="A120" s="68" t="str">
        <f t="shared" si="22"/>
        <v>Agricultural other</v>
      </c>
      <c r="B120" s="304" t="str">
        <f t="shared" si="19"/>
        <v>Agricultural soil (micro)</v>
      </c>
      <c r="C120" s="68" t="str">
        <f t="shared" si="19"/>
        <v>any</v>
      </c>
      <c r="D120" s="304" t="str">
        <f t="shared" si="19"/>
        <v>any</v>
      </c>
      <c r="E120" s="448">
        <f t="shared" si="21"/>
        <v>1E-3</v>
      </c>
      <c r="F120" s="451">
        <f t="shared" si="20"/>
        <v>2</v>
      </c>
      <c r="G120" s="68" t="str">
        <f>G244</f>
        <v>Assumption</v>
      </c>
      <c r="H120" s="249">
        <v>1</v>
      </c>
      <c r="I120" s="10">
        <v>1</v>
      </c>
      <c r="J120" s="10">
        <v>1</v>
      </c>
      <c r="K120" s="10">
        <v>1</v>
      </c>
      <c r="L120" s="10">
        <v>1</v>
      </c>
      <c r="M120" s="290">
        <v>3</v>
      </c>
      <c r="N120" s="295">
        <f t="shared" si="17"/>
        <v>1.0141150152164344</v>
      </c>
      <c r="O120" s="443">
        <f t="shared" si="18"/>
        <v>1.0141150152164344</v>
      </c>
      <c r="P120" s="68"/>
    </row>
    <row r="121" spans="1:32">
      <c r="A121" s="68" t="str">
        <f t="shared" si="22"/>
        <v>Agricultural other</v>
      </c>
      <c r="B121" s="304" t="str">
        <f t="shared" si="19"/>
        <v>Agricultural soil (macro)</v>
      </c>
      <c r="C121" s="68" t="str">
        <f t="shared" si="19"/>
        <v>any</v>
      </c>
      <c r="D121" s="304" t="str">
        <f t="shared" si="19"/>
        <v>any</v>
      </c>
      <c r="E121" s="448">
        <f t="shared" si="21"/>
        <v>0</v>
      </c>
      <c r="F121" s="451">
        <f t="shared" si="20"/>
        <v>2</v>
      </c>
      <c r="G121" s="68" t="str">
        <f>G245</f>
        <v>Best case scenario</v>
      </c>
      <c r="H121" s="249"/>
      <c r="I121" s="10"/>
      <c r="J121" s="10"/>
      <c r="K121" s="10"/>
      <c r="L121" s="10"/>
      <c r="M121" s="290"/>
      <c r="N121" s="295" t="str">
        <f t="shared" si="17"/>
        <v/>
      </c>
      <c r="O121" s="443" t="str">
        <f t="shared" si="18"/>
        <v/>
      </c>
      <c r="P121" s="68"/>
    </row>
    <row r="122" spans="1:32">
      <c r="A122" s="68" t="str">
        <f t="shared" si="22"/>
        <v>Agricultural other</v>
      </c>
      <c r="B122" s="304" t="str">
        <f t="shared" si="19"/>
        <v>Agricultural soil (macro)</v>
      </c>
      <c r="C122" s="68" t="str">
        <f t="shared" si="19"/>
        <v>any</v>
      </c>
      <c r="D122" s="304" t="str">
        <f t="shared" si="19"/>
        <v>any</v>
      </c>
      <c r="E122" s="448">
        <f t="shared" si="21"/>
        <v>3.7999999999999999E-2</v>
      </c>
      <c r="F122" s="451">
        <f t="shared" si="20"/>
        <v>2</v>
      </c>
      <c r="G122" s="68" t="str">
        <f>G246</f>
        <v>Based on Agreste. Chiffres-Clés : 61 Hectares En Moyenne Par Exploitation; 2017</v>
      </c>
      <c r="H122" s="249">
        <v>2</v>
      </c>
      <c r="I122" s="10">
        <v>2</v>
      </c>
      <c r="J122" s="10">
        <v>2</v>
      </c>
      <c r="K122" s="10">
        <v>1</v>
      </c>
      <c r="L122" s="10">
        <v>1</v>
      </c>
      <c r="M122" s="290">
        <v>3</v>
      </c>
      <c r="N122" s="295">
        <f t="shared" si="17"/>
        <v>1.0248662490928169</v>
      </c>
      <c r="O122" s="443">
        <f t="shared" si="18"/>
        <v>1.0248662490928169</v>
      </c>
      <c r="P122" s="68"/>
      <c r="X122" s="223"/>
      <c r="Y122" s="223"/>
      <c r="AA122" s="223"/>
      <c r="AB122" s="223"/>
      <c r="AC122" s="218"/>
      <c r="AD122" s="218"/>
      <c r="AE122" s="223"/>
      <c r="AF122" s="218"/>
    </row>
    <row r="123" spans="1:32" ht="15" thickBot="1">
      <c r="A123" s="320" t="str">
        <f t="shared" si="22"/>
        <v>Agricultural other</v>
      </c>
      <c r="B123" s="319" t="str">
        <f t="shared" si="19"/>
        <v>Collected organic waste</v>
      </c>
      <c r="C123" s="320" t="str">
        <f t="shared" si="19"/>
        <v>any</v>
      </c>
      <c r="D123" s="319" t="str">
        <f t="shared" si="19"/>
        <v>any</v>
      </c>
      <c r="E123" s="834">
        <f t="shared" si="21"/>
        <v>3.5000000000000003E-2</v>
      </c>
      <c r="F123" s="429">
        <f t="shared" si="20"/>
        <v>2</v>
      </c>
      <c r="G123" s="320" t="str">
        <f>G247</f>
        <v>See calculation in Compost sheet</v>
      </c>
      <c r="H123" s="441">
        <v>1</v>
      </c>
      <c r="I123" s="427">
        <v>2</v>
      </c>
      <c r="J123" s="427">
        <v>3</v>
      </c>
      <c r="K123" s="427">
        <v>3</v>
      </c>
      <c r="L123" s="427">
        <v>3</v>
      </c>
      <c r="M123" s="453">
        <v>2</v>
      </c>
      <c r="N123" s="295">
        <f t="shared" si="17"/>
        <v>0.67101227267249941</v>
      </c>
      <c r="O123" s="443">
        <f t="shared" si="18"/>
        <v>0.67913051197703389</v>
      </c>
      <c r="P123" s="68"/>
      <c r="X123" s="223"/>
      <c r="Y123" s="223"/>
      <c r="AA123" s="223"/>
      <c r="AB123" s="223"/>
      <c r="AC123" s="218"/>
      <c r="AD123" s="218"/>
      <c r="AE123" s="223"/>
      <c r="AF123" s="218"/>
    </row>
    <row r="124" spans="1:32">
      <c r="A124" s="150" t="s">
        <v>948</v>
      </c>
      <c r="B124" s="95" t="str">
        <f t="shared" ref="B124:D127" si="23">B250</f>
        <v>Agricultural soil (micro)</v>
      </c>
      <c r="C124" s="99" t="str">
        <f t="shared" si="23"/>
        <v>any</v>
      </c>
      <c r="D124" s="316" t="str">
        <f t="shared" si="23"/>
        <v>any</v>
      </c>
      <c r="E124" s="833" t="s">
        <v>150</v>
      </c>
      <c r="F124" s="316">
        <v>2</v>
      </c>
      <c r="G124" s="95" t="str">
        <f>G250</f>
        <v>Assumption</v>
      </c>
      <c r="H124" s="249">
        <v>1</v>
      </c>
      <c r="I124" s="10">
        <v>1</v>
      </c>
      <c r="J124" s="10">
        <v>1</v>
      </c>
      <c r="K124" s="10">
        <v>1</v>
      </c>
      <c r="L124" s="10">
        <v>1</v>
      </c>
      <c r="M124" s="290">
        <v>3</v>
      </c>
      <c r="N124" s="295">
        <f t="shared" si="17"/>
        <v>1.0141150152164344</v>
      </c>
      <c r="O124" s="443">
        <f t="shared" si="18"/>
        <v>1.0141150152164344</v>
      </c>
      <c r="P124" s="68" t="s">
        <v>952</v>
      </c>
      <c r="X124" s="223"/>
      <c r="Y124" s="223"/>
      <c r="AA124" s="223"/>
      <c r="AB124" s="223"/>
      <c r="AC124" s="218"/>
      <c r="AD124" s="218"/>
      <c r="AE124" s="223"/>
      <c r="AF124" s="218"/>
    </row>
    <row r="125" spans="1:32">
      <c r="A125" s="151" t="s">
        <v>948</v>
      </c>
      <c r="B125" s="68" t="str">
        <f t="shared" si="23"/>
        <v>Agricultural soil (macro)</v>
      </c>
      <c r="C125" s="100" t="str">
        <f t="shared" si="23"/>
        <v>any</v>
      </c>
      <c r="D125" s="304" t="str">
        <f t="shared" si="23"/>
        <v>any</v>
      </c>
      <c r="E125" s="448">
        <f>E251/SUM(E250:E253)</f>
        <v>0</v>
      </c>
      <c r="F125" s="304">
        <v>2</v>
      </c>
      <c r="G125" s="68" t="str">
        <f>G251</f>
        <v>Best case scenario</v>
      </c>
      <c r="H125" s="249"/>
      <c r="I125" s="10"/>
      <c r="J125" s="10"/>
      <c r="K125" s="10"/>
      <c r="L125" s="10"/>
      <c r="M125" s="290"/>
      <c r="N125" s="295" t="str">
        <f t="shared" si="17"/>
        <v/>
      </c>
      <c r="O125" s="443" t="str">
        <f t="shared" si="18"/>
        <v/>
      </c>
      <c r="P125" s="68" t="s">
        <v>953</v>
      </c>
      <c r="X125" s="223"/>
      <c r="Y125" s="223"/>
      <c r="AA125" s="223"/>
      <c r="AB125" s="223"/>
      <c r="AC125" s="218"/>
      <c r="AD125" s="218"/>
      <c r="AE125" s="223"/>
      <c r="AF125" s="218"/>
    </row>
    <row r="126" spans="1:32">
      <c r="A126" s="151" t="s">
        <v>948</v>
      </c>
      <c r="B126" s="68" t="str">
        <f t="shared" si="23"/>
        <v>Agricultural soil (macro)</v>
      </c>
      <c r="C126" s="100" t="str">
        <f t="shared" si="23"/>
        <v>any</v>
      </c>
      <c r="D126" s="304" t="str">
        <f t="shared" si="23"/>
        <v>any</v>
      </c>
      <c r="E126" s="448">
        <f>E252/SUM(E250:E253)</f>
        <v>0.51351351351351338</v>
      </c>
      <c r="F126" s="304">
        <v>2</v>
      </c>
      <c r="G126" s="68" t="str">
        <f>G252</f>
        <v>Based on Agreste. Chiffres-Clés : 61 Hectares En Moyenne Par Exploitation; 2017</v>
      </c>
      <c r="H126" s="249">
        <v>2</v>
      </c>
      <c r="I126" s="10">
        <v>2</v>
      </c>
      <c r="J126" s="10">
        <v>2</v>
      </c>
      <c r="K126" s="10">
        <v>1</v>
      </c>
      <c r="L126" s="10">
        <v>1</v>
      </c>
      <c r="M126" s="290">
        <v>3</v>
      </c>
      <c r="N126" s="295">
        <f t="shared" si="17"/>
        <v>1.0248662490928169</v>
      </c>
      <c r="O126" s="443">
        <f t="shared" si="18"/>
        <v>1.0248662490928169</v>
      </c>
      <c r="P126" s="68" t="s">
        <v>953</v>
      </c>
      <c r="X126" s="223"/>
      <c r="Y126" s="223"/>
      <c r="AA126" s="223"/>
      <c r="AB126" s="223"/>
      <c r="AC126" s="218"/>
      <c r="AD126" s="218"/>
      <c r="AE126" s="223"/>
      <c r="AF126" s="218"/>
    </row>
    <row r="127" spans="1:32" ht="15" thickBot="1">
      <c r="A127" s="227" t="s">
        <v>948</v>
      </c>
      <c r="B127" s="68" t="str">
        <f t="shared" si="23"/>
        <v>Collected organic waste</v>
      </c>
      <c r="C127" s="323" t="str">
        <f t="shared" si="23"/>
        <v>any</v>
      </c>
      <c r="D127" s="319" t="str">
        <f t="shared" si="23"/>
        <v>any</v>
      </c>
      <c r="E127" s="834">
        <f>E253/SUM(E250:E253)</f>
        <v>0.47297297297297297</v>
      </c>
      <c r="F127" s="319">
        <v>2</v>
      </c>
      <c r="G127" s="72" t="str">
        <f>G253</f>
        <v>See calculation in Compost sheet</v>
      </c>
      <c r="H127" s="441">
        <v>1</v>
      </c>
      <c r="I127" s="427">
        <v>2</v>
      </c>
      <c r="J127" s="427">
        <v>3</v>
      </c>
      <c r="K127" s="427">
        <v>3</v>
      </c>
      <c r="L127" s="427">
        <v>3</v>
      </c>
      <c r="M127" s="453">
        <v>2</v>
      </c>
      <c r="N127" s="295">
        <f t="shared" si="17"/>
        <v>0.67101227267249941</v>
      </c>
      <c r="O127" s="443">
        <f t="shared" si="18"/>
        <v>0.67913051197703389</v>
      </c>
      <c r="P127" s="68" t="s">
        <v>953</v>
      </c>
      <c r="X127" s="223"/>
      <c r="Y127" s="223"/>
      <c r="AA127" s="223"/>
      <c r="AB127" s="223"/>
      <c r="AC127" s="218"/>
      <c r="AD127" s="218"/>
      <c r="AE127" s="223"/>
      <c r="AF127" s="218"/>
    </row>
    <row r="128" spans="1:32">
      <c r="A128" s="161" t="s">
        <v>947</v>
      </c>
      <c r="B128" s="68" t="str">
        <f t="shared" ref="B128:D131" si="24">B238</f>
        <v>Agricultural soil (micro)</v>
      </c>
      <c r="C128" s="99" t="str">
        <f t="shared" si="24"/>
        <v>any</v>
      </c>
      <c r="D128" s="316" t="str">
        <f t="shared" si="24"/>
        <v>any</v>
      </c>
      <c r="E128" s="833" t="s">
        <v>150</v>
      </c>
      <c r="F128" s="450">
        <v>1</v>
      </c>
      <c r="G128" s="77" t="str">
        <f t="shared" ref="F128:G131" si="25">G238</f>
        <v>Assumption by Kawecki and Nowack (explained on page 38 of the SI)</v>
      </c>
      <c r="H128" s="250">
        <v>2</v>
      </c>
      <c r="I128" s="13">
        <v>2</v>
      </c>
      <c r="J128" s="13">
        <v>1</v>
      </c>
      <c r="K128" s="13">
        <v>1</v>
      </c>
      <c r="L128" s="13">
        <v>1</v>
      </c>
      <c r="M128" s="289">
        <v>3</v>
      </c>
      <c r="N128" s="295">
        <f t="shared" si="17"/>
        <v>1.0195048044558224</v>
      </c>
      <c r="O128" s="443">
        <f t="shared" si="18"/>
        <v>1.0195048044558224</v>
      </c>
      <c r="P128" s="68"/>
      <c r="X128" s="223"/>
      <c r="Y128" s="223"/>
      <c r="AA128" s="223"/>
      <c r="AB128" s="223"/>
      <c r="AC128" s="218"/>
      <c r="AD128" s="218"/>
      <c r="AE128" s="223"/>
      <c r="AF128" s="218"/>
    </row>
    <row r="129" spans="1:32">
      <c r="A129" s="161" t="s">
        <v>947</v>
      </c>
      <c r="B129" s="68" t="str">
        <f t="shared" si="24"/>
        <v>Agricultural soil (macro)</v>
      </c>
      <c r="C129" s="100" t="str">
        <f t="shared" si="24"/>
        <v>any</v>
      </c>
      <c r="D129" s="304" t="str">
        <f t="shared" si="24"/>
        <v>any</v>
      </c>
      <c r="E129" s="68">
        <f>E239/SUM(E238:E241)</f>
        <v>0</v>
      </c>
      <c r="F129" s="451">
        <f t="shared" si="25"/>
        <v>2</v>
      </c>
      <c r="G129" s="68" t="str">
        <f t="shared" si="25"/>
        <v>Best case scenario</v>
      </c>
      <c r="H129" s="249"/>
      <c r="I129" s="10"/>
      <c r="J129" s="10"/>
      <c r="K129" s="10"/>
      <c r="L129" s="10"/>
      <c r="M129" s="290"/>
      <c r="N129" s="295" t="str">
        <f t="shared" si="17"/>
        <v/>
      </c>
      <c r="O129" s="443" t="str">
        <f t="shared" si="18"/>
        <v/>
      </c>
      <c r="P129" s="68" t="s">
        <v>953</v>
      </c>
      <c r="X129" s="223"/>
      <c r="Y129" s="223"/>
      <c r="AA129" s="223"/>
      <c r="AB129" s="223"/>
      <c r="AC129" s="218"/>
      <c r="AD129" s="218"/>
      <c r="AE129" s="223"/>
      <c r="AF129" s="218"/>
    </row>
    <row r="130" spans="1:32">
      <c r="A130" s="161" t="s">
        <v>947</v>
      </c>
      <c r="B130" s="68" t="str">
        <f t="shared" si="24"/>
        <v>Agricultural soil (macro)</v>
      </c>
      <c r="C130" s="100" t="str">
        <f t="shared" si="24"/>
        <v>any</v>
      </c>
      <c r="D130" s="304" t="str">
        <f t="shared" si="24"/>
        <v>any</v>
      </c>
      <c r="E130" s="68">
        <f>E240/SUM(E238:E241)</f>
        <v>0.40217391304347827</v>
      </c>
      <c r="F130" s="451">
        <f t="shared" si="25"/>
        <v>2</v>
      </c>
      <c r="G130" s="68" t="str">
        <f t="shared" si="25"/>
        <v>Based on Agreste. Chiffres-Clés : 61 Hectares En Moyenne Par Exploitation; 2017</v>
      </c>
      <c r="H130" s="249">
        <v>2</v>
      </c>
      <c r="I130" s="10">
        <v>2</v>
      </c>
      <c r="J130" s="10">
        <v>2</v>
      </c>
      <c r="K130" s="10">
        <v>1</v>
      </c>
      <c r="L130" s="10">
        <v>1</v>
      </c>
      <c r="M130" s="290">
        <v>3</v>
      </c>
      <c r="N130" s="295">
        <f t="shared" si="17"/>
        <v>1.0248662490928169</v>
      </c>
      <c r="O130" s="443">
        <f t="shared" si="18"/>
        <v>1.0248662490928169</v>
      </c>
      <c r="P130" s="68" t="s">
        <v>953</v>
      </c>
      <c r="X130" s="223"/>
      <c r="Y130" s="223"/>
      <c r="AA130" s="223"/>
      <c r="AB130" s="223"/>
      <c r="AC130" s="218"/>
      <c r="AD130" s="218"/>
      <c r="AE130" s="223"/>
      <c r="AF130" s="218"/>
    </row>
    <row r="131" spans="1:32" ht="15" thickBot="1">
      <c r="A131" s="161" t="s">
        <v>947</v>
      </c>
      <c r="B131" s="320" t="str">
        <f t="shared" si="24"/>
        <v>Collected organic waste</v>
      </c>
      <c r="C131" s="323" t="str">
        <f t="shared" si="24"/>
        <v>any</v>
      </c>
      <c r="D131" s="319" t="str">
        <f t="shared" si="24"/>
        <v>any</v>
      </c>
      <c r="E131" s="320">
        <f>E241/SUM(E238:E241)</f>
        <v>0.38043478260869568</v>
      </c>
      <c r="F131" s="429">
        <f t="shared" si="25"/>
        <v>2</v>
      </c>
      <c r="G131" s="320" t="str">
        <f t="shared" si="25"/>
        <v>See calculation in Compost sheet</v>
      </c>
      <c r="H131" s="441">
        <v>1</v>
      </c>
      <c r="I131" s="427">
        <v>2</v>
      </c>
      <c r="J131" s="427">
        <v>3</v>
      </c>
      <c r="K131" s="427">
        <v>3</v>
      </c>
      <c r="L131" s="427">
        <v>3</v>
      </c>
      <c r="M131" s="453">
        <v>2</v>
      </c>
      <c r="N131" s="297">
        <f t="shared" si="17"/>
        <v>0.67101227267249941</v>
      </c>
      <c r="O131" s="443">
        <f t="shared" si="18"/>
        <v>0.67913051197703389</v>
      </c>
      <c r="P131" s="68" t="s">
        <v>953</v>
      </c>
      <c r="X131" s="223"/>
      <c r="Y131" s="223"/>
      <c r="AA131" s="223"/>
      <c r="AB131" s="223"/>
      <c r="AC131" s="218"/>
      <c r="AD131" s="218"/>
      <c r="AE131" s="223"/>
      <c r="AF131" s="218"/>
    </row>
    <row r="132" spans="1:32">
      <c r="A132" s="150" t="s">
        <v>943</v>
      </c>
      <c r="B132" s="95" t="str">
        <f t="shared" ref="B132:D133" si="26">B248</f>
        <v>Dumping</v>
      </c>
      <c r="C132" s="99" t="str">
        <f t="shared" si="26"/>
        <v>any</v>
      </c>
      <c r="D132" s="316" t="str">
        <f t="shared" si="26"/>
        <v>any</v>
      </c>
      <c r="E132" s="95">
        <f>E248/SUM(E249,E248)</f>
        <v>2.9157667386609074E-4</v>
      </c>
      <c r="F132" s="316">
        <v>2</v>
      </c>
      <c r="G132" s="33" t="s">
        <v>951</v>
      </c>
      <c r="H132" s="250">
        <v>2</v>
      </c>
      <c r="I132" s="13">
        <v>2</v>
      </c>
      <c r="J132" s="13">
        <v>1</v>
      </c>
      <c r="K132" s="13">
        <v>3</v>
      </c>
      <c r="L132" s="13">
        <v>3</v>
      </c>
      <c r="M132" s="289">
        <v>3</v>
      </c>
      <c r="N132" s="294">
        <f t="shared" si="17"/>
        <v>1.123005955058592</v>
      </c>
      <c r="O132" s="443">
        <f t="shared" si="18"/>
        <v>1.123005955058592</v>
      </c>
      <c r="P132" s="68" t="s">
        <v>953</v>
      </c>
      <c r="X132" s="223"/>
      <c r="Y132" s="223"/>
      <c r="AA132" s="223"/>
      <c r="AB132" s="223"/>
      <c r="AC132" s="218"/>
      <c r="AD132" s="218"/>
      <c r="AE132" s="223"/>
      <c r="AF132" s="218"/>
    </row>
    <row r="133" spans="1:32" ht="15" thickBot="1">
      <c r="A133" s="227" t="s">
        <v>943</v>
      </c>
      <c r="B133" s="68" t="str">
        <f t="shared" si="26"/>
        <v>Agricultural waste collection</v>
      </c>
      <c r="C133" s="323" t="str">
        <f t="shared" si="26"/>
        <v>any</v>
      </c>
      <c r="D133" s="319" t="str">
        <f t="shared" si="26"/>
        <v>any</v>
      </c>
      <c r="E133" s="320" t="s">
        <v>150</v>
      </c>
      <c r="F133" s="319">
        <v>1</v>
      </c>
      <c r="G133" s="320"/>
      <c r="H133" s="248"/>
      <c r="I133" s="15"/>
      <c r="J133" s="15"/>
      <c r="K133" s="15"/>
      <c r="L133" s="15"/>
      <c r="M133" s="293"/>
      <c r="N133" s="297" t="str">
        <f t="shared" si="17"/>
        <v/>
      </c>
      <c r="O133" s="443" t="str">
        <f t="shared" si="18"/>
        <v/>
      </c>
      <c r="P133" s="68"/>
      <c r="X133" s="223"/>
      <c r="Y133" s="223"/>
      <c r="AA133" s="223"/>
      <c r="AB133" s="223"/>
      <c r="AC133" s="218"/>
      <c r="AD133" s="218"/>
      <c r="AE133" s="223"/>
      <c r="AF133" s="218"/>
    </row>
    <row r="134" spans="1:32">
      <c r="A134" s="161" t="s">
        <v>949</v>
      </c>
      <c r="B134" s="68" t="str">
        <f t="shared" ref="B134:D135" si="27">B236</f>
        <v>Dumping</v>
      </c>
      <c r="C134" s="99" t="str">
        <f t="shared" si="27"/>
        <v>any</v>
      </c>
      <c r="D134" s="316" t="str">
        <f t="shared" si="27"/>
        <v>any</v>
      </c>
      <c r="E134" s="95">
        <f>E236/(E236+E237)</f>
        <v>2.9735682819383261E-4</v>
      </c>
      <c r="F134" s="316">
        <v>2</v>
      </c>
      <c r="G134" s="33" t="s">
        <v>951</v>
      </c>
      <c r="H134" s="250">
        <v>2</v>
      </c>
      <c r="I134" s="13">
        <v>2</v>
      </c>
      <c r="J134" s="13">
        <v>1</v>
      </c>
      <c r="K134" s="13">
        <v>3</v>
      </c>
      <c r="L134" s="13">
        <v>3</v>
      </c>
      <c r="M134" s="289">
        <v>3</v>
      </c>
      <c r="N134" s="294">
        <f t="shared" si="17"/>
        <v>1.123005955058592</v>
      </c>
      <c r="O134" s="443">
        <f t="shared" si="18"/>
        <v>1.123005955058592</v>
      </c>
      <c r="P134" s="68" t="s">
        <v>953</v>
      </c>
      <c r="X134" s="223"/>
      <c r="Y134" s="223"/>
      <c r="AA134" s="223"/>
      <c r="AB134" s="223"/>
      <c r="AC134" s="218"/>
      <c r="AD134" s="218"/>
      <c r="AE134" s="223"/>
      <c r="AF134" s="218"/>
    </row>
    <row r="135" spans="1:32" ht="15" thickBot="1">
      <c r="A135" s="7" t="s">
        <v>949</v>
      </c>
      <c r="B135" s="320" t="str">
        <f t="shared" si="27"/>
        <v>Agricultural waste collection</v>
      </c>
      <c r="C135" s="323" t="str">
        <f t="shared" si="27"/>
        <v>any</v>
      </c>
      <c r="D135" s="319" t="str">
        <f t="shared" si="27"/>
        <v>any</v>
      </c>
      <c r="E135" s="320" t="s">
        <v>150</v>
      </c>
      <c r="F135" s="319">
        <v>1</v>
      </c>
      <c r="G135" s="320"/>
      <c r="H135" s="248"/>
      <c r="I135" s="15"/>
      <c r="J135" s="15"/>
      <c r="K135" s="15"/>
      <c r="L135" s="15"/>
      <c r="M135" s="293"/>
      <c r="N135" s="297" t="str">
        <f t="shared" si="17"/>
        <v/>
      </c>
      <c r="O135" s="443" t="str">
        <f t="shared" si="18"/>
        <v/>
      </c>
      <c r="P135" s="68"/>
      <c r="X135" s="223"/>
      <c r="Y135" s="223"/>
      <c r="AA135" s="223"/>
      <c r="AB135" s="223"/>
      <c r="AC135" s="218"/>
      <c r="AD135" s="218"/>
      <c r="AE135" s="223"/>
      <c r="AF135" s="218"/>
    </row>
    <row r="136" spans="1:32">
      <c r="A136" s="95" t="s">
        <v>144</v>
      </c>
      <c r="B136" s="99" t="s">
        <v>248</v>
      </c>
      <c r="C136" s="316" t="s">
        <v>139</v>
      </c>
      <c r="D136" s="34" t="s">
        <v>139</v>
      </c>
      <c r="E136" s="665" t="s">
        <v>150</v>
      </c>
      <c r="F136" s="669">
        <v>1</v>
      </c>
      <c r="G136" s="99"/>
      <c r="H136" s="250"/>
      <c r="I136" s="13"/>
      <c r="J136" s="13"/>
      <c r="K136" s="13"/>
      <c r="L136" s="13"/>
      <c r="M136" s="289"/>
      <c r="N136" s="294" t="s">
        <v>249</v>
      </c>
      <c r="O136" s="443" t="s">
        <v>249</v>
      </c>
      <c r="P136" s="34" t="s">
        <v>250</v>
      </c>
      <c r="X136" s="223"/>
      <c r="Y136" s="223"/>
      <c r="AA136" s="223"/>
      <c r="AB136" s="223"/>
      <c r="AC136" s="218"/>
      <c r="AD136" s="218"/>
      <c r="AE136" s="223"/>
      <c r="AF136" s="218"/>
    </row>
    <row r="137" spans="1:32">
      <c r="A137" s="68" t="s">
        <v>144</v>
      </c>
      <c r="B137" s="63" t="s">
        <v>251</v>
      </c>
      <c r="C137" s="40" t="s">
        <v>139</v>
      </c>
      <c r="D137" s="34" t="s">
        <v>139</v>
      </c>
      <c r="E137" s="666">
        <f>(1-0.004)*0.02/100</f>
        <v>1.9919999999999999E-4</v>
      </c>
      <c r="F137" s="670">
        <v>2</v>
      </c>
      <c r="G137" s="644" t="s">
        <v>252</v>
      </c>
      <c r="H137" s="15">
        <v>2</v>
      </c>
      <c r="I137" s="15">
        <v>1</v>
      </c>
      <c r="J137" s="15">
        <v>2</v>
      </c>
      <c r="K137" s="15">
        <v>3</v>
      </c>
      <c r="L137" s="15">
        <v>3</v>
      </c>
      <c r="M137" s="15">
        <v>1</v>
      </c>
      <c r="N137" s="295">
        <v>0.60108474454521421</v>
      </c>
      <c r="O137" s="443">
        <v>0.60108474454521421</v>
      </c>
      <c r="P137" s="34"/>
    </row>
    <row r="138" spans="1:32">
      <c r="A138" s="68" t="s">
        <v>144</v>
      </c>
      <c r="B138" s="63" t="s">
        <v>251</v>
      </c>
      <c r="C138" s="40" t="s">
        <v>139</v>
      </c>
      <c r="D138" s="34" t="s">
        <v>139</v>
      </c>
      <c r="E138" s="666">
        <f>(1-0.004)*0.06/100</f>
        <v>5.976E-4</v>
      </c>
      <c r="F138" s="670">
        <v>2</v>
      </c>
      <c r="G138" s="644" t="s">
        <v>252</v>
      </c>
      <c r="H138" s="71">
        <v>2</v>
      </c>
      <c r="I138" s="71">
        <v>1</v>
      </c>
      <c r="J138" s="71">
        <v>2</v>
      </c>
      <c r="K138" s="71">
        <v>3</v>
      </c>
      <c r="L138" s="71">
        <v>3</v>
      </c>
      <c r="M138" s="71">
        <v>1</v>
      </c>
      <c r="N138" s="295">
        <v>0.60108474454521421</v>
      </c>
      <c r="O138" s="443">
        <v>0.60108474454521421</v>
      </c>
      <c r="P138" s="34"/>
    </row>
    <row r="139" spans="1:32">
      <c r="A139" s="68" t="s">
        <v>144</v>
      </c>
      <c r="B139" s="100" t="s">
        <v>184</v>
      </c>
      <c r="C139" s="40" t="s">
        <v>139</v>
      </c>
      <c r="D139" s="34" t="s">
        <v>139</v>
      </c>
      <c r="E139" s="667">
        <v>0</v>
      </c>
      <c r="F139" s="671">
        <v>1</v>
      </c>
      <c r="G139" s="100" t="s">
        <v>253</v>
      </c>
      <c r="H139" s="249"/>
      <c r="I139" s="10"/>
      <c r="J139" s="10"/>
      <c r="K139" s="10"/>
      <c r="L139" s="10"/>
      <c r="M139" s="290"/>
      <c r="N139" s="295" t="s">
        <v>249</v>
      </c>
      <c r="O139" s="443" t="s">
        <v>249</v>
      </c>
      <c r="P139" s="34"/>
    </row>
    <row r="140" spans="1:32" ht="15" thickBot="1">
      <c r="A140" s="68" t="s">
        <v>144</v>
      </c>
      <c r="B140" s="63" t="s">
        <v>254</v>
      </c>
      <c r="C140" s="40" t="s">
        <v>139</v>
      </c>
      <c r="D140" s="34" t="s">
        <v>139</v>
      </c>
      <c r="E140" s="666">
        <f>0.004*0.02/100</f>
        <v>8.0000000000000007E-7</v>
      </c>
      <c r="F140" s="670">
        <v>2</v>
      </c>
      <c r="G140" s="644" t="s">
        <v>252</v>
      </c>
      <c r="H140" s="15">
        <v>2</v>
      </c>
      <c r="I140" s="15">
        <v>1</v>
      </c>
      <c r="J140" s="15">
        <v>2</v>
      </c>
      <c r="K140" s="15">
        <v>3</v>
      </c>
      <c r="L140" s="15">
        <v>3</v>
      </c>
      <c r="M140" s="15">
        <v>1</v>
      </c>
      <c r="N140" s="295">
        <v>0.60108474454521421</v>
      </c>
      <c r="O140" s="443">
        <v>0.60108474454521421</v>
      </c>
      <c r="P140" s="34"/>
    </row>
    <row r="141" spans="1:32">
      <c r="A141" s="68" t="s">
        <v>144</v>
      </c>
      <c r="B141" s="63" t="s">
        <v>254</v>
      </c>
      <c r="C141" s="40" t="s">
        <v>139</v>
      </c>
      <c r="D141" s="34" t="s">
        <v>139</v>
      </c>
      <c r="E141" s="666">
        <f>0.004*0.06/100</f>
        <v>2.3999999999999999E-6</v>
      </c>
      <c r="F141" s="670">
        <v>2</v>
      </c>
      <c r="G141" s="644" t="s">
        <v>252</v>
      </c>
      <c r="H141" s="13">
        <v>2</v>
      </c>
      <c r="I141" s="13">
        <v>1</v>
      </c>
      <c r="J141" s="13">
        <v>2</v>
      </c>
      <c r="K141" s="13">
        <v>3</v>
      </c>
      <c r="L141" s="13">
        <v>3</v>
      </c>
      <c r="M141" s="13">
        <v>1</v>
      </c>
      <c r="N141" s="295">
        <v>0.60108474454521421</v>
      </c>
      <c r="O141" s="443">
        <v>0.60108474454521421</v>
      </c>
      <c r="P141" s="34"/>
    </row>
    <row r="142" spans="1:32" ht="15" thickBot="1">
      <c r="A142" s="72" t="s">
        <v>144</v>
      </c>
      <c r="B142" s="648" t="s">
        <v>179</v>
      </c>
      <c r="C142" s="40" t="s">
        <v>139</v>
      </c>
      <c r="D142" s="34" t="s">
        <v>139</v>
      </c>
      <c r="E142" s="668">
        <v>0.1</v>
      </c>
      <c r="F142" s="672">
        <v>1</v>
      </c>
      <c r="G142" s="323" t="s">
        <v>255</v>
      </c>
      <c r="H142" s="248">
        <v>2</v>
      </c>
      <c r="I142" s="15">
        <v>2</v>
      </c>
      <c r="J142" s="15">
        <v>2</v>
      </c>
      <c r="K142" s="15">
        <v>3</v>
      </c>
      <c r="L142" s="15">
        <v>1</v>
      </c>
      <c r="M142" s="293">
        <v>1</v>
      </c>
      <c r="N142" s="297">
        <v>0.38795788889711302</v>
      </c>
      <c r="O142" s="443">
        <v>0.38795788889711302</v>
      </c>
      <c r="P142" s="34"/>
    </row>
    <row r="143" spans="1:32">
      <c r="A143" s="230" t="s">
        <v>165</v>
      </c>
      <c r="B143" s="33" t="s">
        <v>176</v>
      </c>
      <c r="C143" s="39" t="s">
        <v>139</v>
      </c>
      <c r="D143" s="33" t="s">
        <v>139</v>
      </c>
      <c r="E143" s="239">
        <v>1E-4</v>
      </c>
      <c r="F143" s="231">
        <v>2</v>
      </c>
      <c r="G143" s="39" t="s">
        <v>157</v>
      </c>
      <c r="H143" s="250">
        <v>1</v>
      </c>
      <c r="I143" s="13">
        <v>2</v>
      </c>
      <c r="J143" s="13">
        <v>1</v>
      </c>
      <c r="K143" s="13">
        <v>1</v>
      </c>
      <c r="L143" s="13">
        <v>1</v>
      </c>
      <c r="M143" s="289">
        <v>4</v>
      </c>
      <c r="N143" s="294">
        <v>1.0141150152164344</v>
      </c>
      <c r="O143" s="443">
        <v>1.0195048044558224</v>
      </c>
      <c r="P143" s="34"/>
    </row>
    <row r="144" spans="1:32">
      <c r="A144" s="151" t="s">
        <v>165</v>
      </c>
      <c r="B144" s="34" t="s">
        <v>184</v>
      </c>
      <c r="C144" s="40" t="s">
        <v>139</v>
      </c>
      <c r="D144" s="34" t="s">
        <v>139</v>
      </c>
      <c r="E144" s="240">
        <v>0</v>
      </c>
      <c r="F144" s="232">
        <v>1</v>
      </c>
      <c r="G144" s="40"/>
      <c r="H144" s="249"/>
      <c r="I144" s="10"/>
      <c r="J144" s="10"/>
      <c r="K144" s="10"/>
      <c r="L144" s="10"/>
      <c r="M144" s="290"/>
      <c r="N144" s="295" t="s">
        <v>249</v>
      </c>
      <c r="O144" s="443" t="s">
        <v>249</v>
      </c>
      <c r="P144" s="34"/>
    </row>
    <row r="145" spans="1:24">
      <c r="A145" s="151" t="s">
        <v>165</v>
      </c>
      <c r="B145" s="34" t="s">
        <v>179</v>
      </c>
      <c r="C145" s="40" t="s">
        <v>139</v>
      </c>
      <c r="D145" s="34" t="s">
        <v>139</v>
      </c>
      <c r="E145" s="240" t="s">
        <v>150</v>
      </c>
      <c r="F145" s="232">
        <v>1</v>
      </c>
      <c r="G145" s="40"/>
      <c r="H145" s="249"/>
      <c r="I145" s="10"/>
      <c r="J145" s="10"/>
      <c r="K145" s="10"/>
      <c r="L145" s="10"/>
      <c r="M145" s="290"/>
      <c r="N145" s="295" t="s">
        <v>249</v>
      </c>
      <c r="O145" s="443" t="s">
        <v>249</v>
      </c>
      <c r="P145" s="34"/>
    </row>
    <row r="146" spans="1:24">
      <c r="A146" s="151" t="s">
        <v>165</v>
      </c>
      <c r="B146" s="34" t="s">
        <v>144</v>
      </c>
      <c r="C146" s="40" t="s">
        <v>139</v>
      </c>
      <c r="D146" s="34" t="s">
        <v>139</v>
      </c>
      <c r="E146" s="240">
        <v>0.12</v>
      </c>
      <c r="F146" s="232">
        <v>1</v>
      </c>
      <c r="G146" s="40" t="s">
        <v>145</v>
      </c>
      <c r="H146" s="249">
        <v>2</v>
      </c>
      <c r="I146" s="10">
        <v>2</v>
      </c>
      <c r="J146" s="10">
        <v>2</v>
      </c>
      <c r="K146" s="10">
        <v>3</v>
      </c>
      <c r="L146" s="10">
        <v>1</v>
      </c>
      <c r="M146" s="290">
        <v>2</v>
      </c>
      <c r="N146" s="295">
        <v>0.48935255543384243</v>
      </c>
      <c r="O146" s="443" t="s">
        <v>249</v>
      </c>
      <c r="P146" s="34"/>
    </row>
    <row r="147" spans="1:24">
      <c r="A147" s="151" t="s">
        <v>165</v>
      </c>
      <c r="B147" s="34" t="s">
        <v>144</v>
      </c>
      <c r="C147" s="40" t="s">
        <v>139</v>
      </c>
      <c r="D147" s="34" t="s">
        <v>139</v>
      </c>
      <c r="E147" s="240">
        <v>0.1333</v>
      </c>
      <c r="F147" s="232">
        <v>1</v>
      </c>
      <c r="G147" s="40" t="s">
        <v>278</v>
      </c>
      <c r="H147" s="249">
        <v>2</v>
      </c>
      <c r="I147" s="10">
        <v>2</v>
      </c>
      <c r="J147" s="10">
        <v>2</v>
      </c>
      <c r="K147" s="10">
        <v>3</v>
      </c>
      <c r="L147" s="10">
        <v>1</v>
      </c>
      <c r="M147" s="290">
        <v>2</v>
      </c>
      <c r="N147" s="295">
        <v>0.48935255543384243</v>
      </c>
      <c r="O147" s="443" t="s">
        <v>249</v>
      </c>
      <c r="P147" s="34"/>
      <c r="Q147" s="221"/>
      <c r="R147" s="221"/>
      <c r="S147" s="221"/>
      <c r="T147" s="221"/>
      <c r="U147" s="221"/>
      <c r="V147" s="221"/>
      <c r="W147" s="221"/>
    </row>
    <row r="148" spans="1:24">
      <c r="A148" s="151" t="s">
        <v>165</v>
      </c>
      <c r="B148" s="34" t="s">
        <v>144</v>
      </c>
      <c r="C148" s="40" t="s">
        <v>139</v>
      </c>
      <c r="D148" s="34" t="s">
        <v>139</v>
      </c>
      <c r="E148" s="240">
        <v>0.26669999999999999</v>
      </c>
      <c r="F148" s="232">
        <v>1</v>
      </c>
      <c r="G148" s="40" t="s">
        <v>278</v>
      </c>
      <c r="H148" s="249">
        <v>2</v>
      </c>
      <c r="I148" s="10">
        <v>2</v>
      </c>
      <c r="J148" s="10">
        <v>2</v>
      </c>
      <c r="K148" s="10">
        <v>3</v>
      </c>
      <c r="L148" s="10">
        <v>1</v>
      </c>
      <c r="M148" s="290">
        <v>2</v>
      </c>
      <c r="N148" s="295">
        <v>0.48935255543384243</v>
      </c>
      <c r="O148" s="443" t="s">
        <v>249</v>
      </c>
      <c r="P148" s="34"/>
    </row>
    <row r="149" spans="1:24" ht="15" thickBot="1">
      <c r="A149" s="152" t="s">
        <v>165</v>
      </c>
      <c r="B149" s="35" t="s">
        <v>144</v>
      </c>
      <c r="C149" s="41" t="s">
        <v>139</v>
      </c>
      <c r="D149" s="35" t="s">
        <v>139</v>
      </c>
      <c r="E149" s="567">
        <v>0.2</v>
      </c>
      <c r="F149" s="233">
        <v>1</v>
      </c>
      <c r="G149" s="41" t="s">
        <v>279</v>
      </c>
      <c r="H149" s="252">
        <v>2</v>
      </c>
      <c r="I149" s="14">
        <v>2</v>
      </c>
      <c r="J149" s="14">
        <v>2</v>
      </c>
      <c r="K149" s="14">
        <v>3</v>
      </c>
      <c r="L149" s="14">
        <v>1</v>
      </c>
      <c r="M149" s="291">
        <v>2</v>
      </c>
      <c r="N149" s="296">
        <v>0.48935255543384243</v>
      </c>
      <c r="O149" s="444" t="s">
        <v>249</v>
      </c>
      <c r="P149" s="35" t="s">
        <v>280</v>
      </c>
    </row>
    <row r="151" spans="1:24" s="221" customFormat="1" ht="25.8">
      <c r="A151" s="466" t="s">
        <v>21</v>
      </c>
    </row>
    <row r="152" spans="1:24">
      <c r="B152" s="222"/>
    </row>
    <row r="153" spans="1:24">
      <c r="A153" s="308" t="s">
        <v>954</v>
      </c>
      <c r="B153" s="308" t="s">
        <v>955</v>
      </c>
      <c r="C153" s="308" t="s">
        <v>104</v>
      </c>
      <c r="D153" s="308" t="s">
        <v>956</v>
      </c>
      <c r="E153" s="504" t="s">
        <v>957</v>
      </c>
    </row>
    <row r="154" spans="1:24">
      <c r="A154" s="472" t="s">
        <v>958</v>
      </c>
      <c r="B154" s="474">
        <v>80</v>
      </c>
      <c r="C154" s="505" t="s">
        <v>959</v>
      </c>
      <c r="D154" t="s">
        <v>960</v>
      </c>
      <c r="E154" t="s">
        <v>961</v>
      </c>
    </row>
    <row r="155" spans="1:24">
      <c r="A155" s="472" t="s">
        <v>962</v>
      </c>
      <c r="B155" s="474">
        <v>80</v>
      </c>
      <c r="C155" s="505" t="s">
        <v>959</v>
      </c>
      <c r="D155" t="s">
        <v>960</v>
      </c>
      <c r="E155" t="s">
        <v>961</v>
      </c>
    </row>
    <row r="156" spans="1:24">
      <c r="A156" s="472" t="s">
        <v>963</v>
      </c>
      <c r="B156" s="482">
        <f>45/12</f>
        <v>3.75</v>
      </c>
      <c r="C156" s="505" t="s">
        <v>959</v>
      </c>
      <c r="D156" t="s">
        <v>960</v>
      </c>
      <c r="E156" t="s">
        <v>961</v>
      </c>
    </row>
    <row r="157" spans="1:24">
      <c r="A157" s="472" t="s">
        <v>964</v>
      </c>
      <c r="B157" s="482">
        <f>45/12</f>
        <v>3.75</v>
      </c>
      <c r="C157" s="505" t="s">
        <v>959</v>
      </c>
      <c r="D157" t="s">
        <v>960</v>
      </c>
      <c r="E157" t="s">
        <v>961</v>
      </c>
    </row>
    <row r="159" spans="1:24" ht="25.8">
      <c r="A159" s="466" t="s">
        <v>965</v>
      </c>
      <c r="B159" s="221"/>
      <c r="C159" s="221"/>
      <c r="D159" s="221"/>
      <c r="E159" s="221"/>
      <c r="F159" s="221"/>
      <c r="G159" s="221"/>
      <c r="H159" s="221"/>
      <c r="I159" s="221"/>
      <c r="J159" s="221"/>
      <c r="K159" s="221"/>
      <c r="L159" s="221"/>
      <c r="M159" s="221"/>
      <c r="N159" s="221"/>
      <c r="O159" s="221"/>
      <c r="P159" s="221"/>
      <c r="Q159" s="221"/>
      <c r="R159" s="221"/>
      <c r="S159" s="221"/>
      <c r="T159" s="221"/>
      <c r="U159" s="221"/>
      <c r="V159" s="221"/>
      <c r="W159" s="221"/>
      <c r="X159" s="221"/>
    </row>
    <row r="160" spans="1:24">
      <c r="A160" s="470" t="s">
        <v>966</v>
      </c>
      <c r="B160" s="469"/>
      <c r="C160" s="469"/>
      <c r="D160" s="469"/>
      <c r="E160" s="469"/>
      <c r="F160" s="469"/>
      <c r="G160" s="469"/>
      <c r="H160" s="469"/>
      <c r="I160" s="469"/>
      <c r="J160" s="469"/>
      <c r="K160" s="469"/>
      <c r="L160" s="469"/>
      <c r="M160" s="469"/>
      <c r="N160" s="469"/>
      <c r="O160" s="469"/>
      <c r="P160" s="469"/>
      <c r="Q160" s="469"/>
      <c r="R160" s="469"/>
      <c r="S160" s="469"/>
      <c r="T160" s="469"/>
      <c r="U160" s="469"/>
      <c r="V160" s="469"/>
      <c r="W160" s="469"/>
      <c r="X160" s="469"/>
    </row>
    <row r="161" spans="1:27">
      <c r="L161" s="223"/>
    </row>
    <row r="162" spans="1:27">
      <c r="B162" s="217"/>
      <c r="C162" s="217"/>
      <c r="K162" t="s">
        <v>967</v>
      </c>
      <c r="L162" s="223"/>
    </row>
    <row r="163" spans="1:27">
      <c r="J163" s="222" t="s">
        <v>968</v>
      </c>
      <c r="K163" s="465">
        <f>D200</f>
        <v>707810</v>
      </c>
      <c r="L163" s="223"/>
      <c r="N163" s="223"/>
      <c r="Q163" s="217"/>
    </row>
    <row r="164" spans="1:27">
      <c r="A164" s="480" t="s">
        <v>564</v>
      </c>
      <c r="B164" s="478" t="s">
        <v>969</v>
      </c>
      <c r="C164" s="478" t="s">
        <v>970</v>
      </c>
      <c r="D164" s="478" t="s">
        <v>971</v>
      </c>
      <c r="E164" s="478" t="s">
        <v>972</v>
      </c>
      <c r="F164" s="478" t="s">
        <v>973</v>
      </c>
      <c r="G164" s="478" t="s">
        <v>974</v>
      </c>
      <c r="H164" s="478" t="s">
        <v>975</v>
      </c>
      <c r="L164" s="223"/>
      <c r="M164" t="s">
        <v>47</v>
      </c>
      <c r="N164" t="s">
        <v>976</v>
      </c>
      <c r="O164" t="s">
        <v>977</v>
      </c>
    </row>
    <row r="165" spans="1:27">
      <c r="A165" s="479" t="s">
        <v>90</v>
      </c>
      <c r="B165" s="468">
        <f>R170+T170+V170+X170</f>
        <v>56385.258999999998</v>
      </c>
      <c r="C165" s="468">
        <f>B165/1000</f>
        <v>56.385258999999998</v>
      </c>
      <c r="D165" s="468">
        <f>$R170/$B165</f>
        <v>0.39542276466265769</v>
      </c>
      <c r="E165" s="468">
        <f>$T170/$B165</f>
        <v>0.18076469241721493</v>
      </c>
      <c r="F165" s="468">
        <f>$V170/$B165</f>
        <v>0.32338771379945241</v>
      </c>
      <c r="G165" s="468">
        <f>$X170/$B165</f>
        <v>0.10042482912067498</v>
      </c>
      <c r="H165" s="485">
        <f>B165/B171</f>
        <v>8.1385971394878576E-2</v>
      </c>
      <c r="I165" s="486">
        <f>SUM(D165:G165)</f>
        <v>1</v>
      </c>
      <c r="K165" t="s">
        <v>978</v>
      </c>
      <c r="L165" s="223" t="s">
        <v>979</v>
      </c>
      <c r="N165" s="223" t="s">
        <v>980</v>
      </c>
      <c r="P165" s="224"/>
      <c r="Q165" s="224"/>
      <c r="R165" s="224" t="s">
        <v>981</v>
      </c>
      <c r="S165" s="224"/>
      <c r="T165" s="224" t="s">
        <v>982</v>
      </c>
      <c r="U165" s="224"/>
      <c r="V165" s="224" t="s">
        <v>983</v>
      </c>
      <c r="W165" s="224"/>
      <c r="X165" s="224" t="s">
        <v>984</v>
      </c>
    </row>
    <row r="166" spans="1:27">
      <c r="A166" s="479" t="s">
        <v>88</v>
      </c>
      <c r="B166" s="481">
        <f>R171+T171+V171+X171</f>
        <v>3950.7650000000003</v>
      </c>
      <c r="C166" s="468">
        <f>B166/1000</f>
        <v>3.9507650000000005</v>
      </c>
      <c r="D166" s="468">
        <f>$R171/$B166</f>
        <v>0</v>
      </c>
      <c r="E166" s="468">
        <f>$T171/$B166</f>
        <v>0</v>
      </c>
      <c r="F166" s="468">
        <f>$V171/$B166</f>
        <v>1</v>
      </c>
      <c r="G166" s="468">
        <f>$X171/$B166</f>
        <v>0</v>
      </c>
      <c r="H166" s="485">
        <f>B166/B171</f>
        <v>5.702498365359774E-3</v>
      </c>
      <c r="I166" s="486">
        <f>SUM(D166:G166)</f>
        <v>1</v>
      </c>
      <c r="K166" s="463">
        <f>L166/(L166+L168)</f>
        <v>0.79746835443037967</v>
      </c>
      <c r="L166" s="464">
        <v>0.63</v>
      </c>
      <c r="M166" t="s">
        <v>985</v>
      </c>
      <c r="N166" s="217">
        <f>$K$163*L166</f>
        <v>445920.3</v>
      </c>
      <c r="O166" s="381">
        <f>N166/K163</f>
        <v>0.63</v>
      </c>
      <c r="P166" s="224"/>
      <c r="Q166" s="483"/>
      <c r="R166" s="483">
        <f>O166</f>
        <v>0.63</v>
      </c>
      <c r="S166" s="483"/>
      <c r="T166" s="483">
        <f>O172</f>
        <v>0.06</v>
      </c>
      <c r="U166" s="483"/>
      <c r="V166" s="483">
        <f>O176+O174+O170</f>
        <v>0.12880787216908493</v>
      </c>
      <c r="W166" s="483"/>
      <c r="X166" s="483">
        <f>L168</f>
        <v>0.16</v>
      </c>
    </row>
    <row r="167" spans="1:27">
      <c r="A167" s="479" t="s">
        <v>87</v>
      </c>
      <c r="B167" s="468">
        <f>R172+T172+V172+X172</f>
        <v>3950.7650000000003</v>
      </c>
      <c r="C167" s="468">
        <f>B167/1000</f>
        <v>3.9507650000000005</v>
      </c>
      <c r="D167" s="468">
        <f>$R172/$B167</f>
        <v>0</v>
      </c>
      <c r="E167" s="468">
        <f>$T172/$B167</f>
        <v>0</v>
      </c>
      <c r="F167" s="468">
        <f>$V172/$B167</f>
        <v>1</v>
      </c>
      <c r="G167" s="468">
        <f>$X172/$B167</f>
        <v>0</v>
      </c>
      <c r="H167" s="485">
        <f>B167/B171</f>
        <v>5.702498365359774E-3</v>
      </c>
      <c r="I167" s="486">
        <f>SUM(D167:G167)</f>
        <v>1</v>
      </c>
      <c r="K167" s="463"/>
      <c r="L167" s="223" t="s">
        <v>986</v>
      </c>
      <c r="N167" t="s">
        <v>987</v>
      </c>
      <c r="O167" s="381"/>
      <c r="P167" s="224" t="s">
        <v>988</v>
      </c>
      <c r="Q167" s="224"/>
      <c r="R167" s="485">
        <f>N166</f>
        <v>445920.3</v>
      </c>
      <c r="S167" s="485"/>
      <c r="T167" s="485">
        <f>N172</f>
        <v>42468.6</v>
      </c>
      <c r="U167" s="485"/>
      <c r="V167" s="485">
        <f>N170+N174+N176</f>
        <v>91171.5</v>
      </c>
      <c r="W167" s="485"/>
      <c r="X167" s="485">
        <f>N168</f>
        <v>113249.60000000001</v>
      </c>
    </row>
    <row r="168" spans="1:27">
      <c r="A168" s="479" t="s">
        <v>85</v>
      </c>
      <c r="B168" s="481">
        <f>R173+T173+V173+X173</f>
        <v>622873.70200000005</v>
      </c>
      <c r="C168" s="468">
        <f>B168/1000</f>
        <v>622.87370200000009</v>
      </c>
      <c r="D168" s="468">
        <f>$R173/$B168</f>
        <v>0.68011265147296251</v>
      </c>
      <c r="E168" s="468">
        <f>$T173/$B168</f>
        <v>4.9090838001055938E-2</v>
      </c>
      <c r="F168" s="468">
        <f>$V173/$B168</f>
        <v>9.8069487929673418E-2</v>
      </c>
      <c r="G168" s="468">
        <f>$X173/$B168</f>
        <v>0.17272702259630796</v>
      </c>
      <c r="H168" s="485">
        <f>B168/B171</f>
        <v>0.8990502516552088</v>
      </c>
      <c r="I168" s="486">
        <f>SUM(D168:G168)</f>
        <v>0.99999999999999978</v>
      </c>
      <c r="K168" s="463">
        <f>L168/(L166+L168)</f>
        <v>0.20253164556962025</v>
      </c>
      <c r="L168" s="464">
        <v>0.16</v>
      </c>
      <c r="M168" t="s">
        <v>989</v>
      </c>
      <c r="N168" s="217">
        <f>$K$163*L168</f>
        <v>113249.60000000001</v>
      </c>
      <c r="O168" s="381">
        <f>N168/K163</f>
        <v>0.16</v>
      </c>
      <c r="P168" s="224"/>
      <c r="Q168" s="224"/>
      <c r="R168" s="224"/>
      <c r="S168" s="224"/>
      <c r="T168" s="224"/>
      <c r="U168" s="224"/>
      <c r="V168" s="224"/>
      <c r="W168" s="224"/>
      <c r="X168" s="224"/>
    </row>
    <row r="169" spans="1:27">
      <c r="A169" s="479" t="s">
        <v>86</v>
      </c>
      <c r="B169" s="468">
        <f>R174+T174+V174+X174</f>
        <v>5649.509</v>
      </c>
      <c r="C169" s="468">
        <f>B169/1000</f>
        <v>5.6495090000000001</v>
      </c>
      <c r="D169" s="468">
        <f>$R174/$B169</f>
        <v>0</v>
      </c>
      <c r="E169" s="468">
        <f>$T174/$B169</f>
        <v>0.3006887855210072</v>
      </c>
      <c r="F169" s="468">
        <f>$V174/$B169</f>
        <v>0.6993112144789928</v>
      </c>
      <c r="G169" s="468">
        <f>$X174/$B169</f>
        <v>0</v>
      </c>
      <c r="H169" s="485">
        <f>B169/B171</f>
        <v>8.1544500464050193E-3</v>
      </c>
      <c r="I169" s="486">
        <f>SUM(D169:G169)</f>
        <v>1</v>
      </c>
      <c r="L169" s="223" t="s">
        <v>990</v>
      </c>
      <c r="N169" t="s">
        <v>990</v>
      </c>
      <c r="O169" s="381"/>
      <c r="P169" s="224" t="s">
        <v>991</v>
      </c>
      <c r="Q169" s="224" t="s">
        <v>992</v>
      </c>
      <c r="R169" s="224" t="s">
        <v>985</v>
      </c>
      <c r="S169" s="224" t="s">
        <v>992</v>
      </c>
      <c r="T169" s="224" t="s">
        <v>993</v>
      </c>
      <c r="U169" s="224" t="s">
        <v>994</v>
      </c>
      <c r="V169" s="224" t="s">
        <v>127</v>
      </c>
      <c r="W169" s="224" t="s">
        <v>992</v>
      </c>
      <c r="X169" s="224" t="s">
        <v>989</v>
      </c>
    </row>
    <row r="170" spans="1:27">
      <c r="H170" s="486">
        <f>SUM(H165:H169)</f>
        <v>0.99999566982721189</v>
      </c>
      <c r="L170" s="464">
        <v>0.11</v>
      </c>
      <c r="M170" t="s">
        <v>127</v>
      </c>
      <c r="N170" s="217">
        <f>$K$163*L170</f>
        <v>77859.100000000006</v>
      </c>
      <c r="O170" s="381">
        <f>N170/K163</f>
        <v>0.11000000000000001</v>
      </c>
      <c r="P170" s="224" t="s">
        <v>90</v>
      </c>
      <c r="Q170" s="483">
        <v>0.05</v>
      </c>
      <c r="R170" s="485">
        <f>Q170*R$167</f>
        <v>22296.014999999999</v>
      </c>
      <c r="S170" s="483">
        <v>0.24</v>
      </c>
      <c r="T170" s="485">
        <f>S170*T$167</f>
        <v>10192.464</v>
      </c>
      <c r="U170" s="483">
        <v>0.2</v>
      </c>
      <c r="V170" s="485">
        <f>U170*V$167</f>
        <v>18234.3</v>
      </c>
      <c r="W170" s="483">
        <v>0.05</v>
      </c>
      <c r="X170" s="485">
        <f>W170*X$167</f>
        <v>5662.4800000000005</v>
      </c>
      <c r="AA170" s="223"/>
    </row>
    <row r="171" spans="1:27">
      <c r="B171" s="486">
        <f>SUM(R176:X176)</f>
        <v>692812.99999999988</v>
      </c>
      <c r="C171" s="217"/>
      <c r="L171" s="223" t="s">
        <v>995</v>
      </c>
      <c r="N171" s="223" t="s">
        <v>995</v>
      </c>
      <c r="O171" s="381"/>
      <c r="P171" s="224" t="s">
        <v>88</v>
      </c>
      <c r="Q171" s="483"/>
      <c r="R171" s="485">
        <f>Q171*R$167</f>
        <v>0</v>
      </c>
      <c r="S171" s="483"/>
      <c r="T171" s="485">
        <f>S171*T$167</f>
        <v>0</v>
      </c>
      <c r="U171" s="483">
        <f>U174</f>
        <v>4.3333333333333335E-2</v>
      </c>
      <c r="V171" s="485">
        <f>U171*V$167</f>
        <v>3950.7650000000003</v>
      </c>
      <c r="W171" s="483"/>
      <c r="X171" s="485">
        <f>W171*X$167</f>
        <v>0</v>
      </c>
    </row>
    <row r="172" spans="1:27">
      <c r="L172" s="464">
        <v>0.06</v>
      </c>
      <c r="M172" t="s">
        <v>993</v>
      </c>
      <c r="N172" s="217">
        <f>$K$163*L172</f>
        <v>42468.6</v>
      </c>
      <c r="O172" s="381">
        <f>N172/K163</f>
        <v>0.06</v>
      </c>
      <c r="P172" s="224" t="s">
        <v>87</v>
      </c>
      <c r="Q172" s="483"/>
      <c r="R172" s="485">
        <f>Q172*R$167</f>
        <v>0</v>
      </c>
      <c r="S172" s="483"/>
      <c r="T172" s="485">
        <f>S172*T$167</f>
        <v>0</v>
      </c>
      <c r="U172" s="483">
        <f>U171</f>
        <v>4.3333333333333335E-2</v>
      </c>
      <c r="V172" s="485">
        <f>U172*V$167</f>
        <v>3950.7650000000003</v>
      </c>
      <c r="W172" s="483"/>
      <c r="X172" s="485">
        <f>W172*X$167</f>
        <v>0</v>
      </c>
    </row>
    <row r="173" spans="1:27">
      <c r="L173" s="223" t="s">
        <v>996</v>
      </c>
      <c r="N173" t="s">
        <v>996</v>
      </c>
      <c r="O173" s="381"/>
      <c r="P173" s="224" t="s">
        <v>85</v>
      </c>
      <c r="Q173" s="483">
        <v>0.95</v>
      </c>
      <c r="R173" s="485">
        <f>Q173*R$167</f>
        <v>423624.28499999997</v>
      </c>
      <c r="S173" s="483">
        <v>0.72</v>
      </c>
      <c r="T173" s="485">
        <f>S173*T$167</f>
        <v>30577.391999999996</v>
      </c>
      <c r="U173" s="483">
        <v>0.67</v>
      </c>
      <c r="V173" s="485">
        <f>U173*V$167</f>
        <v>61084.905000000006</v>
      </c>
      <c r="W173" s="483">
        <v>0.95</v>
      </c>
      <c r="X173" s="485">
        <f>W173*X$167</f>
        <v>107587.12</v>
      </c>
    </row>
    <row r="174" spans="1:27">
      <c r="L174" s="464">
        <v>0.01</v>
      </c>
      <c r="M174" t="s">
        <v>127</v>
      </c>
      <c r="N174" s="217">
        <f>$K$163*L174</f>
        <v>7078.1</v>
      </c>
      <c r="O174" s="381">
        <f>N174/K163</f>
        <v>0.01</v>
      </c>
      <c r="P174" s="224" t="s">
        <v>86</v>
      </c>
      <c r="Q174" s="483"/>
      <c r="R174" s="485">
        <f>Q174*R$167</f>
        <v>0</v>
      </c>
      <c r="S174" s="483">
        <v>0.04</v>
      </c>
      <c r="T174" s="485">
        <f>S174*T$167</f>
        <v>1698.7439999999999</v>
      </c>
      <c r="U174" s="483">
        <f>(1-U170-U173)/3</f>
        <v>4.3333333333333335E-2</v>
      </c>
      <c r="V174" s="485">
        <f>U174*V$167</f>
        <v>3950.7650000000003</v>
      </c>
      <c r="W174" s="483"/>
      <c r="X174" s="485">
        <f>W174*X$167</f>
        <v>0</v>
      </c>
    </row>
    <row r="175" spans="1:27">
      <c r="L175" s="223" t="s">
        <v>127</v>
      </c>
      <c r="N175" s="4" t="s">
        <v>127</v>
      </c>
      <c r="O175" s="381"/>
      <c r="P175" s="224"/>
      <c r="Q175" s="483"/>
      <c r="R175" s="224"/>
      <c r="S175" s="483"/>
      <c r="T175" s="224"/>
      <c r="U175" s="483" t="s">
        <v>997</v>
      </c>
      <c r="V175" s="224"/>
      <c r="W175" s="483"/>
      <c r="X175" s="224"/>
    </row>
    <row r="176" spans="1:27">
      <c r="L176" s="464">
        <f>1-L166-L168-L170-L172-L174</f>
        <v>2.9999999999999992E-2</v>
      </c>
      <c r="M176" t="s">
        <v>127</v>
      </c>
      <c r="N176" s="217">
        <f>$K$163*L176-(B232*1000)</f>
        <v>6234.2999999999956</v>
      </c>
      <c r="O176" s="381">
        <f>N176/K163</f>
        <v>8.8078721690849175E-3</v>
      </c>
      <c r="Q176" s="381">
        <f t="shared" ref="Q176:X176" si="28">SUM(Q170:Q174)</f>
        <v>1</v>
      </c>
      <c r="R176" s="217">
        <f t="shared" si="28"/>
        <v>445920.3</v>
      </c>
      <c r="S176" s="381">
        <f t="shared" si="28"/>
        <v>1</v>
      </c>
      <c r="T176" s="217">
        <f t="shared" si="28"/>
        <v>42468.6</v>
      </c>
      <c r="U176" s="381">
        <f t="shared" si="28"/>
        <v>1</v>
      </c>
      <c r="V176" s="217">
        <f t="shared" si="28"/>
        <v>91171.5</v>
      </c>
      <c r="W176" s="381">
        <f t="shared" si="28"/>
        <v>1</v>
      </c>
      <c r="X176" s="217">
        <f t="shared" si="28"/>
        <v>113249.59999999999</v>
      </c>
      <c r="Y176" s="217">
        <f>SUM(R176,T176,V176,X176)</f>
        <v>692809.99999999988</v>
      </c>
    </row>
    <row r="177" spans="1:24">
      <c r="L177" s="223"/>
      <c r="N177" s="486">
        <f>SUM(N166:N176)</f>
        <v>692810</v>
      </c>
    </row>
    <row r="178" spans="1:24">
      <c r="A178" s="470" t="s">
        <v>998</v>
      </c>
      <c r="B178" s="469"/>
      <c r="C178" s="469"/>
      <c r="D178" s="469"/>
      <c r="E178" s="469"/>
      <c r="F178" s="469"/>
      <c r="G178" s="469"/>
      <c r="H178" s="469"/>
      <c r="I178" s="469"/>
      <c r="J178" s="469"/>
      <c r="K178" s="469"/>
      <c r="L178" s="469"/>
      <c r="M178" s="469"/>
      <c r="N178" s="469"/>
      <c r="O178" s="469"/>
      <c r="P178" s="469"/>
      <c r="Q178" s="469"/>
      <c r="R178" s="469"/>
      <c r="S178" s="469"/>
      <c r="T178" s="469"/>
      <c r="U178" s="469"/>
      <c r="V178" s="469"/>
      <c r="W178" s="469"/>
      <c r="X178" s="469"/>
    </row>
    <row r="180" spans="1:24">
      <c r="Q180" t="s">
        <v>999</v>
      </c>
    </row>
    <row r="181" spans="1:24">
      <c r="K181" t="s">
        <v>967</v>
      </c>
    </row>
    <row r="182" spans="1:24">
      <c r="A182" s="480" t="s">
        <v>564</v>
      </c>
      <c r="B182" s="478" t="s">
        <v>969</v>
      </c>
      <c r="C182" s="478" t="s">
        <v>970</v>
      </c>
      <c r="D182" s="478" t="s">
        <v>971</v>
      </c>
      <c r="E182" s="478" t="s">
        <v>972</v>
      </c>
      <c r="F182" s="478" t="s">
        <v>973</v>
      </c>
      <c r="G182" s="478" t="s">
        <v>974</v>
      </c>
      <c r="H182" s="478" t="s">
        <v>975</v>
      </c>
      <c r="J182" s="222" t="s">
        <v>1000</v>
      </c>
      <c r="K182" s="465">
        <f>D200*C222</f>
        <v>23782.415999999997</v>
      </c>
      <c r="L182" s="218"/>
      <c r="M182" t="s">
        <v>47</v>
      </c>
      <c r="N182" t="s">
        <v>976</v>
      </c>
      <c r="O182" t="s">
        <v>977</v>
      </c>
    </row>
    <row r="183" spans="1:24">
      <c r="A183" s="479" t="s">
        <v>90</v>
      </c>
      <c r="B183" s="468">
        <f>R188+T188+V188+X188</f>
        <v>2336.215468776636</v>
      </c>
      <c r="C183" s="468">
        <f>B183/1000</f>
        <v>2.3362154687766359</v>
      </c>
      <c r="D183" s="468">
        <f>$R188/$B183</f>
        <v>0.27195768865502412</v>
      </c>
      <c r="E183" s="468">
        <f>$T188/$B183</f>
        <v>0.43977123896795367</v>
      </c>
      <c r="F183" s="468">
        <f>$V188/$B183</f>
        <v>0.2192024530360637</v>
      </c>
      <c r="G183" s="468">
        <f>$X188/$B183</f>
        <v>6.9068619340958509E-2</v>
      </c>
      <c r="H183" s="485">
        <f>B183/B189</f>
        <v>0.10257547963172402</v>
      </c>
      <c r="I183" s="486">
        <f>SUM(D183:G183)</f>
        <v>1</v>
      </c>
      <c r="L183" t="s">
        <v>1001</v>
      </c>
      <c r="M183" s="218" t="s">
        <v>985</v>
      </c>
      <c r="N183" t="s">
        <v>985</v>
      </c>
      <c r="P183" s="224"/>
      <c r="Q183" s="224"/>
      <c r="R183" s="224" t="s">
        <v>981</v>
      </c>
      <c r="S183" s="224"/>
      <c r="T183" s="224" t="s">
        <v>982</v>
      </c>
      <c r="U183" s="224"/>
      <c r="V183" s="224" t="s">
        <v>983</v>
      </c>
      <c r="W183" s="224"/>
      <c r="X183" s="224" t="s">
        <v>984</v>
      </c>
    </row>
    <row r="184" spans="1:24">
      <c r="A184" s="479" t="s">
        <v>88</v>
      </c>
      <c r="B184" s="481">
        <f>R189+T189+V189+X189</f>
        <v>110.95590167493783</v>
      </c>
      <c r="C184" s="468">
        <f>B184/1000</f>
        <v>0.11095590167493784</v>
      </c>
      <c r="D184" s="468">
        <f>$R189/$B184</f>
        <v>0</v>
      </c>
      <c r="E184" s="468">
        <f>$T189/$B184</f>
        <v>0</v>
      </c>
      <c r="F184" s="468">
        <f>$V189/$B184</f>
        <v>1</v>
      </c>
      <c r="G184" s="468">
        <f>$X189/$B184</f>
        <v>0</v>
      </c>
      <c r="H184" s="485">
        <f>B184/B189</f>
        <v>4.8717059639353504E-3</v>
      </c>
      <c r="I184" s="486">
        <f>SUM(D184:G184)</f>
        <v>1</v>
      </c>
      <c r="L184" s="464">
        <f>C215</f>
        <v>0.67</v>
      </c>
      <c r="M184" s="223">
        <f>L184*K166</f>
        <v>0.53430379746835444</v>
      </c>
      <c r="N184" s="217">
        <f>M184*K182</f>
        <v>12707.035181772151</v>
      </c>
      <c r="O184" s="381">
        <f>N184/K182</f>
        <v>0.53430379746835444</v>
      </c>
      <c r="P184" s="224"/>
      <c r="Q184" s="224"/>
      <c r="R184" s="483">
        <f>O184</f>
        <v>0.53430379746835444</v>
      </c>
      <c r="S184" s="483"/>
      <c r="T184" s="483">
        <f>O190</f>
        <v>0.18</v>
      </c>
      <c r="U184" s="483"/>
      <c r="V184" s="483">
        <f>O188</f>
        <v>0.1076644529253538</v>
      </c>
      <c r="W184" s="483"/>
      <c r="X184" s="483">
        <f>O186</f>
        <v>0.13569620253164558</v>
      </c>
    </row>
    <row r="185" spans="1:24">
      <c r="A185" s="479" t="s">
        <v>87</v>
      </c>
      <c r="B185" s="468">
        <f>R190+T190+V190+X190</f>
        <v>110.95590167493783</v>
      </c>
      <c r="C185" s="468">
        <f>B185/1000</f>
        <v>0.11095590167493784</v>
      </c>
      <c r="D185" s="468">
        <f>$R190/$B185</f>
        <v>0</v>
      </c>
      <c r="E185" s="468">
        <f>$T190/$B185</f>
        <v>0</v>
      </c>
      <c r="F185" s="468">
        <f>$V190/$B185</f>
        <v>1</v>
      </c>
      <c r="G185" s="468">
        <f>$X190/$B185</f>
        <v>0</v>
      </c>
      <c r="H185" s="485">
        <f>B185/B189</f>
        <v>4.8717059639353504E-3</v>
      </c>
      <c r="I185" s="486">
        <f>SUM(D185:G185)</f>
        <v>1</v>
      </c>
      <c r="M185" s="223" t="s">
        <v>989</v>
      </c>
      <c r="N185" t="s">
        <v>987</v>
      </c>
      <c r="O185" s="381"/>
      <c r="P185" s="224" t="s">
        <v>988</v>
      </c>
      <c r="Q185" s="224"/>
      <c r="R185" s="485">
        <f>R184*$K$182</f>
        <v>12707.035181772151</v>
      </c>
      <c r="S185" s="224"/>
      <c r="T185" s="485">
        <f>T184*$K$182</f>
        <v>4280.8348799999994</v>
      </c>
      <c r="U185" s="224"/>
      <c r="V185" s="485">
        <f>V184*$K$182</f>
        <v>2560.5208078831806</v>
      </c>
      <c r="W185" s="224"/>
      <c r="X185" s="485">
        <f>X184*$K$182</f>
        <v>3227.1835382278477</v>
      </c>
    </row>
    <row r="186" spans="1:24">
      <c r="A186" s="479" t="s">
        <v>85</v>
      </c>
      <c r="B186" s="481">
        <f>R191+T191+V191+X191</f>
        <v>19935.257838881731</v>
      </c>
      <c r="C186" s="468">
        <f>B186/1000</f>
        <v>19.935257838881732</v>
      </c>
      <c r="D186" s="468">
        <f>$R191/$B186</f>
        <v>0.60554438373698527</v>
      </c>
      <c r="E186" s="468">
        <f>$T191/$B186</f>
        <v>0.15461054672633698</v>
      </c>
      <c r="F186" s="468">
        <f>$V191/$B186</f>
        <v>8.6056019698713113E-2</v>
      </c>
      <c r="G186" s="468">
        <f>$X191/$B186</f>
        <v>0.15378904983796449</v>
      </c>
      <c r="H186" s="485">
        <f>B186/B189</f>
        <v>0.87529111151557404</v>
      </c>
      <c r="I186" s="486">
        <f>SUM(D186:G186)</f>
        <v>0.99999999999999989</v>
      </c>
      <c r="K186" s="217"/>
      <c r="M186" s="223">
        <f>L184*K168</f>
        <v>0.13569620253164558</v>
      </c>
      <c r="N186" s="217">
        <f>M186*K182</f>
        <v>3227.1835382278477</v>
      </c>
      <c r="O186" s="381">
        <f>N186/K182</f>
        <v>0.13569620253164558</v>
      </c>
      <c r="P186" s="224"/>
      <c r="Q186" s="224"/>
      <c r="R186" s="485"/>
      <c r="S186" s="224"/>
      <c r="T186" s="485"/>
      <c r="U186" s="224"/>
      <c r="V186" s="485"/>
      <c r="W186" s="224"/>
      <c r="X186" s="485"/>
    </row>
    <row r="187" spans="1:24" ht="57.6">
      <c r="A187" s="479" t="s">
        <v>86</v>
      </c>
      <c r="B187" s="468">
        <f>R192+T192+V192+X192</f>
        <v>282.18929687493784</v>
      </c>
      <c r="C187" s="468">
        <f>B187/1000</f>
        <v>0.28218929687493782</v>
      </c>
      <c r="D187" s="468">
        <f>$R192/$B187</f>
        <v>0</v>
      </c>
      <c r="E187" s="468">
        <f>$T192/$B187</f>
        <v>0.60680329515080123</v>
      </c>
      <c r="F187" s="468">
        <f>$V192/$B187</f>
        <v>0.39319670484919866</v>
      </c>
      <c r="G187" s="468">
        <f>$X192/$B187</f>
        <v>0</v>
      </c>
      <c r="H187" s="485">
        <f>B187/B189</f>
        <v>1.2389996924831247E-2</v>
      </c>
      <c r="I187" s="486">
        <f>SUM(D187:G187)</f>
        <v>0.99999999999999989</v>
      </c>
      <c r="K187" s="217"/>
      <c r="L187" t="s">
        <v>127</v>
      </c>
      <c r="N187" s="4" t="s">
        <v>1002</v>
      </c>
      <c r="O187" s="381"/>
      <c r="P187" s="224" t="s">
        <v>991</v>
      </c>
      <c r="Q187" s="224" t="s">
        <v>992</v>
      </c>
      <c r="R187" s="485" t="s">
        <v>985</v>
      </c>
      <c r="S187" s="224" t="s">
        <v>992</v>
      </c>
      <c r="T187" s="485" t="s">
        <v>993</v>
      </c>
      <c r="U187" s="224" t="s">
        <v>994</v>
      </c>
      <c r="V187" s="485" t="s">
        <v>127</v>
      </c>
      <c r="W187" s="224" t="s">
        <v>992</v>
      </c>
      <c r="X187" s="485" t="s">
        <v>989</v>
      </c>
    </row>
    <row r="188" spans="1:24">
      <c r="H188" s="486">
        <f>SUM(H183:H187)</f>
        <v>1</v>
      </c>
      <c r="K188" s="217"/>
      <c r="L188" s="464">
        <f>C216</f>
        <v>0.15</v>
      </c>
      <c r="N188" s="217">
        <f>L188*K182-(C232*1000)</f>
        <v>2560.5208078831806</v>
      </c>
      <c r="O188" s="381">
        <f>N188/K182</f>
        <v>0.1076644529253538</v>
      </c>
      <c r="P188" s="224" t="s">
        <v>90</v>
      </c>
      <c r="Q188" s="483">
        <v>0.05</v>
      </c>
      <c r="R188" s="485">
        <f>Q188*R$185</f>
        <v>635.35175908860765</v>
      </c>
      <c r="S188" s="483">
        <v>0.24</v>
      </c>
      <c r="T188" s="485">
        <f>S188*T$185</f>
        <v>1027.4003711999999</v>
      </c>
      <c r="U188" s="483">
        <v>0.2</v>
      </c>
      <c r="V188" s="485">
        <f>U188*V$185</f>
        <v>512.1041615766361</v>
      </c>
      <c r="W188" s="483">
        <v>0.05</v>
      </c>
      <c r="X188" s="485">
        <f>W188*X$185</f>
        <v>161.35917691139241</v>
      </c>
    </row>
    <row r="189" spans="1:24">
      <c r="B189" s="486">
        <f>SUM(B183:B187)</f>
        <v>22775.574407883181</v>
      </c>
      <c r="K189" s="217"/>
      <c r="L189" s="218" t="s">
        <v>1003</v>
      </c>
      <c r="N189" t="s">
        <v>993</v>
      </c>
      <c r="O189" s="381"/>
      <c r="P189" s="224" t="s">
        <v>88</v>
      </c>
      <c r="Q189" s="483"/>
      <c r="R189" s="485">
        <f>Q189*R$185</f>
        <v>0</v>
      </c>
      <c r="S189" s="483"/>
      <c r="T189" s="485">
        <f>S189*T$185</f>
        <v>0</v>
      </c>
      <c r="U189" s="483">
        <f>U192</f>
        <v>4.3333333333333335E-2</v>
      </c>
      <c r="V189" s="485">
        <f>U189*V$185</f>
        <v>110.95590167493783</v>
      </c>
      <c r="W189" s="483"/>
      <c r="X189" s="485">
        <f>W189*X$185</f>
        <v>0</v>
      </c>
    </row>
    <row r="190" spans="1:24">
      <c r="K190" s="217"/>
      <c r="L190" s="464">
        <f>C217</f>
        <v>0.18</v>
      </c>
      <c r="N190" s="217">
        <f>L190*K182</f>
        <v>4280.8348799999994</v>
      </c>
      <c r="O190" s="381">
        <f>N190/K182</f>
        <v>0.18</v>
      </c>
      <c r="P190" s="224" t="s">
        <v>87</v>
      </c>
      <c r="Q190" s="483"/>
      <c r="R190" s="485">
        <f>Q190*R$185</f>
        <v>0</v>
      </c>
      <c r="S190" s="483"/>
      <c r="T190" s="485">
        <f>S190*T$185</f>
        <v>0</v>
      </c>
      <c r="U190" s="483">
        <f>U189</f>
        <v>4.3333333333333335E-2</v>
      </c>
      <c r="V190" s="485">
        <f>U190*V$185</f>
        <v>110.95590167493783</v>
      </c>
      <c r="W190" s="483"/>
      <c r="X190" s="485">
        <f>W190*X$185</f>
        <v>0</v>
      </c>
    </row>
    <row r="191" spans="1:24">
      <c r="K191" s="217"/>
      <c r="N191" s="486">
        <f>SUM(N184:N190)</f>
        <v>22775.574407883178</v>
      </c>
      <c r="P191" s="224" t="s">
        <v>85</v>
      </c>
      <c r="Q191" s="483">
        <v>0.95</v>
      </c>
      <c r="R191" s="485">
        <f>Q191*R$185</f>
        <v>12071.683422683544</v>
      </c>
      <c r="S191" s="483">
        <v>0.72</v>
      </c>
      <c r="T191" s="485">
        <f>S191*T$185</f>
        <v>3082.2011135999996</v>
      </c>
      <c r="U191" s="483">
        <v>0.67</v>
      </c>
      <c r="V191" s="485">
        <f>U191*V$185</f>
        <v>1715.5489412817312</v>
      </c>
      <c r="W191" s="483">
        <v>0.95</v>
      </c>
      <c r="X191" s="485">
        <f>W191*X$185</f>
        <v>3065.824361316455</v>
      </c>
    </row>
    <row r="192" spans="1:24">
      <c r="P192" s="224" t="s">
        <v>86</v>
      </c>
      <c r="Q192" s="483"/>
      <c r="R192" s="485">
        <f>Q192*R$185</f>
        <v>0</v>
      </c>
      <c r="S192" s="483">
        <v>0.04</v>
      </c>
      <c r="T192" s="485">
        <f>S192*T$185</f>
        <v>171.23339519999999</v>
      </c>
      <c r="U192" s="483">
        <f>(1-U188-U191)/3</f>
        <v>4.3333333333333335E-2</v>
      </c>
      <c r="V192" s="485">
        <f>U192*V$185</f>
        <v>110.95590167493783</v>
      </c>
      <c r="W192" s="483"/>
      <c r="X192" s="485">
        <f>W192*X$185</f>
        <v>0</v>
      </c>
    </row>
    <row r="193" spans="1:25">
      <c r="P193" s="224"/>
      <c r="Q193" s="483"/>
      <c r="R193" s="485"/>
      <c r="S193" s="483"/>
      <c r="T193" s="485"/>
      <c r="U193" s="483" t="s">
        <v>997</v>
      </c>
      <c r="V193" s="485"/>
      <c r="W193" s="483"/>
      <c r="X193" s="485"/>
    </row>
    <row r="194" spans="1:25">
      <c r="P194" s="224"/>
      <c r="Q194" s="483">
        <f t="shared" ref="Q194:X194" si="29">SUM(Q188:Q192)</f>
        <v>1</v>
      </c>
      <c r="R194" s="485">
        <f t="shared" si="29"/>
        <v>12707.035181772151</v>
      </c>
      <c r="S194" s="483">
        <f t="shared" si="29"/>
        <v>1</v>
      </c>
      <c r="T194" s="485">
        <f t="shared" si="29"/>
        <v>4280.8348799999994</v>
      </c>
      <c r="U194" s="483">
        <f t="shared" si="29"/>
        <v>1</v>
      </c>
      <c r="V194" s="485">
        <f t="shared" si="29"/>
        <v>2560.5208078831806</v>
      </c>
      <c r="W194" s="483">
        <f t="shared" si="29"/>
        <v>1</v>
      </c>
      <c r="X194" s="485">
        <f t="shared" si="29"/>
        <v>3227.1835382278473</v>
      </c>
      <c r="Y194" s="217">
        <f>R194+T194+V194+X194</f>
        <v>22775.574407883181</v>
      </c>
    </row>
    <row r="195" spans="1:25">
      <c r="R195" s="381"/>
    </row>
    <row r="197" spans="1:25">
      <c r="A197" s="470" t="s">
        <v>1004</v>
      </c>
      <c r="B197" s="469"/>
      <c r="C197" s="469"/>
      <c r="D197" s="469"/>
      <c r="E197" s="469"/>
      <c r="F197" s="469"/>
      <c r="G197" s="469"/>
      <c r="H197" s="469"/>
      <c r="I197" s="469"/>
      <c r="J197" s="469"/>
      <c r="K197" s="469"/>
      <c r="L197" s="469"/>
      <c r="M197" s="469"/>
      <c r="N197" s="469"/>
      <c r="O197" s="469"/>
      <c r="P197" s="469"/>
      <c r="Q197" s="469"/>
      <c r="R197" s="469"/>
      <c r="S197" s="469"/>
      <c r="T197" s="469"/>
      <c r="U197" s="469"/>
      <c r="V197" s="469"/>
      <c r="W197" s="469"/>
      <c r="X197" s="469"/>
    </row>
    <row r="198" spans="1:25">
      <c r="A198" t="s">
        <v>505</v>
      </c>
    </row>
    <row r="199" spans="1:25">
      <c r="A199" s="308" t="s">
        <v>1005</v>
      </c>
      <c r="B199" s="308" t="s">
        <v>1006</v>
      </c>
      <c r="C199" s="308" t="s">
        <v>101</v>
      </c>
      <c r="D199" s="308" t="s">
        <v>1007</v>
      </c>
      <c r="E199" s="308" t="s">
        <v>104</v>
      </c>
    </row>
    <row r="200" spans="1:25">
      <c r="A200" s="472" t="s">
        <v>182</v>
      </c>
      <c r="B200" s="224" t="s">
        <v>1008</v>
      </c>
      <c r="C200" s="224">
        <v>2018</v>
      </c>
      <c r="D200" s="224">
        <v>707810</v>
      </c>
      <c r="E200" s="224" t="s">
        <v>1009</v>
      </c>
    </row>
    <row r="201" spans="1:25">
      <c r="A201" s="472" t="s">
        <v>182</v>
      </c>
      <c r="B201" s="224" t="s">
        <v>1010</v>
      </c>
      <c r="C201" s="224">
        <v>2018</v>
      </c>
      <c r="D201" s="224">
        <v>310960</v>
      </c>
      <c r="E201" s="224" t="s">
        <v>1009</v>
      </c>
    </row>
    <row r="202" spans="1:25">
      <c r="A202" s="472" t="s">
        <v>182</v>
      </c>
      <c r="B202" s="224" t="s">
        <v>1011</v>
      </c>
      <c r="C202" s="224">
        <v>2018</v>
      </c>
      <c r="D202" s="224">
        <v>396850</v>
      </c>
      <c r="E202" s="224" t="s">
        <v>1009</v>
      </c>
    </row>
    <row r="203" spans="1:25">
      <c r="A203" s="472" t="s">
        <v>182</v>
      </c>
      <c r="B203" s="224" t="s">
        <v>1008</v>
      </c>
      <c r="C203" s="224">
        <v>2019</v>
      </c>
      <c r="D203" s="224">
        <v>710500</v>
      </c>
      <c r="E203" s="224" t="s">
        <v>1009</v>
      </c>
    </row>
    <row r="204" spans="1:25">
      <c r="A204" s="472" t="s">
        <v>182</v>
      </c>
      <c r="B204" s="224" t="s">
        <v>1010</v>
      </c>
      <c r="C204" s="224">
        <v>2019</v>
      </c>
      <c r="D204" s="224">
        <v>324500</v>
      </c>
      <c r="E204" s="224" t="s">
        <v>1009</v>
      </c>
    </row>
    <row r="205" spans="1:25">
      <c r="A205" s="472" t="s">
        <v>182</v>
      </c>
      <c r="B205" s="224" t="s">
        <v>1011</v>
      </c>
      <c r="C205" s="224">
        <v>2019</v>
      </c>
      <c r="D205" s="224">
        <v>397000</v>
      </c>
      <c r="E205" s="224" t="s">
        <v>1009</v>
      </c>
    </row>
    <row r="207" spans="1:25">
      <c r="A207" t="s">
        <v>1012</v>
      </c>
    </row>
    <row r="208" spans="1:25">
      <c r="A208" s="471" t="s">
        <v>47</v>
      </c>
      <c r="B208" s="471" t="s">
        <v>1005</v>
      </c>
      <c r="C208" s="471" t="s">
        <v>1013</v>
      </c>
      <c r="D208" s="471" t="s">
        <v>104</v>
      </c>
    </row>
    <row r="209" spans="1:4">
      <c r="A209" s="472" t="s">
        <v>1014</v>
      </c>
      <c r="B209" s="474" t="s">
        <v>182</v>
      </c>
      <c r="C209" s="483">
        <v>0.63</v>
      </c>
      <c r="D209" s="224" t="s">
        <v>1015</v>
      </c>
    </row>
    <row r="210" spans="1:4">
      <c r="A210" s="472" t="s">
        <v>989</v>
      </c>
      <c r="B210" s="474" t="s">
        <v>182</v>
      </c>
      <c r="C210" s="483">
        <v>0.16</v>
      </c>
      <c r="D210" s="224" t="s">
        <v>1015</v>
      </c>
    </row>
    <row r="211" spans="1:4">
      <c r="A211" s="472" t="s">
        <v>990</v>
      </c>
      <c r="B211" s="474" t="s">
        <v>182</v>
      </c>
      <c r="C211" s="483">
        <v>0.11</v>
      </c>
      <c r="D211" s="224" t="s">
        <v>1015</v>
      </c>
    </row>
    <row r="212" spans="1:4">
      <c r="A212" s="472" t="s">
        <v>995</v>
      </c>
      <c r="B212" s="474" t="s">
        <v>182</v>
      </c>
      <c r="C212" s="483">
        <v>0.06</v>
      </c>
      <c r="D212" s="224" t="s">
        <v>1015</v>
      </c>
    </row>
    <row r="213" spans="1:4">
      <c r="A213" s="472" t="s">
        <v>996</v>
      </c>
      <c r="B213" s="474" t="s">
        <v>182</v>
      </c>
      <c r="C213" s="483">
        <v>0.01</v>
      </c>
      <c r="D213" s="224" t="s">
        <v>1015</v>
      </c>
    </row>
    <row r="214" spans="1:4">
      <c r="A214" s="472" t="s">
        <v>127</v>
      </c>
      <c r="B214" s="474" t="s">
        <v>182</v>
      </c>
      <c r="C214" s="484">
        <f>1-SUM(C209:C213)</f>
        <v>3.0000000000000027E-2</v>
      </c>
      <c r="D214" s="224" t="s">
        <v>1015</v>
      </c>
    </row>
    <row r="215" spans="1:4">
      <c r="A215" s="472" t="s">
        <v>1001</v>
      </c>
      <c r="B215" s="474" t="s">
        <v>180</v>
      </c>
      <c r="C215" s="483">
        <v>0.67</v>
      </c>
      <c r="D215" s="224" t="s">
        <v>1016</v>
      </c>
    </row>
    <row r="216" spans="1:4">
      <c r="A216" s="472" t="s">
        <v>127</v>
      </c>
      <c r="B216" s="474" t="s">
        <v>180</v>
      </c>
      <c r="C216" s="483">
        <v>0.15</v>
      </c>
      <c r="D216" s="224" t="s">
        <v>1016</v>
      </c>
    </row>
    <row r="217" spans="1:4">
      <c r="A217" s="472" t="s">
        <v>993</v>
      </c>
      <c r="B217" s="474" t="s">
        <v>180</v>
      </c>
      <c r="C217" s="483">
        <v>0.18</v>
      </c>
      <c r="D217" s="224" t="s">
        <v>1016</v>
      </c>
    </row>
    <row r="219" spans="1:4">
      <c r="A219" t="s">
        <v>1017</v>
      </c>
    </row>
    <row r="220" spans="1:4">
      <c r="A220" s="308" t="s">
        <v>1018</v>
      </c>
      <c r="B220" s="308" t="s">
        <v>101</v>
      </c>
      <c r="C220" s="473" t="s">
        <v>1007</v>
      </c>
      <c r="D220" s="308" t="s">
        <v>104</v>
      </c>
    </row>
    <row r="221" spans="1:4">
      <c r="A221" s="472" t="s">
        <v>1019</v>
      </c>
      <c r="B221" s="474">
        <v>2022</v>
      </c>
      <c r="C221" s="476">
        <f>84/1947</f>
        <v>4.3143297380585519E-2</v>
      </c>
      <c r="D221" s="474" t="s">
        <v>1020</v>
      </c>
    </row>
    <row r="222" spans="1:4">
      <c r="A222" s="472" t="s">
        <v>1021</v>
      </c>
      <c r="B222" s="474">
        <v>2022</v>
      </c>
      <c r="C222" s="475">
        <f>84/2500</f>
        <v>3.3599999999999998E-2</v>
      </c>
      <c r="D222" s="474" t="s">
        <v>1020</v>
      </c>
    </row>
    <row r="223" spans="1:4">
      <c r="A223" s="472" t="s">
        <v>1022</v>
      </c>
      <c r="B223" s="474">
        <v>2022</v>
      </c>
      <c r="C223" s="475">
        <f>1947/53300</f>
        <v>3.652908067542214E-2</v>
      </c>
      <c r="D223" s="474" t="s">
        <v>1020</v>
      </c>
    </row>
    <row r="224" spans="1:4">
      <c r="A224" s="472" t="s">
        <v>1023</v>
      </c>
      <c r="B224" s="474">
        <v>2022</v>
      </c>
      <c r="C224" s="477">
        <f>Intentionally_produced_MPs!D64/Intentionally_produced_MPs!D63</f>
        <v>6.7122772807787931E-2</v>
      </c>
      <c r="D224" s="610" t="s">
        <v>1024</v>
      </c>
    </row>
    <row r="226" spans="1:16">
      <c r="A226" t="s">
        <v>1025</v>
      </c>
    </row>
    <row r="227" spans="1:16">
      <c r="A227" s="308" t="s">
        <v>100</v>
      </c>
      <c r="B227" s="308" t="s">
        <v>1026</v>
      </c>
      <c r="C227" s="308" t="s">
        <v>1027</v>
      </c>
    </row>
    <row r="228" spans="1:16">
      <c r="A228" s="472" t="str">
        <f>Intentionally_produced_MPs!A32</f>
        <v>Controlled release fertilizer</v>
      </c>
      <c r="B228" s="474">
        <f>(Intentionally_produced_MPs!E32)/1000</f>
        <v>10</v>
      </c>
      <c r="C228" s="474">
        <f>(Intentionally_produced_MPs!E72)/1000</f>
        <v>0.67122772807787934</v>
      </c>
    </row>
    <row r="229" spans="1:16">
      <c r="A229" s="472" t="str">
        <f>Intentionally_produced_MPs!A33</f>
        <v>Fertilizer additives</v>
      </c>
      <c r="B229" s="474">
        <f>(Intentionally_produced_MPs!E33)/1000</f>
        <v>4</v>
      </c>
      <c r="C229" s="474">
        <f>(Intentionally_produced_MPs!E73)/1000</f>
        <v>0.26849109123115172</v>
      </c>
    </row>
    <row r="230" spans="1:16">
      <c r="A230" s="472" t="str">
        <f>Intentionally_produced_MPs!A34</f>
        <v>Plant protection products</v>
      </c>
      <c r="B230" s="474">
        <f>(Intentionally_produced_MPs!E34)/1000</f>
        <v>0.5</v>
      </c>
      <c r="C230" s="474">
        <f>(Intentionally_produced_MPs!E74)/1000</f>
        <v>3.3561386403893965E-2</v>
      </c>
    </row>
    <row r="231" spans="1:16">
      <c r="A231" s="472" t="str">
        <f>Intentionally_produced_MPs!A35</f>
        <v>Seed coating</v>
      </c>
      <c r="B231" s="474">
        <f>(Intentionally_produced_MPs!E35)/1000</f>
        <v>0.5</v>
      </c>
      <c r="C231" s="474">
        <f>(Intentionally_produced_MPs!E75)/1000</f>
        <v>3.3561386403893965E-2</v>
      </c>
    </row>
    <row r="232" spans="1:16">
      <c r="A232" s="308" t="s">
        <v>1028</v>
      </c>
      <c r="B232" s="308">
        <f>SUM(B228:B231)</f>
        <v>15</v>
      </c>
      <c r="C232" s="308">
        <f>SUM(C228:C231)</f>
        <v>1.006841592116819</v>
      </c>
    </row>
    <row r="234" spans="1:16" ht="15" thickBot="1">
      <c r="A234" s="470" t="s">
        <v>1029</v>
      </c>
      <c r="B234" s="469"/>
      <c r="C234" s="469"/>
      <c r="D234" s="469"/>
      <c r="E234" s="469"/>
      <c r="F234" s="469"/>
      <c r="G234" s="469"/>
      <c r="H234" s="469"/>
      <c r="I234" s="469"/>
      <c r="J234" s="469"/>
      <c r="K234" s="469"/>
      <c r="L234" s="469"/>
      <c r="M234" s="469"/>
      <c r="N234" s="469"/>
      <c r="O234" s="469"/>
      <c r="P234" s="469"/>
    </row>
    <row r="235" spans="1:16" ht="15" thickBot="1">
      <c r="A235" s="65" t="s">
        <v>129</v>
      </c>
      <c r="B235" s="107" t="s">
        <v>130</v>
      </c>
      <c r="C235" s="108" t="s">
        <v>131</v>
      </c>
      <c r="D235" s="109" t="s">
        <v>102</v>
      </c>
      <c r="E235" s="125" t="s">
        <v>132</v>
      </c>
      <c r="F235" s="108" t="s">
        <v>133</v>
      </c>
      <c r="G235" s="110" t="s">
        <v>104</v>
      </c>
      <c r="H235" s="111" t="s">
        <v>134</v>
      </c>
      <c r="I235" s="112" t="s">
        <v>135</v>
      </c>
      <c r="J235" s="112" t="s">
        <v>65</v>
      </c>
      <c r="K235" s="112" t="s">
        <v>67</v>
      </c>
      <c r="L235" s="112" t="s">
        <v>73</v>
      </c>
      <c r="M235" s="113" t="s">
        <v>79</v>
      </c>
      <c r="N235" s="114" t="s">
        <v>136</v>
      </c>
      <c r="O235" s="114" t="s">
        <v>137</v>
      </c>
      <c r="P235" s="115" t="s">
        <v>123</v>
      </c>
    </row>
    <row r="236" spans="1:16" ht="15" thickBot="1">
      <c r="A236" s="150" t="s">
        <v>1030</v>
      </c>
      <c r="B236" s="150" t="s">
        <v>204</v>
      </c>
      <c r="C236" s="150" t="s">
        <v>139</v>
      </c>
      <c r="D236" s="150" t="s">
        <v>139</v>
      </c>
      <c r="E236" s="659">
        <v>2.7E-4</v>
      </c>
      <c r="F236" s="344">
        <v>2</v>
      </c>
      <c r="G236" s="150"/>
      <c r="H236" s="250">
        <v>1</v>
      </c>
      <c r="I236" s="13"/>
      <c r="J236" s="13">
        <v>1</v>
      </c>
      <c r="K236" s="13">
        <v>3</v>
      </c>
      <c r="L236" s="13">
        <v>3</v>
      </c>
      <c r="M236" s="314">
        <v>3</v>
      </c>
      <c r="N236" s="402">
        <v>1.1181151966036349</v>
      </c>
      <c r="O236" t="s">
        <v>249</v>
      </c>
      <c r="P236" s="33"/>
    </row>
    <row r="237" spans="1:16" ht="15" thickBot="1">
      <c r="A237" s="151" t="s">
        <v>1030</v>
      </c>
      <c r="B237" s="151" t="s">
        <v>165</v>
      </c>
      <c r="C237" s="151" t="s">
        <v>139</v>
      </c>
      <c r="D237" s="151" t="s">
        <v>139</v>
      </c>
      <c r="E237" s="660">
        <f>1-E236-E238-E239-E240-E241</f>
        <v>0.90772999999999993</v>
      </c>
      <c r="F237" s="171">
        <v>1</v>
      </c>
      <c r="G237" s="151"/>
      <c r="H237" s="249"/>
      <c r="I237" s="10"/>
      <c r="J237" s="10"/>
      <c r="K237" s="10"/>
      <c r="L237" s="10"/>
      <c r="M237" s="315"/>
      <c r="N237" s="402" t="s">
        <v>249</v>
      </c>
      <c r="O237" s="347" t="s">
        <v>249</v>
      </c>
      <c r="P237" s="34"/>
    </row>
    <row r="238" spans="1:16" ht="15" thickBot="1">
      <c r="A238" s="151" t="s">
        <v>1030</v>
      </c>
      <c r="B238" s="151" t="s">
        <v>155</v>
      </c>
      <c r="C238" s="151" t="s">
        <v>139</v>
      </c>
      <c r="D238" s="151" t="s">
        <v>139</v>
      </c>
      <c r="E238" s="661">
        <v>0.02</v>
      </c>
      <c r="F238" s="171">
        <v>2</v>
      </c>
      <c r="G238" s="151" t="s">
        <v>1031</v>
      </c>
      <c r="H238" s="249">
        <v>1</v>
      </c>
      <c r="I238" s="10"/>
      <c r="J238" s="10">
        <v>1</v>
      </c>
      <c r="K238" s="10">
        <v>1</v>
      </c>
      <c r="L238" s="10">
        <v>1</v>
      </c>
      <c r="M238" s="315">
        <v>3</v>
      </c>
      <c r="N238" s="402">
        <v>1.0141150152164344</v>
      </c>
      <c r="O238" s="347" t="s">
        <v>249</v>
      </c>
      <c r="P238" s="34" t="s">
        <v>952</v>
      </c>
    </row>
    <row r="239" spans="1:16" ht="15" thickBot="1">
      <c r="A239" s="151" t="s">
        <v>1030</v>
      </c>
      <c r="B239" s="151" t="s">
        <v>146</v>
      </c>
      <c r="C239" s="151" t="s">
        <v>139</v>
      </c>
      <c r="D239" s="151" t="s">
        <v>139</v>
      </c>
      <c r="E239" s="661">
        <v>0</v>
      </c>
      <c r="F239" s="171">
        <v>2</v>
      </c>
      <c r="G239" s="151" t="s">
        <v>147</v>
      </c>
      <c r="H239" s="249"/>
      <c r="I239" s="10"/>
      <c r="J239" s="10"/>
      <c r="K239" s="10"/>
      <c r="L239" s="10"/>
      <c r="M239" s="315"/>
      <c r="N239" s="402" t="s">
        <v>249</v>
      </c>
      <c r="O239" s="347" t="s">
        <v>249</v>
      </c>
      <c r="P239" s="34"/>
    </row>
    <row r="240" spans="1:16" ht="15" thickBot="1">
      <c r="A240" s="151" t="s">
        <v>1030</v>
      </c>
      <c r="B240" s="151" t="s">
        <v>146</v>
      </c>
      <c r="C240" s="151" t="s">
        <v>139</v>
      </c>
      <c r="D240" s="151" t="s">
        <v>139</v>
      </c>
      <c r="E240" s="661">
        <v>3.6999999999999998E-2</v>
      </c>
      <c r="F240" s="171">
        <v>2</v>
      </c>
      <c r="G240" s="151" t="s">
        <v>148</v>
      </c>
      <c r="H240" s="249">
        <v>1</v>
      </c>
      <c r="I240" s="10"/>
      <c r="J240" s="10">
        <v>1</v>
      </c>
      <c r="K240" s="10">
        <v>1</v>
      </c>
      <c r="L240" s="10">
        <v>1</v>
      </c>
      <c r="M240" s="315">
        <v>3</v>
      </c>
      <c r="N240" s="402">
        <v>1.0141150152164344</v>
      </c>
      <c r="O240" s="347" t="s">
        <v>249</v>
      </c>
      <c r="P240" s="34"/>
    </row>
    <row r="241" spans="1:16" ht="15" thickBot="1">
      <c r="A241" s="337" t="s">
        <v>1030</v>
      </c>
      <c r="B241" s="337" t="s">
        <v>167</v>
      </c>
      <c r="C241" s="337" t="s">
        <v>139</v>
      </c>
      <c r="D241" s="337" t="s">
        <v>139</v>
      </c>
      <c r="E241" s="662">
        <v>3.5000000000000003E-2</v>
      </c>
      <c r="F241" s="345">
        <v>2</v>
      </c>
      <c r="G241" s="337" t="s">
        <v>199</v>
      </c>
      <c r="H241" s="341">
        <v>1</v>
      </c>
      <c r="I241" s="342"/>
      <c r="J241" s="342">
        <v>3</v>
      </c>
      <c r="K241" s="342">
        <v>3</v>
      </c>
      <c r="L241" s="342">
        <v>3</v>
      </c>
      <c r="M241" s="346">
        <v>2</v>
      </c>
      <c r="N241" s="402">
        <v>0.67101227267249941</v>
      </c>
      <c r="O241" s="347" t="s">
        <v>249</v>
      </c>
      <c r="P241" s="338"/>
    </row>
    <row r="242" spans="1:16" ht="15" thickBot="1">
      <c r="A242" s="230" t="s">
        <v>946</v>
      </c>
      <c r="B242" s="60" t="s">
        <v>204</v>
      </c>
      <c r="C242" s="161" t="s">
        <v>139</v>
      </c>
      <c r="D242" s="60" t="s">
        <v>139</v>
      </c>
      <c r="E242" s="568">
        <v>2.7E-4</v>
      </c>
      <c r="F242" s="234">
        <v>2</v>
      </c>
      <c r="G242" s="161" t="s">
        <v>205</v>
      </c>
      <c r="H242" s="251">
        <v>1</v>
      </c>
      <c r="I242" s="66"/>
      <c r="J242" s="66">
        <v>1</v>
      </c>
      <c r="K242" s="66">
        <v>3</v>
      </c>
      <c r="L242" s="66">
        <v>3</v>
      </c>
      <c r="M242" s="292">
        <v>3</v>
      </c>
      <c r="N242" s="402">
        <v>1.1181151966036349</v>
      </c>
      <c r="O242" s="347" t="s">
        <v>249</v>
      </c>
      <c r="P242" s="60"/>
    </row>
    <row r="243" spans="1:16" ht="15" thickBot="1">
      <c r="A243" s="151" t="s">
        <v>946</v>
      </c>
      <c r="B243" s="34" t="s">
        <v>165</v>
      </c>
      <c r="C243" s="40" t="s">
        <v>139</v>
      </c>
      <c r="D243" s="34" t="s">
        <v>139</v>
      </c>
      <c r="E243" s="240" t="s">
        <v>150</v>
      </c>
      <c r="F243" s="232">
        <v>1</v>
      </c>
      <c r="G243" s="40"/>
      <c r="H243" s="249"/>
      <c r="I243" s="10"/>
      <c r="J243" s="10"/>
      <c r="K243" s="10"/>
      <c r="L243" s="10"/>
      <c r="M243" s="290"/>
      <c r="N243" s="402" t="s">
        <v>249</v>
      </c>
      <c r="O243" s="347" t="s">
        <v>249</v>
      </c>
      <c r="P243" s="34"/>
    </row>
    <row r="244" spans="1:16" ht="15" thickBot="1">
      <c r="A244" s="151" t="s">
        <v>946</v>
      </c>
      <c r="B244" s="34" t="s">
        <v>155</v>
      </c>
      <c r="C244" s="40" t="s">
        <v>139</v>
      </c>
      <c r="D244" s="34" t="s">
        <v>139</v>
      </c>
      <c r="E244" s="240">
        <v>1E-3</v>
      </c>
      <c r="F244" s="232">
        <v>2</v>
      </c>
      <c r="G244" s="40" t="s">
        <v>157</v>
      </c>
      <c r="H244" s="249">
        <v>1</v>
      </c>
      <c r="I244" s="10"/>
      <c r="J244" s="10">
        <v>1</v>
      </c>
      <c r="K244" s="10">
        <v>1</v>
      </c>
      <c r="L244" s="10">
        <v>1</v>
      </c>
      <c r="M244" s="290">
        <v>3</v>
      </c>
      <c r="N244" s="402">
        <v>1.0141150152164344</v>
      </c>
      <c r="O244" s="347" t="s">
        <v>249</v>
      </c>
      <c r="P244" s="34"/>
    </row>
    <row r="245" spans="1:16" ht="15" thickBot="1">
      <c r="A245" s="151" t="s">
        <v>946</v>
      </c>
      <c r="B245" s="34" t="s">
        <v>146</v>
      </c>
      <c r="C245" s="40" t="s">
        <v>139</v>
      </c>
      <c r="D245" s="34" t="s">
        <v>139</v>
      </c>
      <c r="E245" s="240">
        <v>0</v>
      </c>
      <c r="F245" s="232">
        <v>2</v>
      </c>
      <c r="G245" s="40" t="s">
        <v>147</v>
      </c>
      <c r="H245" s="249"/>
      <c r="I245" s="10"/>
      <c r="J245" s="10"/>
      <c r="K245" s="10"/>
      <c r="L245" s="10"/>
      <c r="M245" s="290"/>
      <c r="N245" s="402" t="s">
        <v>249</v>
      </c>
      <c r="O245" s="347" t="s">
        <v>249</v>
      </c>
      <c r="P245" s="34"/>
    </row>
    <row r="246" spans="1:16" ht="15" thickBot="1">
      <c r="A246" s="227" t="s">
        <v>946</v>
      </c>
      <c r="B246" s="149" t="s">
        <v>146</v>
      </c>
      <c r="C246" s="153" t="s">
        <v>139</v>
      </c>
      <c r="D246" s="149" t="s">
        <v>139</v>
      </c>
      <c r="E246" s="569">
        <v>3.7999999999999999E-2</v>
      </c>
      <c r="F246" s="235">
        <v>2</v>
      </c>
      <c r="G246" s="153" t="s">
        <v>148</v>
      </c>
      <c r="H246" s="248">
        <v>1</v>
      </c>
      <c r="I246" s="15"/>
      <c r="J246" s="15">
        <v>1</v>
      </c>
      <c r="K246" s="15">
        <v>1</v>
      </c>
      <c r="L246" s="15">
        <v>1</v>
      </c>
      <c r="M246" s="293">
        <v>3</v>
      </c>
      <c r="N246" s="402">
        <v>1.0141150152164344</v>
      </c>
      <c r="O246" s="347" t="s">
        <v>249</v>
      </c>
      <c r="P246" s="149"/>
    </row>
    <row r="247" spans="1:16" ht="15" thickBot="1">
      <c r="A247" s="337" t="s">
        <v>946</v>
      </c>
      <c r="B247" s="338" t="s">
        <v>167</v>
      </c>
      <c r="C247" s="339" t="s">
        <v>139</v>
      </c>
      <c r="D247" s="338" t="s">
        <v>139</v>
      </c>
      <c r="E247" s="662">
        <v>3.5000000000000003E-2</v>
      </c>
      <c r="F247" s="340">
        <v>2</v>
      </c>
      <c r="G247" s="337" t="s">
        <v>199</v>
      </c>
      <c r="H247" s="341">
        <v>1</v>
      </c>
      <c r="I247" s="342"/>
      <c r="J247" s="342">
        <v>3</v>
      </c>
      <c r="K247" s="342">
        <v>3</v>
      </c>
      <c r="L247" s="342">
        <v>3</v>
      </c>
      <c r="M247" s="346">
        <v>2</v>
      </c>
      <c r="N247" s="402">
        <v>0.67101227267249941</v>
      </c>
      <c r="O247" s="347" t="s">
        <v>249</v>
      </c>
      <c r="P247" s="338"/>
    </row>
    <row r="248" spans="1:16" ht="15" thickBot="1">
      <c r="A248" s="150" t="s">
        <v>1032</v>
      </c>
      <c r="B248" s="33" t="s">
        <v>204</v>
      </c>
      <c r="C248" s="39" t="s">
        <v>139</v>
      </c>
      <c r="D248" s="33" t="s">
        <v>139</v>
      </c>
      <c r="E248" s="239">
        <v>2.7E-4</v>
      </c>
      <c r="F248" s="231">
        <v>2</v>
      </c>
      <c r="G248" s="39" t="s">
        <v>205</v>
      </c>
      <c r="H248" s="250">
        <v>1</v>
      </c>
      <c r="I248" s="13"/>
      <c r="J248" s="13">
        <v>1</v>
      </c>
      <c r="K248" s="13">
        <v>3</v>
      </c>
      <c r="L248" s="13">
        <v>3</v>
      </c>
      <c r="M248" s="314">
        <v>3</v>
      </c>
      <c r="N248" s="402">
        <v>1.1181151966036349</v>
      </c>
      <c r="O248" s="347" t="s">
        <v>249</v>
      </c>
      <c r="P248" s="33"/>
    </row>
    <row r="249" spans="1:16" ht="15" thickBot="1">
      <c r="A249" s="151" t="s">
        <v>1032</v>
      </c>
      <c r="B249" s="34" t="s">
        <v>165</v>
      </c>
      <c r="C249" s="40" t="s">
        <v>139</v>
      </c>
      <c r="D249" s="34" t="s">
        <v>139</v>
      </c>
      <c r="E249" s="663">
        <f>1-SUM(E250:E253,E248)</f>
        <v>0.92572999999999994</v>
      </c>
      <c r="F249" s="232">
        <v>1</v>
      </c>
      <c r="G249" s="40"/>
      <c r="H249" s="249"/>
      <c r="I249" s="10"/>
      <c r="J249" s="10"/>
      <c r="K249" s="10"/>
      <c r="L249" s="10"/>
      <c r="M249" s="315"/>
      <c r="N249" s="402" t="s">
        <v>249</v>
      </c>
      <c r="O249" s="347" t="s">
        <v>249</v>
      </c>
      <c r="P249" s="34"/>
    </row>
    <row r="250" spans="1:16" ht="15" thickBot="1">
      <c r="A250" s="151" t="s">
        <v>1032</v>
      </c>
      <c r="B250" s="34" t="s">
        <v>155</v>
      </c>
      <c r="C250" s="40" t="s">
        <v>139</v>
      </c>
      <c r="D250" s="34" t="s">
        <v>139</v>
      </c>
      <c r="E250" s="240">
        <v>1E-3</v>
      </c>
      <c r="F250" s="232">
        <v>2</v>
      </c>
      <c r="G250" s="40" t="s">
        <v>157</v>
      </c>
      <c r="H250" s="249">
        <v>1</v>
      </c>
      <c r="I250" s="10"/>
      <c r="J250" s="10">
        <v>1</v>
      </c>
      <c r="K250" s="10">
        <v>1</v>
      </c>
      <c r="L250" s="10">
        <v>1</v>
      </c>
      <c r="M250" s="315">
        <v>3</v>
      </c>
      <c r="N250" s="402">
        <v>1.0141150152164344</v>
      </c>
      <c r="O250" s="347" t="s">
        <v>249</v>
      </c>
      <c r="P250" s="34"/>
    </row>
    <row r="251" spans="1:16" ht="15" thickBot="1">
      <c r="A251" s="151" t="s">
        <v>1032</v>
      </c>
      <c r="B251" s="34" t="s">
        <v>146</v>
      </c>
      <c r="C251" s="40" t="s">
        <v>139</v>
      </c>
      <c r="D251" s="34" t="s">
        <v>139</v>
      </c>
      <c r="E251" s="240">
        <v>0</v>
      </c>
      <c r="F251" s="232">
        <v>2</v>
      </c>
      <c r="G251" s="40" t="s">
        <v>147</v>
      </c>
      <c r="H251" s="249"/>
      <c r="I251" s="10"/>
      <c r="J251" s="10"/>
      <c r="K251" s="10"/>
      <c r="L251" s="10"/>
      <c r="M251" s="315"/>
      <c r="N251" s="402" t="s">
        <v>249</v>
      </c>
      <c r="O251" s="347" t="s">
        <v>249</v>
      </c>
      <c r="P251" s="34"/>
    </row>
    <row r="252" spans="1:16" ht="15" thickBot="1">
      <c r="A252" s="151" t="s">
        <v>1032</v>
      </c>
      <c r="B252" s="34" t="s">
        <v>146</v>
      </c>
      <c r="C252" s="40" t="s">
        <v>139</v>
      </c>
      <c r="D252" s="34" t="s">
        <v>139</v>
      </c>
      <c r="E252" s="240">
        <v>3.7999999999999999E-2</v>
      </c>
      <c r="F252" s="232">
        <v>2</v>
      </c>
      <c r="G252" s="40" t="s">
        <v>148</v>
      </c>
      <c r="H252" s="249">
        <v>1</v>
      </c>
      <c r="I252" s="10"/>
      <c r="J252" s="10">
        <v>1</v>
      </c>
      <c r="K252" s="10">
        <v>1</v>
      </c>
      <c r="L252" s="10">
        <v>1</v>
      </c>
      <c r="M252" s="315">
        <v>3</v>
      </c>
      <c r="N252" s="402">
        <v>1.0141150152164344</v>
      </c>
      <c r="O252" s="347" t="s">
        <v>249</v>
      </c>
      <c r="P252" s="34"/>
    </row>
    <row r="253" spans="1:16" ht="15" thickBot="1">
      <c r="A253" s="337" t="s">
        <v>1032</v>
      </c>
      <c r="B253" s="338" t="s">
        <v>167</v>
      </c>
      <c r="C253" s="339" t="s">
        <v>139</v>
      </c>
      <c r="D253" s="338" t="s">
        <v>139</v>
      </c>
      <c r="E253" s="662">
        <v>3.5000000000000003E-2</v>
      </c>
      <c r="F253" s="340">
        <v>2</v>
      </c>
      <c r="G253" s="337" t="s">
        <v>199</v>
      </c>
      <c r="H253" s="341">
        <v>1</v>
      </c>
      <c r="I253" s="342"/>
      <c r="J253" s="342">
        <v>3</v>
      </c>
      <c r="K253" s="342">
        <v>3</v>
      </c>
      <c r="L253" s="342">
        <v>3</v>
      </c>
      <c r="M253" s="346">
        <v>2</v>
      </c>
      <c r="N253" s="402">
        <v>0.67101227267249941</v>
      </c>
      <c r="O253" s="347" t="s">
        <v>249</v>
      </c>
      <c r="P253" s="338"/>
    </row>
    <row r="376" spans="16:17" ht="18">
      <c r="P376" s="458"/>
      <c r="Q376" s="459"/>
    </row>
    <row r="377" spans="16:17">
      <c r="P377" s="460"/>
      <c r="Q377" s="461"/>
    </row>
    <row r="378" spans="16:17">
      <c r="P378" s="6"/>
      <c r="Q378" s="6"/>
    </row>
    <row r="379" spans="16:17">
      <c r="P379" s="6"/>
      <c r="Q379" s="6"/>
    </row>
    <row r="380" spans="16:17">
      <c r="P380" s="6"/>
      <c r="Q380" s="6"/>
    </row>
    <row r="381" spans="16:17">
      <c r="P381" s="6"/>
      <c r="Q381" s="6"/>
    </row>
    <row r="382" spans="16:17">
      <c r="P382" s="6"/>
      <c r="Q382" s="6"/>
    </row>
    <row r="383" spans="16:17">
      <c r="P383" s="6"/>
      <c r="Q383" s="6"/>
    </row>
    <row r="384" spans="16:17">
      <c r="P384" s="6"/>
      <c r="Q384" s="6"/>
    </row>
    <row r="385" spans="16:17">
      <c r="P385" s="6"/>
      <c r="Q385" s="6"/>
    </row>
    <row r="386" spans="16:17">
      <c r="P386" s="6"/>
      <c r="Q386" s="6"/>
    </row>
    <row r="387" spans="16:17">
      <c r="P387" s="6"/>
      <c r="Q387" s="6"/>
    </row>
    <row r="388" spans="16:17">
      <c r="P388" s="6"/>
      <c r="Q388" s="6"/>
    </row>
    <row r="389" spans="16:17">
      <c r="P389" s="6"/>
      <c r="Q389" s="6"/>
    </row>
    <row r="390" spans="16:17">
      <c r="P390" s="6"/>
      <c r="Q390" s="6"/>
    </row>
    <row r="391" spans="16:17">
      <c r="P391" s="6"/>
      <c r="Q391" s="6"/>
    </row>
    <row r="392" spans="16:17">
      <c r="P392" s="6"/>
      <c r="Q392" s="6"/>
    </row>
    <row r="393" spans="16:17">
      <c r="P393" s="6"/>
      <c r="Q393" s="6"/>
    </row>
    <row r="394" spans="16:17">
      <c r="P394" s="6"/>
      <c r="Q394" s="6"/>
    </row>
    <row r="395" spans="16:17">
      <c r="P395" s="6"/>
      <c r="Q395" s="6"/>
    </row>
    <row r="396" spans="16:17">
      <c r="P396" s="6"/>
      <c r="Q396" s="6"/>
    </row>
    <row r="397" spans="16:17">
      <c r="P397" s="6"/>
      <c r="Q397" s="6"/>
    </row>
    <row r="398" spans="16:17">
      <c r="P398" s="6"/>
      <c r="Q398" s="6"/>
    </row>
    <row r="399" spans="16:17">
      <c r="P399" s="6"/>
      <c r="Q399" s="6"/>
    </row>
    <row r="400" spans="16:17">
      <c r="P400" s="6"/>
      <c r="Q400" s="6"/>
    </row>
    <row r="401" spans="16:17">
      <c r="P401" s="6"/>
      <c r="Q401" s="6"/>
    </row>
    <row r="402" spans="16:17">
      <c r="P402" s="6"/>
      <c r="Q402" s="6"/>
    </row>
    <row r="403" spans="16:17">
      <c r="P403" s="6"/>
      <c r="Q403" s="6"/>
    </row>
    <row r="404" spans="16:17">
      <c r="P404" s="6"/>
      <c r="Q404" s="6"/>
    </row>
    <row r="405" spans="16:17">
      <c r="P405" s="6"/>
      <c r="Q405" s="6"/>
    </row>
    <row r="406" spans="16:17">
      <c r="P406" s="6"/>
      <c r="Q406" s="6"/>
    </row>
    <row r="407" spans="16:17">
      <c r="P407" s="6"/>
      <c r="Q407" s="6"/>
    </row>
    <row r="408" spans="16:17">
      <c r="P408" s="6"/>
      <c r="Q408" s="6"/>
    </row>
  </sheetData>
  <phoneticPr fontId="22" type="noConversion"/>
  <conditionalFormatting sqref="E235">
    <cfRule type="cellIs" dxfId="81" priority="40" operator="equal">
      <formula>1</formula>
    </cfRule>
    <cfRule type="cellIs" dxfId="80" priority="41" operator="equal">
      <formula>0</formula>
    </cfRule>
    <cfRule type="containsText" dxfId="79" priority="42" operator="containsText" text="rest">
      <formula>NOT(ISERROR(SEARCH("rest",E235)))</formula>
    </cfRule>
  </conditionalFormatting>
  <conditionalFormatting sqref="G9:K18">
    <cfRule type="cellIs" dxfId="78" priority="130" stopIfTrue="1" operator="notBetween">
      <formula>1</formula>
      <formula>4</formula>
    </cfRule>
    <cfRule type="dataBar" priority="131">
      <dataBar>
        <cfvo type="min"/>
        <cfvo type="num" val="4"/>
        <color rgb="FFFFC000"/>
      </dataBar>
      <extLst>
        <ext xmlns:x14="http://schemas.microsoft.com/office/spreadsheetml/2009/9/main" uri="{B025F937-C7B1-47D3-B67F-A62EFF666E3E}">
          <x14:id>{62E9FF6B-7CF9-48F4-8540-C7B62384D8C1}</x14:id>
        </ext>
      </extLst>
    </cfRule>
  </conditionalFormatting>
  <conditionalFormatting sqref="G29:K48">
    <cfRule type="cellIs" dxfId="77" priority="175" stopIfTrue="1" operator="notBetween">
      <formula>1</formula>
      <formula>4</formula>
    </cfRule>
    <cfRule type="dataBar" priority="6341">
      <dataBar>
        <cfvo type="min"/>
        <cfvo type="num" val="4"/>
        <color rgb="FFFFC000"/>
      </dataBar>
      <extLst>
        <ext xmlns:x14="http://schemas.microsoft.com/office/spreadsheetml/2009/9/main" uri="{B025F937-C7B1-47D3-B67F-A62EFF666E3E}">
          <x14:id>{38BB98F9-DAB9-4A34-A762-F3BDC089FF97}</x14:id>
        </ext>
      </extLst>
    </cfRule>
  </conditionalFormatting>
  <conditionalFormatting sqref="G9:L18">
    <cfRule type="containsBlanks" dxfId="76" priority="124">
      <formula>LEN(TRIM(G9))=0</formula>
    </cfRule>
  </conditionalFormatting>
  <conditionalFormatting sqref="H137:H138">
    <cfRule type="dataBar" priority="6">
      <dataBar>
        <cfvo type="min"/>
        <cfvo type="num" val="4"/>
        <color rgb="FFFFC000"/>
      </dataBar>
      <extLst>
        <ext xmlns:x14="http://schemas.microsoft.com/office/spreadsheetml/2009/9/main" uri="{B025F937-C7B1-47D3-B67F-A62EFF666E3E}">
          <x14:id>{4EF5BCAA-CC28-4140-B356-313A9B23B574}</x14:id>
        </ext>
      </extLst>
    </cfRule>
  </conditionalFormatting>
  <conditionalFormatting sqref="H140:H141">
    <cfRule type="dataBar" priority="24">
      <dataBar>
        <cfvo type="min"/>
        <cfvo type="num" val="4"/>
        <color rgb="FFFFC000"/>
      </dataBar>
      <extLst>
        <ext xmlns:x14="http://schemas.microsoft.com/office/spreadsheetml/2009/9/main" uri="{B025F937-C7B1-47D3-B67F-A62EFF666E3E}">
          <x14:id>{587DF8F8-2411-4FC8-A35D-42E00E24165F}</x14:id>
        </ext>
      </extLst>
    </cfRule>
  </conditionalFormatting>
  <conditionalFormatting sqref="H82:I91 K82:L91">
    <cfRule type="dataBar" priority="105">
      <dataBar>
        <cfvo type="min"/>
        <cfvo type="num" val="4"/>
        <color rgb="FFFFC000"/>
      </dataBar>
      <extLst>
        <ext xmlns:x14="http://schemas.microsoft.com/office/spreadsheetml/2009/9/main" uri="{B025F937-C7B1-47D3-B67F-A62EFF666E3E}">
          <x14:id>{BDB2F237-6848-40BF-A3FD-38ECF93F6C36}</x14:id>
        </ext>
      </extLst>
    </cfRule>
  </conditionalFormatting>
  <conditionalFormatting sqref="H92:I101 K92:L101">
    <cfRule type="dataBar" priority="101">
      <dataBar>
        <cfvo type="min"/>
        <cfvo type="num" val="4"/>
        <color rgb="FFFFC000"/>
      </dataBar>
      <extLst>
        <ext xmlns:x14="http://schemas.microsoft.com/office/spreadsheetml/2009/9/main" uri="{B025F937-C7B1-47D3-B67F-A62EFF666E3E}">
          <x14:id>{37D86314-E276-45A4-98E0-8CE151473E7B}</x14:id>
        </ext>
      </extLst>
    </cfRule>
  </conditionalFormatting>
  <conditionalFormatting sqref="H102:I111 K102:L111">
    <cfRule type="dataBar" priority="97">
      <dataBar>
        <cfvo type="min"/>
        <cfvo type="num" val="4"/>
        <color rgb="FFFFC000"/>
      </dataBar>
      <extLst>
        <ext xmlns:x14="http://schemas.microsoft.com/office/spreadsheetml/2009/9/main" uri="{B025F937-C7B1-47D3-B67F-A62EFF666E3E}">
          <x14:id>{06A48991-7EC4-43EA-BBEE-42AD58B1C52E}</x14:id>
        </ext>
      </extLst>
    </cfRule>
  </conditionalFormatting>
  <conditionalFormatting sqref="H52:M56 M72:M111 K72:L81 H57:I81 K57:M71 J57:J111">
    <cfRule type="dataBar" priority="112">
      <dataBar>
        <cfvo type="min"/>
        <cfvo type="num" val="4"/>
        <color rgb="FFFFC000"/>
      </dataBar>
      <extLst>
        <ext xmlns:x14="http://schemas.microsoft.com/office/spreadsheetml/2009/9/main" uri="{B025F937-C7B1-47D3-B67F-A62EFF666E3E}">
          <x14:id>{3AA19560-A59B-4184-8DF5-7381841414A9}</x14:id>
        </ext>
      </extLst>
    </cfRule>
  </conditionalFormatting>
  <conditionalFormatting sqref="H52:M149">
    <cfRule type="cellIs" dxfId="75" priority="2" stopIfTrue="1" operator="notBetween">
      <formula>1</formula>
      <formula>4</formula>
    </cfRule>
  </conditionalFormatting>
  <conditionalFormatting sqref="H112:M117">
    <cfRule type="dataBar" priority="85">
      <dataBar>
        <cfvo type="min"/>
        <cfvo type="num" val="4"/>
        <color rgb="FFFFC000"/>
      </dataBar>
      <extLst>
        <ext xmlns:x14="http://schemas.microsoft.com/office/spreadsheetml/2009/9/main" uri="{B025F937-C7B1-47D3-B67F-A62EFF666E3E}">
          <x14:id>{FCC2A88E-7158-4AED-AD2C-CD6E508F8E5E}</x14:id>
        </ext>
      </extLst>
    </cfRule>
  </conditionalFormatting>
  <conditionalFormatting sqref="H118:M123">
    <cfRule type="dataBar" priority="78">
      <dataBar>
        <cfvo type="min"/>
        <cfvo type="num" val="4"/>
        <color rgb="FFFFC000"/>
      </dataBar>
      <extLst>
        <ext xmlns:x14="http://schemas.microsoft.com/office/spreadsheetml/2009/9/main" uri="{B025F937-C7B1-47D3-B67F-A62EFF666E3E}">
          <x14:id>{51D38709-C750-4C80-87E9-F2EDFE52D62C}</x14:id>
        </ext>
      </extLst>
    </cfRule>
  </conditionalFormatting>
  <conditionalFormatting sqref="H124:M127">
    <cfRule type="dataBar" priority="61">
      <dataBar>
        <cfvo type="min"/>
        <cfvo type="num" val="4"/>
        <color rgb="FFFFC000"/>
      </dataBar>
      <extLst>
        <ext xmlns:x14="http://schemas.microsoft.com/office/spreadsheetml/2009/9/main" uri="{B025F937-C7B1-47D3-B67F-A62EFF666E3E}">
          <x14:id>{97F7280C-8152-4681-8522-433221E054E3}</x14:id>
        </ext>
      </extLst>
    </cfRule>
  </conditionalFormatting>
  <conditionalFormatting sqref="H128:M131">
    <cfRule type="dataBar" priority="64">
      <dataBar>
        <cfvo type="min"/>
        <cfvo type="num" val="4"/>
        <color rgb="FFFFC000"/>
      </dataBar>
      <extLst>
        <ext xmlns:x14="http://schemas.microsoft.com/office/spreadsheetml/2009/9/main" uri="{B025F937-C7B1-47D3-B67F-A62EFF666E3E}">
          <x14:id>{9824012E-933C-4569-B23F-DBF8C63874AA}</x14:id>
        </ext>
      </extLst>
    </cfRule>
  </conditionalFormatting>
  <conditionalFormatting sqref="H132:M133">
    <cfRule type="dataBar" priority="58">
      <dataBar>
        <cfvo type="min"/>
        <cfvo type="num" val="4"/>
        <color rgb="FFFFC000"/>
      </dataBar>
      <extLst>
        <ext xmlns:x14="http://schemas.microsoft.com/office/spreadsheetml/2009/9/main" uri="{B025F937-C7B1-47D3-B67F-A62EFF666E3E}">
          <x14:id>{47992DAE-33A3-48DB-8D15-6EDF6BC67A1B}</x14:id>
        </ext>
      </extLst>
    </cfRule>
  </conditionalFormatting>
  <conditionalFormatting sqref="H134:M135">
    <cfRule type="dataBar" priority="55">
      <dataBar>
        <cfvo type="min"/>
        <cfvo type="num" val="4"/>
        <color rgb="FFFFC000"/>
      </dataBar>
      <extLst>
        <ext xmlns:x14="http://schemas.microsoft.com/office/spreadsheetml/2009/9/main" uri="{B025F937-C7B1-47D3-B67F-A62EFF666E3E}">
          <x14:id>{B2B4F89C-9E79-4009-AF2C-16B13319B971}</x14:id>
        </ext>
      </extLst>
    </cfRule>
  </conditionalFormatting>
  <conditionalFormatting sqref="H142:M149 H136:M136 H139:M139">
    <cfRule type="dataBar" priority="52">
      <dataBar>
        <cfvo type="min"/>
        <cfvo type="num" val="4"/>
        <color rgb="FFFFC000"/>
      </dataBar>
      <extLst>
        <ext xmlns:x14="http://schemas.microsoft.com/office/spreadsheetml/2009/9/main" uri="{B025F937-C7B1-47D3-B67F-A62EFF666E3E}">
          <x14:id>{503F7DE9-B4E7-4D39-9C1A-42805FC5671F}</x14:id>
        </ext>
      </extLst>
    </cfRule>
  </conditionalFormatting>
  <conditionalFormatting sqref="H236:M253">
    <cfRule type="cellIs" dxfId="74" priority="92" stopIfTrue="1" operator="notBetween">
      <formula>1</formula>
      <formula>4</formula>
    </cfRule>
    <cfRule type="dataBar" priority="7618">
      <dataBar>
        <cfvo type="min"/>
        <cfvo type="num" val="4"/>
        <color rgb="FFFFC000"/>
      </dataBar>
      <extLst>
        <ext xmlns:x14="http://schemas.microsoft.com/office/spreadsheetml/2009/9/main" uri="{B025F937-C7B1-47D3-B67F-A62EFF666E3E}">
          <x14:id>{1DB1F7E5-1B76-4469-AF28-1F59C90FCDE7}</x14:id>
        </ext>
      </extLst>
    </cfRule>
  </conditionalFormatting>
  <conditionalFormatting sqref="H52:O149">
    <cfRule type="containsBlanks" dxfId="73" priority="1">
      <formula>LEN(TRIM(H52))=0</formula>
    </cfRule>
  </conditionalFormatting>
  <conditionalFormatting sqref="H236:O253">
    <cfRule type="containsBlanks" dxfId="72" priority="87">
      <formula>LEN(TRIM(H236))=0</formula>
    </cfRule>
  </conditionalFormatting>
  <conditionalFormatting sqref="I137:I138">
    <cfRule type="dataBar" priority="9">
      <dataBar>
        <cfvo type="min"/>
        <cfvo type="num" val="4"/>
        <color rgb="FFFFC000"/>
      </dataBar>
      <extLst>
        <ext xmlns:x14="http://schemas.microsoft.com/office/spreadsheetml/2009/9/main" uri="{B025F937-C7B1-47D3-B67F-A62EFF666E3E}">
          <x14:id>{13078C8B-BF01-4200-B1AB-B8D1BD61354E}</x14:id>
        </ext>
      </extLst>
    </cfRule>
  </conditionalFormatting>
  <conditionalFormatting sqref="I140:I141">
    <cfRule type="dataBar" priority="27">
      <dataBar>
        <cfvo type="min"/>
        <cfvo type="num" val="4"/>
        <color rgb="FFFFC000"/>
      </dataBar>
      <extLst>
        <ext xmlns:x14="http://schemas.microsoft.com/office/spreadsheetml/2009/9/main" uri="{B025F937-C7B1-47D3-B67F-A62EFF666E3E}">
          <x14:id>{815A4913-A24E-4273-B763-41C62CF7B400}</x14:id>
        </ext>
      </extLst>
    </cfRule>
  </conditionalFormatting>
  <conditionalFormatting sqref="J137:J138">
    <cfRule type="dataBar" priority="3">
      <dataBar>
        <cfvo type="min"/>
        <cfvo type="num" val="4"/>
        <color rgb="FFFFC000"/>
      </dataBar>
      <extLst>
        <ext xmlns:x14="http://schemas.microsoft.com/office/spreadsheetml/2009/9/main" uri="{B025F937-C7B1-47D3-B67F-A62EFF666E3E}">
          <x14:id>{94EF0653-39E0-4293-9312-A66C20AB7E98}</x14:id>
        </ext>
      </extLst>
    </cfRule>
  </conditionalFormatting>
  <conditionalFormatting sqref="J140:J141">
    <cfRule type="dataBar" priority="21">
      <dataBar>
        <cfvo type="min"/>
        <cfvo type="num" val="4"/>
        <color rgb="FFFFC000"/>
      </dataBar>
      <extLst>
        <ext xmlns:x14="http://schemas.microsoft.com/office/spreadsheetml/2009/9/main" uri="{B025F937-C7B1-47D3-B67F-A62EFF666E3E}">
          <x14:id>{7C8448E1-1E3E-4105-9E4E-23C51661BA30}</x14:id>
        </ext>
      </extLst>
    </cfRule>
  </conditionalFormatting>
  <conditionalFormatting sqref="K137:K138">
    <cfRule type="dataBar" priority="18">
      <dataBar>
        <cfvo type="min"/>
        <cfvo type="num" val="4"/>
        <color rgb="FFFFC000"/>
      </dataBar>
      <extLst>
        <ext xmlns:x14="http://schemas.microsoft.com/office/spreadsheetml/2009/9/main" uri="{B025F937-C7B1-47D3-B67F-A62EFF666E3E}">
          <x14:id>{D9B0D3FA-AEAD-47ED-BE9A-C695C87A9F7C}</x14:id>
        </ext>
      </extLst>
    </cfRule>
  </conditionalFormatting>
  <conditionalFormatting sqref="K140:K141">
    <cfRule type="dataBar" priority="36">
      <dataBar>
        <cfvo type="min"/>
        <cfvo type="num" val="4"/>
        <color rgb="FFFFC000"/>
      </dataBar>
      <extLst>
        <ext xmlns:x14="http://schemas.microsoft.com/office/spreadsheetml/2009/9/main" uri="{B025F937-C7B1-47D3-B67F-A62EFF666E3E}">
          <x14:id>{C72AAD87-3C77-4826-A5AC-B3A5425797C8}</x14:id>
        </ext>
      </extLst>
    </cfRule>
  </conditionalFormatting>
  <conditionalFormatting sqref="L9 L14">
    <cfRule type="dataBar" priority="129">
      <dataBar>
        <cfvo type="min"/>
        <cfvo type="max"/>
        <color rgb="FF3FCDFF"/>
      </dataBar>
      <extLst>
        <ext xmlns:x14="http://schemas.microsoft.com/office/spreadsheetml/2009/9/main" uri="{B025F937-C7B1-47D3-B67F-A62EFF666E3E}">
          <x14:id>{044E6AFD-5884-4730-8F9B-D1FED7638C58}</x14:id>
        </ext>
      </extLst>
    </cfRule>
  </conditionalFormatting>
  <conditionalFormatting sqref="L10 L15">
    <cfRule type="dataBar" priority="128">
      <dataBar>
        <cfvo type="min"/>
        <cfvo type="max"/>
        <color rgb="FF3FCDFF"/>
      </dataBar>
      <extLst>
        <ext xmlns:x14="http://schemas.microsoft.com/office/spreadsheetml/2009/9/main" uri="{B025F937-C7B1-47D3-B67F-A62EFF666E3E}">
          <x14:id>{4184BAEB-7C7D-45D5-8AE5-091882005915}</x14:id>
        </ext>
      </extLst>
    </cfRule>
  </conditionalFormatting>
  <conditionalFormatting sqref="L11 L16">
    <cfRule type="dataBar" priority="127">
      <dataBar>
        <cfvo type="min"/>
        <cfvo type="max"/>
        <color rgb="FF3FCDFF"/>
      </dataBar>
      <extLst>
        <ext xmlns:x14="http://schemas.microsoft.com/office/spreadsheetml/2009/9/main" uri="{B025F937-C7B1-47D3-B67F-A62EFF666E3E}">
          <x14:id>{2CCB765B-BDB5-4CD2-A151-ECEC43AAA02E}</x14:id>
        </ext>
      </extLst>
    </cfRule>
  </conditionalFormatting>
  <conditionalFormatting sqref="L12 L17">
    <cfRule type="dataBar" priority="126">
      <dataBar>
        <cfvo type="min"/>
        <cfvo type="max"/>
        <color rgb="FF3FCDFF"/>
      </dataBar>
      <extLst>
        <ext xmlns:x14="http://schemas.microsoft.com/office/spreadsheetml/2009/9/main" uri="{B025F937-C7B1-47D3-B67F-A62EFF666E3E}">
          <x14:id>{E6CA4EA7-1277-4529-BAE5-E027076BED09}</x14:id>
        </ext>
      </extLst>
    </cfRule>
  </conditionalFormatting>
  <conditionalFormatting sqref="L13 L18">
    <cfRule type="dataBar" priority="125">
      <dataBar>
        <cfvo type="min"/>
        <cfvo type="max"/>
        <color rgb="FF3FCDFF"/>
      </dataBar>
      <extLst>
        <ext xmlns:x14="http://schemas.microsoft.com/office/spreadsheetml/2009/9/main" uri="{B025F937-C7B1-47D3-B67F-A62EFF666E3E}">
          <x14:id>{B0E58DDB-B93B-469D-83F7-0C2B5A3CB48D}</x14:id>
        </ext>
      </extLst>
    </cfRule>
  </conditionalFormatting>
  <conditionalFormatting sqref="L29 L39 L34 L44">
    <cfRule type="dataBar" priority="121">
      <dataBar>
        <cfvo type="min"/>
        <cfvo type="max"/>
        <color rgb="FF3FCDFF"/>
      </dataBar>
      <extLst>
        <ext xmlns:x14="http://schemas.microsoft.com/office/spreadsheetml/2009/9/main" uri="{B025F937-C7B1-47D3-B67F-A62EFF666E3E}">
          <x14:id>{532D4628-7402-4936-8CF5-18DCA0889570}</x14:id>
        </ext>
      </extLst>
    </cfRule>
  </conditionalFormatting>
  <conditionalFormatting sqref="L30 L40 L35 L45">
    <cfRule type="dataBar" priority="120">
      <dataBar>
        <cfvo type="min"/>
        <cfvo type="max"/>
        <color rgb="FF3FCDFF"/>
      </dataBar>
      <extLst>
        <ext xmlns:x14="http://schemas.microsoft.com/office/spreadsheetml/2009/9/main" uri="{B025F937-C7B1-47D3-B67F-A62EFF666E3E}">
          <x14:id>{9579316F-07BA-41EA-9D16-2117F5379859}</x14:id>
        </ext>
      </extLst>
    </cfRule>
  </conditionalFormatting>
  <conditionalFormatting sqref="L31 L41 L36 L46">
    <cfRule type="dataBar" priority="119">
      <dataBar>
        <cfvo type="min"/>
        <cfvo type="max"/>
        <color rgb="FF3FCDFF"/>
      </dataBar>
      <extLst>
        <ext xmlns:x14="http://schemas.microsoft.com/office/spreadsheetml/2009/9/main" uri="{B025F937-C7B1-47D3-B67F-A62EFF666E3E}">
          <x14:id>{4112D8BB-EA2C-4153-B98D-3F072BBE47C6}</x14:id>
        </ext>
      </extLst>
    </cfRule>
  </conditionalFormatting>
  <conditionalFormatting sqref="L32 L42 L37 L47">
    <cfRule type="dataBar" priority="118">
      <dataBar>
        <cfvo type="min"/>
        <cfvo type="max"/>
        <color rgb="FF3FCDFF"/>
      </dataBar>
      <extLst>
        <ext xmlns:x14="http://schemas.microsoft.com/office/spreadsheetml/2009/9/main" uri="{B025F937-C7B1-47D3-B67F-A62EFF666E3E}">
          <x14:id>{CCB09693-BFF1-4E71-855C-1AE120A41457}</x14:id>
        </ext>
      </extLst>
    </cfRule>
  </conditionalFormatting>
  <conditionalFormatting sqref="L33 L43 L38 L48">
    <cfRule type="dataBar" priority="117">
      <dataBar>
        <cfvo type="min"/>
        <cfvo type="max"/>
        <color rgb="FF3FCDFF"/>
      </dataBar>
      <extLst>
        <ext xmlns:x14="http://schemas.microsoft.com/office/spreadsheetml/2009/9/main" uri="{B025F937-C7B1-47D3-B67F-A62EFF666E3E}">
          <x14:id>{3DD80B76-9152-4DE8-8550-8424654C2349}</x14:id>
        </ext>
      </extLst>
    </cfRule>
  </conditionalFormatting>
  <conditionalFormatting sqref="L137:L138">
    <cfRule type="dataBar" priority="15">
      <dataBar>
        <cfvo type="min"/>
        <cfvo type="num" val="4"/>
        <color rgb="FFFFC000"/>
      </dataBar>
      <extLst>
        <ext xmlns:x14="http://schemas.microsoft.com/office/spreadsheetml/2009/9/main" uri="{B025F937-C7B1-47D3-B67F-A62EFF666E3E}">
          <x14:id>{2D9908F9-0B2B-46B9-8D15-1A25F27574D4}</x14:id>
        </ext>
      </extLst>
    </cfRule>
  </conditionalFormatting>
  <conditionalFormatting sqref="L140:L141">
    <cfRule type="dataBar" priority="33">
      <dataBar>
        <cfvo type="min"/>
        <cfvo type="num" val="4"/>
        <color rgb="FFFFC000"/>
      </dataBar>
      <extLst>
        <ext xmlns:x14="http://schemas.microsoft.com/office/spreadsheetml/2009/9/main" uri="{B025F937-C7B1-47D3-B67F-A62EFF666E3E}">
          <x14:id>{F26C3E51-45A6-4FDB-A93F-C42718E41EFE}</x14:id>
        </ext>
      </extLst>
    </cfRule>
  </conditionalFormatting>
  <conditionalFormatting sqref="M137:M138">
    <cfRule type="dataBar" priority="12">
      <dataBar>
        <cfvo type="min"/>
        <cfvo type="num" val="4"/>
        <color rgb="FFFFC000"/>
      </dataBar>
      <extLst>
        <ext xmlns:x14="http://schemas.microsoft.com/office/spreadsheetml/2009/9/main" uri="{B025F937-C7B1-47D3-B67F-A62EFF666E3E}">
          <x14:id>{6BF08E2B-AD37-4044-991B-0CA550689FB1}</x14:id>
        </ext>
      </extLst>
    </cfRule>
  </conditionalFormatting>
  <conditionalFormatting sqref="M140:M141">
    <cfRule type="dataBar" priority="30">
      <dataBar>
        <cfvo type="min"/>
        <cfvo type="num" val="4"/>
        <color rgb="FFFFC000"/>
      </dataBar>
      <extLst>
        <ext xmlns:x14="http://schemas.microsoft.com/office/spreadsheetml/2009/9/main" uri="{B025F937-C7B1-47D3-B67F-A62EFF666E3E}">
          <x14:id>{4699F706-80CC-434B-8686-F6C92A94EB75}</x14:id>
        </ext>
      </extLst>
    </cfRule>
  </conditionalFormatting>
  <conditionalFormatting sqref="N52:N135">
    <cfRule type="dataBar" priority="6342">
      <dataBar>
        <cfvo type="min"/>
        <cfvo type="max"/>
        <color rgb="FF3FCDFF"/>
      </dataBar>
      <extLst>
        <ext xmlns:x14="http://schemas.microsoft.com/office/spreadsheetml/2009/9/main" uri="{B025F937-C7B1-47D3-B67F-A62EFF666E3E}">
          <x14:id>{413D993E-6473-4125-9F1E-007ED25FA0E5}</x14:id>
        </ext>
      </extLst>
    </cfRule>
  </conditionalFormatting>
  <conditionalFormatting sqref="N136:N149">
    <cfRule type="dataBar" priority="47">
      <dataBar>
        <cfvo type="min"/>
        <cfvo type="max"/>
        <color rgb="FF3FCDFF"/>
      </dataBar>
      <extLst>
        <ext xmlns:x14="http://schemas.microsoft.com/office/spreadsheetml/2009/9/main" uri="{B025F937-C7B1-47D3-B67F-A62EFF666E3E}">
          <x14:id>{AE781AFE-1F2C-41CD-9A35-52D4128544AB}</x14:id>
        </ext>
      </extLst>
    </cfRule>
  </conditionalFormatting>
  <conditionalFormatting sqref="N236:N253">
    <cfRule type="dataBar" priority="7619">
      <dataBar>
        <cfvo type="min"/>
        <cfvo type="max"/>
        <color rgb="FF3FCDFF"/>
      </dataBar>
      <extLst>
        <ext xmlns:x14="http://schemas.microsoft.com/office/spreadsheetml/2009/9/main" uri="{B025F937-C7B1-47D3-B67F-A62EFF666E3E}">
          <x14:id>{8F136090-05E9-4BFE-9915-7472FA976C62}</x14:id>
        </ext>
      </extLst>
    </cfRule>
  </conditionalFormatting>
  <conditionalFormatting sqref="O8">
    <cfRule type="dataBar" priority="147">
      <dataBar>
        <cfvo type="min"/>
        <cfvo type="max"/>
        <color rgb="FF3FCDFF"/>
      </dataBar>
      <extLst>
        <ext xmlns:x14="http://schemas.microsoft.com/office/spreadsheetml/2009/9/main" uri="{B025F937-C7B1-47D3-B67F-A62EFF666E3E}">
          <x14:id>{77F46D7A-D3C0-464F-B4B8-4DD98E1D8531}</x14:id>
        </ext>
      </extLst>
    </cfRule>
  </conditionalFormatting>
  <conditionalFormatting sqref="O8:O12 G29:L48">
    <cfRule type="containsBlanks" dxfId="71" priority="138">
      <formula>LEN(TRIM(G8))=0</formula>
    </cfRule>
  </conditionalFormatting>
  <conditionalFormatting sqref="O9">
    <cfRule type="dataBar" priority="145">
      <dataBar>
        <cfvo type="min"/>
        <cfvo type="max"/>
        <color rgb="FF3FCDFF"/>
      </dataBar>
      <extLst>
        <ext xmlns:x14="http://schemas.microsoft.com/office/spreadsheetml/2009/9/main" uri="{B025F937-C7B1-47D3-B67F-A62EFF666E3E}">
          <x14:id>{BC556352-4E74-4E62-9109-E28D996E445F}</x14:id>
        </ext>
      </extLst>
    </cfRule>
  </conditionalFormatting>
  <conditionalFormatting sqref="O10">
    <cfRule type="dataBar" priority="143">
      <dataBar>
        <cfvo type="min"/>
        <cfvo type="max"/>
        <color rgb="FF3FCDFF"/>
      </dataBar>
      <extLst>
        <ext xmlns:x14="http://schemas.microsoft.com/office/spreadsheetml/2009/9/main" uri="{B025F937-C7B1-47D3-B67F-A62EFF666E3E}">
          <x14:id>{F42FDA4B-0BC5-4C08-A7D4-E0C62CFB8228}</x14:id>
        </ext>
      </extLst>
    </cfRule>
  </conditionalFormatting>
  <conditionalFormatting sqref="O11">
    <cfRule type="dataBar" priority="141">
      <dataBar>
        <cfvo type="min"/>
        <cfvo type="max"/>
        <color rgb="FF3FCDFF"/>
      </dataBar>
      <extLst>
        <ext xmlns:x14="http://schemas.microsoft.com/office/spreadsheetml/2009/9/main" uri="{B025F937-C7B1-47D3-B67F-A62EFF666E3E}">
          <x14:id>{A17CC17F-7983-4168-B1F0-14A78A381BE8}</x14:id>
        </ext>
      </extLst>
    </cfRule>
  </conditionalFormatting>
  <conditionalFormatting sqref="O12">
    <cfRule type="dataBar" priority="139">
      <dataBar>
        <cfvo type="min"/>
        <cfvo type="max"/>
        <color rgb="FF3FCDFF"/>
      </dataBar>
      <extLst>
        <ext xmlns:x14="http://schemas.microsoft.com/office/spreadsheetml/2009/9/main" uri="{B025F937-C7B1-47D3-B67F-A62EFF666E3E}">
          <x14:id>{2EA17CFE-D0B3-48D7-97DD-B4721411EDDB}</x14:id>
        </ext>
      </extLst>
    </cfRule>
  </conditionalFormatting>
  <conditionalFormatting sqref="O19:O23">
    <cfRule type="containsBlanks" dxfId="70" priority="156">
      <formula>LEN(TRIM(O19))=0</formula>
    </cfRule>
    <cfRule type="dataBar" priority="157">
      <dataBar>
        <cfvo type="min"/>
        <cfvo type="max"/>
        <color rgb="FF3FCDFF"/>
      </dataBar>
      <extLst>
        <ext xmlns:x14="http://schemas.microsoft.com/office/spreadsheetml/2009/9/main" uri="{B025F937-C7B1-47D3-B67F-A62EFF666E3E}">
          <x14:id>{E3CDCA83-FFF2-4477-BE3A-A6896D88673B}</x14:id>
        </ext>
      </extLst>
    </cfRule>
  </conditionalFormatting>
  <conditionalFormatting sqref="O52:O135">
    <cfRule type="dataBar" priority="6344">
      <dataBar>
        <cfvo type="min"/>
        <cfvo type="max"/>
        <color rgb="FF3FCDFF"/>
      </dataBar>
      <extLst>
        <ext xmlns:x14="http://schemas.microsoft.com/office/spreadsheetml/2009/9/main" uri="{B025F937-C7B1-47D3-B67F-A62EFF666E3E}">
          <x14:id>{240C1EB0-A950-4C5C-BBC7-0F4E6502BF83}</x14:id>
        </ext>
      </extLst>
    </cfRule>
  </conditionalFormatting>
  <conditionalFormatting sqref="O136:O149">
    <cfRule type="dataBar" priority="48">
      <dataBar>
        <cfvo type="min"/>
        <cfvo type="max"/>
        <color rgb="FF3FCDFF"/>
      </dataBar>
      <extLst>
        <ext xmlns:x14="http://schemas.microsoft.com/office/spreadsheetml/2009/9/main" uri="{B025F937-C7B1-47D3-B67F-A62EFF666E3E}">
          <x14:id>{7130BCB1-A014-4EDA-8A28-10A79FF71292}</x14:id>
        </ext>
      </extLst>
    </cfRule>
  </conditionalFormatting>
  <conditionalFormatting sqref="O236:O253">
    <cfRule type="dataBar" priority="7620">
      <dataBar>
        <cfvo type="min"/>
        <cfvo type="max"/>
        <color rgb="FF3FCDFF"/>
      </dataBar>
      <extLst>
        <ext xmlns:x14="http://schemas.microsoft.com/office/spreadsheetml/2009/9/main" uri="{B025F937-C7B1-47D3-B67F-A62EFF666E3E}">
          <x14:id>{AF836228-A7FA-4A92-A993-106CE664609D}</x14:id>
        </ext>
      </extLst>
    </cfRule>
  </conditionalFormatting>
  <conditionalFormatting sqref="P114">
    <cfRule type="containsText" dxfId="69" priority="79" operator="containsText" text="Actual TC">
      <formula>NOT(ISERROR(SEARCH("Actual TC",P114)))</formula>
    </cfRule>
  </conditionalFormatting>
  <conditionalFormatting sqref="P118:P149">
    <cfRule type="containsText" dxfId="68" priority="50" operator="containsText" text="Actual TC">
      <formula>NOT(ISERROR(SEARCH("Actual TC",P118)))</formula>
    </cfRule>
  </conditionalFormatting>
  <conditionalFormatting sqref="P236:P253">
    <cfRule type="containsText" dxfId="67" priority="91" operator="containsText" text="Actual TC">
      <formula>NOT(ISERROR(SEARCH("Actual TC",P236)))</formula>
    </cfRule>
  </conditionalFormatting>
  <hyperlinks>
    <hyperlink ref="F4" r:id="rId1" display="https://web.archive.org/web/20230930160250/https:/apeeurope.eu/statistics/" xr:uid="{7DE040F0-3F27-4CB5-8A55-6263402F0C26}"/>
    <hyperlink ref="F5" r:id="rId2" display="https://web.archive.org/web/20230930160250/https:/apeeurope.eu/statistics/" xr:uid="{3D134E28-EB05-417B-9E8D-60FB22D5F083}"/>
    <hyperlink ref="F9" r:id="rId3" display="https://web.archive.org/web/20230930160250/https:/apeeurope.eu/statistics/" xr:uid="{9026BB22-68C1-4FE0-B4E9-6E3F84B15491}"/>
    <hyperlink ref="F10:F18" r:id="rId4" display="https://web.archive.org/web/20230930160250/https:/apeeurope.eu/statistics/" xr:uid="{D333CF03-45F5-42EA-AE9A-1C6647CA1B93}"/>
    <hyperlink ref="F22" r:id="rId5" display="https://web.archive.org/web/20230930160250/https:/apeeurope.eu/statistics/" xr:uid="{2EB8F6D5-4000-445D-BF36-5931C0FE4B8A}"/>
    <hyperlink ref="F23" r:id="rId6" display="https://web.archive.org/web/20230930160250/https:/apeeurope.eu/statistics/" xr:uid="{AA0E9160-BA04-4B16-B21B-DB6A525E0E16}"/>
    <hyperlink ref="F24" r:id="rId7" display="https://web.archive.org/web/20230930160250/https:/apeeurope.eu/statistics/" xr:uid="{5BBEF317-69BA-4F5D-AF19-3BFE96F20298}"/>
    <hyperlink ref="F25" r:id="rId8" display="https://web.archive.org/web/20230930160250/https:/apeeurope.eu/statistics/" xr:uid="{40157213-AECB-4431-959B-6BACB543B632}"/>
    <hyperlink ref="F29" r:id="rId9" display="https://web.archive.org/web/20230930160250/https:/apeeurope.eu/statistics/" xr:uid="{F2042F78-3200-4045-8273-C4D8D2A7C115}"/>
    <hyperlink ref="F30" r:id="rId10" display="https://web.archive.org/web/20230930160250/https:/apeeurope.eu/statistics/" xr:uid="{34A17C65-BC7B-4343-AD37-C5159429F8C1}"/>
    <hyperlink ref="F31" r:id="rId11" display="https://web.archive.org/web/20230930160250/https:/apeeurope.eu/statistics/" xr:uid="{C1655A2F-6A2B-43E9-B88A-DC78486D0652}"/>
    <hyperlink ref="F32" r:id="rId12" display="https://web.archive.org/web/20230930160250/https:/apeeurope.eu/statistics/" xr:uid="{C8D656CF-9F38-4EA5-8FB7-91FA4EB36F02}"/>
    <hyperlink ref="F33" r:id="rId13" display="https://web.archive.org/web/20230930160250/https:/apeeurope.eu/statistics/" xr:uid="{9E836A76-B254-4805-8A90-720D42515096}"/>
    <hyperlink ref="F39" r:id="rId14" display="https://web.archive.org/web/20230930160250/https:/apeeurope.eu/statistics/" xr:uid="{3379147D-166F-4CB2-A0DA-D2C5D7BEEA4C}"/>
    <hyperlink ref="F40" r:id="rId15" display="https://web.archive.org/web/20230930160250/https:/apeeurope.eu/statistics/" xr:uid="{54A4B260-B3B9-4C81-96B6-2EBF1920DE72}"/>
    <hyperlink ref="F41" r:id="rId16" display="https://web.archive.org/web/20230930160250/https:/apeeurope.eu/statistics/" xr:uid="{DA006BC8-B206-4613-B321-C6AF048F5303}"/>
    <hyperlink ref="F42" r:id="rId17" display="https://web.archive.org/web/20230930160250/https:/apeeurope.eu/statistics/" xr:uid="{F21E6193-965D-47A0-A813-F27C2B6F90FF}"/>
    <hyperlink ref="F43" r:id="rId18" display="https://web.archive.org/web/20230930160250/https:/apeeurope.eu/statistics/" xr:uid="{49045764-41E6-4B11-9D64-7320C1FE9683}"/>
    <hyperlink ref="D224" r:id="rId19" xr:uid="{C2EFE451-E627-41F9-BADF-3163BA11ACA5}"/>
  </hyperlinks>
  <pageMargins left="0.7" right="0.7" top="0.75" bottom="0.75" header="0.3" footer="0.3"/>
  <pageSetup orientation="portrait" r:id="rId20"/>
  <extLst>
    <ext xmlns:x14="http://schemas.microsoft.com/office/spreadsheetml/2009/9/main" uri="{78C0D931-6437-407d-A8EE-F0AAD7539E65}">
      <x14:conditionalFormattings>
        <x14:conditionalFormatting xmlns:xm="http://schemas.microsoft.com/office/excel/2006/main">
          <x14:cfRule type="dataBar" id="{62E9FF6B-7CF9-48F4-8540-C7B62384D8C1}">
            <x14:dataBar minLength="0" maxLength="100" gradient="0">
              <x14:cfvo type="autoMin"/>
              <x14:cfvo type="num">
                <xm:f>4</xm:f>
              </x14:cfvo>
              <x14:negativeFillColor rgb="FFFF0000"/>
              <x14:axisColor rgb="FF000000"/>
            </x14:dataBar>
          </x14:cfRule>
          <xm:sqref>G9:K18</xm:sqref>
        </x14:conditionalFormatting>
        <x14:conditionalFormatting xmlns:xm="http://schemas.microsoft.com/office/excel/2006/main">
          <x14:cfRule type="dataBar" id="{38BB98F9-DAB9-4A34-A762-F3BDC089FF97}">
            <x14:dataBar minLength="0" maxLength="100" gradient="0">
              <x14:cfvo type="autoMin"/>
              <x14:cfvo type="num">
                <xm:f>4</xm:f>
              </x14:cfvo>
              <x14:negativeFillColor rgb="FFFF0000"/>
              <x14:axisColor rgb="FF000000"/>
            </x14:dataBar>
          </x14:cfRule>
          <xm:sqref>G29:K48</xm:sqref>
        </x14:conditionalFormatting>
        <x14:conditionalFormatting xmlns:xm="http://schemas.microsoft.com/office/excel/2006/main">
          <x14:cfRule type="dataBar" id="{4EF5BCAA-CC28-4140-B356-313A9B23B574}">
            <x14:dataBar minLength="0" maxLength="100" gradient="0">
              <x14:cfvo type="autoMin"/>
              <x14:cfvo type="num">
                <xm:f>4</xm:f>
              </x14:cfvo>
              <x14:negativeFillColor rgb="FFFF0000"/>
              <x14:axisColor rgb="FF000000"/>
            </x14:dataBar>
          </x14:cfRule>
          <xm:sqref>H137:H138</xm:sqref>
        </x14:conditionalFormatting>
        <x14:conditionalFormatting xmlns:xm="http://schemas.microsoft.com/office/excel/2006/main">
          <x14:cfRule type="dataBar" id="{587DF8F8-2411-4FC8-A35D-42E00E24165F}">
            <x14:dataBar minLength="0" maxLength="100" gradient="0">
              <x14:cfvo type="autoMin"/>
              <x14:cfvo type="num">
                <xm:f>4</xm:f>
              </x14:cfvo>
              <x14:negativeFillColor rgb="FFFF0000"/>
              <x14:axisColor rgb="FF000000"/>
            </x14:dataBar>
          </x14:cfRule>
          <xm:sqref>H140:H141</xm:sqref>
        </x14:conditionalFormatting>
        <x14:conditionalFormatting xmlns:xm="http://schemas.microsoft.com/office/excel/2006/main">
          <x14:cfRule type="dataBar" id="{BDB2F237-6848-40BF-A3FD-38ECF93F6C36}">
            <x14:dataBar minLength="0" maxLength="100" gradient="0">
              <x14:cfvo type="autoMin"/>
              <x14:cfvo type="num">
                <xm:f>4</xm:f>
              </x14:cfvo>
              <x14:negativeFillColor rgb="FFFF0000"/>
              <x14:axisColor rgb="FF000000"/>
            </x14:dataBar>
          </x14:cfRule>
          <xm:sqref>H82:I91 K82:L91</xm:sqref>
        </x14:conditionalFormatting>
        <x14:conditionalFormatting xmlns:xm="http://schemas.microsoft.com/office/excel/2006/main">
          <x14:cfRule type="dataBar" id="{37D86314-E276-45A4-98E0-8CE151473E7B}">
            <x14:dataBar minLength="0" maxLength="100" gradient="0">
              <x14:cfvo type="autoMin"/>
              <x14:cfvo type="num">
                <xm:f>4</xm:f>
              </x14:cfvo>
              <x14:negativeFillColor rgb="FFFF0000"/>
              <x14:axisColor rgb="FF000000"/>
            </x14:dataBar>
          </x14:cfRule>
          <xm:sqref>H92:I101 K92:L101</xm:sqref>
        </x14:conditionalFormatting>
        <x14:conditionalFormatting xmlns:xm="http://schemas.microsoft.com/office/excel/2006/main">
          <x14:cfRule type="dataBar" id="{06A48991-7EC4-43EA-BBEE-42AD58B1C52E}">
            <x14:dataBar minLength="0" maxLength="100" gradient="0">
              <x14:cfvo type="autoMin"/>
              <x14:cfvo type="num">
                <xm:f>4</xm:f>
              </x14:cfvo>
              <x14:negativeFillColor rgb="FFFF0000"/>
              <x14:axisColor rgb="FF000000"/>
            </x14:dataBar>
          </x14:cfRule>
          <xm:sqref>H102:I111 K102:L111</xm:sqref>
        </x14:conditionalFormatting>
        <x14:conditionalFormatting xmlns:xm="http://schemas.microsoft.com/office/excel/2006/main">
          <x14:cfRule type="dataBar" id="{3AA19560-A59B-4184-8DF5-7381841414A9}">
            <x14:dataBar minLength="0" maxLength="100" gradient="0">
              <x14:cfvo type="autoMin"/>
              <x14:cfvo type="num">
                <xm:f>4</xm:f>
              </x14:cfvo>
              <x14:negativeFillColor rgb="FFFF0000"/>
              <x14:axisColor rgb="FF000000"/>
            </x14:dataBar>
          </x14:cfRule>
          <xm:sqref>H52:M56 M72:M111 K72:L81 H57:I81 K57:M71 J57:J111</xm:sqref>
        </x14:conditionalFormatting>
        <x14:conditionalFormatting xmlns:xm="http://schemas.microsoft.com/office/excel/2006/main">
          <x14:cfRule type="dataBar" id="{FCC2A88E-7158-4AED-AD2C-CD6E508F8E5E}">
            <x14:dataBar minLength="0" maxLength="100" gradient="0">
              <x14:cfvo type="autoMin"/>
              <x14:cfvo type="num">
                <xm:f>4</xm:f>
              </x14:cfvo>
              <x14:negativeFillColor rgb="FFFF0000"/>
              <x14:axisColor rgb="FF000000"/>
            </x14:dataBar>
          </x14:cfRule>
          <xm:sqref>H112:M117</xm:sqref>
        </x14:conditionalFormatting>
        <x14:conditionalFormatting xmlns:xm="http://schemas.microsoft.com/office/excel/2006/main">
          <x14:cfRule type="dataBar" id="{51D38709-C750-4C80-87E9-F2EDFE52D62C}">
            <x14:dataBar minLength="0" maxLength="100" gradient="0">
              <x14:cfvo type="autoMin"/>
              <x14:cfvo type="num">
                <xm:f>4</xm:f>
              </x14:cfvo>
              <x14:negativeFillColor rgb="FFFF0000"/>
              <x14:axisColor rgb="FF000000"/>
            </x14:dataBar>
          </x14:cfRule>
          <xm:sqref>H118:M123</xm:sqref>
        </x14:conditionalFormatting>
        <x14:conditionalFormatting xmlns:xm="http://schemas.microsoft.com/office/excel/2006/main">
          <x14:cfRule type="dataBar" id="{97F7280C-8152-4681-8522-433221E054E3}">
            <x14:dataBar minLength="0" maxLength="100" gradient="0">
              <x14:cfvo type="autoMin"/>
              <x14:cfvo type="num">
                <xm:f>4</xm:f>
              </x14:cfvo>
              <x14:negativeFillColor rgb="FFFF0000"/>
              <x14:axisColor rgb="FF000000"/>
            </x14:dataBar>
          </x14:cfRule>
          <xm:sqref>H124:M127</xm:sqref>
        </x14:conditionalFormatting>
        <x14:conditionalFormatting xmlns:xm="http://schemas.microsoft.com/office/excel/2006/main">
          <x14:cfRule type="dataBar" id="{9824012E-933C-4569-B23F-DBF8C63874AA}">
            <x14:dataBar minLength="0" maxLength="100" gradient="0">
              <x14:cfvo type="autoMin"/>
              <x14:cfvo type="num">
                <xm:f>4</xm:f>
              </x14:cfvo>
              <x14:negativeFillColor rgb="FFFF0000"/>
              <x14:axisColor rgb="FF000000"/>
            </x14:dataBar>
          </x14:cfRule>
          <xm:sqref>H128:M131</xm:sqref>
        </x14:conditionalFormatting>
        <x14:conditionalFormatting xmlns:xm="http://schemas.microsoft.com/office/excel/2006/main">
          <x14:cfRule type="dataBar" id="{47992DAE-33A3-48DB-8D15-6EDF6BC67A1B}">
            <x14:dataBar minLength="0" maxLength="100" gradient="0">
              <x14:cfvo type="autoMin"/>
              <x14:cfvo type="num">
                <xm:f>4</xm:f>
              </x14:cfvo>
              <x14:negativeFillColor rgb="FFFF0000"/>
              <x14:axisColor rgb="FF000000"/>
            </x14:dataBar>
          </x14:cfRule>
          <xm:sqref>H132:M133</xm:sqref>
        </x14:conditionalFormatting>
        <x14:conditionalFormatting xmlns:xm="http://schemas.microsoft.com/office/excel/2006/main">
          <x14:cfRule type="dataBar" id="{B2B4F89C-9E79-4009-AF2C-16B13319B971}">
            <x14:dataBar minLength="0" maxLength="100" gradient="0">
              <x14:cfvo type="autoMin"/>
              <x14:cfvo type="num">
                <xm:f>4</xm:f>
              </x14:cfvo>
              <x14:negativeFillColor rgb="FFFF0000"/>
              <x14:axisColor rgb="FF000000"/>
            </x14:dataBar>
          </x14:cfRule>
          <xm:sqref>H134:M135</xm:sqref>
        </x14:conditionalFormatting>
        <x14:conditionalFormatting xmlns:xm="http://schemas.microsoft.com/office/excel/2006/main">
          <x14:cfRule type="dataBar" id="{503F7DE9-B4E7-4D39-9C1A-42805FC5671F}">
            <x14:dataBar minLength="0" maxLength="100" gradient="0">
              <x14:cfvo type="autoMin"/>
              <x14:cfvo type="num">
                <xm:f>4</xm:f>
              </x14:cfvo>
              <x14:negativeFillColor rgb="FFFF0000"/>
              <x14:axisColor rgb="FF000000"/>
            </x14:dataBar>
          </x14:cfRule>
          <xm:sqref>H142:M149 H136:M136 H139:M139</xm:sqref>
        </x14:conditionalFormatting>
        <x14:conditionalFormatting xmlns:xm="http://schemas.microsoft.com/office/excel/2006/main">
          <x14:cfRule type="dataBar" id="{1DB1F7E5-1B76-4469-AF28-1F59C90FCDE7}">
            <x14:dataBar minLength="0" maxLength="100" gradient="0">
              <x14:cfvo type="autoMin"/>
              <x14:cfvo type="num">
                <xm:f>4</xm:f>
              </x14:cfvo>
              <x14:negativeFillColor rgb="FFFF0000"/>
              <x14:axisColor rgb="FF000000"/>
            </x14:dataBar>
          </x14:cfRule>
          <xm:sqref>H236:M253</xm:sqref>
        </x14:conditionalFormatting>
        <x14:conditionalFormatting xmlns:xm="http://schemas.microsoft.com/office/excel/2006/main">
          <x14:cfRule type="dataBar" id="{13078C8B-BF01-4200-B1AB-B8D1BD61354E}">
            <x14:dataBar minLength="0" maxLength="100" gradient="0">
              <x14:cfvo type="autoMin"/>
              <x14:cfvo type="num">
                <xm:f>4</xm:f>
              </x14:cfvo>
              <x14:negativeFillColor rgb="FFFF0000"/>
              <x14:axisColor rgb="FF000000"/>
            </x14:dataBar>
          </x14:cfRule>
          <xm:sqref>I137:I138</xm:sqref>
        </x14:conditionalFormatting>
        <x14:conditionalFormatting xmlns:xm="http://schemas.microsoft.com/office/excel/2006/main">
          <x14:cfRule type="dataBar" id="{815A4913-A24E-4273-B763-41C62CF7B400}">
            <x14:dataBar minLength="0" maxLength="100" gradient="0">
              <x14:cfvo type="autoMin"/>
              <x14:cfvo type="num">
                <xm:f>4</xm:f>
              </x14:cfvo>
              <x14:negativeFillColor rgb="FFFF0000"/>
              <x14:axisColor rgb="FF000000"/>
            </x14:dataBar>
          </x14:cfRule>
          <xm:sqref>I140:I141</xm:sqref>
        </x14:conditionalFormatting>
        <x14:conditionalFormatting xmlns:xm="http://schemas.microsoft.com/office/excel/2006/main">
          <x14:cfRule type="dataBar" id="{94EF0653-39E0-4293-9312-A66C20AB7E98}">
            <x14:dataBar minLength="0" maxLength="100" gradient="0">
              <x14:cfvo type="autoMin"/>
              <x14:cfvo type="num">
                <xm:f>4</xm:f>
              </x14:cfvo>
              <x14:negativeFillColor rgb="FFFF0000"/>
              <x14:axisColor rgb="FF000000"/>
            </x14:dataBar>
          </x14:cfRule>
          <xm:sqref>J137:J138</xm:sqref>
        </x14:conditionalFormatting>
        <x14:conditionalFormatting xmlns:xm="http://schemas.microsoft.com/office/excel/2006/main">
          <x14:cfRule type="dataBar" id="{7C8448E1-1E3E-4105-9E4E-23C51661BA30}">
            <x14:dataBar minLength="0" maxLength="100" gradient="0">
              <x14:cfvo type="autoMin"/>
              <x14:cfvo type="num">
                <xm:f>4</xm:f>
              </x14:cfvo>
              <x14:negativeFillColor rgb="FFFF0000"/>
              <x14:axisColor rgb="FF000000"/>
            </x14:dataBar>
          </x14:cfRule>
          <xm:sqref>J140:J141</xm:sqref>
        </x14:conditionalFormatting>
        <x14:conditionalFormatting xmlns:xm="http://schemas.microsoft.com/office/excel/2006/main">
          <x14:cfRule type="dataBar" id="{D9B0D3FA-AEAD-47ED-BE9A-C695C87A9F7C}">
            <x14:dataBar minLength="0" maxLength="100" gradient="0">
              <x14:cfvo type="autoMin"/>
              <x14:cfvo type="num">
                <xm:f>4</xm:f>
              </x14:cfvo>
              <x14:negativeFillColor rgb="FFFF0000"/>
              <x14:axisColor rgb="FF000000"/>
            </x14:dataBar>
          </x14:cfRule>
          <xm:sqref>K137:K138</xm:sqref>
        </x14:conditionalFormatting>
        <x14:conditionalFormatting xmlns:xm="http://schemas.microsoft.com/office/excel/2006/main">
          <x14:cfRule type="dataBar" id="{C72AAD87-3C77-4826-A5AC-B3A5425797C8}">
            <x14:dataBar minLength="0" maxLength="100" gradient="0">
              <x14:cfvo type="autoMin"/>
              <x14:cfvo type="num">
                <xm:f>4</xm:f>
              </x14:cfvo>
              <x14:negativeFillColor rgb="FFFF0000"/>
              <x14:axisColor rgb="FF000000"/>
            </x14:dataBar>
          </x14:cfRule>
          <xm:sqref>K140:K141</xm:sqref>
        </x14:conditionalFormatting>
        <x14:conditionalFormatting xmlns:xm="http://schemas.microsoft.com/office/excel/2006/main">
          <x14:cfRule type="dataBar" id="{044E6AFD-5884-4730-8F9B-D1FED7638C58}">
            <x14:dataBar minLength="0" maxLength="100" gradient="0">
              <x14:cfvo type="autoMin"/>
              <x14:cfvo type="autoMax"/>
              <x14:negativeFillColor rgb="FFFF0000"/>
              <x14:axisColor rgb="FF000000"/>
            </x14:dataBar>
          </x14:cfRule>
          <xm:sqref>L9 L14</xm:sqref>
        </x14:conditionalFormatting>
        <x14:conditionalFormatting xmlns:xm="http://schemas.microsoft.com/office/excel/2006/main">
          <x14:cfRule type="dataBar" id="{4184BAEB-7C7D-45D5-8AE5-091882005915}">
            <x14:dataBar minLength="0" maxLength="100" gradient="0">
              <x14:cfvo type="autoMin"/>
              <x14:cfvo type="autoMax"/>
              <x14:negativeFillColor rgb="FFFF0000"/>
              <x14:axisColor rgb="FF000000"/>
            </x14:dataBar>
          </x14:cfRule>
          <xm:sqref>L10 L15</xm:sqref>
        </x14:conditionalFormatting>
        <x14:conditionalFormatting xmlns:xm="http://schemas.microsoft.com/office/excel/2006/main">
          <x14:cfRule type="dataBar" id="{2CCB765B-BDB5-4CD2-A151-ECEC43AAA02E}">
            <x14:dataBar minLength="0" maxLength="100" gradient="0">
              <x14:cfvo type="autoMin"/>
              <x14:cfvo type="autoMax"/>
              <x14:negativeFillColor rgb="FFFF0000"/>
              <x14:axisColor rgb="FF000000"/>
            </x14:dataBar>
          </x14:cfRule>
          <xm:sqref>L11 L16</xm:sqref>
        </x14:conditionalFormatting>
        <x14:conditionalFormatting xmlns:xm="http://schemas.microsoft.com/office/excel/2006/main">
          <x14:cfRule type="dataBar" id="{E6CA4EA7-1277-4529-BAE5-E027076BED09}">
            <x14:dataBar minLength="0" maxLength="100" gradient="0">
              <x14:cfvo type="autoMin"/>
              <x14:cfvo type="autoMax"/>
              <x14:negativeFillColor rgb="FFFF0000"/>
              <x14:axisColor rgb="FF000000"/>
            </x14:dataBar>
          </x14:cfRule>
          <xm:sqref>L12 L17</xm:sqref>
        </x14:conditionalFormatting>
        <x14:conditionalFormatting xmlns:xm="http://schemas.microsoft.com/office/excel/2006/main">
          <x14:cfRule type="dataBar" id="{B0E58DDB-B93B-469D-83F7-0C2B5A3CB48D}">
            <x14:dataBar minLength="0" maxLength="100" gradient="0">
              <x14:cfvo type="autoMin"/>
              <x14:cfvo type="autoMax"/>
              <x14:negativeFillColor rgb="FFFF0000"/>
              <x14:axisColor rgb="FF000000"/>
            </x14:dataBar>
          </x14:cfRule>
          <xm:sqref>L13 L18</xm:sqref>
        </x14:conditionalFormatting>
        <x14:conditionalFormatting xmlns:xm="http://schemas.microsoft.com/office/excel/2006/main">
          <x14:cfRule type="dataBar" id="{532D4628-7402-4936-8CF5-18DCA0889570}">
            <x14:dataBar minLength="0" maxLength="100" gradient="0">
              <x14:cfvo type="autoMin"/>
              <x14:cfvo type="autoMax"/>
              <x14:negativeFillColor rgb="FFFF0000"/>
              <x14:axisColor rgb="FF000000"/>
            </x14:dataBar>
          </x14:cfRule>
          <xm:sqref>L29 L39 L34 L44</xm:sqref>
        </x14:conditionalFormatting>
        <x14:conditionalFormatting xmlns:xm="http://schemas.microsoft.com/office/excel/2006/main">
          <x14:cfRule type="dataBar" id="{9579316F-07BA-41EA-9D16-2117F5379859}">
            <x14:dataBar minLength="0" maxLength="100" gradient="0">
              <x14:cfvo type="autoMin"/>
              <x14:cfvo type="autoMax"/>
              <x14:negativeFillColor rgb="FFFF0000"/>
              <x14:axisColor rgb="FF000000"/>
            </x14:dataBar>
          </x14:cfRule>
          <xm:sqref>L30 L40 L35 L45</xm:sqref>
        </x14:conditionalFormatting>
        <x14:conditionalFormatting xmlns:xm="http://schemas.microsoft.com/office/excel/2006/main">
          <x14:cfRule type="dataBar" id="{4112D8BB-EA2C-4153-B98D-3F072BBE47C6}">
            <x14:dataBar minLength="0" maxLength="100" gradient="0">
              <x14:cfvo type="autoMin"/>
              <x14:cfvo type="autoMax"/>
              <x14:negativeFillColor rgb="FFFF0000"/>
              <x14:axisColor rgb="FF000000"/>
            </x14:dataBar>
          </x14:cfRule>
          <xm:sqref>L31 L41 L36 L46</xm:sqref>
        </x14:conditionalFormatting>
        <x14:conditionalFormatting xmlns:xm="http://schemas.microsoft.com/office/excel/2006/main">
          <x14:cfRule type="dataBar" id="{CCB09693-BFF1-4E71-855C-1AE120A41457}">
            <x14:dataBar minLength="0" maxLength="100" gradient="0">
              <x14:cfvo type="autoMin"/>
              <x14:cfvo type="autoMax"/>
              <x14:negativeFillColor rgb="FFFF0000"/>
              <x14:axisColor rgb="FF000000"/>
            </x14:dataBar>
          </x14:cfRule>
          <xm:sqref>L32 L42 L37 L47</xm:sqref>
        </x14:conditionalFormatting>
        <x14:conditionalFormatting xmlns:xm="http://schemas.microsoft.com/office/excel/2006/main">
          <x14:cfRule type="dataBar" id="{3DD80B76-9152-4DE8-8550-8424654C2349}">
            <x14:dataBar minLength="0" maxLength="100" gradient="0">
              <x14:cfvo type="autoMin"/>
              <x14:cfvo type="autoMax"/>
              <x14:negativeFillColor rgb="FFFF0000"/>
              <x14:axisColor rgb="FF000000"/>
            </x14:dataBar>
          </x14:cfRule>
          <xm:sqref>L33 L43 L38 L48</xm:sqref>
        </x14:conditionalFormatting>
        <x14:conditionalFormatting xmlns:xm="http://schemas.microsoft.com/office/excel/2006/main">
          <x14:cfRule type="dataBar" id="{2D9908F9-0B2B-46B9-8D15-1A25F27574D4}">
            <x14:dataBar minLength="0" maxLength="100" gradient="0">
              <x14:cfvo type="autoMin"/>
              <x14:cfvo type="num">
                <xm:f>4</xm:f>
              </x14:cfvo>
              <x14:negativeFillColor rgb="FFFF0000"/>
              <x14:axisColor rgb="FF000000"/>
            </x14:dataBar>
          </x14:cfRule>
          <xm:sqref>L137:L138</xm:sqref>
        </x14:conditionalFormatting>
        <x14:conditionalFormatting xmlns:xm="http://schemas.microsoft.com/office/excel/2006/main">
          <x14:cfRule type="dataBar" id="{F26C3E51-45A6-4FDB-A93F-C42718E41EFE}">
            <x14:dataBar minLength="0" maxLength="100" gradient="0">
              <x14:cfvo type="autoMin"/>
              <x14:cfvo type="num">
                <xm:f>4</xm:f>
              </x14:cfvo>
              <x14:negativeFillColor rgb="FFFF0000"/>
              <x14:axisColor rgb="FF000000"/>
            </x14:dataBar>
          </x14:cfRule>
          <xm:sqref>L140:L141</xm:sqref>
        </x14:conditionalFormatting>
        <x14:conditionalFormatting xmlns:xm="http://schemas.microsoft.com/office/excel/2006/main">
          <x14:cfRule type="dataBar" id="{6BF08E2B-AD37-4044-991B-0CA550689FB1}">
            <x14:dataBar minLength="0" maxLength="100" gradient="0">
              <x14:cfvo type="autoMin"/>
              <x14:cfvo type="num">
                <xm:f>4</xm:f>
              </x14:cfvo>
              <x14:negativeFillColor rgb="FFFF0000"/>
              <x14:axisColor rgb="FF000000"/>
            </x14:dataBar>
          </x14:cfRule>
          <xm:sqref>M137:M138</xm:sqref>
        </x14:conditionalFormatting>
        <x14:conditionalFormatting xmlns:xm="http://schemas.microsoft.com/office/excel/2006/main">
          <x14:cfRule type="dataBar" id="{4699F706-80CC-434B-8686-F6C92A94EB75}">
            <x14:dataBar minLength="0" maxLength="100" gradient="0">
              <x14:cfvo type="autoMin"/>
              <x14:cfvo type="num">
                <xm:f>4</xm:f>
              </x14:cfvo>
              <x14:negativeFillColor rgb="FFFF0000"/>
              <x14:axisColor rgb="FF000000"/>
            </x14:dataBar>
          </x14:cfRule>
          <xm:sqref>M140:M141</xm:sqref>
        </x14:conditionalFormatting>
        <x14:conditionalFormatting xmlns:xm="http://schemas.microsoft.com/office/excel/2006/main">
          <x14:cfRule type="dataBar" id="{413D993E-6473-4125-9F1E-007ED25FA0E5}">
            <x14:dataBar minLength="0" maxLength="100" gradient="0">
              <x14:cfvo type="autoMin"/>
              <x14:cfvo type="autoMax"/>
              <x14:negativeFillColor rgb="FFFF0000"/>
              <x14:axisColor rgb="FF000000"/>
            </x14:dataBar>
          </x14:cfRule>
          <xm:sqref>N52:N135</xm:sqref>
        </x14:conditionalFormatting>
        <x14:conditionalFormatting xmlns:xm="http://schemas.microsoft.com/office/excel/2006/main">
          <x14:cfRule type="dataBar" id="{AE781AFE-1F2C-41CD-9A35-52D4128544AB}">
            <x14:dataBar minLength="0" maxLength="100" gradient="0">
              <x14:cfvo type="autoMin"/>
              <x14:cfvo type="autoMax"/>
              <x14:negativeFillColor rgb="FFFF0000"/>
              <x14:axisColor rgb="FF000000"/>
            </x14:dataBar>
          </x14:cfRule>
          <xm:sqref>N136:N149</xm:sqref>
        </x14:conditionalFormatting>
        <x14:conditionalFormatting xmlns:xm="http://schemas.microsoft.com/office/excel/2006/main">
          <x14:cfRule type="dataBar" id="{8F136090-05E9-4BFE-9915-7472FA976C62}">
            <x14:dataBar minLength="0" maxLength="100" gradient="0">
              <x14:cfvo type="autoMin"/>
              <x14:cfvo type="autoMax"/>
              <x14:negativeFillColor rgb="FFFF0000"/>
              <x14:axisColor rgb="FF000000"/>
            </x14:dataBar>
          </x14:cfRule>
          <xm:sqref>N236:N253</xm:sqref>
        </x14:conditionalFormatting>
        <x14:conditionalFormatting xmlns:xm="http://schemas.microsoft.com/office/excel/2006/main">
          <x14:cfRule type="dataBar" id="{77F46D7A-D3C0-464F-B4B8-4DD98E1D8531}">
            <x14:dataBar minLength="0" maxLength="100" gradient="0">
              <x14:cfvo type="autoMin"/>
              <x14:cfvo type="autoMax"/>
              <x14:negativeFillColor rgb="FFFF0000"/>
              <x14:axisColor rgb="FF000000"/>
            </x14:dataBar>
          </x14:cfRule>
          <xm:sqref>O8</xm:sqref>
        </x14:conditionalFormatting>
        <x14:conditionalFormatting xmlns:xm="http://schemas.microsoft.com/office/excel/2006/main">
          <x14:cfRule type="dataBar" id="{BC556352-4E74-4E62-9109-E28D996E445F}">
            <x14:dataBar minLength="0" maxLength="100" gradient="0">
              <x14:cfvo type="autoMin"/>
              <x14:cfvo type="autoMax"/>
              <x14:negativeFillColor rgb="FFFF0000"/>
              <x14:axisColor rgb="FF000000"/>
            </x14:dataBar>
          </x14:cfRule>
          <xm:sqref>O9</xm:sqref>
        </x14:conditionalFormatting>
        <x14:conditionalFormatting xmlns:xm="http://schemas.microsoft.com/office/excel/2006/main">
          <x14:cfRule type="dataBar" id="{F42FDA4B-0BC5-4C08-A7D4-E0C62CFB8228}">
            <x14:dataBar minLength="0" maxLength="100" gradient="0">
              <x14:cfvo type="autoMin"/>
              <x14:cfvo type="autoMax"/>
              <x14:negativeFillColor rgb="FFFF0000"/>
              <x14:axisColor rgb="FF000000"/>
            </x14:dataBar>
          </x14:cfRule>
          <xm:sqref>O10</xm:sqref>
        </x14:conditionalFormatting>
        <x14:conditionalFormatting xmlns:xm="http://schemas.microsoft.com/office/excel/2006/main">
          <x14:cfRule type="dataBar" id="{A17CC17F-7983-4168-B1F0-14A78A381BE8}">
            <x14:dataBar minLength="0" maxLength="100" gradient="0">
              <x14:cfvo type="autoMin"/>
              <x14:cfvo type="autoMax"/>
              <x14:negativeFillColor rgb="FFFF0000"/>
              <x14:axisColor rgb="FF000000"/>
            </x14:dataBar>
          </x14:cfRule>
          <xm:sqref>O11</xm:sqref>
        </x14:conditionalFormatting>
        <x14:conditionalFormatting xmlns:xm="http://schemas.microsoft.com/office/excel/2006/main">
          <x14:cfRule type="dataBar" id="{2EA17CFE-D0B3-48D7-97DD-B4721411EDDB}">
            <x14:dataBar minLength="0" maxLength="100" gradient="0">
              <x14:cfvo type="autoMin"/>
              <x14:cfvo type="autoMax"/>
              <x14:negativeFillColor rgb="FFFF0000"/>
              <x14:axisColor rgb="FF000000"/>
            </x14:dataBar>
          </x14:cfRule>
          <xm:sqref>O12</xm:sqref>
        </x14:conditionalFormatting>
        <x14:conditionalFormatting xmlns:xm="http://schemas.microsoft.com/office/excel/2006/main">
          <x14:cfRule type="dataBar" id="{E3CDCA83-FFF2-4477-BE3A-A6896D88673B}">
            <x14:dataBar minLength="0" maxLength="100" gradient="0">
              <x14:cfvo type="autoMin"/>
              <x14:cfvo type="autoMax"/>
              <x14:negativeFillColor rgb="FFFF0000"/>
              <x14:axisColor rgb="FF000000"/>
            </x14:dataBar>
          </x14:cfRule>
          <xm:sqref>O19:O23</xm:sqref>
        </x14:conditionalFormatting>
        <x14:conditionalFormatting xmlns:xm="http://schemas.microsoft.com/office/excel/2006/main">
          <x14:cfRule type="dataBar" id="{240C1EB0-A950-4C5C-BBC7-0F4E6502BF83}">
            <x14:dataBar minLength="0" maxLength="100" gradient="0">
              <x14:cfvo type="autoMin"/>
              <x14:cfvo type="autoMax"/>
              <x14:negativeFillColor rgb="FFFF0000"/>
              <x14:axisColor rgb="FF000000"/>
            </x14:dataBar>
          </x14:cfRule>
          <xm:sqref>O52:O135</xm:sqref>
        </x14:conditionalFormatting>
        <x14:conditionalFormatting xmlns:xm="http://schemas.microsoft.com/office/excel/2006/main">
          <x14:cfRule type="dataBar" id="{7130BCB1-A014-4EDA-8A28-10A79FF71292}">
            <x14:dataBar minLength="0" maxLength="100" gradient="0">
              <x14:cfvo type="autoMin"/>
              <x14:cfvo type="autoMax"/>
              <x14:negativeFillColor rgb="FFFF0000"/>
              <x14:axisColor rgb="FF000000"/>
            </x14:dataBar>
          </x14:cfRule>
          <xm:sqref>O136:O149</xm:sqref>
        </x14:conditionalFormatting>
        <x14:conditionalFormatting xmlns:xm="http://schemas.microsoft.com/office/excel/2006/main">
          <x14:cfRule type="dataBar" id="{AF836228-A7FA-4A92-A993-106CE664609D}">
            <x14:dataBar minLength="0" maxLength="100" gradient="0">
              <x14:cfvo type="autoMin"/>
              <x14:cfvo type="autoMax"/>
              <x14:negativeFillColor rgb="FFFF0000"/>
              <x14:axisColor rgb="FF000000"/>
            </x14:dataBar>
          </x14:cfRule>
          <xm:sqref>O236:O253</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4AA15-C4DC-4BB9-8468-17C8EF90DC4C}">
  <sheetPr>
    <tabColor theme="8"/>
  </sheetPr>
  <dimension ref="A1:AF158"/>
  <sheetViews>
    <sheetView topLeftCell="A121" zoomScale="85" zoomScaleNormal="85" workbookViewId="0">
      <selection activeCell="C146" sqref="C146"/>
    </sheetView>
  </sheetViews>
  <sheetFormatPr defaultColWidth="8.88671875" defaultRowHeight="14.4"/>
  <cols>
    <col min="1" max="1" width="50.6640625" style="6" customWidth="1"/>
    <col min="2" max="2" width="24.109375" style="6" customWidth="1"/>
    <col min="3" max="32" width="20.6640625" style="6" customWidth="1"/>
    <col min="33" max="16384" width="8.88671875" style="6"/>
  </cols>
  <sheetData>
    <row r="1" spans="1:32" ht="30" customHeight="1">
      <c r="A1" s="1038" t="s">
        <v>778</v>
      </c>
      <c r="B1" s="1038"/>
      <c r="C1" s="1038"/>
      <c r="D1" s="1038"/>
      <c r="E1" s="1038"/>
      <c r="F1" s="1038"/>
      <c r="G1" s="1038"/>
      <c r="H1" s="1038"/>
      <c r="I1" s="1038"/>
      <c r="J1" s="1038"/>
      <c r="K1" s="1038"/>
      <c r="L1" s="1038"/>
      <c r="M1" s="1038"/>
      <c r="N1" s="1038"/>
      <c r="O1" s="1038"/>
      <c r="P1" s="1038"/>
      <c r="Q1" s="1038"/>
      <c r="R1" s="1038"/>
      <c r="S1" s="1038"/>
      <c r="T1" s="1038"/>
      <c r="U1" s="1038"/>
      <c r="V1" s="1038"/>
      <c r="W1" s="1038"/>
      <c r="X1" s="1038"/>
      <c r="Y1" s="1038"/>
      <c r="Z1" s="1038"/>
      <c r="AA1" s="1038"/>
      <c r="AB1" s="1038"/>
      <c r="AC1" s="1038"/>
      <c r="AD1" s="1038"/>
      <c r="AE1" s="1038"/>
      <c r="AF1" s="1038"/>
    </row>
    <row r="2" spans="1:32" ht="30" customHeight="1">
      <c r="A2" s="139" t="s">
        <v>100</v>
      </c>
      <c r="B2" s="139" t="s">
        <v>101</v>
      </c>
      <c r="C2" s="139" t="s">
        <v>131</v>
      </c>
      <c r="D2" s="187" t="s">
        <v>85</v>
      </c>
      <c r="E2" s="187" t="s">
        <v>86</v>
      </c>
      <c r="F2" s="187" t="s">
        <v>87</v>
      </c>
      <c r="G2" s="187" t="s">
        <v>88</v>
      </c>
      <c r="H2" s="187" t="s">
        <v>89</v>
      </c>
      <c r="I2" s="187" t="s">
        <v>90</v>
      </c>
      <c r="J2" s="187" t="s">
        <v>91</v>
      </c>
      <c r="K2" s="187" t="s">
        <v>92</v>
      </c>
      <c r="L2" s="187" t="s">
        <v>93</v>
      </c>
      <c r="M2" s="187" t="s">
        <v>94</v>
      </c>
      <c r="N2" s="187" t="s">
        <v>95</v>
      </c>
      <c r="O2" s="187" t="s">
        <v>96</v>
      </c>
      <c r="P2" s="187" t="s">
        <v>97</v>
      </c>
      <c r="Q2" s="187" t="s">
        <v>127</v>
      </c>
      <c r="R2" s="1039" t="s">
        <v>123</v>
      </c>
      <c r="S2" s="1039"/>
      <c r="T2" s="1039"/>
      <c r="U2" s="1026" t="s">
        <v>104</v>
      </c>
      <c r="V2" s="1026"/>
      <c r="W2" s="1026"/>
      <c r="X2" s="1026"/>
      <c r="Y2" s="1026"/>
      <c r="Z2" s="1026"/>
      <c r="AA2" s="1026"/>
      <c r="AB2" s="1026"/>
      <c r="AC2" s="1026"/>
      <c r="AD2" s="1026"/>
      <c r="AE2" s="1026"/>
      <c r="AF2" s="1026"/>
    </row>
    <row r="3" spans="1:32" s="7" customFormat="1">
      <c r="A3" s="143" t="s">
        <v>1033</v>
      </c>
      <c r="B3" s="9" t="s">
        <v>863</v>
      </c>
      <c r="C3" s="9" t="s">
        <v>863</v>
      </c>
      <c r="D3" s="188">
        <v>0</v>
      </c>
      <c r="E3" s="367">
        <f>126.1+72.95+42.1+11.6+9.34+1.01+0.046+7.02</f>
        <v>270.16599999999994</v>
      </c>
      <c r="F3" s="188">
        <v>0</v>
      </c>
      <c r="G3" s="188">
        <v>0</v>
      </c>
      <c r="H3" s="188">
        <v>0</v>
      </c>
      <c r="I3" s="188">
        <v>0</v>
      </c>
      <c r="J3" s="188">
        <v>0</v>
      </c>
      <c r="K3" s="188">
        <v>0</v>
      </c>
      <c r="L3" s="188">
        <v>440.07</v>
      </c>
      <c r="M3" s="188">
        <v>0</v>
      </c>
      <c r="N3" s="367">
        <v>1.1299999999999999</v>
      </c>
      <c r="O3" s="188">
        <v>0</v>
      </c>
      <c r="P3" s="367">
        <v>0</v>
      </c>
      <c r="Q3" s="368">
        <f>0.7+0.1+0.485+1.33</f>
        <v>2.6150000000000002</v>
      </c>
      <c r="R3" s="1122" t="s">
        <v>1034</v>
      </c>
      <c r="S3" s="1122"/>
      <c r="T3" s="1122"/>
      <c r="U3" s="1123" t="s">
        <v>1035</v>
      </c>
      <c r="V3" s="1124"/>
      <c r="W3" s="1123" t="s">
        <v>1036</v>
      </c>
      <c r="X3" s="1125"/>
      <c r="Y3" s="1125"/>
      <c r="Z3" s="1125"/>
      <c r="AA3" s="1125"/>
      <c r="AB3" s="1125"/>
      <c r="AC3" s="1125"/>
      <c r="AD3" s="1125"/>
      <c r="AE3" s="1125"/>
      <c r="AF3" s="1124"/>
    </row>
    <row r="4" spans="1:32" s="7" customFormat="1">
      <c r="A4" s="143" t="s">
        <v>227</v>
      </c>
      <c r="B4" s="9" t="s">
        <v>863</v>
      </c>
      <c r="C4" s="9" t="s">
        <v>863</v>
      </c>
      <c r="D4" s="188">
        <v>0</v>
      </c>
      <c r="E4" s="188">
        <v>0</v>
      </c>
      <c r="F4" s="188">
        <v>0</v>
      </c>
      <c r="G4" s="188">
        <v>0</v>
      </c>
      <c r="H4" s="188">
        <v>0</v>
      </c>
      <c r="I4" s="188">
        <v>0</v>
      </c>
      <c r="J4" s="188">
        <f>12/3</f>
        <v>4</v>
      </c>
      <c r="K4" s="188">
        <v>0</v>
      </c>
      <c r="L4" s="188">
        <f>126+3.5</f>
        <v>129.5</v>
      </c>
      <c r="M4" s="188">
        <v>0</v>
      </c>
      <c r="N4" s="188">
        <f>12/3</f>
        <v>4</v>
      </c>
      <c r="O4" s="188">
        <v>0</v>
      </c>
      <c r="P4" s="188">
        <f>12/3</f>
        <v>4</v>
      </c>
      <c r="Q4" s="188">
        <v>0.05</v>
      </c>
      <c r="R4" s="1122" t="s">
        <v>1034</v>
      </c>
      <c r="S4" s="1122"/>
      <c r="T4" s="1122"/>
      <c r="U4" s="1126" t="s">
        <v>1037</v>
      </c>
      <c r="V4" s="1121"/>
      <c r="W4" s="1123" t="s">
        <v>1036</v>
      </c>
      <c r="X4" s="1125"/>
      <c r="Y4" s="1125"/>
      <c r="Z4" s="1125"/>
      <c r="AA4" s="1125"/>
      <c r="AB4" s="1125"/>
      <c r="AC4" s="1125"/>
      <c r="AD4" s="1125"/>
      <c r="AE4" s="1125"/>
      <c r="AF4" s="1124"/>
    </row>
    <row r="5" spans="1:32" s="7" customFormat="1">
      <c r="A5" s="143" t="s">
        <v>156</v>
      </c>
      <c r="B5" s="9" t="s">
        <v>863</v>
      </c>
      <c r="C5" s="9" t="s">
        <v>863</v>
      </c>
      <c r="D5" s="188">
        <v>1</v>
      </c>
      <c r="E5" s="188">
        <v>1</v>
      </c>
      <c r="F5" s="188">
        <v>1</v>
      </c>
      <c r="G5" s="188">
        <v>0</v>
      </c>
      <c r="H5" s="188">
        <v>0</v>
      </c>
      <c r="I5" s="188">
        <v>1</v>
      </c>
      <c r="J5" s="188">
        <v>0</v>
      </c>
      <c r="K5" s="188">
        <v>0</v>
      </c>
      <c r="L5" s="188">
        <v>1</v>
      </c>
      <c r="M5" s="188">
        <v>0</v>
      </c>
      <c r="N5" s="188">
        <v>1</v>
      </c>
      <c r="O5" s="188">
        <v>0</v>
      </c>
      <c r="P5" s="188">
        <v>1</v>
      </c>
      <c r="Q5" s="188">
        <v>3</v>
      </c>
      <c r="R5" s="1122" t="s">
        <v>1038</v>
      </c>
      <c r="S5" s="1122"/>
      <c r="T5" s="1122"/>
      <c r="U5" s="1120" t="s">
        <v>1039</v>
      </c>
      <c r="V5" s="1121"/>
      <c r="W5" s="1123"/>
      <c r="X5" s="1125"/>
      <c r="Y5" s="1125"/>
      <c r="Z5" s="1125"/>
      <c r="AA5" s="1125"/>
      <c r="AB5" s="1125"/>
      <c r="AC5" s="1125"/>
      <c r="AD5" s="1125"/>
      <c r="AE5" s="1125"/>
      <c r="AF5" s="1124"/>
    </row>
    <row r="6" spans="1:32" s="7" customFormat="1">
      <c r="A6" s="143" t="s">
        <v>159</v>
      </c>
      <c r="B6" s="9" t="s">
        <v>863</v>
      </c>
      <c r="C6" s="9" t="s">
        <v>863</v>
      </c>
      <c r="D6" s="188">
        <v>0</v>
      </c>
      <c r="E6" s="188">
        <v>1</v>
      </c>
      <c r="F6" s="188">
        <v>0</v>
      </c>
      <c r="G6" s="188">
        <v>0</v>
      </c>
      <c r="H6" s="188">
        <v>0</v>
      </c>
      <c r="I6" s="188">
        <v>0</v>
      </c>
      <c r="J6" s="188">
        <v>0</v>
      </c>
      <c r="K6" s="188">
        <v>0</v>
      </c>
      <c r="L6" s="188">
        <v>0</v>
      </c>
      <c r="M6" s="188">
        <v>0</v>
      </c>
      <c r="N6" s="188">
        <v>0</v>
      </c>
      <c r="O6" s="188">
        <v>0</v>
      </c>
      <c r="P6" s="188">
        <v>0</v>
      </c>
      <c r="Q6" s="188">
        <v>0</v>
      </c>
      <c r="R6" s="1122" t="s">
        <v>1038</v>
      </c>
      <c r="S6" s="1122"/>
      <c r="T6" s="1122"/>
      <c r="U6" s="1120" t="s">
        <v>1039</v>
      </c>
      <c r="V6" s="1121"/>
      <c r="W6" s="1123"/>
      <c r="X6" s="1125"/>
      <c r="Y6" s="1125"/>
      <c r="Z6" s="1125"/>
      <c r="AA6" s="1125"/>
      <c r="AB6" s="1125"/>
      <c r="AC6" s="1125"/>
      <c r="AD6" s="1125"/>
      <c r="AE6" s="1125"/>
      <c r="AF6" s="1124"/>
    </row>
    <row r="7" spans="1:32" s="7" customFormat="1">
      <c r="A7" s="143" t="s">
        <v>160</v>
      </c>
      <c r="B7" s="9" t="s">
        <v>863</v>
      </c>
      <c r="C7" s="9" t="s">
        <v>863</v>
      </c>
      <c r="D7" s="188">
        <v>1</v>
      </c>
      <c r="E7" s="188">
        <v>1</v>
      </c>
      <c r="F7" s="188">
        <v>0</v>
      </c>
      <c r="G7" s="188">
        <v>0</v>
      </c>
      <c r="H7" s="188">
        <v>0</v>
      </c>
      <c r="I7" s="188">
        <v>1</v>
      </c>
      <c r="J7" s="188">
        <v>1</v>
      </c>
      <c r="K7" s="188">
        <v>0</v>
      </c>
      <c r="L7" s="188">
        <v>1</v>
      </c>
      <c r="M7" s="188">
        <v>0</v>
      </c>
      <c r="N7" s="188">
        <v>1</v>
      </c>
      <c r="O7" s="188">
        <v>0</v>
      </c>
      <c r="P7" s="188">
        <v>1</v>
      </c>
      <c r="Q7" s="188">
        <v>1</v>
      </c>
      <c r="R7" s="1122" t="s">
        <v>1038</v>
      </c>
      <c r="S7" s="1122"/>
      <c r="T7" s="1122"/>
      <c r="U7" s="1120" t="s">
        <v>1039</v>
      </c>
      <c r="V7" s="1121"/>
      <c r="W7" s="1123"/>
      <c r="X7" s="1125"/>
      <c r="Y7" s="1125"/>
      <c r="Z7" s="1125"/>
      <c r="AA7" s="1125"/>
      <c r="AB7" s="1125"/>
      <c r="AC7" s="1125"/>
      <c r="AD7" s="1125"/>
      <c r="AE7" s="1125"/>
      <c r="AF7" s="1124"/>
    </row>
    <row r="8" spans="1:32" s="7" customFormat="1">
      <c r="A8" s="143" t="s">
        <v>161</v>
      </c>
      <c r="B8" s="9" t="s">
        <v>863</v>
      </c>
      <c r="C8" s="9" t="s">
        <v>863</v>
      </c>
      <c r="D8" s="188">
        <v>1</v>
      </c>
      <c r="E8" s="188">
        <v>1</v>
      </c>
      <c r="F8" s="188">
        <v>0</v>
      </c>
      <c r="G8" s="188">
        <v>0</v>
      </c>
      <c r="H8" s="188">
        <v>0</v>
      </c>
      <c r="I8" s="188">
        <v>1</v>
      </c>
      <c r="J8" s="188">
        <v>1</v>
      </c>
      <c r="K8" s="188">
        <v>0</v>
      </c>
      <c r="L8" s="188">
        <v>1</v>
      </c>
      <c r="M8" s="188">
        <v>0</v>
      </c>
      <c r="N8" s="188">
        <v>1</v>
      </c>
      <c r="O8" s="188">
        <v>0</v>
      </c>
      <c r="P8" s="188">
        <v>1</v>
      </c>
      <c r="Q8" s="188">
        <v>1</v>
      </c>
      <c r="R8" s="1122" t="s">
        <v>1038</v>
      </c>
      <c r="S8" s="1122"/>
      <c r="T8" s="1122"/>
      <c r="U8" s="1120" t="s">
        <v>1039</v>
      </c>
      <c r="V8" s="1121"/>
      <c r="W8" s="1123"/>
      <c r="X8" s="1125"/>
      <c r="Y8" s="1125"/>
      <c r="Z8" s="1125"/>
      <c r="AA8" s="1125"/>
      <c r="AB8" s="1125"/>
      <c r="AC8" s="1125"/>
      <c r="AD8" s="1125"/>
      <c r="AE8" s="1125"/>
      <c r="AF8" s="1124"/>
    </row>
    <row r="9" spans="1:32" s="7" customFormat="1">
      <c r="A9" s="143" t="s">
        <v>307</v>
      </c>
      <c r="B9" s="9" t="s">
        <v>863</v>
      </c>
      <c r="C9" s="9" t="s">
        <v>863</v>
      </c>
      <c r="D9" s="188">
        <v>0</v>
      </c>
      <c r="E9" s="188">
        <v>0</v>
      </c>
      <c r="F9" s="188">
        <v>0</v>
      </c>
      <c r="G9" s="188">
        <v>0</v>
      </c>
      <c r="H9" s="188">
        <v>0</v>
      </c>
      <c r="I9" s="188">
        <v>0</v>
      </c>
      <c r="J9" s="188">
        <v>0</v>
      </c>
      <c r="K9" s="188">
        <v>0</v>
      </c>
      <c r="L9" s="188">
        <v>0</v>
      </c>
      <c r="M9" s="188">
        <v>0</v>
      </c>
      <c r="N9" s="188">
        <v>0</v>
      </c>
      <c r="O9" s="188">
        <v>0</v>
      </c>
      <c r="P9" s="188">
        <v>0</v>
      </c>
      <c r="Q9" s="188">
        <v>1</v>
      </c>
      <c r="R9" s="1122" t="s">
        <v>1038</v>
      </c>
      <c r="S9" s="1122"/>
      <c r="T9" s="1122"/>
      <c r="U9" s="1120" t="s">
        <v>1039</v>
      </c>
      <c r="V9" s="1121"/>
      <c r="W9" s="1123"/>
      <c r="X9" s="1125"/>
      <c r="Y9" s="1125"/>
      <c r="Z9" s="1125"/>
      <c r="AA9" s="1125"/>
      <c r="AB9" s="1125"/>
      <c r="AC9" s="1125"/>
      <c r="AD9" s="1125"/>
      <c r="AE9" s="1125"/>
      <c r="AF9" s="1124"/>
    </row>
    <row r="10" spans="1:32" s="7" customFormat="1">
      <c r="A10" s="143" t="s">
        <v>331</v>
      </c>
      <c r="B10" s="9" t="s">
        <v>863</v>
      </c>
      <c r="C10" s="9" t="s">
        <v>863</v>
      </c>
      <c r="D10" s="188">
        <v>0</v>
      </c>
      <c r="E10" s="188">
        <v>0</v>
      </c>
      <c r="F10" s="188">
        <v>0</v>
      </c>
      <c r="G10" s="188">
        <v>0</v>
      </c>
      <c r="H10" s="188">
        <v>0</v>
      </c>
      <c r="I10" s="188">
        <v>0</v>
      </c>
      <c r="J10" s="188">
        <v>0</v>
      </c>
      <c r="K10" s="188">
        <v>0</v>
      </c>
      <c r="L10" s="188">
        <v>0</v>
      </c>
      <c r="M10" s="188">
        <v>0</v>
      </c>
      <c r="N10" s="188">
        <v>0</v>
      </c>
      <c r="O10" s="188">
        <v>0</v>
      </c>
      <c r="P10" s="188">
        <v>0</v>
      </c>
      <c r="Q10" s="188">
        <v>1</v>
      </c>
      <c r="R10" s="1122" t="s">
        <v>1038</v>
      </c>
      <c r="S10" s="1122"/>
      <c r="T10" s="1122"/>
      <c r="U10" s="1120" t="s">
        <v>1039</v>
      </c>
      <c r="V10" s="1121"/>
      <c r="W10" s="1123"/>
      <c r="X10" s="1125"/>
      <c r="Y10" s="1125"/>
      <c r="Z10" s="1125"/>
      <c r="AA10" s="1125"/>
      <c r="AB10" s="1125"/>
      <c r="AC10" s="1125"/>
      <c r="AD10" s="1125"/>
      <c r="AE10" s="1125"/>
      <c r="AF10" s="1124"/>
    </row>
    <row r="11" spans="1:32" s="7" customFormat="1">
      <c r="A11" s="143" t="s">
        <v>268</v>
      </c>
      <c r="B11" s="9" t="s">
        <v>863</v>
      </c>
      <c r="C11" s="9" t="s">
        <v>863</v>
      </c>
      <c r="D11" s="188">
        <v>0</v>
      </c>
      <c r="E11" s="188">
        <v>0</v>
      </c>
      <c r="F11" s="188">
        <v>0</v>
      </c>
      <c r="G11" s="188">
        <v>0</v>
      </c>
      <c r="H11" s="188">
        <v>0</v>
      </c>
      <c r="I11" s="188">
        <v>0</v>
      </c>
      <c r="J11" s="188">
        <v>0</v>
      </c>
      <c r="K11" s="188">
        <v>0</v>
      </c>
      <c r="L11" s="188">
        <v>0</v>
      </c>
      <c r="M11" s="188">
        <v>0</v>
      </c>
      <c r="N11" s="188">
        <v>0</v>
      </c>
      <c r="O11" s="188">
        <v>0</v>
      </c>
      <c r="P11" s="188">
        <v>0</v>
      </c>
      <c r="Q11" s="188">
        <v>1</v>
      </c>
      <c r="R11" s="1122" t="s">
        <v>1038</v>
      </c>
      <c r="S11" s="1122"/>
      <c r="T11" s="1122"/>
      <c r="U11" s="1120" t="s">
        <v>1039</v>
      </c>
      <c r="V11" s="1121"/>
      <c r="W11" s="1123"/>
      <c r="X11" s="1125"/>
      <c r="Y11" s="1125"/>
      <c r="Z11" s="1125"/>
      <c r="AA11" s="1125"/>
      <c r="AB11" s="1125"/>
      <c r="AC11" s="1125"/>
      <c r="AD11" s="1125"/>
      <c r="AE11" s="1125"/>
      <c r="AF11" s="1124"/>
    </row>
    <row r="12" spans="1:32" s="7" customFormat="1">
      <c r="A12" s="143" t="s">
        <v>355</v>
      </c>
      <c r="B12" s="9" t="s">
        <v>863</v>
      </c>
      <c r="C12" s="9" t="s">
        <v>863</v>
      </c>
      <c r="D12" s="188">
        <v>0</v>
      </c>
      <c r="E12" s="188">
        <v>0</v>
      </c>
      <c r="F12" s="188">
        <v>0</v>
      </c>
      <c r="G12" s="188">
        <v>0</v>
      </c>
      <c r="H12" s="188">
        <v>0</v>
      </c>
      <c r="I12" s="188">
        <v>0</v>
      </c>
      <c r="J12" s="188">
        <v>0</v>
      </c>
      <c r="K12" s="188">
        <v>0</v>
      </c>
      <c r="L12" s="188">
        <v>0</v>
      </c>
      <c r="M12" s="188">
        <v>0</v>
      </c>
      <c r="N12" s="188">
        <v>0</v>
      </c>
      <c r="O12" s="188">
        <v>0</v>
      </c>
      <c r="P12" s="188">
        <v>0</v>
      </c>
      <c r="Q12" s="188">
        <v>1</v>
      </c>
      <c r="R12" s="1122" t="s">
        <v>1038</v>
      </c>
      <c r="S12" s="1122"/>
      <c r="T12" s="1122"/>
      <c r="U12" s="1120" t="s">
        <v>1039</v>
      </c>
      <c r="V12" s="1121"/>
      <c r="W12" s="1123"/>
      <c r="X12" s="1125"/>
      <c r="Y12" s="1125"/>
      <c r="Z12" s="1125"/>
      <c r="AA12" s="1125"/>
      <c r="AB12" s="1125"/>
      <c r="AC12" s="1125"/>
      <c r="AD12" s="1125"/>
      <c r="AE12" s="1125"/>
      <c r="AF12" s="1124"/>
    </row>
    <row r="13" spans="1:32" s="7" customFormat="1">
      <c r="A13" s="143" t="s">
        <v>302</v>
      </c>
      <c r="B13" s="9" t="s">
        <v>863</v>
      </c>
      <c r="C13" s="9" t="s">
        <v>863</v>
      </c>
      <c r="D13" s="188">
        <v>0</v>
      </c>
      <c r="E13" s="188">
        <v>0</v>
      </c>
      <c r="F13" s="188">
        <v>0</v>
      </c>
      <c r="G13" s="188">
        <v>0</v>
      </c>
      <c r="H13" s="188">
        <v>0</v>
      </c>
      <c r="I13" s="188">
        <v>0</v>
      </c>
      <c r="J13" s="188">
        <v>0</v>
      </c>
      <c r="K13" s="188">
        <v>1</v>
      </c>
      <c r="L13" s="188">
        <v>0</v>
      </c>
      <c r="M13" s="188">
        <v>0</v>
      </c>
      <c r="N13" s="188">
        <v>0</v>
      </c>
      <c r="O13" s="188">
        <v>0</v>
      </c>
      <c r="P13" s="188">
        <v>0</v>
      </c>
      <c r="Q13" s="188">
        <v>0</v>
      </c>
      <c r="R13" s="1122" t="s">
        <v>1038</v>
      </c>
      <c r="S13" s="1122"/>
      <c r="T13" s="1122"/>
      <c r="U13" s="1120" t="s">
        <v>1039</v>
      </c>
      <c r="V13" s="1121"/>
      <c r="W13" s="1123"/>
      <c r="X13" s="1125"/>
      <c r="Y13" s="1125"/>
      <c r="Z13" s="1125"/>
      <c r="AA13" s="1125"/>
      <c r="AB13" s="1125"/>
      <c r="AC13" s="1125"/>
      <c r="AD13" s="1125"/>
      <c r="AE13" s="1125"/>
      <c r="AF13" s="1124"/>
    </row>
    <row r="15" spans="1:32" ht="30" customHeight="1">
      <c r="A15" s="140" t="s">
        <v>100</v>
      </c>
      <c r="B15" s="140" t="s">
        <v>101</v>
      </c>
      <c r="C15" s="140" t="s">
        <v>131</v>
      </c>
      <c r="D15" s="189" t="s">
        <v>85</v>
      </c>
      <c r="E15" s="189" t="s">
        <v>86</v>
      </c>
      <c r="F15" s="189" t="s">
        <v>87</v>
      </c>
      <c r="G15" s="189" t="s">
        <v>88</v>
      </c>
      <c r="H15" s="189" t="s">
        <v>89</v>
      </c>
      <c r="I15" s="189" t="s">
        <v>90</v>
      </c>
      <c r="J15" s="189" t="s">
        <v>91</v>
      </c>
      <c r="K15" s="189" t="s">
        <v>92</v>
      </c>
      <c r="L15" s="189" t="s">
        <v>93</v>
      </c>
      <c r="M15" s="189" t="s">
        <v>94</v>
      </c>
      <c r="N15" s="189" t="s">
        <v>95</v>
      </c>
      <c r="O15" s="189" t="s">
        <v>96</v>
      </c>
      <c r="P15" s="189" t="s">
        <v>97</v>
      </c>
      <c r="Q15" s="189" t="s">
        <v>127</v>
      </c>
      <c r="R15" s="1026" t="s">
        <v>123</v>
      </c>
      <c r="S15" s="1026"/>
      <c r="T15" s="1026"/>
      <c r="U15" s="1026"/>
      <c r="V15" s="1026"/>
      <c r="W15" s="1026"/>
      <c r="X15" s="1026"/>
      <c r="Y15" s="1026"/>
      <c r="Z15" s="1026"/>
      <c r="AA15" s="1026"/>
      <c r="AB15" s="1026"/>
      <c r="AC15" s="1026"/>
      <c r="AD15" s="1026"/>
      <c r="AE15" s="1026"/>
      <c r="AF15" s="1026"/>
    </row>
    <row r="16" spans="1:32">
      <c r="A16" s="142" t="s">
        <v>1033</v>
      </c>
      <c r="B16" s="117" t="s">
        <v>863</v>
      </c>
      <c r="C16" s="117" t="s">
        <v>863</v>
      </c>
      <c r="D16" s="130">
        <f t="shared" ref="D16:Q16" si="0">D3/SUM($D3:$Q3)</f>
        <v>0</v>
      </c>
      <c r="E16" s="130">
        <f t="shared" si="0"/>
        <v>0.37839382280480849</v>
      </c>
      <c r="F16" s="130">
        <f t="shared" si="0"/>
        <v>0</v>
      </c>
      <c r="G16" s="130">
        <f t="shared" si="0"/>
        <v>0</v>
      </c>
      <c r="H16" s="130">
        <f t="shared" si="0"/>
        <v>0</v>
      </c>
      <c r="I16" s="130">
        <f t="shared" si="0"/>
        <v>0</v>
      </c>
      <c r="J16" s="130">
        <f t="shared" si="0"/>
        <v>0</v>
      </c>
      <c r="K16" s="130">
        <f t="shared" si="0"/>
        <v>0</v>
      </c>
      <c r="L16" s="130">
        <f t="shared" si="0"/>
        <v>0.61636093957682359</v>
      </c>
      <c r="M16" s="130">
        <f t="shared" si="0"/>
        <v>0</v>
      </c>
      <c r="N16" s="130">
        <f t="shared" si="0"/>
        <v>1.5826751692271923E-3</v>
      </c>
      <c r="O16" s="130">
        <f t="shared" si="0"/>
        <v>0</v>
      </c>
      <c r="P16" s="130">
        <f t="shared" si="0"/>
        <v>0</v>
      </c>
      <c r="Q16" s="130">
        <f t="shared" si="0"/>
        <v>3.6625624491408043E-3</v>
      </c>
      <c r="R16" s="1033" t="s">
        <v>1040</v>
      </c>
      <c r="S16" s="1033"/>
      <c r="T16" s="1033"/>
      <c r="U16" s="1033"/>
      <c r="V16" s="1033"/>
      <c r="W16" s="1033"/>
      <c r="X16" s="1033"/>
      <c r="Y16" s="1033"/>
      <c r="Z16" s="1033"/>
      <c r="AA16" s="1033"/>
      <c r="AB16" s="1033"/>
      <c r="AC16" s="1033"/>
      <c r="AD16" s="1033"/>
      <c r="AE16" s="1033"/>
      <c r="AF16" s="1033"/>
    </row>
    <row r="17" spans="1:32">
      <c r="A17" s="142" t="s">
        <v>227</v>
      </c>
      <c r="B17" s="117" t="s">
        <v>863</v>
      </c>
      <c r="C17" s="117" t="s">
        <v>863</v>
      </c>
      <c r="D17" s="130">
        <f t="shared" ref="D17:Q17" si="1">D4/SUM($D4:$Q4)</f>
        <v>0</v>
      </c>
      <c r="E17" s="130">
        <f t="shared" si="1"/>
        <v>0</v>
      </c>
      <c r="F17" s="130">
        <f t="shared" si="1"/>
        <v>0</v>
      </c>
      <c r="G17" s="130">
        <f t="shared" si="1"/>
        <v>0</v>
      </c>
      <c r="H17" s="130">
        <f t="shared" si="1"/>
        <v>0</v>
      </c>
      <c r="I17" s="130">
        <f t="shared" si="1"/>
        <v>0</v>
      </c>
      <c r="J17" s="130">
        <f t="shared" si="1"/>
        <v>2.8258565877781701E-2</v>
      </c>
      <c r="K17" s="130">
        <f t="shared" si="1"/>
        <v>0</v>
      </c>
      <c r="L17" s="130">
        <f t="shared" si="1"/>
        <v>0.9148710702931826</v>
      </c>
      <c r="M17" s="130">
        <f t="shared" si="1"/>
        <v>0</v>
      </c>
      <c r="N17" s="130">
        <f t="shared" si="1"/>
        <v>2.8258565877781701E-2</v>
      </c>
      <c r="O17" s="130">
        <f t="shared" si="1"/>
        <v>0</v>
      </c>
      <c r="P17" s="130">
        <f t="shared" si="1"/>
        <v>2.8258565877781701E-2</v>
      </c>
      <c r="Q17" s="130">
        <f t="shared" si="1"/>
        <v>3.5323207347227127E-4</v>
      </c>
      <c r="R17" s="1033" t="s">
        <v>1040</v>
      </c>
      <c r="S17" s="1033"/>
      <c r="T17" s="1033"/>
      <c r="U17" s="1033"/>
      <c r="V17" s="1033"/>
      <c r="W17" s="1033"/>
      <c r="X17" s="1033"/>
      <c r="Y17" s="1033"/>
      <c r="Z17" s="1033"/>
      <c r="AA17" s="1033"/>
      <c r="AB17" s="1033"/>
      <c r="AC17" s="1033"/>
      <c r="AD17" s="1033"/>
      <c r="AE17" s="1033"/>
      <c r="AF17" s="1033"/>
    </row>
    <row r="18" spans="1:32">
      <c r="A18" s="142" t="s">
        <v>156</v>
      </c>
      <c r="B18" s="117" t="s">
        <v>863</v>
      </c>
      <c r="C18" s="117" t="s">
        <v>863</v>
      </c>
      <c r="D18" s="130">
        <f t="shared" ref="D18:Q18" si="2">D5/SUM($D5:$Q5)</f>
        <v>0.1</v>
      </c>
      <c r="E18" s="130">
        <f t="shared" si="2"/>
        <v>0.1</v>
      </c>
      <c r="F18" s="130">
        <f t="shared" si="2"/>
        <v>0.1</v>
      </c>
      <c r="G18" s="130">
        <f t="shared" si="2"/>
        <v>0</v>
      </c>
      <c r="H18" s="130">
        <f t="shared" si="2"/>
        <v>0</v>
      </c>
      <c r="I18" s="130">
        <f t="shared" si="2"/>
        <v>0.1</v>
      </c>
      <c r="J18" s="130">
        <f t="shared" si="2"/>
        <v>0</v>
      </c>
      <c r="K18" s="130">
        <f t="shared" si="2"/>
        <v>0</v>
      </c>
      <c r="L18" s="130">
        <f t="shared" si="2"/>
        <v>0.1</v>
      </c>
      <c r="M18" s="130">
        <f t="shared" si="2"/>
        <v>0</v>
      </c>
      <c r="N18" s="130">
        <f t="shared" si="2"/>
        <v>0.1</v>
      </c>
      <c r="O18" s="130">
        <f t="shared" si="2"/>
        <v>0</v>
      </c>
      <c r="P18" s="130">
        <f t="shared" si="2"/>
        <v>0.1</v>
      </c>
      <c r="Q18" s="130">
        <f t="shared" si="2"/>
        <v>0.3</v>
      </c>
      <c r="R18" s="1033" t="s">
        <v>1040</v>
      </c>
      <c r="S18" s="1033"/>
      <c r="T18" s="1033"/>
      <c r="U18" s="1033"/>
      <c r="V18" s="1033"/>
      <c r="W18" s="1033"/>
      <c r="X18" s="1033"/>
      <c r="Y18" s="1033"/>
      <c r="Z18" s="1033"/>
      <c r="AA18" s="1033"/>
      <c r="AB18" s="1033"/>
      <c r="AC18" s="1033"/>
      <c r="AD18" s="1033"/>
      <c r="AE18" s="1033"/>
      <c r="AF18" s="1033"/>
    </row>
    <row r="19" spans="1:32">
      <c r="A19" s="142" t="s">
        <v>159</v>
      </c>
      <c r="B19" s="117" t="s">
        <v>863</v>
      </c>
      <c r="C19" s="117" t="s">
        <v>863</v>
      </c>
      <c r="D19" s="130">
        <f t="shared" ref="D19:Q19" si="3">D6/SUM($D6:$Q6)</f>
        <v>0</v>
      </c>
      <c r="E19" s="130">
        <f t="shared" si="3"/>
        <v>1</v>
      </c>
      <c r="F19" s="130">
        <f t="shared" si="3"/>
        <v>0</v>
      </c>
      <c r="G19" s="130">
        <f t="shared" si="3"/>
        <v>0</v>
      </c>
      <c r="H19" s="130">
        <f t="shared" si="3"/>
        <v>0</v>
      </c>
      <c r="I19" s="130">
        <f t="shared" si="3"/>
        <v>0</v>
      </c>
      <c r="J19" s="130">
        <f t="shared" si="3"/>
        <v>0</v>
      </c>
      <c r="K19" s="130">
        <f t="shared" si="3"/>
        <v>0</v>
      </c>
      <c r="L19" s="130">
        <f t="shared" si="3"/>
        <v>0</v>
      </c>
      <c r="M19" s="130">
        <f t="shared" si="3"/>
        <v>0</v>
      </c>
      <c r="N19" s="130">
        <f t="shared" si="3"/>
        <v>0</v>
      </c>
      <c r="O19" s="130">
        <f t="shared" si="3"/>
        <v>0</v>
      </c>
      <c r="P19" s="130">
        <f t="shared" si="3"/>
        <v>0</v>
      </c>
      <c r="Q19" s="130">
        <f t="shared" si="3"/>
        <v>0</v>
      </c>
      <c r="R19" s="1033" t="s">
        <v>1040</v>
      </c>
      <c r="S19" s="1033"/>
      <c r="T19" s="1033"/>
      <c r="U19" s="1033"/>
      <c r="V19" s="1033"/>
      <c r="W19" s="1033"/>
      <c r="X19" s="1033"/>
      <c r="Y19" s="1033"/>
      <c r="Z19" s="1033"/>
      <c r="AA19" s="1033"/>
      <c r="AB19" s="1033"/>
      <c r="AC19" s="1033"/>
      <c r="AD19" s="1033"/>
      <c r="AE19" s="1033"/>
      <c r="AF19" s="1033"/>
    </row>
    <row r="20" spans="1:32">
      <c r="A20" s="142" t="s">
        <v>160</v>
      </c>
      <c r="B20" s="117" t="s">
        <v>863</v>
      </c>
      <c r="C20" s="117" t="s">
        <v>863</v>
      </c>
      <c r="D20" s="130">
        <f t="shared" ref="D20:Q20" si="4">D7/SUM($D7:$Q7)</f>
        <v>0.125</v>
      </c>
      <c r="E20" s="130">
        <f t="shared" si="4"/>
        <v>0.125</v>
      </c>
      <c r="F20" s="130">
        <f t="shared" si="4"/>
        <v>0</v>
      </c>
      <c r="G20" s="130">
        <f t="shared" si="4"/>
        <v>0</v>
      </c>
      <c r="H20" s="130">
        <f t="shared" si="4"/>
        <v>0</v>
      </c>
      <c r="I20" s="130">
        <f t="shared" si="4"/>
        <v>0.125</v>
      </c>
      <c r="J20" s="130">
        <f t="shared" si="4"/>
        <v>0.125</v>
      </c>
      <c r="K20" s="130">
        <f t="shared" si="4"/>
        <v>0</v>
      </c>
      <c r="L20" s="130">
        <f t="shared" si="4"/>
        <v>0.125</v>
      </c>
      <c r="M20" s="130">
        <f t="shared" si="4"/>
        <v>0</v>
      </c>
      <c r="N20" s="130">
        <f t="shared" si="4"/>
        <v>0.125</v>
      </c>
      <c r="O20" s="130">
        <f t="shared" si="4"/>
        <v>0</v>
      </c>
      <c r="P20" s="130">
        <f t="shared" si="4"/>
        <v>0.125</v>
      </c>
      <c r="Q20" s="130">
        <f t="shared" si="4"/>
        <v>0.125</v>
      </c>
      <c r="R20" s="1033" t="s">
        <v>1040</v>
      </c>
      <c r="S20" s="1033"/>
      <c r="T20" s="1033"/>
      <c r="U20" s="1033"/>
      <c r="V20" s="1033"/>
      <c r="W20" s="1033"/>
      <c r="X20" s="1033"/>
      <c r="Y20" s="1033"/>
      <c r="Z20" s="1033"/>
      <c r="AA20" s="1033"/>
      <c r="AB20" s="1033"/>
      <c r="AC20" s="1033"/>
      <c r="AD20" s="1033"/>
      <c r="AE20" s="1033"/>
      <c r="AF20" s="1033"/>
    </row>
    <row r="21" spans="1:32">
      <c r="A21" s="142" t="s">
        <v>161</v>
      </c>
      <c r="B21" s="117" t="s">
        <v>863</v>
      </c>
      <c r="C21" s="117" t="s">
        <v>863</v>
      </c>
      <c r="D21" s="130">
        <f t="shared" ref="D21:Q21" si="5">D8/SUM($D8:$Q8)</f>
        <v>0.125</v>
      </c>
      <c r="E21" s="130">
        <f t="shared" si="5"/>
        <v>0.125</v>
      </c>
      <c r="F21" s="130">
        <f t="shared" si="5"/>
        <v>0</v>
      </c>
      <c r="G21" s="130">
        <f t="shared" si="5"/>
        <v>0</v>
      </c>
      <c r="H21" s="130">
        <f t="shared" si="5"/>
        <v>0</v>
      </c>
      <c r="I21" s="130">
        <f t="shared" si="5"/>
        <v>0.125</v>
      </c>
      <c r="J21" s="130">
        <f t="shared" si="5"/>
        <v>0.125</v>
      </c>
      <c r="K21" s="130">
        <f t="shared" si="5"/>
        <v>0</v>
      </c>
      <c r="L21" s="130">
        <f t="shared" si="5"/>
        <v>0.125</v>
      </c>
      <c r="M21" s="130">
        <f t="shared" si="5"/>
        <v>0</v>
      </c>
      <c r="N21" s="130">
        <f t="shared" si="5"/>
        <v>0.125</v>
      </c>
      <c r="O21" s="130">
        <f t="shared" si="5"/>
        <v>0</v>
      </c>
      <c r="P21" s="130">
        <f t="shared" si="5"/>
        <v>0.125</v>
      </c>
      <c r="Q21" s="130">
        <f t="shared" si="5"/>
        <v>0.125</v>
      </c>
      <c r="R21" s="1033" t="s">
        <v>1040</v>
      </c>
      <c r="S21" s="1033"/>
      <c r="T21" s="1033"/>
      <c r="U21" s="1033"/>
      <c r="V21" s="1033"/>
      <c r="W21" s="1033"/>
      <c r="X21" s="1033"/>
      <c r="Y21" s="1033"/>
      <c r="Z21" s="1033"/>
      <c r="AA21" s="1033"/>
      <c r="AB21" s="1033"/>
      <c r="AC21" s="1033"/>
      <c r="AD21" s="1033"/>
      <c r="AE21" s="1033"/>
      <c r="AF21" s="1033"/>
    </row>
    <row r="22" spans="1:32">
      <c r="A22" s="142" t="s">
        <v>307</v>
      </c>
      <c r="B22" s="117" t="s">
        <v>863</v>
      </c>
      <c r="C22" s="117" t="s">
        <v>863</v>
      </c>
      <c r="D22" s="130">
        <f t="shared" ref="D22:Q22" si="6">D9/SUM($D9:$Q9)</f>
        <v>0</v>
      </c>
      <c r="E22" s="130">
        <f t="shared" si="6"/>
        <v>0</v>
      </c>
      <c r="F22" s="130">
        <f t="shared" si="6"/>
        <v>0</v>
      </c>
      <c r="G22" s="130">
        <f t="shared" si="6"/>
        <v>0</v>
      </c>
      <c r="H22" s="130">
        <f t="shared" si="6"/>
        <v>0</v>
      </c>
      <c r="I22" s="130">
        <f t="shared" si="6"/>
        <v>0</v>
      </c>
      <c r="J22" s="130">
        <f t="shared" si="6"/>
        <v>0</v>
      </c>
      <c r="K22" s="130">
        <f t="shared" si="6"/>
        <v>0</v>
      </c>
      <c r="L22" s="130">
        <f t="shared" si="6"/>
        <v>0</v>
      </c>
      <c r="M22" s="130">
        <f t="shared" si="6"/>
        <v>0</v>
      </c>
      <c r="N22" s="130">
        <f t="shared" si="6"/>
        <v>0</v>
      </c>
      <c r="O22" s="130">
        <f t="shared" si="6"/>
        <v>0</v>
      </c>
      <c r="P22" s="130">
        <f t="shared" si="6"/>
        <v>0</v>
      </c>
      <c r="Q22" s="130">
        <f t="shared" si="6"/>
        <v>1</v>
      </c>
      <c r="R22" s="1033" t="s">
        <v>1040</v>
      </c>
      <c r="S22" s="1033"/>
      <c r="T22" s="1033"/>
      <c r="U22" s="1033"/>
      <c r="V22" s="1033"/>
      <c r="W22" s="1033"/>
      <c r="X22" s="1033"/>
      <c r="Y22" s="1033"/>
      <c r="Z22" s="1033"/>
      <c r="AA22" s="1033"/>
      <c r="AB22" s="1033"/>
      <c r="AC22" s="1033"/>
      <c r="AD22" s="1033"/>
      <c r="AE22" s="1033"/>
      <c r="AF22" s="1033"/>
    </row>
    <row r="23" spans="1:32">
      <c r="A23" s="142" t="s">
        <v>331</v>
      </c>
      <c r="B23" s="117" t="s">
        <v>863</v>
      </c>
      <c r="C23" s="117" t="s">
        <v>863</v>
      </c>
      <c r="D23" s="130">
        <f t="shared" ref="D23:Q23" si="7">D10/SUM($D10:$Q10)</f>
        <v>0</v>
      </c>
      <c r="E23" s="130">
        <f t="shared" si="7"/>
        <v>0</v>
      </c>
      <c r="F23" s="130">
        <f t="shared" si="7"/>
        <v>0</v>
      </c>
      <c r="G23" s="130">
        <f t="shared" si="7"/>
        <v>0</v>
      </c>
      <c r="H23" s="130">
        <f t="shared" si="7"/>
        <v>0</v>
      </c>
      <c r="I23" s="130">
        <f t="shared" si="7"/>
        <v>0</v>
      </c>
      <c r="J23" s="130">
        <f t="shared" si="7"/>
        <v>0</v>
      </c>
      <c r="K23" s="130">
        <f t="shared" si="7"/>
        <v>0</v>
      </c>
      <c r="L23" s="130">
        <f t="shared" si="7"/>
        <v>0</v>
      </c>
      <c r="M23" s="130">
        <f t="shared" si="7"/>
        <v>0</v>
      </c>
      <c r="N23" s="130">
        <f t="shared" si="7"/>
        <v>0</v>
      </c>
      <c r="O23" s="130">
        <f t="shared" si="7"/>
        <v>0</v>
      </c>
      <c r="P23" s="130">
        <f t="shared" si="7"/>
        <v>0</v>
      </c>
      <c r="Q23" s="130">
        <f t="shared" si="7"/>
        <v>1</v>
      </c>
      <c r="R23" s="1033" t="s">
        <v>1040</v>
      </c>
      <c r="S23" s="1033"/>
      <c r="T23" s="1033"/>
      <c r="U23" s="1033"/>
      <c r="V23" s="1033"/>
      <c r="W23" s="1033"/>
      <c r="X23" s="1033"/>
      <c r="Y23" s="1033"/>
      <c r="Z23" s="1033"/>
      <c r="AA23" s="1033"/>
      <c r="AB23" s="1033"/>
      <c r="AC23" s="1033"/>
      <c r="AD23" s="1033"/>
      <c r="AE23" s="1033"/>
      <c r="AF23" s="1033"/>
    </row>
    <row r="24" spans="1:32">
      <c r="A24" s="142" t="s">
        <v>268</v>
      </c>
      <c r="B24" s="117" t="s">
        <v>863</v>
      </c>
      <c r="C24" s="117" t="s">
        <v>863</v>
      </c>
      <c r="D24" s="130">
        <f t="shared" ref="D24:Q24" si="8">D11/SUM($D11:$Q11)</f>
        <v>0</v>
      </c>
      <c r="E24" s="130">
        <f t="shared" si="8"/>
        <v>0</v>
      </c>
      <c r="F24" s="130">
        <f t="shared" si="8"/>
        <v>0</v>
      </c>
      <c r="G24" s="130">
        <f t="shared" si="8"/>
        <v>0</v>
      </c>
      <c r="H24" s="130">
        <f t="shared" si="8"/>
        <v>0</v>
      </c>
      <c r="I24" s="130">
        <f t="shared" si="8"/>
        <v>0</v>
      </c>
      <c r="J24" s="130">
        <f t="shared" si="8"/>
        <v>0</v>
      </c>
      <c r="K24" s="130">
        <f t="shared" si="8"/>
        <v>0</v>
      </c>
      <c r="L24" s="130">
        <f t="shared" si="8"/>
        <v>0</v>
      </c>
      <c r="M24" s="130">
        <f t="shared" si="8"/>
        <v>0</v>
      </c>
      <c r="N24" s="130">
        <f t="shared" si="8"/>
        <v>0</v>
      </c>
      <c r="O24" s="130">
        <f t="shared" si="8"/>
        <v>0</v>
      </c>
      <c r="P24" s="130">
        <f t="shared" si="8"/>
        <v>0</v>
      </c>
      <c r="Q24" s="130">
        <f t="shared" si="8"/>
        <v>1</v>
      </c>
      <c r="R24" s="1033" t="s">
        <v>1040</v>
      </c>
      <c r="S24" s="1033"/>
      <c r="T24" s="1033"/>
      <c r="U24" s="1033"/>
      <c r="V24" s="1033"/>
      <c r="W24" s="1033"/>
      <c r="X24" s="1033"/>
      <c r="Y24" s="1033"/>
      <c r="Z24" s="1033"/>
      <c r="AA24" s="1033"/>
      <c r="AB24" s="1033"/>
      <c r="AC24" s="1033"/>
      <c r="AD24" s="1033"/>
      <c r="AE24" s="1033"/>
      <c r="AF24" s="1033"/>
    </row>
    <row r="25" spans="1:32">
      <c r="A25" s="142" t="s">
        <v>355</v>
      </c>
      <c r="B25" s="117" t="s">
        <v>863</v>
      </c>
      <c r="C25" s="117" t="s">
        <v>863</v>
      </c>
      <c r="D25" s="130">
        <f t="shared" ref="D25:Q25" si="9">D12/SUM($D12:$Q12)</f>
        <v>0</v>
      </c>
      <c r="E25" s="130">
        <f t="shared" si="9"/>
        <v>0</v>
      </c>
      <c r="F25" s="130">
        <f t="shared" si="9"/>
        <v>0</v>
      </c>
      <c r="G25" s="130">
        <f t="shared" si="9"/>
        <v>0</v>
      </c>
      <c r="H25" s="130">
        <f t="shared" si="9"/>
        <v>0</v>
      </c>
      <c r="I25" s="130">
        <f t="shared" si="9"/>
        <v>0</v>
      </c>
      <c r="J25" s="130">
        <f t="shared" si="9"/>
        <v>0</v>
      </c>
      <c r="K25" s="130">
        <f t="shared" si="9"/>
        <v>0</v>
      </c>
      <c r="L25" s="130">
        <f t="shared" si="9"/>
        <v>0</v>
      </c>
      <c r="M25" s="130">
        <f t="shared" si="9"/>
        <v>0</v>
      </c>
      <c r="N25" s="130">
        <f t="shared" si="9"/>
        <v>0</v>
      </c>
      <c r="O25" s="130">
        <f t="shared" si="9"/>
        <v>0</v>
      </c>
      <c r="P25" s="130">
        <f t="shared" si="9"/>
        <v>0</v>
      </c>
      <c r="Q25" s="130">
        <f t="shared" si="9"/>
        <v>1</v>
      </c>
      <c r="R25" s="1033" t="s">
        <v>1040</v>
      </c>
      <c r="S25" s="1033"/>
      <c r="T25" s="1033"/>
      <c r="U25" s="1033"/>
      <c r="V25" s="1033"/>
      <c r="W25" s="1033"/>
      <c r="X25" s="1033"/>
      <c r="Y25" s="1033"/>
      <c r="Z25" s="1033"/>
      <c r="AA25" s="1033"/>
      <c r="AB25" s="1033"/>
      <c r="AC25" s="1033"/>
      <c r="AD25" s="1033"/>
      <c r="AE25" s="1033"/>
      <c r="AF25" s="1033"/>
    </row>
    <row r="26" spans="1:32">
      <c r="A26" s="142" t="s">
        <v>302</v>
      </c>
      <c r="B26" s="117" t="s">
        <v>863</v>
      </c>
      <c r="C26" s="117" t="s">
        <v>863</v>
      </c>
      <c r="D26" s="130">
        <f t="shared" ref="D26:Q26" si="10">D13/SUM($D13:$Q13)</f>
        <v>0</v>
      </c>
      <c r="E26" s="130">
        <f t="shared" si="10"/>
        <v>0</v>
      </c>
      <c r="F26" s="130">
        <f t="shared" si="10"/>
        <v>0</v>
      </c>
      <c r="G26" s="130">
        <f t="shared" si="10"/>
        <v>0</v>
      </c>
      <c r="H26" s="130">
        <f t="shared" si="10"/>
        <v>0</v>
      </c>
      <c r="I26" s="130">
        <f t="shared" si="10"/>
        <v>0</v>
      </c>
      <c r="J26" s="130">
        <f t="shared" si="10"/>
        <v>0</v>
      </c>
      <c r="K26" s="130">
        <f t="shared" si="10"/>
        <v>1</v>
      </c>
      <c r="L26" s="130">
        <f t="shared" si="10"/>
        <v>0</v>
      </c>
      <c r="M26" s="130">
        <f t="shared" si="10"/>
        <v>0</v>
      </c>
      <c r="N26" s="130">
        <f t="shared" si="10"/>
        <v>0</v>
      </c>
      <c r="O26" s="130">
        <f t="shared" si="10"/>
        <v>0</v>
      </c>
      <c r="P26" s="130">
        <f t="shared" si="10"/>
        <v>0</v>
      </c>
      <c r="Q26" s="130">
        <f t="shared" si="10"/>
        <v>0</v>
      </c>
      <c r="R26" s="1033" t="s">
        <v>1040</v>
      </c>
      <c r="S26" s="1033"/>
      <c r="T26" s="1033"/>
      <c r="U26" s="1033"/>
      <c r="V26" s="1033"/>
      <c r="W26" s="1033"/>
      <c r="X26" s="1033"/>
      <c r="Y26" s="1033"/>
      <c r="Z26" s="1033"/>
      <c r="AA26" s="1033"/>
      <c r="AB26" s="1033"/>
      <c r="AC26" s="1033"/>
      <c r="AD26" s="1033"/>
      <c r="AE26" s="1033"/>
      <c r="AF26" s="1033"/>
    </row>
    <row r="28" spans="1:32" ht="30" customHeight="1">
      <c r="A28" s="1038" t="s">
        <v>764</v>
      </c>
      <c r="B28" s="1038"/>
      <c r="C28" s="1038"/>
      <c r="D28" s="1038"/>
      <c r="E28" s="1038"/>
      <c r="F28" s="1038"/>
      <c r="G28" s="1038"/>
      <c r="H28" s="1038"/>
      <c r="I28" s="1038"/>
      <c r="J28" s="1038"/>
      <c r="K28" s="1038"/>
      <c r="L28" s="1038"/>
      <c r="M28" s="1038"/>
      <c r="N28" s="1038"/>
      <c r="O28" s="1038"/>
      <c r="P28" s="1038"/>
      <c r="Q28" s="1038"/>
      <c r="R28" s="1038"/>
      <c r="S28" s="1038"/>
      <c r="T28" s="1038"/>
      <c r="U28" s="1038"/>
      <c r="V28" s="1038"/>
      <c r="W28" s="1038"/>
      <c r="X28" s="1038"/>
      <c r="Y28" s="1038"/>
      <c r="Z28" s="1038"/>
      <c r="AA28" s="1038"/>
      <c r="AB28" s="1038"/>
      <c r="AC28" s="1038"/>
      <c r="AD28" s="1038"/>
      <c r="AE28" s="1038"/>
      <c r="AF28" s="1038"/>
    </row>
    <row r="29" spans="1:32" ht="30" customHeight="1">
      <c r="A29" s="139" t="s">
        <v>100</v>
      </c>
      <c r="B29" s="139" t="s">
        <v>101</v>
      </c>
      <c r="C29" s="139" t="s">
        <v>131</v>
      </c>
      <c r="D29" s="139" t="s">
        <v>1041</v>
      </c>
      <c r="E29" s="139" t="s">
        <v>1042</v>
      </c>
      <c r="F29" s="139" t="s">
        <v>1043</v>
      </c>
      <c r="G29" s="1044" t="s">
        <v>104</v>
      </c>
      <c r="H29" s="1045"/>
      <c r="I29" s="1045"/>
      <c r="J29" s="1045"/>
      <c r="K29" s="1045"/>
      <c r="L29" s="1046"/>
      <c r="M29" s="1026" t="s">
        <v>875</v>
      </c>
      <c r="N29" s="1026"/>
      <c r="O29" s="1026"/>
      <c r="P29" s="1026"/>
      <c r="Q29" s="1026"/>
      <c r="R29" s="1026" t="s">
        <v>123</v>
      </c>
      <c r="S29" s="1026"/>
      <c r="T29" s="1026"/>
      <c r="U29" s="1026"/>
      <c r="V29" s="1026"/>
      <c r="W29" s="1026"/>
      <c r="X29" s="1026"/>
      <c r="Y29" s="1026"/>
      <c r="Z29" s="1026"/>
      <c r="AA29" s="1026"/>
      <c r="AB29" s="1026"/>
      <c r="AC29" s="1026"/>
      <c r="AD29" s="1026"/>
      <c r="AE29" s="1026"/>
      <c r="AF29" s="1026"/>
    </row>
    <row r="30" spans="1:32">
      <c r="A30" s="142" t="s">
        <v>1033</v>
      </c>
      <c r="B30" s="117">
        <v>2020</v>
      </c>
      <c r="C30" s="117" t="s">
        <v>182</v>
      </c>
      <c r="D30" s="130">
        <v>4000</v>
      </c>
      <c r="E30" s="130">
        <v>8700</v>
      </c>
      <c r="F30" s="130">
        <v>13400</v>
      </c>
      <c r="G30" s="1033" t="s">
        <v>1044</v>
      </c>
      <c r="H30" s="1033"/>
      <c r="I30" s="1033"/>
      <c r="J30" s="1075" t="s">
        <v>1045</v>
      </c>
      <c r="K30" s="1075"/>
      <c r="L30" s="1075"/>
      <c r="M30" s="1033" t="s">
        <v>1046</v>
      </c>
      <c r="N30" s="1033"/>
      <c r="O30" s="1033"/>
      <c r="P30" s="1033"/>
      <c r="Q30" s="1033"/>
      <c r="R30" s="1033"/>
      <c r="S30" s="1033"/>
      <c r="T30" s="1033"/>
      <c r="U30" s="1033"/>
      <c r="V30" s="1033"/>
      <c r="W30" s="1033"/>
      <c r="X30" s="1033"/>
      <c r="Y30" s="1033"/>
      <c r="Z30" s="1033"/>
      <c r="AA30" s="1033"/>
      <c r="AB30" s="1033"/>
      <c r="AC30" s="1033"/>
      <c r="AD30" s="1033"/>
      <c r="AE30" s="1033"/>
      <c r="AF30" s="1033"/>
    </row>
    <row r="31" spans="1:32">
      <c r="A31" s="142" t="s">
        <v>227</v>
      </c>
      <c r="B31" s="117">
        <v>2020</v>
      </c>
      <c r="C31" s="117" t="s">
        <v>182</v>
      </c>
      <c r="D31" s="130">
        <v>11200</v>
      </c>
      <c r="E31" s="130">
        <v>16900</v>
      </c>
      <c r="F31" s="130">
        <v>22800</v>
      </c>
      <c r="G31" s="1033" t="s">
        <v>1047</v>
      </c>
      <c r="H31" s="1033"/>
      <c r="I31" s="1033"/>
      <c r="J31" s="1075" t="s">
        <v>1045</v>
      </c>
      <c r="K31" s="1075"/>
      <c r="L31" s="1075"/>
      <c r="M31" s="1033" t="s">
        <v>1046</v>
      </c>
      <c r="N31" s="1033"/>
      <c r="O31" s="1033"/>
      <c r="P31" s="1033"/>
      <c r="Q31" s="1033"/>
      <c r="R31" s="1033"/>
      <c r="S31" s="1033"/>
      <c r="T31" s="1033"/>
      <c r="U31" s="1033"/>
      <c r="V31" s="1033"/>
      <c r="W31" s="1033"/>
      <c r="X31" s="1033"/>
      <c r="Y31" s="1033"/>
      <c r="Z31" s="1033"/>
      <c r="AA31" s="1033"/>
      <c r="AB31" s="1033"/>
      <c r="AC31" s="1033"/>
      <c r="AD31" s="1033"/>
      <c r="AE31" s="1033"/>
      <c r="AF31" s="1033"/>
    </row>
    <row r="32" spans="1:32">
      <c r="A32" s="142" t="s">
        <v>156</v>
      </c>
      <c r="B32" s="117">
        <v>2020</v>
      </c>
      <c r="C32" s="117" t="s">
        <v>182</v>
      </c>
      <c r="D32" s="130">
        <v>1000</v>
      </c>
      <c r="E32" s="130">
        <v>10000</v>
      </c>
      <c r="F32" s="130">
        <v>17000</v>
      </c>
      <c r="G32" s="1033" t="s">
        <v>1048</v>
      </c>
      <c r="H32" s="1033"/>
      <c r="I32" s="1033"/>
      <c r="J32" s="1075" t="s">
        <v>1045</v>
      </c>
      <c r="K32" s="1075"/>
      <c r="L32" s="1075"/>
      <c r="M32" s="1033" t="s">
        <v>1049</v>
      </c>
      <c r="N32" s="1033"/>
      <c r="O32" s="1033"/>
      <c r="P32" s="1033"/>
      <c r="Q32" s="1033"/>
      <c r="R32" s="1033"/>
      <c r="S32" s="1033"/>
      <c r="T32" s="1033"/>
      <c r="U32" s="1033"/>
      <c r="V32" s="1033"/>
      <c r="W32" s="1033"/>
      <c r="X32" s="1033"/>
      <c r="Y32" s="1033"/>
      <c r="Z32" s="1033"/>
      <c r="AA32" s="1033"/>
      <c r="AB32" s="1033"/>
      <c r="AC32" s="1033"/>
      <c r="AD32" s="1033"/>
      <c r="AE32" s="1033"/>
      <c r="AF32" s="1033"/>
    </row>
    <row r="33" spans="1:32">
      <c r="A33" s="142" t="s">
        <v>159</v>
      </c>
      <c r="B33" s="117">
        <v>2020</v>
      </c>
      <c r="C33" s="117" t="s">
        <v>182</v>
      </c>
      <c r="D33" s="130">
        <v>2000</v>
      </c>
      <c r="E33" s="130">
        <v>4000</v>
      </c>
      <c r="F33" s="130">
        <v>6000</v>
      </c>
      <c r="G33" s="1033" t="s">
        <v>1050</v>
      </c>
      <c r="H33" s="1033"/>
      <c r="I33" s="1033"/>
      <c r="J33" s="1075" t="s">
        <v>1045</v>
      </c>
      <c r="K33" s="1075"/>
      <c r="L33" s="1075"/>
      <c r="M33" s="1033" t="s">
        <v>1049</v>
      </c>
      <c r="N33" s="1033"/>
      <c r="O33" s="1033"/>
      <c r="P33" s="1033"/>
      <c r="Q33" s="1033"/>
      <c r="R33" s="1033"/>
      <c r="S33" s="1033"/>
      <c r="T33" s="1033"/>
      <c r="U33" s="1033"/>
      <c r="V33" s="1033"/>
      <c r="W33" s="1033"/>
      <c r="X33" s="1033"/>
      <c r="Y33" s="1033"/>
      <c r="Z33" s="1033"/>
      <c r="AA33" s="1033"/>
      <c r="AB33" s="1033"/>
      <c r="AC33" s="1033"/>
      <c r="AD33" s="1033"/>
      <c r="AE33" s="1033"/>
      <c r="AF33" s="1033"/>
    </row>
    <row r="34" spans="1:32">
      <c r="A34" s="142" t="s">
        <v>160</v>
      </c>
      <c r="B34" s="117">
        <v>2020</v>
      </c>
      <c r="C34" s="117" t="s">
        <v>182</v>
      </c>
      <c r="D34" s="130">
        <v>100</v>
      </c>
      <c r="E34" s="130">
        <v>500</v>
      </c>
      <c r="F34" s="130">
        <v>700</v>
      </c>
      <c r="G34" s="1033" t="s">
        <v>1051</v>
      </c>
      <c r="H34" s="1033"/>
      <c r="I34" s="1033"/>
      <c r="J34" s="1075" t="s">
        <v>1045</v>
      </c>
      <c r="K34" s="1075"/>
      <c r="L34" s="1075"/>
      <c r="M34" s="1033" t="s">
        <v>1049</v>
      </c>
      <c r="N34" s="1033"/>
      <c r="O34" s="1033"/>
      <c r="P34" s="1033"/>
      <c r="Q34" s="1033"/>
      <c r="R34" s="1033"/>
      <c r="S34" s="1033"/>
      <c r="T34" s="1033"/>
      <c r="U34" s="1033"/>
      <c r="V34" s="1033"/>
      <c r="W34" s="1033"/>
      <c r="X34" s="1033"/>
      <c r="Y34" s="1033"/>
      <c r="Z34" s="1033"/>
      <c r="AA34" s="1033"/>
      <c r="AB34" s="1033"/>
      <c r="AC34" s="1033"/>
      <c r="AD34" s="1033"/>
      <c r="AE34" s="1033"/>
      <c r="AF34" s="1033"/>
    </row>
    <row r="35" spans="1:32">
      <c r="A35" s="142" t="s">
        <v>161</v>
      </c>
      <c r="B35" s="117">
        <v>2020</v>
      </c>
      <c r="C35" s="117" t="s">
        <v>182</v>
      </c>
      <c r="D35" s="130">
        <v>250</v>
      </c>
      <c r="E35" s="130">
        <v>500</v>
      </c>
      <c r="F35" s="130">
        <v>1000</v>
      </c>
      <c r="G35" s="1033" t="s">
        <v>1052</v>
      </c>
      <c r="H35" s="1033"/>
      <c r="I35" s="1033"/>
      <c r="J35" s="1075" t="s">
        <v>1045</v>
      </c>
      <c r="K35" s="1075"/>
      <c r="L35" s="1075"/>
      <c r="M35" s="1033" t="s">
        <v>1049</v>
      </c>
      <c r="N35" s="1033"/>
      <c r="O35" s="1033"/>
      <c r="P35" s="1033"/>
      <c r="Q35" s="1033"/>
      <c r="R35" s="1033"/>
      <c r="S35" s="1033"/>
      <c r="T35" s="1033"/>
      <c r="U35" s="1033"/>
      <c r="V35" s="1033"/>
      <c r="W35" s="1033"/>
      <c r="X35" s="1033"/>
      <c r="Y35" s="1033"/>
      <c r="Z35" s="1033"/>
      <c r="AA35" s="1033"/>
      <c r="AB35" s="1033"/>
      <c r="AC35" s="1033"/>
      <c r="AD35" s="1033"/>
      <c r="AE35" s="1033"/>
      <c r="AF35" s="1033"/>
    </row>
    <row r="36" spans="1:32">
      <c r="A36" s="142" t="s">
        <v>307</v>
      </c>
      <c r="B36" s="117">
        <v>2020</v>
      </c>
      <c r="C36" s="117" t="s">
        <v>182</v>
      </c>
      <c r="D36" s="130">
        <f>E36/2</f>
        <v>52.502499999999998</v>
      </c>
      <c r="E36" s="130">
        <f>100+5+0.005</f>
        <v>105.005</v>
      </c>
      <c r="F36" s="130">
        <f>E36*2</f>
        <v>210.01</v>
      </c>
      <c r="G36" s="1127" t="s">
        <v>1053</v>
      </c>
      <c r="H36" s="1127"/>
      <c r="I36" s="1127"/>
      <c r="J36" s="1075" t="s">
        <v>1045</v>
      </c>
      <c r="K36" s="1075"/>
      <c r="L36" s="1075"/>
      <c r="M36" s="1033" t="s">
        <v>1054</v>
      </c>
      <c r="N36" s="1033"/>
      <c r="O36" s="1033"/>
      <c r="P36" s="1033"/>
      <c r="Q36" s="1033"/>
      <c r="R36" s="1033"/>
      <c r="S36" s="1033"/>
      <c r="T36" s="1033"/>
      <c r="U36" s="1033"/>
      <c r="V36" s="1033"/>
      <c r="W36" s="1033"/>
      <c r="X36" s="1033"/>
      <c r="Y36" s="1033"/>
      <c r="Z36" s="1033"/>
      <c r="AA36" s="1033"/>
      <c r="AB36" s="1033"/>
      <c r="AC36" s="1033"/>
      <c r="AD36" s="1033"/>
      <c r="AE36" s="1033"/>
      <c r="AF36" s="1033"/>
    </row>
    <row r="37" spans="1:32">
      <c r="A37" s="142" t="s">
        <v>331</v>
      </c>
      <c r="B37" s="117">
        <v>2020</v>
      </c>
      <c r="C37" s="117" t="s">
        <v>182</v>
      </c>
      <c r="D37" s="130">
        <v>800</v>
      </c>
      <c r="E37" s="130">
        <f>1600+700</f>
        <v>2300</v>
      </c>
      <c r="F37" s="130">
        <v>3700</v>
      </c>
      <c r="G37" s="1127" t="s">
        <v>1055</v>
      </c>
      <c r="H37" s="1127"/>
      <c r="I37" s="1127"/>
      <c r="J37" s="1075" t="s">
        <v>1045</v>
      </c>
      <c r="K37" s="1075"/>
      <c r="L37" s="1075"/>
      <c r="M37" s="1033" t="s">
        <v>1054</v>
      </c>
      <c r="N37" s="1033"/>
      <c r="O37" s="1033"/>
      <c r="P37" s="1033"/>
      <c r="Q37" s="1033"/>
      <c r="R37" s="1033"/>
      <c r="S37" s="1033"/>
      <c r="T37" s="1033"/>
      <c r="U37" s="1033"/>
      <c r="V37" s="1033"/>
      <c r="W37" s="1033"/>
      <c r="X37" s="1033"/>
      <c r="Y37" s="1033"/>
      <c r="Z37" s="1033"/>
      <c r="AA37" s="1033"/>
      <c r="AB37" s="1033"/>
      <c r="AC37" s="1033"/>
      <c r="AD37" s="1033"/>
      <c r="AE37" s="1033"/>
      <c r="AF37" s="1033"/>
    </row>
    <row r="38" spans="1:32">
      <c r="A38" s="142" t="s">
        <v>268</v>
      </c>
      <c r="B38" s="117">
        <v>2020</v>
      </c>
      <c r="C38" s="117" t="s">
        <v>182</v>
      </c>
      <c r="D38" s="130">
        <f>D37</f>
        <v>800</v>
      </c>
      <c r="E38" s="130">
        <f>E37</f>
        <v>2300</v>
      </c>
      <c r="F38" s="130">
        <f>F37</f>
        <v>3700</v>
      </c>
      <c r="G38" s="1130" t="s">
        <v>1056</v>
      </c>
      <c r="H38" s="1130"/>
      <c r="I38" s="1130"/>
      <c r="J38" s="1075" t="s">
        <v>1045</v>
      </c>
      <c r="K38" s="1075"/>
      <c r="L38" s="1075"/>
      <c r="M38" s="1033" t="s">
        <v>1054</v>
      </c>
      <c r="N38" s="1033"/>
      <c r="O38" s="1033"/>
      <c r="P38" s="1033"/>
      <c r="Q38" s="1033"/>
      <c r="R38" s="1033"/>
      <c r="S38" s="1033"/>
      <c r="T38" s="1033"/>
      <c r="U38" s="1033"/>
      <c r="V38" s="1033"/>
      <c r="W38" s="1033"/>
      <c r="X38" s="1033"/>
      <c r="Y38" s="1033"/>
      <c r="Z38" s="1033"/>
      <c r="AA38" s="1033"/>
      <c r="AB38" s="1033"/>
      <c r="AC38" s="1033"/>
      <c r="AD38" s="1033"/>
      <c r="AE38" s="1033"/>
      <c r="AF38" s="1033"/>
    </row>
    <row r="39" spans="1:32">
      <c r="A39" s="142" t="s">
        <v>355</v>
      </c>
      <c r="B39" s="117">
        <v>2020</v>
      </c>
      <c r="C39" s="117" t="s">
        <v>182</v>
      </c>
      <c r="D39" s="130">
        <f>E39/2</f>
        <v>897.5</v>
      </c>
      <c r="E39" s="130">
        <v>1795</v>
      </c>
      <c r="F39" s="130">
        <f>E39*2</f>
        <v>3590</v>
      </c>
      <c r="G39" s="1033" t="s">
        <v>1057</v>
      </c>
      <c r="H39" s="1033"/>
      <c r="I39" s="1033"/>
      <c r="J39" s="1075" t="s">
        <v>1045</v>
      </c>
      <c r="K39" s="1075"/>
      <c r="L39" s="1075"/>
      <c r="M39" s="1033" t="s">
        <v>1058</v>
      </c>
      <c r="N39" s="1033"/>
      <c r="O39" s="1033"/>
      <c r="P39" s="1033"/>
      <c r="Q39" s="1033"/>
      <c r="R39" s="1033"/>
      <c r="S39" s="1033"/>
      <c r="T39" s="1033"/>
      <c r="U39" s="1033"/>
      <c r="V39" s="1033"/>
      <c r="W39" s="1033"/>
      <c r="X39" s="1033"/>
      <c r="Y39" s="1033"/>
      <c r="Z39" s="1033"/>
      <c r="AA39" s="1033"/>
      <c r="AB39" s="1033"/>
      <c r="AC39" s="1033"/>
      <c r="AD39" s="1033"/>
      <c r="AE39" s="1033"/>
      <c r="AF39" s="1033"/>
    </row>
    <row r="40" spans="1:32">
      <c r="A40" s="142" t="s">
        <v>302</v>
      </c>
      <c r="B40" s="117">
        <v>2020</v>
      </c>
      <c r="C40" s="117" t="s">
        <v>182</v>
      </c>
      <c r="D40" s="371">
        <v>46000</v>
      </c>
      <c r="E40" s="371">
        <f>AVERAGE(D40,F40)</f>
        <v>115500</v>
      </c>
      <c r="F40" s="371">
        <v>185000</v>
      </c>
      <c r="G40" s="1130" t="s">
        <v>1059</v>
      </c>
      <c r="H40" s="1130"/>
      <c r="I40" s="1130"/>
      <c r="J40" s="1075" t="s">
        <v>1045</v>
      </c>
      <c r="K40" s="1075"/>
      <c r="L40" s="1075"/>
      <c r="M40" s="1033" t="s">
        <v>1060</v>
      </c>
      <c r="N40" s="1033"/>
      <c r="O40" s="1033"/>
      <c r="P40" s="1033"/>
      <c r="Q40" s="1033"/>
      <c r="R40" s="1033"/>
      <c r="S40" s="1033"/>
      <c r="T40" s="1033"/>
      <c r="U40" s="1033"/>
      <c r="V40" s="1033"/>
      <c r="W40" s="1033"/>
      <c r="X40" s="1033"/>
      <c r="Y40" s="1033"/>
      <c r="Z40" s="1033"/>
      <c r="AA40" s="1033"/>
      <c r="AB40" s="1033"/>
      <c r="AC40" s="1033"/>
      <c r="AD40" s="1033"/>
      <c r="AE40" s="1033"/>
      <c r="AF40" s="1033"/>
    </row>
    <row r="41" spans="1:32">
      <c r="A41" s="138" t="s">
        <v>1061</v>
      </c>
      <c r="B41" s="127">
        <v>2020</v>
      </c>
      <c r="C41" s="127" t="s">
        <v>182</v>
      </c>
      <c r="D41" s="137">
        <f>SUM(D30:D40)</f>
        <v>67100.002500000002</v>
      </c>
      <c r="E41" s="137">
        <f>SUM(E30:E40)</f>
        <v>162600.005</v>
      </c>
      <c r="F41" s="137">
        <f>SUM(F30:F40)</f>
        <v>257100.01</v>
      </c>
      <c r="G41" s="1099"/>
      <c r="H41" s="1099"/>
      <c r="I41" s="1099"/>
      <c r="J41" s="1033"/>
      <c r="K41" s="1033"/>
      <c r="L41" s="1033"/>
      <c r="M41" s="1033"/>
      <c r="N41" s="1033"/>
      <c r="O41" s="1033"/>
      <c r="P41" s="1033"/>
      <c r="Q41" s="1033"/>
      <c r="R41" s="1099"/>
      <c r="S41" s="1099"/>
      <c r="T41" s="1099"/>
      <c r="U41" s="1099"/>
      <c r="V41" s="1099"/>
      <c r="W41" s="1099"/>
      <c r="X41" s="1099"/>
      <c r="Y41" s="1099"/>
      <c r="Z41" s="1099"/>
      <c r="AA41" s="1099"/>
      <c r="AB41" s="1099"/>
      <c r="AC41" s="1099"/>
      <c r="AD41" s="1099"/>
      <c r="AE41" s="1099"/>
      <c r="AF41" s="1099"/>
    </row>
    <row r="43" spans="1:32" ht="30" customHeight="1">
      <c r="A43" s="140" t="s">
        <v>100</v>
      </c>
      <c r="B43" s="140" t="s">
        <v>101</v>
      </c>
      <c r="C43" s="140" t="s">
        <v>131</v>
      </c>
      <c r="D43" s="189" t="s">
        <v>1062</v>
      </c>
      <c r="E43" s="189" t="s">
        <v>1063</v>
      </c>
      <c r="F43" s="189" t="s">
        <v>1064</v>
      </c>
      <c r="G43" s="189" t="s">
        <v>1065</v>
      </c>
      <c r="H43" s="189" t="s">
        <v>1066</v>
      </c>
      <c r="I43" s="189" t="s">
        <v>1067</v>
      </c>
      <c r="J43" s="189" t="s">
        <v>1068</v>
      </c>
      <c r="K43" s="189" t="s">
        <v>1069</v>
      </c>
      <c r="L43" s="189" t="s">
        <v>1070</v>
      </c>
      <c r="M43" s="189" t="s">
        <v>1071</v>
      </c>
      <c r="N43" s="189" t="s">
        <v>1072</v>
      </c>
      <c r="O43" s="189" t="s">
        <v>1073</v>
      </c>
      <c r="P43" s="189" t="s">
        <v>1074</v>
      </c>
      <c r="Q43" s="189" t="s">
        <v>1075</v>
      </c>
      <c r="R43" s="1026" t="s">
        <v>123</v>
      </c>
      <c r="S43" s="1026"/>
      <c r="T43" s="1026"/>
      <c r="U43" s="1026"/>
      <c r="V43" s="1026"/>
      <c r="W43" s="1026"/>
      <c r="X43" s="1026"/>
      <c r="Y43" s="1026"/>
      <c r="Z43" s="1026"/>
      <c r="AA43" s="1026"/>
      <c r="AB43" s="1026"/>
      <c r="AC43" s="1026"/>
      <c r="AD43" s="1026"/>
      <c r="AE43" s="1026"/>
      <c r="AF43" s="1026"/>
    </row>
    <row r="44" spans="1:32">
      <c r="A44" s="142" t="s">
        <v>1033</v>
      </c>
      <c r="B44" s="117">
        <v>2020</v>
      </c>
      <c r="C44" s="117" t="s">
        <v>182</v>
      </c>
      <c r="D44" s="130">
        <f t="shared" ref="D44:Q44" si="11">$E30*D16</f>
        <v>0</v>
      </c>
      <c r="E44" s="130">
        <f t="shared" si="11"/>
        <v>3292.0262584018337</v>
      </c>
      <c r="F44" s="130">
        <f t="shared" si="11"/>
        <v>0</v>
      </c>
      <c r="G44" s="130">
        <f t="shared" si="11"/>
        <v>0</v>
      </c>
      <c r="H44" s="130">
        <f t="shared" si="11"/>
        <v>0</v>
      </c>
      <c r="I44" s="130">
        <f t="shared" si="11"/>
        <v>0</v>
      </c>
      <c r="J44" s="130">
        <f t="shared" si="11"/>
        <v>0</v>
      </c>
      <c r="K44" s="130">
        <f t="shared" si="11"/>
        <v>0</v>
      </c>
      <c r="L44" s="130">
        <f t="shared" si="11"/>
        <v>5362.3401743183649</v>
      </c>
      <c r="M44" s="130">
        <f t="shared" si="11"/>
        <v>0</v>
      </c>
      <c r="N44" s="130">
        <f t="shared" si="11"/>
        <v>13.769273972276574</v>
      </c>
      <c r="O44" s="130">
        <f t="shared" si="11"/>
        <v>0</v>
      </c>
      <c r="P44" s="130">
        <f t="shared" si="11"/>
        <v>0</v>
      </c>
      <c r="Q44" s="130">
        <f t="shared" si="11"/>
        <v>31.864293307524996</v>
      </c>
      <c r="R44" s="1033"/>
      <c r="S44" s="1033"/>
      <c r="T44" s="1033"/>
      <c r="U44" s="1033"/>
      <c r="V44" s="1033"/>
      <c r="W44" s="1033"/>
      <c r="X44" s="1033"/>
      <c r="Y44" s="1033"/>
      <c r="Z44" s="1033"/>
      <c r="AA44" s="1033"/>
      <c r="AB44" s="1033"/>
      <c r="AC44" s="1033"/>
      <c r="AD44" s="1033"/>
      <c r="AE44" s="1033"/>
      <c r="AF44" s="1033"/>
    </row>
    <row r="45" spans="1:32">
      <c r="A45" s="142" t="s">
        <v>227</v>
      </c>
      <c r="B45" s="117">
        <v>2020</v>
      </c>
      <c r="C45" s="117" t="s">
        <v>182</v>
      </c>
      <c r="D45" s="130">
        <f t="shared" ref="D45:Q45" si="12">$E31*D17</f>
        <v>0</v>
      </c>
      <c r="E45" s="130">
        <f t="shared" si="12"/>
        <v>0</v>
      </c>
      <c r="F45" s="130">
        <f t="shared" si="12"/>
        <v>0</v>
      </c>
      <c r="G45" s="130">
        <f t="shared" si="12"/>
        <v>0</v>
      </c>
      <c r="H45" s="130">
        <f t="shared" si="12"/>
        <v>0</v>
      </c>
      <c r="I45" s="130">
        <f t="shared" si="12"/>
        <v>0</v>
      </c>
      <c r="J45" s="130">
        <f t="shared" si="12"/>
        <v>477.56976333451075</v>
      </c>
      <c r="K45" s="130">
        <f t="shared" si="12"/>
        <v>0</v>
      </c>
      <c r="L45" s="130">
        <f t="shared" si="12"/>
        <v>15461.321087954786</v>
      </c>
      <c r="M45" s="130">
        <f t="shared" si="12"/>
        <v>0</v>
      </c>
      <c r="N45" s="130">
        <f t="shared" si="12"/>
        <v>477.56976333451075</v>
      </c>
      <c r="O45" s="130">
        <f t="shared" si="12"/>
        <v>0</v>
      </c>
      <c r="P45" s="130">
        <f t="shared" si="12"/>
        <v>477.56976333451075</v>
      </c>
      <c r="Q45" s="130">
        <f t="shared" si="12"/>
        <v>5.9696220416813848</v>
      </c>
      <c r="R45" s="1033"/>
      <c r="S45" s="1033"/>
      <c r="T45" s="1033"/>
      <c r="U45" s="1033"/>
      <c r="V45" s="1033"/>
      <c r="W45" s="1033"/>
      <c r="X45" s="1033"/>
      <c r="Y45" s="1033"/>
      <c r="Z45" s="1033"/>
      <c r="AA45" s="1033"/>
      <c r="AB45" s="1033"/>
      <c r="AC45" s="1033"/>
      <c r="AD45" s="1033"/>
      <c r="AE45" s="1033"/>
      <c r="AF45" s="1033"/>
    </row>
    <row r="46" spans="1:32">
      <c r="A46" s="142" t="s">
        <v>156</v>
      </c>
      <c r="B46" s="117">
        <v>2020</v>
      </c>
      <c r="C46" s="117" t="s">
        <v>182</v>
      </c>
      <c r="D46" s="130">
        <f t="shared" ref="D46:Q46" si="13">$E32*D18</f>
        <v>1000</v>
      </c>
      <c r="E46" s="130">
        <f t="shared" si="13"/>
        <v>1000</v>
      </c>
      <c r="F46" s="130">
        <f t="shared" si="13"/>
        <v>1000</v>
      </c>
      <c r="G46" s="130">
        <f t="shared" si="13"/>
        <v>0</v>
      </c>
      <c r="H46" s="130">
        <f t="shared" si="13"/>
        <v>0</v>
      </c>
      <c r="I46" s="130">
        <f t="shared" si="13"/>
        <v>1000</v>
      </c>
      <c r="J46" s="130">
        <f t="shared" si="13"/>
        <v>0</v>
      </c>
      <c r="K46" s="130">
        <f t="shared" si="13"/>
        <v>0</v>
      </c>
      <c r="L46" s="130">
        <f t="shared" si="13"/>
        <v>1000</v>
      </c>
      <c r="M46" s="130">
        <f t="shared" si="13"/>
        <v>0</v>
      </c>
      <c r="N46" s="130">
        <f t="shared" si="13"/>
        <v>1000</v>
      </c>
      <c r="O46" s="130">
        <f t="shared" si="13"/>
        <v>0</v>
      </c>
      <c r="P46" s="130">
        <f t="shared" si="13"/>
        <v>1000</v>
      </c>
      <c r="Q46" s="130">
        <f t="shared" si="13"/>
        <v>3000</v>
      </c>
      <c r="R46" s="1033"/>
      <c r="S46" s="1033"/>
      <c r="T46" s="1033"/>
      <c r="U46" s="1033"/>
      <c r="V46" s="1033"/>
      <c r="W46" s="1033"/>
      <c r="X46" s="1033"/>
      <c r="Y46" s="1033"/>
      <c r="Z46" s="1033"/>
      <c r="AA46" s="1033"/>
      <c r="AB46" s="1033"/>
      <c r="AC46" s="1033"/>
      <c r="AD46" s="1033"/>
      <c r="AE46" s="1033"/>
      <c r="AF46" s="1033"/>
    </row>
    <row r="47" spans="1:32">
      <c r="A47" s="142" t="s">
        <v>159</v>
      </c>
      <c r="B47" s="117">
        <v>2020</v>
      </c>
      <c r="C47" s="117" t="s">
        <v>182</v>
      </c>
      <c r="D47" s="130">
        <f t="shared" ref="D47:Q47" si="14">$E33*D19</f>
        <v>0</v>
      </c>
      <c r="E47" s="130">
        <f t="shared" si="14"/>
        <v>4000</v>
      </c>
      <c r="F47" s="130">
        <f t="shared" si="14"/>
        <v>0</v>
      </c>
      <c r="G47" s="130">
        <f t="shared" si="14"/>
        <v>0</v>
      </c>
      <c r="H47" s="130">
        <f t="shared" si="14"/>
        <v>0</v>
      </c>
      <c r="I47" s="130">
        <f t="shared" si="14"/>
        <v>0</v>
      </c>
      <c r="J47" s="130">
        <f t="shared" si="14"/>
        <v>0</v>
      </c>
      <c r="K47" s="130">
        <f t="shared" si="14"/>
        <v>0</v>
      </c>
      <c r="L47" s="130">
        <f t="shared" si="14"/>
        <v>0</v>
      </c>
      <c r="M47" s="130">
        <f t="shared" si="14"/>
        <v>0</v>
      </c>
      <c r="N47" s="130">
        <f t="shared" si="14"/>
        <v>0</v>
      </c>
      <c r="O47" s="130">
        <f t="shared" si="14"/>
        <v>0</v>
      </c>
      <c r="P47" s="130">
        <f t="shared" si="14"/>
        <v>0</v>
      </c>
      <c r="Q47" s="130">
        <f t="shared" si="14"/>
        <v>0</v>
      </c>
      <c r="R47" s="1033"/>
      <c r="S47" s="1033"/>
      <c r="T47" s="1033"/>
      <c r="U47" s="1033"/>
      <c r="V47" s="1033"/>
      <c r="W47" s="1033"/>
      <c r="X47" s="1033"/>
      <c r="Y47" s="1033"/>
      <c r="Z47" s="1033"/>
      <c r="AA47" s="1033"/>
      <c r="AB47" s="1033"/>
      <c r="AC47" s="1033"/>
      <c r="AD47" s="1033"/>
      <c r="AE47" s="1033"/>
      <c r="AF47" s="1033"/>
    </row>
    <row r="48" spans="1:32">
      <c r="A48" s="142" t="s">
        <v>160</v>
      </c>
      <c r="B48" s="117">
        <v>2020</v>
      </c>
      <c r="C48" s="117" t="s">
        <v>182</v>
      </c>
      <c r="D48" s="130">
        <f t="shared" ref="D48:Q48" si="15">$E34*D20</f>
        <v>62.5</v>
      </c>
      <c r="E48" s="130">
        <f t="shared" si="15"/>
        <v>62.5</v>
      </c>
      <c r="F48" s="130">
        <f t="shared" si="15"/>
        <v>0</v>
      </c>
      <c r="G48" s="130">
        <f t="shared" si="15"/>
        <v>0</v>
      </c>
      <c r="H48" s="130">
        <f t="shared" si="15"/>
        <v>0</v>
      </c>
      <c r="I48" s="130">
        <f t="shared" si="15"/>
        <v>62.5</v>
      </c>
      <c r="J48" s="130">
        <f t="shared" si="15"/>
        <v>62.5</v>
      </c>
      <c r="K48" s="130">
        <f t="shared" si="15"/>
        <v>0</v>
      </c>
      <c r="L48" s="130">
        <f t="shared" si="15"/>
        <v>62.5</v>
      </c>
      <c r="M48" s="130">
        <f t="shared" si="15"/>
        <v>0</v>
      </c>
      <c r="N48" s="130">
        <f t="shared" si="15"/>
        <v>62.5</v>
      </c>
      <c r="O48" s="130">
        <f t="shared" si="15"/>
        <v>0</v>
      </c>
      <c r="P48" s="130">
        <f t="shared" si="15"/>
        <v>62.5</v>
      </c>
      <c r="Q48" s="130">
        <f t="shared" si="15"/>
        <v>62.5</v>
      </c>
      <c r="R48" s="1033"/>
      <c r="S48" s="1033"/>
      <c r="T48" s="1033"/>
      <c r="U48" s="1033"/>
      <c r="V48" s="1033"/>
      <c r="W48" s="1033"/>
      <c r="X48" s="1033"/>
      <c r="Y48" s="1033"/>
      <c r="Z48" s="1033"/>
      <c r="AA48" s="1033"/>
      <c r="AB48" s="1033"/>
      <c r="AC48" s="1033"/>
      <c r="AD48" s="1033"/>
      <c r="AE48" s="1033"/>
      <c r="AF48" s="1033"/>
    </row>
    <row r="49" spans="1:32">
      <c r="A49" s="142" t="s">
        <v>161</v>
      </c>
      <c r="B49" s="117">
        <v>2020</v>
      </c>
      <c r="C49" s="117" t="s">
        <v>182</v>
      </c>
      <c r="D49" s="130">
        <f t="shared" ref="D49:Q49" si="16">$E35*D21</f>
        <v>62.5</v>
      </c>
      <c r="E49" s="130">
        <f t="shared" si="16"/>
        <v>62.5</v>
      </c>
      <c r="F49" s="130">
        <f t="shared" si="16"/>
        <v>0</v>
      </c>
      <c r="G49" s="130">
        <f t="shared" si="16"/>
        <v>0</v>
      </c>
      <c r="H49" s="130">
        <f t="shared" si="16"/>
        <v>0</v>
      </c>
      <c r="I49" s="130">
        <f t="shared" si="16"/>
        <v>62.5</v>
      </c>
      <c r="J49" s="130">
        <f t="shared" si="16"/>
        <v>62.5</v>
      </c>
      <c r="K49" s="130">
        <f t="shared" si="16"/>
        <v>0</v>
      </c>
      <c r="L49" s="130">
        <f t="shared" si="16"/>
        <v>62.5</v>
      </c>
      <c r="M49" s="130">
        <f t="shared" si="16"/>
        <v>0</v>
      </c>
      <c r="N49" s="130">
        <f t="shared" si="16"/>
        <v>62.5</v>
      </c>
      <c r="O49" s="130">
        <f t="shared" si="16"/>
        <v>0</v>
      </c>
      <c r="P49" s="130">
        <f t="shared" si="16"/>
        <v>62.5</v>
      </c>
      <c r="Q49" s="130">
        <f t="shared" si="16"/>
        <v>62.5</v>
      </c>
      <c r="R49" s="1033"/>
      <c r="S49" s="1033"/>
      <c r="T49" s="1033"/>
      <c r="U49" s="1033"/>
      <c r="V49" s="1033"/>
      <c r="W49" s="1033"/>
      <c r="X49" s="1033"/>
      <c r="Y49" s="1033"/>
      <c r="Z49" s="1033"/>
      <c r="AA49" s="1033"/>
      <c r="AB49" s="1033"/>
      <c r="AC49" s="1033"/>
      <c r="AD49" s="1033"/>
      <c r="AE49" s="1033"/>
      <c r="AF49" s="1033"/>
    </row>
    <row r="50" spans="1:32">
      <c r="A50" s="142" t="s">
        <v>307</v>
      </c>
      <c r="B50" s="117">
        <v>2020</v>
      </c>
      <c r="C50" s="117" t="s">
        <v>182</v>
      </c>
      <c r="D50" s="130">
        <f t="shared" ref="D50:Q50" si="17">$E36*D22</f>
        <v>0</v>
      </c>
      <c r="E50" s="130">
        <f t="shared" si="17"/>
        <v>0</v>
      </c>
      <c r="F50" s="130">
        <f t="shared" si="17"/>
        <v>0</v>
      </c>
      <c r="G50" s="130">
        <f t="shared" si="17"/>
        <v>0</v>
      </c>
      <c r="H50" s="130">
        <f t="shared" si="17"/>
        <v>0</v>
      </c>
      <c r="I50" s="130">
        <f t="shared" si="17"/>
        <v>0</v>
      </c>
      <c r="J50" s="130">
        <f t="shared" si="17"/>
        <v>0</v>
      </c>
      <c r="K50" s="130">
        <f t="shared" si="17"/>
        <v>0</v>
      </c>
      <c r="L50" s="130">
        <f t="shared" si="17"/>
        <v>0</v>
      </c>
      <c r="M50" s="130">
        <f t="shared" si="17"/>
        <v>0</v>
      </c>
      <c r="N50" s="130">
        <f t="shared" si="17"/>
        <v>0</v>
      </c>
      <c r="O50" s="130">
        <f t="shared" si="17"/>
        <v>0</v>
      </c>
      <c r="P50" s="130">
        <f t="shared" si="17"/>
        <v>0</v>
      </c>
      <c r="Q50" s="130">
        <f t="shared" si="17"/>
        <v>105.005</v>
      </c>
      <c r="R50" s="1033"/>
      <c r="S50" s="1033"/>
      <c r="T50" s="1033"/>
      <c r="U50" s="1033"/>
      <c r="V50" s="1033"/>
      <c r="W50" s="1033"/>
      <c r="X50" s="1033"/>
      <c r="Y50" s="1033"/>
      <c r="Z50" s="1033"/>
      <c r="AA50" s="1033"/>
      <c r="AB50" s="1033"/>
      <c r="AC50" s="1033"/>
      <c r="AD50" s="1033"/>
      <c r="AE50" s="1033"/>
      <c r="AF50" s="1033"/>
    </row>
    <row r="51" spans="1:32">
      <c r="A51" s="142" t="s">
        <v>331</v>
      </c>
      <c r="B51" s="117">
        <v>2020</v>
      </c>
      <c r="C51" s="117" t="s">
        <v>182</v>
      </c>
      <c r="D51" s="130">
        <f t="shared" ref="D51:Q51" si="18">$E37*D23</f>
        <v>0</v>
      </c>
      <c r="E51" s="130">
        <f t="shared" si="18"/>
        <v>0</v>
      </c>
      <c r="F51" s="130">
        <f t="shared" si="18"/>
        <v>0</v>
      </c>
      <c r="G51" s="130">
        <f t="shared" si="18"/>
        <v>0</v>
      </c>
      <c r="H51" s="130">
        <f t="shared" si="18"/>
        <v>0</v>
      </c>
      <c r="I51" s="130">
        <f t="shared" si="18"/>
        <v>0</v>
      </c>
      <c r="J51" s="130">
        <f t="shared" si="18"/>
        <v>0</v>
      </c>
      <c r="K51" s="130">
        <f t="shared" si="18"/>
        <v>0</v>
      </c>
      <c r="L51" s="130">
        <f t="shared" si="18"/>
        <v>0</v>
      </c>
      <c r="M51" s="130">
        <f t="shared" si="18"/>
        <v>0</v>
      </c>
      <c r="N51" s="130">
        <f t="shared" si="18"/>
        <v>0</v>
      </c>
      <c r="O51" s="130">
        <f t="shared" si="18"/>
        <v>0</v>
      </c>
      <c r="P51" s="130">
        <f t="shared" si="18"/>
        <v>0</v>
      </c>
      <c r="Q51" s="130">
        <f t="shared" si="18"/>
        <v>2300</v>
      </c>
      <c r="R51" s="1033"/>
      <c r="S51" s="1033"/>
      <c r="T51" s="1033"/>
      <c r="U51" s="1033"/>
      <c r="V51" s="1033"/>
      <c r="W51" s="1033"/>
      <c r="X51" s="1033"/>
      <c r="Y51" s="1033"/>
      <c r="Z51" s="1033"/>
      <c r="AA51" s="1033"/>
      <c r="AB51" s="1033"/>
      <c r="AC51" s="1033"/>
      <c r="AD51" s="1033"/>
      <c r="AE51" s="1033"/>
      <c r="AF51" s="1033"/>
    </row>
    <row r="52" spans="1:32">
      <c r="A52" s="142" t="s">
        <v>268</v>
      </c>
      <c r="B52" s="117">
        <v>2020</v>
      </c>
      <c r="C52" s="117" t="s">
        <v>182</v>
      </c>
      <c r="D52" s="130">
        <f t="shared" ref="D52:Q52" si="19">$E38*D24</f>
        <v>0</v>
      </c>
      <c r="E52" s="130">
        <f t="shared" si="19"/>
        <v>0</v>
      </c>
      <c r="F52" s="130">
        <f t="shared" si="19"/>
        <v>0</v>
      </c>
      <c r="G52" s="130">
        <f t="shared" si="19"/>
        <v>0</v>
      </c>
      <c r="H52" s="130">
        <f t="shared" si="19"/>
        <v>0</v>
      </c>
      <c r="I52" s="130">
        <f t="shared" si="19"/>
        <v>0</v>
      </c>
      <c r="J52" s="130">
        <f t="shared" si="19"/>
        <v>0</v>
      </c>
      <c r="K52" s="130">
        <f t="shared" si="19"/>
        <v>0</v>
      </c>
      <c r="L52" s="130">
        <f t="shared" si="19"/>
        <v>0</v>
      </c>
      <c r="M52" s="130">
        <f t="shared" si="19"/>
        <v>0</v>
      </c>
      <c r="N52" s="130">
        <f t="shared" si="19"/>
        <v>0</v>
      </c>
      <c r="O52" s="130">
        <f t="shared" si="19"/>
        <v>0</v>
      </c>
      <c r="P52" s="130">
        <f t="shared" si="19"/>
        <v>0</v>
      </c>
      <c r="Q52" s="130">
        <f t="shared" si="19"/>
        <v>2300</v>
      </c>
      <c r="R52" s="1033"/>
      <c r="S52" s="1033"/>
      <c r="T52" s="1033"/>
      <c r="U52" s="1033"/>
      <c r="V52" s="1033"/>
      <c r="W52" s="1033"/>
      <c r="X52" s="1033"/>
      <c r="Y52" s="1033"/>
      <c r="Z52" s="1033"/>
      <c r="AA52" s="1033"/>
      <c r="AB52" s="1033"/>
      <c r="AC52" s="1033"/>
      <c r="AD52" s="1033"/>
      <c r="AE52" s="1033"/>
      <c r="AF52" s="1033"/>
    </row>
    <row r="53" spans="1:32">
      <c r="A53" s="142" t="s">
        <v>355</v>
      </c>
      <c r="B53" s="117">
        <v>2020</v>
      </c>
      <c r="C53" s="117" t="s">
        <v>182</v>
      </c>
      <c r="D53" s="130">
        <f t="shared" ref="D53:Q53" si="20">$E39*D25</f>
        <v>0</v>
      </c>
      <c r="E53" s="130">
        <f t="shared" si="20"/>
        <v>0</v>
      </c>
      <c r="F53" s="130">
        <f t="shared" si="20"/>
        <v>0</v>
      </c>
      <c r="G53" s="130">
        <f t="shared" si="20"/>
        <v>0</v>
      </c>
      <c r="H53" s="130">
        <f t="shared" si="20"/>
        <v>0</v>
      </c>
      <c r="I53" s="130">
        <f t="shared" si="20"/>
        <v>0</v>
      </c>
      <c r="J53" s="130">
        <f t="shared" si="20"/>
        <v>0</v>
      </c>
      <c r="K53" s="130">
        <f t="shared" si="20"/>
        <v>0</v>
      </c>
      <c r="L53" s="130">
        <f t="shared" si="20"/>
        <v>0</v>
      </c>
      <c r="M53" s="130">
        <f t="shared" si="20"/>
        <v>0</v>
      </c>
      <c r="N53" s="130">
        <f t="shared" si="20"/>
        <v>0</v>
      </c>
      <c r="O53" s="130">
        <f t="shared" si="20"/>
        <v>0</v>
      </c>
      <c r="P53" s="130">
        <f t="shared" si="20"/>
        <v>0</v>
      </c>
      <c r="Q53" s="130">
        <f t="shared" si="20"/>
        <v>1795</v>
      </c>
      <c r="R53" s="1033"/>
      <c r="S53" s="1033"/>
      <c r="T53" s="1033"/>
      <c r="U53" s="1033"/>
      <c r="V53" s="1033"/>
      <c r="W53" s="1033"/>
      <c r="X53" s="1033"/>
      <c r="Y53" s="1033"/>
      <c r="Z53" s="1033"/>
      <c r="AA53" s="1033"/>
      <c r="AB53" s="1033"/>
      <c r="AC53" s="1033"/>
      <c r="AD53" s="1033"/>
      <c r="AE53" s="1033"/>
      <c r="AF53" s="1033"/>
    </row>
    <row r="54" spans="1:32">
      <c r="A54" s="142" t="s">
        <v>302</v>
      </c>
      <c r="B54" s="117">
        <v>2020</v>
      </c>
      <c r="C54" s="117" t="s">
        <v>182</v>
      </c>
      <c r="D54" s="130">
        <f t="shared" ref="D54:Q54" si="21">$E40*D26</f>
        <v>0</v>
      </c>
      <c r="E54" s="130">
        <f t="shared" si="21"/>
        <v>0</v>
      </c>
      <c r="F54" s="130">
        <f t="shared" si="21"/>
        <v>0</v>
      </c>
      <c r="G54" s="130">
        <f t="shared" si="21"/>
        <v>0</v>
      </c>
      <c r="H54" s="130">
        <f t="shared" si="21"/>
        <v>0</v>
      </c>
      <c r="I54" s="130">
        <f t="shared" si="21"/>
        <v>0</v>
      </c>
      <c r="J54" s="130">
        <f t="shared" si="21"/>
        <v>0</v>
      </c>
      <c r="K54" s="130">
        <f t="shared" si="21"/>
        <v>115500</v>
      </c>
      <c r="L54" s="130">
        <f t="shared" si="21"/>
        <v>0</v>
      </c>
      <c r="M54" s="130">
        <f t="shared" si="21"/>
        <v>0</v>
      </c>
      <c r="N54" s="130">
        <f t="shared" si="21"/>
        <v>0</v>
      </c>
      <c r="O54" s="130">
        <f t="shared" si="21"/>
        <v>0</v>
      </c>
      <c r="P54" s="130">
        <f t="shared" si="21"/>
        <v>0</v>
      </c>
      <c r="Q54" s="130">
        <f t="shared" si="21"/>
        <v>0</v>
      </c>
      <c r="R54" s="1033"/>
      <c r="S54" s="1033"/>
      <c r="T54" s="1033"/>
      <c r="U54" s="1033"/>
      <c r="V54" s="1033"/>
      <c r="W54" s="1033"/>
      <c r="X54" s="1033"/>
      <c r="Y54" s="1033"/>
      <c r="Z54" s="1033"/>
      <c r="AA54" s="1033"/>
      <c r="AB54" s="1033"/>
      <c r="AC54" s="1033"/>
      <c r="AD54" s="1033"/>
      <c r="AE54" s="1033"/>
      <c r="AF54" s="1033"/>
    </row>
    <row r="55" spans="1:32">
      <c r="A55" s="138" t="s">
        <v>1061</v>
      </c>
      <c r="B55" s="127">
        <v>2020</v>
      </c>
      <c r="C55" s="127" t="s">
        <v>182</v>
      </c>
      <c r="D55" s="137">
        <f>SUM(D44:D54)</f>
        <v>1125</v>
      </c>
      <c r="E55" s="137">
        <f t="shared" ref="E55:Q55" si="22">SUM(E44:E54)</f>
        <v>8417.0262584018346</v>
      </c>
      <c r="F55" s="137">
        <f t="shared" si="22"/>
        <v>1000</v>
      </c>
      <c r="G55" s="137">
        <f t="shared" si="22"/>
        <v>0</v>
      </c>
      <c r="H55" s="137">
        <f t="shared" si="22"/>
        <v>0</v>
      </c>
      <c r="I55" s="137">
        <f t="shared" si="22"/>
        <v>1125</v>
      </c>
      <c r="J55" s="137">
        <f t="shared" si="22"/>
        <v>602.56976333451075</v>
      </c>
      <c r="K55" s="137">
        <f t="shared" si="22"/>
        <v>115500</v>
      </c>
      <c r="L55" s="137">
        <f t="shared" si="22"/>
        <v>21948.661262273152</v>
      </c>
      <c r="M55" s="137">
        <f t="shared" si="22"/>
        <v>0</v>
      </c>
      <c r="N55" s="137">
        <f t="shared" si="22"/>
        <v>1616.3390373067873</v>
      </c>
      <c r="O55" s="137">
        <f t="shared" si="22"/>
        <v>0</v>
      </c>
      <c r="P55" s="137">
        <f t="shared" si="22"/>
        <v>1602.5697633345108</v>
      </c>
      <c r="Q55" s="137">
        <f t="shared" si="22"/>
        <v>9662.8389153492062</v>
      </c>
      <c r="R55" s="1033"/>
      <c r="S55" s="1033"/>
      <c r="T55" s="1033"/>
      <c r="U55" s="1033"/>
      <c r="V55" s="1033"/>
      <c r="W55" s="1033"/>
      <c r="X55" s="1033"/>
      <c r="Y55" s="1033"/>
      <c r="Z55" s="1033"/>
      <c r="AA55" s="1033"/>
      <c r="AB55" s="1033"/>
      <c r="AC55" s="1033"/>
      <c r="AD55" s="1033"/>
      <c r="AE55" s="1033"/>
      <c r="AF55" s="1033"/>
    </row>
    <row r="56" spans="1:32" ht="30" customHeight="1">
      <c r="A56" s="140" t="s">
        <v>100</v>
      </c>
      <c r="B56" s="140" t="s">
        <v>101</v>
      </c>
      <c r="C56" s="140" t="s">
        <v>131</v>
      </c>
      <c r="D56" s="189" t="s">
        <v>881</v>
      </c>
      <c r="E56" s="189" t="s">
        <v>882</v>
      </c>
      <c r="F56" s="189" t="s">
        <v>883</v>
      </c>
      <c r="G56" s="189" t="s">
        <v>884</v>
      </c>
      <c r="H56" s="189" t="s">
        <v>885</v>
      </c>
      <c r="I56" s="189" t="s">
        <v>886</v>
      </c>
      <c r="J56" s="189" t="s">
        <v>887</v>
      </c>
      <c r="K56" s="189" t="s">
        <v>1076</v>
      </c>
      <c r="L56" s="189" t="s">
        <v>1077</v>
      </c>
      <c r="M56" s="189" t="s">
        <v>1078</v>
      </c>
      <c r="N56" s="189" t="s">
        <v>888</v>
      </c>
      <c r="O56" s="189" t="s">
        <v>1079</v>
      </c>
      <c r="P56" s="189" t="s">
        <v>1080</v>
      </c>
      <c r="Q56" s="189" t="s">
        <v>1081</v>
      </c>
      <c r="R56" s="1026" t="s">
        <v>123</v>
      </c>
      <c r="S56" s="1026"/>
      <c r="T56" s="1026"/>
      <c r="U56" s="1026"/>
      <c r="V56" s="1026"/>
      <c r="W56" s="1026"/>
      <c r="X56" s="1026"/>
      <c r="Y56" s="1026"/>
      <c r="Z56" s="1026"/>
      <c r="AA56" s="1026"/>
      <c r="AB56" s="1026"/>
      <c r="AC56" s="1026"/>
      <c r="AD56" s="1026"/>
      <c r="AE56" s="1026"/>
      <c r="AF56" s="1026"/>
    </row>
    <row r="57" spans="1:32">
      <c r="A57" s="138" t="s">
        <v>1082</v>
      </c>
      <c r="B57" s="117">
        <v>2020</v>
      </c>
      <c r="C57" s="117" t="s">
        <v>182</v>
      </c>
      <c r="D57" s="190">
        <f>D55/1000</f>
        <v>1.125</v>
      </c>
      <c r="E57" s="190">
        <f t="shared" ref="E57:Q57" si="23">E55/1000</f>
        <v>8.4170262584018349</v>
      </c>
      <c r="F57" s="190">
        <f t="shared" si="23"/>
        <v>1</v>
      </c>
      <c r="G57" s="190">
        <f t="shared" si="23"/>
        <v>0</v>
      </c>
      <c r="H57" s="190">
        <f t="shared" si="23"/>
        <v>0</v>
      </c>
      <c r="I57" s="190">
        <f t="shared" si="23"/>
        <v>1.125</v>
      </c>
      <c r="J57" s="190">
        <f t="shared" si="23"/>
        <v>0.60256976333451073</v>
      </c>
      <c r="K57" s="190">
        <f t="shared" si="23"/>
        <v>115.5</v>
      </c>
      <c r="L57" s="190">
        <f t="shared" si="23"/>
        <v>21.948661262273152</v>
      </c>
      <c r="M57" s="190">
        <f t="shared" si="23"/>
        <v>0</v>
      </c>
      <c r="N57" s="190">
        <f t="shared" si="23"/>
        <v>1.6163390373067874</v>
      </c>
      <c r="O57" s="190">
        <f t="shared" si="23"/>
        <v>0</v>
      </c>
      <c r="P57" s="190">
        <f t="shared" si="23"/>
        <v>1.6025697633345108</v>
      </c>
      <c r="Q57" s="190">
        <f t="shared" si="23"/>
        <v>9.6628389153492069</v>
      </c>
      <c r="R57" s="1033" t="s">
        <v>1083</v>
      </c>
      <c r="S57" s="1033"/>
      <c r="T57" s="1033"/>
      <c r="U57" s="1033"/>
      <c r="V57" s="1033"/>
      <c r="W57" s="1033"/>
      <c r="X57" s="1033"/>
      <c r="Y57" s="1033"/>
      <c r="Z57" s="1033"/>
      <c r="AA57" s="1033"/>
      <c r="AB57" s="1033"/>
      <c r="AC57" s="1033"/>
      <c r="AD57" s="1033"/>
      <c r="AE57" s="1033"/>
      <c r="AF57" s="1033"/>
    </row>
    <row r="59" spans="1:32" s="193" customFormat="1" ht="30" customHeight="1">
      <c r="A59" s="1024" t="s">
        <v>1084</v>
      </c>
      <c r="B59" s="1025"/>
      <c r="C59" s="1025"/>
      <c r="D59" s="1025"/>
      <c r="E59" s="1025"/>
      <c r="F59" s="1025"/>
      <c r="G59" s="1025"/>
      <c r="H59" s="1025"/>
      <c r="I59" s="1025"/>
      <c r="J59" s="1025"/>
      <c r="K59" s="1025"/>
      <c r="L59" s="1025"/>
      <c r="M59" s="1025"/>
      <c r="N59" s="1025"/>
      <c r="O59" s="1025"/>
      <c r="P59" s="1025"/>
      <c r="Q59" s="1025"/>
      <c r="R59" s="1025"/>
      <c r="S59" s="1025"/>
      <c r="T59" s="1025"/>
      <c r="U59" s="1025"/>
      <c r="V59" s="1025"/>
      <c r="W59" s="1025"/>
      <c r="X59" s="1025"/>
      <c r="Y59" s="1025"/>
      <c r="Z59" s="1025"/>
      <c r="AA59" s="1025"/>
      <c r="AB59" s="1025"/>
      <c r="AC59" s="1025"/>
      <c r="AD59" s="1025"/>
      <c r="AE59" s="1025"/>
      <c r="AF59" s="1025"/>
    </row>
    <row r="60" spans="1:32" ht="30" customHeight="1">
      <c r="A60" s="140" t="s">
        <v>1085</v>
      </c>
      <c r="B60" s="140" t="s">
        <v>101</v>
      </c>
      <c r="C60" s="140" t="s">
        <v>131</v>
      </c>
      <c r="D60" s="140" t="s">
        <v>1007</v>
      </c>
      <c r="E60" s="140" t="s">
        <v>1086</v>
      </c>
      <c r="F60" s="1030" t="s">
        <v>104</v>
      </c>
      <c r="G60" s="1031"/>
      <c r="H60" s="1031"/>
      <c r="I60" s="1047"/>
      <c r="J60" s="1026" t="s">
        <v>1087</v>
      </c>
      <c r="K60" s="1026"/>
    </row>
    <row r="61" spans="1:32">
      <c r="A61" s="1100" t="s">
        <v>1088</v>
      </c>
      <c r="B61" s="1103">
        <v>2020</v>
      </c>
      <c r="C61" s="117" t="s">
        <v>182</v>
      </c>
      <c r="D61" s="117">
        <v>447485231</v>
      </c>
      <c r="E61" s="1103" t="s">
        <v>1089</v>
      </c>
      <c r="F61" s="1108" t="s">
        <v>1090</v>
      </c>
      <c r="G61" s="1109"/>
      <c r="H61" s="1109"/>
      <c r="I61" s="1110"/>
      <c r="J61" s="1102">
        <f>D62/D61</f>
        <v>3.8900915145510133E-2</v>
      </c>
      <c r="K61" s="1102"/>
    </row>
    <row r="62" spans="1:32">
      <c r="A62" s="1101"/>
      <c r="B62" s="1104"/>
      <c r="C62" s="117" t="s">
        <v>180</v>
      </c>
      <c r="D62" s="117">
        <v>17407585</v>
      </c>
      <c r="E62" s="1104"/>
      <c r="F62" s="1111"/>
      <c r="G62" s="1112"/>
      <c r="H62" s="1112"/>
      <c r="I62" s="1113"/>
      <c r="J62" s="1102"/>
      <c r="K62" s="1102"/>
    </row>
    <row r="63" spans="1:32">
      <c r="A63" s="1100" t="s">
        <v>1091</v>
      </c>
      <c r="B63" s="1103">
        <v>2022</v>
      </c>
      <c r="C63" s="117" t="s">
        <v>182</v>
      </c>
      <c r="D63" s="117">
        <v>537.44799999999998</v>
      </c>
      <c r="E63" s="1103" t="s">
        <v>1092</v>
      </c>
      <c r="F63" s="1108" t="s">
        <v>1024</v>
      </c>
      <c r="G63" s="1109"/>
      <c r="H63" s="1109"/>
      <c r="I63" s="1110"/>
      <c r="J63" s="1102">
        <f>D64/D63</f>
        <v>6.7122772807787931E-2</v>
      </c>
      <c r="K63" s="1102"/>
    </row>
    <row r="64" spans="1:32">
      <c r="A64" s="1101"/>
      <c r="B64" s="1104"/>
      <c r="C64" s="117" t="s">
        <v>180</v>
      </c>
      <c r="D64" s="117">
        <v>36.075000000000003</v>
      </c>
      <c r="E64" s="1104"/>
      <c r="F64" s="1111"/>
      <c r="G64" s="1112"/>
      <c r="H64" s="1112"/>
      <c r="I64" s="1113"/>
      <c r="J64" s="1102"/>
      <c r="K64" s="1102"/>
    </row>
    <row r="65" spans="1:32">
      <c r="A65" s="1100" t="s">
        <v>1093</v>
      </c>
      <c r="B65" s="1103">
        <v>2019</v>
      </c>
      <c r="C65" s="117" t="s">
        <v>182</v>
      </c>
      <c r="D65" s="117">
        <v>72.855500000000006</v>
      </c>
      <c r="E65" s="1103" t="s">
        <v>1092</v>
      </c>
      <c r="F65" s="1114" t="s">
        <v>1094</v>
      </c>
      <c r="G65" s="1115"/>
      <c r="H65" s="1115"/>
      <c r="I65" s="1116"/>
      <c r="J65" s="1102">
        <f>D66/D65</f>
        <v>0.12239432849956419</v>
      </c>
      <c r="K65" s="1102"/>
    </row>
    <row r="66" spans="1:32">
      <c r="A66" s="1101"/>
      <c r="B66" s="1104"/>
      <c r="C66" s="117" t="s">
        <v>180</v>
      </c>
      <c r="D66" s="117">
        <v>8.9170999999999996</v>
      </c>
      <c r="E66" s="1104"/>
      <c r="F66" s="1117"/>
      <c r="G66" s="1118"/>
      <c r="H66" s="1118"/>
      <c r="I66" s="1119"/>
      <c r="J66" s="1102"/>
      <c r="K66" s="1102"/>
    </row>
    <row r="67" spans="1:32">
      <c r="T67" s="194"/>
      <c r="AA67" s="25"/>
    </row>
    <row r="68" spans="1:32" ht="30" customHeight="1">
      <c r="A68" s="1038" t="s">
        <v>746</v>
      </c>
      <c r="B68" s="1038"/>
      <c r="C68" s="1038"/>
      <c r="D68" s="1038"/>
      <c r="E68" s="1038"/>
      <c r="F68" s="1038"/>
      <c r="G68" s="1038"/>
      <c r="H68" s="1038"/>
      <c r="I68" s="1038"/>
      <c r="J68" s="1038"/>
      <c r="K68" s="1038"/>
      <c r="L68" s="1038"/>
      <c r="M68" s="1038"/>
      <c r="N68" s="1038"/>
      <c r="O68" s="1038"/>
      <c r="P68" s="1038"/>
      <c r="Q68" s="1038"/>
      <c r="R68" s="1038"/>
      <c r="S68" s="1038"/>
      <c r="T68" s="1038"/>
      <c r="U68" s="1038"/>
      <c r="V68" s="1038"/>
      <c r="W68" s="1038"/>
      <c r="X68" s="1038"/>
      <c r="Y68" s="1038"/>
      <c r="Z68" s="1038"/>
      <c r="AA68" s="1038"/>
      <c r="AB68" s="1038"/>
      <c r="AC68" s="1038"/>
      <c r="AD68" s="1038"/>
      <c r="AE68" s="1038"/>
      <c r="AF68" s="1038"/>
    </row>
    <row r="69" spans="1:32" ht="30" customHeight="1">
      <c r="A69" s="139" t="s">
        <v>100</v>
      </c>
      <c r="B69" s="139" t="s">
        <v>101</v>
      </c>
      <c r="C69" s="139" t="s">
        <v>131</v>
      </c>
      <c r="D69" s="139" t="s">
        <v>1041</v>
      </c>
      <c r="E69" s="139" t="s">
        <v>1042</v>
      </c>
      <c r="F69" s="139" t="s">
        <v>1043</v>
      </c>
      <c r="G69" s="1044" t="s">
        <v>104</v>
      </c>
      <c r="H69" s="1045"/>
      <c r="I69" s="1045"/>
      <c r="J69" s="1045"/>
      <c r="K69" s="1045"/>
      <c r="L69" s="1046"/>
      <c r="M69" s="1026" t="s">
        <v>875</v>
      </c>
      <c r="N69" s="1026"/>
      <c r="O69" s="1026"/>
      <c r="P69" s="1026"/>
      <c r="Q69" s="1026"/>
      <c r="R69" s="1026" t="s">
        <v>123</v>
      </c>
      <c r="S69" s="1026"/>
      <c r="T69" s="1026"/>
      <c r="U69" s="1026"/>
      <c r="V69" s="1026"/>
      <c r="W69" s="1026"/>
      <c r="X69" s="1026"/>
      <c r="Y69" s="1026"/>
      <c r="Z69" s="1026"/>
      <c r="AA69" s="1026"/>
      <c r="AB69" s="1026"/>
      <c r="AC69" s="1026"/>
      <c r="AD69" s="1026"/>
      <c r="AE69" s="1026"/>
      <c r="AF69" s="1026"/>
    </row>
    <row r="70" spans="1:32">
      <c r="A70" s="142" t="s">
        <v>1033</v>
      </c>
      <c r="B70" s="117">
        <v>2020</v>
      </c>
      <c r="C70" s="126" t="s">
        <v>180</v>
      </c>
      <c r="D70" s="185">
        <f t="shared" ref="D70:F71" si="24">D30*POP_coef_2020</f>
        <v>155.60366058204053</v>
      </c>
      <c r="E70" s="185">
        <f t="shared" si="24"/>
        <v>338.43796176593816</v>
      </c>
      <c r="F70" s="185">
        <f t="shared" si="24"/>
        <v>521.27226294983575</v>
      </c>
      <c r="G70" s="1105" t="s">
        <v>1095</v>
      </c>
      <c r="H70" s="1106"/>
      <c r="I70" s="1106"/>
      <c r="J70" s="1106"/>
      <c r="K70" s="1106"/>
      <c r="L70" s="1107"/>
      <c r="M70" s="1033" t="s">
        <v>1046</v>
      </c>
      <c r="N70" s="1033"/>
      <c r="O70" s="1033"/>
      <c r="P70" s="1033"/>
      <c r="Q70" s="1033"/>
      <c r="R70" s="1033"/>
      <c r="S70" s="1033"/>
      <c r="T70" s="1033"/>
      <c r="U70" s="1033"/>
      <c r="V70" s="1033"/>
      <c r="W70" s="1033"/>
      <c r="X70" s="1033"/>
      <c r="Y70" s="1033"/>
      <c r="Z70" s="1033"/>
      <c r="AA70" s="1033"/>
      <c r="AB70" s="1033"/>
      <c r="AC70" s="1033"/>
      <c r="AD70" s="1033"/>
      <c r="AE70" s="1033"/>
      <c r="AF70" s="1033"/>
    </row>
    <row r="71" spans="1:32">
      <c r="A71" s="142" t="s">
        <v>227</v>
      </c>
      <c r="B71" s="117">
        <v>2020</v>
      </c>
      <c r="C71" s="126" t="s">
        <v>180</v>
      </c>
      <c r="D71" s="185">
        <f t="shared" si="24"/>
        <v>435.69024962971349</v>
      </c>
      <c r="E71" s="185">
        <f t="shared" si="24"/>
        <v>657.4254659591212</v>
      </c>
      <c r="F71" s="185">
        <f t="shared" si="24"/>
        <v>886.94086531763105</v>
      </c>
      <c r="G71" s="1105" t="s">
        <v>1095</v>
      </c>
      <c r="H71" s="1106"/>
      <c r="I71" s="1106"/>
      <c r="J71" s="1106"/>
      <c r="K71" s="1106"/>
      <c r="L71" s="1107"/>
      <c r="M71" s="1033" t="s">
        <v>1046</v>
      </c>
      <c r="N71" s="1033"/>
      <c r="O71" s="1033"/>
      <c r="P71" s="1033"/>
      <c r="Q71" s="1033"/>
      <c r="R71" s="1033"/>
      <c r="S71" s="1033"/>
      <c r="T71" s="1033"/>
      <c r="U71" s="1033"/>
      <c r="V71" s="1033"/>
      <c r="W71" s="1033"/>
      <c r="X71" s="1033"/>
      <c r="Y71" s="1033"/>
      <c r="Z71" s="1033"/>
      <c r="AA71" s="1033"/>
      <c r="AB71" s="1033"/>
      <c r="AC71" s="1033"/>
      <c r="AD71" s="1033"/>
      <c r="AE71" s="1033"/>
      <c r="AF71" s="1033"/>
    </row>
    <row r="72" spans="1:32" ht="14.4" customHeight="1">
      <c r="A72" s="142" t="s">
        <v>156</v>
      </c>
      <c r="B72" s="117">
        <v>2020</v>
      </c>
      <c r="C72" s="126" t="s">
        <v>180</v>
      </c>
      <c r="D72" s="185">
        <f t="shared" ref="D72:F75" si="25">D32*Aggr_2021</f>
        <v>67.122772807787925</v>
      </c>
      <c r="E72" s="185">
        <f t="shared" si="25"/>
        <v>671.22772807787931</v>
      </c>
      <c r="F72" s="185">
        <f t="shared" si="25"/>
        <v>1141.0871377323949</v>
      </c>
      <c r="G72" s="1105" t="s">
        <v>1096</v>
      </c>
      <c r="H72" s="1106"/>
      <c r="I72" s="1106"/>
      <c r="J72" s="1106"/>
      <c r="K72" s="1106"/>
      <c r="L72" s="1107"/>
      <c r="M72" s="1033" t="s">
        <v>1049</v>
      </c>
      <c r="N72" s="1033"/>
      <c r="O72" s="1033"/>
      <c r="P72" s="1033"/>
      <c r="Q72" s="1033"/>
      <c r="R72" s="1033"/>
      <c r="S72" s="1033"/>
      <c r="T72" s="1033"/>
      <c r="U72" s="1033"/>
      <c r="V72" s="1033"/>
      <c r="W72" s="1033"/>
      <c r="X72" s="1033"/>
      <c r="Y72" s="1033"/>
      <c r="Z72" s="1033"/>
      <c r="AA72" s="1033"/>
      <c r="AB72" s="1033"/>
      <c r="AC72" s="1033"/>
      <c r="AD72" s="1033"/>
      <c r="AE72" s="1033"/>
      <c r="AF72" s="1033"/>
    </row>
    <row r="73" spans="1:32">
      <c r="A73" s="142" t="s">
        <v>159</v>
      </c>
      <c r="B73" s="117">
        <v>2020</v>
      </c>
      <c r="C73" s="126" t="s">
        <v>180</v>
      </c>
      <c r="D73" s="185">
        <f t="shared" si="25"/>
        <v>134.24554561557585</v>
      </c>
      <c r="E73" s="185">
        <f t="shared" si="25"/>
        <v>268.4910912311517</v>
      </c>
      <c r="F73" s="185">
        <f t="shared" si="25"/>
        <v>402.73663684672761</v>
      </c>
      <c r="G73" s="1105" t="s">
        <v>1096</v>
      </c>
      <c r="H73" s="1106"/>
      <c r="I73" s="1106"/>
      <c r="J73" s="1106"/>
      <c r="K73" s="1106"/>
      <c r="L73" s="1107"/>
      <c r="M73" s="1033" t="s">
        <v>1049</v>
      </c>
      <c r="N73" s="1033"/>
      <c r="O73" s="1033"/>
      <c r="P73" s="1033"/>
      <c r="Q73" s="1033"/>
      <c r="R73" s="1033"/>
      <c r="S73" s="1033"/>
      <c r="T73" s="1033"/>
      <c r="U73" s="1033"/>
      <c r="V73" s="1033"/>
      <c r="W73" s="1033"/>
      <c r="X73" s="1033"/>
      <c r="Y73" s="1033"/>
      <c r="Z73" s="1033"/>
      <c r="AA73" s="1033"/>
      <c r="AB73" s="1033"/>
      <c r="AC73" s="1033"/>
      <c r="AD73" s="1033"/>
      <c r="AE73" s="1033"/>
      <c r="AF73" s="1033"/>
    </row>
    <row r="74" spans="1:32">
      <c r="A74" s="142" t="s">
        <v>160</v>
      </c>
      <c r="B74" s="117">
        <v>2020</v>
      </c>
      <c r="C74" s="126" t="s">
        <v>180</v>
      </c>
      <c r="D74" s="185">
        <f t="shared" si="25"/>
        <v>6.7122772807787934</v>
      </c>
      <c r="E74" s="185">
        <f t="shared" si="25"/>
        <v>33.561386403893962</v>
      </c>
      <c r="F74" s="185">
        <f t="shared" si="25"/>
        <v>46.985940965451555</v>
      </c>
      <c r="G74" s="1105" t="s">
        <v>1096</v>
      </c>
      <c r="H74" s="1106"/>
      <c r="I74" s="1106"/>
      <c r="J74" s="1106"/>
      <c r="K74" s="1106"/>
      <c r="L74" s="1107"/>
      <c r="M74" s="1033" t="s">
        <v>1049</v>
      </c>
      <c r="N74" s="1033"/>
      <c r="O74" s="1033"/>
      <c r="P74" s="1033"/>
      <c r="Q74" s="1033"/>
      <c r="R74" s="1033"/>
      <c r="S74" s="1033"/>
      <c r="T74" s="1033"/>
      <c r="U74" s="1033"/>
      <c r="V74" s="1033"/>
      <c r="W74" s="1033"/>
      <c r="X74" s="1033"/>
      <c r="Y74" s="1033"/>
      <c r="Z74" s="1033"/>
      <c r="AA74" s="1033"/>
      <c r="AB74" s="1033"/>
      <c r="AC74" s="1033"/>
      <c r="AD74" s="1033"/>
      <c r="AE74" s="1033"/>
      <c r="AF74" s="1033"/>
    </row>
    <row r="75" spans="1:32">
      <c r="A75" s="142" t="s">
        <v>161</v>
      </c>
      <c r="B75" s="117">
        <v>2020</v>
      </c>
      <c r="C75" s="126" t="s">
        <v>180</v>
      </c>
      <c r="D75" s="185">
        <f t="shared" si="25"/>
        <v>16.780693201946981</v>
      </c>
      <c r="E75" s="185">
        <f t="shared" si="25"/>
        <v>33.561386403893962</v>
      </c>
      <c r="F75" s="185">
        <f t="shared" si="25"/>
        <v>67.122772807787925</v>
      </c>
      <c r="G75" s="1105" t="s">
        <v>1096</v>
      </c>
      <c r="H75" s="1106"/>
      <c r="I75" s="1106"/>
      <c r="J75" s="1106"/>
      <c r="K75" s="1106"/>
      <c r="L75" s="1107"/>
      <c r="M75" s="1033" t="s">
        <v>1049</v>
      </c>
      <c r="N75" s="1033"/>
      <c r="O75" s="1033"/>
      <c r="P75" s="1033"/>
      <c r="Q75" s="1033"/>
      <c r="R75" s="1033"/>
      <c r="S75" s="1033"/>
      <c r="T75" s="1033"/>
      <c r="U75" s="1033"/>
      <c r="V75" s="1033"/>
      <c r="W75" s="1033"/>
      <c r="X75" s="1033"/>
      <c r="Y75" s="1033"/>
      <c r="Z75" s="1033"/>
      <c r="AA75" s="1033"/>
      <c r="AB75" s="1033"/>
      <c r="AC75" s="1033"/>
      <c r="AD75" s="1033"/>
      <c r="AE75" s="1033"/>
      <c r="AF75" s="1033"/>
    </row>
    <row r="76" spans="1:32">
      <c r="A76" s="142" t="s">
        <v>307</v>
      </c>
      <c r="B76" s="117">
        <v>2020</v>
      </c>
      <c r="C76" s="126" t="s">
        <v>180</v>
      </c>
      <c r="D76" s="185">
        <f t="shared" ref="D76:F78" si="26">D36*POP_coef_2020</f>
        <v>2.0423952974271455</v>
      </c>
      <c r="E76" s="185">
        <f t="shared" si="26"/>
        <v>4.0847905948542911</v>
      </c>
      <c r="F76" s="185">
        <f t="shared" si="26"/>
        <v>8.1695811897085822</v>
      </c>
      <c r="G76" s="1105" t="s">
        <v>1095</v>
      </c>
      <c r="H76" s="1106"/>
      <c r="I76" s="1106"/>
      <c r="J76" s="1106"/>
      <c r="K76" s="1106"/>
      <c r="L76" s="1107"/>
      <c r="M76" s="1033" t="s">
        <v>1054</v>
      </c>
      <c r="N76" s="1033"/>
      <c r="O76" s="1033"/>
      <c r="P76" s="1033"/>
      <c r="Q76" s="1033"/>
      <c r="R76" s="1033"/>
      <c r="S76" s="1033"/>
      <c r="T76" s="1033"/>
      <c r="U76" s="1033"/>
      <c r="V76" s="1033"/>
      <c r="W76" s="1033"/>
      <c r="X76" s="1033"/>
      <c r="Y76" s="1033"/>
      <c r="Z76" s="1033"/>
      <c r="AA76" s="1033"/>
      <c r="AB76" s="1033"/>
      <c r="AC76" s="1033"/>
      <c r="AD76" s="1033"/>
      <c r="AE76" s="1033"/>
      <c r="AF76" s="1033"/>
    </row>
    <row r="77" spans="1:32">
      <c r="A77" s="142" t="s">
        <v>331</v>
      </c>
      <c r="B77" s="117">
        <v>2020</v>
      </c>
      <c r="C77" s="126" t="s">
        <v>180</v>
      </c>
      <c r="D77" s="185">
        <f t="shared" si="26"/>
        <v>31.120732116408107</v>
      </c>
      <c r="E77" s="185">
        <f t="shared" si="26"/>
        <v>89.472104834673303</v>
      </c>
      <c r="F77" s="185">
        <f t="shared" si="26"/>
        <v>143.93338603838748</v>
      </c>
      <c r="G77" s="1105" t="s">
        <v>1095</v>
      </c>
      <c r="H77" s="1106"/>
      <c r="I77" s="1106"/>
      <c r="J77" s="1106"/>
      <c r="K77" s="1106"/>
      <c r="L77" s="1107"/>
      <c r="M77" s="1033" t="s">
        <v>1054</v>
      </c>
      <c r="N77" s="1033"/>
      <c r="O77" s="1033"/>
      <c r="P77" s="1033"/>
      <c r="Q77" s="1033"/>
      <c r="R77" s="1033"/>
      <c r="S77" s="1033"/>
      <c r="T77" s="1033"/>
      <c r="U77" s="1033"/>
      <c r="V77" s="1033"/>
      <c r="W77" s="1033"/>
      <c r="X77" s="1033"/>
      <c r="Y77" s="1033"/>
      <c r="Z77" s="1033"/>
      <c r="AA77" s="1033"/>
      <c r="AB77" s="1033"/>
      <c r="AC77" s="1033"/>
      <c r="AD77" s="1033"/>
      <c r="AE77" s="1033"/>
      <c r="AF77" s="1033"/>
    </row>
    <row r="78" spans="1:32">
      <c r="A78" s="142" t="s">
        <v>268</v>
      </c>
      <c r="B78" s="117">
        <v>2020</v>
      </c>
      <c r="C78" s="126" t="s">
        <v>180</v>
      </c>
      <c r="D78" s="185">
        <f t="shared" si="26"/>
        <v>31.120732116408107</v>
      </c>
      <c r="E78" s="185">
        <f t="shared" si="26"/>
        <v>89.472104834673303</v>
      </c>
      <c r="F78" s="185">
        <f t="shared" si="26"/>
        <v>143.93338603838748</v>
      </c>
      <c r="G78" s="1105" t="s">
        <v>1095</v>
      </c>
      <c r="H78" s="1106"/>
      <c r="I78" s="1106"/>
      <c r="J78" s="1106"/>
      <c r="K78" s="1106"/>
      <c r="L78" s="1107"/>
      <c r="M78" s="1033" t="s">
        <v>1054</v>
      </c>
      <c r="N78" s="1033"/>
      <c r="O78" s="1033"/>
      <c r="P78" s="1033"/>
      <c r="Q78" s="1033"/>
      <c r="R78" s="1033"/>
      <c r="S78" s="1033"/>
      <c r="T78" s="1033"/>
      <c r="U78" s="1033"/>
      <c r="V78" s="1033"/>
      <c r="W78" s="1033"/>
      <c r="X78" s="1033"/>
      <c r="Y78" s="1033"/>
      <c r="Z78" s="1033"/>
      <c r="AA78" s="1033"/>
      <c r="AB78" s="1033"/>
      <c r="AC78" s="1033"/>
      <c r="AD78" s="1033"/>
      <c r="AE78" s="1033"/>
      <c r="AF78" s="1033"/>
    </row>
    <row r="79" spans="1:32">
      <c r="A79" s="142" t="s">
        <v>355</v>
      </c>
      <c r="B79" s="117">
        <v>2020</v>
      </c>
      <c r="C79" s="126" t="s">
        <v>180</v>
      </c>
      <c r="D79" s="185">
        <f>D39*OIL_GAS_2020</f>
        <v>109.84890982835886</v>
      </c>
      <c r="E79" s="185">
        <f>E39*OIL_GAS_2020</f>
        <v>219.69781965671771</v>
      </c>
      <c r="F79" s="185">
        <f>F39*OIL_GAS_2020</f>
        <v>439.39563931343542</v>
      </c>
      <c r="G79" s="1105" t="s">
        <v>1095</v>
      </c>
      <c r="H79" s="1106"/>
      <c r="I79" s="1106"/>
      <c r="J79" s="1106"/>
      <c r="K79" s="1106"/>
      <c r="L79" s="1107"/>
      <c r="M79" s="1033" t="s">
        <v>1058</v>
      </c>
      <c r="N79" s="1033"/>
      <c r="O79" s="1033"/>
      <c r="P79" s="1033"/>
      <c r="Q79" s="1033"/>
      <c r="R79" s="1033"/>
      <c r="S79" s="1033"/>
      <c r="T79" s="1033"/>
      <c r="U79" s="1033"/>
      <c r="V79" s="1033"/>
      <c r="W79" s="1033"/>
      <c r="X79" s="1033"/>
      <c r="Y79" s="1033"/>
      <c r="Z79" s="1033"/>
      <c r="AA79" s="1033"/>
      <c r="AB79" s="1033"/>
      <c r="AC79" s="1033"/>
      <c r="AD79" s="1033"/>
      <c r="AE79" s="1033"/>
      <c r="AF79" s="1033"/>
    </row>
    <row r="80" spans="1:32">
      <c r="A80" s="142" t="s">
        <v>302</v>
      </c>
      <c r="B80" s="117">
        <v>2020</v>
      </c>
      <c r="C80" s="126" t="s">
        <v>180</v>
      </c>
      <c r="D80" s="185"/>
      <c r="E80" s="374">
        <v>12105</v>
      </c>
      <c r="F80" s="185"/>
      <c r="G80" s="1095" t="s">
        <v>1097</v>
      </c>
      <c r="H80" s="1095"/>
      <c r="I80" s="1095"/>
      <c r="J80" s="1095"/>
      <c r="K80" s="1095"/>
      <c r="L80" s="1095"/>
      <c r="M80" s="1095" t="s">
        <v>1060</v>
      </c>
      <c r="N80" s="1095"/>
      <c r="O80" s="1095"/>
      <c r="P80" s="1095"/>
      <c r="Q80" s="1095"/>
      <c r="R80" s="1033"/>
      <c r="S80" s="1033"/>
      <c r="T80" s="1033"/>
      <c r="U80" s="1033"/>
      <c r="V80" s="1033"/>
      <c r="W80" s="1033"/>
      <c r="X80" s="1033"/>
      <c r="Y80" s="1033"/>
      <c r="Z80" s="1033"/>
      <c r="AA80" s="1033"/>
      <c r="AB80" s="1033"/>
      <c r="AC80" s="1033"/>
      <c r="AD80" s="1033"/>
      <c r="AE80" s="1033"/>
      <c r="AF80" s="1033"/>
    </row>
    <row r="81" spans="1:32">
      <c r="A81" s="138" t="s">
        <v>1061</v>
      </c>
      <c r="B81" s="127">
        <v>2020</v>
      </c>
      <c r="C81" s="129" t="s">
        <v>180</v>
      </c>
      <c r="D81" s="184">
        <f>SUM(D70:D80)</f>
        <v>990.28796847644583</v>
      </c>
      <c r="E81" s="184">
        <f>SUM(E70:E80)</f>
        <v>14510.431839762798</v>
      </c>
      <c r="F81" s="184">
        <f>SUM(F70:F80)</f>
        <v>3801.5776091997477</v>
      </c>
      <c r="G81" s="1075"/>
      <c r="H81" s="1075"/>
      <c r="I81" s="1075"/>
      <c r="J81" s="1075"/>
      <c r="K81" s="1075"/>
      <c r="L81" s="1075"/>
      <c r="M81" s="1033"/>
      <c r="N81" s="1033"/>
      <c r="O81" s="1033"/>
      <c r="P81" s="1033"/>
      <c r="Q81" s="1033"/>
      <c r="R81" s="1033"/>
      <c r="S81" s="1033"/>
      <c r="T81" s="1033"/>
      <c r="U81" s="1033"/>
      <c r="V81" s="1033"/>
      <c r="W81" s="1033"/>
      <c r="X81" s="1033"/>
      <c r="Y81" s="1033"/>
      <c r="Z81" s="1033"/>
      <c r="AA81" s="1033"/>
      <c r="AB81" s="1033"/>
      <c r="AC81" s="1033"/>
      <c r="AD81" s="1033"/>
      <c r="AE81" s="1033"/>
      <c r="AF81" s="1033"/>
    </row>
    <row r="82" spans="1:32">
      <c r="A82" s="836"/>
      <c r="B82" s="25"/>
      <c r="C82" s="25"/>
      <c r="D82" s="372"/>
      <c r="E82" s="372"/>
      <c r="F82" s="372"/>
      <c r="G82" s="373"/>
      <c r="H82" s="373"/>
      <c r="I82" s="373"/>
      <c r="J82" s="373"/>
      <c r="K82" s="373"/>
      <c r="L82" s="373"/>
    </row>
    <row r="83" spans="1:32">
      <c r="A83"/>
      <c r="B83" s="25"/>
      <c r="C83" s="25"/>
      <c r="D83" s="372"/>
      <c r="E83"/>
      <c r="F83"/>
      <c r="G83"/>
      <c r="H83"/>
      <c r="I83"/>
      <c r="J83"/>
      <c r="K83"/>
      <c r="L83" s="373"/>
    </row>
    <row r="84" spans="1:32" s="375" customFormat="1">
      <c r="A84" s="433"/>
      <c r="B84" s="26" t="s">
        <v>101</v>
      </c>
      <c r="C84" s="26" t="s">
        <v>131</v>
      </c>
      <c r="D84" s="372" t="s">
        <v>1098</v>
      </c>
      <c r="E84" s="433"/>
      <c r="F84" s="433"/>
      <c r="G84" s="835" t="s">
        <v>104</v>
      </c>
      <c r="H84" s="377"/>
      <c r="I84" s="377"/>
      <c r="J84" s="377"/>
      <c r="K84" s="377"/>
      <c r="L84" s="378"/>
    </row>
    <row r="85" spans="1:32" s="375" customFormat="1">
      <c r="A85" s="143" t="s">
        <v>302</v>
      </c>
      <c r="B85" s="7">
        <v>2016</v>
      </c>
      <c r="C85" s="7" t="s">
        <v>180</v>
      </c>
      <c r="D85" s="7">
        <v>18000</v>
      </c>
      <c r="E85" s="433"/>
      <c r="F85" s="433"/>
      <c r="G85" s="433" t="s">
        <v>1097</v>
      </c>
      <c r="H85" s="377"/>
      <c r="I85" s="377"/>
      <c r="J85" s="377"/>
      <c r="K85" s="377"/>
      <c r="L85" s="378"/>
    </row>
    <row r="86" spans="1:32" s="375" customFormat="1">
      <c r="A86" s="143" t="s">
        <v>302</v>
      </c>
      <c r="B86" s="7">
        <v>2019</v>
      </c>
      <c r="C86" s="7" t="s">
        <v>180</v>
      </c>
      <c r="D86" s="7">
        <v>11400</v>
      </c>
      <c r="E86" s="433"/>
      <c r="F86" s="433"/>
      <c r="G86" s="433" t="s">
        <v>1097</v>
      </c>
      <c r="H86" s="377"/>
      <c r="I86" s="377"/>
      <c r="J86" s="377"/>
      <c r="K86" s="377"/>
      <c r="L86" s="378"/>
    </row>
    <row r="87" spans="1:32" s="375" customFormat="1">
      <c r="A87" s="143" t="s">
        <v>302</v>
      </c>
      <c r="B87" s="7">
        <v>2020</v>
      </c>
      <c r="C87" s="7" t="s">
        <v>180</v>
      </c>
      <c r="D87" s="7">
        <v>12105</v>
      </c>
      <c r="E87" s="433"/>
      <c r="F87" s="433"/>
      <c r="G87" s="433" t="s">
        <v>1097</v>
      </c>
      <c r="H87" s="377"/>
      <c r="I87" s="377"/>
      <c r="J87" s="377"/>
      <c r="K87" s="377"/>
      <c r="L87" s="378"/>
    </row>
    <row r="88" spans="1:32" s="375" customFormat="1">
      <c r="A88" s="143" t="s">
        <v>302</v>
      </c>
      <c r="B88" s="7">
        <v>2021</v>
      </c>
      <c r="C88" s="7" t="s">
        <v>180</v>
      </c>
      <c r="D88" s="7">
        <v>10331</v>
      </c>
      <c r="E88" s="433"/>
      <c r="F88" s="433"/>
      <c r="G88" s="433" t="s">
        <v>1097</v>
      </c>
      <c r="H88" s="377"/>
      <c r="I88" s="377"/>
      <c r="J88" s="377"/>
      <c r="K88" s="377"/>
      <c r="L88" s="378"/>
    </row>
    <row r="89" spans="1:32" s="375" customFormat="1">
      <c r="A89" s="143" t="s">
        <v>302</v>
      </c>
      <c r="B89" s="7">
        <v>2030</v>
      </c>
      <c r="C89" s="7" t="s">
        <v>180</v>
      </c>
      <c r="D89" s="7">
        <v>100</v>
      </c>
      <c r="E89" s="433"/>
      <c r="F89" s="433"/>
      <c r="G89" s="433" t="s">
        <v>1099</v>
      </c>
      <c r="H89" s="377"/>
      <c r="I89" s="377"/>
      <c r="J89" s="377"/>
      <c r="K89" s="377"/>
      <c r="L89" s="378"/>
    </row>
    <row r="90" spans="1:32" s="375" customFormat="1">
      <c r="A90" s="143" t="s">
        <v>302</v>
      </c>
      <c r="B90" s="7">
        <v>2040</v>
      </c>
      <c r="C90" s="7" t="s">
        <v>180</v>
      </c>
      <c r="D90" s="7">
        <v>0</v>
      </c>
      <c r="E90" s="433"/>
      <c r="F90" s="433"/>
      <c r="G90" s="433" t="s">
        <v>1100</v>
      </c>
      <c r="H90" s="377"/>
      <c r="I90" s="377"/>
      <c r="J90" s="377"/>
      <c r="K90" s="377"/>
      <c r="L90" s="378"/>
    </row>
    <row r="91" spans="1:32">
      <c r="E91"/>
      <c r="F91"/>
      <c r="G91"/>
      <c r="H91"/>
      <c r="I91"/>
      <c r="J91"/>
      <c r="K91"/>
    </row>
    <row r="92" spans="1:32" ht="30" customHeight="1">
      <c r="A92" s="140" t="s">
        <v>100</v>
      </c>
      <c r="B92" s="140" t="s">
        <v>101</v>
      </c>
      <c r="C92" s="140" t="s">
        <v>131</v>
      </c>
      <c r="D92" s="189" t="s">
        <v>1062</v>
      </c>
      <c r="E92" s="189" t="s">
        <v>1063</v>
      </c>
      <c r="F92" s="189" t="s">
        <v>1064</v>
      </c>
      <c r="G92" s="189" t="s">
        <v>1065</v>
      </c>
      <c r="H92" s="189" t="s">
        <v>1066</v>
      </c>
      <c r="I92" s="189" t="s">
        <v>1067</v>
      </c>
      <c r="J92" s="189" t="s">
        <v>1068</v>
      </c>
      <c r="K92" s="189" t="s">
        <v>1069</v>
      </c>
      <c r="L92" s="189" t="s">
        <v>1070</v>
      </c>
      <c r="M92" s="189" t="s">
        <v>1071</v>
      </c>
      <c r="N92" s="189" t="s">
        <v>1072</v>
      </c>
      <c r="O92" s="189" t="s">
        <v>1073</v>
      </c>
      <c r="P92" s="189" t="s">
        <v>1074</v>
      </c>
      <c r="Q92" s="189" t="s">
        <v>1075</v>
      </c>
      <c r="R92" s="1026" t="s">
        <v>123</v>
      </c>
      <c r="S92" s="1026"/>
      <c r="T92" s="1026"/>
      <c r="U92" s="1026"/>
      <c r="V92" s="1026"/>
      <c r="W92" s="1026"/>
      <c r="X92" s="1026"/>
      <c r="Y92" s="1026"/>
      <c r="Z92" s="1026"/>
      <c r="AA92" s="1026"/>
      <c r="AB92" s="1026"/>
      <c r="AC92" s="1026"/>
      <c r="AD92" s="1026"/>
      <c r="AE92" s="1026"/>
      <c r="AF92" s="1026"/>
    </row>
    <row r="93" spans="1:32">
      <c r="A93" s="142" t="s">
        <v>1033</v>
      </c>
      <c r="B93" s="117">
        <v>2020</v>
      </c>
      <c r="C93" s="117" t="s">
        <v>180</v>
      </c>
      <c r="D93" s="191">
        <f t="shared" ref="D93:Q93" si="27">$E70*D16</f>
        <v>0</v>
      </c>
      <c r="E93" s="191">
        <f t="shared" si="27"/>
        <v>128.06283413488094</v>
      </c>
      <c r="F93" s="191">
        <f t="shared" si="27"/>
        <v>0</v>
      </c>
      <c r="G93" s="191">
        <f t="shared" si="27"/>
        <v>0</v>
      </c>
      <c r="H93" s="191">
        <f t="shared" si="27"/>
        <v>0</v>
      </c>
      <c r="I93" s="191">
        <f t="shared" si="27"/>
        <v>0</v>
      </c>
      <c r="J93" s="191">
        <f t="shared" si="27"/>
        <v>0</v>
      </c>
      <c r="K93" s="191">
        <f t="shared" si="27"/>
        <v>0</v>
      </c>
      <c r="L93" s="191">
        <f t="shared" si="27"/>
        <v>208.59994010251873</v>
      </c>
      <c r="M93" s="191">
        <f t="shared" si="27"/>
        <v>0</v>
      </c>
      <c r="N93" s="191">
        <f t="shared" si="27"/>
        <v>0.53563735841081217</v>
      </c>
      <c r="O93" s="191">
        <f t="shared" si="27"/>
        <v>0</v>
      </c>
      <c r="P93" s="191">
        <f t="shared" si="27"/>
        <v>0</v>
      </c>
      <c r="Q93" s="191">
        <f t="shared" si="27"/>
        <v>1.2395501701276763</v>
      </c>
      <c r="R93" s="1033"/>
      <c r="S93" s="1033"/>
      <c r="T93" s="1033"/>
      <c r="U93" s="1033"/>
      <c r="V93" s="1033"/>
      <c r="W93" s="1033"/>
      <c r="X93" s="1033"/>
      <c r="Y93" s="1033"/>
      <c r="Z93" s="1033"/>
      <c r="AA93" s="1033"/>
      <c r="AB93" s="1033"/>
      <c r="AC93" s="1033"/>
      <c r="AD93" s="1033"/>
      <c r="AE93" s="1033"/>
      <c r="AF93" s="1033"/>
    </row>
    <row r="94" spans="1:32">
      <c r="A94" s="142" t="s">
        <v>227</v>
      </c>
      <c r="B94" s="117">
        <v>2020</v>
      </c>
      <c r="C94" s="117" t="s">
        <v>180</v>
      </c>
      <c r="D94" s="191">
        <f t="shared" ref="D94:Q94" si="28">$E71*D17</f>
        <v>0</v>
      </c>
      <c r="E94" s="191">
        <f t="shared" si="28"/>
        <v>0</v>
      </c>
      <c r="F94" s="191">
        <f t="shared" si="28"/>
        <v>0</v>
      </c>
      <c r="G94" s="191">
        <f t="shared" si="28"/>
        <v>0</v>
      </c>
      <c r="H94" s="191">
        <f t="shared" si="28"/>
        <v>0</v>
      </c>
      <c r="I94" s="191">
        <f t="shared" si="28"/>
        <v>0</v>
      </c>
      <c r="J94" s="191">
        <f t="shared" si="28"/>
        <v>18.577900839537158</v>
      </c>
      <c r="K94" s="191">
        <f t="shared" si="28"/>
        <v>0</v>
      </c>
      <c r="L94" s="191">
        <f t="shared" si="28"/>
        <v>601.4595396800155</v>
      </c>
      <c r="M94" s="191">
        <f t="shared" si="28"/>
        <v>0</v>
      </c>
      <c r="N94" s="191">
        <f t="shared" si="28"/>
        <v>18.577900839537158</v>
      </c>
      <c r="O94" s="191">
        <f t="shared" si="28"/>
        <v>0</v>
      </c>
      <c r="P94" s="191">
        <f t="shared" si="28"/>
        <v>18.577900839537158</v>
      </c>
      <c r="Q94" s="191">
        <f t="shared" si="28"/>
        <v>0.23222376049421448</v>
      </c>
      <c r="R94" s="1033"/>
      <c r="S94" s="1033"/>
      <c r="T94" s="1033"/>
      <c r="U94" s="1033"/>
      <c r="V94" s="1033"/>
      <c r="W94" s="1033"/>
      <c r="X94" s="1033"/>
      <c r="Y94" s="1033"/>
      <c r="Z94" s="1033"/>
      <c r="AA94" s="1033"/>
      <c r="AB94" s="1033"/>
      <c r="AC94" s="1033"/>
      <c r="AD94" s="1033"/>
      <c r="AE94" s="1033"/>
      <c r="AF94" s="1033"/>
    </row>
    <row r="95" spans="1:32">
      <c r="A95" s="142" t="s">
        <v>156</v>
      </c>
      <c r="B95" s="117">
        <v>2020</v>
      </c>
      <c r="C95" s="117" t="s">
        <v>180</v>
      </c>
      <c r="D95" s="191">
        <f t="shared" ref="D95:Q95" si="29">$E72*D18</f>
        <v>67.122772807787939</v>
      </c>
      <c r="E95" s="191">
        <f t="shared" si="29"/>
        <v>67.122772807787939</v>
      </c>
      <c r="F95" s="191">
        <f t="shared" si="29"/>
        <v>67.122772807787939</v>
      </c>
      <c r="G95" s="191">
        <f t="shared" si="29"/>
        <v>0</v>
      </c>
      <c r="H95" s="191">
        <f t="shared" si="29"/>
        <v>0</v>
      </c>
      <c r="I95" s="191">
        <f t="shared" si="29"/>
        <v>67.122772807787939</v>
      </c>
      <c r="J95" s="191">
        <f t="shared" si="29"/>
        <v>0</v>
      </c>
      <c r="K95" s="191">
        <f t="shared" si="29"/>
        <v>0</v>
      </c>
      <c r="L95" s="191">
        <f t="shared" si="29"/>
        <v>67.122772807787939</v>
      </c>
      <c r="M95" s="191">
        <f t="shared" si="29"/>
        <v>0</v>
      </c>
      <c r="N95" s="191">
        <f t="shared" si="29"/>
        <v>67.122772807787939</v>
      </c>
      <c r="O95" s="191">
        <f t="shared" si="29"/>
        <v>0</v>
      </c>
      <c r="P95" s="191">
        <f t="shared" si="29"/>
        <v>67.122772807787939</v>
      </c>
      <c r="Q95" s="191">
        <f t="shared" si="29"/>
        <v>201.36831842336377</v>
      </c>
      <c r="R95" s="1033"/>
      <c r="S95" s="1033"/>
      <c r="T95" s="1033"/>
      <c r="U95" s="1033"/>
      <c r="V95" s="1033"/>
      <c r="W95" s="1033"/>
      <c r="X95" s="1033"/>
      <c r="Y95" s="1033"/>
      <c r="Z95" s="1033"/>
      <c r="AA95" s="1033"/>
      <c r="AB95" s="1033"/>
      <c r="AC95" s="1033"/>
      <c r="AD95" s="1033"/>
      <c r="AE95" s="1033"/>
      <c r="AF95" s="1033"/>
    </row>
    <row r="96" spans="1:32">
      <c r="A96" s="142" t="s">
        <v>159</v>
      </c>
      <c r="B96" s="117">
        <v>2020</v>
      </c>
      <c r="C96" s="117" t="s">
        <v>180</v>
      </c>
      <c r="D96" s="191">
        <f t="shared" ref="D96:Q96" si="30">$E73*D19</f>
        <v>0</v>
      </c>
      <c r="E96" s="191">
        <f t="shared" si="30"/>
        <v>268.4910912311517</v>
      </c>
      <c r="F96" s="191">
        <f t="shared" si="30"/>
        <v>0</v>
      </c>
      <c r="G96" s="191">
        <f t="shared" si="30"/>
        <v>0</v>
      </c>
      <c r="H96" s="191">
        <f t="shared" si="30"/>
        <v>0</v>
      </c>
      <c r="I96" s="191">
        <f t="shared" si="30"/>
        <v>0</v>
      </c>
      <c r="J96" s="191">
        <f t="shared" si="30"/>
        <v>0</v>
      </c>
      <c r="K96" s="191">
        <f t="shared" si="30"/>
        <v>0</v>
      </c>
      <c r="L96" s="191">
        <f t="shared" si="30"/>
        <v>0</v>
      </c>
      <c r="M96" s="191">
        <f t="shared" si="30"/>
        <v>0</v>
      </c>
      <c r="N96" s="191">
        <f t="shared" si="30"/>
        <v>0</v>
      </c>
      <c r="O96" s="191">
        <f t="shared" si="30"/>
        <v>0</v>
      </c>
      <c r="P96" s="191">
        <f t="shared" si="30"/>
        <v>0</v>
      </c>
      <c r="Q96" s="191">
        <f t="shared" si="30"/>
        <v>0</v>
      </c>
      <c r="R96" s="1033"/>
      <c r="S96" s="1033"/>
      <c r="T96" s="1033"/>
      <c r="U96" s="1033"/>
      <c r="V96" s="1033"/>
      <c r="W96" s="1033"/>
      <c r="X96" s="1033"/>
      <c r="Y96" s="1033"/>
      <c r="Z96" s="1033"/>
      <c r="AA96" s="1033"/>
      <c r="AB96" s="1033"/>
      <c r="AC96" s="1033"/>
      <c r="AD96" s="1033"/>
      <c r="AE96" s="1033"/>
      <c r="AF96" s="1033"/>
    </row>
    <row r="97" spans="1:32">
      <c r="A97" s="142" t="s">
        <v>160</v>
      </c>
      <c r="B97" s="117">
        <v>2020</v>
      </c>
      <c r="C97" s="117" t="s">
        <v>180</v>
      </c>
      <c r="D97" s="191">
        <f t="shared" ref="D97:Q97" si="31">$E74*D20</f>
        <v>4.1951733004867453</v>
      </c>
      <c r="E97" s="191">
        <f t="shared" si="31"/>
        <v>4.1951733004867453</v>
      </c>
      <c r="F97" s="191">
        <f t="shared" si="31"/>
        <v>0</v>
      </c>
      <c r="G97" s="191">
        <f t="shared" si="31"/>
        <v>0</v>
      </c>
      <c r="H97" s="191">
        <f t="shared" si="31"/>
        <v>0</v>
      </c>
      <c r="I97" s="191">
        <f t="shared" si="31"/>
        <v>4.1951733004867453</v>
      </c>
      <c r="J97" s="191">
        <f t="shared" si="31"/>
        <v>4.1951733004867453</v>
      </c>
      <c r="K97" s="191">
        <f t="shared" si="31"/>
        <v>0</v>
      </c>
      <c r="L97" s="191">
        <f t="shared" si="31"/>
        <v>4.1951733004867453</v>
      </c>
      <c r="M97" s="191">
        <f t="shared" si="31"/>
        <v>0</v>
      </c>
      <c r="N97" s="191">
        <f t="shared" si="31"/>
        <v>4.1951733004867453</v>
      </c>
      <c r="O97" s="191">
        <f t="shared" si="31"/>
        <v>0</v>
      </c>
      <c r="P97" s="191">
        <f t="shared" si="31"/>
        <v>4.1951733004867453</v>
      </c>
      <c r="Q97" s="191">
        <f t="shared" si="31"/>
        <v>4.1951733004867453</v>
      </c>
      <c r="R97" s="1033"/>
      <c r="S97" s="1033"/>
      <c r="T97" s="1033"/>
      <c r="U97" s="1033"/>
      <c r="V97" s="1033"/>
      <c r="W97" s="1033"/>
      <c r="X97" s="1033"/>
      <c r="Y97" s="1033"/>
      <c r="Z97" s="1033"/>
      <c r="AA97" s="1033"/>
      <c r="AB97" s="1033"/>
      <c r="AC97" s="1033"/>
      <c r="AD97" s="1033"/>
      <c r="AE97" s="1033"/>
      <c r="AF97" s="1033"/>
    </row>
    <row r="98" spans="1:32">
      <c r="A98" s="142" t="s">
        <v>161</v>
      </c>
      <c r="B98" s="117">
        <v>2020</v>
      </c>
      <c r="C98" s="117" t="s">
        <v>180</v>
      </c>
      <c r="D98" s="191">
        <f t="shared" ref="D98:Q98" si="32">$E75*D21</f>
        <v>4.1951733004867453</v>
      </c>
      <c r="E98" s="191">
        <f t="shared" si="32"/>
        <v>4.1951733004867453</v>
      </c>
      <c r="F98" s="191">
        <f t="shared" si="32"/>
        <v>0</v>
      </c>
      <c r="G98" s="191">
        <f t="shared" si="32"/>
        <v>0</v>
      </c>
      <c r="H98" s="191">
        <f t="shared" si="32"/>
        <v>0</v>
      </c>
      <c r="I98" s="191">
        <f t="shared" si="32"/>
        <v>4.1951733004867453</v>
      </c>
      <c r="J98" s="191">
        <f t="shared" si="32"/>
        <v>4.1951733004867453</v>
      </c>
      <c r="K98" s="191">
        <f t="shared" si="32"/>
        <v>0</v>
      </c>
      <c r="L98" s="191">
        <f t="shared" si="32"/>
        <v>4.1951733004867453</v>
      </c>
      <c r="M98" s="191">
        <f t="shared" si="32"/>
        <v>0</v>
      </c>
      <c r="N98" s="191">
        <f t="shared" si="32"/>
        <v>4.1951733004867453</v>
      </c>
      <c r="O98" s="191">
        <f t="shared" si="32"/>
        <v>0</v>
      </c>
      <c r="P98" s="191">
        <f t="shared" si="32"/>
        <v>4.1951733004867453</v>
      </c>
      <c r="Q98" s="191">
        <f t="shared" si="32"/>
        <v>4.1951733004867453</v>
      </c>
      <c r="R98" s="1033"/>
      <c r="S98" s="1033"/>
      <c r="T98" s="1033"/>
      <c r="U98" s="1033"/>
      <c r="V98" s="1033"/>
      <c r="W98" s="1033"/>
      <c r="X98" s="1033"/>
      <c r="Y98" s="1033"/>
      <c r="Z98" s="1033"/>
      <c r="AA98" s="1033"/>
      <c r="AB98" s="1033"/>
      <c r="AC98" s="1033"/>
      <c r="AD98" s="1033"/>
      <c r="AE98" s="1033"/>
      <c r="AF98" s="1033"/>
    </row>
    <row r="99" spans="1:32">
      <c r="A99" s="142" t="s">
        <v>307</v>
      </c>
      <c r="B99" s="117">
        <v>2020</v>
      </c>
      <c r="C99" s="117" t="s">
        <v>180</v>
      </c>
      <c r="D99" s="191">
        <f t="shared" ref="D99:Q99" si="33">$E76*D22</f>
        <v>0</v>
      </c>
      <c r="E99" s="191">
        <f t="shared" si="33"/>
        <v>0</v>
      </c>
      <c r="F99" s="191">
        <f t="shared" si="33"/>
        <v>0</v>
      </c>
      <c r="G99" s="191">
        <f t="shared" si="33"/>
        <v>0</v>
      </c>
      <c r="H99" s="191">
        <f t="shared" si="33"/>
        <v>0</v>
      </c>
      <c r="I99" s="191">
        <f t="shared" si="33"/>
        <v>0</v>
      </c>
      <c r="J99" s="191">
        <f t="shared" si="33"/>
        <v>0</v>
      </c>
      <c r="K99" s="191">
        <f t="shared" si="33"/>
        <v>0</v>
      </c>
      <c r="L99" s="191">
        <f t="shared" si="33"/>
        <v>0</v>
      </c>
      <c r="M99" s="191">
        <f t="shared" si="33"/>
        <v>0</v>
      </c>
      <c r="N99" s="191">
        <f t="shared" si="33"/>
        <v>0</v>
      </c>
      <c r="O99" s="191">
        <f t="shared" si="33"/>
        <v>0</v>
      </c>
      <c r="P99" s="191">
        <f t="shared" si="33"/>
        <v>0</v>
      </c>
      <c r="Q99" s="191">
        <f t="shared" si="33"/>
        <v>4.0847905948542911</v>
      </c>
      <c r="R99" s="1033"/>
      <c r="S99" s="1033"/>
      <c r="T99" s="1033"/>
      <c r="U99" s="1033"/>
      <c r="V99" s="1033"/>
      <c r="W99" s="1033"/>
      <c r="X99" s="1033"/>
      <c r="Y99" s="1033"/>
      <c r="Z99" s="1033"/>
      <c r="AA99" s="1033"/>
      <c r="AB99" s="1033"/>
      <c r="AC99" s="1033"/>
      <c r="AD99" s="1033"/>
      <c r="AE99" s="1033"/>
      <c r="AF99" s="1033"/>
    </row>
    <row r="100" spans="1:32">
      <c r="A100" s="142" t="s">
        <v>331</v>
      </c>
      <c r="B100" s="117">
        <v>2020</v>
      </c>
      <c r="C100" s="117" t="s">
        <v>180</v>
      </c>
      <c r="D100" s="191">
        <f t="shared" ref="D100:Q100" si="34">$E77*D23</f>
        <v>0</v>
      </c>
      <c r="E100" s="191">
        <f t="shared" si="34"/>
        <v>0</v>
      </c>
      <c r="F100" s="191">
        <f t="shared" si="34"/>
        <v>0</v>
      </c>
      <c r="G100" s="191">
        <f t="shared" si="34"/>
        <v>0</v>
      </c>
      <c r="H100" s="191">
        <f t="shared" si="34"/>
        <v>0</v>
      </c>
      <c r="I100" s="191">
        <f t="shared" si="34"/>
        <v>0</v>
      </c>
      <c r="J100" s="191">
        <f t="shared" si="34"/>
        <v>0</v>
      </c>
      <c r="K100" s="191">
        <f t="shared" si="34"/>
        <v>0</v>
      </c>
      <c r="L100" s="191">
        <f t="shared" si="34"/>
        <v>0</v>
      </c>
      <c r="M100" s="191">
        <f t="shared" si="34"/>
        <v>0</v>
      </c>
      <c r="N100" s="191">
        <f t="shared" si="34"/>
        <v>0</v>
      </c>
      <c r="O100" s="191">
        <f t="shared" si="34"/>
        <v>0</v>
      </c>
      <c r="P100" s="191">
        <f t="shared" si="34"/>
        <v>0</v>
      </c>
      <c r="Q100" s="191">
        <f t="shared" si="34"/>
        <v>89.472104834673303</v>
      </c>
      <c r="R100" s="1033"/>
      <c r="S100" s="1033"/>
      <c r="T100" s="1033"/>
      <c r="U100" s="1033"/>
      <c r="V100" s="1033"/>
      <c r="W100" s="1033"/>
      <c r="X100" s="1033"/>
      <c r="Y100" s="1033"/>
      <c r="Z100" s="1033"/>
      <c r="AA100" s="1033"/>
      <c r="AB100" s="1033"/>
      <c r="AC100" s="1033"/>
      <c r="AD100" s="1033"/>
      <c r="AE100" s="1033"/>
      <c r="AF100" s="1033"/>
    </row>
    <row r="101" spans="1:32">
      <c r="A101" s="142" t="s">
        <v>268</v>
      </c>
      <c r="B101" s="117">
        <v>2020</v>
      </c>
      <c r="C101" s="117" t="s">
        <v>180</v>
      </c>
      <c r="D101" s="191">
        <f t="shared" ref="D101:Q101" si="35">$E78*D24</f>
        <v>0</v>
      </c>
      <c r="E101" s="191">
        <f t="shared" si="35"/>
        <v>0</v>
      </c>
      <c r="F101" s="191">
        <f t="shared" si="35"/>
        <v>0</v>
      </c>
      <c r="G101" s="191">
        <f t="shared" si="35"/>
        <v>0</v>
      </c>
      <c r="H101" s="191">
        <f t="shared" si="35"/>
        <v>0</v>
      </c>
      <c r="I101" s="191">
        <f t="shared" si="35"/>
        <v>0</v>
      </c>
      <c r="J101" s="191">
        <f t="shared" si="35"/>
        <v>0</v>
      </c>
      <c r="K101" s="191">
        <f t="shared" si="35"/>
        <v>0</v>
      </c>
      <c r="L101" s="191">
        <f t="shared" si="35"/>
        <v>0</v>
      </c>
      <c r="M101" s="191">
        <f t="shared" si="35"/>
        <v>0</v>
      </c>
      <c r="N101" s="191">
        <f t="shared" si="35"/>
        <v>0</v>
      </c>
      <c r="O101" s="191">
        <f t="shared" si="35"/>
        <v>0</v>
      </c>
      <c r="P101" s="191">
        <f t="shared" si="35"/>
        <v>0</v>
      </c>
      <c r="Q101" s="191">
        <f t="shared" si="35"/>
        <v>89.472104834673303</v>
      </c>
      <c r="R101" s="1033"/>
      <c r="S101" s="1033"/>
      <c r="T101" s="1033"/>
      <c r="U101" s="1033"/>
      <c r="V101" s="1033"/>
      <c r="W101" s="1033"/>
      <c r="X101" s="1033"/>
      <c r="Y101" s="1033"/>
      <c r="Z101" s="1033"/>
      <c r="AA101" s="1033"/>
      <c r="AB101" s="1033"/>
      <c r="AC101" s="1033"/>
      <c r="AD101" s="1033"/>
      <c r="AE101" s="1033"/>
      <c r="AF101" s="1033"/>
    </row>
    <row r="102" spans="1:32">
      <c r="A102" s="142" t="s">
        <v>355</v>
      </c>
      <c r="B102" s="117">
        <v>2020</v>
      </c>
      <c r="C102" s="117" t="s">
        <v>180</v>
      </c>
      <c r="D102" s="191">
        <f t="shared" ref="D102:Q102" si="36">$E79*D25</f>
        <v>0</v>
      </c>
      <c r="E102" s="191">
        <f t="shared" si="36"/>
        <v>0</v>
      </c>
      <c r="F102" s="191">
        <f t="shared" si="36"/>
        <v>0</v>
      </c>
      <c r="G102" s="191">
        <f t="shared" si="36"/>
        <v>0</v>
      </c>
      <c r="H102" s="191">
        <f t="shared" si="36"/>
        <v>0</v>
      </c>
      <c r="I102" s="191">
        <f t="shared" si="36"/>
        <v>0</v>
      </c>
      <c r="J102" s="191">
        <f t="shared" si="36"/>
        <v>0</v>
      </c>
      <c r="K102" s="191">
        <f t="shared" si="36"/>
        <v>0</v>
      </c>
      <c r="L102" s="191">
        <f t="shared" si="36"/>
        <v>0</v>
      </c>
      <c r="M102" s="191">
        <f t="shared" si="36"/>
        <v>0</v>
      </c>
      <c r="N102" s="191">
        <f t="shared" si="36"/>
        <v>0</v>
      </c>
      <c r="O102" s="191">
        <f t="shared" si="36"/>
        <v>0</v>
      </c>
      <c r="P102" s="191">
        <f t="shared" si="36"/>
        <v>0</v>
      </c>
      <c r="Q102" s="191">
        <f t="shared" si="36"/>
        <v>219.69781965671771</v>
      </c>
      <c r="R102" s="1033"/>
      <c r="S102" s="1033"/>
      <c r="T102" s="1033"/>
      <c r="U102" s="1033"/>
      <c r="V102" s="1033"/>
      <c r="W102" s="1033"/>
      <c r="X102" s="1033"/>
      <c r="Y102" s="1033"/>
      <c r="Z102" s="1033"/>
      <c r="AA102" s="1033"/>
      <c r="AB102" s="1033"/>
      <c r="AC102" s="1033"/>
      <c r="AD102" s="1033"/>
      <c r="AE102" s="1033"/>
      <c r="AF102" s="1033"/>
    </row>
    <row r="103" spans="1:32">
      <c r="A103" s="142" t="s">
        <v>302</v>
      </c>
      <c r="B103" s="117">
        <v>2020</v>
      </c>
      <c r="C103" s="117" t="s">
        <v>180</v>
      </c>
      <c r="D103" s="191">
        <f t="shared" ref="D103:Q103" si="37">$E80*D26</f>
        <v>0</v>
      </c>
      <c r="E103" s="191">
        <f t="shared" si="37"/>
        <v>0</v>
      </c>
      <c r="F103" s="191">
        <f t="shared" si="37"/>
        <v>0</v>
      </c>
      <c r="G103" s="191">
        <f t="shared" si="37"/>
        <v>0</v>
      </c>
      <c r="H103" s="191">
        <f t="shared" si="37"/>
        <v>0</v>
      </c>
      <c r="I103" s="191">
        <f t="shared" si="37"/>
        <v>0</v>
      </c>
      <c r="J103" s="191">
        <f t="shared" si="37"/>
        <v>0</v>
      </c>
      <c r="K103" s="191">
        <f t="shared" si="37"/>
        <v>12105</v>
      </c>
      <c r="L103" s="191">
        <f t="shared" si="37"/>
        <v>0</v>
      </c>
      <c r="M103" s="191">
        <f t="shared" si="37"/>
        <v>0</v>
      </c>
      <c r="N103" s="191">
        <f t="shared" si="37"/>
        <v>0</v>
      </c>
      <c r="O103" s="191">
        <f t="shared" si="37"/>
        <v>0</v>
      </c>
      <c r="P103" s="191">
        <f t="shared" si="37"/>
        <v>0</v>
      </c>
      <c r="Q103" s="191">
        <f t="shared" si="37"/>
        <v>0</v>
      </c>
      <c r="R103" s="1033"/>
      <c r="S103" s="1033"/>
      <c r="T103" s="1033"/>
      <c r="U103" s="1033"/>
      <c r="V103" s="1033"/>
      <c r="W103" s="1033"/>
      <c r="X103" s="1033"/>
      <c r="Y103" s="1033"/>
      <c r="Z103" s="1033"/>
      <c r="AA103" s="1033"/>
      <c r="AB103" s="1033"/>
      <c r="AC103" s="1033"/>
      <c r="AD103" s="1033"/>
      <c r="AE103" s="1033"/>
      <c r="AF103" s="1033"/>
    </row>
    <row r="104" spans="1:32">
      <c r="A104" s="138" t="s">
        <v>1061</v>
      </c>
      <c r="B104" s="127">
        <v>2020</v>
      </c>
      <c r="C104" s="127" t="s">
        <v>180</v>
      </c>
      <c r="D104" s="192">
        <f>SUM(D93:D103)</f>
        <v>75.513119408761426</v>
      </c>
      <c r="E104" s="192">
        <f t="shared" ref="E104:Q104" si="38">SUM(E93:E103)</f>
        <v>472.06704477479411</v>
      </c>
      <c r="F104" s="192">
        <f t="shared" si="38"/>
        <v>67.122772807787939</v>
      </c>
      <c r="G104" s="192">
        <f t="shared" si="38"/>
        <v>0</v>
      </c>
      <c r="H104" s="192">
        <f t="shared" si="38"/>
        <v>0</v>
      </c>
      <c r="I104" s="192">
        <f t="shared" si="38"/>
        <v>75.513119408761426</v>
      </c>
      <c r="J104" s="192">
        <f t="shared" si="38"/>
        <v>26.968247440510645</v>
      </c>
      <c r="K104" s="192">
        <f t="shared" si="38"/>
        <v>12105</v>
      </c>
      <c r="L104" s="192">
        <f t="shared" si="38"/>
        <v>885.57259919129569</v>
      </c>
      <c r="M104" s="192">
        <f t="shared" si="38"/>
        <v>0</v>
      </c>
      <c r="N104" s="192">
        <f t="shared" si="38"/>
        <v>94.626657606709401</v>
      </c>
      <c r="O104" s="192">
        <f t="shared" si="38"/>
        <v>0</v>
      </c>
      <c r="P104" s="192">
        <f t="shared" si="38"/>
        <v>94.091020248298577</v>
      </c>
      <c r="Q104" s="192">
        <f t="shared" si="38"/>
        <v>613.95725887587776</v>
      </c>
      <c r="R104" s="1099"/>
      <c r="S104" s="1099"/>
      <c r="T104" s="1099"/>
      <c r="U104" s="1099"/>
      <c r="V104" s="1099"/>
      <c r="W104" s="1099"/>
      <c r="X104" s="1099"/>
      <c r="Y104" s="1099"/>
      <c r="Z104" s="1099"/>
      <c r="AA104" s="1099"/>
      <c r="AB104" s="1099"/>
      <c r="AC104" s="1099"/>
      <c r="AD104" s="1099"/>
      <c r="AE104" s="1099"/>
      <c r="AF104" s="1099"/>
    </row>
    <row r="105" spans="1:32" ht="30" customHeight="1">
      <c r="A105" s="140" t="s">
        <v>100</v>
      </c>
      <c r="B105" s="140" t="s">
        <v>101</v>
      </c>
      <c r="C105" s="140" t="s">
        <v>131</v>
      </c>
      <c r="D105" s="189" t="s">
        <v>881</v>
      </c>
      <c r="E105" s="189" t="s">
        <v>882</v>
      </c>
      <c r="F105" s="189" t="s">
        <v>883</v>
      </c>
      <c r="G105" s="189" t="s">
        <v>884</v>
      </c>
      <c r="H105" s="189" t="s">
        <v>885</v>
      </c>
      <c r="I105" s="189" t="s">
        <v>886</v>
      </c>
      <c r="J105" s="189" t="s">
        <v>887</v>
      </c>
      <c r="K105" s="189" t="s">
        <v>1076</v>
      </c>
      <c r="L105" s="189" t="s">
        <v>1077</v>
      </c>
      <c r="M105" s="189" t="s">
        <v>1078</v>
      </c>
      <c r="N105" s="189" t="s">
        <v>888</v>
      </c>
      <c r="O105" s="189" t="s">
        <v>1079</v>
      </c>
      <c r="P105" s="189" t="s">
        <v>1080</v>
      </c>
      <c r="Q105" s="189" t="s">
        <v>1081</v>
      </c>
      <c r="R105" s="1026" t="s">
        <v>123</v>
      </c>
      <c r="S105" s="1026"/>
      <c r="T105" s="1026"/>
      <c r="U105" s="1026"/>
      <c r="V105" s="1026"/>
      <c r="W105" s="1026"/>
      <c r="X105" s="1026"/>
      <c r="Y105" s="1026"/>
      <c r="Z105" s="1026"/>
      <c r="AA105" s="1026"/>
      <c r="AB105" s="1026"/>
      <c r="AC105" s="1026"/>
      <c r="AD105" s="1026"/>
      <c r="AE105" s="1026"/>
      <c r="AF105" s="1026"/>
    </row>
    <row r="106" spans="1:32">
      <c r="A106" s="138" t="s">
        <v>1082</v>
      </c>
      <c r="B106" s="117">
        <v>2020</v>
      </c>
      <c r="C106" s="117" t="s">
        <v>180</v>
      </c>
      <c r="D106" s="190">
        <f>D104/1000</f>
        <v>7.5513119408761431E-2</v>
      </c>
      <c r="E106" s="190">
        <f t="shared" ref="E106:Q106" si="39">E104/1000</f>
        <v>0.47206704477479411</v>
      </c>
      <c r="F106" s="190">
        <f t="shared" si="39"/>
        <v>6.7122772807787945E-2</v>
      </c>
      <c r="G106" s="190">
        <f t="shared" si="39"/>
        <v>0</v>
      </c>
      <c r="H106" s="190">
        <f t="shared" si="39"/>
        <v>0</v>
      </c>
      <c r="I106" s="190">
        <f t="shared" si="39"/>
        <v>7.5513119408761431E-2</v>
      </c>
      <c r="J106" s="190">
        <f t="shared" si="39"/>
        <v>2.6968247440510646E-2</v>
      </c>
      <c r="K106" s="190">
        <f t="shared" si="39"/>
        <v>12.105</v>
      </c>
      <c r="L106" s="190">
        <f t="shared" si="39"/>
        <v>0.88557259919129572</v>
      </c>
      <c r="M106" s="190">
        <f t="shared" si="39"/>
        <v>0</v>
      </c>
      <c r="N106" s="190">
        <f t="shared" si="39"/>
        <v>9.4626657606709394E-2</v>
      </c>
      <c r="O106" s="190">
        <f t="shared" si="39"/>
        <v>0</v>
      </c>
      <c r="P106" s="190">
        <f t="shared" si="39"/>
        <v>9.4091020248298574E-2</v>
      </c>
      <c r="Q106" s="190">
        <f t="shared" si="39"/>
        <v>0.61395725887587771</v>
      </c>
      <c r="R106" s="1033" t="s">
        <v>1101</v>
      </c>
      <c r="S106" s="1033"/>
      <c r="T106" s="1033"/>
      <c r="U106" s="1033"/>
      <c r="V106" s="1033"/>
      <c r="W106" s="1033"/>
      <c r="X106" s="1033"/>
      <c r="Y106" s="1033"/>
      <c r="Z106" s="1033"/>
      <c r="AA106" s="1033"/>
      <c r="AB106" s="1033"/>
      <c r="AC106" s="1033"/>
      <c r="AD106" s="1033"/>
      <c r="AE106" s="1033"/>
      <c r="AF106" s="1033"/>
    </row>
    <row r="107" spans="1:32" s="375" customFormat="1">
      <c r="A107" s="199" t="s">
        <v>1082</v>
      </c>
      <c r="B107" s="7">
        <v>2016</v>
      </c>
      <c r="C107" s="7"/>
      <c r="D107" s="837"/>
      <c r="E107" s="837"/>
      <c r="F107" s="837"/>
      <c r="G107" s="837"/>
      <c r="H107" s="837"/>
      <c r="I107" s="837"/>
      <c r="J107" s="837"/>
      <c r="K107" s="7">
        <v>18</v>
      </c>
      <c r="L107" s="837"/>
      <c r="M107" s="837"/>
      <c r="N107" s="837"/>
      <c r="O107" s="376"/>
      <c r="P107" s="376"/>
      <c r="Q107" s="376"/>
    </row>
    <row r="108" spans="1:32" s="375" customFormat="1">
      <c r="A108" s="199" t="s">
        <v>1082</v>
      </c>
      <c r="B108" s="7">
        <v>2019</v>
      </c>
      <c r="C108" s="7"/>
      <c r="D108" s="837"/>
      <c r="E108" s="837"/>
      <c r="F108" s="837"/>
      <c r="G108" s="837"/>
      <c r="H108" s="837"/>
      <c r="I108" s="837"/>
      <c r="J108" s="837"/>
      <c r="K108" s="7">
        <v>11.4</v>
      </c>
      <c r="L108" s="837"/>
      <c r="M108" s="837"/>
      <c r="N108" s="837"/>
      <c r="O108" s="376"/>
      <c r="P108" s="376"/>
      <c r="Q108" s="376"/>
    </row>
    <row r="109" spans="1:32" s="375" customFormat="1">
      <c r="A109" s="199" t="s">
        <v>1082</v>
      </c>
      <c r="B109" s="7">
        <v>2021</v>
      </c>
      <c r="C109" s="7"/>
      <c r="D109" s="837"/>
      <c r="E109" s="837"/>
      <c r="F109" s="837"/>
      <c r="G109" s="837"/>
      <c r="H109" s="837"/>
      <c r="I109" s="837"/>
      <c r="J109" s="837"/>
      <c r="K109" s="7">
        <v>10.331</v>
      </c>
      <c r="L109" s="837"/>
      <c r="M109" s="837"/>
      <c r="N109" s="837"/>
      <c r="O109" s="376"/>
      <c r="P109" s="376"/>
      <c r="Q109" s="376"/>
    </row>
    <row r="111" spans="1:32" ht="30" customHeight="1">
      <c r="A111" s="1038" t="s">
        <v>15</v>
      </c>
      <c r="B111" s="1038"/>
      <c r="C111" s="1038"/>
      <c r="D111" s="1038"/>
      <c r="E111" s="1038"/>
      <c r="F111" s="1038"/>
      <c r="G111" s="1038"/>
      <c r="H111" s="1038"/>
      <c r="I111" s="1038"/>
      <c r="J111" s="1038"/>
      <c r="K111" s="1038"/>
      <c r="L111" s="1038"/>
      <c r="M111" s="1038"/>
      <c r="N111" s="1038"/>
      <c r="O111" s="1038"/>
      <c r="P111" s="1038"/>
      <c r="Q111" s="1038"/>
      <c r="R111" s="1038"/>
      <c r="S111" s="1038"/>
      <c r="T111" s="1038"/>
      <c r="U111" s="1038"/>
      <c r="V111" s="1038"/>
      <c r="W111" s="1038"/>
      <c r="X111" s="1038"/>
      <c r="Y111" s="1038"/>
      <c r="Z111" s="1038"/>
      <c r="AA111" s="1038"/>
      <c r="AB111" s="1038"/>
      <c r="AC111" s="1038"/>
      <c r="AD111" s="1038"/>
      <c r="AE111" s="1038"/>
      <c r="AF111" s="1038"/>
    </row>
    <row r="112" spans="1:32" s="25" customFormat="1" ht="30" customHeight="1">
      <c r="A112" s="140" t="s">
        <v>129</v>
      </c>
      <c r="B112" s="1044" t="s">
        <v>130</v>
      </c>
      <c r="C112" s="1046"/>
      <c r="D112" s="140" t="s">
        <v>131</v>
      </c>
      <c r="E112" s="187" t="s">
        <v>85</v>
      </c>
      <c r="F112" s="187" t="s">
        <v>86</v>
      </c>
      <c r="G112" s="187" t="s">
        <v>87</v>
      </c>
      <c r="H112" s="187" t="s">
        <v>88</v>
      </c>
      <c r="I112" s="187" t="s">
        <v>89</v>
      </c>
      <c r="J112" s="187" t="s">
        <v>90</v>
      </c>
      <c r="K112" s="187" t="s">
        <v>91</v>
      </c>
      <c r="L112" s="187" t="s">
        <v>92</v>
      </c>
      <c r="M112" s="187" t="s">
        <v>93</v>
      </c>
      <c r="N112" s="187" t="s">
        <v>94</v>
      </c>
      <c r="O112" s="187" t="s">
        <v>95</v>
      </c>
      <c r="P112" s="187" t="s">
        <v>96</v>
      </c>
      <c r="Q112" s="187" t="s">
        <v>97</v>
      </c>
      <c r="R112" s="187" t="s">
        <v>127</v>
      </c>
      <c r="S112" s="141" t="s">
        <v>123</v>
      </c>
      <c r="T112" s="141"/>
      <c r="U112" s="141"/>
      <c r="V112" s="141"/>
      <c r="W112" s="141"/>
      <c r="X112" s="141"/>
      <c r="Y112" s="141"/>
      <c r="Z112" s="141"/>
      <c r="AA112" s="141"/>
      <c r="AB112" s="141"/>
      <c r="AC112" s="141"/>
      <c r="AD112" s="141"/>
      <c r="AE112" s="141"/>
      <c r="AF112" s="141"/>
    </row>
    <row r="113" spans="1:32">
      <c r="A113" s="142" t="s">
        <v>1082</v>
      </c>
      <c r="B113" s="1054" t="s">
        <v>1033</v>
      </c>
      <c r="C113" s="1054"/>
      <c r="D113" s="117" t="s">
        <v>899</v>
      </c>
      <c r="E113" s="130">
        <f t="shared" ref="E113:R113" si="40">IF(D$104=0, 0,D93/D$104)</f>
        <v>0</v>
      </c>
      <c r="F113" s="130">
        <f t="shared" si="40"/>
        <v>0.27128102999855674</v>
      </c>
      <c r="G113" s="130">
        <f t="shared" si="40"/>
        <v>0</v>
      </c>
      <c r="H113" s="130">
        <f t="shared" si="40"/>
        <v>0</v>
      </c>
      <c r="I113" s="130">
        <f t="shared" si="40"/>
        <v>0</v>
      </c>
      <c r="J113" s="130">
        <f t="shared" si="40"/>
        <v>0</v>
      </c>
      <c r="K113" s="130">
        <f t="shared" si="40"/>
        <v>0</v>
      </c>
      <c r="L113" s="130">
        <f t="shared" si="40"/>
        <v>0</v>
      </c>
      <c r="M113" s="130">
        <f t="shared" si="40"/>
        <v>0.23555374262145426</v>
      </c>
      <c r="N113" s="130">
        <f t="shared" si="40"/>
        <v>0</v>
      </c>
      <c r="O113" s="130">
        <f t="shared" si="40"/>
        <v>5.6605334263949885E-3</v>
      </c>
      <c r="P113" s="130">
        <f t="shared" si="40"/>
        <v>0</v>
      </c>
      <c r="Q113" s="130">
        <f t="shared" si="40"/>
        <v>0</v>
      </c>
      <c r="R113" s="130">
        <f t="shared" si="40"/>
        <v>2.0189518931614638E-3</v>
      </c>
      <c r="S113" s="186"/>
      <c r="T113" s="186"/>
      <c r="U113" s="186"/>
      <c r="V113" s="186"/>
      <c r="W113" s="186"/>
      <c r="X113" s="186"/>
      <c r="Y113" s="186"/>
      <c r="Z113" s="186"/>
      <c r="AA113" s="186"/>
      <c r="AB113" s="186"/>
      <c r="AC113" s="186"/>
      <c r="AD113" s="186"/>
      <c r="AE113" s="186"/>
      <c r="AF113" s="186"/>
    </row>
    <row r="114" spans="1:32">
      <c r="A114" s="142" t="s">
        <v>1082</v>
      </c>
      <c r="B114" s="1054" t="s">
        <v>227</v>
      </c>
      <c r="C114" s="1054"/>
      <c r="D114" s="117" t="s">
        <v>899</v>
      </c>
      <c r="E114" s="130">
        <f t="shared" ref="E114:R114" si="41">IF(D$104=0, 0,D94/D$104)</f>
        <v>0</v>
      </c>
      <c r="F114" s="130">
        <f t="shared" si="41"/>
        <v>0</v>
      </c>
      <c r="G114" s="130">
        <f t="shared" si="41"/>
        <v>0</v>
      </c>
      <c r="H114" s="130">
        <f t="shared" si="41"/>
        <v>0</v>
      </c>
      <c r="I114" s="130">
        <f t="shared" si="41"/>
        <v>0</v>
      </c>
      <c r="J114" s="130">
        <f t="shared" si="41"/>
        <v>0</v>
      </c>
      <c r="K114" s="130">
        <f t="shared" si="41"/>
        <v>0.68888053925336512</v>
      </c>
      <c r="L114" s="130">
        <f t="shared" si="41"/>
        <v>0</v>
      </c>
      <c r="M114" s="130">
        <f t="shared" si="41"/>
        <v>0.67917586906964822</v>
      </c>
      <c r="N114" s="130">
        <f t="shared" si="41"/>
        <v>0</v>
      </c>
      <c r="O114" s="130">
        <f t="shared" si="41"/>
        <v>0.19632840585737768</v>
      </c>
      <c r="P114" s="130">
        <f t="shared" si="41"/>
        <v>0</v>
      </c>
      <c r="Q114" s="130">
        <f t="shared" si="41"/>
        <v>0.19744605585646305</v>
      </c>
      <c r="R114" s="130">
        <f t="shared" si="41"/>
        <v>3.7824092334929553E-4</v>
      </c>
      <c r="S114" s="186"/>
      <c r="T114" s="186"/>
      <c r="U114" s="186"/>
      <c r="V114" s="186"/>
      <c r="W114" s="186"/>
      <c r="X114" s="186"/>
      <c r="Y114" s="186"/>
      <c r="Z114" s="186"/>
      <c r="AA114" s="186"/>
      <c r="AB114" s="186"/>
      <c r="AC114" s="186"/>
      <c r="AD114" s="186"/>
      <c r="AE114" s="186"/>
      <c r="AF114" s="186"/>
    </row>
    <row r="115" spans="1:32">
      <c r="A115" s="142" t="s">
        <v>1082</v>
      </c>
      <c r="B115" s="1054" t="s">
        <v>156</v>
      </c>
      <c r="C115" s="1054"/>
      <c r="D115" s="117" t="s">
        <v>899</v>
      </c>
      <c r="E115" s="130">
        <f t="shared" ref="E115:R115" si="42">IF(D$104=0, 0,D95/D$104)</f>
        <v>0.88888888888888895</v>
      </c>
      <c r="F115" s="130">
        <f t="shared" si="42"/>
        <v>0.14218906731735478</v>
      </c>
      <c r="G115" s="130">
        <f t="shared" si="42"/>
        <v>1</v>
      </c>
      <c r="H115" s="130">
        <f t="shared" si="42"/>
        <v>0</v>
      </c>
      <c r="I115" s="130">
        <f t="shared" si="42"/>
        <v>0</v>
      </c>
      <c r="J115" s="130">
        <f t="shared" si="42"/>
        <v>0.88888888888888895</v>
      </c>
      <c r="K115" s="130">
        <f t="shared" si="42"/>
        <v>0</v>
      </c>
      <c r="L115" s="130">
        <f t="shared" si="42"/>
        <v>0</v>
      </c>
      <c r="M115" s="130">
        <f t="shared" si="42"/>
        <v>7.5795900719019996E-2</v>
      </c>
      <c r="N115" s="130">
        <f t="shared" si="42"/>
        <v>0</v>
      </c>
      <c r="O115" s="130">
        <f t="shared" si="42"/>
        <v>0.70934316508109096</v>
      </c>
      <c r="P115" s="130">
        <f t="shared" si="42"/>
        <v>0</v>
      </c>
      <c r="Q115" s="130">
        <f t="shared" si="42"/>
        <v>0.71338128368314402</v>
      </c>
      <c r="R115" s="130">
        <f t="shared" si="42"/>
        <v>0.3279842619534431</v>
      </c>
      <c r="S115" s="186"/>
      <c r="T115" s="186"/>
      <c r="U115" s="186"/>
      <c r="V115" s="186"/>
      <c r="W115" s="186"/>
      <c r="X115" s="186"/>
      <c r="Y115" s="186"/>
      <c r="Z115" s="186"/>
      <c r="AA115" s="186"/>
      <c r="AB115" s="186"/>
      <c r="AC115" s="186"/>
      <c r="AD115" s="186"/>
      <c r="AE115" s="186"/>
      <c r="AF115" s="186"/>
    </row>
    <row r="116" spans="1:32">
      <c r="A116" s="142" t="s">
        <v>1082</v>
      </c>
      <c r="B116" s="1054" t="s">
        <v>159</v>
      </c>
      <c r="C116" s="1054"/>
      <c r="D116" s="117" t="s">
        <v>899</v>
      </c>
      <c r="E116" s="130">
        <f t="shared" ref="E116:R116" si="43">IF(D$104=0, 0,D96/D$104)</f>
        <v>0</v>
      </c>
      <c r="F116" s="130">
        <f t="shared" si="43"/>
        <v>0.56875626926941902</v>
      </c>
      <c r="G116" s="130">
        <f t="shared" si="43"/>
        <v>0</v>
      </c>
      <c r="H116" s="130">
        <f t="shared" si="43"/>
        <v>0</v>
      </c>
      <c r="I116" s="130">
        <f t="shared" si="43"/>
        <v>0</v>
      </c>
      <c r="J116" s="130">
        <f t="shared" si="43"/>
        <v>0</v>
      </c>
      <c r="K116" s="130">
        <f t="shared" si="43"/>
        <v>0</v>
      </c>
      <c r="L116" s="130">
        <f t="shared" si="43"/>
        <v>0</v>
      </c>
      <c r="M116" s="130">
        <f t="shared" si="43"/>
        <v>0</v>
      </c>
      <c r="N116" s="130">
        <f t="shared" si="43"/>
        <v>0</v>
      </c>
      <c r="O116" s="130">
        <f t="shared" si="43"/>
        <v>0</v>
      </c>
      <c r="P116" s="130">
        <f t="shared" si="43"/>
        <v>0</v>
      </c>
      <c r="Q116" s="130">
        <f t="shared" si="43"/>
        <v>0</v>
      </c>
      <c r="R116" s="130">
        <f t="shared" si="43"/>
        <v>0</v>
      </c>
      <c r="S116" s="186"/>
      <c r="T116" s="186"/>
      <c r="U116" s="186"/>
      <c r="V116" s="186"/>
      <c r="W116" s="186"/>
      <c r="X116" s="186"/>
      <c r="Y116" s="186"/>
      <c r="Z116" s="186"/>
      <c r="AA116" s="186"/>
      <c r="AB116" s="186"/>
      <c r="AC116" s="186"/>
      <c r="AD116" s="186"/>
      <c r="AE116" s="186"/>
      <c r="AF116" s="186"/>
    </row>
    <row r="117" spans="1:32">
      <c r="A117" s="142" t="s">
        <v>1082</v>
      </c>
      <c r="B117" s="1054" t="s">
        <v>160</v>
      </c>
      <c r="C117" s="1054"/>
      <c r="D117" s="117" t="s">
        <v>899</v>
      </c>
      <c r="E117" s="130">
        <f t="shared" ref="E117:R117" si="44">IF(D$104=0, 0,D97/D$104)</f>
        <v>5.5555555555555546E-2</v>
      </c>
      <c r="F117" s="130">
        <f t="shared" si="44"/>
        <v>8.8868167073346722E-3</v>
      </c>
      <c r="G117" s="130">
        <f t="shared" si="44"/>
        <v>0</v>
      </c>
      <c r="H117" s="130">
        <f t="shared" si="44"/>
        <v>0</v>
      </c>
      <c r="I117" s="130">
        <f t="shared" si="44"/>
        <v>0</v>
      </c>
      <c r="J117" s="130">
        <f t="shared" si="44"/>
        <v>5.5555555555555546E-2</v>
      </c>
      <c r="K117" s="130">
        <f t="shared" si="44"/>
        <v>0.1555597303733175</v>
      </c>
      <c r="L117" s="130">
        <f t="shared" si="44"/>
        <v>0</v>
      </c>
      <c r="M117" s="130">
        <f t="shared" si="44"/>
        <v>4.7372437949387489E-3</v>
      </c>
      <c r="N117" s="130">
        <f t="shared" si="44"/>
        <v>0</v>
      </c>
      <c r="O117" s="130">
        <f t="shared" si="44"/>
        <v>4.4333947817568178E-2</v>
      </c>
      <c r="P117" s="130">
        <f t="shared" si="44"/>
        <v>0</v>
      </c>
      <c r="Q117" s="130">
        <f t="shared" si="44"/>
        <v>4.4586330230196494E-2</v>
      </c>
      <c r="R117" s="130">
        <f t="shared" si="44"/>
        <v>6.8330054573633985E-3</v>
      </c>
      <c r="S117" s="186"/>
      <c r="T117" s="186"/>
      <c r="U117" s="186"/>
      <c r="V117" s="186"/>
      <c r="W117" s="186"/>
      <c r="X117" s="186"/>
      <c r="Y117" s="186"/>
      <c r="Z117" s="186"/>
      <c r="AA117" s="186"/>
      <c r="AB117" s="186"/>
      <c r="AC117" s="186"/>
      <c r="AD117" s="186"/>
      <c r="AE117" s="186"/>
      <c r="AF117" s="186"/>
    </row>
    <row r="118" spans="1:32">
      <c r="A118" s="142" t="s">
        <v>1082</v>
      </c>
      <c r="B118" s="1054" t="s">
        <v>161</v>
      </c>
      <c r="C118" s="1054"/>
      <c r="D118" s="117" t="s">
        <v>899</v>
      </c>
      <c r="E118" s="130">
        <f t="shared" ref="E118:R118" si="45">IF(D$104=0, 0,D98/D$104)</f>
        <v>5.5555555555555546E-2</v>
      </c>
      <c r="F118" s="130">
        <f t="shared" si="45"/>
        <v>8.8868167073346722E-3</v>
      </c>
      <c r="G118" s="130">
        <f t="shared" si="45"/>
        <v>0</v>
      </c>
      <c r="H118" s="130">
        <f t="shared" si="45"/>
        <v>0</v>
      </c>
      <c r="I118" s="130">
        <f t="shared" si="45"/>
        <v>0</v>
      </c>
      <c r="J118" s="130">
        <f t="shared" si="45"/>
        <v>5.5555555555555546E-2</v>
      </c>
      <c r="K118" s="130">
        <f t="shared" si="45"/>
        <v>0.1555597303733175</v>
      </c>
      <c r="L118" s="130">
        <f t="shared" si="45"/>
        <v>0</v>
      </c>
      <c r="M118" s="130">
        <f t="shared" si="45"/>
        <v>4.7372437949387489E-3</v>
      </c>
      <c r="N118" s="130">
        <f t="shared" si="45"/>
        <v>0</v>
      </c>
      <c r="O118" s="130">
        <f t="shared" si="45"/>
        <v>4.4333947817568178E-2</v>
      </c>
      <c r="P118" s="130">
        <f t="shared" si="45"/>
        <v>0</v>
      </c>
      <c r="Q118" s="130">
        <f t="shared" si="45"/>
        <v>4.4586330230196494E-2</v>
      </c>
      <c r="R118" s="130">
        <f t="shared" si="45"/>
        <v>6.8330054573633985E-3</v>
      </c>
      <c r="S118" s="186"/>
      <c r="T118" s="186"/>
      <c r="U118" s="186"/>
      <c r="V118" s="186"/>
      <c r="W118" s="186"/>
      <c r="X118" s="186"/>
      <c r="Y118" s="186"/>
      <c r="Z118" s="186"/>
      <c r="AA118" s="186"/>
      <c r="AB118" s="186"/>
      <c r="AC118" s="186"/>
      <c r="AD118" s="186"/>
      <c r="AE118" s="186"/>
      <c r="AF118" s="186"/>
    </row>
    <row r="119" spans="1:32">
      <c r="A119" s="142" t="s">
        <v>1082</v>
      </c>
      <c r="B119" s="1054" t="s">
        <v>307</v>
      </c>
      <c r="C119" s="1054"/>
      <c r="D119" s="117" t="s">
        <v>899</v>
      </c>
      <c r="E119" s="130">
        <f t="shared" ref="E119:R119" si="46">IF(D$104=0, 0,D99/D$104)</f>
        <v>0</v>
      </c>
      <c r="F119" s="130">
        <f t="shared" si="46"/>
        <v>0</v>
      </c>
      <c r="G119" s="130">
        <f t="shared" si="46"/>
        <v>0</v>
      </c>
      <c r="H119" s="130">
        <f t="shared" si="46"/>
        <v>0</v>
      </c>
      <c r="I119" s="130">
        <f t="shared" si="46"/>
        <v>0</v>
      </c>
      <c r="J119" s="130">
        <f t="shared" si="46"/>
        <v>0</v>
      </c>
      <c r="K119" s="130">
        <f t="shared" si="46"/>
        <v>0</v>
      </c>
      <c r="L119" s="130">
        <f t="shared" si="46"/>
        <v>0</v>
      </c>
      <c r="M119" s="130">
        <f t="shared" si="46"/>
        <v>0</v>
      </c>
      <c r="N119" s="130">
        <f t="shared" si="46"/>
        <v>0</v>
      </c>
      <c r="O119" s="130">
        <f t="shared" si="46"/>
        <v>0</v>
      </c>
      <c r="P119" s="130">
        <f t="shared" si="46"/>
        <v>0</v>
      </c>
      <c r="Q119" s="130">
        <f t="shared" si="46"/>
        <v>0</v>
      </c>
      <c r="R119" s="130">
        <f t="shared" si="46"/>
        <v>6.6532165485482164E-3</v>
      </c>
      <c r="S119" s="186"/>
      <c r="T119" s="186"/>
      <c r="U119" s="186"/>
      <c r="V119" s="186"/>
      <c r="W119" s="186"/>
      <c r="X119" s="186"/>
      <c r="Y119" s="186"/>
      <c r="Z119" s="186"/>
      <c r="AA119" s="186"/>
      <c r="AB119" s="186"/>
      <c r="AC119" s="186"/>
      <c r="AD119" s="186"/>
      <c r="AE119" s="186"/>
      <c r="AF119" s="186"/>
    </row>
    <row r="120" spans="1:32">
      <c r="A120" s="142" t="s">
        <v>1082</v>
      </c>
      <c r="B120" s="1054" t="s">
        <v>331</v>
      </c>
      <c r="C120" s="1054"/>
      <c r="D120" s="117" t="s">
        <v>899</v>
      </c>
      <c r="E120" s="130">
        <f t="shared" ref="E120:R120" si="47">IF(D$104=0, 0,D100/D$104)</f>
        <v>0</v>
      </c>
      <c r="F120" s="130">
        <f t="shared" si="47"/>
        <v>0</v>
      </c>
      <c r="G120" s="130">
        <f t="shared" si="47"/>
        <v>0</v>
      </c>
      <c r="H120" s="130">
        <f t="shared" si="47"/>
        <v>0</v>
      </c>
      <c r="I120" s="130">
        <f t="shared" si="47"/>
        <v>0</v>
      </c>
      <c r="J120" s="130">
        <f t="shared" si="47"/>
        <v>0</v>
      </c>
      <c r="K120" s="130">
        <f t="shared" si="47"/>
        <v>0</v>
      </c>
      <c r="L120" s="130">
        <f t="shared" si="47"/>
        <v>0</v>
      </c>
      <c r="M120" s="130">
        <f t="shared" si="47"/>
        <v>0</v>
      </c>
      <c r="N120" s="130">
        <f t="shared" si="47"/>
        <v>0</v>
      </c>
      <c r="O120" s="130">
        <f t="shared" si="47"/>
        <v>0</v>
      </c>
      <c r="P120" s="130">
        <f t="shared" si="47"/>
        <v>0</v>
      </c>
      <c r="Q120" s="130">
        <f t="shared" si="47"/>
        <v>0</v>
      </c>
      <c r="R120" s="130">
        <f t="shared" si="47"/>
        <v>0.14573018486415787</v>
      </c>
      <c r="S120" s="186"/>
      <c r="T120" s="186"/>
      <c r="U120" s="186"/>
      <c r="V120" s="186"/>
      <c r="W120" s="186"/>
      <c r="X120" s="186"/>
      <c r="Y120" s="186"/>
      <c r="Z120" s="186"/>
      <c r="AA120" s="186"/>
      <c r="AB120" s="186"/>
      <c r="AC120" s="186"/>
      <c r="AD120" s="186"/>
      <c r="AE120" s="186"/>
      <c r="AF120" s="186"/>
    </row>
    <row r="121" spans="1:32">
      <c r="A121" s="142" t="s">
        <v>1082</v>
      </c>
      <c r="B121" s="1054" t="s">
        <v>268</v>
      </c>
      <c r="C121" s="1054"/>
      <c r="D121" s="117" t="s">
        <v>899</v>
      </c>
      <c r="E121" s="130">
        <f t="shared" ref="E121:R121" si="48">IF(D$104=0, 0,D101/D$104)</f>
        <v>0</v>
      </c>
      <c r="F121" s="130">
        <f t="shared" si="48"/>
        <v>0</v>
      </c>
      <c r="G121" s="130">
        <f t="shared" si="48"/>
        <v>0</v>
      </c>
      <c r="H121" s="130">
        <f t="shared" si="48"/>
        <v>0</v>
      </c>
      <c r="I121" s="130">
        <f t="shared" si="48"/>
        <v>0</v>
      </c>
      <c r="J121" s="130">
        <f t="shared" si="48"/>
        <v>0</v>
      </c>
      <c r="K121" s="130">
        <f t="shared" si="48"/>
        <v>0</v>
      </c>
      <c r="L121" s="130">
        <f t="shared" si="48"/>
        <v>0</v>
      </c>
      <c r="M121" s="130">
        <f t="shared" si="48"/>
        <v>0</v>
      </c>
      <c r="N121" s="130">
        <f t="shared" si="48"/>
        <v>0</v>
      </c>
      <c r="O121" s="130">
        <f t="shared" si="48"/>
        <v>0</v>
      </c>
      <c r="P121" s="130">
        <f t="shared" si="48"/>
        <v>0</v>
      </c>
      <c r="Q121" s="130">
        <f t="shared" si="48"/>
        <v>0</v>
      </c>
      <c r="R121" s="130">
        <f t="shared" si="48"/>
        <v>0.14573018486415787</v>
      </c>
      <c r="S121" s="186"/>
      <c r="T121" s="186"/>
      <c r="U121" s="186"/>
      <c r="V121" s="186"/>
      <c r="W121" s="186"/>
      <c r="X121" s="186"/>
      <c r="Y121" s="186"/>
      <c r="Z121" s="186"/>
      <c r="AA121" s="186"/>
      <c r="AB121" s="186"/>
      <c r="AC121" s="186"/>
      <c r="AD121" s="186"/>
      <c r="AE121" s="186"/>
      <c r="AF121" s="186"/>
    </row>
    <row r="122" spans="1:32">
      <c r="A122" s="142" t="s">
        <v>1082</v>
      </c>
      <c r="B122" s="1054" t="s">
        <v>355</v>
      </c>
      <c r="C122" s="1054"/>
      <c r="D122" s="117" t="s">
        <v>899</v>
      </c>
      <c r="E122" s="130">
        <f t="shared" ref="E122:R122" si="49">IF(D$104=0, 0,D102/D$104)</f>
        <v>0</v>
      </c>
      <c r="F122" s="130">
        <f t="shared" si="49"/>
        <v>0</v>
      </c>
      <c r="G122" s="130">
        <f t="shared" si="49"/>
        <v>0</v>
      </c>
      <c r="H122" s="130">
        <f t="shared" si="49"/>
        <v>0</v>
      </c>
      <c r="I122" s="130">
        <f t="shared" si="49"/>
        <v>0</v>
      </c>
      <c r="J122" s="130">
        <f t="shared" si="49"/>
        <v>0</v>
      </c>
      <c r="K122" s="130">
        <f t="shared" si="49"/>
        <v>0</v>
      </c>
      <c r="L122" s="130">
        <f t="shared" si="49"/>
        <v>0</v>
      </c>
      <c r="M122" s="130">
        <f t="shared" si="49"/>
        <v>0</v>
      </c>
      <c r="N122" s="130">
        <f t="shared" si="49"/>
        <v>0</v>
      </c>
      <c r="O122" s="130">
        <f t="shared" si="49"/>
        <v>0</v>
      </c>
      <c r="P122" s="130">
        <f t="shared" si="49"/>
        <v>0</v>
      </c>
      <c r="Q122" s="130">
        <f t="shared" si="49"/>
        <v>0</v>
      </c>
      <c r="R122" s="130">
        <f t="shared" si="49"/>
        <v>0.3578389480384554</v>
      </c>
      <c r="S122" s="186"/>
      <c r="T122" s="186"/>
      <c r="U122" s="186"/>
      <c r="V122" s="186"/>
      <c r="W122" s="186"/>
      <c r="X122" s="186"/>
      <c r="Y122" s="186"/>
      <c r="Z122" s="186"/>
      <c r="AA122" s="186"/>
      <c r="AB122" s="186"/>
      <c r="AC122" s="186"/>
      <c r="AD122" s="186"/>
      <c r="AE122" s="186"/>
      <c r="AF122" s="186"/>
    </row>
    <row r="123" spans="1:32">
      <c r="A123" s="142" t="s">
        <v>1082</v>
      </c>
      <c r="B123" s="1054" t="s">
        <v>302</v>
      </c>
      <c r="C123" s="1054"/>
      <c r="D123" s="117" t="s">
        <v>899</v>
      </c>
      <c r="E123" s="130">
        <f t="shared" ref="E123:R123" si="50">IF(D$104=0, 0,D103/D$104)</f>
        <v>0</v>
      </c>
      <c r="F123" s="130">
        <f t="shared" si="50"/>
        <v>0</v>
      </c>
      <c r="G123" s="130">
        <f t="shared" si="50"/>
        <v>0</v>
      </c>
      <c r="H123" s="130">
        <f t="shared" si="50"/>
        <v>0</v>
      </c>
      <c r="I123" s="130">
        <f t="shared" si="50"/>
        <v>0</v>
      </c>
      <c r="J123" s="130">
        <f t="shared" si="50"/>
        <v>0</v>
      </c>
      <c r="K123" s="130">
        <f t="shared" si="50"/>
        <v>0</v>
      </c>
      <c r="L123" s="130">
        <f t="shared" si="50"/>
        <v>1</v>
      </c>
      <c r="M123" s="130">
        <f t="shared" si="50"/>
        <v>0</v>
      </c>
      <c r="N123" s="130">
        <f t="shared" si="50"/>
        <v>0</v>
      </c>
      <c r="O123" s="130">
        <f t="shared" si="50"/>
        <v>0</v>
      </c>
      <c r="P123" s="130">
        <f t="shared" si="50"/>
        <v>0</v>
      </c>
      <c r="Q123" s="130">
        <f t="shared" si="50"/>
        <v>0</v>
      </c>
      <c r="R123" s="130">
        <f t="shared" si="50"/>
        <v>0</v>
      </c>
      <c r="S123" s="186"/>
      <c r="T123" s="186"/>
      <c r="U123" s="186"/>
      <c r="V123" s="186"/>
      <c r="W123" s="186"/>
      <c r="X123" s="186"/>
      <c r="Y123" s="186"/>
      <c r="Z123" s="186"/>
      <c r="AA123" s="186"/>
      <c r="AB123" s="186"/>
      <c r="AC123" s="186"/>
      <c r="AD123" s="186"/>
      <c r="AE123" s="186"/>
      <c r="AF123" s="186"/>
    </row>
    <row r="124" spans="1:32">
      <c r="A124" s="1097" t="s">
        <v>893</v>
      </c>
      <c r="B124" s="1098"/>
      <c r="C124" s="1098"/>
      <c r="D124" s="1098"/>
      <c r="E124" s="1098"/>
      <c r="F124" s="1098"/>
      <c r="G124" s="1098"/>
      <c r="H124" s="1098"/>
      <c r="I124" s="1098"/>
      <c r="J124" s="1098"/>
      <c r="K124" s="1098"/>
      <c r="L124" s="1098"/>
      <c r="M124" s="1098"/>
      <c r="N124" s="1098"/>
      <c r="O124" s="1098"/>
      <c r="P124" s="1098"/>
      <c r="Q124" s="1098"/>
      <c r="R124" s="1098"/>
      <c r="S124" s="1098"/>
      <c r="T124" s="1098"/>
      <c r="U124" s="1098"/>
      <c r="V124" s="1098"/>
      <c r="W124" s="1098"/>
      <c r="X124" s="1098"/>
      <c r="Y124" s="1098"/>
      <c r="Z124" s="1098"/>
      <c r="AA124" s="1098"/>
      <c r="AB124" s="1098"/>
      <c r="AC124" s="1098"/>
      <c r="AD124" s="1098"/>
      <c r="AE124" s="1098"/>
      <c r="AF124" s="1098"/>
    </row>
    <row r="125" spans="1:32" ht="15" customHeight="1">
      <c r="A125" s="140" t="s">
        <v>129</v>
      </c>
      <c r="B125" s="1030" t="s">
        <v>1082</v>
      </c>
      <c r="C125" s="1047"/>
      <c r="D125" s="1030" t="s">
        <v>1082</v>
      </c>
      <c r="E125" s="1047"/>
      <c r="F125" s="1030" t="s">
        <v>1082</v>
      </c>
      <c r="G125" s="1047"/>
      <c r="H125" s="1030" t="s">
        <v>1082</v>
      </c>
      <c r="I125" s="1047"/>
      <c r="J125" s="1030" t="s">
        <v>1082</v>
      </c>
      <c r="K125" s="1047"/>
      <c r="L125" s="1030" t="s">
        <v>1082</v>
      </c>
      <c r="M125" s="1047"/>
      <c r="N125" s="1030" t="s">
        <v>1082</v>
      </c>
      <c r="O125" s="1047"/>
      <c r="P125" s="1030" t="s">
        <v>1082</v>
      </c>
      <c r="Q125" s="1047"/>
      <c r="R125" s="1030" t="s">
        <v>1082</v>
      </c>
      <c r="S125" s="1047"/>
      <c r="T125" s="1030" t="s">
        <v>1082</v>
      </c>
      <c r="U125" s="1047"/>
      <c r="V125" s="1030" t="s">
        <v>1082</v>
      </c>
      <c r="W125" s="1047"/>
      <c r="X125" s="140"/>
      <c r="Y125" s="140"/>
      <c r="Z125" s="140"/>
      <c r="AA125" s="140"/>
      <c r="AB125" s="140"/>
      <c r="AC125" s="140"/>
      <c r="AD125" s="140"/>
      <c r="AE125" s="140"/>
      <c r="AF125" s="140"/>
    </row>
    <row r="126" spans="1:32" ht="15" customHeight="1">
      <c r="A126" s="140" t="s">
        <v>130</v>
      </c>
      <c r="B126" s="1026" t="s">
        <v>347</v>
      </c>
      <c r="C126" s="1026"/>
      <c r="D126" s="1026" t="s">
        <v>227</v>
      </c>
      <c r="E126" s="1026"/>
      <c r="F126" s="1026" t="s">
        <v>156</v>
      </c>
      <c r="G126" s="1026"/>
      <c r="H126" s="1026" t="s">
        <v>159</v>
      </c>
      <c r="I126" s="1026"/>
      <c r="J126" s="1026" t="s">
        <v>160</v>
      </c>
      <c r="K126" s="1026"/>
      <c r="L126" s="1026" t="s">
        <v>161</v>
      </c>
      <c r="M126" s="1026"/>
      <c r="N126" s="1026" t="s">
        <v>307</v>
      </c>
      <c r="O126" s="1026"/>
      <c r="P126" s="1026" t="s">
        <v>331</v>
      </c>
      <c r="Q126" s="1026"/>
      <c r="R126" s="1026" t="s">
        <v>268</v>
      </c>
      <c r="S126" s="1026"/>
      <c r="T126" s="1026" t="s">
        <v>355</v>
      </c>
      <c r="U126" s="1026"/>
      <c r="V126" s="1026" t="s">
        <v>302</v>
      </c>
      <c r="W126" s="1026"/>
      <c r="X126" s="1026" t="s">
        <v>123</v>
      </c>
      <c r="Y126" s="1026"/>
      <c r="Z126" s="1026"/>
      <c r="AA126" s="1026"/>
      <c r="AB126" s="1026"/>
      <c r="AC126" s="1026"/>
      <c r="AD126" s="1026"/>
      <c r="AE126" s="1026"/>
      <c r="AF126" s="1026"/>
    </row>
    <row r="127" spans="1:32">
      <c r="A127" s="142" t="s">
        <v>85</v>
      </c>
      <c r="B127" s="1096">
        <f>E113</f>
        <v>0</v>
      </c>
      <c r="C127" s="1096"/>
      <c r="D127" s="1096">
        <f>E114</f>
        <v>0</v>
      </c>
      <c r="E127" s="1096"/>
      <c r="F127" s="1096">
        <f>E115</f>
        <v>0.88888888888888895</v>
      </c>
      <c r="G127" s="1096"/>
      <c r="H127" s="1096">
        <f>E116</f>
        <v>0</v>
      </c>
      <c r="I127" s="1096"/>
      <c r="J127" s="1096">
        <f>E117</f>
        <v>5.5555555555555546E-2</v>
      </c>
      <c r="K127" s="1096"/>
      <c r="L127" s="1096">
        <f>E118</f>
        <v>5.5555555555555546E-2</v>
      </c>
      <c r="M127" s="1096"/>
      <c r="N127" s="1096">
        <f>E119</f>
        <v>0</v>
      </c>
      <c r="O127" s="1096"/>
      <c r="P127" s="1096">
        <f>E120</f>
        <v>0</v>
      </c>
      <c r="Q127" s="1096"/>
      <c r="R127" s="1096">
        <f>E121</f>
        <v>0</v>
      </c>
      <c r="S127" s="1096"/>
      <c r="T127" s="1096">
        <f>E122</f>
        <v>0</v>
      </c>
      <c r="U127" s="1096"/>
      <c r="V127" s="1096">
        <f>E123</f>
        <v>0</v>
      </c>
      <c r="W127" s="1096"/>
      <c r="X127" s="1033" t="s">
        <v>1102</v>
      </c>
      <c r="Y127" s="1033"/>
      <c r="Z127" s="1033"/>
      <c r="AA127" s="1033"/>
      <c r="AB127" s="1033"/>
      <c r="AC127" s="1033"/>
      <c r="AD127" s="1033"/>
      <c r="AE127" s="1033"/>
      <c r="AF127" s="1033"/>
    </row>
    <row r="128" spans="1:32">
      <c r="A128" s="142" t="s">
        <v>86</v>
      </c>
      <c r="B128" s="1096">
        <f>F113</f>
        <v>0.27128102999855674</v>
      </c>
      <c r="C128" s="1096"/>
      <c r="D128" s="1096">
        <f>F114</f>
        <v>0</v>
      </c>
      <c r="E128" s="1096"/>
      <c r="F128" s="1096">
        <f>F115</f>
        <v>0.14218906731735478</v>
      </c>
      <c r="G128" s="1096"/>
      <c r="H128" s="1096">
        <f>F116</f>
        <v>0.56875626926941902</v>
      </c>
      <c r="I128" s="1096"/>
      <c r="J128" s="1096">
        <f>F117</f>
        <v>8.8868167073346722E-3</v>
      </c>
      <c r="K128" s="1096"/>
      <c r="L128" s="1096">
        <f>F118</f>
        <v>8.8868167073346722E-3</v>
      </c>
      <c r="M128" s="1096"/>
      <c r="N128" s="1096">
        <f>F119</f>
        <v>0</v>
      </c>
      <c r="O128" s="1096"/>
      <c r="P128" s="1096">
        <f>F120</f>
        <v>0</v>
      </c>
      <c r="Q128" s="1096"/>
      <c r="R128" s="1096">
        <f>F121</f>
        <v>0</v>
      </c>
      <c r="S128" s="1096"/>
      <c r="T128" s="1096">
        <f>F122</f>
        <v>0</v>
      </c>
      <c r="U128" s="1096"/>
      <c r="V128" s="1096">
        <f>F123</f>
        <v>0</v>
      </c>
      <c r="W128" s="1096"/>
      <c r="X128" s="1033" t="s">
        <v>1102</v>
      </c>
      <c r="Y128" s="1033"/>
      <c r="Z128" s="1033"/>
      <c r="AA128" s="1033"/>
      <c r="AB128" s="1033"/>
      <c r="AC128" s="1033"/>
      <c r="AD128" s="1033"/>
      <c r="AE128" s="1033"/>
      <c r="AF128" s="1033"/>
    </row>
    <row r="129" spans="1:32">
      <c r="A129" s="142" t="s">
        <v>87</v>
      </c>
      <c r="B129" s="1096">
        <f>G113</f>
        <v>0</v>
      </c>
      <c r="C129" s="1096"/>
      <c r="D129" s="1096">
        <f>G114</f>
        <v>0</v>
      </c>
      <c r="E129" s="1096"/>
      <c r="F129" s="1096">
        <f>G115</f>
        <v>1</v>
      </c>
      <c r="G129" s="1096"/>
      <c r="H129" s="1096">
        <f>G116</f>
        <v>0</v>
      </c>
      <c r="I129" s="1096"/>
      <c r="J129" s="1096">
        <f>G117</f>
        <v>0</v>
      </c>
      <c r="K129" s="1096"/>
      <c r="L129" s="1096">
        <f>G118</f>
        <v>0</v>
      </c>
      <c r="M129" s="1096"/>
      <c r="N129" s="1096">
        <f>G119</f>
        <v>0</v>
      </c>
      <c r="O129" s="1096"/>
      <c r="P129" s="1096">
        <f>G120</f>
        <v>0</v>
      </c>
      <c r="Q129" s="1096"/>
      <c r="R129" s="1096">
        <f>G121</f>
        <v>0</v>
      </c>
      <c r="S129" s="1096"/>
      <c r="T129" s="1096">
        <f>G122</f>
        <v>0</v>
      </c>
      <c r="U129" s="1096"/>
      <c r="V129" s="1096">
        <f>G123</f>
        <v>0</v>
      </c>
      <c r="W129" s="1096"/>
      <c r="X129" s="1033" t="s">
        <v>1102</v>
      </c>
      <c r="Y129" s="1033"/>
      <c r="Z129" s="1033"/>
      <c r="AA129" s="1033"/>
      <c r="AB129" s="1033"/>
      <c r="AC129" s="1033"/>
      <c r="AD129" s="1033"/>
      <c r="AE129" s="1033"/>
      <c r="AF129" s="1033"/>
    </row>
    <row r="130" spans="1:32">
      <c r="A130" s="142" t="s">
        <v>88</v>
      </c>
      <c r="B130" s="1096">
        <f>H113</f>
        <v>0</v>
      </c>
      <c r="C130" s="1096"/>
      <c r="D130" s="1096">
        <f>H114</f>
        <v>0</v>
      </c>
      <c r="E130" s="1096"/>
      <c r="F130" s="1096">
        <f>H115</f>
        <v>0</v>
      </c>
      <c r="G130" s="1096"/>
      <c r="H130" s="1096">
        <f>H116</f>
        <v>0</v>
      </c>
      <c r="I130" s="1096"/>
      <c r="J130" s="1096">
        <f>H117</f>
        <v>0</v>
      </c>
      <c r="K130" s="1096"/>
      <c r="L130" s="1096">
        <f>H118</f>
        <v>0</v>
      </c>
      <c r="M130" s="1096"/>
      <c r="N130" s="1096">
        <f>H119</f>
        <v>0</v>
      </c>
      <c r="O130" s="1096"/>
      <c r="P130" s="1096">
        <f>H120</f>
        <v>0</v>
      </c>
      <c r="Q130" s="1096"/>
      <c r="R130" s="1096">
        <f>H121</f>
        <v>0</v>
      </c>
      <c r="S130" s="1096"/>
      <c r="T130" s="1096">
        <f>H122</f>
        <v>0</v>
      </c>
      <c r="U130" s="1096"/>
      <c r="V130" s="1096">
        <f>H123</f>
        <v>0</v>
      </c>
      <c r="W130" s="1096"/>
      <c r="X130" s="1033" t="s">
        <v>1102</v>
      </c>
      <c r="Y130" s="1033"/>
      <c r="Z130" s="1033"/>
      <c r="AA130" s="1033"/>
      <c r="AB130" s="1033"/>
      <c r="AC130" s="1033"/>
      <c r="AD130" s="1033"/>
      <c r="AE130" s="1033"/>
      <c r="AF130" s="1033"/>
    </row>
    <row r="131" spans="1:32">
      <c r="A131" s="142" t="s">
        <v>89</v>
      </c>
      <c r="B131" s="1096">
        <f>I113</f>
        <v>0</v>
      </c>
      <c r="C131" s="1096"/>
      <c r="D131" s="1096">
        <f>I114</f>
        <v>0</v>
      </c>
      <c r="E131" s="1096"/>
      <c r="F131" s="1096">
        <f>I115</f>
        <v>0</v>
      </c>
      <c r="G131" s="1096"/>
      <c r="H131" s="1096">
        <f>I116</f>
        <v>0</v>
      </c>
      <c r="I131" s="1096"/>
      <c r="J131" s="1096">
        <f>I117</f>
        <v>0</v>
      </c>
      <c r="K131" s="1096"/>
      <c r="L131" s="1096">
        <f>I118</f>
        <v>0</v>
      </c>
      <c r="M131" s="1096"/>
      <c r="N131" s="1096">
        <f>I119</f>
        <v>0</v>
      </c>
      <c r="O131" s="1096"/>
      <c r="P131" s="1096">
        <f>I120</f>
        <v>0</v>
      </c>
      <c r="Q131" s="1096"/>
      <c r="R131" s="1096">
        <f>I121</f>
        <v>0</v>
      </c>
      <c r="S131" s="1096"/>
      <c r="T131" s="1096">
        <f>I122</f>
        <v>0</v>
      </c>
      <c r="U131" s="1096"/>
      <c r="V131" s="1096">
        <f>I123</f>
        <v>0</v>
      </c>
      <c r="W131" s="1096"/>
      <c r="X131" s="1033" t="s">
        <v>1102</v>
      </c>
      <c r="Y131" s="1033"/>
      <c r="Z131" s="1033"/>
      <c r="AA131" s="1033"/>
      <c r="AB131" s="1033"/>
      <c r="AC131" s="1033"/>
      <c r="AD131" s="1033"/>
      <c r="AE131" s="1033"/>
      <c r="AF131" s="1033"/>
    </row>
    <row r="132" spans="1:32">
      <c r="A132" s="142" t="s">
        <v>90</v>
      </c>
      <c r="B132" s="1096">
        <f>J113</f>
        <v>0</v>
      </c>
      <c r="C132" s="1096"/>
      <c r="D132" s="1096">
        <f>J114</f>
        <v>0</v>
      </c>
      <c r="E132" s="1096"/>
      <c r="F132" s="1096">
        <f>J115</f>
        <v>0.88888888888888895</v>
      </c>
      <c r="G132" s="1096"/>
      <c r="H132" s="1096">
        <f>J116</f>
        <v>0</v>
      </c>
      <c r="I132" s="1096"/>
      <c r="J132" s="1096">
        <f>J117</f>
        <v>5.5555555555555546E-2</v>
      </c>
      <c r="K132" s="1096"/>
      <c r="L132" s="1096">
        <f>J118</f>
        <v>5.5555555555555546E-2</v>
      </c>
      <c r="M132" s="1096"/>
      <c r="N132" s="1096">
        <f>J119</f>
        <v>0</v>
      </c>
      <c r="O132" s="1096"/>
      <c r="P132" s="1096">
        <f>J120</f>
        <v>0</v>
      </c>
      <c r="Q132" s="1096"/>
      <c r="R132" s="1096">
        <f>J121</f>
        <v>0</v>
      </c>
      <c r="S132" s="1096"/>
      <c r="T132" s="1096">
        <f>J122</f>
        <v>0</v>
      </c>
      <c r="U132" s="1096"/>
      <c r="V132" s="1096">
        <f>J123</f>
        <v>0</v>
      </c>
      <c r="W132" s="1096"/>
      <c r="X132" s="1033" t="s">
        <v>1102</v>
      </c>
      <c r="Y132" s="1033"/>
      <c r="Z132" s="1033"/>
      <c r="AA132" s="1033"/>
      <c r="AB132" s="1033"/>
      <c r="AC132" s="1033"/>
      <c r="AD132" s="1033"/>
      <c r="AE132" s="1033"/>
      <c r="AF132" s="1033"/>
    </row>
    <row r="133" spans="1:32">
      <c r="A133" s="142" t="s">
        <v>91</v>
      </c>
      <c r="B133" s="1096">
        <f>K113</f>
        <v>0</v>
      </c>
      <c r="C133" s="1096"/>
      <c r="D133" s="1096">
        <f>K114</f>
        <v>0.68888053925336512</v>
      </c>
      <c r="E133" s="1096"/>
      <c r="F133" s="1096">
        <f>K115</f>
        <v>0</v>
      </c>
      <c r="G133" s="1096"/>
      <c r="H133" s="1096">
        <f>K116</f>
        <v>0</v>
      </c>
      <c r="I133" s="1096"/>
      <c r="J133" s="1096">
        <f>K117</f>
        <v>0.1555597303733175</v>
      </c>
      <c r="K133" s="1096"/>
      <c r="L133" s="1096">
        <f>K118</f>
        <v>0.1555597303733175</v>
      </c>
      <c r="M133" s="1096"/>
      <c r="N133" s="1096">
        <f>K119</f>
        <v>0</v>
      </c>
      <c r="O133" s="1096"/>
      <c r="P133" s="1096">
        <f>K120</f>
        <v>0</v>
      </c>
      <c r="Q133" s="1096"/>
      <c r="R133" s="1096">
        <f>K121</f>
        <v>0</v>
      </c>
      <c r="S133" s="1096"/>
      <c r="T133" s="1096">
        <f>K122</f>
        <v>0</v>
      </c>
      <c r="U133" s="1096"/>
      <c r="V133" s="1096">
        <f>K123</f>
        <v>0</v>
      </c>
      <c r="W133" s="1096"/>
      <c r="X133" s="1033" t="s">
        <v>1102</v>
      </c>
      <c r="Y133" s="1033"/>
      <c r="Z133" s="1033"/>
      <c r="AA133" s="1033"/>
      <c r="AB133" s="1033"/>
      <c r="AC133" s="1033"/>
      <c r="AD133" s="1033"/>
      <c r="AE133" s="1033"/>
      <c r="AF133" s="1033"/>
    </row>
    <row r="134" spans="1:32">
      <c r="A134" s="142" t="s">
        <v>92</v>
      </c>
      <c r="B134" s="1096">
        <f>L113</f>
        <v>0</v>
      </c>
      <c r="C134" s="1096"/>
      <c r="D134" s="1096">
        <f>L114</f>
        <v>0</v>
      </c>
      <c r="E134" s="1096"/>
      <c r="F134" s="1096">
        <f>L115</f>
        <v>0</v>
      </c>
      <c r="G134" s="1096"/>
      <c r="H134" s="1096">
        <f>L116</f>
        <v>0</v>
      </c>
      <c r="I134" s="1096"/>
      <c r="J134" s="1096">
        <f>L117</f>
        <v>0</v>
      </c>
      <c r="K134" s="1096"/>
      <c r="L134" s="1096">
        <f>L118</f>
        <v>0</v>
      </c>
      <c r="M134" s="1096"/>
      <c r="N134" s="1096">
        <f>L119</f>
        <v>0</v>
      </c>
      <c r="O134" s="1096"/>
      <c r="P134" s="1096">
        <f>L120</f>
        <v>0</v>
      </c>
      <c r="Q134" s="1096"/>
      <c r="R134" s="1096">
        <f>L121</f>
        <v>0</v>
      </c>
      <c r="S134" s="1096"/>
      <c r="T134" s="1096">
        <f>L122</f>
        <v>0</v>
      </c>
      <c r="U134" s="1096"/>
      <c r="V134" s="1096">
        <f>L123</f>
        <v>1</v>
      </c>
      <c r="W134" s="1096"/>
      <c r="X134" s="1033" t="s">
        <v>1102</v>
      </c>
      <c r="Y134" s="1033"/>
      <c r="Z134" s="1033"/>
      <c r="AA134" s="1033"/>
      <c r="AB134" s="1033"/>
      <c r="AC134" s="1033"/>
      <c r="AD134" s="1033"/>
      <c r="AE134" s="1033"/>
      <c r="AF134" s="1033"/>
    </row>
    <row r="135" spans="1:32">
      <c r="A135" s="142" t="s">
        <v>93</v>
      </c>
      <c r="B135" s="1096">
        <f>M113</f>
        <v>0.23555374262145426</v>
      </c>
      <c r="C135" s="1096"/>
      <c r="D135" s="1096">
        <f>M114</f>
        <v>0.67917586906964822</v>
      </c>
      <c r="E135" s="1096"/>
      <c r="F135" s="1096">
        <f>M115</f>
        <v>7.5795900719019996E-2</v>
      </c>
      <c r="G135" s="1096"/>
      <c r="H135" s="1096">
        <f>M116</f>
        <v>0</v>
      </c>
      <c r="I135" s="1096"/>
      <c r="J135" s="1096">
        <f>M117</f>
        <v>4.7372437949387489E-3</v>
      </c>
      <c r="K135" s="1096"/>
      <c r="L135" s="1096">
        <f>M118</f>
        <v>4.7372437949387489E-3</v>
      </c>
      <c r="M135" s="1096"/>
      <c r="N135" s="1096">
        <f>M119</f>
        <v>0</v>
      </c>
      <c r="O135" s="1096"/>
      <c r="P135" s="1096">
        <f>M120</f>
        <v>0</v>
      </c>
      <c r="Q135" s="1096"/>
      <c r="R135" s="1096">
        <f>M121</f>
        <v>0</v>
      </c>
      <c r="S135" s="1096"/>
      <c r="T135" s="1096">
        <f>M122</f>
        <v>0</v>
      </c>
      <c r="U135" s="1096"/>
      <c r="V135" s="1096">
        <f>M123</f>
        <v>0</v>
      </c>
      <c r="W135" s="1096"/>
      <c r="X135" s="1033" t="s">
        <v>1102</v>
      </c>
      <c r="Y135" s="1033"/>
      <c r="Z135" s="1033"/>
      <c r="AA135" s="1033"/>
      <c r="AB135" s="1033"/>
      <c r="AC135" s="1033"/>
      <c r="AD135" s="1033"/>
      <c r="AE135" s="1033"/>
      <c r="AF135" s="1033"/>
    </row>
    <row r="136" spans="1:32">
      <c r="A136" s="142" t="s">
        <v>94</v>
      </c>
      <c r="B136" s="1096">
        <f>N113</f>
        <v>0</v>
      </c>
      <c r="C136" s="1096"/>
      <c r="D136" s="1096">
        <f>N114</f>
        <v>0</v>
      </c>
      <c r="E136" s="1096"/>
      <c r="F136" s="1096">
        <f>N115</f>
        <v>0</v>
      </c>
      <c r="G136" s="1096"/>
      <c r="H136" s="1096">
        <f>N116</f>
        <v>0</v>
      </c>
      <c r="I136" s="1096"/>
      <c r="J136" s="1096">
        <f>N117</f>
        <v>0</v>
      </c>
      <c r="K136" s="1096"/>
      <c r="L136" s="1096">
        <f>N118</f>
        <v>0</v>
      </c>
      <c r="M136" s="1096"/>
      <c r="N136" s="1096">
        <f>N119</f>
        <v>0</v>
      </c>
      <c r="O136" s="1096"/>
      <c r="P136" s="1096">
        <f>N120</f>
        <v>0</v>
      </c>
      <c r="Q136" s="1096"/>
      <c r="R136" s="1096">
        <f>N121</f>
        <v>0</v>
      </c>
      <c r="S136" s="1096"/>
      <c r="T136" s="1096">
        <f>N122</f>
        <v>0</v>
      </c>
      <c r="U136" s="1096"/>
      <c r="V136" s="1096">
        <f>N123</f>
        <v>0</v>
      </c>
      <c r="W136" s="1096"/>
      <c r="X136" s="1033" t="s">
        <v>1102</v>
      </c>
      <c r="Y136" s="1033"/>
      <c r="Z136" s="1033"/>
      <c r="AA136" s="1033"/>
      <c r="AB136" s="1033"/>
      <c r="AC136" s="1033"/>
      <c r="AD136" s="1033"/>
      <c r="AE136" s="1033"/>
      <c r="AF136" s="1033"/>
    </row>
    <row r="137" spans="1:32">
      <c r="A137" s="142" t="s">
        <v>95</v>
      </c>
      <c r="B137" s="1096">
        <f>O113</f>
        <v>5.6605334263949885E-3</v>
      </c>
      <c r="C137" s="1096"/>
      <c r="D137" s="1096">
        <f>O114</f>
        <v>0.19632840585737768</v>
      </c>
      <c r="E137" s="1096"/>
      <c r="F137" s="1096">
        <f>O115</f>
        <v>0.70934316508109096</v>
      </c>
      <c r="G137" s="1096"/>
      <c r="H137" s="1096">
        <f>O116</f>
        <v>0</v>
      </c>
      <c r="I137" s="1096"/>
      <c r="J137" s="1096">
        <f>O117</f>
        <v>4.4333947817568178E-2</v>
      </c>
      <c r="K137" s="1096"/>
      <c r="L137" s="1096">
        <f>O118</f>
        <v>4.4333947817568178E-2</v>
      </c>
      <c r="M137" s="1096"/>
      <c r="N137" s="1096">
        <f>O119</f>
        <v>0</v>
      </c>
      <c r="O137" s="1096"/>
      <c r="P137" s="1096">
        <f>O120</f>
        <v>0</v>
      </c>
      <c r="Q137" s="1096"/>
      <c r="R137" s="1096">
        <f>O121</f>
        <v>0</v>
      </c>
      <c r="S137" s="1096"/>
      <c r="T137" s="1096">
        <f>O122</f>
        <v>0</v>
      </c>
      <c r="U137" s="1096"/>
      <c r="V137" s="1096">
        <f>O123</f>
        <v>0</v>
      </c>
      <c r="W137" s="1096"/>
      <c r="X137" s="1033" t="s">
        <v>1102</v>
      </c>
      <c r="Y137" s="1033"/>
      <c r="Z137" s="1033"/>
      <c r="AA137" s="1033"/>
      <c r="AB137" s="1033"/>
      <c r="AC137" s="1033"/>
      <c r="AD137" s="1033"/>
      <c r="AE137" s="1033"/>
      <c r="AF137" s="1033"/>
    </row>
    <row r="138" spans="1:32">
      <c r="A138" s="142" t="s">
        <v>96</v>
      </c>
      <c r="B138" s="1096">
        <f>P113</f>
        <v>0</v>
      </c>
      <c r="C138" s="1096"/>
      <c r="D138" s="1096">
        <f>P114</f>
        <v>0</v>
      </c>
      <c r="E138" s="1096"/>
      <c r="F138" s="1096">
        <f>P115</f>
        <v>0</v>
      </c>
      <c r="G138" s="1096"/>
      <c r="H138" s="1096">
        <f>P116</f>
        <v>0</v>
      </c>
      <c r="I138" s="1096"/>
      <c r="J138" s="1096">
        <f>P117</f>
        <v>0</v>
      </c>
      <c r="K138" s="1096"/>
      <c r="L138" s="1096">
        <f>P118</f>
        <v>0</v>
      </c>
      <c r="M138" s="1096"/>
      <c r="N138" s="1096">
        <f>P119</f>
        <v>0</v>
      </c>
      <c r="O138" s="1096"/>
      <c r="P138" s="1096">
        <f>P120</f>
        <v>0</v>
      </c>
      <c r="Q138" s="1096"/>
      <c r="R138" s="1096">
        <f>P121</f>
        <v>0</v>
      </c>
      <c r="S138" s="1096"/>
      <c r="T138" s="1096">
        <f>P122</f>
        <v>0</v>
      </c>
      <c r="U138" s="1096"/>
      <c r="V138" s="1096">
        <f>P123</f>
        <v>0</v>
      </c>
      <c r="W138" s="1096"/>
      <c r="X138" s="1033" t="s">
        <v>1102</v>
      </c>
      <c r="Y138" s="1033"/>
      <c r="Z138" s="1033"/>
      <c r="AA138" s="1033"/>
      <c r="AB138" s="1033"/>
      <c r="AC138" s="1033"/>
      <c r="AD138" s="1033"/>
      <c r="AE138" s="1033"/>
      <c r="AF138" s="1033"/>
    </row>
    <row r="139" spans="1:32">
      <c r="A139" s="142" t="s">
        <v>97</v>
      </c>
      <c r="B139" s="1096">
        <f>Q113</f>
        <v>0</v>
      </c>
      <c r="C139" s="1096"/>
      <c r="D139" s="1096">
        <f>Q114</f>
        <v>0.19744605585646305</v>
      </c>
      <c r="E139" s="1096"/>
      <c r="F139" s="1096">
        <f>Q115</f>
        <v>0.71338128368314402</v>
      </c>
      <c r="G139" s="1096"/>
      <c r="H139" s="1096">
        <f>Q116</f>
        <v>0</v>
      </c>
      <c r="I139" s="1096"/>
      <c r="J139" s="1096">
        <f>Q117</f>
        <v>4.4586330230196494E-2</v>
      </c>
      <c r="K139" s="1096"/>
      <c r="L139" s="1096">
        <f>Q118</f>
        <v>4.4586330230196494E-2</v>
      </c>
      <c r="M139" s="1096"/>
      <c r="N139" s="1096">
        <f>Q119</f>
        <v>0</v>
      </c>
      <c r="O139" s="1096"/>
      <c r="P139" s="1096">
        <f>Q120</f>
        <v>0</v>
      </c>
      <c r="Q139" s="1096"/>
      <c r="R139" s="1096">
        <f>Q121</f>
        <v>0</v>
      </c>
      <c r="S139" s="1096"/>
      <c r="T139" s="1096">
        <f>Q122</f>
        <v>0</v>
      </c>
      <c r="U139" s="1096"/>
      <c r="V139" s="1096">
        <f>Q123</f>
        <v>0</v>
      </c>
      <c r="W139" s="1096"/>
      <c r="X139" s="1033" t="s">
        <v>1102</v>
      </c>
      <c r="Y139" s="1033"/>
      <c r="Z139" s="1033"/>
      <c r="AA139" s="1033"/>
      <c r="AB139" s="1033"/>
      <c r="AC139" s="1033"/>
      <c r="AD139" s="1033"/>
      <c r="AE139" s="1033"/>
      <c r="AF139" s="1033"/>
    </row>
    <row r="140" spans="1:32">
      <c r="A140" s="142" t="s">
        <v>127</v>
      </c>
      <c r="B140" s="1096">
        <f>R113</f>
        <v>2.0189518931614638E-3</v>
      </c>
      <c r="C140" s="1096"/>
      <c r="D140" s="1096">
        <f>R114</f>
        <v>3.7824092334929553E-4</v>
      </c>
      <c r="E140" s="1096"/>
      <c r="F140" s="1096">
        <f>R115</f>
        <v>0.3279842619534431</v>
      </c>
      <c r="G140" s="1096"/>
      <c r="H140" s="1096">
        <f>R116</f>
        <v>0</v>
      </c>
      <c r="I140" s="1096"/>
      <c r="J140" s="1096">
        <f>R117</f>
        <v>6.8330054573633985E-3</v>
      </c>
      <c r="K140" s="1096"/>
      <c r="L140" s="1096">
        <f>R118</f>
        <v>6.8330054573633985E-3</v>
      </c>
      <c r="M140" s="1096"/>
      <c r="N140" s="1096">
        <f>R119</f>
        <v>6.6532165485482164E-3</v>
      </c>
      <c r="O140" s="1096"/>
      <c r="P140" s="1096">
        <f>R120</f>
        <v>0.14573018486415787</v>
      </c>
      <c r="Q140" s="1096"/>
      <c r="R140" s="1096">
        <f>R121</f>
        <v>0.14573018486415787</v>
      </c>
      <c r="S140" s="1096"/>
      <c r="T140" s="1096">
        <f>R122</f>
        <v>0.3578389480384554</v>
      </c>
      <c r="U140" s="1096"/>
      <c r="V140" s="1096">
        <f>R123</f>
        <v>0</v>
      </c>
      <c r="W140" s="1096"/>
      <c r="X140" s="1033" t="s">
        <v>1102</v>
      </c>
      <c r="Y140" s="1033"/>
      <c r="Z140" s="1033"/>
      <c r="AA140" s="1033"/>
      <c r="AB140" s="1033"/>
      <c r="AC140" s="1033"/>
      <c r="AD140" s="1033"/>
      <c r="AE140" s="1033"/>
      <c r="AF140" s="1033"/>
    </row>
    <row r="141" spans="1:32">
      <c r="A141" s="838"/>
      <c r="B141" s="839"/>
      <c r="C141" s="839"/>
      <c r="D141" s="839"/>
      <c r="E141" s="839"/>
      <c r="F141" s="839"/>
      <c r="G141" s="839"/>
      <c r="H141" s="839"/>
      <c r="I141" s="839"/>
      <c r="J141" s="839"/>
      <c r="K141" s="839"/>
      <c r="L141" s="839"/>
      <c r="M141" s="839"/>
      <c r="N141" s="839"/>
      <c r="O141" s="839"/>
      <c r="P141" s="839"/>
      <c r="Q141" s="839"/>
      <c r="R141" s="839"/>
      <c r="S141" s="839"/>
      <c r="T141" s="839"/>
      <c r="U141" s="839"/>
      <c r="V141" s="839"/>
      <c r="W141" s="839"/>
    </row>
    <row r="142" spans="1:32" customFormat="1">
      <c r="H142" s="6"/>
      <c r="I142" s="6"/>
      <c r="J142" s="6"/>
      <c r="K142" s="6"/>
      <c r="L142" s="6"/>
      <c r="M142" s="6"/>
      <c r="N142" s="6"/>
      <c r="O142" s="6"/>
    </row>
    <row r="143" spans="1:32" customFormat="1" ht="15" thickBot="1">
      <c r="A143" s="406" t="s">
        <v>1984</v>
      </c>
      <c r="B143" s="221"/>
      <c r="C143" s="221"/>
      <c r="D143" s="221"/>
      <c r="E143" s="221"/>
      <c r="F143" s="221"/>
      <c r="G143" s="221"/>
      <c r="H143" s="824"/>
      <c r="I143" s="824"/>
      <c r="J143" s="824"/>
      <c r="K143" s="824"/>
      <c r="L143" s="824"/>
      <c r="M143" s="824"/>
      <c r="N143" s="824"/>
      <c r="O143" s="824"/>
      <c r="P143" s="221"/>
    </row>
    <row r="144" spans="1:32" ht="15" thickBot="1">
      <c r="A144" s="65" t="s">
        <v>129</v>
      </c>
      <c r="B144" s="107" t="s">
        <v>130</v>
      </c>
      <c r="C144" s="108" t="s">
        <v>131</v>
      </c>
      <c r="D144" s="109" t="s">
        <v>102</v>
      </c>
      <c r="E144" s="226" t="s">
        <v>132</v>
      </c>
      <c r="F144" s="108" t="s">
        <v>133</v>
      </c>
      <c r="G144" s="110" t="s">
        <v>104</v>
      </c>
      <c r="H144" s="111" t="s">
        <v>134</v>
      </c>
      <c r="I144" s="112" t="s">
        <v>135</v>
      </c>
      <c r="J144" s="112" t="s">
        <v>65</v>
      </c>
      <c r="K144" s="112" t="s">
        <v>67</v>
      </c>
      <c r="L144" s="112" t="s">
        <v>73</v>
      </c>
      <c r="M144" s="113" t="s">
        <v>79</v>
      </c>
      <c r="N144" s="114" t="s">
        <v>136</v>
      </c>
      <c r="O144" s="114" t="s">
        <v>137</v>
      </c>
      <c r="P144" s="115" t="s">
        <v>123</v>
      </c>
    </row>
    <row r="145" spans="1:16" ht="15" thickBot="1">
      <c r="A145" s="227" t="s">
        <v>302</v>
      </c>
      <c r="B145" s="227" t="s">
        <v>304</v>
      </c>
      <c r="C145" s="6" t="s">
        <v>139</v>
      </c>
      <c r="D145" s="6" t="s">
        <v>139</v>
      </c>
      <c r="E145" s="6" t="s">
        <v>150</v>
      </c>
      <c r="F145" s="6">
        <v>1</v>
      </c>
      <c r="G145" s="161"/>
      <c r="H145" s="251"/>
      <c r="I145" s="66"/>
      <c r="J145" s="66"/>
      <c r="K145" s="66"/>
      <c r="L145" s="66"/>
      <c r="M145" s="292"/>
      <c r="N145" s="402" t="str">
        <f t="shared" ref="N145:N146" si="51">IF( OR( ISBLANK(H145),ISBLANK(J145), ISBLANK(K145), ISBLANK(L145), ISBLANK(M145) ), "", 1.5*SQRT(   EXP(2.21*(H145-1)) + EXP(2.21*(J145-1)) + EXP(2.21*(K145-1)) + EXP(2.21*(L145-1)) + EXP(2.21*M145)   )/100*2.45 )</f>
        <v/>
      </c>
      <c r="O145" s="347" t="str">
        <f t="shared" ref="O145:O146" si="52">IF( OR( ISBLANK(I145),ISBLANK(J145), ISBLANK(K145), ISBLANK(L145), ISBLANK(M145) ), "", 1.5*SQRT( EXP(2.21*(I145-1)) + EXP(2.21*(J145-1)) + EXP(2.21*(K145-1)) + EXP(2.21*(L145-1)) + EXP(2.21*M145)   )/100*2.45 )</f>
        <v/>
      </c>
      <c r="P145" s="60"/>
    </row>
    <row r="146" spans="1:16" ht="15" thickBot="1">
      <c r="A146" s="227" t="s">
        <v>302</v>
      </c>
      <c r="B146" s="227" t="s">
        <v>305</v>
      </c>
      <c r="C146" s="6" t="s">
        <v>139</v>
      </c>
      <c r="D146" s="6" t="s">
        <v>139</v>
      </c>
      <c r="E146" s="578">
        <v>0.11</v>
      </c>
      <c r="F146" s="6">
        <v>2</v>
      </c>
      <c r="G146" s="40" t="s">
        <v>306</v>
      </c>
      <c r="H146" s="249">
        <v>2</v>
      </c>
      <c r="I146" s="10">
        <v>2</v>
      </c>
      <c r="J146" s="10">
        <v>1</v>
      </c>
      <c r="K146" s="10">
        <v>1</v>
      </c>
      <c r="L146" s="10">
        <v>1</v>
      </c>
      <c r="M146" s="290">
        <v>1</v>
      </c>
      <c r="N146" s="402">
        <f t="shared" si="51"/>
        <v>0.16933510251023262</v>
      </c>
      <c r="O146" s="347">
        <f t="shared" si="52"/>
        <v>0.16933510251023262</v>
      </c>
      <c r="P146" s="34"/>
    </row>
    <row r="147" spans="1:16" ht="15" thickBot="1">
      <c r="A147" s="227" t="s">
        <v>305</v>
      </c>
      <c r="B147" s="60" t="s">
        <v>232</v>
      </c>
      <c r="C147" s="6" t="s">
        <v>139</v>
      </c>
      <c r="D147" s="6" t="s">
        <v>139</v>
      </c>
      <c r="E147" s="578">
        <v>0.08</v>
      </c>
      <c r="F147" s="6">
        <v>1</v>
      </c>
      <c r="G147" s="161" t="s">
        <v>346</v>
      </c>
      <c r="H147" s="251">
        <v>2</v>
      </c>
      <c r="I147" s="66">
        <v>2</v>
      </c>
      <c r="J147" s="66">
        <v>1</v>
      </c>
      <c r="K147" s="66">
        <v>1</v>
      </c>
      <c r="L147" s="66">
        <v>1</v>
      </c>
      <c r="M147" s="292">
        <v>1</v>
      </c>
      <c r="N147" s="402">
        <f t="shared" ref="N147:N148" si="53">IF( OR( ISBLANK(H147),ISBLANK(J147), ISBLANK(K147), ISBLANK(L147), ISBLANK(M147) ), "", 1.5*SQRT(   EXP(2.21*(H147-1)) + EXP(2.21*(J147-1)) + EXP(2.21*(K147-1)) + EXP(2.21*(L147-1)) + EXP(2.21*M147)   )/100*2.45 )</f>
        <v>0.16933510251023262</v>
      </c>
      <c r="O147" s="347">
        <f t="shared" ref="O147:O150" si="54">IF( OR( ISBLANK(I147),ISBLANK(J147), ISBLANK(K147), ISBLANK(L147), ISBLANK(M147) ), "", 1.5*SQRT( EXP(2.21*(I147-1)) + EXP(2.21*(J147-1)) + EXP(2.21*(K147-1)) + EXP(2.21*(L147-1)) + EXP(2.21*M147)   )/100*2.45 )</f>
        <v>0.16933510251023262</v>
      </c>
      <c r="P147" s="60"/>
    </row>
    <row r="148" spans="1:16" ht="15" thickBot="1">
      <c r="A148" s="227" t="s">
        <v>305</v>
      </c>
      <c r="B148" s="34" t="s">
        <v>251</v>
      </c>
      <c r="C148" s="6" t="s">
        <v>139</v>
      </c>
      <c r="D148" s="6" t="s">
        <v>139</v>
      </c>
      <c r="E148" s="578">
        <v>0.52</v>
      </c>
      <c r="F148" s="6">
        <v>1</v>
      </c>
      <c r="G148" s="40" t="s">
        <v>346</v>
      </c>
      <c r="H148" s="249">
        <v>2</v>
      </c>
      <c r="I148" s="10">
        <v>2</v>
      </c>
      <c r="J148" s="10">
        <v>1</v>
      </c>
      <c r="K148" s="10">
        <v>1</v>
      </c>
      <c r="L148" s="10">
        <v>1</v>
      </c>
      <c r="M148" s="290">
        <v>1</v>
      </c>
      <c r="N148" s="402">
        <f t="shared" si="53"/>
        <v>0.16933510251023262</v>
      </c>
      <c r="O148" s="347">
        <f t="shared" si="54"/>
        <v>0.16933510251023262</v>
      </c>
      <c r="P148" s="34"/>
    </row>
    <row r="149" spans="1:16" ht="15" thickBot="1">
      <c r="A149" s="227" t="s">
        <v>305</v>
      </c>
      <c r="B149" s="7" t="s">
        <v>327</v>
      </c>
      <c r="C149" s="6" t="s">
        <v>139</v>
      </c>
      <c r="D149" s="6" t="s">
        <v>139</v>
      </c>
      <c r="E149" s="578">
        <v>0.4</v>
      </c>
      <c r="F149" s="6">
        <v>1</v>
      </c>
      <c r="G149" s="40" t="s">
        <v>346</v>
      </c>
      <c r="H149" s="249">
        <v>2</v>
      </c>
      <c r="I149" s="10">
        <v>2</v>
      </c>
      <c r="J149" s="10">
        <v>1</v>
      </c>
      <c r="K149" s="10">
        <v>1</v>
      </c>
      <c r="L149" s="10">
        <v>1</v>
      </c>
      <c r="M149" s="290">
        <v>1</v>
      </c>
      <c r="N149" s="402">
        <f t="shared" ref="N149:N150" si="55">IF( OR( ISBLANK(H149),ISBLANK(J149), ISBLANK(K149), ISBLANK(L149), ISBLANK(M149) ), "", 1.5*SQRT(   EXP(2.21*(H149-1)) + EXP(2.21*(J149-1)) + EXP(2.21*(K149-1)) + EXP(2.21*(L149-1)) + EXP(2.21*M149)   )/100*2.45 )</f>
        <v>0.16933510251023262</v>
      </c>
      <c r="O149" s="347">
        <f t="shared" si="54"/>
        <v>0.16933510251023262</v>
      </c>
      <c r="P149" s="34"/>
    </row>
    <row r="150" spans="1:16">
      <c r="A150" s="227" t="s">
        <v>304</v>
      </c>
      <c r="B150" s="7" t="s">
        <v>327</v>
      </c>
      <c r="C150" s="6" t="s">
        <v>139</v>
      </c>
      <c r="D150" s="6" t="s">
        <v>139</v>
      </c>
      <c r="E150" s="6">
        <v>1</v>
      </c>
      <c r="F150" s="6">
        <v>1</v>
      </c>
      <c r="H150" s="249"/>
      <c r="I150" s="10"/>
      <c r="J150" s="10"/>
      <c r="K150" s="10"/>
      <c r="L150" s="10"/>
      <c r="M150" s="290"/>
      <c r="N150" s="402" t="str">
        <f t="shared" si="55"/>
        <v/>
      </c>
      <c r="O150" s="347" t="str">
        <f t="shared" si="54"/>
        <v/>
      </c>
      <c r="P150" s="34"/>
    </row>
    <row r="151" spans="1:16">
      <c r="A151" s="227"/>
      <c r="B151" s="227"/>
    </row>
    <row r="152" spans="1:16">
      <c r="A152" s="1128" t="s">
        <v>965</v>
      </c>
      <c r="B152" s="1129"/>
      <c r="C152" s="1129"/>
      <c r="D152" s="1129"/>
      <c r="E152" s="1129"/>
      <c r="F152" s="1129"/>
      <c r="G152" s="1129"/>
      <c r="H152" s="1129"/>
      <c r="I152" s="1129"/>
      <c r="J152" s="1129"/>
      <c r="K152" s="1129"/>
      <c r="L152" s="1129"/>
      <c r="M152" s="1129"/>
      <c r="N152" s="1129"/>
      <c r="O152" s="1129"/>
      <c r="P152" s="1129"/>
    </row>
    <row r="153" spans="1:16">
      <c r="A153" s="1129"/>
      <c r="B153" s="1129"/>
      <c r="C153" s="1129"/>
      <c r="D153" s="1129"/>
      <c r="E153" s="1129"/>
      <c r="F153" s="1129"/>
      <c r="G153" s="1129"/>
      <c r="H153" s="1129"/>
      <c r="I153" s="1129"/>
      <c r="J153" s="1129"/>
      <c r="K153" s="1129"/>
      <c r="L153" s="1129"/>
      <c r="M153" s="1129"/>
      <c r="N153" s="1129"/>
      <c r="O153" s="1129"/>
      <c r="P153" s="1129"/>
    </row>
    <row r="154" spans="1:16">
      <c r="D154" s="6" t="s">
        <v>1103</v>
      </c>
      <c r="E154" s="6">
        <f>948/90312</f>
        <v>1.0496943927717247E-2</v>
      </c>
      <c r="F154" s="6" t="s">
        <v>1104</v>
      </c>
    </row>
    <row r="155" spans="1:16">
      <c r="A155" s="6" t="s">
        <v>1105</v>
      </c>
      <c r="D155" s="6" t="s">
        <v>1103</v>
      </c>
      <c r="E155" s="6">
        <v>1.0999999999999999E-2</v>
      </c>
      <c r="F155" s="6" t="s">
        <v>295</v>
      </c>
    </row>
    <row r="156" spans="1:16">
      <c r="A156" s="364" t="s">
        <v>1106</v>
      </c>
      <c r="D156" s="6" t="s">
        <v>1107</v>
      </c>
      <c r="E156" s="6">
        <f>10*E155</f>
        <v>0.10999999999999999</v>
      </c>
    </row>
    <row r="158" spans="1:16">
      <c r="D158" s="6">
        <f>0.15/0.11</f>
        <v>1.3636363636363635</v>
      </c>
    </row>
  </sheetData>
  <mergeCells count="394">
    <mergeCell ref="G38:I38"/>
    <mergeCell ref="M80:Q80"/>
    <mergeCell ref="M81:Q81"/>
    <mergeCell ref="F60:I60"/>
    <mergeCell ref="J60:K60"/>
    <mergeCell ref="G39:I39"/>
    <mergeCell ref="G40:I40"/>
    <mergeCell ref="G41:I41"/>
    <mergeCell ref="G37:I37"/>
    <mergeCell ref="M72:Q72"/>
    <mergeCell ref="M73:Q73"/>
    <mergeCell ref="M74:Q74"/>
    <mergeCell ref="M75:Q75"/>
    <mergeCell ref="M76:Q76"/>
    <mergeCell ref="M77:Q77"/>
    <mergeCell ref="M78:Q78"/>
    <mergeCell ref="M79:Q79"/>
    <mergeCell ref="G71:L71"/>
    <mergeCell ref="G74:L74"/>
    <mergeCell ref="A68:AF68"/>
    <mergeCell ref="R79:AF79"/>
    <mergeCell ref="R80:AF80"/>
    <mergeCell ref="M69:Q69"/>
    <mergeCell ref="M70:Q70"/>
    <mergeCell ref="A152:P153"/>
    <mergeCell ref="R32:AF32"/>
    <mergeCell ref="R8:T8"/>
    <mergeCell ref="R9:T9"/>
    <mergeCell ref="U7:V7"/>
    <mergeCell ref="U2:AF2"/>
    <mergeCell ref="W7:AF7"/>
    <mergeCell ref="U8:V8"/>
    <mergeCell ref="W8:AF8"/>
    <mergeCell ref="W9:AF9"/>
    <mergeCell ref="W10:AF10"/>
    <mergeCell ref="R35:AF35"/>
    <mergeCell ref="R36:AF36"/>
    <mergeCell ref="U11:V11"/>
    <mergeCell ref="W11:AF11"/>
    <mergeCell ref="U12:V12"/>
    <mergeCell ref="W12:AF12"/>
    <mergeCell ref="U13:V13"/>
    <mergeCell ref="W13:AF13"/>
    <mergeCell ref="R20:AF20"/>
    <mergeCell ref="R21:AF21"/>
    <mergeCell ref="R22:AF22"/>
    <mergeCell ref="R15:AF15"/>
    <mergeCell ref="R16:AF16"/>
    <mergeCell ref="R17:AF17"/>
    <mergeCell ref="R23:AF23"/>
    <mergeCell ref="R24:AF24"/>
    <mergeCell ref="R25:AF25"/>
    <mergeCell ref="A28:AF28"/>
    <mergeCell ref="R18:AF18"/>
    <mergeCell ref="R19:AF19"/>
    <mergeCell ref="R29:AF29"/>
    <mergeCell ref="R30:AF30"/>
    <mergeCell ref="R26:AF26"/>
    <mergeCell ref="M29:Q29"/>
    <mergeCell ref="M30:Q30"/>
    <mergeCell ref="R31:AF31"/>
    <mergeCell ref="J30:L30"/>
    <mergeCell ref="J36:L36"/>
    <mergeCell ref="G29:L29"/>
    <mergeCell ref="G30:I30"/>
    <mergeCell ref="G31:I31"/>
    <mergeCell ref="G32:I32"/>
    <mergeCell ref="G33:I33"/>
    <mergeCell ref="G34:I34"/>
    <mergeCell ref="G35:I35"/>
    <mergeCell ref="G36:I36"/>
    <mergeCell ref="J31:L31"/>
    <mergeCell ref="J32:L32"/>
    <mergeCell ref="J33:L33"/>
    <mergeCell ref="J34:L34"/>
    <mergeCell ref="J35:L35"/>
    <mergeCell ref="R33:AF33"/>
    <mergeCell ref="R34:AF34"/>
    <mergeCell ref="M31:Q31"/>
    <mergeCell ref="M32:Q32"/>
    <mergeCell ref="M33:Q33"/>
    <mergeCell ref="M34:Q34"/>
    <mergeCell ref="M35:Q35"/>
    <mergeCell ref="M36:Q36"/>
    <mergeCell ref="A1:AF1"/>
    <mergeCell ref="U3:V3"/>
    <mergeCell ref="W3:AF3"/>
    <mergeCell ref="U4:V4"/>
    <mergeCell ref="W4:AF4"/>
    <mergeCell ref="U5:V5"/>
    <mergeCell ref="W5:AF5"/>
    <mergeCell ref="U6:V6"/>
    <mergeCell ref="W6:AF6"/>
    <mergeCell ref="U9:V9"/>
    <mergeCell ref="U10:V10"/>
    <mergeCell ref="R2:T2"/>
    <mergeCell ref="R3:T3"/>
    <mergeCell ref="R10:T10"/>
    <mergeCell ref="R11:T11"/>
    <mergeCell ref="R12:T12"/>
    <mergeCell ref="R13:T13"/>
    <mergeCell ref="R4:T4"/>
    <mergeCell ref="R5:T5"/>
    <mergeCell ref="R6:T6"/>
    <mergeCell ref="R7:T7"/>
    <mergeCell ref="R37:AF37"/>
    <mergeCell ref="R38:AF38"/>
    <mergeCell ref="R39:AF39"/>
    <mergeCell ref="R40:AF40"/>
    <mergeCell ref="R41:AF41"/>
    <mergeCell ref="J38:L38"/>
    <mergeCell ref="J39:L39"/>
    <mergeCell ref="J40:L40"/>
    <mergeCell ref="J41:L41"/>
    <mergeCell ref="M38:Q38"/>
    <mergeCell ref="M39:Q39"/>
    <mergeCell ref="M40:Q40"/>
    <mergeCell ref="M41:Q41"/>
    <mergeCell ref="J37:L37"/>
    <mergeCell ref="M37:Q37"/>
    <mergeCell ref="R43:AF43"/>
    <mergeCell ref="R44:AF44"/>
    <mergeCell ref="R45:AF45"/>
    <mergeCell ref="R46:AF46"/>
    <mergeCell ref="R52:AF52"/>
    <mergeCell ref="R53:AF53"/>
    <mergeCell ref="E65:E66"/>
    <mergeCell ref="F61:I62"/>
    <mergeCell ref="F63:I64"/>
    <mergeCell ref="F65:I66"/>
    <mergeCell ref="J61:K62"/>
    <mergeCell ref="J63:K64"/>
    <mergeCell ref="R54:AF54"/>
    <mergeCell ref="R55:AF55"/>
    <mergeCell ref="A59:AF59"/>
    <mergeCell ref="R56:AF56"/>
    <mergeCell ref="R57:AF57"/>
    <mergeCell ref="R47:AF47"/>
    <mergeCell ref="R48:AF48"/>
    <mergeCell ref="R49:AF49"/>
    <mergeCell ref="R50:AF50"/>
    <mergeCell ref="R51:AF51"/>
    <mergeCell ref="G81:L81"/>
    <mergeCell ref="G79:L79"/>
    <mergeCell ref="G80:L80"/>
    <mergeCell ref="G77:L77"/>
    <mergeCell ref="G78:L78"/>
    <mergeCell ref="G75:L75"/>
    <mergeCell ref="G76:L76"/>
    <mergeCell ref="G72:L72"/>
    <mergeCell ref="G73:L73"/>
    <mergeCell ref="R81:AF81"/>
    <mergeCell ref="R71:AF71"/>
    <mergeCell ref="R72:AF72"/>
    <mergeCell ref="R74:AF74"/>
    <mergeCell ref="R75:AF75"/>
    <mergeCell ref="R76:AF76"/>
    <mergeCell ref="R77:AF77"/>
    <mergeCell ref="M71:Q71"/>
    <mergeCell ref="R92:AF92"/>
    <mergeCell ref="R73:AF73"/>
    <mergeCell ref="R78:AF78"/>
    <mergeCell ref="R69:AF69"/>
    <mergeCell ref="R70:AF70"/>
    <mergeCell ref="A61:A62"/>
    <mergeCell ref="A63:A64"/>
    <mergeCell ref="A65:A66"/>
    <mergeCell ref="J65:K66"/>
    <mergeCell ref="B61:B62"/>
    <mergeCell ref="B63:B64"/>
    <mergeCell ref="B65:B66"/>
    <mergeCell ref="E61:E62"/>
    <mergeCell ref="E63:E64"/>
    <mergeCell ref="G69:L69"/>
    <mergeCell ref="G70:L70"/>
    <mergeCell ref="R101:AF101"/>
    <mergeCell ref="R102:AF102"/>
    <mergeCell ref="R93:AF93"/>
    <mergeCell ref="R94:AF94"/>
    <mergeCell ref="R95:AF95"/>
    <mergeCell ref="R96:AF96"/>
    <mergeCell ref="R97:AF97"/>
    <mergeCell ref="R103:AF103"/>
    <mergeCell ref="R104:AF104"/>
    <mergeCell ref="R98:AF98"/>
    <mergeCell ref="R99:AF99"/>
    <mergeCell ref="R100:AF100"/>
    <mergeCell ref="B112:C112"/>
    <mergeCell ref="B113:C113"/>
    <mergeCell ref="A111:AF111"/>
    <mergeCell ref="R105:AF105"/>
    <mergeCell ref="R106:AF106"/>
    <mergeCell ref="B119:C119"/>
    <mergeCell ref="B120:C120"/>
    <mergeCell ref="B121:C121"/>
    <mergeCell ref="B122:C122"/>
    <mergeCell ref="B123:C123"/>
    <mergeCell ref="B114:C114"/>
    <mergeCell ref="B115:C115"/>
    <mergeCell ref="B116:C116"/>
    <mergeCell ref="B117:C117"/>
    <mergeCell ref="B118:C118"/>
    <mergeCell ref="J126:K126"/>
    <mergeCell ref="L126:M126"/>
    <mergeCell ref="N126:O126"/>
    <mergeCell ref="A124:AF124"/>
    <mergeCell ref="T125:U125"/>
    <mergeCell ref="V125:W125"/>
    <mergeCell ref="B125:C125"/>
    <mergeCell ref="D125:E125"/>
    <mergeCell ref="F125:G125"/>
    <mergeCell ref="H125:I125"/>
    <mergeCell ref="J125:K125"/>
    <mergeCell ref="L125:M125"/>
    <mergeCell ref="N125:O125"/>
    <mergeCell ref="P125:Q125"/>
    <mergeCell ref="R125:S125"/>
    <mergeCell ref="P126:Q126"/>
    <mergeCell ref="R126:S126"/>
    <mergeCell ref="T126:U126"/>
    <mergeCell ref="J127:K127"/>
    <mergeCell ref="L127:M127"/>
    <mergeCell ref="N127:O127"/>
    <mergeCell ref="P127:Q127"/>
    <mergeCell ref="R127:S127"/>
    <mergeCell ref="B137:C137"/>
    <mergeCell ref="B138:C138"/>
    <mergeCell ref="D131:E131"/>
    <mergeCell ref="F131:G131"/>
    <mergeCell ref="H131:I131"/>
    <mergeCell ref="D132:E132"/>
    <mergeCell ref="F132:G132"/>
    <mergeCell ref="H132:I132"/>
    <mergeCell ref="D133:E133"/>
    <mergeCell ref="F133:G133"/>
    <mergeCell ref="H133:I133"/>
    <mergeCell ref="D134:E134"/>
    <mergeCell ref="F134:G134"/>
    <mergeCell ref="H134:I134"/>
    <mergeCell ref="J130:K130"/>
    <mergeCell ref="L130:M130"/>
    <mergeCell ref="N130:O130"/>
    <mergeCell ref="P130:Q130"/>
    <mergeCell ref="R130:S130"/>
    <mergeCell ref="B139:C139"/>
    <mergeCell ref="B130:C130"/>
    <mergeCell ref="B131:C131"/>
    <mergeCell ref="B132:C132"/>
    <mergeCell ref="B133:C133"/>
    <mergeCell ref="B134:C134"/>
    <mergeCell ref="B126:C126"/>
    <mergeCell ref="B127:C127"/>
    <mergeCell ref="B128:C128"/>
    <mergeCell ref="B129:C129"/>
    <mergeCell ref="B140:C140"/>
    <mergeCell ref="D126:E126"/>
    <mergeCell ref="F126:G126"/>
    <mergeCell ref="H126:I126"/>
    <mergeCell ref="D127:E127"/>
    <mergeCell ref="F127:G127"/>
    <mergeCell ref="H127:I127"/>
    <mergeCell ref="D128:E128"/>
    <mergeCell ref="F128:G128"/>
    <mergeCell ref="H128:I128"/>
    <mergeCell ref="D129:E129"/>
    <mergeCell ref="F129:G129"/>
    <mergeCell ref="H129:I129"/>
    <mergeCell ref="D130:E130"/>
    <mergeCell ref="F130:G130"/>
    <mergeCell ref="H130:I130"/>
    <mergeCell ref="B135:C135"/>
    <mergeCell ref="B136:C136"/>
    <mergeCell ref="D135:E135"/>
    <mergeCell ref="F135:G135"/>
    <mergeCell ref="H135:I135"/>
    <mergeCell ref="D136:E136"/>
    <mergeCell ref="F136:G136"/>
    <mergeCell ref="H136:I136"/>
    <mergeCell ref="D139:E139"/>
    <mergeCell ref="F139:G139"/>
    <mergeCell ref="H139:I139"/>
    <mergeCell ref="D140:E140"/>
    <mergeCell ref="F140:G140"/>
    <mergeCell ref="H140:I140"/>
    <mergeCell ref="D137:E137"/>
    <mergeCell ref="F137:G137"/>
    <mergeCell ref="H137:I137"/>
    <mergeCell ref="D138:E138"/>
    <mergeCell ref="F138:G138"/>
    <mergeCell ref="H138:I138"/>
    <mergeCell ref="L128:M128"/>
    <mergeCell ref="N128:O128"/>
    <mergeCell ref="P128:Q128"/>
    <mergeCell ref="R128:S128"/>
    <mergeCell ref="J129:K129"/>
    <mergeCell ref="L129:M129"/>
    <mergeCell ref="N129:O129"/>
    <mergeCell ref="P129:Q129"/>
    <mergeCell ref="R129:S129"/>
    <mergeCell ref="J128:K128"/>
    <mergeCell ref="J132:K132"/>
    <mergeCell ref="L132:M132"/>
    <mergeCell ref="N132:O132"/>
    <mergeCell ref="P132:Q132"/>
    <mergeCell ref="R132:S132"/>
    <mergeCell ref="J131:K131"/>
    <mergeCell ref="L131:M131"/>
    <mergeCell ref="N131:O131"/>
    <mergeCell ref="P131:Q131"/>
    <mergeCell ref="R131:S131"/>
    <mergeCell ref="J134:K134"/>
    <mergeCell ref="L134:M134"/>
    <mergeCell ref="N134:O134"/>
    <mergeCell ref="P134:Q134"/>
    <mergeCell ref="R134:S134"/>
    <mergeCell ref="J133:K133"/>
    <mergeCell ref="L133:M133"/>
    <mergeCell ref="N133:O133"/>
    <mergeCell ref="P133:Q133"/>
    <mergeCell ref="R133:S133"/>
    <mergeCell ref="J136:K136"/>
    <mergeCell ref="L136:M136"/>
    <mergeCell ref="N136:O136"/>
    <mergeCell ref="P136:Q136"/>
    <mergeCell ref="R136:S136"/>
    <mergeCell ref="J135:K135"/>
    <mergeCell ref="L135:M135"/>
    <mergeCell ref="N135:O135"/>
    <mergeCell ref="P135:Q135"/>
    <mergeCell ref="R135:S135"/>
    <mergeCell ref="J138:K138"/>
    <mergeCell ref="L138:M138"/>
    <mergeCell ref="N138:O138"/>
    <mergeCell ref="P138:Q138"/>
    <mergeCell ref="R138:S138"/>
    <mergeCell ref="J137:K137"/>
    <mergeCell ref="L137:M137"/>
    <mergeCell ref="N137:O137"/>
    <mergeCell ref="P137:Q137"/>
    <mergeCell ref="R137:S137"/>
    <mergeCell ref="J140:K140"/>
    <mergeCell ref="L140:M140"/>
    <mergeCell ref="N140:O140"/>
    <mergeCell ref="P140:Q140"/>
    <mergeCell ref="R140:S140"/>
    <mergeCell ref="J139:K139"/>
    <mergeCell ref="L139:M139"/>
    <mergeCell ref="N139:O139"/>
    <mergeCell ref="P139:Q139"/>
    <mergeCell ref="R139:S139"/>
    <mergeCell ref="T140:U140"/>
    <mergeCell ref="V140:W140"/>
    <mergeCell ref="T135:U135"/>
    <mergeCell ref="V135:W135"/>
    <mergeCell ref="T136:U136"/>
    <mergeCell ref="V136:W136"/>
    <mergeCell ref="T137:U137"/>
    <mergeCell ref="V137:W137"/>
    <mergeCell ref="T132:U132"/>
    <mergeCell ref="V132:W132"/>
    <mergeCell ref="T133:U133"/>
    <mergeCell ref="V133:W133"/>
    <mergeCell ref="T134:U134"/>
    <mergeCell ref="V134:W134"/>
    <mergeCell ref="T139:U139"/>
    <mergeCell ref="V139:W139"/>
    <mergeCell ref="V126:W126"/>
    <mergeCell ref="T127:U127"/>
    <mergeCell ref="V127:W127"/>
    <mergeCell ref="T128:U128"/>
    <mergeCell ref="V128:W128"/>
    <mergeCell ref="X136:AF136"/>
    <mergeCell ref="X137:AF137"/>
    <mergeCell ref="X138:AF138"/>
    <mergeCell ref="T138:U138"/>
    <mergeCell ref="V138:W138"/>
    <mergeCell ref="T129:U129"/>
    <mergeCell ref="V129:W129"/>
    <mergeCell ref="T130:U130"/>
    <mergeCell ref="V130:W130"/>
    <mergeCell ref="T131:U131"/>
    <mergeCell ref="V131:W131"/>
    <mergeCell ref="X139:AF139"/>
    <mergeCell ref="X140:AF140"/>
    <mergeCell ref="X131:AF131"/>
    <mergeCell ref="X132:AF132"/>
    <mergeCell ref="X133:AF133"/>
    <mergeCell ref="X134:AF134"/>
    <mergeCell ref="X135:AF135"/>
    <mergeCell ref="X126:AF126"/>
    <mergeCell ref="X127:AF127"/>
    <mergeCell ref="X128:AF128"/>
    <mergeCell ref="X129:AF129"/>
    <mergeCell ref="X130:AF130"/>
  </mergeCells>
  <conditionalFormatting sqref="H145:M146">
    <cfRule type="dataBar" priority="4">
      <dataBar>
        <cfvo type="min"/>
        <cfvo type="num" val="4"/>
        <color rgb="FFFFC000"/>
      </dataBar>
      <extLst>
        <ext xmlns:x14="http://schemas.microsoft.com/office/spreadsheetml/2009/9/main" uri="{B025F937-C7B1-47D3-B67F-A62EFF666E3E}">
          <x14:id>{1B4CB3B5-0365-4114-B2CD-71549AB8F77C}</x14:id>
        </ext>
      </extLst>
    </cfRule>
  </conditionalFormatting>
  <conditionalFormatting sqref="H145:M150">
    <cfRule type="cellIs" dxfId="66" priority="3" stopIfTrue="1" operator="notBetween">
      <formula>1</formula>
      <formula>4</formula>
    </cfRule>
  </conditionalFormatting>
  <conditionalFormatting sqref="H147:M150">
    <cfRule type="dataBar" priority="10">
      <dataBar>
        <cfvo type="min"/>
        <cfvo type="num" val="4"/>
        <color rgb="FFFFC000"/>
      </dataBar>
      <extLst>
        <ext xmlns:x14="http://schemas.microsoft.com/office/spreadsheetml/2009/9/main" uri="{B025F937-C7B1-47D3-B67F-A62EFF666E3E}">
          <x14:id>{3ED01DE4-621F-4202-AD21-E1BDF27FA1A3}</x14:id>
        </ext>
      </extLst>
    </cfRule>
  </conditionalFormatting>
  <conditionalFormatting sqref="H145:O150">
    <cfRule type="containsBlanks" dxfId="65" priority="1">
      <formula>LEN(TRIM(H145))=0</formula>
    </cfRule>
  </conditionalFormatting>
  <conditionalFormatting sqref="N145:N146">
    <cfRule type="dataBar" priority="5">
      <dataBar>
        <cfvo type="min"/>
        <cfvo type="max"/>
        <color rgb="FF3FCDFF"/>
      </dataBar>
      <extLst>
        <ext xmlns:x14="http://schemas.microsoft.com/office/spreadsheetml/2009/9/main" uri="{B025F937-C7B1-47D3-B67F-A62EFF666E3E}">
          <x14:id>{77A1D4E7-D93B-4DD6-9B46-8A5732EE2DDC}</x14:id>
        </ext>
      </extLst>
    </cfRule>
  </conditionalFormatting>
  <conditionalFormatting sqref="N147:N150">
    <cfRule type="dataBar" priority="11">
      <dataBar>
        <cfvo type="min"/>
        <cfvo type="max"/>
        <color rgb="FF3FCDFF"/>
      </dataBar>
      <extLst>
        <ext xmlns:x14="http://schemas.microsoft.com/office/spreadsheetml/2009/9/main" uri="{B025F937-C7B1-47D3-B67F-A62EFF666E3E}">
          <x14:id>{112F89E4-B755-4065-955D-5EE734A0A42E}</x14:id>
        </ext>
      </extLst>
    </cfRule>
  </conditionalFormatting>
  <conditionalFormatting sqref="O145:O146">
    <cfRule type="dataBar" priority="6">
      <dataBar>
        <cfvo type="min"/>
        <cfvo type="max"/>
        <color rgb="FF3FCDFF"/>
      </dataBar>
      <extLst>
        <ext xmlns:x14="http://schemas.microsoft.com/office/spreadsheetml/2009/9/main" uri="{B025F937-C7B1-47D3-B67F-A62EFF666E3E}">
          <x14:id>{EE0CE28F-F7CD-4587-B3CC-954879C50A62}</x14:id>
        </ext>
      </extLst>
    </cfRule>
  </conditionalFormatting>
  <conditionalFormatting sqref="O147:O150">
    <cfRule type="dataBar" priority="12">
      <dataBar>
        <cfvo type="min"/>
        <cfvo type="max"/>
        <color rgb="FF3FCDFF"/>
      </dataBar>
      <extLst>
        <ext xmlns:x14="http://schemas.microsoft.com/office/spreadsheetml/2009/9/main" uri="{B025F937-C7B1-47D3-B67F-A62EFF666E3E}">
          <x14:id>{AD36CF80-2C7B-4FB2-9456-79982E8CC848}</x14:id>
        </ext>
      </extLst>
    </cfRule>
  </conditionalFormatting>
  <conditionalFormatting sqref="P142:P143">
    <cfRule type="containsText" dxfId="64" priority="25" operator="containsText" text="Actual TC">
      <formula>NOT(ISERROR(SEARCH("Actual TC",P142)))</formula>
    </cfRule>
  </conditionalFormatting>
  <conditionalFormatting sqref="P145:P150">
    <cfRule type="containsText" dxfId="63" priority="2" operator="containsText" text="Actual TC">
      <formula>NOT(ISERROR(SEARCH("Actual TC",P145)))</formula>
    </cfRule>
  </conditionalFormatting>
  <hyperlinks>
    <hyperlink ref="F61" r:id="rId1" display="https://ec.europa.eu/eurostat/databrowser/view/DEMO_GIND__custom_2733962/bookmark/table?lang=en&amp;bookmarkId=7084ed24-6b91-4cf3-b90d-d47565593505" xr:uid="{899404BD-6CBF-4671-8182-9EE48B8467E5}"/>
    <hyperlink ref="F63" r:id="rId2" xr:uid="{FEC23BC6-CAB1-4640-A64D-26027AF682D2}"/>
    <hyperlink ref="J30:J35" r:id="rId3" display="https://echa.europa.eu/documents/10162/827ab66d-8f59-9076-e000-064274ba5b5e" xr:uid="{3CBF204C-307D-457A-8BF5-E763036E7127}"/>
    <hyperlink ref="F65" r:id="rId4" xr:uid="{F3449E7A-706B-4264-BDBF-66DEB0856463}"/>
    <hyperlink ref="J40" r:id="rId5" display="https://echa.europa.eu/documents/10162/827ab66d-8f59-9076-e000-064274ba5b5e" xr:uid="{E41BEBF4-EE17-4705-8A85-6F62630EF0A2}"/>
    <hyperlink ref="J36" r:id="rId6" display="https://echa.europa.eu/documents/10162/827ab66d-8f59-9076-e000-064274ba5b5e" xr:uid="{837CAF38-4BC0-4E36-9E4E-BC3392A4FC0C}"/>
    <hyperlink ref="J37" r:id="rId7" display="https://echa.europa.eu/documents/10162/827ab66d-8f59-9076-e000-064274ba5b5e" xr:uid="{5EEB6160-F857-4340-8D52-908D71A3DD94}"/>
    <hyperlink ref="J38" r:id="rId8" display="https://echa.europa.eu/documents/10162/827ab66d-8f59-9076-e000-064274ba5b5e" xr:uid="{A20979B8-8665-461C-BA90-3C8648F0B8DD}"/>
    <hyperlink ref="J39" r:id="rId9" display="https://echa.europa.eu/documents/10162/827ab66d-8f59-9076-e000-064274ba5b5e" xr:uid="{11E4BDE3-6877-4AE6-91C4-F80F6E74BAE0}"/>
    <hyperlink ref="A156" r:id="rId10" display="https://www.eerstekamer.nl/overig/20190220/verwerking_van_kunstgras_huidige/document" xr:uid="{422F6AFD-0109-407F-B65F-FFE070F84283}"/>
  </hyperlinks>
  <pageMargins left="0.7" right="0.7" top="0.75" bottom="0.75" header="0.3" footer="0.3"/>
  <pageSetup orientation="portrait" r:id="rId11"/>
  <extLst>
    <ext xmlns:x14="http://schemas.microsoft.com/office/spreadsheetml/2009/9/main" uri="{78C0D931-6437-407d-A8EE-F0AAD7539E65}">
      <x14:conditionalFormattings>
        <x14:conditionalFormatting xmlns:xm="http://schemas.microsoft.com/office/excel/2006/main">
          <x14:cfRule type="dataBar" id="{1B4CB3B5-0365-4114-B2CD-71549AB8F77C}">
            <x14:dataBar minLength="0" maxLength="100" gradient="0">
              <x14:cfvo type="autoMin"/>
              <x14:cfvo type="num">
                <xm:f>4</xm:f>
              </x14:cfvo>
              <x14:negativeFillColor rgb="FFFF0000"/>
              <x14:axisColor rgb="FF000000"/>
            </x14:dataBar>
          </x14:cfRule>
          <xm:sqref>H145:M146</xm:sqref>
        </x14:conditionalFormatting>
        <x14:conditionalFormatting xmlns:xm="http://schemas.microsoft.com/office/excel/2006/main">
          <x14:cfRule type="dataBar" id="{3ED01DE4-621F-4202-AD21-E1BDF27FA1A3}">
            <x14:dataBar minLength="0" maxLength="100" gradient="0">
              <x14:cfvo type="autoMin"/>
              <x14:cfvo type="num">
                <xm:f>4</xm:f>
              </x14:cfvo>
              <x14:negativeFillColor rgb="FFFF0000"/>
              <x14:axisColor rgb="FF000000"/>
            </x14:dataBar>
          </x14:cfRule>
          <xm:sqref>H147:M150</xm:sqref>
        </x14:conditionalFormatting>
        <x14:conditionalFormatting xmlns:xm="http://schemas.microsoft.com/office/excel/2006/main">
          <x14:cfRule type="dataBar" id="{77A1D4E7-D93B-4DD6-9B46-8A5732EE2DDC}">
            <x14:dataBar minLength="0" maxLength="100" gradient="0">
              <x14:cfvo type="autoMin"/>
              <x14:cfvo type="autoMax"/>
              <x14:negativeFillColor rgb="FFFF0000"/>
              <x14:axisColor rgb="FF000000"/>
            </x14:dataBar>
          </x14:cfRule>
          <xm:sqref>N145:N146</xm:sqref>
        </x14:conditionalFormatting>
        <x14:conditionalFormatting xmlns:xm="http://schemas.microsoft.com/office/excel/2006/main">
          <x14:cfRule type="dataBar" id="{112F89E4-B755-4065-955D-5EE734A0A42E}">
            <x14:dataBar minLength="0" maxLength="100" gradient="0">
              <x14:cfvo type="autoMin"/>
              <x14:cfvo type="autoMax"/>
              <x14:negativeFillColor rgb="FFFF0000"/>
              <x14:axisColor rgb="FF000000"/>
            </x14:dataBar>
          </x14:cfRule>
          <xm:sqref>N147:N150</xm:sqref>
        </x14:conditionalFormatting>
        <x14:conditionalFormatting xmlns:xm="http://schemas.microsoft.com/office/excel/2006/main">
          <x14:cfRule type="dataBar" id="{EE0CE28F-F7CD-4587-B3CC-954879C50A62}">
            <x14:dataBar minLength="0" maxLength="100" gradient="0">
              <x14:cfvo type="autoMin"/>
              <x14:cfvo type="autoMax"/>
              <x14:negativeFillColor rgb="FFFF0000"/>
              <x14:axisColor rgb="FF000000"/>
            </x14:dataBar>
          </x14:cfRule>
          <xm:sqref>O145:O146</xm:sqref>
        </x14:conditionalFormatting>
        <x14:conditionalFormatting xmlns:xm="http://schemas.microsoft.com/office/excel/2006/main">
          <x14:cfRule type="dataBar" id="{AD36CF80-2C7B-4FB2-9456-79982E8CC848}">
            <x14:dataBar minLength="0" maxLength="100" gradient="0">
              <x14:cfvo type="autoMin"/>
              <x14:cfvo type="autoMax"/>
              <x14:negativeFillColor rgb="FFFF0000"/>
              <x14:axisColor rgb="FF000000"/>
            </x14:dataBar>
          </x14:cfRule>
          <xm:sqref>O147:O150</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EBB9F-0909-4120-811D-3CD5D2A8FB51}">
  <sheetPr>
    <tabColor theme="8"/>
  </sheetPr>
  <dimension ref="A1:AN333"/>
  <sheetViews>
    <sheetView zoomScale="80" zoomScaleNormal="80" workbookViewId="0">
      <selection activeCell="A276" sqref="A276"/>
    </sheetView>
  </sheetViews>
  <sheetFormatPr defaultColWidth="8.88671875" defaultRowHeight="14.4"/>
  <cols>
    <col min="1" max="1" width="50.6640625" style="6" customWidth="1"/>
    <col min="2" max="2" width="41.44140625" style="6" customWidth="1"/>
    <col min="3" max="5" width="20.6640625" style="6" customWidth="1"/>
    <col min="6" max="6" width="36" style="6" customWidth="1"/>
    <col min="7" max="14" width="20.6640625" style="6" customWidth="1"/>
    <col min="15" max="15" width="19.44140625" style="6" customWidth="1"/>
    <col min="16" max="16" width="28.109375" style="6" customWidth="1"/>
    <col min="17" max="17" width="8.88671875" style="6"/>
    <col min="18" max="18" width="86.33203125" style="6" customWidth="1"/>
    <col min="19" max="25" width="8.88671875" style="6"/>
    <col min="26" max="26" width="85.33203125" style="6" bestFit="1" customWidth="1"/>
    <col min="27" max="27" width="8.88671875" style="6"/>
    <col min="28" max="29" width="8.88671875" style="6" customWidth="1"/>
    <col min="30" max="36" width="8.88671875" style="6"/>
    <col min="37" max="37" width="85.33203125" style="6" bestFit="1" customWidth="1"/>
    <col min="38" max="16384" width="8.88671875" style="6"/>
  </cols>
  <sheetData>
    <row r="1" spans="1:40" s="131" customFormat="1" ht="30" customHeight="1">
      <c r="A1" s="1038" t="s">
        <v>778</v>
      </c>
      <c r="B1" s="1038"/>
      <c r="C1" s="1038"/>
      <c r="D1" s="1038"/>
      <c r="E1" s="1038"/>
      <c r="F1" s="1038"/>
      <c r="G1" s="1038"/>
      <c r="H1" s="1038"/>
      <c r="I1" s="1038"/>
      <c r="J1" s="1038"/>
      <c r="K1" s="1038"/>
      <c r="L1" s="1038"/>
      <c r="M1" s="1038"/>
      <c r="N1" s="1038"/>
      <c r="O1" s="1038"/>
      <c r="P1" s="1038"/>
      <c r="Q1" s="1038"/>
      <c r="R1" s="1038"/>
    </row>
    <row r="2" spans="1:40" ht="15" customHeight="1">
      <c r="A2" s="1026" t="s">
        <v>100</v>
      </c>
      <c r="B2" s="1146" t="s">
        <v>101</v>
      </c>
      <c r="C2" s="1146" t="s">
        <v>131</v>
      </c>
      <c r="D2" s="1146" t="s">
        <v>102</v>
      </c>
      <c r="E2" s="181" t="s">
        <v>1108</v>
      </c>
      <c r="F2" s="181" t="s">
        <v>1109</v>
      </c>
      <c r="G2" s="1146" t="s">
        <v>1028</v>
      </c>
      <c r="H2" s="1146" t="s">
        <v>779</v>
      </c>
      <c r="I2" s="1071" t="s">
        <v>104</v>
      </c>
      <c r="J2" s="1071"/>
      <c r="K2" s="1071"/>
      <c r="L2" s="1071"/>
      <c r="M2" s="1071"/>
      <c r="N2" s="1071"/>
      <c r="O2" s="1071"/>
    </row>
    <row r="3" spans="1:40" ht="15" customHeight="1">
      <c r="A3" s="1026"/>
      <c r="B3" s="1039"/>
      <c r="C3" s="1039"/>
      <c r="D3" s="1039"/>
      <c r="E3" s="181" t="s">
        <v>1110</v>
      </c>
      <c r="F3" s="181" t="s">
        <v>1110</v>
      </c>
      <c r="G3" s="1039"/>
      <c r="H3" s="1039"/>
      <c r="I3" s="1071"/>
      <c r="J3" s="1071"/>
      <c r="K3" s="1071"/>
      <c r="L3" s="1071"/>
      <c r="M3" s="1071"/>
      <c r="N3" s="1071"/>
      <c r="O3" s="1071"/>
    </row>
    <row r="4" spans="1:40">
      <c r="A4" s="142" t="s">
        <v>39</v>
      </c>
      <c r="B4" s="117" t="s">
        <v>863</v>
      </c>
      <c r="C4" s="117" t="s">
        <v>863</v>
      </c>
      <c r="D4" s="9" t="s">
        <v>85</v>
      </c>
      <c r="E4" s="116">
        <v>2885.0686350860101</v>
      </c>
      <c r="F4" s="116">
        <v>2909.4280502461302</v>
      </c>
      <c r="G4" s="116">
        <f t="shared" ref="G4:G11" si="0">SUM(E4:F4)</f>
        <v>5794.4966853321403</v>
      </c>
      <c r="H4" s="128">
        <f t="shared" ref="H4:H11" si="1">G4/$G$12</f>
        <v>0.32347542902537302</v>
      </c>
      <c r="I4" s="1075" t="s">
        <v>1111</v>
      </c>
      <c r="J4" s="1075"/>
      <c r="K4" s="1075"/>
      <c r="L4" s="1075"/>
      <c r="M4" s="1075"/>
      <c r="N4" s="1075"/>
      <c r="O4" s="1075"/>
    </row>
    <row r="5" spans="1:40">
      <c r="A5" s="142" t="s">
        <v>39</v>
      </c>
      <c r="B5" s="117" t="s">
        <v>863</v>
      </c>
      <c r="C5" s="117" t="s">
        <v>863</v>
      </c>
      <c r="D5" s="9" t="s">
        <v>86</v>
      </c>
      <c r="E5" s="116">
        <v>2233.3084179234902</v>
      </c>
      <c r="F5" s="116">
        <v>1065.7029273794899</v>
      </c>
      <c r="G5" s="116">
        <f t="shared" si="0"/>
        <v>3299.0113453029799</v>
      </c>
      <c r="H5" s="128">
        <f t="shared" si="1"/>
        <v>0.18416597130563128</v>
      </c>
      <c r="I5" s="1075" t="s">
        <v>1112</v>
      </c>
      <c r="J5" s="1075"/>
      <c r="K5" s="1075"/>
      <c r="L5" s="1075"/>
      <c r="M5" s="1075"/>
      <c r="N5" s="1075"/>
      <c r="O5" s="1075"/>
    </row>
    <row r="6" spans="1:40">
      <c r="A6" s="142" t="s">
        <v>39</v>
      </c>
      <c r="B6" s="117" t="s">
        <v>863</v>
      </c>
      <c r="C6" s="117" t="s">
        <v>863</v>
      </c>
      <c r="D6" s="9" t="s">
        <v>87</v>
      </c>
      <c r="E6" s="116">
        <v>1851.11319573223</v>
      </c>
      <c r="F6" s="116">
        <v>1924.8758026412299</v>
      </c>
      <c r="G6" s="116">
        <f t="shared" si="0"/>
        <v>3775.9889983734602</v>
      </c>
      <c r="H6" s="128">
        <f t="shared" si="1"/>
        <v>0.21079305547552157</v>
      </c>
      <c r="I6" s="1075" t="s">
        <v>1112</v>
      </c>
      <c r="J6" s="1075"/>
      <c r="K6" s="1075"/>
      <c r="L6" s="1075"/>
      <c r="M6" s="1075"/>
      <c r="N6" s="1075"/>
      <c r="O6" s="1075"/>
    </row>
    <row r="7" spans="1:40">
      <c r="A7" s="142" t="s">
        <v>39</v>
      </c>
      <c r="B7" s="117" t="s">
        <v>863</v>
      </c>
      <c r="C7" s="117" t="s">
        <v>863</v>
      </c>
      <c r="D7" s="9" t="s">
        <v>88</v>
      </c>
      <c r="E7" s="116">
        <v>345.54532634631101</v>
      </c>
      <c r="F7" s="116">
        <v>329.843858813324</v>
      </c>
      <c r="G7" s="116">
        <f t="shared" si="0"/>
        <v>675.38918515963496</v>
      </c>
      <c r="H7" s="128">
        <f t="shared" si="1"/>
        <v>3.7703327535183018E-2</v>
      </c>
      <c r="I7" s="1075" t="s">
        <v>1112</v>
      </c>
      <c r="J7" s="1075"/>
      <c r="K7" s="1075"/>
      <c r="L7" s="1075"/>
      <c r="M7" s="1075"/>
      <c r="N7" s="1075"/>
      <c r="O7" s="1075"/>
    </row>
    <row r="8" spans="1:40">
      <c r="A8" s="142" t="s">
        <v>39</v>
      </c>
      <c r="B8" s="117" t="s">
        <v>863</v>
      </c>
      <c r="C8" s="117" t="s">
        <v>863</v>
      </c>
      <c r="D8" s="9" t="s">
        <v>89</v>
      </c>
      <c r="E8" s="116">
        <v>123.549106802057</v>
      </c>
      <c r="F8" s="116">
        <v>117.935075468761</v>
      </c>
      <c r="G8" s="116">
        <f t="shared" si="0"/>
        <v>241.484182270818</v>
      </c>
      <c r="H8" s="128">
        <f t="shared" si="1"/>
        <v>1.3480756604905492E-2</v>
      </c>
      <c r="I8" s="1075" t="s">
        <v>1112</v>
      </c>
      <c r="J8" s="1075"/>
      <c r="K8" s="1075"/>
      <c r="L8" s="1075"/>
      <c r="M8" s="1075"/>
      <c r="N8" s="1075"/>
      <c r="O8" s="1075"/>
    </row>
    <row r="9" spans="1:40">
      <c r="A9" s="142" t="s">
        <v>39</v>
      </c>
      <c r="B9" s="117" t="s">
        <v>863</v>
      </c>
      <c r="C9" s="117" t="s">
        <v>863</v>
      </c>
      <c r="D9" s="9" t="s">
        <v>90</v>
      </c>
      <c r="E9" s="116">
        <v>196.41778061564401</v>
      </c>
      <c r="F9" s="116">
        <v>188.361759836734</v>
      </c>
      <c r="G9" s="116">
        <f t="shared" si="0"/>
        <v>384.779540452378</v>
      </c>
      <c r="H9" s="128">
        <f t="shared" si="1"/>
        <v>2.148016189966712E-2</v>
      </c>
      <c r="I9" s="1075" t="s">
        <v>1112</v>
      </c>
      <c r="J9" s="1075"/>
      <c r="K9" s="1075"/>
      <c r="L9" s="1075"/>
      <c r="M9" s="1075"/>
      <c r="N9" s="1075"/>
      <c r="O9" s="1075"/>
    </row>
    <row r="10" spans="1:40">
      <c r="A10" s="142" t="s">
        <v>39</v>
      </c>
      <c r="B10" s="117" t="s">
        <v>863</v>
      </c>
      <c r="C10" s="117" t="s">
        <v>863</v>
      </c>
      <c r="D10" s="9" t="s">
        <v>91</v>
      </c>
      <c r="E10" s="116">
        <v>1778.68411129328</v>
      </c>
      <c r="F10" s="116">
        <v>1508.5460067608601</v>
      </c>
      <c r="G10" s="116">
        <f t="shared" si="0"/>
        <v>3287.2301180541399</v>
      </c>
      <c r="H10" s="128">
        <f t="shared" si="1"/>
        <v>0.18350828906924124</v>
      </c>
      <c r="I10" s="1075" t="s">
        <v>1112</v>
      </c>
      <c r="J10" s="1075"/>
      <c r="K10" s="1075"/>
      <c r="L10" s="1075"/>
      <c r="M10" s="1075"/>
      <c r="N10" s="1075"/>
      <c r="O10" s="1075"/>
    </row>
    <row r="11" spans="1:40">
      <c r="A11" s="142" t="s">
        <v>39</v>
      </c>
      <c r="B11" s="117" t="s">
        <v>863</v>
      </c>
      <c r="C11" s="117" t="s">
        <v>863</v>
      </c>
      <c r="D11" s="9" t="s">
        <v>98</v>
      </c>
      <c r="E11" s="116">
        <v>201.416771483639</v>
      </c>
      <c r="F11" s="116">
        <v>253.45458432209401</v>
      </c>
      <c r="G11" s="116">
        <f t="shared" si="0"/>
        <v>454.871355805733</v>
      </c>
      <c r="H11" s="128">
        <f t="shared" si="1"/>
        <v>2.5393009084477291E-2</v>
      </c>
      <c r="I11" s="1075" t="s">
        <v>1112</v>
      </c>
      <c r="J11" s="1075"/>
      <c r="K11" s="1075"/>
      <c r="L11" s="1075"/>
      <c r="M11" s="1075"/>
      <c r="N11" s="1075"/>
      <c r="O11" s="1075"/>
    </row>
    <row r="12" spans="1:40">
      <c r="A12" s="142" t="s">
        <v>39</v>
      </c>
      <c r="B12" s="117" t="s">
        <v>863</v>
      </c>
      <c r="C12" s="117" t="s">
        <v>863</v>
      </c>
      <c r="D12" s="9" t="s">
        <v>1028</v>
      </c>
      <c r="E12" s="132">
        <f>SUM(E4:E11)</f>
        <v>9615.1033452826632</v>
      </c>
      <c r="F12" s="132">
        <f>SUM(F4:F11)</f>
        <v>8298.1480654686238</v>
      </c>
      <c r="G12" s="132">
        <f t="shared" ref="G12:H12" si="2">SUM(G4:G11)</f>
        <v>17913.251410751283</v>
      </c>
      <c r="H12" s="133">
        <f t="shared" si="2"/>
        <v>1</v>
      </c>
      <c r="I12" s="1075"/>
      <c r="J12" s="1075"/>
      <c r="K12" s="1075"/>
      <c r="L12" s="1075"/>
      <c r="M12" s="1075"/>
      <c r="N12" s="1075"/>
      <c r="O12" s="1075"/>
    </row>
    <row r="13" spans="1:40">
      <c r="B13" s="25"/>
      <c r="C13" s="134"/>
      <c r="D13" s="134"/>
      <c r="E13" s="134"/>
      <c r="F13" s="135"/>
    </row>
    <row r="14" spans="1:40" s="131" customFormat="1" ht="30" customHeight="1">
      <c r="A14" s="1038" t="s">
        <v>746</v>
      </c>
      <c r="B14" s="1038"/>
      <c r="C14" s="1038"/>
      <c r="D14" s="1038"/>
      <c r="E14" s="1038"/>
      <c r="F14" s="1038"/>
      <c r="G14" s="1038"/>
      <c r="H14" s="1038"/>
      <c r="I14" s="1038"/>
      <c r="J14" s="1038"/>
      <c r="K14" s="1038"/>
      <c r="L14" s="1038"/>
      <c r="M14" s="1038"/>
      <c r="N14" s="1038"/>
      <c r="O14" s="1038"/>
      <c r="P14" s="1038"/>
      <c r="Q14" s="1038"/>
      <c r="R14" s="1038"/>
      <c r="U14" s="379" t="s">
        <v>746</v>
      </c>
      <c r="V14" s="379"/>
      <c r="W14" s="379"/>
      <c r="X14" s="379"/>
      <c r="Y14" s="379"/>
      <c r="Z14" s="379"/>
      <c r="AA14" s="379"/>
      <c r="AB14" s="379"/>
      <c r="AC14" s="379"/>
      <c r="AD14"/>
      <c r="AE14"/>
      <c r="AF14" s="379" t="s">
        <v>1113</v>
      </c>
      <c r="AG14" s="379"/>
      <c r="AH14" s="379"/>
      <c r="AI14" s="379"/>
      <c r="AJ14" s="379"/>
      <c r="AK14" s="379"/>
      <c r="AL14" s="379"/>
      <c r="AM14" s="379"/>
      <c r="AN14" s="379"/>
    </row>
    <row r="15" spans="1:40" ht="30" customHeight="1">
      <c r="A15" s="140" t="s">
        <v>100</v>
      </c>
      <c r="B15" s="140" t="s">
        <v>101</v>
      </c>
      <c r="C15" s="140" t="s">
        <v>131</v>
      </c>
      <c r="D15" s="140" t="s">
        <v>102</v>
      </c>
      <c r="E15" s="140" t="s">
        <v>873</v>
      </c>
      <c r="F15" s="1026" t="s">
        <v>104</v>
      </c>
      <c r="G15" s="1026"/>
      <c r="H15" s="1026"/>
      <c r="I15" s="1026"/>
      <c r="U15" s="140" t="s">
        <v>100</v>
      </c>
      <c r="V15" s="140" t="s">
        <v>101</v>
      </c>
      <c r="W15" s="140" t="s">
        <v>131</v>
      </c>
      <c r="X15" s="140" t="s">
        <v>102</v>
      </c>
      <c r="Y15" s="140" t="s">
        <v>873</v>
      </c>
      <c r="Z15" s="1026" t="s">
        <v>104</v>
      </c>
      <c r="AA15" s="1026"/>
      <c r="AB15" s="1026"/>
      <c r="AC15" s="1026"/>
      <c r="AF15" s="140" t="s">
        <v>100</v>
      </c>
      <c r="AG15" s="140" t="s">
        <v>101</v>
      </c>
      <c r="AH15" s="140" t="s">
        <v>131</v>
      </c>
      <c r="AI15" s="140" t="s">
        <v>102</v>
      </c>
      <c r="AJ15" s="140" t="s">
        <v>873</v>
      </c>
      <c r="AK15" s="1026" t="s">
        <v>104</v>
      </c>
      <c r="AL15" s="1026"/>
      <c r="AM15" s="1026"/>
      <c r="AN15" s="1026"/>
    </row>
    <row r="16" spans="1:40">
      <c r="A16" s="143" t="s">
        <v>39</v>
      </c>
      <c r="B16" s="117">
        <v>2020</v>
      </c>
      <c r="C16" s="117" t="s">
        <v>180</v>
      </c>
      <c r="D16" s="117" t="s">
        <v>934</v>
      </c>
      <c r="E16" s="130">
        <v>554</v>
      </c>
      <c r="F16" s="1131" t="s">
        <v>1114</v>
      </c>
      <c r="G16" s="1131"/>
      <c r="H16" s="1131"/>
      <c r="I16" s="1131"/>
      <c r="U16" s="143" t="s">
        <v>39</v>
      </c>
      <c r="V16" s="117">
        <v>2021</v>
      </c>
      <c r="W16" s="117" t="s">
        <v>180</v>
      </c>
      <c r="X16" s="117" t="s">
        <v>934</v>
      </c>
      <c r="Y16" s="130">
        <f>545828/1000</f>
        <v>545.82799999999997</v>
      </c>
      <c r="Z16" s="1131" t="s">
        <v>1114</v>
      </c>
      <c r="AA16" s="1131"/>
      <c r="AB16" s="1131"/>
      <c r="AC16" s="1131"/>
      <c r="AF16" s="143" t="s">
        <v>39</v>
      </c>
      <c r="AG16" s="117">
        <v>2021</v>
      </c>
      <c r="AH16" s="117" t="s">
        <v>182</v>
      </c>
      <c r="AI16" s="117" t="s">
        <v>934</v>
      </c>
      <c r="AJ16" s="130">
        <f>16051604/1000</f>
        <v>16051.603999999999</v>
      </c>
      <c r="AK16" s="1131" t="s">
        <v>1114</v>
      </c>
      <c r="AL16" s="1131"/>
      <c r="AM16" s="1131"/>
      <c r="AN16" s="1131"/>
    </row>
    <row r="17" spans="1:40">
      <c r="U17" s="143" t="s">
        <v>39</v>
      </c>
      <c r="V17" s="6">
        <v>2020</v>
      </c>
      <c r="W17" s="117" t="s">
        <v>180</v>
      </c>
      <c r="X17" s="117" t="s">
        <v>934</v>
      </c>
      <c r="Y17" s="117">
        <f>554000/1000</f>
        <v>554</v>
      </c>
      <c r="Z17" s="1131" t="s">
        <v>1114</v>
      </c>
      <c r="AA17" s="1131"/>
      <c r="AB17" s="1131"/>
      <c r="AC17" s="1131"/>
      <c r="AF17" s="143" t="s">
        <v>39</v>
      </c>
      <c r="AG17" s="6">
        <v>2020</v>
      </c>
      <c r="AH17" s="117" t="s">
        <v>182</v>
      </c>
      <c r="AI17" s="117" t="s">
        <v>934</v>
      </c>
      <c r="AJ17" s="117">
        <f>15453665/1000</f>
        <v>15453.665000000001</v>
      </c>
      <c r="AK17" s="1131" t="s">
        <v>1114</v>
      </c>
      <c r="AL17" s="1131"/>
      <c r="AM17" s="1131"/>
      <c r="AN17" s="1131"/>
    </row>
    <row r="18" spans="1:40" ht="30" customHeight="1">
      <c r="A18" s="140" t="s">
        <v>100</v>
      </c>
      <c r="B18" s="140" t="s">
        <v>101</v>
      </c>
      <c r="C18" s="140" t="s">
        <v>131</v>
      </c>
      <c r="D18" s="140" t="s">
        <v>102</v>
      </c>
      <c r="E18" s="140" t="s">
        <v>873</v>
      </c>
      <c r="F18" s="1026" t="s">
        <v>104</v>
      </c>
      <c r="G18" s="1026"/>
      <c r="H18" s="1026"/>
      <c r="I18" s="1026"/>
      <c r="U18" s="143" t="s">
        <v>39</v>
      </c>
      <c r="V18" s="117">
        <v>2019</v>
      </c>
      <c r="W18" s="117" t="s">
        <v>180</v>
      </c>
      <c r="X18" s="117" t="s">
        <v>934</v>
      </c>
      <c r="Y18" s="117">
        <v>523</v>
      </c>
      <c r="Z18" s="1131" t="s">
        <v>1114</v>
      </c>
      <c r="AA18" s="1131"/>
      <c r="AB18" s="1131"/>
      <c r="AC18" s="1131"/>
      <c r="AF18" s="143" t="s">
        <v>39</v>
      </c>
      <c r="AG18" s="117">
        <v>2019</v>
      </c>
      <c r="AH18" s="117" t="s">
        <v>182</v>
      </c>
      <c r="AI18" s="117" t="s">
        <v>934</v>
      </c>
      <c r="AJ18" s="117">
        <f>15262788/1000</f>
        <v>15262.788</v>
      </c>
      <c r="AK18" s="1131" t="s">
        <v>1114</v>
      </c>
      <c r="AL18" s="1131"/>
      <c r="AM18" s="1131"/>
      <c r="AN18" s="1131"/>
    </row>
    <row r="19" spans="1:40">
      <c r="A19" s="143" t="s">
        <v>39</v>
      </c>
      <c r="B19" s="117">
        <v>2020</v>
      </c>
      <c r="C19" s="117" t="s">
        <v>180</v>
      </c>
      <c r="D19" s="9" t="s">
        <v>85</v>
      </c>
      <c r="E19" s="136">
        <f t="shared" ref="E19:E26" si="3">H4*$E$16</f>
        <v>179.20538768005665</v>
      </c>
      <c r="F19" s="1033" t="s">
        <v>1115</v>
      </c>
      <c r="G19" s="1033"/>
      <c r="H19" s="1033"/>
      <c r="I19" s="1033"/>
      <c r="U19" s="143" t="s">
        <v>39</v>
      </c>
      <c r="V19" s="6">
        <v>2018</v>
      </c>
      <c r="W19" s="117" t="s">
        <v>180</v>
      </c>
      <c r="X19" s="117" t="s">
        <v>934</v>
      </c>
      <c r="Y19" s="117">
        <v>523</v>
      </c>
      <c r="Z19" s="1131" t="s">
        <v>1114</v>
      </c>
      <c r="AA19" s="1131"/>
      <c r="AB19" s="1131"/>
      <c r="AC19" s="1131"/>
      <c r="AF19" s="143" t="s">
        <v>39</v>
      </c>
      <c r="AG19" s="6">
        <v>2018</v>
      </c>
      <c r="AH19" s="117" t="s">
        <v>182</v>
      </c>
      <c r="AI19" s="117" t="s">
        <v>934</v>
      </c>
      <c r="AJ19" s="117">
        <f>14817435/1000</f>
        <v>14817.434999999999</v>
      </c>
      <c r="AK19" s="1131" t="s">
        <v>1114</v>
      </c>
      <c r="AL19" s="1131"/>
      <c r="AM19" s="1131"/>
      <c r="AN19" s="1131"/>
    </row>
    <row r="20" spans="1:40">
      <c r="A20" s="143" t="s">
        <v>39</v>
      </c>
      <c r="B20" s="117">
        <v>2020</v>
      </c>
      <c r="C20" s="117" t="s">
        <v>180</v>
      </c>
      <c r="D20" s="9" t="s">
        <v>86</v>
      </c>
      <c r="E20" s="136">
        <f t="shared" si="3"/>
        <v>102.02794810331973</v>
      </c>
      <c r="F20" s="1033" t="s">
        <v>1115</v>
      </c>
      <c r="G20" s="1033"/>
      <c r="H20" s="1033"/>
      <c r="I20" s="1033"/>
      <c r="U20" s="143" t="s">
        <v>39</v>
      </c>
      <c r="V20" s="117">
        <v>2017</v>
      </c>
      <c r="W20" s="117" t="s">
        <v>180</v>
      </c>
      <c r="X20" s="117" t="s">
        <v>934</v>
      </c>
      <c r="Y20" s="117">
        <v>512</v>
      </c>
      <c r="Z20" s="1131" t="s">
        <v>1114</v>
      </c>
      <c r="AA20" s="1131"/>
      <c r="AB20" s="1131"/>
      <c r="AC20" s="1131"/>
      <c r="AF20" s="143" t="s">
        <v>39</v>
      </c>
      <c r="AG20" s="117">
        <v>2017</v>
      </c>
      <c r="AH20" s="117" t="s">
        <v>182</v>
      </c>
      <c r="AI20" s="117" t="s">
        <v>934</v>
      </c>
      <c r="AJ20" s="117">
        <f>14551775/1000</f>
        <v>14551.775</v>
      </c>
      <c r="AK20" s="1131" t="s">
        <v>1114</v>
      </c>
      <c r="AL20" s="1131"/>
      <c r="AM20" s="1131"/>
      <c r="AN20" s="1131"/>
    </row>
    <row r="21" spans="1:40">
      <c r="A21" s="143" t="s">
        <v>39</v>
      </c>
      <c r="B21" s="117">
        <v>2020</v>
      </c>
      <c r="C21" s="117" t="s">
        <v>180</v>
      </c>
      <c r="D21" s="9" t="s">
        <v>87</v>
      </c>
      <c r="E21" s="136">
        <f t="shared" si="3"/>
        <v>116.77935273343896</v>
      </c>
      <c r="F21" s="1033" t="s">
        <v>1115</v>
      </c>
      <c r="G21" s="1033"/>
      <c r="H21" s="1033"/>
      <c r="I21" s="1033"/>
      <c r="U21"/>
      <c r="V21"/>
      <c r="W21"/>
      <c r="X21"/>
      <c r="Y21"/>
      <c r="Z21" s="1095"/>
      <c r="AA21" s="1095"/>
      <c r="AB21" s="1095"/>
      <c r="AC21" s="1095"/>
      <c r="AF21"/>
      <c r="AG21"/>
      <c r="AH21"/>
      <c r="AI21"/>
      <c r="AJ21"/>
      <c r="AK21" s="1095"/>
      <c r="AL21" s="1095"/>
      <c r="AM21" s="1095"/>
      <c r="AN21" s="1095"/>
    </row>
    <row r="22" spans="1:40">
      <c r="A22" s="143" t="s">
        <v>39</v>
      </c>
      <c r="B22" s="117">
        <v>2020</v>
      </c>
      <c r="C22" s="117" t="s">
        <v>180</v>
      </c>
      <c r="D22" s="9" t="s">
        <v>88</v>
      </c>
      <c r="E22" s="136">
        <f t="shared" si="3"/>
        <v>20.887643454491393</v>
      </c>
      <c r="F22" s="1033" t="s">
        <v>1115</v>
      </c>
      <c r="G22" s="1033"/>
      <c r="H22" s="1033"/>
      <c r="I22" s="1033"/>
      <c r="U22" s="140" t="s">
        <v>100</v>
      </c>
      <c r="V22" s="140" t="s">
        <v>101</v>
      </c>
      <c r="W22" s="140" t="s">
        <v>131</v>
      </c>
      <c r="X22" s="140" t="s">
        <v>102</v>
      </c>
      <c r="Y22" s="140" t="s">
        <v>873</v>
      </c>
      <c r="Z22" s="140" t="s">
        <v>104</v>
      </c>
      <c r="AA22" s="140"/>
      <c r="AB22" s="140"/>
      <c r="AC22" s="140"/>
      <c r="AF22" s="140" t="s">
        <v>100</v>
      </c>
      <c r="AG22" s="140" t="s">
        <v>101</v>
      </c>
      <c r="AH22" s="140" t="s">
        <v>131</v>
      </c>
      <c r="AI22" s="140" t="s">
        <v>102</v>
      </c>
      <c r="AJ22" s="140" t="s">
        <v>873</v>
      </c>
      <c r="AK22" s="140" t="s">
        <v>104</v>
      </c>
      <c r="AL22" s="140"/>
      <c r="AM22" s="140"/>
      <c r="AN22" s="140"/>
    </row>
    <row r="23" spans="1:40">
      <c r="A23" s="143" t="s">
        <v>39</v>
      </c>
      <c r="B23" s="117">
        <v>2020</v>
      </c>
      <c r="C23" s="117" t="s">
        <v>180</v>
      </c>
      <c r="D23" s="9" t="s">
        <v>89</v>
      </c>
      <c r="E23" s="136">
        <f t="shared" si="3"/>
        <v>7.4683391591176429</v>
      </c>
      <c r="F23" s="1033" t="s">
        <v>1115</v>
      </c>
      <c r="G23" s="1033"/>
      <c r="H23" s="1033"/>
      <c r="I23" s="1033"/>
      <c r="U23" s="143" t="s">
        <v>39</v>
      </c>
      <c r="V23" s="117">
        <v>2021</v>
      </c>
      <c r="W23" s="117" t="s">
        <v>180</v>
      </c>
      <c r="X23" s="9" t="s">
        <v>85</v>
      </c>
      <c r="Y23" s="136">
        <f>Y16*H4</f>
        <v>176.5619464740613</v>
      </c>
      <c r="Z23" s="117" t="s">
        <v>1115</v>
      </c>
      <c r="AA23" s="117"/>
      <c r="AB23" s="117"/>
      <c r="AC23" s="117"/>
      <c r="AF23" s="143" t="s">
        <v>39</v>
      </c>
      <c r="AG23" s="117">
        <v>2021</v>
      </c>
      <c r="AH23" s="117" t="s">
        <v>182</v>
      </c>
      <c r="AI23" s="9" t="s">
        <v>85</v>
      </c>
      <c r="AJ23" s="136">
        <f>AJ16*H4</f>
        <v>5192.2994904453935</v>
      </c>
      <c r="AK23" s="117" t="s">
        <v>1115</v>
      </c>
      <c r="AL23" s="117"/>
      <c r="AM23" s="117"/>
      <c r="AN23" s="117"/>
    </row>
    <row r="24" spans="1:40">
      <c r="A24" s="143" t="s">
        <v>39</v>
      </c>
      <c r="B24" s="117">
        <v>2020</v>
      </c>
      <c r="C24" s="117" t="s">
        <v>180</v>
      </c>
      <c r="D24" s="9" t="s">
        <v>90</v>
      </c>
      <c r="E24" s="136">
        <f t="shared" si="3"/>
        <v>11.900009692415585</v>
      </c>
      <c r="F24" s="1033" t="s">
        <v>1115</v>
      </c>
      <c r="G24" s="1033"/>
      <c r="H24" s="1033"/>
      <c r="I24" s="1033"/>
      <c r="U24" s="143" t="s">
        <v>39</v>
      </c>
      <c r="V24" s="117">
        <v>2021</v>
      </c>
      <c r="W24" s="117" t="s">
        <v>180</v>
      </c>
      <c r="X24" s="9" t="s">
        <v>86</v>
      </c>
      <c r="Y24" s="136">
        <f>Y16*H5</f>
        <v>100.52294378581011</v>
      </c>
      <c r="Z24" s="117" t="s">
        <v>1115</v>
      </c>
      <c r="AA24" s="117"/>
      <c r="AB24" s="117"/>
      <c r="AC24" s="117"/>
      <c r="AF24" s="143" t="s">
        <v>39</v>
      </c>
      <c r="AG24" s="117">
        <v>2021</v>
      </c>
      <c r="AH24" s="117" t="s">
        <v>182</v>
      </c>
      <c r="AI24" s="9" t="s">
        <v>86</v>
      </c>
      <c r="AJ24" s="136">
        <f>AJ16*H5</f>
        <v>2956.1592416733561</v>
      </c>
      <c r="AK24" s="117" t="s">
        <v>1115</v>
      </c>
      <c r="AL24" s="117"/>
      <c r="AM24" s="117"/>
      <c r="AN24" s="117"/>
    </row>
    <row r="25" spans="1:40">
      <c r="A25" s="143" t="s">
        <v>39</v>
      </c>
      <c r="B25" s="117">
        <v>2020</v>
      </c>
      <c r="C25" s="117" t="s">
        <v>180</v>
      </c>
      <c r="D25" s="9" t="s">
        <v>91</v>
      </c>
      <c r="E25" s="136">
        <f t="shared" si="3"/>
        <v>101.66359214435965</v>
      </c>
      <c r="F25" s="1033" t="s">
        <v>1115</v>
      </c>
      <c r="G25" s="1033"/>
      <c r="H25" s="1033"/>
      <c r="I25" s="1033"/>
      <c r="U25" s="143" t="s">
        <v>39</v>
      </c>
      <c r="V25" s="117">
        <v>2021</v>
      </c>
      <c r="W25" s="117" t="s">
        <v>180</v>
      </c>
      <c r="X25" s="9" t="s">
        <v>87</v>
      </c>
      <c r="Y25" s="136">
        <f>Y16*H6</f>
        <v>115.05675188409299</v>
      </c>
      <c r="Z25" s="117" t="s">
        <v>1115</v>
      </c>
      <c r="AA25" s="117"/>
      <c r="AB25" s="117"/>
      <c r="AC25" s="117"/>
      <c r="AF25" s="143" t="s">
        <v>39</v>
      </c>
      <c r="AG25" s="117">
        <v>2021</v>
      </c>
      <c r="AH25" s="117" t="s">
        <v>182</v>
      </c>
      <c r="AI25" s="9" t="s">
        <v>87</v>
      </c>
      <c r="AJ25" s="136">
        <f>AJ16*H6</f>
        <v>3383.566652443104</v>
      </c>
      <c r="AK25" s="117" t="s">
        <v>1115</v>
      </c>
      <c r="AL25" s="117"/>
      <c r="AM25" s="117"/>
      <c r="AN25" s="117"/>
    </row>
    <row r="26" spans="1:40">
      <c r="A26" s="143" t="s">
        <v>39</v>
      </c>
      <c r="B26" s="117">
        <v>2020</v>
      </c>
      <c r="C26" s="117" t="s">
        <v>180</v>
      </c>
      <c r="D26" s="9" t="s">
        <v>98</v>
      </c>
      <c r="E26" s="136">
        <f t="shared" si="3"/>
        <v>14.06772703280042</v>
      </c>
      <c r="F26" s="1033" t="s">
        <v>1115</v>
      </c>
      <c r="G26" s="1033"/>
      <c r="H26" s="1033"/>
      <c r="I26" s="1033"/>
      <c r="U26" s="143" t="s">
        <v>39</v>
      </c>
      <c r="V26" s="117">
        <v>2021</v>
      </c>
      <c r="W26" s="117" t="s">
        <v>180</v>
      </c>
      <c r="X26" s="9" t="s">
        <v>88</v>
      </c>
      <c r="Y26" s="136">
        <f>Y16*H7</f>
        <v>20.579531861873875</v>
      </c>
      <c r="Z26" s="117" t="s">
        <v>1115</v>
      </c>
      <c r="AA26" s="117"/>
      <c r="AB26" s="117"/>
      <c r="AC26" s="117"/>
      <c r="AF26" s="143" t="s">
        <v>39</v>
      </c>
      <c r="AG26" s="117">
        <v>2021</v>
      </c>
      <c r="AH26" s="117" t="s">
        <v>182</v>
      </c>
      <c r="AI26" s="9" t="s">
        <v>88</v>
      </c>
      <c r="AJ26" s="136">
        <f>AJ16*H7</f>
        <v>605.19888307705389</v>
      </c>
      <c r="AK26" s="117" t="s">
        <v>1115</v>
      </c>
      <c r="AL26" s="117"/>
      <c r="AM26" s="117"/>
      <c r="AN26" s="117"/>
    </row>
    <row r="27" spans="1:40">
      <c r="B27" s="7"/>
      <c r="D27" s="26"/>
      <c r="E27" s="106"/>
      <c r="U27" s="143" t="s">
        <v>39</v>
      </c>
      <c r="V27" s="117">
        <v>2021</v>
      </c>
      <c r="W27" s="117" t="s">
        <v>180</v>
      </c>
      <c r="X27" s="9" t="s">
        <v>89</v>
      </c>
      <c r="Y27" s="136">
        <f>Y16*H8</f>
        <v>7.3581744161423543</v>
      </c>
      <c r="Z27" s="117" t="s">
        <v>1115</v>
      </c>
      <c r="AA27" s="117"/>
      <c r="AB27" s="117"/>
      <c r="AC27" s="117"/>
      <c r="AF27" s="143" t="s">
        <v>39</v>
      </c>
      <c r="AG27" s="117">
        <v>2021</v>
      </c>
      <c r="AH27" s="117" t="s">
        <v>182</v>
      </c>
      <c r="AI27" s="9" t="s">
        <v>89</v>
      </c>
      <c r="AJ27" s="136">
        <f>AJ16*H8</f>
        <v>216.38776664232742</v>
      </c>
      <c r="AK27" s="117" t="s">
        <v>1115</v>
      </c>
      <c r="AL27" s="117"/>
      <c r="AM27" s="117"/>
      <c r="AN27" s="117"/>
    </row>
    <row r="28" spans="1:40" s="131" customFormat="1" ht="30" customHeight="1">
      <c r="A28" s="1147" t="s">
        <v>764</v>
      </c>
      <c r="B28" s="1148"/>
      <c r="C28" s="1148"/>
      <c r="D28" s="1148"/>
      <c r="E28" s="1148"/>
      <c r="F28" s="1148"/>
      <c r="G28" s="1148"/>
      <c r="H28" s="1148"/>
      <c r="I28" s="1148"/>
      <c r="J28" s="1148"/>
      <c r="K28" s="1148"/>
      <c r="L28" s="1148"/>
      <c r="M28" s="1148"/>
      <c r="N28" s="1148"/>
      <c r="O28" s="1148"/>
      <c r="P28" s="1148"/>
      <c r="Q28" s="1148"/>
      <c r="R28" s="1149"/>
      <c r="U28" s="143" t="s">
        <v>39</v>
      </c>
      <c r="V28" s="117">
        <v>2021</v>
      </c>
      <c r="W28" s="117" t="s">
        <v>180</v>
      </c>
      <c r="X28" s="9" t="s">
        <v>90</v>
      </c>
      <c r="Y28" s="136">
        <f>Y16*H9</f>
        <v>11.724473809371505</v>
      </c>
      <c r="Z28" s="117" t="s">
        <v>1115</v>
      </c>
      <c r="AA28" s="117"/>
      <c r="AB28" s="117"/>
      <c r="AC28" s="117"/>
      <c r="AF28" s="143" t="s">
        <v>39</v>
      </c>
      <c r="AG28" s="117">
        <v>2021</v>
      </c>
      <c r="AH28" s="117" t="s">
        <v>182</v>
      </c>
      <c r="AI28" s="9" t="s">
        <v>90</v>
      </c>
      <c r="AJ28" s="136">
        <f>AJ16*H9</f>
        <v>344.79105266934431</v>
      </c>
      <c r="AK28" s="117" t="s">
        <v>1115</v>
      </c>
      <c r="AL28" s="117"/>
      <c r="AM28" s="117"/>
      <c r="AN28" s="117"/>
    </row>
    <row r="29" spans="1:40" ht="30" customHeight="1">
      <c r="A29" s="140" t="s">
        <v>100</v>
      </c>
      <c r="B29" s="140" t="s">
        <v>101</v>
      </c>
      <c r="C29" s="140" t="s">
        <v>131</v>
      </c>
      <c r="D29" s="140" t="s">
        <v>102</v>
      </c>
      <c r="E29" s="140" t="s">
        <v>873</v>
      </c>
      <c r="F29" s="1026" t="s">
        <v>104</v>
      </c>
      <c r="G29" s="1026"/>
      <c r="H29" s="1026"/>
      <c r="I29" s="1026"/>
      <c r="U29" s="143" t="s">
        <v>39</v>
      </c>
      <c r="V29" s="117">
        <v>2021</v>
      </c>
      <c r="W29" s="117" t="s">
        <v>180</v>
      </c>
      <c r="X29" s="9" t="s">
        <v>91</v>
      </c>
      <c r="Y29" s="136">
        <f>Y16*H10</f>
        <v>100.1639624060858</v>
      </c>
      <c r="Z29" s="117" t="s">
        <v>1115</v>
      </c>
      <c r="AA29" s="117"/>
      <c r="AB29" s="117"/>
      <c r="AC29" s="117"/>
      <c r="AF29" s="143" t="s">
        <v>39</v>
      </c>
      <c r="AG29" s="117">
        <v>2021</v>
      </c>
      <c r="AH29" s="117" t="s">
        <v>182</v>
      </c>
      <c r="AI29" s="9" t="s">
        <v>91</v>
      </c>
      <c r="AJ29" s="136">
        <f>AJ16*H10</f>
        <v>2945.6023868569887</v>
      </c>
      <c r="AK29" s="117" t="s">
        <v>1115</v>
      </c>
      <c r="AL29" s="117"/>
      <c r="AM29" s="117"/>
      <c r="AN29" s="117"/>
    </row>
    <row r="30" spans="1:40">
      <c r="A30" s="143" t="s">
        <v>39</v>
      </c>
      <c r="B30" s="117">
        <v>2020</v>
      </c>
      <c r="C30" s="117" t="s">
        <v>182</v>
      </c>
      <c r="D30" s="117" t="s">
        <v>934</v>
      </c>
      <c r="E30" s="117">
        <v>15458.25</v>
      </c>
      <c r="F30" s="1131" t="s">
        <v>1116</v>
      </c>
      <c r="G30" s="1131"/>
      <c r="H30" s="1131"/>
      <c r="I30" s="1131"/>
      <c r="U30" s="143" t="s">
        <v>39</v>
      </c>
      <c r="V30" s="117">
        <v>2021</v>
      </c>
      <c r="W30" s="117" t="s">
        <v>180</v>
      </c>
      <c r="X30" s="9" t="s">
        <v>98</v>
      </c>
      <c r="Y30" s="136">
        <f>Y16*H11</f>
        <v>13.860215362562069</v>
      </c>
      <c r="Z30" s="117" t="s">
        <v>1115</v>
      </c>
      <c r="AA30" s="117"/>
      <c r="AB30" s="117"/>
      <c r="AC30" s="117"/>
      <c r="AF30" s="143" t="s">
        <v>39</v>
      </c>
      <c r="AG30" s="117">
        <v>2021</v>
      </c>
      <c r="AH30" s="117" t="s">
        <v>182</v>
      </c>
      <c r="AI30" s="9" t="s">
        <v>98</v>
      </c>
      <c r="AJ30" s="136">
        <f>AJ16*H11</f>
        <v>407.59852619243202</v>
      </c>
      <c r="AK30" s="117" t="s">
        <v>1115</v>
      </c>
      <c r="AL30" s="117"/>
      <c r="AM30" s="117"/>
      <c r="AN30" s="117"/>
    </row>
    <row r="31" spans="1:40">
      <c r="U31" s="143" t="s">
        <v>39</v>
      </c>
      <c r="V31" s="117">
        <v>2020</v>
      </c>
      <c r="W31" s="117" t="s">
        <v>180</v>
      </c>
      <c r="X31" s="9" t="s">
        <v>85</v>
      </c>
      <c r="Y31" s="136">
        <f>Y17*H4</f>
        <v>179.20538768005665</v>
      </c>
      <c r="Z31" s="117" t="s">
        <v>1115</v>
      </c>
      <c r="AA31" s="117"/>
      <c r="AB31" s="117"/>
      <c r="AC31" s="117"/>
      <c r="AF31" s="143" t="s">
        <v>39</v>
      </c>
      <c r="AG31" s="117">
        <v>2020</v>
      </c>
      <c r="AH31" s="117" t="s">
        <v>182</v>
      </c>
      <c r="AI31" s="9" t="s">
        <v>85</v>
      </c>
      <c r="AJ31" s="136">
        <f>AJ17*H4</f>
        <v>4998.880915889391</v>
      </c>
      <c r="AK31" s="117" t="s">
        <v>1115</v>
      </c>
      <c r="AL31" s="117"/>
      <c r="AM31" s="117"/>
      <c r="AN31" s="117"/>
    </row>
    <row r="32" spans="1:40" ht="30" customHeight="1">
      <c r="A32" s="140" t="s">
        <v>100</v>
      </c>
      <c r="B32" s="140" t="s">
        <v>101</v>
      </c>
      <c r="C32" s="140" t="s">
        <v>131</v>
      </c>
      <c r="D32" s="140" t="s">
        <v>102</v>
      </c>
      <c r="E32" s="140" t="s">
        <v>873</v>
      </c>
      <c r="F32" s="1026" t="s">
        <v>104</v>
      </c>
      <c r="G32" s="1026"/>
      <c r="H32" s="1026"/>
      <c r="I32" s="1026"/>
      <c r="U32" s="143" t="s">
        <v>39</v>
      </c>
      <c r="V32" s="117">
        <v>2020</v>
      </c>
      <c r="W32" s="117" t="s">
        <v>180</v>
      </c>
      <c r="X32" s="9" t="s">
        <v>86</v>
      </c>
      <c r="Y32" s="136">
        <f>Y17*H5</f>
        <v>102.02794810331973</v>
      </c>
      <c r="Z32" s="117" t="s">
        <v>1115</v>
      </c>
      <c r="AA32" s="117"/>
      <c r="AB32" s="117"/>
      <c r="AC32" s="117"/>
      <c r="AF32" s="143" t="s">
        <v>39</v>
      </c>
      <c r="AG32" s="117">
        <v>2020</v>
      </c>
      <c r="AH32" s="117" t="s">
        <v>182</v>
      </c>
      <c r="AI32" s="9" t="s">
        <v>86</v>
      </c>
      <c r="AJ32" s="136">
        <f>AJ17*H5</f>
        <v>2846.0392249568386</v>
      </c>
      <c r="AK32" s="117" t="s">
        <v>1115</v>
      </c>
      <c r="AL32" s="117"/>
      <c r="AM32" s="117"/>
      <c r="AN32" s="117"/>
    </row>
    <row r="33" spans="1:40">
      <c r="A33" s="143" t="s">
        <v>39</v>
      </c>
      <c r="B33" s="117">
        <v>2020</v>
      </c>
      <c r="C33" s="117" t="s">
        <v>182</v>
      </c>
      <c r="D33" s="9" t="s">
        <v>85</v>
      </c>
      <c r="E33" s="136">
        <f t="shared" ref="E33:E40" si="4">H4*$E$30</f>
        <v>5000.3640507314722</v>
      </c>
      <c r="F33" s="1033" t="s">
        <v>1115</v>
      </c>
      <c r="G33" s="1033"/>
      <c r="H33" s="1033"/>
      <c r="I33" s="1033"/>
      <c r="U33" s="143" t="s">
        <v>39</v>
      </c>
      <c r="V33" s="117">
        <v>2020</v>
      </c>
      <c r="W33" s="117" t="s">
        <v>180</v>
      </c>
      <c r="X33" s="9" t="s">
        <v>87</v>
      </c>
      <c r="Y33" s="136">
        <f>Y17*H6</f>
        <v>116.77935273343896</v>
      </c>
      <c r="Z33" s="117" t="s">
        <v>1115</v>
      </c>
      <c r="AA33" s="117"/>
      <c r="AB33" s="117"/>
      <c r="AC33" s="117"/>
      <c r="AF33" s="143" t="s">
        <v>39</v>
      </c>
      <c r="AG33" s="117">
        <v>2020</v>
      </c>
      <c r="AH33" s="117" t="s">
        <v>182</v>
      </c>
      <c r="AI33" s="9" t="s">
        <v>87</v>
      </c>
      <c r="AJ33" s="136">
        <f>AJ17*H6</f>
        <v>3257.5252636451264</v>
      </c>
      <c r="AK33" s="117" t="s">
        <v>1115</v>
      </c>
      <c r="AL33" s="117"/>
      <c r="AM33" s="117"/>
      <c r="AN33" s="117"/>
    </row>
    <row r="34" spans="1:40">
      <c r="A34" s="143" t="s">
        <v>39</v>
      </c>
      <c r="B34" s="117">
        <v>2020</v>
      </c>
      <c r="C34" s="117" t="s">
        <v>182</v>
      </c>
      <c r="D34" s="9" t="s">
        <v>86</v>
      </c>
      <c r="E34" s="136">
        <f t="shared" si="4"/>
        <v>2846.8836259352747</v>
      </c>
      <c r="F34" s="1033" t="s">
        <v>1115</v>
      </c>
      <c r="G34" s="1033"/>
      <c r="H34" s="1033"/>
      <c r="I34" s="1033"/>
      <c r="U34" s="143" t="s">
        <v>39</v>
      </c>
      <c r="V34" s="117">
        <v>2020</v>
      </c>
      <c r="W34" s="117" t="s">
        <v>180</v>
      </c>
      <c r="X34" s="9" t="s">
        <v>88</v>
      </c>
      <c r="Y34" s="136">
        <f>Y17*H7</f>
        <v>20.887643454491393</v>
      </c>
      <c r="Z34" s="117" t="s">
        <v>1115</v>
      </c>
      <c r="AA34" s="117"/>
      <c r="AB34" s="117"/>
      <c r="AC34" s="117"/>
      <c r="AF34" s="143" t="s">
        <v>39</v>
      </c>
      <c r="AG34" s="117">
        <v>2020</v>
      </c>
      <c r="AH34" s="117" t="s">
        <v>182</v>
      </c>
      <c r="AI34" s="9" t="s">
        <v>88</v>
      </c>
      <c r="AJ34" s="136">
        <f>AJ17*H7</f>
        <v>582.65459311399411</v>
      </c>
      <c r="AK34" s="117" t="s">
        <v>1115</v>
      </c>
      <c r="AL34" s="117"/>
      <c r="AM34" s="117"/>
      <c r="AN34" s="117"/>
    </row>
    <row r="35" spans="1:40">
      <c r="A35" s="143" t="s">
        <v>39</v>
      </c>
      <c r="B35" s="117">
        <v>2020</v>
      </c>
      <c r="C35" s="117" t="s">
        <v>182</v>
      </c>
      <c r="D35" s="9" t="s">
        <v>87</v>
      </c>
      <c r="E35" s="136">
        <f t="shared" si="4"/>
        <v>3258.4917498044815</v>
      </c>
      <c r="F35" s="1033" t="s">
        <v>1115</v>
      </c>
      <c r="G35" s="1033"/>
      <c r="H35" s="1033"/>
      <c r="I35" s="1033"/>
      <c r="U35" s="143" t="s">
        <v>39</v>
      </c>
      <c r="V35" s="117">
        <v>2020</v>
      </c>
      <c r="W35" s="117" t="s">
        <v>180</v>
      </c>
      <c r="X35" s="9" t="s">
        <v>89</v>
      </c>
      <c r="Y35" s="136">
        <f>Y17*H8</f>
        <v>7.4683391591176429</v>
      </c>
      <c r="Z35" s="117" t="s">
        <v>1115</v>
      </c>
      <c r="AA35" s="117"/>
      <c r="AB35" s="117"/>
      <c r="AC35" s="117"/>
      <c r="AF35" s="143" t="s">
        <v>39</v>
      </c>
      <c r="AG35" s="117">
        <v>2020</v>
      </c>
      <c r="AH35" s="117" t="s">
        <v>182</v>
      </c>
      <c r="AI35" s="9" t="s">
        <v>89</v>
      </c>
      <c r="AJ35" s="136">
        <f>AJ17*H8</f>
        <v>208.32709651874683</v>
      </c>
      <c r="AK35" s="117" t="s">
        <v>1115</v>
      </c>
      <c r="AL35" s="117"/>
      <c r="AM35" s="117"/>
      <c r="AN35" s="117"/>
    </row>
    <row r="36" spans="1:40">
      <c r="A36" s="143" t="s">
        <v>39</v>
      </c>
      <c r="B36" s="117">
        <v>2020</v>
      </c>
      <c r="C36" s="117" t="s">
        <v>182</v>
      </c>
      <c r="D36" s="9" t="s">
        <v>88</v>
      </c>
      <c r="E36" s="136">
        <f t="shared" si="4"/>
        <v>582.82746287074292</v>
      </c>
      <c r="F36" s="1033" t="s">
        <v>1115</v>
      </c>
      <c r="G36" s="1033"/>
      <c r="H36" s="1033"/>
      <c r="I36" s="1033"/>
      <c r="U36" s="143" t="s">
        <v>39</v>
      </c>
      <c r="V36" s="117">
        <v>2020</v>
      </c>
      <c r="W36" s="117" t="s">
        <v>180</v>
      </c>
      <c r="X36" s="9" t="s">
        <v>90</v>
      </c>
      <c r="Y36" s="136">
        <f>Y17*H9</f>
        <v>11.900009692415585</v>
      </c>
      <c r="Z36" s="117" t="s">
        <v>1115</v>
      </c>
      <c r="AA36" s="117"/>
      <c r="AB36" s="117"/>
      <c r="AC36" s="117"/>
      <c r="AF36" s="143" t="s">
        <v>39</v>
      </c>
      <c r="AG36" s="117">
        <v>2020</v>
      </c>
      <c r="AH36" s="117" t="s">
        <v>182</v>
      </c>
      <c r="AI36" s="9" t="s">
        <v>90</v>
      </c>
      <c r="AJ36" s="136">
        <f>AJ17*H9</f>
        <v>331.94722614321932</v>
      </c>
      <c r="AK36" s="117" t="s">
        <v>1115</v>
      </c>
      <c r="AL36" s="117"/>
      <c r="AM36" s="117"/>
      <c r="AN36" s="117"/>
    </row>
    <row r="37" spans="1:40">
      <c r="A37" s="143" t="s">
        <v>39</v>
      </c>
      <c r="B37" s="117">
        <v>2020</v>
      </c>
      <c r="C37" s="117" t="s">
        <v>182</v>
      </c>
      <c r="D37" s="9" t="s">
        <v>89</v>
      </c>
      <c r="E37" s="136">
        <f t="shared" si="4"/>
        <v>208.38890578778032</v>
      </c>
      <c r="F37" s="1033" t="s">
        <v>1115</v>
      </c>
      <c r="G37" s="1033"/>
      <c r="H37" s="1033"/>
      <c r="I37" s="1033"/>
      <c r="U37" s="143" t="s">
        <v>39</v>
      </c>
      <c r="V37" s="117">
        <v>2020</v>
      </c>
      <c r="W37" s="117" t="s">
        <v>180</v>
      </c>
      <c r="X37" s="9" t="s">
        <v>91</v>
      </c>
      <c r="Y37" s="136">
        <f>Y17*H10</f>
        <v>101.66359214435965</v>
      </c>
      <c r="Z37" s="117" t="s">
        <v>1115</v>
      </c>
      <c r="AA37" s="117"/>
      <c r="AB37" s="117"/>
      <c r="AC37" s="117"/>
      <c r="AF37" s="143" t="s">
        <v>39</v>
      </c>
      <c r="AG37" s="117">
        <v>2020</v>
      </c>
      <c r="AH37" s="117" t="s">
        <v>182</v>
      </c>
      <c r="AI37" s="9" t="s">
        <v>91</v>
      </c>
      <c r="AJ37" s="136">
        <f>AJ17*H10</f>
        <v>2835.8756239992163</v>
      </c>
      <c r="AK37" s="117" t="s">
        <v>1115</v>
      </c>
      <c r="AL37" s="117"/>
      <c r="AM37" s="117"/>
      <c r="AN37" s="117"/>
    </row>
    <row r="38" spans="1:40">
      <c r="A38" s="143" t="s">
        <v>39</v>
      </c>
      <c r="B38" s="117">
        <v>2020</v>
      </c>
      <c r="C38" s="117" t="s">
        <v>182</v>
      </c>
      <c r="D38" s="9" t="s">
        <v>90</v>
      </c>
      <c r="E38" s="136">
        <f t="shared" si="4"/>
        <v>332.04571268552922</v>
      </c>
      <c r="F38" s="1033" t="s">
        <v>1115</v>
      </c>
      <c r="G38" s="1033"/>
      <c r="H38" s="1033"/>
      <c r="I38" s="1033"/>
      <c r="U38" s="143" t="s">
        <v>39</v>
      </c>
      <c r="V38" s="117">
        <v>2020</v>
      </c>
      <c r="W38" s="117" t="s">
        <v>180</v>
      </c>
      <c r="X38" s="9" t="s">
        <v>98</v>
      </c>
      <c r="Y38" s="136">
        <f>Y17*H11</f>
        <v>14.06772703280042</v>
      </c>
      <c r="Z38" s="117" t="s">
        <v>1115</v>
      </c>
      <c r="AA38" s="117"/>
      <c r="AB38" s="117"/>
      <c r="AC38" s="117"/>
      <c r="AF38" s="143" t="s">
        <v>39</v>
      </c>
      <c r="AG38" s="117">
        <v>2020</v>
      </c>
      <c r="AH38" s="117" t="s">
        <v>182</v>
      </c>
      <c r="AI38" s="9" t="s">
        <v>98</v>
      </c>
      <c r="AJ38" s="136">
        <f>AJ17*H11</f>
        <v>392.41505573346876</v>
      </c>
      <c r="AK38" s="117" t="s">
        <v>1115</v>
      </c>
      <c r="AL38" s="117"/>
      <c r="AM38" s="117"/>
      <c r="AN38" s="117"/>
    </row>
    <row r="39" spans="1:40">
      <c r="A39" s="143" t="s">
        <v>39</v>
      </c>
      <c r="B39" s="117">
        <v>2020</v>
      </c>
      <c r="C39" s="117" t="s">
        <v>182</v>
      </c>
      <c r="D39" s="9" t="s">
        <v>91</v>
      </c>
      <c r="E39" s="136">
        <f t="shared" si="4"/>
        <v>2836.7170095045985</v>
      </c>
      <c r="F39" s="1033" t="s">
        <v>1115</v>
      </c>
      <c r="G39" s="1033"/>
      <c r="H39" s="1033"/>
      <c r="I39" s="1033"/>
      <c r="U39" s="143" t="s">
        <v>39</v>
      </c>
      <c r="V39" s="117">
        <v>2019</v>
      </c>
      <c r="W39" s="117" t="s">
        <v>180</v>
      </c>
      <c r="X39" s="9" t="s">
        <v>85</v>
      </c>
      <c r="Y39" s="136">
        <f>Y18*H4</f>
        <v>169.17764938027008</v>
      </c>
      <c r="Z39" s="117" t="s">
        <v>1115</v>
      </c>
      <c r="AA39" s="117"/>
      <c r="AB39" s="117"/>
      <c r="AC39" s="117"/>
      <c r="AF39" s="143" t="s">
        <v>39</v>
      </c>
      <c r="AG39" s="117">
        <v>2019</v>
      </c>
      <c r="AH39" s="117" t="s">
        <v>182</v>
      </c>
      <c r="AI39" s="9" t="s">
        <v>85</v>
      </c>
      <c r="AJ39" s="136">
        <f>AJ18*H4</f>
        <v>4937.1368964233152</v>
      </c>
      <c r="AK39" s="117" t="s">
        <v>1115</v>
      </c>
      <c r="AL39" s="117"/>
      <c r="AM39" s="117"/>
      <c r="AN39" s="117"/>
    </row>
    <row r="40" spans="1:40">
      <c r="A40" s="143" t="s">
        <v>39</v>
      </c>
      <c r="B40" s="117">
        <v>2020</v>
      </c>
      <c r="C40" s="117" t="s">
        <v>182</v>
      </c>
      <c r="D40" s="9" t="s">
        <v>98</v>
      </c>
      <c r="E40" s="136">
        <f t="shared" si="4"/>
        <v>392.53148268012109</v>
      </c>
      <c r="F40" s="1033" t="s">
        <v>1115</v>
      </c>
      <c r="G40" s="1033"/>
      <c r="H40" s="1033"/>
      <c r="I40" s="1033"/>
      <c r="U40" s="143" t="s">
        <v>39</v>
      </c>
      <c r="V40" s="117">
        <v>2019</v>
      </c>
      <c r="W40" s="117" t="s">
        <v>180</v>
      </c>
      <c r="X40" s="9" t="s">
        <v>86</v>
      </c>
      <c r="Y40" s="136">
        <f>Y18*H5</f>
        <v>96.318802992845164</v>
      </c>
      <c r="Z40" s="117" t="s">
        <v>1115</v>
      </c>
      <c r="AA40" s="117"/>
      <c r="AB40" s="117"/>
      <c r="AC40" s="117"/>
      <c r="AF40" s="143" t="s">
        <v>39</v>
      </c>
      <c r="AG40" s="117">
        <v>2019</v>
      </c>
      <c r="AH40" s="117" t="s">
        <v>182</v>
      </c>
      <c r="AI40" s="9" t="s">
        <v>86</v>
      </c>
      <c r="AJ40" s="136">
        <f>AJ18*H5</f>
        <v>2810.8861768519337</v>
      </c>
      <c r="AK40" s="117" t="s">
        <v>1115</v>
      </c>
      <c r="AL40" s="117"/>
      <c r="AM40" s="117"/>
      <c r="AN40" s="117"/>
    </row>
    <row r="41" spans="1:40">
      <c r="U41" s="143" t="s">
        <v>39</v>
      </c>
      <c r="V41" s="117">
        <v>2019</v>
      </c>
      <c r="W41" s="117" t="s">
        <v>180</v>
      </c>
      <c r="X41" s="9" t="s">
        <v>87</v>
      </c>
      <c r="Y41" s="136">
        <f>Y18*H6</f>
        <v>110.24476801369778</v>
      </c>
      <c r="Z41" s="117" t="s">
        <v>1115</v>
      </c>
      <c r="AA41" s="117"/>
      <c r="AB41" s="117"/>
      <c r="AC41" s="117"/>
      <c r="AF41" s="143" t="s">
        <v>39</v>
      </c>
      <c r="AG41" s="117">
        <v>2019</v>
      </c>
      <c r="AH41" s="117" t="s">
        <v>182</v>
      </c>
      <c r="AI41" s="9" t="s">
        <v>87</v>
      </c>
      <c r="AJ41" s="136">
        <f>AJ18*H6</f>
        <v>3217.2897175951252</v>
      </c>
      <c r="AK41" s="117" t="s">
        <v>1115</v>
      </c>
      <c r="AL41" s="117"/>
      <c r="AM41" s="117"/>
      <c r="AN41" s="117"/>
    </row>
    <row r="42" spans="1:40" ht="30" customHeight="1">
      <c r="A42" s="1147" t="s">
        <v>15</v>
      </c>
      <c r="B42" s="1148"/>
      <c r="C42" s="1148"/>
      <c r="D42" s="1148"/>
      <c r="E42" s="1148"/>
      <c r="F42" s="1148"/>
      <c r="G42" s="1148"/>
      <c r="H42" s="1148"/>
      <c r="I42" s="1148"/>
      <c r="J42" s="1148"/>
      <c r="K42" s="1148"/>
      <c r="L42" s="1148"/>
      <c r="M42" s="1148"/>
      <c r="N42" s="1148"/>
      <c r="O42" s="1148"/>
      <c r="P42" s="1148"/>
      <c r="Q42" s="1148"/>
      <c r="R42" s="1149"/>
      <c r="U42" s="143" t="s">
        <v>39</v>
      </c>
      <c r="V42" s="117">
        <v>2019</v>
      </c>
      <c r="W42" s="117" t="s">
        <v>180</v>
      </c>
      <c r="X42" s="9" t="s">
        <v>88</v>
      </c>
      <c r="Y42" s="136">
        <f>Y18*H7</f>
        <v>19.71884030090072</v>
      </c>
      <c r="Z42" s="117" t="s">
        <v>1115</v>
      </c>
      <c r="AA42" s="117"/>
      <c r="AB42" s="117"/>
      <c r="AC42" s="117"/>
      <c r="AF42" s="143" t="s">
        <v>39</v>
      </c>
      <c r="AG42" s="117">
        <v>2019</v>
      </c>
      <c r="AH42" s="117" t="s">
        <v>182</v>
      </c>
      <c r="AI42" s="9" t="s">
        <v>88</v>
      </c>
      <c r="AJ42" s="136">
        <f>AJ18*H7</f>
        <v>575.45789506406095</v>
      </c>
      <c r="AK42" s="117" t="s">
        <v>1115</v>
      </c>
      <c r="AL42" s="117"/>
      <c r="AM42" s="117"/>
      <c r="AN42" s="117"/>
    </row>
    <row r="43" spans="1:40" ht="30" customHeight="1" thickBot="1">
      <c r="A43" s="1138" t="s">
        <v>1117</v>
      </c>
      <c r="B43" s="1139"/>
      <c r="C43" s="1139"/>
      <c r="D43" s="1139"/>
      <c r="E43" s="1139"/>
      <c r="F43" s="1139"/>
      <c r="G43" s="1139"/>
      <c r="H43" s="1139"/>
      <c r="I43" s="1139"/>
      <c r="J43" s="1139"/>
      <c r="K43" s="1139"/>
      <c r="L43" s="1139"/>
      <c r="M43" s="1139"/>
      <c r="N43" s="1139"/>
      <c r="O43" s="1139"/>
      <c r="P43" s="1139"/>
      <c r="Q43" s="1139"/>
      <c r="R43" s="1140"/>
      <c r="U43" s="143" t="s">
        <v>39</v>
      </c>
      <c r="V43" s="117">
        <v>2019</v>
      </c>
      <c r="W43" s="117" t="s">
        <v>180</v>
      </c>
      <c r="X43" s="9" t="s">
        <v>89</v>
      </c>
      <c r="Y43" s="136">
        <f>Y18*H8</f>
        <v>7.0504357043655723</v>
      </c>
      <c r="Z43" s="117" t="s">
        <v>1115</v>
      </c>
      <c r="AA43" s="117"/>
      <c r="AB43" s="117"/>
      <c r="AC43" s="117"/>
      <c r="AF43" s="143" t="s">
        <v>39</v>
      </c>
      <c r="AG43" s="117">
        <v>2019</v>
      </c>
      <c r="AH43" s="117" t="s">
        <v>182</v>
      </c>
      <c r="AI43" s="9" t="s">
        <v>89</v>
      </c>
      <c r="AJ43" s="136">
        <f>AJ18*H8</f>
        <v>205.7539301402723</v>
      </c>
      <c r="AK43" s="117" t="s">
        <v>1115</v>
      </c>
      <c r="AL43" s="117"/>
      <c r="AM43" s="117"/>
      <c r="AN43" s="117"/>
    </row>
    <row r="44" spans="1:40" s="2" customFormat="1" ht="30" customHeight="1">
      <c r="A44" s="65" t="s">
        <v>129</v>
      </c>
      <c r="B44" s="107" t="s">
        <v>130</v>
      </c>
      <c r="C44" s="108" t="s">
        <v>131</v>
      </c>
      <c r="D44" s="109" t="s">
        <v>102</v>
      </c>
      <c r="E44" s="226" t="s">
        <v>132</v>
      </c>
      <c r="F44" s="108" t="s">
        <v>133</v>
      </c>
      <c r="G44" s="110" t="s">
        <v>104</v>
      </c>
      <c r="H44" s="111" t="s">
        <v>134</v>
      </c>
      <c r="I44" s="112" t="s">
        <v>135</v>
      </c>
      <c r="J44" s="112" t="s">
        <v>65</v>
      </c>
      <c r="K44" s="112" t="s">
        <v>67</v>
      </c>
      <c r="L44" s="112" t="s">
        <v>73</v>
      </c>
      <c r="M44" s="113" t="s">
        <v>79</v>
      </c>
      <c r="N44" s="114" t="s">
        <v>106</v>
      </c>
      <c r="O44" s="115" t="s">
        <v>123</v>
      </c>
      <c r="P44" s="6"/>
      <c r="Q44" s="6"/>
      <c r="U44" s="143" t="s">
        <v>39</v>
      </c>
      <c r="V44" s="117">
        <v>2019</v>
      </c>
      <c r="W44" s="117" t="s">
        <v>180</v>
      </c>
      <c r="X44" s="9" t="s">
        <v>90</v>
      </c>
      <c r="Y44" s="136">
        <f>Y18*H9</f>
        <v>11.234124673525903</v>
      </c>
      <c r="Z44" s="117" t="s">
        <v>1115</v>
      </c>
      <c r="AA44" s="117"/>
      <c r="AB44" s="117"/>
      <c r="AC44" s="117"/>
      <c r="AF44" s="143" t="s">
        <v>39</v>
      </c>
      <c r="AG44" s="117">
        <v>2019</v>
      </c>
      <c r="AH44" s="117" t="s">
        <v>182</v>
      </c>
      <c r="AI44" s="9" t="s">
        <v>90</v>
      </c>
      <c r="AJ44" s="136">
        <f>AJ18*H9</f>
        <v>327.84715728029653</v>
      </c>
      <c r="AK44" s="117" t="s">
        <v>1115</v>
      </c>
      <c r="AL44" s="117"/>
      <c r="AM44" s="117"/>
      <c r="AN44" s="117"/>
    </row>
    <row r="45" spans="1:40" s="2" customFormat="1">
      <c r="A45" s="151" t="s">
        <v>39</v>
      </c>
      <c r="B45" s="34" t="s">
        <v>237</v>
      </c>
      <c r="C45" s="40" t="s">
        <v>139</v>
      </c>
      <c r="D45" s="34" t="s">
        <v>86</v>
      </c>
      <c r="E45" s="305">
        <v>0.1638</v>
      </c>
      <c r="F45" s="306">
        <v>1</v>
      </c>
      <c r="G45" s="40" t="s">
        <v>140</v>
      </c>
      <c r="H45" s="249">
        <v>2</v>
      </c>
      <c r="I45" s="10">
        <v>2</v>
      </c>
      <c r="J45" s="10">
        <v>2</v>
      </c>
      <c r="K45" s="10">
        <v>1</v>
      </c>
      <c r="L45" s="10">
        <v>1</v>
      </c>
      <c r="M45" s="290">
        <v>2</v>
      </c>
      <c r="N45" s="295"/>
      <c r="O45" s="34"/>
      <c r="P45" s="6"/>
      <c r="Q45" s="6"/>
      <c r="U45" s="143" t="s">
        <v>39</v>
      </c>
      <c r="V45" s="117">
        <v>2019</v>
      </c>
      <c r="W45" s="117" t="s">
        <v>180</v>
      </c>
      <c r="X45" s="9" t="s">
        <v>91</v>
      </c>
      <c r="Y45" s="136">
        <f>Y18*H10</f>
        <v>95.974835183213173</v>
      </c>
      <c r="Z45" s="117" t="s">
        <v>1115</v>
      </c>
      <c r="AA45" s="117"/>
      <c r="AB45" s="117"/>
      <c r="AC45" s="117"/>
      <c r="AF45" s="143" t="s">
        <v>39</v>
      </c>
      <c r="AG45" s="117">
        <v>2019</v>
      </c>
      <c r="AH45" s="117" t="s">
        <v>182</v>
      </c>
      <c r="AI45" s="9" t="s">
        <v>91</v>
      </c>
      <c r="AJ45" s="136">
        <f>AJ18*H10</f>
        <v>2800.8481123065467</v>
      </c>
      <c r="AK45" s="117" t="s">
        <v>1115</v>
      </c>
      <c r="AL45" s="117"/>
      <c r="AM45" s="117"/>
      <c r="AN45" s="117"/>
    </row>
    <row r="46" spans="1:40" s="2" customFormat="1">
      <c r="A46" s="151" t="s">
        <v>39</v>
      </c>
      <c r="B46" s="34" t="s">
        <v>236</v>
      </c>
      <c r="C46" s="40" t="s">
        <v>139</v>
      </c>
      <c r="D46" s="34" t="s">
        <v>86</v>
      </c>
      <c r="E46" s="305">
        <v>1.2200000000000001E-2</v>
      </c>
      <c r="F46" s="306">
        <v>1</v>
      </c>
      <c r="G46" s="40" t="s">
        <v>140</v>
      </c>
      <c r="H46" s="249">
        <v>2</v>
      </c>
      <c r="I46" s="10">
        <v>2</v>
      </c>
      <c r="J46" s="10">
        <v>2</v>
      </c>
      <c r="K46" s="10">
        <v>1</v>
      </c>
      <c r="L46" s="10">
        <v>1</v>
      </c>
      <c r="M46" s="290">
        <v>2</v>
      </c>
      <c r="N46" s="295"/>
      <c r="O46" s="34"/>
      <c r="P46" s="6"/>
      <c r="Q46" s="6"/>
      <c r="U46" s="143" t="s">
        <v>39</v>
      </c>
      <c r="V46" s="117">
        <v>2019</v>
      </c>
      <c r="W46" s="117" t="s">
        <v>180</v>
      </c>
      <c r="X46" s="9" t="s">
        <v>98</v>
      </c>
      <c r="Y46" s="136">
        <f>Y18*H11</f>
        <v>13.280543751181623</v>
      </c>
      <c r="Z46" s="117" t="s">
        <v>1115</v>
      </c>
      <c r="AA46" s="117"/>
      <c r="AB46" s="117"/>
      <c r="AC46" s="117"/>
      <c r="AF46" s="143" t="s">
        <v>39</v>
      </c>
      <c r="AG46" s="117">
        <v>2019</v>
      </c>
      <c r="AH46" s="117" t="s">
        <v>182</v>
      </c>
      <c r="AI46" s="9" t="s">
        <v>98</v>
      </c>
      <c r="AJ46" s="136">
        <f>AJ18*H11</f>
        <v>387.56811433845098</v>
      </c>
      <c r="AK46" s="117" t="s">
        <v>1115</v>
      </c>
      <c r="AL46" s="117"/>
      <c r="AM46" s="117"/>
      <c r="AN46" s="117"/>
    </row>
    <row r="47" spans="1:40" s="2" customFormat="1">
      <c r="A47" s="151" t="s">
        <v>39</v>
      </c>
      <c r="B47" s="34" t="s">
        <v>203</v>
      </c>
      <c r="C47" s="40" t="s">
        <v>139</v>
      </c>
      <c r="D47" s="34" t="s">
        <v>86</v>
      </c>
      <c r="E47" s="305">
        <v>8.3099999999999993E-2</v>
      </c>
      <c r="F47" s="306">
        <v>1</v>
      </c>
      <c r="G47" s="40" t="s">
        <v>140</v>
      </c>
      <c r="H47" s="249">
        <v>2</v>
      </c>
      <c r="I47" s="10">
        <v>2</v>
      </c>
      <c r="J47" s="10">
        <v>2</v>
      </c>
      <c r="K47" s="10">
        <v>1</v>
      </c>
      <c r="L47" s="10">
        <v>1</v>
      </c>
      <c r="M47" s="290">
        <v>2</v>
      </c>
      <c r="N47" s="295"/>
      <c r="O47" s="34"/>
      <c r="P47" s="6"/>
      <c r="Q47" s="6"/>
      <c r="U47" s="143" t="s">
        <v>39</v>
      </c>
      <c r="V47" s="117">
        <v>2018</v>
      </c>
      <c r="W47" s="117" t="s">
        <v>180</v>
      </c>
      <c r="X47" s="9" t="s">
        <v>85</v>
      </c>
      <c r="Y47" s="136">
        <f>Y19*H4</f>
        <v>169.17764938027008</v>
      </c>
      <c r="Z47" s="117" t="s">
        <v>1115</v>
      </c>
      <c r="AA47" s="117"/>
      <c r="AB47" s="117"/>
      <c r="AC47" s="117"/>
      <c r="AF47" s="143" t="s">
        <v>39</v>
      </c>
      <c r="AG47" s="117">
        <v>2018</v>
      </c>
      <c r="AH47" s="117" t="s">
        <v>182</v>
      </c>
      <c r="AI47" s="9" t="s">
        <v>85</v>
      </c>
      <c r="AJ47" s="136">
        <f>AJ19*H4</f>
        <v>4793.0761436805778</v>
      </c>
      <c r="AK47" s="117" t="s">
        <v>1115</v>
      </c>
      <c r="AL47" s="117"/>
      <c r="AM47" s="117"/>
      <c r="AN47" s="117"/>
    </row>
    <row r="48" spans="1:40" s="2" customFormat="1">
      <c r="A48" s="151" t="s">
        <v>39</v>
      </c>
      <c r="B48" s="34" t="s">
        <v>235</v>
      </c>
      <c r="C48" s="40" t="s">
        <v>139</v>
      </c>
      <c r="D48" s="34" t="s">
        <v>86</v>
      </c>
      <c r="E48" s="305">
        <v>0</v>
      </c>
      <c r="F48" s="306">
        <v>1</v>
      </c>
      <c r="G48" s="40" t="s">
        <v>140</v>
      </c>
      <c r="H48" s="249"/>
      <c r="I48" s="10"/>
      <c r="J48" s="10"/>
      <c r="K48" s="10"/>
      <c r="L48" s="10"/>
      <c r="M48" s="290"/>
      <c r="N48" s="295"/>
      <c r="O48" s="34"/>
      <c r="P48" s="6"/>
      <c r="Q48" s="6"/>
      <c r="U48" s="143" t="s">
        <v>39</v>
      </c>
      <c r="V48" s="117">
        <v>2018</v>
      </c>
      <c r="W48" s="117" t="s">
        <v>180</v>
      </c>
      <c r="X48" s="9" t="s">
        <v>86</v>
      </c>
      <c r="Y48" s="136">
        <f>Y19*H5</f>
        <v>96.318802992845164</v>
      </c>
      <c r="Z48" s="117" t="s">
        <v>1115</v>
      </c>
      <c r="AA48" s="117"/>
      <c r="AB48" s="117"/>
      <c r="AC48" s="117"/>
      <c r="AF48" s="143" t="s">
        <v>39</v>
      </c>
      <c r="AG48" s="117">
        <v>2018</v>
      </c>
      <c r="AH48" s="117" t="s">
        <v>182</v>
      </c>
      <c r="AI48" s="9" t="s">
        <v>86</v>
      </c>
      <c r="AJ48" s="136">
        <f>AJ19*H5</f>
        <v>2728.8673090330567</v>
      </c>
      <c r="AK48" s="117" t="s">
        <v>1115</v>
      </c>
      <c r="AL48" s="117"/>
      <c r="AM48" s="117"/>
      <c r="AN48" s="117"/>
    </row>
    <row r="49" spans="1:40" s="2" customFormat="1">
      <c r="A49" s="151" t="s">
        <v>39</v>
      </c>
      <c r="B49" s="34" t="s">
        <v>202</v>
      </c>
      <c r="C49" s="40" t="s">
        <v>139</v>
      </c>
      <c r="D49" s="34" t="s">
        <v>86</v>
      </c>
      <c r="E49" s="305">
        <v>6.8500000000000005E-2</v>
      </c>
      <c r="F49" s="306">
        <v>1</v>
      </c>
      <c r="G49" s="40" t="s">
        <v>140</v>
      </c>
      <c r="H49" s="249">
        <v>2</v>
      </c>
      <c r="I49" s="10">
        <v>2</v>
      </c>
      <c r="J49" s="10">
        <v>2</v>
      </c>
      <c r="K49" s="10">
        <v>1</v>
      </c>
      <c r="L49" s="10">
        <v>1</v>
      </c>
      <c r="M49" s="290">
        <v>2</v>
      </c>
      <c r="N49" s="295"/>
      <c r="O49" s="34"/>
      <c r="P49" s="6"/>
      <c r="Q49" s="6"/>
      <c r="U49" s="143" t="s">
        <v>39</v>
      </c>
      <c r="V49" s="117">
        <v>2018</v>
      </c>
      <c r="W49" s="117" t="s">
        <v>180</v>
      </c>
      <c r="X49" s="9" t="s">
        <v>87</v>
      </c>
      <c r="Y49" s="136">
        <f>Y19*H6</f>
        <v>110.24476801369778</v>
      </c>
      <c r="Z49" s="117" t="s">
        <v>1115</v>
      </c>
      <c r="AA49" s="117"/>
      <c r="AB49" s="117"/>
      <c r="AC49" s="117"/>
      <c r="AF49" s="143" t="s">
        <v>39</v>
      </c>
      <c r="AG49" s="117">
        <v>2018</v>
      </c>
      <c r="AH49" s="117" t="s">
        <v>182</v>
      </c>
      <c r="AI49" s="9" t="s">
        <v>87</v>
      </c>
      <c r="AJ49" s="136">
        <f>AJ19*H6</f>
        <v>3123.4123979599349</v>
      </c>
      <c r="AK49" s="117" t="s">
        <v>1115</v>
      </c>
      <c r="AL49" s="117"/>
      <c r="AM49" s="117"/>
      <c r="AN49" s="117"/>
    </row>
    <row r="50" spans="1:40" s="2" customFormat="1">
      <c r="A50" s="151" t="s">
        <v>39</v>
      </c>
      <c r="B50" s="34" t="s">
        <v>201</v>
      </c>
      <c r="C50" s="40" t="s">
        <v>139</v>
      </c>
      <c r="D50" s="34" t="s">
        <v>86</v>
      </c>
      <c r="E50" s="305">
        <v>0.38629999999999998</v>
      </c>
      <c r="F50" s="306">
        <v>1</v>
      </c>
      <c r="G50" s="40" t="s">
        <v>140</v>
      </c>
      <c r="H50" s="249">
        <v>2</v>
      </c>
      <c r="I50" s="10">
        <v>2</v>
      </c>
      <c r="J50" s="10">
        <v>2</v>
      </c>
      <c r="K50" s="10">
        <v>1</v>
      </c>
      <c r="L50" s="10">
        <v>1</v>
      </c>
      <c r="M50" s="290">
        <v>2</v>
      </c>
      <c r="N50" s="295"/>
      <c r="O50" s="34"/>
      <c r="P50" s="6"/>
      <c r="Q50" s="6"/>
      <c r="U50" s="143" t="s">
        <v>39</v>
      </c>
      <c r="V50" s="117">
        <v>2018</v>
      </c>
      <c r="W50" s="117" t="s">
        <v>180</v>
      </c>
      <c r="X50" s="9" t="s">
        <v>88</v>
      </c>
      <c r="Y50" s="136">
        <f>Y19*H7</f>
        <v>19.71884030090072</v>
      </c>
      <c r="Z50" s="117" t="s">
        <v>1115</v>
      </c>
      <c r="AA50" s="117"/>
      <c r="AB50" s="117"/>
      <c r="AC50" s="117"/>
      <c r="AF50" s="143" t="s">
        <v>39</v>
      </c>
      <c r="AG50" s="117">
        <v>2018</v>
      </c>
      <c r="AH50" s="117" t="s">
        <v>182</v>
      </c>
      <c r="AI50" s="9" t="s">
        <v>88</v>
      </c>
      <c r="AJ50" s="136">
        <f>AJ19*H7</f>
        <v>558.66660503628452</v>
      </c>
      <c r="AK50" s="117" t="s">
        <v>1115</v>
      </c>
      <c r="AL50" s="117"/>
      <c r="AM50" s="117"/>
      <c r="AN50" s="117"/>
    </row>
    <row r="51" spans="1:40" s="2" customFormat="1">
      <c r="A51" s="151" t="s">
        <v>39</v>
      </c>
      <c r="B51" s="34" t="s">
        <v>200</v>
      </c>
      <c r="C51" s="40" t="s">
        <v>139</v>
      </c>
      <c r="D51" s="34" t="s">
        <v>86</v>
      </c>
      <c r="E51" s="305">
        <v>0.27379999999999999</v>
      </c>
      <c r="F51" s="306">
        <v>1</v>
      </c>
      <c r="G51" s="40" t="s">
        <v>140</v>
      </c>
      <c r="H51" s="249">
        <v>2</v>
      </c>
      <c r="I51" s="10">
        <v>2</v>
      </c>
      <c r="J51" s="10">
        <v>2</v>
      </c>
      <c r="K51" s="10">
        <v>1</v>
      </c>
      <c r="L51" s="10">
        <v>1</v>
      </c>
      <c r="M51" s="290">
        <v>2</v>
      </c>
      <c r="N51" s="295"/>
      <c r="O51" s="34"/>
      <c r="P51" s="6"/>
      <c r="Q51" s="6"/>
      <c r="U51" s="143" t="s">
        <v>39</v>
      </c>
      <c r="V51" s="117">
        <v>2018</v>
      </c>
      <c r="W51" s="117" t="s">
        <v>180</v>
      </c>
      <c r="X51" s="9" t="s">
        <v>89</v>
      </c>
      <c r="Y51" s="136">
        <f>Y19*H8</f>
        <v>7.0504357043655723</v>
      </c>
      <c r="Z51" s="117" t="s">
        <v>1115</v>
      </c>
      <c r="AA51" s="117"/>
      <c r="AB51" s="117"/>
      <c r="AC51" s="117"/>
      <c r="AF51" s="143" t="s">
        <v>39</v>
      </c>
      <c r="AG51" s="117">
        <v>2018</v>
      </c>
      <c r="AH51" s="117" t="s">
        <v>182</v>
      </c>
      <c r="AI51" s="9" t="s">
        <v>89</v>
      </c>
      <c r="AJ51" s="136">
        <f>AJ19*H8</f>
        <v>199.7502347440078</v>
      </c>
      <c r="AK51" s="117" t="s">
        <v>1115</v>
      </c>
      <c r="AL51" s="117"/>
      <c r="AM51" s="117"/>
      <c r="AN51" s="117"/>
    </row>
    <row r="52" spans="1:40" s="2" customFormat="1">
      <c r="A52" s="151" t="s">
        <v>39</v>
      </c>
      <c r="B52" s="34" t="s">
        <v>183</v>
      </c>
      <c r="C52" s="40" t="s">
        <v>139</v>
      </c>
      <c r="D52" s="34" t="s">
        <v>86</v>
      </c>
      <c r="E52" s="305">
        <v>0</v>
      </c>
      <c r="F52" s="306">
        <v>1</v>
      </c>
      <c r="G52" s="40" t="s">
        <v>140</v>
      </c>
      <c r="H52" s="249"/>
      <c r="I52" s="10"/>
      <c r="J52" s="10"/>
      <c r="K52" s="10"/>
      <c r="L52" s="10"/>
      <c r="M52" s="290"/>
      <c r="N52" s="295"/>
      <c r="O52" s="34"/>
      <c r="P52" s="6"/>
      <c r="Q52" s="6"/>
      <c r="U52" s="143" t="s">
        <v>39</v>
      </c>
      <c r="V52" s="117">
        <v>2018</v>
      </c>
      <c r="W52" s="117" t="s">
        <v>180</v>
      </c>
      <c r="X52" s="9" t="s">
        <v>90</v>
      </c>
      <c r="Y52" s="136">
        <f>Y19*H9</f>
        <v>11.234124673525903</v>
      </c>
      <c r="Z52" s="117" t="s">
        <v>1115</v>
      </c>
      <c r="AA52" s="117"/>
      <c r="AB52" s="117"/>
      <c r="AC52" s="117"/>
      <c r="AF52" s="143" t="s">
        <v>39</v>
      </c>
      <c r="AG52" s="117">
        <v>2018</v>
      </c>
      <c r="AH52" s="117" t="s">
        <v>182</v>
      </c>
      <c r="AI52" s="9" t="s">
        <v>90</v>
      </c>
      <c r="AJ52" s="136">
        <f>AJ19*H9</f>
        <v>318.28090273779407</v>
      </c>
      <c r="AK52" s="117" t="s">
        <v>1115</v>
      </c>
      <c r="AL52" s="117"/>
      <c r="AM52" s="117"/>
      <c r="AN52" s="117"/>
    </row>
    <row r="53" spans="1:40" s="2" customFormat="1">
      <c r="A53" s="151" t="s">
        <v>39</v>
      </c>
      <c r="B53" s="34" t="s">
        <v>142</v>
      </c>
      <c r="C53" s="40" t="s">
        <v>139</v>
      </c>
      <c r="D53" s="34" t="s">
        <v>86</v>
      </c>
      <c r="E53" s="305">
        <v>0</v>
      </c>
      <c r="F53" s="306">
        <v>1</v>
      </c>
      <c r="G53" s="40" t="s">
        <v>140</v>
      </c>
      <c r="H53" s="249"/>
      <c r="I53" s="10"/>
      <c r="J53" s="10"/>
      <c r="K53" s="10"/>
      <c r="L53" s="10"/>
      <c r="M53" s="290"/>
      <c r="N53" s="295"/>
      <c r="O53" s="34"/>
      <c r="P53" s="6"/>
      <c r="Q53" s="6"/>
      <c r="U53" s="143" t="s">
        <v>39</v>
      </c>
      <c r="V53" s="117">
        <v>2018</v>
      </c>
      <c r="W53" s="117" t="s">
        <v>180</v>
      </c>
      <c r="X53" s="9" t="s">
        <v>91</v>
      </c>
      <c r="Y53" s="136">
        <f>Y19*H10</f>
        <v>95.974835183213173</v>
      </c>
      <c r="Z53" s="117" t="s">
        <v>1115</v>
      </c>
      <c r="AA53" s="117"/>
      <c r="AB53" s="117"/>
      <c r="AC53" s="117"/>
      <c r="AF53" s="143" t="s">
        <v>39</v>
      </c>
      <c r="AG53" s="117">
        <v>2018</v>
      </c>
      <c r="AH53" s="117" t="s">
        <v>182</v>
      </c>
      <c r="AI53" s="9" t="s">
        <v>91</v>
      </c>
      <c r="AJ53" s="136">
        <f>AJ19*H10</f>
        <v>2719.1221452446925</v>
      </c>
      <c r="AK53" s="117" t="s">
        <v>1115</v>
      </c>
      <c r="AL53" s="117"/>
      <c r="AM53" s="117"/>
      <c r="AN53" s="117"/>
    </row>
    <row r="54" spans="1:40" s="2" customFormat="1">
      <c r="A54" s="151" t="s">
        <v>39</v>
      </c>
      <c r="B54" s="34" t="s">
        <v>138</v>
      </c>
      <c r="C54" s="40" t="s">
        <v>139</v>
      </c>
      <c r="D54" s="34" t="s">
        <v>86</v>
      </c>
      <c r="E54" s="305">
        <v>1.2200000000000001E-2</v>
      </c>
      <c r="F54" s="306">
        <v>1</v>
      </c>
      <c r="G54" s="40" t="s">
        <v>140</v>
      </c>
      <c r="H54" s="249">
        <v>2</v>
      </c>
      <c r="I54" s="10">
        <v>2</v>
      </c>
      <c r="J54" s="10">
        <v>2</v>
      </c>
      <c r="K54" s="10">
        <v>1</v>
      </c>
      <c r="L54" s="10">
        <v>1</v>
      </c>
      <c r="M54" s="290">
        <v>2</v>
      </c>
      <c r="N54" s="295"/>
      <c r="O54" s="34"/>
      <c r="P54" s="6"/>
      <c r="Q54" s="6"/>
      <c r="U54" s="143" t="s">
        <v>39</v>
      </c>
      <c r="V54" s="117">
        <v>2018</v>
      </c>
      <c r="W54" s="117" t="s">
        <v>180</v>
      </c>
      <c r="X54" s="9" t="s">
        <v>98</v>
      </c>
      <c r="Y54" s="136">
        <f>Y19*H11</f>
        <v>13.280543751181623</v>
      </c>
      <c r="Z54" s="117" t="s">
        <v>1115</v>
      </c>
      <c r="AA54" s="117"/>
      <c r="AB54" s="117"/>
      <c r="AC54" s="117"/>
      <c r="AF54" s="143" t="s">
        <v>39</v>
      </c>
      <c r="AG54" s="117">
        <v>2018</v>
      </c>
      <c r="AH54" s="117" t="s">
        <v>182</v>
      </c>
      <c r="AI54" s="9" t="s">
        <v>98</v>
      </c>
      <c r="AJ54" s="136">
        <f>AJ19*H11</f>
        <v>376.25926156365176</v>
      </c>
      <c r="AK54" s="117" t="s">
        <v>1115</v>
      </c>
      <c r="AL54" s="117"/>
      <c r="AM54" s="117"/>
      <c r="AN54" s="117"/>
    </row>
    <row r="55" spans="1:40" ht="30" customHeight="1">
      <c r="A55" s="326"/>
      <c r="B55" s="327"/>
      <c r="C55" s="327"/>
      <c r="D55" s="327"/>
      <c r="E55" s="328"/>
      <c r="F55" s="329"/>
      <c r="G55" s="330"/>
      <c r="H55" s="327"/>
      <c r="I55" s="327"/>
      <c r="J55" s="327"/>
      <c r="K55" s="327"/>
      <c r="L55" s="327"/>
      <c r="M55" s="327"/>
      <c r="N55" s="327"/>
      <c r="O55" s="331"/>
      <c r="P55" s="331"/>
      <c r="Q55" s="331"/>
      <c r="R55" s="331"/>
      <c r="U55" s="143" t="s">
        <v>39</v>
      </c>
      <c r="V55" s="117">
        <v>2017</v>
      </c>
      <c r="W55" s="117" t="s">
        <v>180</v>
      </c>
      <c r="X55" s="9" t="s">
        <v>85</v>
      </c>
      <c r="Y55" s="136">
        <f>Y20*H4</f>
        <v>165.61941966099099</v>
      </c>
      <c r="Z55" s="117" t="s">
        <v>1115</v>
      </c>
      <c r="AA55" s="117"/>
      <c r="AB55" s="117"/>
      <c r="AC55" s="117"/>
      <c r="AF55" s="143" t="s">
        <v>39</v>
      </c>
      <c r="AG55" s="117">
        <v>2017</v>
      </c>
      <c r="AH55" s="117" t="s">
        <v>182</v>
      </c>
      <c r="AI55" s="9" t="s">
        <v>85</v>
      </c>
      <c r="AJ55" s="136">
        <f>AJ20*H4</f>
        <v>4707.1416612056973</v>
      </c>
      <c r="AK55" s="117" t="s">
        <v>1115</v>
      </c>
      <c r="AL55" s="117"/>
      <c r="AM55" s="117"/>
      <c r="AN55" s="117"/>
    </row>
    <row r="56" spans="1:40" s="2" customFormat="1">
      <c r="A56" s="151" t="s">
        <v>39</v>
      </c>
      <c r="B56" s="34" t="s">
        <v>237</v>
      </c>
      <c r="C56" s="40" t="s">
        <v>139</v>
      </c>
      <c r="D56" s="34"/>
      <c r="E56" s="305"/>
      <c r="F56" s="306">
        <v>1</v>
      </c>
      <c r="G56" s="40" t="s">
        <v>140</v>
      </c>
      <c r="H56" s="249">
        <v>2</v>
      </c>
      <c r="I56" s="10">
        <v>2</v>
      </c>
      <c r="J56" s="10">
        <v>2</v>
      </c>
      <c r="K56" s="10">
        <v>1</v>
      </c>
      <c r="L56" s="10">
        <v>1</v>
      </c>
      <c r="M56" s="290">
        <v>2</v>
      </c>
      <c r="N56" s="295"/>
      <c r="O56" s="34"/>
      <c r="P56" s="6"/>
      <c r="Q56" s="6"/>
      <c r="U56" s="143" t="s">
        <v>39</v>
      </c>
      <c r="V56" s="117">
        <v>2017</v>
      </c>
      <c r="W56" s="117" t="s">
        <v>180</v>
      </c>
      <c r="X56" s="9" t="s">
        <v>86</v>
      </c>
      <c r="Y56" s="136">
        <f>Y20*H5</f>
        <v>94.292977308483216</v>
      </c>
      <c r="Z56" s="117" t="s">
        <v>1115</v>
      </c>
      <c r="AA56" s="117"/>
      <c r="AB56" s="117"/>
      <c r="AC56" s="117"/>
      <c r="AF56" s="143" t="s">
        <v>39</v>
      </c>
      <c r="AG56" s="117">
        <v>2017</v>
      </c>
      <c r="AH56" s="117" t="s">
        <v>182</v>
      </c>
      <c r="AI56" s="9" t="s">
        <v>86</v>
      </c>
      <c r="AJ56" s="136">
        <f>AJ20*H5</f>
        <v>2679.9417770960026</v>
      </c>
      <c r="AK56" s="117" t="s">
        <v>1115</v>
      </c>
      <c r="AL56" s="117"/>
      <c r="AM56" s="117"/>
      <c r="AN56" s="117"/>
    </row>
    <row r="57" spans="1:40" s="2" customFormat="1">
      <c r="A57" s="151" t="s">
        <v>39</v>
      </c>
      <c r="B57" s="34" t="s">
        <v>236</v>
      </c>
      <c r="C57" s="40" t="s">
        <v>139</v>
      </c>
      <c r="D57" s="34"/>
      <c r="E57" s="305"/>
      <c r="F57" s="306">
        <v>1</v>
      </c>
      <c r="G57" s="40" t="s">
        <v>140</v>
      </c>
      <c r="H57" s="249">
        <v>2</v>
      </c>
      <c r="I57" s="10">
        <v>2</v>
      </c>
      <c r="J57" s="10">
        <v>2</v>
      </c>
      <c r="K57" s="10">
        <v>1</v>
      </c>
      <c r="L57" s="10">
        <v>1</v>
      </c>
      <c r="M57" s="290">
        <v>2</v>
      </c>
      <c r="N57" s="295"/>
      <c r="O57" s="34"/>
      <c r="P57" s="6"/>
      <c r="Q57" s="6"/>
      <c r="U57" s="143" t="s">
        <v>39</v>
      </c>
      <c r="V57" s="117">
        <v>2017</v>
      </c>
      <c r="W57" s="117" t="s">
        <v>180</v>
      </c>
      <c r="X57" s="9" t="s">
        <v>87</v>
      </c>
      <c r="Y57" s="136">
        <f>Y20*H6</f>
        <v>107.92604440346705</v>
      </c>
      <c r="Z57" s="117" t="s">
        <v>1115</v>
      </c>
      <c r="AA57" s="117"/>
      <c r="AB57" s="117"/>
      <c r="AC57" s="117"/>
      <c r="AF57" s="143" t="s">
        <v>39</v>
      </c>
      <c r="AG57" s="117">
        <v>2017</v>
      </c>
      <c r="AH57" s="117" t="s">
        <v>182</v>
      </c>
      <c r="AI57" s="9" t="s">
        <v>87</v>
      </c>
      <c r="AJ57" s="136">
        <f>AJ20*H6</f>
        <v>3067.413114842308</v>
      </c>
      <c r="AK57" s="117" t="s">
        <v>1115</v>
      </c>
      <c r="AL57" s="117"/>
      <c r="AM57" s="117"/>
      <c r="AN57" s="117"/>
    </row>
    <row r="58" spans="1:40" s="2" customFormat="1">
      <c r="A58" s="151" t="s">
        <v>39</v>
      </c>
      <c r="B58" s="34" t="s">
        <v>203</v>
      </c>
      <c r="C58" s="40" t="s">
        <v>139</v>
      </c>
      <c r="D58" s="34"/>
      <c r="E58" s="305"/>
      <c r="F58" s="306">
        <v>1</v>
      </c>
      <c r="G58" s="40" t="s">
        <v>140</v>
      </c>
      <c r="H58" s="249">
        <v>2</v>
      </c>
      <c r="I58" s="10">
        <v>2</v>
      </c>
      <c r="J58" s="10">
        <v>2</v>
      </c>
      <c r="K58" s="10">
        <v>1</v>
      </c>
      <c r="L58" s="10">
        <v>1</v>
      </c>
      <c r="M58" s="290">
        <v>2</v>
      </c>
      <c r="N58" s="295"/>
      <c r="O58" s="34"/>
      <c r="P58" s="6"/>
      <c r="Q58" s="6"/>
      <c r="U58" s="143" t="s">
        <v>39</v>
      </c>
      <c r="V58" s="117">
        <v>2017</v>
      </c>
      <c r="W58" s="117" t="s">
        <v>180</v>
      </c>
      <c r="X58" s="9" t="s">
        <v>88</v>
      </c>
      <c r="Y58" s="136">
        <f>Y20*H7</f>
        <v>19.304103698013705</v>
      </c>
      <c r="Z58" s="117" t="s">
        <v>1115</v>
      </c>
      <c r="AA58" s="117"/>
      <c r="AB58" s="117"/>
      <c r="AC58" s="117"/>
      <c r="AF58" s="143" t="s">
        <v>39</v>
      </c>
      <c r="AG58" s="117">
        <v>2017</v>
      </c>
      <c r="AH58" s="117" t="s">
        <v>182</v>
      </c>
      <c r="AI58" s="9" t="s">
        <v>88</v>
      </c>
      <c r="AJ58" s="136">
        <f>AJ20*H7</f>
        <v>548.65033904328789</v>
      </c>
      <c r="AK58" s="117" t="s">
        <v>1115</v>
      </c>
      <c r="AL58" s="117"/>
      <c r="AM58" s="117"/>
      <c r="AN58" s="117"/>
    </row>
    <row r="59" spans="1:40" s="2" customFormat="1">
      <c r="A59" s="151" t="s">
        <v>39</v>
      </c>
      <c r="B59" s="34" t="s">
        <v>235</v>
      </c>
      <c r="C59" s="40" t="s">
        <v>139</v>
      </c>
      <c r="D59" s="34"/>
      <c r="E59" s="305"/>
      <c r="F59" s="306">
        <v>1</v>
      </c>
      <c r="G59" s="40" t="s">
        <v>140</v>
      </c>
      <c r="H59" s="249"/>
      <c r="I59" s="10"/>
      <c r="J59" s="10"/>
      <c r="K59" s="10"/>
      <c r="L59" s="10"/>
      <c r="M59" s="290"/>
      <c r="N59" s="295"/>
      <c r="O59" s="34"/>
      <c r="P59" s="6"/>
      <c r="Q59" s="6"/>
      <c r="U59" s="143" t="s">
        <v>39</v>
      </c>
      <c r="V59" s="117">
        <v>2017</v>
      </c>
      <c r="W59" s="117" t="s">
        <v>180</v>
      </c>
      <c r="X59" s="9" t="s">
        <v>89</v>
      </c>
      <c r="Y59" s="136">
        <f>Y20*H8</f>
        <v>6.9021473817116119</v>
      </c>
      <c r="Z59" s="117" t="s">
        <v>1115</v>
      </c>
      <c r="AA59" s="117"/>
      <c r="AB59" s="117"/>
      <c r="AC59" s="117"/>
      <c r="AF59" s="143" t="s">
        <v>39</v>
      </c>
      <c r="AG59" s="117">
        <v>2017</v>
      </c>
      <c r="AH59" s="117" t="s">
        <v>182</v>
      </c>
      <c r="AI59" s="9" t="s">
        <v>89</v>
      </c>
      <c r="AJ59" s="136">
        <f>AJ20*H8</f>
        <v>196.16893694434862</v>
      </c>
      <c r="AK59" s="117" t="s">
        <v>1115</v>
      </c>
      <c r="AL59" s="117"/>
      <c r="AM59" s="117"/>
      <c r="AN59" s="117"/>
    </row>
    <row r="60" spans="1:40" s="2" customFormat="1">
      <c r="A60" s="151" t="s">
        <v>39</v>
      </c>
      <c r="B60" s="34" t="s">
        <v>202</v>
      </c>
      <c r="C60" s="40" t="s">
        <v>139</v>
      </c>
      <c r="D60" s="34"/>
      <c r="E60" s="305"/>
      <c r="F60" s="306">
        <v>1</v>
      </c>
      <c r="G60" s="40" t="s">
        <v>140</v>
      </c>
      <c r="H60" s="249">
        <v>2</v>
      </c>
      <c r="I60" s="10">
        <v>2</v>
      </c>
      <c r="J60" s="10">
        <v>2</v>
      </c>
      <c r="K60" s="10">
        <v>1</v>
      </c>
      <c r="L60" s="10">
        <v>1</v>
      </c>
      <c r="M60" s="290">
        <v>2</v>
      </c>
      <c r="N60" s="295"/>
      <c r="O60" s="34"/>
      <c r="P60" s="6"/>
      <c r="Q60" s="6"/>
      <c r="U60" s="143" t="s">
        <v>39</v>
      </c>
      <c r="V60" s="117">
        <v>2017</v>
      </c>
      <c r="W60" s="117" t="s">
        <v>180</v>
      </c>
      <c r="X60" s="9" t="s">
        <v>90</v>
      </c>
      <c r="Y60" s="136">
        <f>Y20*H9</f>
        <v>10.997842892629565</v>
      </c>
      <c r="Z60" s="117" t="s">
        <v>1115</v>
      </c>
      <c r="AA60" s="117"/>
      <c r="AB60" s="117"/>
      <c r="AC60" s="117"/>
      <c r="AF60" s="143" t="s">
        <v>39</v>
      </c>
      <c r="AG60" s="117">
        <v>2017</v>
      </c>
      <c r="AH60" s="117" t="s">
        <v>182</v>
      </c>
      <c r="AI60" s="9" t="s">
        <v>90</v>
      </c>
      <c r="AJ60" s="136">
        <f>AJ20*H9</f>
        <v>312.57448292752849</v>
      </c>
      <c r="AK60" s="117" t="s">
        <v>1115</v>
      </c>
      <c r="AL60" s="117"/>
      <c r="AM60" s="117"/>
      <c r="AN60" s="117"/>
    </row>
    <row r="61" spans="1:40" s="2" customFormat="1">
      <c r="A61" s="151" t="s">
        <v>39</v>
      </c>
      <c r="B61" s="34" t="s">
        <v>201</v>
      </c>
      <c r="C61" s="40" t="s">
        <v>139</v>
      </c>
      <c r="D61" s="34"/>
      <c r="E61" s="305"/>
      <c r="F61" s="306">
        <v>1</v>
      </c>
      <c r="G61" s="40" t="s">
        <v>140</v>
      </c>
      <c r="H61" s="249">
        <v>2</v>
      </c>
      <c r="I61" s="10">
        <v>2</v>
      </c>
      <c r="J61" s="10">
        <v>2</v>
      </c>
      <c r="K61" s="10">
        <v>1</v>
      </c>
      <c r="L61" s="10">
        <v>1</v>
      </c>
      <c r="M61" s="290">
        <v>2</v>
      </c>
      <c r="N61" s="295"/>
      <c r="O61" s="34"/>
      <c r="P61" s="6"/>
      <c r="Q61" s="6"/>
      <c r="U61" s="143" t="s">
        <v>39</v>
      </c>
      <c r="V61" s="117">
        <v>2017</v>
      </c>
      <c r="W61" s="117" t="s">
        <v>180</v>
      </c>
      <c r="X61" s="9" t="s">
        <v>91</v>
      </c>
      <c r="Y61" s="136">
        <f>Y20*H10</f>
        <v>93.956244003451516</v>
      </c>
      <c r="Z61" s="1033" t="s">
        <v>1115</v>
      </c>
      <c r="AA61" s="1033"/>
      <c r="AB61" s="1033"/>
      <c r="AC61" s="1033"/>
      <c r="AF61" s="143" t="s">
        <v>39</v>
      </c>
      <c r="AG61" s="117">
        <v>2017</v>
      </c>
      <c r="AH61" s="117" t="s">
        <v>182</v>
      </c>
      <c r="AI61" s="9" t="s">
        <v>91</v>
      </c>
      <c r="AJ61" s="136">
        <f>AJ20*H10</f>
        <v>2670.371333170558</v>
      </c>
      <c r="AK61" s="1033" t="s">
        <v>1115</v>
      </c>
      <c r="AL61" s="1033"/>
      <c r="AM61" s="1033"/>
      <c r="AN61" s="1033"/>
    </row>
    <row r="62" spans="1:40" s="2" customFormat="1">
      <c r="A62" s="151" t="s">
        <v>39</v>
      </c>
      <c r="B62" s="34" t="s">
        <v>200</v>
      </c>
      <c r="C62" s="40" t="s">
        <v>139</v>
      </c>
      <c r="D62" s="34"/>
      <c r="E62" s="305"/>
      <c r="F62" s="306">
        <v>1</v>
      </c>
      <c r="G62" s="40" t="s">
        <v>140</v>
      </c>
      <c r="H62" s="249">
        <v>2</v>
      </c>
      <c r="I62" s="10">
        <v>2</v>
      </c>
      <c r="J62" s="10">
        <v>2</v>
      </c>
      <c r="K62" s="10">
        <v>1</v>
      </c>
      <c r="L62" s="10">
        <v>1</v>
      </c>
      <c r="M62" s="290">
        <v>2</v>
      </c>
      <c r="N62" s="295"/>
      <c r="O62" s="34"/>
      <c r="P62" s="6"/>
      <c r="Q62" s="6"/>
      <c r="U62" s="143" t="s">
        <v>39</v>
      </c>
      <c r="V62" s="117">
        <v>2017</v>
      </c>
      <c r="W62" s="117" t="s">
        <v>180</v>
      </c>
      <c r="X62" s="9" t="s">
        <v>98</v>
      </c>
      <c r="Y62" s="136">
        <f>Y20*H11</f>
        <v>13.001220651252373</v>
      </c>
      <c r="Z62" s="1033" t="s">
        <v>1115</v>
      </c>
      <c r="AA62" s="1033"/>
      <c r="AB62" s="1033"/>
      <c r="AC62" s="1033"/>
      <c r="AF62" s="143" t="s">
        <v>39</v>
      </c>
      <c r="AG62" s="117">
        <v>2017</v>
      </c>
      <c r="AH62" s="117" t="s">
        <v>182</v>
      </c>
      <c r="AI62" s="9" t="s">
        <v>98</v>
      </c>
      <c r="AJ62" s="136">
        <f>AJ20*H11</f>
        <v>369.51335477026953</v>
      </c>
      <c r="AK62" s="1033" t="s">
        <v>1115</v>
      </c>
      <c r="AL62" s="1033"/>
      <c r="AM62" s="1033"/>
      <c r="AN62" s="1033"/>
    </row>
    <row r="63" spans="1:40" s="2" customFormat="1">
      <c r="A63" s="151" t="s">
        <v>39</v>
      </c>
      <c r="B63" s="34" t="s">
        <v>183</v>
      </c>
      <c r="C63" s="40" t="s">
        <v>139</v>
      </c>
      <c r="D63" s="34"/>
      <c r="E63" s="305"/>
      <c r="F63" s="306">
        <v>1</v>
      </c>
      <c r="G63" s="40" t="s">
        <v>140</v>
      </c>
      <c r="H63" s="249"/>
      <c r="I63" s="10"/>
      <c r="J63" s="10"/>
      <c r="K63" s="10"/>
      <c r="L63" s="10"/>
      <c r="M63" s="290"/>
      <c r="N63" s="295"/>
      <c r="O63" s="34"/>
      <c r="P63" s="6"/>
      <c r="Q63" s="6"/>
    </row>
    <row r="64" spans="1:40" s="2" customFormat="1">
      <c r="A64" s="151" t="s">
        <v>39</v>
      </c>
      <c r="B64" s="34" t="s">
        <v>142</v>
      </c>
      <c r="C64" s="40" t="s">
        <v>139</v>
      </c>
      <c r="D64" s="34"/>
      <c r="E64" s="305"/>
      <c r="F64" s="306">
        <v>1</v>
      </c>
      <c r="G64" s="40" t="s">
        <v>140</v>
      </c>
      <c r="H64" s="249"/>
      <c r="I64" s="10"/>
      <c r="J64" s="10"/>
      <c r="K64" s="10"/>
      <c r="L64" s="10"/>
      <c r="M64" s="290"/>
      <c r="N64" s="295"/>
      <c r="O64" s="34"/>
      <c r="P64" s="6"/>
      <c r="Q64" s="6"/>
    </row>
    <row r="65" spans="1:18" s="2" customFormat="1">
      <c r="A65" s="151" t="s">
        <v>39</v>
      </c>
      <c r="B65" s="34" t="s">
        <v>138</v>
      </c>
      <c r="C65" s="40" t="s">
        <v>139</v>
      </c>
      <c r="D65" s="34"/>
      <c r="E65" s="305"/>
      <c r="F65" s="306">
        <v>1</v>
      </c>
      <c r="G65" s="40" t="s">
        <v>140</v>
      </c>
      <c r="H65" s="249">
        <v>2</v>
      </c>
      <c r="I65" s="10">
        <v>2</v>
      </c>
      <c r="J65" s="10">
        <v>2</v>
      </c>
      <c r="K65" s="10">
        <v>1</v>
      </c>
      <c r="L65" s="10">
        <v>1</v>
      </c>
      <c r="M65" s="290">
        <v>2</v>
      </c>
      <c r="N65" s="295"/>
      <c r="O65" s="34"/>
      <c r="P65" s="6"/>
      <c r="Q65" s="6"/>
    </row>
    <row r="66" spans="1:18" ht="30" customHeight="1">
      <c r="A66" s="326"/>
      <c r="B66" s="327"/>
      <c r="C66" s="327"/>
      <c r="D66" s="327"/>
      <c r="E66" s="328"/>
      <c r="F66" s="329"/>
      <c r="G66" s="330"/>
      <c r="H66" s="327"/>
      <c r="I66" s="327"/>
      <c r="J66" s="327"/>
      <c r="K66" s="327"/>
      <c r="L66" s="327"/>
      <c r="M66" s="327"/>
      <c r="N66" s="327"/>
      <c r="O66" s="331"/>
      <c r="P66" s="331"/>
      <c r="Q66" s="331"/>
      <c r="R66" s="331"/>
    </row>
    <row r="67" spans="1:18" s="2" customFormat="1">
      <c r="A67" s="151" t="s">
        <v>39</v>
      </c>
      <c r="B67" s="34" t="s">
        <v>237</v>
      </c>
      <c r="C67" s="40" t="s">
        <v>139</v>
      </c>
      <c r="D67" s="34"/>
      <c r="E67" s="305"/>
      <c r="F67" s="306">
        <v>1</v>
      </c>
      <c r="G67" s="40" t="s">
        <v>140</v>
      </c>
      <c r="H67" s="249">
        <v>2</v>
      </c>
      <c r="I67" s="10">
        <v>2</v>
      </c>
      <c r="J67" s="10">
        <v>2</v>
      </c>
      <c r="K67" s="10">
        <v>1</v>
      </c>
      <c r="L67" s="10">
        <v>1</v>
      </c>
      <c r="M67" s="290">
        <v>2</v>
      </c>
      <c r="N67" s="295"/>
      <c r="O67" s="34"/>
      <c r="P67" s="6"/>
      <c r="Q67" s="6"/>
    </row>
    <row r="68" spans="1:18" s="2" customFormat="1">
      <c r="A68" s="151" t="s">
        <v>39</v>
      </c>
      <c r="B68" s="34" t="s">
        <v>236</v>
      </c>
      <c r="C68" s="40" t="s">
        <v>139</v>
      </c>
      <c r="D68" s="34"/>
      <c r="E68" s="305"/>
      <c r="F68" s="306">
        <v>1</v>
      </c>
      <c r="G68" s="40" t="s">
        <v>140</v>
      </c>
      <c r="H68" s="249">
        <v>2</v>
      </c>
      <c r="I68" s="10">
        <v>2</v>
      </c>
      <c r="J68" s="10">
        <v>2</v>
      </c>
      <c r="K68" s="10">
        <v>1</v>
      </c>
      <c r="L68" s="10">
        <v>1</v>
      </c>
      <c r="M68" s="290">
        <v>2</v>
      </c>
      <c r="N68" s="295"/>
      <c r="O68" s="34"/>
      <c r="P68" s="6"/>
      <c r="Q68" s="6"/>
    </row>
    <row r="69" spans="1:18" s="2" customFormat="1">
      <c r="A69" s="151" t="s">
        <v>39</v>
      </c>
      <c r="B69" s="34" t="s">
        <v>203</v>
      </c>
      <c r="C69" s="40" t="s">
        <v>139</v>
      </c>
      <c r="D69" s="34"/>
      <c r="E69" s="305"/>
      <c r="F69" s="306">
        <v>1</v>
      </c>
      <c r="G69" s="40" t="s">
        <v>140</v>
      </c>
      <c r="H69" s="249">
        <v>2</v>
      </c>
      <c r="I69" s="10">
        <v>2</v>
      </c>
      <c r="J69" s="10">
        <v>2</v>
      </c>
      <c r="K69" s="10">
        <v>1</v>
      </c>
      <c r="L69" s="10">
        <v>1</v>
      </c>
      <c r="M69" s="290">
        <v>2</v>
      </c>
      <c r="N69" s="295"/>
      <c r="O69" s="34"/>
      <c r="P69" s="6"/>
      <c r="Q69" s="6"/>
    </row>
    <row r="70" spans="1:18" s="2" customFormat="1">
      <c r="A70" s="151" t="s">
        <v>39</v>
      </c>
      <c r="B70" s="34" t="s">
        <v>235</v>
      </c>
      <c r="C70" s="40" t="s">
        <v>139</v>
      </c>
      <c r="D70" s="34"/>
      <c r="E70" s="305"/>
      <c r="F70" s="306">
        <v>1</v>
      </c>
      <c r="G70" s="40" t="s">
        <v>140</v>
      </c>
      <c r="H70" s="249"/>
      <c r="I70" s="10"/>
      <c r="J70" s="10"/>
      <c r="K70" s="10"/>
      <c r="L70" s="10"/>
      <c r="M70" s="290"/>
      <c r="N70" s="295"/>
      <c r="O70" s="34"/>
      <c r="P70" s="6"/>
      <c r="Q70" s="6"/>
    </row>
    <row r="71" spans="1:18" s="2" customFormat="1">
      <c r="A71" s="151" t="s">
        <v>39</v>
      </c>
      <c r="B71" s="34" t="s">
        <v>202</v>
      </c>
      <c r="C71" s="40" t="s">
        <v>139</v>
      </c>
      <c r="D71" s="34"/>
      <c r="E71" s="305"/>
      <c r="F71" s="306">
        <v>1</v>
      </c>
      <c r="G71" s="40" t="s">
        <v>140</v>
      </c>
      <c r="H71" s="249">
        <v>2</v>
      </c>
      <c r="I71" s="10">
        <v>2</v>
      </c>
      <c r="J71" s="10">
        <v>2</v>
      </c>
      <c r="K71" s="10">
        <v>1</v>
      </c>
      <c r="L71" s="10">
        <v>1</v>
      </c>
      <c r="M71" s="290">
        <v>2</v>
      </c>
      <c r="N71" s="295"/>
      <c r="O71" s="34"/>
      <c r="P71" s="6"/>
      <c r="Q71" s="6"/>
    </row>
    <row r="72" spans="1:18" s="2" customFormat="1">
      <c r="A72" s="151" t="s">
        <v>39</v>
      </c>
      <c r="B72" s="34" t="s">
        <v>201</v>
      </c>
      <c r="C72" s="40" t="s">
        <v>139</v>
      </c>
      <c r="D72" s="34"/>
      <c r="E72" s="305"/>
      <c r="F72" s="306">
        <v>1</v>
      </c>
      <c r="G72" s="40" t="s">
        <v>140</v>
      </c>
      <c r="H72" s="249">
        <v>2</v>
      </c>
      <c r="I72" s="10">
        <v>2</v>
      </c>
      <c r="J72" s="10">
        <v>2</v>
      </c>
      <c r="K72" s="10">
        <v>1</v>
      </c>
      <c r="L72" s="10">
        <v>1</v>
      </c>
      <c r="M72" s="290">
        <v>2</v>
      </c>
      <c r="N72" s="295"/>
      <c r="O72" s="34"/>
      <c r="P72" s="6"/>
      <c r="Q72" s="6"/>
    </row>
    <row r="73" spans="1:18" s="2" customFormat="1">
      <c r="A73" s="151" t="s">
        <v>39</v>
      </c>
      <c r="B73" s="34" t="s">
        <v>200</v>
      </c>
      <c r="C73" s="40" t="s">
        <v>139</v>
      </c>
      <c r="D73" s="34"/>
      <c r="E73" s="305"/>
      <c r="F73" s="306">
        <v>1</v>
      </c>
      <c r="G73" s="40" t="s">
        <v>140</v>
      </c>
      <c r="H73" s="249">
        <v>2</v>
      </c>
      <c r="I73" s="10">
        <v>2</v>
      </c>
      <c r="J73" s="10">
        <v>2</v>
      </c>
      <c r="K73" s="10">
        <v>1</v>
      </c>
      <c r="L73" s="10">
        <v>1</v>
      </c>
      <c r="M73" s="290">
        <v>2</v>
      </c>
      <c r="N73" s="295"/>
      <c r="O73" s="34"/>
      <c r="P73" s="6"/>
      <c r="Q73" s="6"/>
    </row>
    <row r="74" spans="1:18" s="2" customFormat="1">
      <c r="A74" s="151" t="s">
        <v>39</v>
      </c>
      <c r="B74" s="34" t="s">
        <v>183</v>
      </c>
      <c r="C74" s="40" t="s">
        <v>139</v>
      </c>
      <c r="D74" s="34"/>
      <c r="E74" s="305"/>
      <c r="F74" s="306">
        <v>1</v>
      </c>
      <c r="G74" s="40" t="s">
        <v>140</v>
      </c>
      <c r="H74" s="249"/>
      <c r="I74" s="10"/>
      <c r="J74" s="10"/>
      <c r="K74" s="10"/>
      <c r="L74" s="10"/>
      <c r="M74" s="290"/>
      <c r="N74" s="295"/>
      <c r="O74" s="34"/>
      <c r="P74" s="6"/>
      <c r="Q74" s="6"/>
    </row>
    <row r="75" spans="1:18" s="2" customFormat="1">
      <c r="A75" s="151" t="s">
        <v>39</v>
      </c>
      <c r="B75" s="34" t="s">
        <v>142</v>
      </c>
      <c r="C75" s="40" t="s">
        <v>139</v>
      </c>
      <c r="D75" s="34"/>
      <c r="E75" s="305"/>
      <c r="F75" s="306">
        <v>1</v>
      </c>
      <c r="G75" s="40" t="s">
        <v>140</v>
      </c>
      <c r="H75" s="249"/>
      <c r="I75" s="10"/>
      <c r="J75" s="10"/>
      <c r="K75" s="10"/>
      <c r="L75" s="10"/>
      <c r="M75" s="290"/>
      <c r="N75" s="295"/>
      <c r="O75" s="34"/>
      <c r="P75" s="6"/>
      <c r="Q75" s="6"/>
    </row>
    <row r="76" spans="1:18" s="2" customFormat="1">
      <c r="A76" s="151" t="s">
        <v>39</v>
      </c>
      <c r="B76" s="34" t="s">
        <v>138</v>
      </c>
      <c r="C76" s="40" t="s">
        <v>139</v>
      </c>
      <c r="D76" s="34"/>
      <c r="E76" s="305"/>
      <c r="F76" s="306">
        <v>1</v>
      </c>
      <c r="G76" s="40" t="s">
        <v>140</v>
      </c>
      <c r="H76" s="249">
        <v>2</v>
      </c>
      <c r="I76" s="10">
        <v>2</v>
      </c>
      <c r="J76" s="10">
        <v>2</v>
      </c>
      <c r="K76" s="10">
        <v>1</v>
      </c>
      <c r="L76" s="10">
        <v>1</v>
      </c>
      <c r="M76" s="290">
        <v>2</v>
      </c>
      <c r="N76" s="295"/>
      <c r="O76" s="34"/>
      <c r="P76" s="6"/>
      <c r="Q76" s="6"/>
    </row>
    <row r="77" spans="1:18" ht="30" customHeight="1">
      <c r="A77" s="326"/>
      <c r="B77" s="327"/>
      <c r="C77" s="327"/>
      <c r="D77" s="327"/>
      <c r="E77" s="328"/>
      <c r="F77" s="329"/>
      <c r="G77" s="330"/>
      <c r="H77" s="327"/>
      <c r="I77" s="327"/>
      <c r="J77" s="327"/>
      <c r="K77" s="327"/>
      <c r="L77" s="327"/>
      <c r="M77" s="327"/>
      <c r="N77" s="327"/>
      <c r="O77" s="331"/>
      <c r="P77" s="331"/>
      <c r="Q77" s="331"/>
      <c r="R77" s="331"/>
    </row>
    <row r="78" spans="1:18" s="2" customFormat="1">
      <c r="A78" s="151" t="s">
        <v>39</v>
      </c>
      <c r="B78" s="34" t="s">
        <v>237</v>
      </c>
      <c r="C78" s="40" t="s">
        <v>139</v>
      </c>
      <c r="D78" s="34"/>
      <c r="E78" s="305"/>
      <c r="F78" s="306">
        <v>1</v>
      </c>
      <c r="G78" s="40" t="s">
        <v>140</v>
      </c>
      <c r="H78" s="249">
        <v>2</v>
      </c>
      <c r="I78" s="10">
        <v>2</v>
      </c>
      <c r="J78" s="10">
        <v>2</v>
      </c>
      <c r="K78" s="10">
        <v>1</v>
      </c>
      <c r="L78" s="10">
        <v>1</v>
      </c>
      <c r="M78" s="290">
        <v>2</v>
      </c>
      <c r="N78" s="295"/>
      <c r="O78" s="34"/>
      <c r="P78" s="6"/>
      <c r="Q78" s="6"/>
    </row>
    <row r="79" spans="1:18" s="2" customFormat="1">
      <c r="A79" s="151" t="s">
        <v>39</v>
      </c>
      <c r="B79" s="34" t="s">
        <v>236</v>
      </c>
      <c r="C79" s="40" t="s">
        <v>139</v>
      </c>
      <c r="D79" s="34"/>
      <c r="E79" s="305"/>
      <c r="F79" s="306">
        <v>1</v>
      </c>
      <c r="G79" s="40" t="s">
        <v>140</v>
      </c>
      <c r="H79" s="249">
        <v>2</v>
      </c>
      <c r="I79" s="10">
        <v>2</v>
      </c>
      <c r="J79" s="10">
        <v>2</v>
      </c>
      <c r="K79" s="10">
        <v>1</v>
      </c>
      <c r="L79" s="10">
        <v>1</v>
      </c>
      <c r="M79" s="290">
        <v>2</v>
      </c>
      <c r="N79" s="295"/>
      <c r="O79" s="34"/>
      <c r="P79" s="6"/>
      <c r="Q79" s="6"/>
    </row>
    <row r="80" spans="1:18" s="2" customFormat="1">
      <c r="A80" s="151" t="s">
        <v>39</v>
      </c>
      <c r="B80" s="34" t="s">
        <v>203</v>
      </c>
      <c r="C80" s="40" t="s">
        <v>139</v>
      </c>
      <c r="D80" s="34"/>
      <c r="E80" s="305"/>
      <c r="F80" s="306">
        <v>1</v>
      </c>
      <c r="G80" s="40" t="s">
        <v>140</v>
      </c>
      <c r="H80" s="249">
        <v>2</v>
      </c>
      <c r="I80" s="10">
        <v>2</v>
      </c>
      <c r="J80" s="10">
        <v>2</v>
      </c>
      <c r="K80" s="10">
        <v>1</v>
      </c>
      <c r="L80" s="10">
        <v>1</v>
      </c>
      <c r="M80" s="290">
        <v>2</v>
      </c>
      <c r="N80" s="295"/>
      <c r="O80" s="34"/>
      <c r="P80" s="6"/>
      <c r="Q80" s="6"/>
    </row>
    <row r="81" spans="1:18" s="2" customFormat="1">
      <c r="A81" s="151" t="s">
        <v>39</v>
      </c>
      <c r="B81" s="34" t="s">
        <v>235</v>
      </c>
      <c r="C81" s="40" t="s">
        <v>139</v>
      </c>
      <c r="D81" s="34"/>
      <c r="E81" s="305"/>
      <c r="F81" s="306">
        <v>1</v>
      </c>
      <c r="G81" s="40" t="s">
        <v>140</v>
      </c>
      <c r="H81" s="249"/>
      <c r="I81" s="10"/>
      <c r="J81" s="10"/>
      <c r="K81" s="10"/>
      <c r="L81" s="10"/>
      <c r="M81" s="290"/>
      <c r="N81" s="295"/>
      <c r="O81" s="34"/>
      <c r="P81" s="6"/>
      <c r="Q81" s="6"/>
    </row>
    <row r="82" spans="1:18" s="2" customFormat="1">
      <c r="A82" s="151" t="s">
        <v>39</v>
      </c>
      <c r="B82" s="34" t="s">
        <v>202</v>
      </c>
      <c r="C82" s="40" t="s">
        <v>139</v>
      </c>
      <c r="D82" s="34"/>
      <c r="E82" s="305"/>
      <c r="F82" s="306">
        <v>1</v>
      </c>
      <c r="G82" s="40" t="s">
        <v>140</v>
      </c>
      <c r="H82" s="249">
        <v>2</v>
      </c>
      <c r="I82" s="10">
        <v>2</v>
      </c>
      <c r="J82" s="10">
        <v>2</v>
      </c>
      <c r="K82" s="10">
        <v>1</v>
      </c>
      <c r="L82" s="10">
        <v>1</v>
      </c>
      <c r="M82" s="290">
        <v>2</v>
      </c>
      <c r="N82" s="295"/>
      <c r="O82" s="34"/>
      <c r="P82" s="6"/>
      <c r="Q82" s="6"/>
    </row>
    <row r="83" spans="1:18" s="2" customFormat="1">
      <c r="A83" s="151" t="s">
        <v>39</v>
      </c>
      <c r="B83" s="34" t="s">
        <v>201</v>
      </c>
      <c r="C83" s="40" t="s">
        <v>139</v>
      </c>
      <c r="D83" s="34"/>
      <c r="E83" s="305"/>
      <c r="F83" s="306">
        <v>1</v>
      </c>
      <c r="G83" s="40" t="s">
        <v>140</v>
      </c>
      <c r="H83" s="249">
        <v>2</v>
      </c>
      <c r="I83" s="10">
        <v>2</v>
      </c>
      <c r="J83" s="10">
        <v>2</v>
      </c>
      <c r="K83" s="10">
        <v>1</v>
      </c>
      <c r="L83" s="10">
        <v>1</v>
      </c>
      <c r="M83" s="290">
        <v>2</v>
      </c>
      <c r="N83" s="295"/>
      <c r="O83" s="34"/>
      <c r="P83" s="6"/>
      <c r="Q83" s="6"/>
    </row>
    <row r="84" spans="1:18" s="2" customFormat="1">
      <c r="A84" s="151" t="s">
        <v>39</v>
      </c>
      <c r="B84" s="34" t="s">
        <v>200</v>
      </c>
      <c r="C84" s="40" t="s">
        <v>139</v>
      </c>
      <c r="D84" s="34"/>
      <c r="E84" s="305"/>
      <c r="F84" s="306">
        <v>1</v>
      </c>
      <c r="G84" s="40" t="s">
        <v>140</v>
      </c>
      <c r="H84" s="249">
        <v>2</v>
      </c>
      <c r="I84" s="10">
        <v>2</v>
      </c>
      <c r="J84" s="10">
        <v>2</v>
      </c>
      <c r="K84" s="10">
        <v>1</v>
      </c>
      <c r="L84" s="10">
        <v>1</v>
      </c>
      <c r="M84" s="290">
        <v>2</v>
      </c>
      <c r="N84" s="295"/>
      <c r="O84" s="34"/>
      <c r="P84" s="6"/>
      <c r="Q84" s="6"/>
    </row>
    <row r="85" spans="1:18" s="2" customFormat="1">
      <c r="A85" s="151" t="s">
        <v>39</v>
      </c>
      <c r="B85" s="34" t="s">
        <v>183</v>
      </c>
      <c r="C85" s="40" t="s">
        <v>139</v>
      </c>
      <c r="D85" s="34"/>
      <c r="E85" s="305"/>
      <c r="F85" s="306">
        <v>1</v>
      </c>
      <c r="G85" s="40" t="s">
        <v>140</v>
      </c>
      <c r="H85" s="249"/>
      <c r="I85" s="10"/>
      <c r="J85" s="10"/>
      <c r="K85" s="10"/>
      <c r="L85" s="10"/>
      <c r="M85" s="290"/>
      <c r="N85" s="295"/>
      <c r="O85" s="34"/>
      <c r="P85" s="6"/>
      <c r="Q85" s="6"/>
    </row>
    <row r="86" spans="1:18" s="2" customFormat="1">
      <c r="A86" s="151" t="s">
        <v>39</v>
      </c>
      <c r="B86" s="34" t="s">
        <v>142</v>
      </c>
      <c r="C86" s="40" t="s">
        <v>139</v>
      </c>
      <c r="D86" s="34"/>
      <c r="E86" s="305"/>
      <c r="F86" s="306">
        <v>1</v>
      </c>
      <c r="G86" s="40" t="s">
        <v>140</v>
      </c>
      <c r="H86" s="249"/>
      <c r="I86" s="10"/>
      <c r="J86" s="10"/>
      <c r="K86" s="10"/>
      <c r="L86" s="10"/>
      <c r="M86" s="290"/>
      <c r="N86" s="295"/>
      <c r="O86" s="34"/>
      <c r="P86" s="6"/>
      <c r="Q86" s="6"/>
    </row>
    <row r="87" spans="1:18" s="2" customFormat="1">
      <c r="A87" s="151" t="s">
        <v>39</v>
      </c>
      <c r="B87" s="34" t="s">
        <v>138</v>
      </c>
      <c r="C87" s="40" t="s">
        <v>139</v>
      </c>
      <c r="D87" s="34"/>
      <c r="E87" s="305"/>
      <c r="F87" s="306">
        <v>1</v>
      </c>
      <c r="G87" s="40" t="s">
        <v>140</v>
      </c>
      <c r="H87" s="249">
        <v>2</v>
      </c>
      <c r="I87" s="10">
        <v>2</v>
      </c>
      <c r="J87" s="10">
        <v>2</v>
      </c>
      <c r="K87" s="10">
        <v>1</v>
      </c>
      <c r="L87" s="10">
        <v>1</v>
      </c>
      <c r="M87" s="290">
        <v>2</v>
      </c>
      <c r="N87" s="295"/>
      <c r="O87" s="34"/>
      <c r="P87" s="6"/>
      <c r="Q87" s="6"/>
    </row>
    <row r="88" spans="1:18" ht="30" customHeight="1">
      <c r="A88" s="326"/>
      <c r="B88" s="327"/>
      <c r="C88" s="327"/>
      <c r="D88" s="327"/>
      <c r="E88" s="328"/>
      <c r="F88" s="329"/>
      <c r="G88" s="330"/>
      <c r="H88" s="327"/>
      <c r="I88" s="327"/>
      <c r="J88" s="327"/>
      <c r="K88" s="327"/>
      <c r="L88" s="327"/>
      <c r="M88" s="327"/>
      <c r="N88" s="327"/>
      <c r="O88" s="331"/>
      <c r="P88" s="331"/>
      <c r="Q88" s="331"/>
      <c r="R88" s="331"/>
    </row>
    <row r="89" spans="1:18" s="2" customFormat="1">
      <c r="A89" s="151" t="s">
        <v>39</v>
      </c>
      <c r="B89" s="34" t="s">
        <v>237</v>
      </c>
      <c r="C89" s="40" t="s">
        <v>139</v>
      </c>
      <c r="D89" s="34"/>
      <c r="E89" s="305"/>
      <c r="F89" s="306">
        <v>1</v>
      </c>
      <c r="G89" s="40" t="s">
        <v>140</v>
      </c>
      <c r="H89" s="249">
        <v>2</v>
      </c>
      <c r="I89" s="10">
        <v>2</v>
      </c>
      <c r="J89" s="10">
        <v>2</v>
      </c>
      <c r="K89" s="10">
        <v>1</v>
      </c>
      <c r="L89" s="10">
        <v>1</v>
      </c>
      <c r="M89" s="290">
        <v>2</v>
      </c>
      <c r="N89" s="295"/>
      <c r="O89" s="34"/>
      <c r="P89" s="6"/>
      <c r="Q89" s="6"/>
    </row>
    <row r="90" spans="1:18" s="2" customFormat="1">
      <c r="A90" s="151" t="s">
        <v>39</v>
      </c>
      <c r="B90" s="34" t="s">
        <v>236</v>
      </c>
      <c r="C90" s="40" t="s">
        <v>139</v>
      </c>
      <c r="D90" s="34"/>
      <c r="E90" s="305"/>
      <c r="F90" s="306">
        <v>1</v>
      </c>
      <c r="G90" s="40" t="s">
        <v>140</v>
      </c>
      <c r="H90" s="249">
        <v>2</v>
      </c>
      <c r="I90" s="10">
        <v>2</v>
      </c>
      <c r="J90" s="10">
        <v>2</v>
      </c>
      <c r="K90" s="10">
        <v>1</v>
      </c>
      <c r="L90" s="10">
        <v>1</v>
      </c>
      <c r="M90" s="290">
        <v>2</v>
      </c>
      <c r="N90" s="295"/>
      <c r="O90" s="34"/>
      <c r="P90" s="6"/>
      <c r="Q90" s="6"/>
    </row>
    <row r="91" spans="1:18" s="2" customFormat="1">
      <c r="A91" s="151" t="s">
        <v>39</v>
      </c>
      <c r="B91" s="34" t="s">
        <v>203</v>
      </c>
      <c r="C91" s="40" t="s">
        <v>139</v>
      </c>
      <c r="D91" s="34"/>
      <c r="E91" s="305"/>
      <c r="F91" s="306">
        <v>1</v>
      </c>
      <c r="G91" s="40" t="s">
        <v>140</v>
      </c>
      <c r="H91" s="249">
        <v>2</v>
      </c>
      <c r="I91" s="10">
        <v>2</v>
      </c>
      <c r="J91" s="10">
        <v>2</v>
      </c>
      <c r="K91" s="10">
        <v>1</v>
      </c>
      <c r="L91" s="10">
        <v>1</v>
      </c>
      <c r="M91" s="290">
        <v>2</v>
      </c>
      <c r="N91" s="295"/>
      <c r="O91" s="34"/>
      <c r="P91" s="6"/>
      <c r="Q91" s="6"/>
    </row>
    <row r="92" spans="1:18" s="2" customFormat="1">
      <c r="A92" s="151" t="s">
        <v>39</v>
      </c>
      <c r="B92" s="34" t="s">
        <v>235</v>
      </c>
      <c r="C92" s="40" t="s">
        <v>139</v>
      </c>
      <c r="D92" s="34"/>
      <c r="E92" s="305"/>
      <c r="F92" s="306">
        <v>1</v>
      </c>
      <c r="G92" s="40" t="s">
        <v>140</v>
      </c>
      <c r="H92" s="249"/>
      <c r="I92" s="10"/>
      <c r="J92" s="10"/>
      <c r="K92" s="10"/>
      <c r="L92" s="10"/>
      <c r="M92" s="290"/>
      <c r="N92" s="295"/>
      <c r="O92" s="34"/>
      <c r="P92" s="6"/>
      <c r="Q92" s="6"/>
    </row>
    <row r="93" spans="1:18" s="2" customFormat="1">
      <c r="A93" s="151" t="s">
        <v>39</v>
      </c>
      <c r="B93" s="34" t="s">
        <v>202</v>
      </c>
      <c r="C93" s="40" t="s">
        <v>139</v>
      </c>
      <c r="D93" s="34"/>
      <c r="E93" s="305"/>
      <c r="F93" s="306">
        <v>1</v>
      </c>
      <c r="G93" s="40" t="s">
        <v>140</v>
      </c>
      <c r="H93" s="249">
        <v>2</v>
      </c>
      <c r="I93" s="10">
        <v>2</v>
      </c>
      <c r="J93" s="10">
        <v>2</v>
      </c>
      <c r="K93" s="10">
        <v>1</v>
      </c>
      <c r="L93" s="10">
        <v>1</v>
      </c>
      <c r="M93" s="290">
        <v>2</v>
      </c>
      <c r="N93" s="295"/>
      <c r="O93" s="34"/>
      <c r="P93" s="6"/>
      <c r="Q93" s="6"/>
    </row>
    <row r="94" spans="1:18" s="2" customFormat="1">
      <c r="A94" s="151" t="s">
        <v>39</v>
      </c>
      <c r="B94" s="34" t="s">
        <v>201</v>
      </c>
      <c r="C94" s="40" t="s">
        <v>139</v>
      </c>
      <c r="D94" s="34"/>
      <c r="E94" s="305"/>
      <c r="F94" s="306">
        <v>1</v>
      </c>
      <c r="G94" s="40" t="s">
        <v>140</v>
      </c>
      <c r="H94" s="249">
        <v>2</v>
      </c>
      <c r="I94" s="10">
        <v>2</v>
      </c>
      <c r="J94" s="10">
        <v>2</v>
      </c>
      <c r="K94" s="10">
        <v>1</v>
      </c>
      <c r="L94" s="10">
        <v>1</v>
      </c>
      <c r="M94" s="290">
        <v>2</v>
      </c>
      <c r="N94" s="295"/>
      <c r="O94" s="34"/>
      <c r="P94" s="6"/>
      <c r="Q94" s="6"/>
    </row>
    <row r="95" spans="1:18" s="2" customFormat="1">
      <c r="A95" s="151" t="s">
        <v>39</v>
      </c>
      <c r="B95" s="34" t="s">
        <v>200</v>
      </c>
      <c r="C95" s="40" t="s">
        <v>139</v>
      </c>
      <c r="D95" s="34"/>
      <c r="E95" s="305"/>
      <c r="F95" s="306">
        <v>1</v>
      </c>
      <c r="G95" s="40" t="s">
        <v>140</v>
      </c>
      <c r="H95" s="249">
        <v>2</v>
      </c>
      <c r="I95" s="10">
        <v>2</v>
      </c>
      <c r="J95" s="10">
        <v>2</v>
      </c>
      <c r="K95" s="10">
        <v>1</v>
      </c>
      <c r="L95" s="10">
        <v>1</v>
      </c>
      <c r="M95" s="290">
        <v>2</v>
      </c>
      <c r="N95" s="295"/>
      <c r="O95" s="34"/>
      <c r="P95" s="6"/>
      <c r="Q95" s="6"/>
    </row>
    <row r="96" spans="1:18" s="2" customFormat="1">
      <c r="A96" s="151" t="s">
        <v>39</v>
      </c>
      <c r="B96" s="34" t="s">
        <v>183</v>
      </c>
      <c r="C96" s="40" t="s">
        <v>139</v>
      </c>
      <c r="D96" s="34"/>
      <c r="E96" s="305"/>
      <c r="F96" s="306">
        <v>1</v>
      </c>
      <c r="G96" s="40" t="s">
        <v>140</v>
      </c>
      <c r="H96" s="249"/>
      <c r="I96" s="10"/>
      <c r="J96" s="10"/>
      <c r="K96" s="10"/>
      <c r="L96" s="10"/>
      <c r="M96" s="290"/>
      <c r="N96" s="295"/>
      <c r="O96" s="34"/>
      <c r="P96" s="6"/>
      <c r="Q96" s="6"/>
    </row>
    <row r="97" spans="1:18" s="2" customFormat="1">
      <c r="A97" s="151" t="s">
        <v>39</v>
      </c>
      <c r="B97" s="34" t="s">
        <v>142</v>
      </c>
      <c r="C97" s="40" t="s">
        <v>139</v>
      </c>
      <c r="D97" s="34"/>
      <c r="E97" s="305"/>
      <c r="F97" s="306">
        <v>1</v>
      </c>
      <c r="G97" s="40" t="s">
        <v>140</v>
      </c>
      <c r="H97" s="249"/>
      <c r="I97" s="10"/>
      <c r="J97" s="10"/>
      <c r="K97" s="10"/>
      <c r="L97" s="10"/>
      <c r="M97" s="290"/>
      <c r="N97" s="295"/>
      <c r="O97" s="34"/>
      <c r="P97" s="6"/>
      <c r="Q97" s="6"/>
    </row>
    <row r="98" spans="1:18" s="2" customFormat="1">
      <c r="A98" s="151" t="s">
        <v>39</v>
      </c>
      <c r="B98" s="34" t="s">
        <v>138</v>
      </c>
      <c r="C98" s="40" t="s">
        <v>139</v>
      </c>
      <c r="D98" s="34"/>
      <c r="E98" s="305"/>
      <c r="F98" s="306">
        <v>1</v>
      </c>
      <c r="G98" s="40" t="s">
        <v>140</v>
      </c>
      <c r="H98" s="249">
        <v>2</v>
      </c>
      <c r="I98" s="10">
        <v>2</v>
      </c>
      <c r="J98" s="10">
        <v>2</v>
      </c>
      <c r="K98" s="10">
        <v>1</v>
      </c>
      <c r="L98" s="10">
        <v>1</v>
      </c>
      <c r="M98" s="290">
        <v>2</v>
      </c>
      <c r="N98" s="295"/>
      <c r="O98" s="34"/>
      <c r="P98" s="6"/>
      <c r="Q98" s="6"/>
    </row>
    <row r="99" spans="1:18" ht="30" customHeight="1">
      <c r="A99" s="326"/>
      <c r="B99" s="327"/>
      <c r="C99" s="327"/>
      <c r="D99" s="327"/>
      <c r="E99" s="328"/>
      <c r="F99" s="329"/>
      <c r="G99" s="330"/>
      <c r="H99" s="327"/>
      <c r="I99" s="327"/>
      <c r="J99" s="327"/>
      <c r="K99" s="327"/>
      <c r="L99" s="327"/>
      <c r="M99" s="327"/>
      <c r="N99" s="327"/>
      <c r="O99" s="331"/>
      <c r="P99" s="331"/>
      <c r="Q99" s="331"/>
      <c r="R99" s="331"/>
    </row>
    <row r="100" spans="1:18" s="2" customFormat="1">
      <c r="A100" s="151" t="s">
        <v>39</v>
      </c>
      <c r="B100" s="34" t="s">
        <v>237</v>
      </c>
      <c r="C100" s="40" t="s">
        <v>139</v>
      </c>
      <c r="D100" s="34"/>
      <c r="E100" s="305"/>
      <c r="F100" s="306">
        <v>1</v>
      </c>
      <c r="G100" s="40" t="s">
        <v>140</v>
      </c>
      <c r="H100" s="249">
        <v>2</v>
      </c>
      <c r="I100" s="10">
        <v>2</v>
      </c>
      <c r="J100" s="10">
        <v>2</v>
      </c>
      <c r="K100" s="10">
        <v>1</v>
      </c>
      <c r="L100" s="10">
        <v>1</v>
      </c>
      <c r="M100" s="290">
        <v>2</v>
      </c>
      <c r="N100" s="295"/>
      <c r="O100" s="34"/>
      <c r="P100" s="6"/>
      <c r="Q100" s="6"/>
    </row>
    <row r="101" spans="1:18" s="2" customFormat="1">
      <c r="A101" s="151" t="s">
        <v>39</v>
      </c>
      <c r="B101" s="34" t="s">
        <v>236</v>
      </c>
      <c r="C101" s="40" t="s">
        <v>139</v>
      </c>
      <c r="D101" s="34"/>
      <c r="E101" s="305"/>
      <c r="F101" s="306">
        <v>1</v>
      </c>
      <c r="G101" s="40" t="s">
        <v>140</v>
      </c>
      <c r="H101" s="249">
        <v>2</v>
      </c>
      <c r="I101" s="10">
        <v>2</v>
      </c>
      <c r="J101" s="10">
        <v>2</v>
      </c>
      <c r="K101" s="10">
        <v>1</v>
      </c>
      <c r="L101" s="10">
        <v>1</v>
      </c>
      <c r="M101" s="290">
        <v>2</v>
      </c>
      <c r="N101" s="295"/>
      <c r="O101" s="34"/>
      <c r="P101" s="6"/>
      <c r="Q101" s="6"/>
    </row>
    <row r="102" spans="1:18" s="2" customFormat="1">
      <c r="A102" s="151" t="s">
        <v>39</v>
      </c>
      <c r="B102" s="34" t="s">
        <v>203</v>
      </c>
      <c r="C102" s="40" t="s">
        <v>139</v>
      </c>
      <c r="D102" s="34"/>
      <c r="E102" s="305"/>
      <c r="F102" s="306">
        <v>1</v>
      </c>
      <c r="G102" s="40" t="s">
        <v>140</v>
      </c>
      <c r="H102" s="249">
        <v>2</v>
      </c>
      <c r="I102" s="10">
        <v>2</v>
      </c>
      <c r="J102" s="10">
        <v>2</v>
      </c>
      <c r="K102" s="10">
        <v>1</v>
      </c>
      <c r="L102" s="10">
        <v>1</v>
      </c>
      <c r="M102" s="290">
        <v>2</v>
      </c>
      <c r="N102" s="295"/>
      <c r="O102" s="34"/>
      <c r="P102" s="6"/>
      <c r="Q102" s="6"/>
    </row>
    <row r="103" spans="1:18" s="2" customFormat="1">
      <c r="A103" s="151" t="s">
        <v>39</v>
      </c>
      <c r="B103" s="34" t="s">
        <v>235</v>
      </c>
      <c r="C103" s="40" t="s">
        <v>139</v>
      </c>
      <c r="D103" s="34"/>
      <c r="E103" s="305"/>
      <c r="F103" s="306">
        <v>1</v>
      </c>
      <c r="G103" s="40" t="s">
        <v>140</v>
      </c>
      <c r="H103" s="249"/>
      <c r="I103" s="10"/>
      <c r="J103" s="10"/>
      <c r="K103" s="10"/>
      <c r="L103" s="10"/>
      <c r="M103" s="290"/>
      <c r="N103" s="295"/>
      <c r="O103" s="34"/>
      <c r="P103" s="6"/>
      <c r="Q103" s="6"/>
    </row>
    <row r="104" spans="1:18" s="2" customFormat="1">
      <c r="A104" s="151" t="s">
        <v>39</v>
      </c>
      <c r="B104" s="34" t="s">
        <v>202</v>
      </c>
      <c r="C104" s="40" t="s">
        <v>139</v>
      </c>
      <c r="D104" s="34"/>
      <c r="E104" s="305"/>
      <c r="F104" s="306">
        <v>1</v>
      </c>
      <c r="G104" s="40" t="s">
        <v>140</v>
      </c>
      <c r="H104" s="249">
        <v>2</v>
      </c>
      <c r="I104" s="10">
        <v>2</v>
      </c>
      <c r="J104" s="10">
        <v>2</v>
      </c>
      <c r="K104" s="10">
        <v>1</v>
      </c>
      <c r="L104" s="10">
        <v>1</v>
      </c>
      <c r="M104" s="290">
        <v>2</v>
      </c>
      <c r="N104" s="295"/>
      <c r="O104" s="34"/>
      <c r="P104" s="6"/>
      <c r="Q104" s="6"/>
    </row>
    <row r="105" spans="1:18" s="2" customFormat="1">
      <c r="A105" s="151" t="s">
        <v>39</v>
      </c>
      <c r="B105" s="34" t="s">
        <v>201</v>
      </c>
      <c r="C105" s="40" t="s">
        <v>139</v>
      </c>
      <c r="D105" s="34"/>
      <c r="E105" s="305"/>
      <c r="F105" s="306">
        <v>1</v>
      </c>
      <c r="G105" s="40" t="s">
        <v>140</v>
      </c>
      <c r="H105" s="249">
        <v>2</v>
      </c>
      <c r="I105" s="10">
        <v>2</v>
      </c>
      <c r="J105" s="10">
        <v>2</v>
      </c>
      <c r="K105" s="10">
        <v>1</v>
      </c>
      <c r="L105" s="10">
        <v>1</v>
      </c>
      <c r="M105" s="290">
        <v>2</v>
      </c>
      <c r="N105" s="295"/>
      <c r="O105" s="34"/>
      <c r="P105" s="6"/>
      <c r="Q105" s="6"/>
    </row>
    <row r="106" spans="1:18" s="2" customFormat="1">
      <c r="A106" s="151" t="s">
        <v>39</v>
      </c>
      <c r="B106" s="34" t="s">
        <v>200</v>
      </c>
      <c r="C106" s="40" t="s">
        <v>139</v>
      </c>
      <c r="D106" s="34"/>
      <c r="E106" s="305"/>
      <c r="F106" s="306">
        <v>1</v>
      </c>
      <c r="G106" s="40" t="s">
        <v>140</v>
      </c>
      <c r="H106" s="249">
        <v>2</v>
      </c>
      <c r="I106" s="10">
        <v>2</v>
      </c>
      <c r="J106" s="10">
        <v>2</v>
      </c>
      <c r="K106" s="10">
        <v>1</v>
      </c>
      <c r="L106" s="10">
        <v>1</v>
      </c>
      <c r="M106" s="290">
        <v>2</v>
      </c>
      <c r="N106" s="295"/>
      <c r="O106" s="34"/>
      <c r="P106" s="6"/>
      <c r="Q106" s="6"/>
    </row>
    <row r="107" spans="1:18" s="2" customFormat="1">
      <c r="A107" s="151" t="s">
        <v>39</v>
      </c>
      <c r="B107" s="34" t="s">
        <v>183</v>
      </c>
      <c r="C107" s="40" t="s">
        <v>139</v>
      </c>
      <c r="D107" s="34"/>
      <c r="E107" s="305"/>
      <c r="F107" s="306">
        <v>1</v>
      </c>
      <c r="G107" s="40" t="s">
        <v>140</v>
      </c>
      <c r="H107" s="249"/>
      <c r="I107" s="10"/>
      <c r="J107" s="10"/>
      <c r="K107" s="10"/>
      <c r="L107" s="10"/>
      <c r="M107" s="290"/>
      <c r="N107" s="295"/>
      <c r="O107" s="34"/>
      <c r="P107" s="6"/>
      <c r="Q107" s="6"/>
    </row>
    <row r="108" spans="1:18" s="2" customFormat="1">
      <c r="A108" s="151" t="s">
        <v>39</v>
      </c>
      <c r="B108" s="34" t="s">
        <v>142</v>
      </c>
      <c r="C108" s="40" t="s">
        <v>139</v>
      </c>
      <c r="D108" s="34"/>
      <c r="E108" s="305"/>
      <c r="F108" s="306">
        <v>1</v>
      </c>
      <c r="G108" s="40" t="s">
        <v>140</v>
      </c>
      <c r="H108" s="249"/>
      <c r="I108" s="10"/>
      <c r="J108" s="10"/>
      <c r="K108" s="10"/>
      <c r="L108" s="10"/>
      <c r="M108" s="290"/>
      <c r="N108" s="295"/>
      <c r="O108" s="34"/>
      <c r="P108" s="6"/>
      <c r="Q108" s="6"/>
    </row>
    <row r="109" spans="1:18" s="2" customFormat="1">
      <c r="A109" s="151" t="s">
        <v>39</v>
      </c>
      <c r="B109" s="34" t="s">
        <v>138</v>
      </c>
      <c r="C109" s="40" t="s">
        <v>139</v>
      </c>
      <c r="D109" s="34"/>
      <c r="E109" s="305"/>
      <c r="F109" s="306">
        <v>1</v>
      </c>
      <c r="G109" s="40" t="s">
        <v>140</v>
      </c>
      <c r="H109" s="249">
        <v>2</v>
      </c>
      <c r="I109" s="10">
        <v>2</v>
      </c>
      <c r="J109" s="10">
        <v>2</v>
      </c>
      <c r="K109" s="10">
        <v>1</v>
      </c>
      <c r="L109" s="10">
        <v>1</v>
      </c>
      <c r="M109" s="290">
        <v>2</v>
      </c>
      <c r="N109" s="295"/>
      <c r="O109" s="34"/>
      <c r="P109" s="6"/>
      <c r="Q109" s="6"/>
    </row>
    <row r="110" spans="1:18" ht="30" customHeight="1">
      <c r="A110" s="326"/>
      <c r="B110" s="327"/>
      <c r="C110" s="327"/>
      <c r="D110" s="327"/>
      <c r="E110" s="328"/>
      <c r="F110" s="329"/>
      <c r="G110" s="330"/>
      <c r="H110" s="327"/>
      <c r="I110" s="327"/>
      <c r="J110" s="327"/>
      <c r="K110" s="327"/>
      <c r="L110" s="327"/>
      <c r="M110" s="327"/>
      <c r="N110" s="327"/>
      <c r="O110" s="331"/>
      <c r="P110" s="331"/>
      <c r="Q110" s="331"/>
      <c r="R110" s="331"/>
    </row>
    <row r="111" spans="1:18" s="2" customFormat="1">
      <c r="A111" s="151" t="s">
        <v>39</v>
      </c>
      <c r="B111" s="34" t="s">
        <v>237</v>
      </c>
      <c r="C111" s="40" t="s">
        <v>139</v>
      </c>
      <c r="D111" s="34"/>
      <c r="E111" s="305"/>
      <c r="F111" s="306">
        <v>1</v>
      </c>
      <c r="G111" s="40" t="s">
        <v>140</v>
      </c>
      <c r="H111" s="249">
        <v>2</v>
      </c>
      <c r="I111" s="10">
        <v>2</v>
      </c>
      <c r="J111" s="10">
        <v>2</v>
      </c>
      <c r="K111" s="10">
        <v>1</v>
      </c>
      <c r="L111" s="10">
        <v>1</v>
      </c>
      <c r="M111" s="290">
        <v>2</v>
      </c>
      <c r="N111" s="295"/>
      <c r="O111" s="34"/>
      <c r="P111" s="6"/>
      <c r="Q111" s="6"/>
    </row>
    <row r="112" spans="1:18" s="2" customFormat="1">
      <c r="A112" s="151" t="s">
        <v>39</v>
      </c>
      <c r="B112" s="34" t="s">
        <v>236</v>
      </c>
      <c r="C112" s="40" t="s">
        <v>139</v>
      </c>
      <c r="D112" s="34"/>
      <c r="E112" s="305"/>
      <c r="F112" s="306">
        <v>1</v>
      </c>
      <c r="G112" s="40" t="s">
        <v>140</v>
      </c>
      <c r="H112" s="249">
        <v>2</v>
      </c>
      <c r="I112" s="10">
        <v>2</v>
      </c>
      <c r="J112" s="10">
        <v>2</v>
      </c>
      <c r="K112" s="10">
        <v>1</v>
      </c>
      <c r="L112" s="10">
        <v>1</v>
      </c>
      <c r="M112" s="290">
        <v>2</v>
      </c>
      <c r="N112" s="295"/>
      <c r="O112" s="34"/>
      <c r="P112" s="6"/>
      <c r="Q112" s="6"/>
    </row>
    <row r="113" spans="1:18" s="2" customFormat="1">
      <c r="A113" s="151" t="s">
        <v>39</v>
      </c>
      <c r="B113" s="34" t="s">
        <v>203</v>
      </c>
      <c r="C113" s="40" t="s">
        <v>139</v>
      </c>
      <c r="D113" s="34"/>
      <c r="E113" s="305"/>
      <c r="F113" s="306">
        <v>1</v>
      </c>
      <c r="G113" s="40" t="s">
        <v>140</v>
      </c>
      <c r="H113" s="249">
        <v>2</v>
      </c>
      <c r="I113" s="10">
        <v>2</v>
      </c>
      <c r="J113" s="10">
        <v>2</v>
      </c>
      <c r="K113" s="10">
        <v>1</v>
      </c>
      <c r="L113" s="10">
        <v>1</v>
      </c>
      <c r="M113" s="290">
        <v>2</v>
      </c>
      <c r="N113" s="295"/>
      <c r="O113" s="34"/>
      <c r="P113" s="6"/>
      <c r="Q113" s="6"/>
    </row>
    <row r="114" spans="1:18" s="2" customFormat="1">
      <c r="A114" s="151" t="s">
        <v>39</v>
      </c>
      <c r="B114" s="34" t="s">
        <v>235</v>
      </c>
      <c r="C114" s="40" t="s">
        <v>139</v>
      </c>
      <c r="D114" s="34"/>
      <c r="E114" s="305"/>
      <c r="F114" s="306">
        <v>1</v>
      </c>
      <c r="G114" s="40" t="s">
        <v>140</v>
      </c>
      <c r="H114" s="249"/>
      <c r="I114" s="10"/>
      <c r="J114" s="10"/>
      <c r="K114" s="10"/>
      <c r="L114" s="10"/>
      <c r="M114" s="290"/>
      <c r="N114" s="295"/>
      <c r="O114" s="34"/>
      <c r="P114" s="6"/>
      <c r="Q114" s="6"/>
    </row>
    <row r="115" spans="1:18" s="2" customFormat="1">
      <c r="A115" s="151" t="s">
        <v>39</v>
      </c>
      <c r="B115" s="34" t="s">
        <v>202</v>
      </c>
      <c r="C115" s="40" t="s">
        <v>139</v>
      </c>
      <c r="D115" s="34"/>
      <c r="E115" s="305"/>
      <c r="F115" s="306">
        <v>1</v>
      </c>
      <c r="G115" s="40" t="s">
        <v>140</v>
      </c>
      <c r="H115" s="249">
        <v>2</v>
      </c>
      <c r="I115" s="10">
        <v>2</v>
      </c>
      <c r="J115" s="10">
        <v>2</v>
      </c>
      <c r="K115" s="10">
        <v>1</v>
      </c>
      <c r="L115" s="10">
        <v>1</v>
      </c>
      <c r="M115" s="290">
        <v>2</v>
      </c>
      <c r="N115" s="295"/>
      <c r="O115" s="34"/>
      <c r="P115" s="6"/>
      <c r="Q115" s="6"/>
    </row>
    <row r="116" spans="1:18" s="2" customFormat="1">
      <c r="A116" s="151" t="s">
        <v>39</v>
      </c>
      <c r="B116" s="34" t="s">
        <v>201</v>
      </c>
      <c r="C116" s="40" t="s">
        <v>139</v>
      </c>
      <c r="D116" s="34"/>
      <c r="E116" s="305"/>
      <c r="F116" s="306">
        <v>1</v>
      </c>
      <c r="G116" s="40" t="s">
        <v>140</v>
      </c>
      <c r="H116" s="249">
        <v>2</v>
      </c>
      <c r="I116" s="10">
        <v>2</v>
      </c>
      <c r="J116" s="10">
        <v>2</v>
      </c>
      <c r="K116" s="10">
        <v>1</v>
      </c>
      <c r="L116" s="10">
        <v>1</v>
      </c>
      <c r="M116" s="290">
        <v>2</v>
      </c>
      <c r="N116" s="295"/>
      <c r="O116" s="34"/>
      <c r="P116" s="6"/>
      <c r="Q116" s="6"/>
    </row>
    <row r="117" spans="1:18" s="2" customFormat="1">
      <c r="A117" s="151" t="s">
        <v>39</v>
      </c>
      <c r="B117" s="34" t="s">
        <v>200</v>
      </c>
      <c r="C117" s="40" t="s">
        <v>139</v>
      </c>
      <c r="D117" s="34"/>
      <c r="E117" s="305"/>
      <c r="F117" s="306">
        <v>1</v>
      </c>
      <c r="G117" s="40" t="s">
        <v>140</v>
      </c>
      <c r="H117" s="249">
        <v>2</v>
      </c>
      <c r="I117" s="10">
        <v>2</v>
      </c>
      <c r="J117" s="10">
        <v>2</v>
      </c>
      <c r="K117" s="10">
        <v>1</v>
      </c>
      <c r="L117" s="10">
        <v>1</v>
      </c>
      <c r="M117" s="290">
        <v>2</v>
      </c>
      <c r="N117" s="295"/>
      <c r="O117" s="34"/>
      <c r="P117" s="6"/>
      <c r="Q117" s="6"/>
    </row>
    <row r="118" spans="1:18" s="2" customFormat="1">
      <c r="A118" s="151" t="s">
        <v>39</v>
      </c>
      <c r="B118" s="34" t="s">
        <v>183</v>
      </c>
      <c r="C118" s="40" t="s">
        <v>139</v>
      </c>
      <c r="D118" s="34"/>
      <c r="E118" s="305"/>
      <c r="F118" s="306">
        <v>1</v>
      </c>
      <c r="G118" s="40" t="s">
        <v>140</v>
      </c>
      <c r="H118" s="249"/>
      <c r="I118" s="10"/>
      <c r="J118" s="10"/>
      <c r="K118" s="10"/>
      <c r="L118" s="10"/>
      <c r="M118" s="290"/>
      <c r="N118" s="295"/>
      <c r="O118" s="34"/>
      <c r="P118" s="6"/>
      <c r="Q118" s="6"/>
    </row>
    <row r="119" spans="1:18" s="2" customFormat="1">
      <c r="A119" s="151" t="s">
        <v>39</v>
      </c>
      <c r="B119" s="34" t="s">
        <v>142</v>
      </c>
      <c r="C119" s="40" t="s">
        <v>139</v>
      </c>
      <c r="D119" s="34"/>
      <c r="E119" s="305"/>
      <c r="F119" s="306">
        <v>1</v>
      </c>
      <c r="G119" s="40" t="s">
        <v>140</v>
      </c>
      <c r="H119" s="249"/>
      <c r="I119" s="10"/>
      <c r="J119" s="10"/>
      <c r="K119" s="10"/>
      <c r="L119" s="10"/>
      <c r="M119" s="290"/>
      <c r="N119" s="295"/>
      <c r="O119" s="34"/>
      <c r="P119" s="6"/>
      <c r="Q119" s="6"/>
    </row>
    <row r="120" spans="1:18" s="2" customFormat="1">
      <c r="A120" s="151" t="s">
        <v>39</v>
      </c>
      <c r="B120" s="34" t="s">
        <v>138</v>
      </c>
      <c r="C120" s="40" t="s">
        <v>139</v>
      </c>
      <c r="D120" s="34"/>
      <c r="E120" s="305"/>
      <c r="F120" s="306">
        <v>1</v>
      </c>
      <c r="G120" s="40" t="s">
        <v>140</v>
      </c>
      <c r="H120" s="249">
        <v>2</v>
      </c>
      <c r="I120" s="10">
        <v>2</v>
      </c>
      <c r="J120" s="10">
        <v>2</v>
      </c>
      <c r="K120" s="10">
        <v>1</v>
      </c>
      <c r="L120" s="10">
        <v>1</v>
      </c>
      <c r="M120" s="290">
        <v>2</v>
      </c>
      <c r="N120" s="295"/>
      <c r="O120" s="34"/>
      <c r="P120" s="6"/>
      <c r="Q120" s="6"/>
    </row>
    <row r="121" spans="1:18" ht="30" customHeight="1">
      <c r="A121" s="326"/>
      <c r="B121" s="327"/>
      <c r="C121" s="327"/>
      <c r="D121" s="327"/>
      <c r="E121" s="328"/>
      <c r="F121" s="329"/>
      <c r="G121" s="330"/>
      <c r="H121" s="327"/>
      <c r="I121" s="327"/>
      <c r="J121" s="327"/>
      <c r="K121" s="327"/>
      <c r="L121" s="327"/>
      <c r="M121" s="327"/>
      <c r="N121" s="327"/>
      <c r="O121" s="331"/>
      <c r="P121" s="331"/>
      <c r="Q121" s="331"/>
      <c r="R121" s="331"/>
    </row>
    <row r="122" spans="1:18" s="2" customFormat="1">
      <c r="A122" s="151" t="s">
        <v>39</v>
      </c>
      <c r="B122" s="34" t="s">
        <v>237</v>
      </c>
      <c r="C122" s="40" t="s">
        <v>139</v>
      </c>
      <c r="D122" s="34" t="s">
        <v>98</v>
      </c>
      <c r="E122" s="551">
        <v>0.36860068259385664</v>
      </c>
      <c r="F122" s="306">
        <v>1</v>
      </c>
      <c r="G122" s="40" t="s">
        <v>141</v>
      </c>
      <c r="H122" s="249">
        <v>2</v>
      </c>
      <c r="I122" s="10">
        <v>1</v>
      </c>
      <c r="J122" s="10">
        <v>2</v>
      </c>
      <c r="K122" s="10">
        <v>2</v>
      </c>
      <c r="L122" s="10">
        <v>1</v>
      </c>
      <c r="M122" s="290">
        <v>1</v>
      </c>
      <c r="N122" s="185">
        <f>IF( OR( ISBLANK(I122),ISBLANK(J122), ISBLANK(K122), ISBLANK(L122), ISBLANK(M122) ), "", 1.5*SQRT(   EXP(2.21*(I122-1)) + EXP(2.21*(J122-1)) + EXP(2.21*(K122-1)) + EXP(2.21*(L122-1)) + EXP(2.21*M122)   )/100*2.45 )</f>
        <v>0.19908580854301616</v>
      </c>
      <c r="O122" s="34"/>
      <c r="P122" s="6"/>
      <c r="Q122" s="6"/>
    </row>
    <row r="123" spans="1:18" s="2" customFormat="1">
      <c r="A123" s="151" t="s">
        <v>39</v>
      </c>
      <c r="B123" s="34" t="s">
        <v>236</v>
      </c>
      <c r="C123" s="40" t="s">
        <v>139</v>
      </c>
      <c r="D123" s="34" t="s">
        <v>98</v>
      </c>
      <c r="E123" s="551">
        <v>0</v>
      </c>
      <c r="F123" s="306">
        <v>1</v>
      </c>
      <c r="G123" s="40" t="s">
        <v>141</v>
      </c>
      <c r="H123" s="249">
        <v>2</v>
      </c>
      <c r="I123" s="10">
        <v>1</v>
      </c>
      <c r="J123" s="10">
        <v>2</v>
      </c>
      <c r="K123" s="10">
        <v>2</v>
      </c>
      <c r="L123" s="10">
        <v>1</v>
      </c>
      <c r="M123" s="290">
        <v>1</v>
      </c>
      <c r="N123" s="185">
        <f>IF( OR( ISBLANK(I123),ISBLANK(J123), ISBLANK(K123), ISBLANK(L123), ISBLANK(M123) ), "", 1.5*SQRT(   EXP(2.21*(I123-1)) + EXP(2.21*(J123-1)) + EXP(2.21*(K123-1)) + EXP(2.21*(L123-1)) + EXP(2.21*M123)   )/100*2.45 )</f>
        <v>0.19908580854301616</v>
      </c>
      <c r="O123" s="34"/>
      <c r="P123" s="6"/>
      <c r="Q123" s="6"/>
    </row>
    <row r="124" spans="1:18" s="2" customFormat="1">
      <c r="A124" s="151" t="s">
        <v>39</v>
      </c>
      <c r="B124" s="34" t="s">
        <v>203</v>
      </c>
      <c r="C124" s="40" t="s">
        <v>139</v>
      </c>
      <c r="D124" s="34" t="s">
        <v>98</v>
      </c>
      <c r="E124" s="551">
        <v>0.20723549488054607</v>
      </c>
      <c r="F124" s="306">
        <v>1</v>
      </c>
      <c r="G124" s="40" t="s">
        <v>141</v>
      </c>
      <c r="H124" s="249">
        <v>2</v>
      </c>
      <c r="I124" s="10">
        <v>1</v>
      </c>
      <c r="J124" s="10">
        <v>2</v>
      </c>
      <c r="K124" s="10">
        <v>2</v>
      </c>
      <c r="L124" s="10">
        <v>1</v>
      </c>
      <c r="M124" s="290">
        <v>1</v>
      </c>
      <c r="N124" s="185">
        <f t="shared" ref="N124:N131" si="5">IF( OR( ISBLANK(I124),ISBLANK(J124), ISBLANK(K124), ISBLANK(L124), ISBLANK(M124) ), "", 1.5*SQRT(   EXP(2.21*(I124-1)) + EXP(2.21*(J124-1)) + EXP(2.21*(K124-1)) + EXP(2.21*(L124-1)) + EXP(2.21*M124)   )/100*2.45 )</f>
        <v>0.19908580854301616</v>
      </c>
      <c r="O124" s="34"/>
      <c r="P124" s="6"/>
      <c r="Q124" s="6"/>
    </row>
    <row r="125" spans="1:18" s="2" customFormat="1">
      <c r="A125" s="151" t="s">
        <v>39</v>
      </c>
      <c r="B125" s="34" t="s">
        <v>235</v>
      </c>
      <c r="C125" s="40" t="s">
        <v>139</v>
      </c>
      <c r="D125" s="34" t="s">
        <v>98</v>
      </c>
      <c r="E125" s="551">
        <v>0</v>
      </c>
      <c r="F125" s="306">
        <v>1</v>
      </c>
      <c r="G125" s="40" t="s">
        <v>141</v>
      </c>
      <c r="H125" s="249">
        <v>2</v>
      </c>
      <c r="I125" s="10">
        <v>1</v>
      </c>
      <c r="J125" s="10">
        <v>2</v>
      </c>
      <c r="K125" s="10">
        <v>2</v>
      </c>
      <c r="L125" s="10">
        <v>1</v>
      </c>
      <c r="M125" s="290">
        <v>1</v>
      </c>
      <c r="N125" s="185">
        <f t="shared" si="5"/>
        <v>0.19908580854301616</v>
      </c>
      <c r="O125" s="34"/>
      <c r="P125" s="6"/>
      <c r="Q125" s="6"/>
    </row>
    <row r="126" spans="1:18" s="2" customFormat="1">
      <c r="A126" s="151" t="s">
        <v>39</v>
      </c>
      <c r="B126" s="34" t="s">
        <v>202</v>
      </c>
      <c r="C126" s="40" t="s">
        <v>139</v>
      </c>
      <c r="D126" s="34" t="s">
        <v>98</v>
      </c>
      <c r="E126" s="551">
        <v>0.28529010238907848</v>
      </c>
      <c r="F126" s="306">
        <v>1</v>
      </c>
      <c r="G126" s="40" t="s">
        <v>141</v>
      </c>
      <c r="H126" s="249">
        <v>2</v>
      </c>
      <c r="I126" s="10">
        <v>1</v>
      </c>
      <c r="J126" s="10">
        <v>2</v>
      </c>
      <c r="K126" s="10">
        <v>2</v>
      </c>
      <c r="L126" s="10">
        <v>1</v>
      </c>
      <c r="M126" s="290">
        <v>1</v>
      </c>
      <c r="N126" s="185">
        <f t="shared" si="5"/>
        <v>0.19908580854301616</v>
      </c>
      <c r="O126" s="34"/>
      <c r="P126" s="6"/>
      <c r="Q126" s="6"/>
    </row>
    <row r="127" spans="1:18" s="2" customFormat="1">
      <c r="A127" s="151" t="s">
        <v>39</v>
      </c>
      <c r="B127" s="34" t="s">
        <v>201</v>
      </c>
      <c r="C127" s="40" t="s">
        <v>139</v>
      </c>
      <c r="D127" s="34" t="s">
        <v>98</v>
      </c>
      <c r="E127" s="551">
        <v>0</v>
      </c>
      <c r="F127" s="306">
        <v>1</v>
      </c>
      <c r="G127" s="40" t="s">
        <v>141</v>
      </c>
      <c r="H127" s="249">
        <v>2</v>
      </c>
      <c r="I127" s="10">
        <v>1</v>
      </c>
      <c r="J127" s="10">
        <v>2</v>
      </c>
      <c r="K127" s="10">
        <v>2</v>
      </c>
      <c r="L127" s="10">
        <v>1</v>
      </c>
      <c r="M127" s="290">
        <v>1</v>
      </c>
      <c r="N127" s="185">
        <f t="shared" si="5"/>
        <v>0.19908580854301616</v>
      </c>
      <c r="O127" s="34"/>
      <c r="P127" s="6"/>
      <c r="Q127" s="6"/>
    </row>
    <row r="128" spans="1:18" s="2" customFormat="1">
      <c r="A128" s="151" t="s">
        <v>39</v>
      </c>
      <c r="B128" s="34" t="s">
        <v>200</v>
      </c>
      <c r="C128" s="40" t="s">
        <v>139</v>
      </c>
      <c r="D128" s="34" t="s">
        <v>98</v>
      </c>
      <c r="E128" s="551">
        <v>0.12556313993174059</v>
      </c>
      <c r="F128" s="306">
        <v>1</v>
      </c>
      <c r="G128" s="40" t="s">
        <v>141</v>
      </c>
      <c r="H128" s="249">
        <v>2</v>
      </c>
      <c r="I128" s="10">
        <v>1</v>
      </c>
      <c r="J128" s="10">
        <v>2</v>
      </c>
      <c r="K128" s="10">
        <v>2</v>
      </c>
      <c r="L128" s="10">
        <v>1</v>
      </c>
      <c r="M128" s="290">
        <v>1</v>
      </c>
      <c r="N128" s="185">
        <f t="shared" si="5"/>
        <v>0.19908580854301616</v>
      </c>
      <c r="O128" s="34"/>
      <c r="P128" s="6"/>
      <c r="Q128" s="6"/>
    </row>
    <row r="129" spans="1:18" s="2" customFormat="1">
      <c r="A129" s="151" t="s">
        <v>39</v>
      </c>
      <c r="B129" s="34" t="s">
        <v>183</v>
      </c>
      <c r="C129" s="40" t="s">
        <v>139</v>
      </c>
      <c r="D129" s="34" t="s">
        <v>98</v>
      </c>
      <c r="E129" s="551">
        <v>0</v>
      </c>
      <c r="F129" s="306">
        <v>1</v>
      </c>
      <c r="G129" s="40" t="s">
        <v>141</v>
      </c>
      <c r="H129" s="249">
        <v>2</v>
      </c>
      <c r="I129" s="10">
        <v>1</v>
      </c>
      <c r="J129" s="10">
        <v>2</v>
      </c>
      <c r="K129" s="10">
        <v>2</v>
      </c>
      <c r="L129" s="10">
        <v>1</v>
      </c>
      <c r="M129" s="290">
        <v>1</v>
      </c>
      <c r="N129" s="185">
        <f t="shared" si="5"/>
        <v>0.19908580854301616</v>
      </c>
      <c r="O129" s="34"/>
      <c r="P129" s="6"/>
      <c r="Q129" s="6"/>
    </row>
    <row r="130" spans="1:18" s="2" customFormat="1">
      <c r="A130" s="151" t="s">
        <v>39</v>
      </c>
      <c r="B130" s="34" t="s">
        <v>142</v>
      </c>
      <c r="C130" s="40" t="s">
        <v>139</v>
      </c>
      <c r="D130" s="34" t="s">
        <v>98</v>
      </c>
      <c r="E130" s="551">
        <v>1.3310580204778157E-2</v>
      </c>
      <c r="F130" s="306">
        <v>1</v>
      </c>
      <c r="G130" s="40" t="s">
        <v>141</v>
      </c>
      <c r="H130" s="249">
        <v>2</v>
      </c>
      <c r="I130" s="10">
        <v>1</v>
      </c>
      <c r="J130" s="10">
        <v>2</v>
      </c>
      <c r="K130" s="10">
        <v>2</v>
      </c>
      <c r="L130" s="10">
        <v>1</v>
      </c>
      <c r="M130" s="290">
        <v>1</v>
      </c>
      <c r="N130" s="185">
        <f t="shared" si="5"/>
        <v>0.19908580854301616</v>
      </c>
      <c r="O130" s="34"/>
      <c r="P130" s="6"/>
      <c r="Q130" s="6"/>
    </row>
    <row r="131" spans="1:18" s="2" customFormat="1">
      <c r="A131" s="151" t="s">
        <v>39</v>
      </c>
      <c r="B131" s="34" t="s">
        <v>138</v>
      </c>
      <c r="C131" s="40" t="s">
        <v>139</v>
      </c>
      <c r="D131" s="34" t="s">
        <v>98</v>
      </c>
      <c r="E131" s="551">
        <v>0</v>
      </c>
      <c r="F131" s="306">
        <v>1</v>
      </c>
      <c r="G131" s="40" t="s">
        <v>141</v>
      </c>
      <c r="H131" s="249">
        <v>2</v>
      </c>
      <c r="I131" s="10">
        <v>1</v>
      </c>
      <c r="J131" s="10">
        <v>2</v>
      </c>
      <c r="K131" s="10">
        <v>2</v>
      </c>
      <c r="L131" s="10">
        <v>1</v>
      </c>
      <c r="M131" s="290">
        <v>1</v>
      </c>
      <c r="N131" s="185">
        <f t="shared" si="5"/>
        <v>0.19908580854301616</v>
      </c>
      <c r="O131" s="34"/>
      <c r="P131" s="6"/>
      <c r="Q131" s="6"/>
    </row>
    <row r="132" spans="1:18" s="2" customFormat="1">
      <c r="A132" s="153"/>
      <c r="B132" s="7"/>
      <c r="C132" s="7"/>
      <c r="D132" s="7"/>
      <c r="E132" s="840"/>
      <c r="F132" s="841"/>
      <c r="G132" s="161"/>
      <c r="H132" s="842"/>
      <c r="I132" s="71"/>
      <c r="J132" s="71"/>
      <c r="K132" s="71"/>
      <c r="L132" s="71"/>
      <c r="M132" s="572"/>
      <c r="N132" s="843"/>
      <c r="O132" s="7"/>
      <c r="P132" s="6"/>
      <c r="Q132" s="6"/>
    </row>
    <row r="133" spans="1:18" s="2" customFormat="1">
      <c r="A133" s="1150" t="s">
        <v>965</v>
      </c>
      <c r="B133" s="1150"/>
      <c r="C133" s="1150"/>
      <c r="D133" s="1150"/>
      <c r="E133" s="1150"/>
      <c r="F133" s="1150"/>
      <c r="G133" s="1150"/>
      <c r="H133" s="1150"/>
      <c r="I133" s="1150"/>
      <c r="J133" s="1150"/>
      <c r="K133" s="1150"/>
      <c r="L133" s="1150"/>
      <c r="M133" s="1150"/>
      <c r="N133" s="1150"/>
      <c r="O133" s="1150"/>
      <c r="P133" s="1150"/>
      <c r="Q133" s="6"/>
    </row>
    <row r="134" spans="1:18">
      <c r="A134" s="1150"/>
      <c r="B134" s="1150"/>
      <c r="C134" s="1150"/>
      <c r="D134" s="1150"/>
      <c r="E134" s="1150"/>
      <c r="F134" s="1150"/>
      <c r="G134" s="1150"/>
      <c r="H134" s="1150"/>
      <c r="I134" s="1150"/>
      <c r="J134" s="1150"/>
      <c r="K134" s="1150"/>
      <c r="L134" s="1150"/>
      <c r="M134" s="1150"/>
      <c r="N134" s="1150"/>
      <c r="O134" s="1150"/>
      <c r="P134" s="1150"/>
      <c r="Q134" s="331"/>
      <c r="R134" s="331"/>
    </row>
    <row r="135" spans="1:18" ht="15" customHeight="1">
      <c r="A135" s="1146" t="s">
        <v>100</v>
      </c>
      <c r="B135" s="1143" t="s">
        <v>101</v>
      </c>
      <c r="C135" s="1143" t="s">
        <v>131</v>
      </c>
      <c r="D135" s="1143" t="s">
        <v>102</v>
      </c>
      <c r="E135" s="1030" t="s">
        <v>873</v>
      </c>
      <c r="F135" s="1031"/>
      <c r="G135" s="1047"/>
      <c r="H135" s="1143" t="s">
        <v>104</v>
      </c>
      <c r="I135" s="1144" t="s">
        <v>134</v>
      </c>
      <c r="J135" s="1144" t="s">
        <v>65</v>
      </c>
      <c r="K135" s="1144" t="s">
        <v>67</v>
      </c>
      <c r="L135" s="1144" t="s">
        <v>73</v>
      </c>
      <c r="M135" s="1144" t="s">
        <v>79</v>
      </c>
      <c r="N135" s="1141" t="s">
        <v>106</v>
      </c>
    </row>
    <row r="136" spans="1:18" ht="15" customHeight="1">
      <c r="A136" s="1039"/>
      <c r="B136" s="1039"/>
      <c r="C136" s="1039"/>
      <c r="D136" s="1039"/>
      <c r="E136" s="140" t="s">
        <v>1118</v>
      </c>
      <c r="F136" s="140" t="s">
        <v>1119</v>
      </c>
      <c r="G136" s="140" t="s">
        <v>758</v>
      </c>
      <c r="H136" s="1039"/>
      <c r="I136" s="1145"/>
      <c r="J136" s="1145"/>
      <c r="K136" s="1145"/>
      <c r="L136" s="1145"/>
      <c r="M136" s="1145"/>
      <c r="N136" s="1142"/>
    </row>
    <row r="137" spans="1:18">
      <c r="A137" s="143" t="s">
        <v>1120</v>
      </c>
      <c r="B137" s="117">
        <v>2019</v>
      </c>
      <c r="C137" s="117" t="s">
        <v>180</v>
      </c>
      <c r="D137" s="117" t="s">
        <v>1121</v>
      </c>
      <c r="E137" s="117">
        <v>125.38</v>
      </c>
      <c r="F137" s="117">
        <v>137.35</v>
      </c>
      <c r="G137" s="130">
        <f>AVERAGE(E137:F137)</f>
        <v>131.36500000000001</v>
      </c>
      <c r="H137" s="9" t="s">
        <v>1122</v>
      </c>
      <c r="I137" s="9">
        <v>1</v>
      </c>
      <c r="J137" s="9">
        <v>2</v>
      </c>
      <c r="K137" s="9">
        <v>1</v>
      </c>
      <c r="L137" s="9">
        <v>1</v>
      </c>
      <c r="M137" s="9">
        <v>1</v>
      </c>
      <c r="N137" s="185">
        <f>IF( OR( ISBLANK(I137),ISBLANK(J137), ISBLANK(K137), ISBLANK(L137), ISBLANK(M137) ), "", 1.5*SQRT(   EXP(2.21*(I137-1)) + EXP(2.21*(J137-1)) + EXP(2.21*(K137-1)) + EXP(2.21*(L137-1)) + EXP(2.21*M137)   )/100*2.45 )</f>
        <v>0.16933510251023262</v>
      </c>
    </row>
    <row r="138" spans="1:18">
      <c r="A138" s="143" t="s">
        <v>1120</v>
      </c>
      <c r="B138" s="117">
        <v>2019</v>
      </c>
      <c r="C138" s="117" t="s">
        <v>180</v>
      </c>
      <c r="D138" s="117" t="s">
        <v>87</v>
      </c>
      <c r="E138" s="117">
        <v>60.31</v>
      </c>
      <c r="F138" s="117">
        <v>68.650000000000006</v>
      </c>
      <c r="G138" s="130">
        <f t="shared" ref="G138:G141" si="6">AVERAGE(E138:F138)</f>
        <v>64.48</v>
      </c>
      <c r="H138" s="9" t="s">
        <v>1122</v>
      </c>
      <c r="I138" s="9">
        <v>1</v>
      </c>
      <c r="J138" s="9">
        <v>2</v>
      </c>
      <c r="K138" s="9">
        <v>1</v>
      </c>
      <c r="L138" s="9">
        <v>1</v>
      </c>
      <c r="M138" s="9">
        <v>1</v>
      </c>
      <c r="N138" s="185">
        <f>IF( OR( ISBLANK(I138),ISBLANK(J138), ISBLANK(K138), ISBLANK(L138), ISBLANK(M138) ), "", 1.5*SQRT(   EXP(2.21*(I138-1)) + EXP(2.21*(J138-1)) + EXP(2.21*(K138-1)) + EXP(2.21*(L138-1)) + EXP(2.21*M138)   )/100*2.45 )</f>
        <v>0.16933510251023262</v>
      </c>
    </row>
    <row r="139" spans="1:18">
      <c r="A139" s="143" t="s">
        <v>1120</v>
      </c>
      <c r="B139" s="117">
        <v>2019</v>
      </c>
      <c r="C139" s="117" t="s">
        <v>180</v>
      </c>
      <c r="D139" s="117" t="s">
        <v>91</v>
      </c>
      <c r="E139" s="117">
        <v>61.79</v>
      </c>
      <c r="F139" s="117">
        <v>63.96</v>
      </c>
      <c r="G139" s="130">
        <f t="shared" si="6"/>
        <v>62.875</v>
      </c>
      <c r="H139" s="9" t="s">
        <v>1122</v>
      </c>
      <c r="I139" s="9">
        <v>1</v>
      </c>
      <c r="J139" s="9">
        <v>2</v>
      </c>
      <c r="K139" s="9">
        <v>1</v>
      </c>
      <c r="L139" s="9">
        <v>1</v>
      </c>
      <c r="M139" s="9">
        <v>1</v>
      </c>
      <c r="N139" s="185">
        <f>IF( OR( ISBLANK(I139),ISBLANK(J139), ISBLANK(K139), ISBLANK(L139), ISBLANK(M139) ), "", 1.5*SQRT(   EXP(2.21*(I139-1)) + EXP(2.21*(J139-1)) + EXP(2.21*(K139-1)) + EXP(2.21*(L139-1)) + EXP(2.21*M139)   )/100*2.45 )</f>
        <v>0.16933510251023262</v>
      </c>
    </row>
    <row r="140" spans="1:18">
      <c r="A140" s="143" t="s">
        <v>1120</v>
      </c>
      <c r="B140" s="117">
        <v>2019</v>
      </c>
      <c r="C140" s="117" t="s">
        <v>180</v>
      </c>
      <c r="D140" s="117" t="s">
        <v>90</v>
      </c>
      <c r="E140" s="117">
        <v>8.7799999999999994</v>
      </c>
      <c r="F140" s="117">
        <v>10.83</v>
      </c>
      <c r="G140" s="130">
        <f t="shared" si="6"/>
        <v>9.8049999999999997</v>
      </c>
      <c r="H140" s="9" t="s">
        <v>1122</v>
      </c>
      <c r="I140" s="9">
        <v>1</v>
      </c>
      <c r="J140" s="9">
        <v>2</v>
      </c>
      <c r="K140" s="9">
        <v>1</v>
      </c>
      <c r="L140" s="9">
        <v>1</v>
      </c>
      <c r="M140" s="9">
        <v>1</v>
      </c>
      <c r="N140" s="185">
        <f>IF( OR( ISBLANK(I140),ISBLANK(J140), ISBLANK(K140), ISBLANK(L140), ISBLANK(M140) ), "", 1.5*SQRT(   EXP(2.21*(I140-1)) + EXP(2.21*(J140-1)) + EXP(2.21*(K140-1)) + EXP(2.21*(L140-1)) + EXP(2.21*M140)   )/100*2.45 )</f>
        <v>0.16933510251023262</v>
      </c>
    </row>
    <row r="141" spans="1:18">
      <c r="A141" s="143" t="s">
        <v>1120</v>
      </c>
      <c r="B141" s="117">
        <v>2019</v>
      </c>
      <c r="C141" s="117" t="s">
        <v>180</v>
      </c>
      <c r="D141" s="117" t="s">
        <v>127</v>
      </c>
      <c r="E141" s="117">
        <v>26.43</v>
      </c>
      <c r="F141" s="117">
        <v>29.21</v>
      </c>
      <c r="G141" s="130">
        <f t="shared" si="6"/>
        <v>27.82</v>
      </c>
      <c r="H141" s="9" t="s">
        <v>1122</v>
      </c>
      <c r="I141" s="9">
        <v>1</v>
      </c>
      <c r="J141" s="9">
        <v>2</v>
      </c>
      <c r="K141" s="9">
        <v>1</v>
      </c>
      <c r="L141" s="9">
        <v>1</v>
      </c>
      <c r="M141" s="9">
        <v>1</v>
      </c>
      <c r="N141" s="185">
        <f>IF( OR( ISBLANK(I141),ISBLANK(J141), ISBLANK(K141), ISBLANK(L141), ISBLANK(M141) ), "", 1.5*SQRT(   EXP(2.21*(I141-1)) + EXP(2.21*(J141-1)) + EXP(2.21*(K141-1)) + EXP(2.21*(L141-1)) + EXP(2.21*M141)   )/100*2.45 )</f>
        <v>0.16933510251023262</v>
      </c>
    </row>
    <row r="142" spans="1:18">
      <c r="A142" s="199" t="s">
        <v>1123</v>
      </c>
      <c r="B142" s="127">
        <v>2019</v>
      </c>
      <c r="C142" s="127" t="s">
        <v>180</v>
      </c>
      <c r="D142" s="127" t="s">
        <v>934</v>
      </c>
      <c r="E142" s="127">
        <f>SUM(E137:E141)</f>
        <v>282.69</v>
      </c>
      <c r="F142" s="137">
        <f>SUM(F137:F141)</f>
        <v>309.99999999999994</v>
      </c>
      <c r="G142" s="137">
        <f>SUM(G137:G141)</f>
        <v>296.34500000000003</v>
      </c>
      <c r="H142" s="9"/>
      <c r="I142" s="117"/>
      <c r="J142" s="117"/>
      <c r="K142" s="117"/>
      <c r="L142" s="117"/>
      <c r="M142" s="117"/>
      <c r="N142" s="117"/>
    </row>
    <row r="143" spans="1:18">
      <c r="A143" s="324"/>
      <c r="B143" s="25"/>
      <c r="C143" s="25"/>
      <c r="D143" s="25"/>
      <c r="E143" s="25"/>
      <c r="F143" s="325"/>
      <c r="G143" s="325"/>
      <c r="H143" s="7"/>
    </row>
    <row r="144" spans="1:18" ht="15" thickBot="1">
      <c r="B144" s="25"/>
      <c r="D144" s="25"/>
    </row>
    <row r="145" spans="1:16">
      <c r="A145" s="200"/>
      <c r="B145" s="195"/>
      <c r="C145" s="201"/>
      <c r="D145" s="195"/>
      <c r="E145" s="201"/>
      <c r="F145" s="201"/>
      <c r="G145" s="201"/>
      <c r="H145" s="201"/>
      <c r="I145" s="201"/>
      <c r="J145" s="201"/>
      <c r="K145" s="201"/>
      <c r="L145" s="201"/>
      <c r="M145" s="201"/>
      <c r="N145" s="201"/>
      <c r="O145" s="1132" t="s">
        <v>1124</v>
      </c>
      <c r="P145" s="1133"/>
    </row>
    <row r="146" spans="1:16">
      <c r="A146" s="202"/>
      <c r="B146" s="196"/>
      <c r="C146" s="203"/>
      <c r="D146" s="196"/>
      <c r="E146" s="203"/>
      <c r="F146" s="203"/>
      <c r="G146" s="203"/>
      <c r="H146" s="203"/>
      <c r="I146" s="203"/>
      <c r="J146" s="203"/>
      <c r="K146" s="203"/>
      <c r="L146" s="203"/>
      <c r="M146" s="203"/>
      <c r="N146" s="203"/>
      <c r="O146" s="1134"/>
      <c r="P146" s="1135"/>
    </row>
    <row r="147" spans="1:16" ht="15.6">
      <c r="A147" s="204"/>
      <c r="B147" s="196"/>
      <c r="C147" s="203"/>
      <c r="D147" s="196"/>
      <c r="E147" s="203"/>
      <c r="F147" s="203"/>
      <c r="G147" s="203"/>
      <c r="H147" s="203"/>
      <c r="I147" s="203"/>
      <c r="J147" s="203"/>
      <c r="K147" s="203"/>
      <c r="L147" s="203"/>
      <c r="M147" s="203"/>
      <c r="N147" s="203"/>
      <c r="O147" s="1134"/>
      <c r="P147" s="1135"/>
    </row>
    <row r="148" spans="1:16">
      <c r="A148" s="202"/>
      <c r="B148" s="196"/>
      <c r="C148" s="203"/>
      <c r="D148" s="196"/>
      <c r="E148" s="203"/>
      <c r="F148" s="203"/>
      <c r="G148" s="203"/>
      <c r="H148" s="203"/>
      <c r="I148" s="203"/>
      <c r="J148" s="203"/>
      <c r="K148" s="203"/>
      <c r="L148" s="203"/>
      <c r="M148" s="203"/>
      <c r="N148" s="203"/>
      <c r="O148" s="1134"/>
      <c r="P148" s="1135"/>
    </row>
    <row r="149" spans="1:16">
      <c r="A149" s="202"/>
      <c r="B149" s="196"/>
      <c r="C149" s="203"/>
      <c r="D149" s="196"/>
      <c r="E149" s="203"/>
      <c r="F149" s="203"/>
      <c r="G149" s="203"/>
      <c r="H149" s="203"/>
      <c r="I149" s="203"/>
      <c r="J149" s="203"/>
      <c r="K149" s="203"/>
      <c r="L149" s="203"/>
      <c r="M149" s="203"/>
      <c r="N149" s="203"/>
      <c r="O149" s="1134"/>
      <c r="P149" s="1135"/>
    </row>
    <row r="150" spans="1:16">
      <c r="A150" s="202"/>
      <c r="B150" s="196"/>
      <c r="C150" s="203"/>
      <c r="D150" s="196"/>
      <c r="E150" s="203"/>
      <c r="F150" s="203"/>
      <c r="G150" s="203"/>
      <c r="H150" s="203"/>
      <c r="I150" s="203"/>
      <c r="J150" s="203"/>
      <c r="K150" s="203"/>
      <c r="L150" s="203"/>
      <c r="M150" s="203"/>
      <c r="N150" s="203"/>
      <c r="O150" s="1134"/>
      <c r="P150" s="1135"/>
    </row>
    <row r="151" spans="1:16">
      <c r="A151" s="202"/>
      <c r="B151" s="196"/>
      <c r="C151" s="203"/>
      <c r="D151" s="196"/>
      <c r="E151" s="203"/>
      <c r="F151" s="203"/>
      <c r="G151" s="203"/>
      <c r="H151" s="203"/>
      <c r="I151" s="203"/>
      <c r="J151" s="203"/>
      <c r="K151" s="203"/>
      <c r="L151" s="203"/>
      <c r="M151" s="203"/>
      <c r="N151" s="203"/>
      <c r="O151" s="1134"/>
      <c r="P151" s="1135"/>
    </row>
    <row r="152" spans="1:16">
      <c r="A152" s="202"/>
      <c r="B152" s="196"/>
      <c r="C152" s="203"/>
      <c r="D152" s="196"/>
      <c r="E152" s="203"/>
      <c r="F152" s="203"/>
      <c r="G152" s="203"/>
      <c r="H152" s="203"/>
      <c r="I152" s="203"/>
      <c r="J152" s="203"/>
      <c r="K152" s="203"/>
      <c r="L152" s="203"/>
      <c r="M152" s="203"/>
      <c r="N152" s="203"/>
      <c r="O152" s="1134"/>
      <c r="P152" s="1135"/>
    </row>
    <row r="153" spans="1:16">
      <c r="A153" s="202"/>
      <c r="B153" s="196"/>
      <c r="C153" s="203"/>
      <c r="D153" s="196"/>
      <c r="E153" s="203"/>
      <c r="F153" s="203"/>
      <c r="G153" s="203"/>
      <c r="H153" s="203"/>
      <c r="I153" s="203"/>
      <c r="J153" s="203"/>
      <c r="K153" s="203"/>
      <c r="L153" s="203"/>
      <c r="M153" s="203"/>
      <c r="N153" s="203"/>
      <c r="O153" s="1134"/>
      <c r="P153" s="1135"/>
    </row>
    <row r="154" spans="1:16">
      <c r="A154" s="202"/>
      <c r="B154" s="196"/>
      <c r="C154" s="203"/>
      <c r="D154" s="196"/>
      <c r="E154" s="203"/>
      <c r="F154" s="203"/>
      <c r="G154" s="203"/>
      <c r="H154" s="203"/>
      <c r="I154" s="203"/>
      <c r="J154" s="203"/>
      <c r="K154" s="203"/>
      <c r="L154" s="203"/>
      <c r="M154" s="203"/>
      <c r="N154" s="203"/>
      <c r="O154" s="1134"/>
      <c r="P154" s="1135"/>
    </row>
    <row r="155" spans="1:16">
      <c r="A155" s="202"/>
      <c r="B155" s="196"/>
      <c r="C155" s="203"/>
      <c r="D155" s="196"/>
      <c r="E155" s="203"/>
      <c r="F155" s="203"/>
      <c r="G155" s="203"/>
      <c r="H155" s="203"/>
      <c r="I155" s="203"/>
      <c r="J155" s="203"/>
      <c r="K155" s="203"/>
      <c r="L155" s="203"/>
      <c r="M155" s="203"/>
      <c r="N155" s="203"/>
      <c r="O155" s="1134"/>
      <c r="P155" s="1135"/>
    </row>
    <row r="156" spans="1:16">
      <c r="A156" s="202"/>
      <c r="B156" s="196"/>
      <c r="C156" s="203"/>
      <c r="D156" s="196"/>
      <c r="E156" s="203"/>
      <c r="F156" s="203"/>
      <c r="G156" s="203"/>
      <c r="H156" s="203"/>
      <c r="I156" s="203"/>
      <c r="J156" s="203"/>
      <c r="K156" s="203"/>
      <c r="L156" s="203"/>
      <c r="M156" s="203"/>
      <c r="N156" s="203"/>
      <c r="O156" s="1134"/>
      <c r="P156" s="1135"/>
    </row>
    <row r="157" spans="1:16">
      <c r="A157" s="202"/>
      <c r="B157" s="196"/>
      <c r="C157" s="203"/>
      <c r="D157" s="196"/>
      <c r="E157" s="203"/>
      <c r="F157" s="203"/>
      <c r="G157" s="203"/>
      <c r="H157" s="203"/>
      <c r="I157" s="203"/>
      <c r="J157" s="203"/>
      <c r="K157" s="203"/>
      <c r="L157" s="203"/>
      <c r="M157" s="203"/>
      <c r="N157" s="203"/>
      <c r="O157" s="1134"/>
      <c r="P157" s="1135"/>
    </row>
    <row r="158" spans="1:16">
      <c r="A158" s="202"/>
      <c r="B158" s="196"/>
      <c r="C158" s="203"/>
      <c r="D158" s="196"/>
      <c r="E158" s="203"/>
      <c r="F158" s="203"/>
      <c r="G158" s="203"/>
      <c r="H158" s="203"/>
      <c r="I158" s="203"/>
      <c r="J158" s="203"/>
      <c r="K158" s="203"/>
      <c r="L158" s="203"/>
      <c r="M158" s="203"/>
      <c r="N158" s="203"/>
      <c r="O158" s="1134"/>
      <c r="P158" s="1135"/>
    </row>
    <row r="159" spans="1:16">
      <c r="A159" s="202"/>
      <c r="B159" s="196"/>
      <c r="C159" s="203"/>
      <c r="D159" s="196"/>
      <c r="E159" s="203"/>
      <c r="F159" s="203"/>
      <c r="G159" s="203"/>
      <c r="H159" s="203"/>
      <c r="I159" s="203"/>
      <c r="J159" s="203"/>
      <c r="K159" s="203"/>
      <c r="L159" s="203"/>
      <c r="M159" s="203"/>
      <c r="N159" s="203"/>
      <c r="O159" s="1134"/>
      <c r="P159" s="1135"/>
    </row>
    <row r="160" spans="1:16">
      <c r="A160" s="202"/>
      <c r="B160" s="196"/>
      <c r="C160" s="203"/>
      <c r="D160" s="196"/>
      <c r="E160" s="203"/>
      <c r="F160" s="203"/>
      <c r="G160" s="203"/>
      <c r="H160" s="203"/>
      <c r="I160" s="203"/>
      <c r="J160" s="203"/>
      <c r="K160" s="203"/>
      <c r="L160" s="203"/>
      <c r="M160" s="203"/>
      <c r="N160" s="203"/>
      <c r="O160" s="1134"/>
      <c r="P160" s="1135"/>
    </row>
    <row r="161" spans="1:16">
      <c r="A161" s="202"/>
      <c r="B161" s="196"/>
      <c r="C161" s="203"/>
      <c r="D161" s="196"/>
      <c r="E161" s="203"/>
      <c r="F161" s="203"/>
      <c r="G161" s="203"/>
      <c r="H161" s="203"/>
      <c r="I161" s="203"/>
      <c r="J161" s="203"/>
      <c r="K161" s="203"/>
      <c r="L161" s="203"/>
      <c r="M161" s="203"/>
      <c r="N161" s="203"/>
      <c r="O161" s="1134"/>
      <c r="P161" s="1135"/>
    </row>
    <row r="162" spans="1:16">
      <c r="A162" s="202"/>
      <c r="B162" s="196"/>
      <c r="C162" s="203"/>
      <c r="D162" s="196"/>
      <c r="E162" s="203"/>
      <c r="F162" s="203"/>
      <c r="G162" s="203"/>
      <c r="H162" s="203"/>
      <c r="I162" s="203"/>
      <c r="J162" s="203"/>
      <c r="K162" s="203"/>
      <c r="L162" s="203"/>
      <c r="M162" s="203"/>
      <c r="N162" s="203"/>
      <c r="O162" s="1134"/>
      <c r="P162" s="1135"/>
    </row>
    <row r="163" spans="1:16">
      <c r="A163" s="202"/>
      <c r="B163" s="196"/>
      <c r="C163" s="203"/>
      <c r="D163" s="196"/>
      <c r="E163" s="203"/>
      <c r="F163" s="203"/>
      <c r="G163" s="203"/>
      <c r="H163" s="203"/>
      <c r="I163" s="203"/>
      <c r="J163" s="203"/>
      <c r="K163" s="203"/>
      <c r="L163" s="203"/>
      <c r="M163" s="203"/>
      <c r="N163" s="203"/>
      <c r="O163" s="1134"/>
      <c r="P163" s="1135"/>
    </row>
    <row r="164" spans="1:16">
      <c r="A164" s="202"/>
      <c r="B164" s="196"/>
      <c r="C164" s="203"/>
      <c r="D164" s="196"/>
      <c r="E164" s="203"/>
      <c r="F164" s="203"/>
      <c r="G164" s="203"/>
      <c r="H164" s="203"/>
      <c r="I164" s="203"/>
      <c r="J164" s="203"/>
      <c r="K164" s="203"/>
      <c r="L164" s="203"/>
      <c r="M164" s="203"/>
      <c r="N164" s="203"/>
      <c r="O164" s="1134"/>
      <c r="P164" s="1135"/>
    </row>
    <row r="165" spans="1:16">
      <c r="A165" s="202"/>
      <c r="B165" s="196"/>
      <c r="C165" s="203"/>
      <c r="D165" s="196"/>
      <c r="E165" s="203"/>
      <c r="F165" s="203"/>
      <c r="G165" s="203"/>
      <c r="H165" s="203"/>
      <c r="I165" s="203"/>
      <c r="J165" s="203"/>
      <c r="K165" s="203"/>
      <c r="L165" s="203"/>
      <c r="M165" s="203"/>
      <c r="N165" s="203"/>
      <c r="O165" s="1134"/>
      <c r="P165" s="1135"/>
    </row>
    <row r="166" spans="1:16">
      <c r="A166" s="202"/>
      <c r="B166" s="196"/>
      <c r="C166" s="203"/>
      <c r="D166" s="196"/>
      <c r="E166" s="203"/>
      <c r="F166" s="203"/>
      <c r="G166" s="203"/>
      <c r="H166" s="203"/>
      <c r="I166" s="203"/>
      <c r="J166" s="203"/>
      <c r="K166" s="203"/>
      <c r="L166" s="203"/>
      <c r="M166" s="203"/>
      <c r="N166" s="203"/>
      <c r="O166" s="1134"/>
      <c r="P166" s="1135"/>
    </row>
    <row r="167" spans="1:16">
      <c r="A167" s="202"/>
      <c r="B167" s="196"/>
      <c r="C167" s="203"/>
      <c r="D167" s="196"/>
      <c r="E167" s="203"/>
      <c r="F167" s="203"/>
      <c r="G167" s="203"/>
      <c r="H167" s="203"/>
      <c r="I167" s="203"/>
      <c r="J167" s="203"/>
      <c r="K167" s="203"/>
      <c r="L167" s="203"/>
      <c r="M167" s="203"/>
      <c r="N167" s="203"/>
      <c r="O167" s="1134"/>
      <c r="P167" s="1135"/>
    </row>
    <row r="168" spans="1:16">
      <c r="A168" s="202"/>
      <c r="B168" s="196"/>
      <c r="C168" s="203"/>
      <c r="D168" s="196"/>
      <c r="E168" s="203"/>
      <c r="F168" s="203"/>
      <c r="G168" s="203"/>
      <c r="H168" s="203"/>
      <c r="I168" s="203"/>
      <c r="J168" s="203"/>
      <c r="K168" s="203"/>
      <c r="L168" s="203"/>
      <c r="M168" s="203"/>
      <c r="N168" s="203"/>
      <c r="O168" s="1134"/>
      <c r="P168" s="1135"/>
    </row>
    <row r="169" spans="1:16">
      <c r="A169" s="202"/>
      <c r="B169" s="196"/>
      <c r="C169" s="203"/>
      <c r="D169" s="196"/>
      <c r="E169" s="203"/>
      <c r="F169" s="203"/>
      <c r="G169" s="203"/>
      <c r="H169" s="203"/>
      <c r="I169" s="203"/>
      <c r="J169" s="203"/>
      <c r="K169" s="203"/>
      <c r="L169" s="203"/>
      <c r="M169" s="203"/>
      <c r="N169" s="203"/>
      <c r="O169" s="1134"/>
      <c r="P169" s="1135"/>
    </row>
    <row r="170" spans="1:16">
      <c r="A170" s="202"/>
      <c r="B170" s="196"/>
      <c r="C170" s="203"/>
      <c r="D170" s="196"/>
      <c r="E170" s="203"/>
      <c r="F170" s="203"/>
      <c r="G170" s="203"/>
      <c r="H170" s="203"/>
      <c r="I170" s="203"/>
      <c r="J170" s="203"/>
      <c r="K170" s="203"/>
      <c r="L170" s="203"/>
      <c r="M170" s="203"/>
      <c r="N170" s="203"/>
      <c r="O170" s="1134"/>
      <c r="P170" s="1135"/>
    </row>
    <row r="171" spans="1:16">
      <c r="A171" s="202"/>
      <c r="B171" s="196"/>
      <c r="C171" s="203"/>
      <c r="D171" s="196"/>
      <c r="E171" s="203"/>
      <c r="F171" s="203"/>
      <c r="G171" s="203"/>
      <c r="H171" s="203"/>
      <c r="I171" s="203"/>
      <c r="J171" s="203"/>
      <c r="K171" s="203"/>
      <c r="L171" s="203"/>
      <c r="M171" s="203"/>
      <c r="N171" s="203"/>
      <c r="O171" s="1134"/>
      <c r="P171" s="1135"/>
    </row>
    <row r="172" spans="1:16">
      <c r="A172" s="202"/>
      <c r="B172" s="196"/>
      <c r="C172" s="203"/>
      <c r="D172" s="196"/>
      <c r="E172" s="203"/>
      <c r="F172" s="203"/>
      <c r="G172" s="203"/>
      <c r="H172" s="203"/>
      <c r="I172" s="203"/>
      <c r="J172" s="203"/>
      <c r="K172" s="203"/>
      <c r="L172" s="203"/>
      <c r="M172" s="203"/>
      <c r="N172" s="203"/>
      <c r="O172" s="1134"/>
      <c r="P172" s="1135"/>
    </row>
    <row r="173" spans="1:16">
      <c r="A173" s="202"/>
      <c r="B173" s="196"/>
      <c r="C173" s="203"/>
      <c r="D173" s="196"/>
      <c r="E173" s="203"/>
      <c r="F173" s="203"/>
      <c r="G173" s="203"/>
      <c r="H173" s="203"/>
      <c r="I173" s="203"/>
      <c r="J173" s="203"/>
      <c r="K173" s="203"/>
      <c r="L173" s="203"/>
      <c r="M173" s="203"/>
      <c r="N173" s="203"/>
      <c r="O173" s="1134"/>
      <c r="P173" s="1135"/>
    </row>
    <row r="174" spans="1:16">
      <c r="A174" s="202"/>
      <c r="B174" s="196"/>
      <c r="C174" s="203"/>
      <c r="D174" s="196"/>
      <c r="E174" s="203"/>
      <c r="F174" s="203"/>
      <c r="G174" s="203"/>
      <c r="H174" s="203"/>
      <c r="I174" s="203"/>
      <c r="J174" s="203"/>
      <c r="K174" s="203"/>
      <c r="L174" s="203"/>
      <c r="M174" s="203"/>
      <c r="N174" s="203"/>
      <c r="O174" s="1134"/>
      <c r="P174" s="1135"/>
    </row>
    <row r="175" spans="1:16">
      <c r="A175" s="202"/>
      <c r="B175" s="196"/>
      <c r="C175" s="203"/>
      <c r="D175" s="196"/>
      <c r="E175" s="203"/>
      <c r="F175" s="203"/>
      <c r="G175" s="203"/>
      <c r="H175" s="203"/>
      <c r="I175" s="203"/>
      <c r="J175" s="203"/>
      <c r="K175" s="203"/>
      <c r="L175" s="203"/>
      <c r="M175" s="203"/>
      <c r="N175" s="203"/>
      <c r="O175" s="1134"/>
      <c r="P175" s="1135"/>
    </row>
    <row r="176" spans="1:16">
      <c r="A176" s="202"/>
      <c r="B176" s="196"/>
      <c r="C176" s="203"/>
      <c r="D176" s="196"/>
      <c r="E176" s="203"/>
      <c r="F176" s="203"/>
      <c r="G176" s="203"/>
      <c r="H176" s="203"/>
      <c r="I176" s="203"/>
      <c r="J176" s="203"/>
      <c r="K176" s="203"/>
      <c r="L176" s="203"/>
      <c r="M176" s="203"/>
      <c r="N176" s="203"/>
      <c r="O176" s="1134"/>
      <c r="P176" s="1135"/>
    </row>
    <row r="177" spans="1:16">
      <c r="A177" s="202"/>
      <c r="B177" s="196"/>
      <c r="C177" s="203"/>
      <c r="D177" s="196"/>
      <c r="E177" s="203"/>
      <c r="F177" s="203"/>
      <c r="G177" s="203"/>
      <c r="H177" s="203"/>
      <c r="I177" s="203"/>
      <c r="J177" s="203"/>
      <c r="K177" s="203"/>
      <c r="L177" s="203"/>
      <c r="M177" s="203"/>
      <c r="N177" s="203"/>
      <c r="O177" s="1134"/>
      <c r="P177" s="1135"/>
    </row>
    <row r="178" spans="1:16">
      <c r="A178" s="202"/>
      <c r="B178" s="196"/>
      <c r="C178" s="203"/>
      <c r="D178" s="196"/>
      <c r="E178" s="203"/>
      <c r="F178" s="203"/>
      <c r="G178" s="203"/>
      <c r="H178" s="203"/>
      <c r="I178" s="203"/>
      <c r="J178" s="203"/>
      <c r="K178" s="203"/>
      <c r="L178" s="203"/>
      <c r="M178" s="203"/>
      <c r="N178" s="203"/>
      <c r="O178" s="1134"/>
      <c r="P178" s="1135"/>
    </row>
    <row r="179" spans="1:16">
      <c r="A179" s="205" t="s">
        <v>1125</v>
      </c>
      <c r="B179" s="196"/>
      <c r="C179" s="203"/>
      <c r="D179" s="196"/>
      <c r="E179" s="203"/>
      <c r="F179" s="203"/>
      <c r="G179" s="203"/>
      <c r="H179" s="196" t="s">
        <v>1126</v>
      </c>
      <c r="I179" s="203"/>
      <c r="J179" s="203"/>
      <c r="K179" s="203"/>
      <c r="L179" s="203"/>
      <c r="M179" s="203"/>
      <c r="N179" s="203"/>
      <c r="O179" s="1134"/>
      <c r="P179" s="1135"/>
    </row>
    <row r="180" spans="1:16" ht="15" thickBot="1">
      <c r="A180" s="206"/>
      <c r="B180" s="197"/>
      <c r="C180" s="207"/>
      <c r="D180" s="197"/>
      <c r="E180" s="207"/>
      <c r="F180" s="207"/>
      <c r="G180" s="207"/>
      <c r="H180" s="197"/>
      <c r="I180" s="207"/>
      <c r="J180" s="207"/>
      <c r="K180" s="207"/>
      <c r="L180" s="207"/>
      <c r="M180" s="207"/>
      <c r="N180" s="207"/>
      <c r="O180" s="1136"/>
      <c r="P180" s="1137"/>
    </row>
    <row r="182" spans="1:16" ht="30" customHeight="1">
      <c r="A182" s="140" t="s">
        <v>131</v>
      </c>
      <c r="B182" s="140" t="s">
        <v>129</v>
      </c>
      <c r="C182" s="140" t="s">
        <v>130</v>
      </c>
      <c r="D182" s="140" t="s">
        <v>1127</v>
      </c>
      <c r="E182" s="140" t="s">
        <v>1128</v>
      </c>
      <c r="F182" s="140" t="s">
        <v>1129</v>
      </c>
      <c r="G182" s="140" t="s">
        <v>1130</v>
      </c>
      <c r="H182" s="140" t="s">
        <v>1131</v>
      </c>
    </row>
    <row r="183" spans="1:16">
      <c r="A183" s="117" t="s">
        <v>180</v>
      </c>
      <c r="B183" s="117" t="s">
        <v>1132</v>
      </c>
      <c r="C183" s="117" t="s">
        <v>179</v>
      </c>
      <c r="D183" s="117">
        <f>G142-SUM(D184:D186)</f>
        <v>219.94000000000003</v>
      </c>
      <c r="E183" s="117"/>
      <c r="F183" s="117"/>
      <c r="G183" s="128">
        <f>D183/$D$187</f>
        <v>0.74217550490138184</v>
      </c>
      <c r="H183" s="117">
        <v>199.65</v>
      </c>
    </row>
    <row r="184" spans="1:16" ht="15.6">
      <c r="A184" s="117" t="s">
        <v>180</v>
      </c>
      <c r="B184" s="117" t="s">
        <v>1132</v>
      </c>
      <c r="C184" s="117" t="s">
        <v>1133</v>
      </c>
      <c r="D184" s="117">
        <f>AVERAGE(E184:F184)</f>
        <v>33.22</v>
      </c>
      <c r="E184" s="117">
        <v>5.66</v>
      </c>
      <c r="F184" s="117">
        <v>60.78</v>
      </c>
      <c r="G184" s="128">
        <f>D184/$D$187</f>
        <v>0.11209907371475812</v>
      </c>
      <c r="H184" s="117"/>
      <c r="J184" s="208"/>
    </row>
    <row r="185" spans="1:16">
      <c r="A185" s="117" t="s">
        <v>180</v>
      </c>
      <c r="B185" s="117" t="s">
        <v>1132</v>
      </c>
      <c r="C185" s="117" t="s">
        <v>245</v>
      </c>
      <c r="D185" s="117">
        <f>AVERAGE(E185:F185)</f>
        <v>37.25</v>
      </c>
      <c r="E185" s="117">
        <v>35.770000000000003</v>
      </c>
      <c r="F185" s="117">
        <v>38.729999999999997</v>
      </c>
      <c r="G185" s="128">
        <f>D185/$D$187</f>
        <v>0.12569808837672306</v>
      </c>
      <c r="H185" s="117"/>
    </row>
    <row r="186" spans="1:16">
      <c r="A186" s="117" t="s">
        <v>180</v>
      </c>
      <c r="B186" s="117" t="s">
        <v>1132</v>
      </c>
      <c r="C186" s="117" t="s">
        <v>1134</v>
      </c>
      <c r="D186" s="117">
        <f>AVERAGE(E186:F186)</f>
        <v>5.9350000000000005</v>
      </c>
      <c r="E186" s="117">
        <v>5.66</v>
      </c>
      <c r="F186" s="117">
        <v>6.21</v>
      </c>
      <c r="G186" s="128">
        <f>D186/$D$187</f>
        <v>2.0027333007136952E-2</v>
      </c>
      <c r="H186" s="117">
        <v>1.49</v>
      </c>
    </row>
    <row r="187" spans="1:16">
      <c r="A187" s="117" t="s">
        <v>180</v>
      </c>
      <c r="B187" s="129" t="s">
        <v>1123</v>
      </c>
      <c r="C187" s="126"/>
      <c r="D187" s="129">
        <f>SUM(D183:D186)</f>
        <v>296.34500000000003</v>
      </c>
      <c r="E187" s="126"/>
      <c r="F187" s="126"/>
      <c r="G187" s="182"/>
      <c r="H187" s="117"/>
    </row>
    <row r="188" spans="1:16">
      <c r="A188" s="117" t="s">
        <v>180</v>
      </c>
      <c r="B188" s="126" t="s">
        <v>1134</v>
      </c>
      <c r="C188" s="126" t="s">
        <v>179</v>
      </c>
      <c r="D188" s="126">
        <f>D186-H186</f>
        <v>4.4450000000000003</v>
      </c>
      <c r="E188" s="126"/>
      <c r="F188" s="126"/>
      <c r="G188" s="182">
        <f>D188/$D$190</f>
        <v>0.74894692502106153</v>
      </c>
      <c r="H188" s="117"/>
    </row>
    <row r="189" spans="1:16">
      <c r="A189" s="117" t="s">
        <v>180</v>
      </c>
      <c r="B189" s="117" t="s">
        <v>1134</v>
      </c>
      <c r="C189" s="117" t="s">
        <v>1135</v>
      </c>
      <c r="D189" s="117">
        <f>H186</f>
        <v>1.49</v>
      </c>
      <c r="E189" s="117"/>
      <c r="F189" s="117"/>
      <c r="G189" s="128">
        <f>D189/$D$190</f>
        <v>0.25105307497893847</v>
      </c>
      <c r="H189" s="117"/>
    </row>
    <row r="190" spans="1:16">
      <c r="A190" s="117" t="s">
        <v>180</v>
      </c>
      <c r="B190" s="129" t="s">
        <v>1123</v>
      </c>
      <c r="C190" s="126"/>
      <c r="D190" s="127">
        <f>SUM(D188:D189)</f>
        <v>5.9350000000000005</v>
      </c>
      <c r="E190" s="117"/>
      <c r="F190" s="117"/>
      <c r="G190" s="117"/>
      <c r="H190" s="117"/>
    </row>
    <row r="191" spans="1:16" ht="15" thickBot="1">
      <c r="B191" s="25"/>
      <c r="D191" s="25"/>
    </row>
    <row r="192" spans="1:16">
      <c r="A192" s="200"/>
      <c r="B192" s="195"/>
      <c r="C192" s="201"/>
      <c r="D192" s="195"/>
      <c r="E192" s="201"/>
      <c r="F192" s="201"/>
      <c r="G192" s="201"/>
      <c r="H192" s="201"/>
      <c r="I192" s="201"/>
      <c r="J192" s="201"/>
      <c r="K192" s="201"/>
      <c r="L192" s="201"/>
      <c r="M192" s="201"/>
      <c r="N192" s="201"/>
      <c r="O192" s="1132" t="s">
        <v>1124</v>
      </c>
      <c r="P192" s="1133"/>
    </row>
    <row r="193" spans="1:16">
      <c r="A193" s="202"/>
      <c r="B193" s="196"/>
      <c r="C193" s="203"/>
      <c r="D193" s="196"/>
      <c r="E193" s="203"/>
      <c r="F193" s="203"/>
      <c r="G193" s="203"/>
      <c r="H193" s="203"/>
      <c r="I193" s="203"/>
      <c r="J193" s="203"/>
      <c r="K193" s="203"/>
      <c r="L193" s="203"/>
      <c r="M193" s="203"/>
      <c r="N193" s="203"/>
      <c r="O193" s="1134"/>
      <c r="P193" s="1135"/>
    </row>
    <row r="194" spans="1:16">
      <c r="A194" s="202"/>
      <c r="B194" s="196"/>
      <c r="C194" s="203"/>
      <c r="D194" s="196"/>
      <c r="E194" s="203"/>
      <c r="F194" s="203"/>
      <c r="G194" s="203"/>
      <c r="H194" s="203"/>
      <c r="I194" s="203"/>
      <c r="J194" s="203"/>
      <c r="K194" s="203"/>
      <c r="L194" s="203"/>
      <c r="M194" s="203"/>
      <c r="N194" s="203"/>
      <c r="O194" s="1134"/>
      <c r="P194" s="1135"/>
    </row>
    <row r="195" spans="1:16">
      <c r="A195" s="202"/>
      <c r="B195" s="196"/>
      <c r="C195" s="203"/>
      <c r="D195" s="196"/>
      <c r="E195" s="203"/>
      <c r="F195" s="203"/>
      <c r="G195" s="203"/>
      <c r="H195" s="203"/>
      <c r="I195" s="203"/>
      <c r="J195" s="203"/>
      <c r="K195" s="203"/>
      <c r="L195" s="203"/>
      <c r="M195" s="203"/>
      <c r="N195" s="203"/>
      <c r="O195" s="1134"/>
      <c r="P195" s="1135"/>
    </row>
    <row r="196" spans="1:16">
      <c r="A196" s="202"/>
      <c r="B196" s="196"/>
      <c r="C196" s="203"/>
      <c r="D196" s="196"/>
      <c r="E196" s="203"/>
      <c r="F196" s="203"/>
      <c r="G196" s="203"/>
      <c r="H196" s="203"/>
      <c r="I196" s="203"/>
      <c r="J196" s="203"/>
      <c r="K196" s="203"/>
      <c r="L196" s="203"/>
      <c r="M196" s="203"/>
      <c r="N196" s="203"/>
      <c r="O196" s="1134"/>
      <c r="P196" s="1135"/>
    </row>
    <row r="197" spans="1:16">
      <c r="A197" s="202"/>
      <c r="B197" s="196"/>
      <c r="C197" s="203"/>
      <c r="D197" s="196"/>
      <c r="E197" s="203"/>
      <c r="F197" s="203"/>
      <c r="G197" s="203"/>
      <c r="H197" s="203"/>
      <c r="I197" s="203"/>
      <c r="J197" s="203"/>
      <c r="K197" s="203"/>
      <c r="L197" s="203"/>
      <c r="M197" s="203"/>
      <c r="N197" s="203"/>
      <c r="O197" s="1134"/>
      <c r="P197" s="1135"/>
    </row>
    <row r="198" spans="1:16">
      <c r="A198" s="202"/>
      <c r="B198" s="196"/>
      <c r="C198" s="203"/>
      <c r="D198" s="196"/>
      <c r="E198" s="203"/>
      <c r="F198" s="203"/>
      <c r="G198" s="203"/>
      <c r="H198" s="203"/>
      <c r="I198" s="203"/>
      <c r="J198" s="203"/>
      <c r="K198" s="203"/>
      <c r="L198" s="203"/>
      <c r="M198" s="203"/>
      <c r="N198" s="203"/>
      <c r="O198" s="1134"/>
      <c r="P198" s="1135"/>
    </row>
    <row r="199" spans="1:16">
      <c r="A199" s="202"/>
      <c r="B199" s="196"/>
      <c r="C199" s="203"/>
      <c r="D199" s="196"/>
      <c r="E199" s="203"/>
      <c r="F199" s="203"/>
      <c r="G199" s="203"/>
      <c r="H199" s="203"/>
      <c r="I199" s="203"/>
      <c r="J199" s="203"/>
      <c r="K199" s="203"/>
      <c r="L199" s="203"/>
      <c r="M199" s="203"/>
      <c r="N199" s="203"/>
      <c r="O199" s="1134"/>
      <c r="P199" s="1135"/>
    </row>
    <row r="200" spans="1:16">
      <c r="A200" s="202"/>
      <c r="B200" s="196"/>
      <c r="C200" s="203"/>
      <c r="D200" s="196"/>
      <c r="E200" s="203"/>
      <c r="F200" s="203"/>
      <c r="G200" s="203"/>
      <c r="H200" s="203"/>
      <c r="I200" s="203"/>
      <c r="J200" s="203"/>
      <c r="K200" s="203"/>
      <c r="L200" s="203"/>
      <c r="M200" s="203"/>
      <c r="N200" s="203"/>
      <c r="O200" s="1134"/>
      <c r="P200" s="1135"/>
    </row>
    <row r="201" spans="1:16">
      <c r="A201" s="202"/>
      <c r="B201" s="196"/>
      <c r="C201" s="203"/>
      <c r="D201" s="196"/>
      <c r="E201" s="203"/>
      <c r="F201" s="203"/>
      <c r="G201" s="203"/>
      <c r="H201" s="203"/>
      <c r="I201" s="203"/>
      <c r="J201" s="203"/>
      <c r="K201" s="203"/>
      <c r="L201" s="203"/>
      <c r="M201" s="203"/>
      <c r="N201" s="203"/>
      <c r="O201" s="1134"/>
      <c r="P201" s="1135"/>
    </row>
    <row r="202" spans="1:16">
      <c r="A202" s="202"/>
      <c r="B202" s="196"/>
      <c r="C202" s="203"/>
      <c r="D202" s="196"/>
      <c r="E202" s="203"/>
      <c r="F202" s="203"/>
      <c r="G202" s="203"/>
      <c r="H202" s="203"/>
      <c r="I202" s="203"/>
      <c r="J202" s="203"/>
      <c r="K202" s="203"/>
      <c r="L202" s="203"/>
      <c r="M202" s="203"/>
      <c r="N202" s="203"/>
      <c r="O202" s="1134"/>
      <c r="P202" s="1135"/>
    </row>
    <row r="203" spans="1:16">
      <c r="A203" s="202"/>
      <c r="B203" s="196"/>
      <c r="C203" s="203"/>
      <c r="D203" s="196"/>
      <c r="E203" s="203"/>
      <c r="F203" s="203"/>
      <c r="G203" s="203"/>
      <c r="H203" s="203"/>
      <c r="I203" s="203"/>
      <c r="J203" s="203"/>
      <c r="K203" s="203"/>
      <c r="L203" s="203"/>
      <c r="M203" s="203"/>
      <c r="N203" s="203"/>
      <c r="O203" s="1134"/>
      <c r="P203" s="1135"/>
    </row>
    <row r="204" spans="1:16">
      <c r="A204" s="202"/>
      <c r="B204" s="196"/>
      <c r="C204" s="203"/>
      <c r="D204" s="196"/>
      <c r="E204" s="203"/>
      <c r="F204" s="203"/>
      <c r="G204" s="203"/>
      <c r="H204" s="203"/>
      <c r="I204" s="203"/>
      <c r="J204" s="203"/>
      <c r="K204" s="203"/>
      <c r="L204" s="203"/>
      <c r="M204" s="203"/>
      <c r="N204" s="203"/>
      <c r="O204" s="1134"/>
      <c r="P204" s="1135"/>
    </row>
    <row r="205" spans="1:16">
      <c r="A205" s="202"/>
      <c r="B205" s="196"/>
      <c r="C205" s="203"/>
      <c r="D205" s="196"/>
      <c r="E205" s="203"/>
      <c r="F205" s="203"/>
      <c r="G205" s="203"/>
      <c r="H205" s="203"/>
      <c r="I205" s="203"/>
      <c r="J205" s="203"/>
      <c r="K205" s="203"/>
      <c r="L205" s="203"/>
      <c r="M205" s="203"/>
      <c r="N205" s="203"/>
      <c r="O205" s="1134"/>
      <c r="P205" s="1135"/>
    </row>
    <row r="206" spans="1:16">
      <c r="A206" s="202"/>
      <c r="B206" s="196"/>
      <c r="C206" s="203"/>
      <c r="D206" s="196"/>
      <c r="E206" s="203"/>
      <c r="F206" s="203"/>
      <c r="G206" s="203"/>
      <c r="H206" s="203"/>
      <c r="I206" s="203"/>
      <c r="J206" s="203"/>
      <c r="K206" s="203"/>
      <c r="L206" s="203"/>
      <c r="M206" s="203"/>
      <c r="N206" s="203"/>
      <c r="O206" s="1134"/>
      <c r="P206" s="1135"/>
    </row>
    <row r="207" spans="1:16">
      <c r="A207" s="202"/>
      <c r="B207" s="196"/>
      <c r="C207" s="203"/>
      <c r="D207" s="196"/>
      <c r="E207" s="203"/>
      <c r="F207" s="203"/>
      <c r="G207" s="203"/>
      <c r="H207" s="203"/>
      <c r="I207" s="203"/>
      <c r="J207" s="203"/>
      <c r="K207" s="203"/>
      <c r="L207" s="203"/>
      <c r="M207" s="203"/>
      <c r="N207" s="203"/>
      <c r="O207" s="1134"/>
      <c r="P207" s="1135"/>
    </row>
    <row r="208" spans="1:16">
      <c r="A208" s="202"/>
      <c r="B208" s="196"/>
      <c r="C208" s="203"/>
      <c r="D208" s="196"/>
      <c r="E208" s="203"/>
      <c r="F208" s="203"/>
      <c r="G208" s="203"/>
      <c r="H208" s="203"/>
      <c r="I208" s="203"/>
      <c r="J208" s="203"/>
      <c r="K208" s="203"/>
      <c r="L208" s="203"/>
      <c r="M208" s="203"/>
      <c r="N208" s="203"/>
      <c r="O208" s="1134"/>
      <c r="P208" s="1135"/>
    </row>
    <row r="209" spans="1:16">
      <c r="A209" s="202"/>
      <c r="B209" s="196"/>
      <c r="C209" s="203"/>
      <c r="D209" s="196"/>
      <c r="E209" s="203"/>
      <c r="F209" s="203"/>
      <c r="G209" s="203"/>
      <c r="H209" s="203"/>
      <c r="I209" s="203"/>
      <c r="J209" s="203"/>
      <c r="K209" s="203"/>
      <c r="L209" s="203"/>
      <c r="M209" s="203"/>
      <c r="N209" s="203"/>
      <c r="O209" s="1134"/>
      <c r="P209" s="1135"/>
    </row>
    <row r="210" spans="1:16">
      <c r="A210" s="202"/>
      <c r="B210" s="196"/>
      <c r="C210" s="203"/>
      <c r="D210" s="196"/>
      <c r="E210" s="203"/>
      <c r="F210" s="203"/>
      <c r="G210" s="203"/>
      <c r="H210" s="203"/>
      <c r="I210" s="203"/>
      <c r="J210" s="203"/>
      <c r="K210" s="203"/>
      <c r="L210" s="203"/>
      <c r="M210" s="203"/>
      <c r="N210" s="203"/>
      <c r="O210" s="1134"/>
      <c r="P210" s="1135"/>
    </row>
    <row r="211" spans="1:16" ht="15.6" customHeight="1">
      <c r="A211" s="202"/>
      <c r="B211" s="196"/>
      <c r="C211" s="203"/>
      <c r="D211" s="196"/>
      <c r="E211" s="203"/>
      <c r="F211" s="203"/>
      <c r="G211" s="203"/>
      <c r="H211" s="203"/>
      <c r="I211" s="203"/>
      <c r="J211" s="203"/>
      <c r="K211" s="203"/>
      <c r="L211" s="203"/>
      <c r="M211" s="203"/>
      <c r="N211" s="203"/>
      <c r="O211" s="1134"/>
      <c r="P211" s="1135"/>
    </row>
    <row r="212" spans="1:16">
      <c r="A212" s="202"/>
      <c r="B212" s="196"/>
      <c r="C212" s="203"/>
      <c r="D212" s="196"/>
      <c r="E212" s="203"/>
      <c r="F212" s="203"/>
      <c r="G212" s="203"/>
      <c r="H212" s="203"/>
      <c r="I212" s="203"/>
      <c r="J212" s="203"/>
      <c r="K212" s="203"/>
      <c r="L212" s="203"/>
      <c r="M212" s="203"/>
      <c r="N212" s="203"/>
      <c r="O212" s="1134"/>
      <c r="P212" s="1135"/>
    </row>
    <row r="213" spans="1:16">
      <c r="A213" s="202"/>
      <c r="B213" s="196"/>
      <c r="C213" s="203"/>
      <c r="D213" s="196"/>
      <c r="E213" s="203"/>
      <c r="F213" s="203"/>
      <c r="G213" s="203"/>
      <c r="H213" s="203"/>
      <c r="I213" s="203"/>
      <c r="J213" s="203"/>
      <c r="K213" s="203"/>
      <c r="L213" s="203"/>
      <c r="M213" s="203"/>
      <c r="N213" s="203"/>
      <c r="O213" s="1134"/>
      <c r="P213" s="1135"/>
    </row>
    <row r="214" spans="1:16">
      <c r="A214" s="202"/>
      <c r="B214" s="196"/>
      <c r="C214" s="203"/>
      <c r="D214" s="196"/>
      <c r="E214" s="203"/>
      <c r="F214" s="203"/>
      <c r="G214" s="203"/>
      <c r="H214" s="203"/>
      <c r="I214" s="203"/>
      <c r="J214" s="203"/>
      <c r="K214" s="203"/>
      <c r="L214" s="203"/>
      <c r="M214" s="203"/>
      <c r="N214" s="203"/>
      <c r="O214" s="1134"/>
      <c r="P214" s="1135"/>
    </row>
    <row r="215" spans="1:16">
      <c r="A215" s="202"/>
      <c r="B215" s="196"/>
      <c r="C215" s="203"/>
      <c r="D215" s="196"/>
      <c r="E215" s="203"/>
      <c r="F215" s="203"/>
      <c r="G215" s="203"/>
      <c r="H215" s="203"/>
      <c r="I215" s="203"/>
      <c r="J215" s="203"/>
      <c r="K215" s="203"/>
      <c r="L215" s="203"/>
      <c r="M215" s="203"/>
      <c r="N215" s="203"/>
      <c r="O215" s="1134"/>
      <c r="P215" s="1135"/>
    </row>
    <row r="216" spans="1:16">
      <c r="A216" s="202"/>
      <c r="B216" s="196"/>
      <c r="C216" s="203"/>
      <c r="D216" s="196"/>
      <c r="E216" s="203"/>
      <c r="F216" s="203"/>
      <c r="G216" s="203"/>
      <c r="H216" s="203"/>
      <c r="I216" s="203"/>
      <c r="J216" s="203"/>
      <c r="K216" s="203"/>
      <c r="L216" s="203"/>
      <c r="M216" s="203"/>
      <c r="N216" s="203"/>
      <c r="O216" s="1134"/>
      <c r="P216" s="1135"/>
    </row>
    <row r="217" spans="1:16">
      <c r="A217" s="202"/>
      <c r="B217" s="196"/>
      <c r="C217" s="203"/>
      <c r="D217" s="196"/>
      <c r="E217" s="203"/>
      <c r="F217" s="203"/>
      <c r="G217" s="203"/>
      <c r="H217" s="203"/>
      <c r="I217" s="203"/>
      <c r="J217" s="203"/>
      <c r="K217" s="203"/>
      <c r="L217" s="203"/>
      <c r="M217" s="203"/>
      <c r="N217" s="203"/>
      <c r="O217" s="1134"/>
      <c r="P217" s="1135"/>
    </row>
    <row r="218" spans="1:16">
      <c r="A218" s="202"/>
      <c r="B218" s="196"/>
      <c r="C218" s="203"/>
      <c r="D218" s="196"/>
      <c r="E218" s="203"/>
      <c r="F218" s="203"/>
      <c r="G218" s="203"/>
      <c r="H218" s="203"/>
      <c r="I218" s="203"/>
      <c r="J218" s="203"/>
      <c r="K218" s="203"/>
      <c r="L218" s="203"/>
      <c r="M218" s="203"/>
      <c r="N218" s="203"/>
      <c r="O218" s="1134"/>
      <c r="P218" s="1135"/>
    </row>
    <row r="219" spans="1:16">
      <c r="A219" s="202"/>
      <c r="B219" s="196"/>
      <c r="C219" s="203"/>
      <c r="D219" s="196"/>
      <c r="E219" s="203"/>
      <c r="F219" s="203"/>
      <c r="G219" s="203"/>
      <c r="H219" s="203"/>
      <c r="I219" s="203"/>
      <c r="J219" s="203"/>
      <c r="K219" s="203"/>
      <c r="L219" s="203"/>
      <c r="M219" s="203"/>
      <c r="N219" s="203"/>
      <c r="O219" s="1134"/>
      <c r="P219" s="1135"/>
    </row>
    <row r="220" spans="1:16">
      <c r="A220" s="202"/>
      <c r="B220" s="196"/>
      <c r="C220" s="203"/>
      <c r="D220" s="196"/>
      <c r="E220" s="203"/>
      <c r="F220" s="203"/>
      <c r="G220" s="203"/>
      <c r="H220" s="203"/>
      <c r="I220" s="203"/>
      <c r="J220" s="203"/>
      <c r="K220" s="203"/>
      <c r="L220" s="203"/>
      <c r="M220" s="203"/>
      <c r="N220" s="203"/>
      <c r="O220" s="1134"/>
      <c r="P220" s="1135"/>
    </row>
    <row r="221" spans="1:16">
      <c r="A221" s="202"/>
      <c r="B221" s="196"/>
      <c r="C221" s="203"/>
      <c r="D221" s="196"/>
      <c r="E221" s="203"/>
      <c r="F221" s="203"/>
      <c r="G221" s="203"/>
      <c r="H221" s="203"/>
      <c r="I221" s="203"/>
      <c r="J221" s="203"/>
      <c r="K221" s="203"/>
      <c r="L221" s="203"/>
      <c r="M221" s="203"/>
      <c r="N221" s="203"/>
      <c r="O221" s="1134"/>
      <c r="P221" s="1135"/>
    </row>
    <row r="222" spans="1:16">
      <c r="A222" s="202"/>
      <c r="B222" s="196"/>
      <c r="C222" s="203"/>
      <c r="D222" s="196"/>
      <c r="E222" s="203"/>
      <c r="F222" s="203"/>
      <c r="G222" s="203"/>
      <c r="H222" s="203"/>
      <c r="I222" s="203"/>
      <c r="J222" s="203"/>
      <c r="K222" s="203"/>
      <c r="L222" s="203"/>
      <c r="M222" s="203"/>
      <c r="N222" s="203"/>
      <c r="O222" s="1134"/>
      <c r="P222" s="1135"/>
    </row>
    <row r="223" spans="1:16">
      <c r="A223" s="202"/>
      <c r="B223" s="196"/>
      <c r="C223" s="203"/>
      <c r="D223" s="196"/>
      <c r="E223" s="203"/>
      <c r="F223" s="203"/>
      <c r="G223" s="203"/>
      <c r="H223" s="203"/>
      <c r="I223" s="203"/>
      <c r="J223" s="203"/>
      <c r="K223" s="203"/>
      <c r="L223" s="203"/>
      <c r="M223" s="203"/>
      <c r="N223" s="203"/>
      <c r="O223" s="1134"/>
      <c r="P223" s="1135"/>
    </row>
    <row r="224" spans="1:16">
      <c r="A224" s="202"/>
      <c r="B224" s="196"/>
      <c r="C224" s="203"/>
      <c r="D224" s="196"/>
      <c r="E224" s="203"/>
      <c r="F224" s="203"/>
      <c r="G224" s="203"/>
      <c r="H224" s="203"/>
      <c r="I224" s="203"/>
      <c r="J224" s="203"/>
      <c r="K224" s="203"/>
      <c r="L224" s="203"/>
      <c r="M224" s="203"/>
      <c r="N224" s="203"/>
      <c r="O224" s="1134"/>
      <c r="P224" s="1135"/>
    </row>
    <row r="225" spans="1:16">
      <c r="A225" s="202"/>
      <c r="B225" s="196"/>
      <c r="C225" s="203"/>
      <c r="D225" s="196"/>
      <c r="E225" s="203"/>
      <c r="F225" s="203"/>
      <c r="G225" s="203"/>
      <c r="H225" s="203"/>
      <c r="I225" s="203"/>
      <c r="J225" s="203"/>
      <c r="K225" s="203"/>
      <c r="L225" s="203"/>
      <c r="M225" s="203"/>
      <c r="N225" s="203"/>
      <c r="O225" s="1134"/>
      <c r="P225" s="1135"/>
    </row>
    <row r="226" spans="1:16">
      <c r="A226" s="205" t="s">
        <v>1125</v>
      </c>
      <c r="B226" s="196"/>
      <c r="C226" s="203"/>
      <c r="D226" s="196"/>
      <c r="E226" s="203"/>
      <c r="F226" s="203"/>
      <c r="G226" s="203"/>
      <c r="H226" s="196" t="s">
        <v>1126</v>
      </c>
      <c r="I226" s="203"/>
      <c r="J226" s="203"/>
      <c r="K226" s="203"/>
      <c r="L226" s="203"/>
      <c r="M226" s="203"/>
      <c r="N226" s="203"/>
      <c r="O226" s="1134"/>
      <c r="P226" s="1135"/>
    </row>
    <row r="227" spans="1:16" ht="15" thickBot="1">
      <c r="A227" s="209"/>
      <c r="B227" s="198"/>
      <c r="C227" s="210"/>
      <c r="D227" s="198"/>
      <c r="E227" s="210"/>
      <c r="F227" s="210"/>
      <c r="G227" s="210"/>
      <c r="H227" s="210"/>
      <c r="I227" s="210"/>
      <c r="J227" s="210"/>
      <c r="K227" s="210"/>
      <c r="L227" s="210"/>
      <c r="M227" s="210"/>
      <c r="N227" s="210"/>
      <c r="O227" s="1136"/>
      <c r="P227" s="1137"/>
    </row>
    <row r="228" spans="1:16" ht="15" thickBot="1">
      <c r="B228" s="25"/>
      <c r="D228" s="25"/>
    </row>
    <row r="229" spans="1:16">
      <c r="A229" s="200"/>
      <c r="B229" s="195"/>
      <c r="C229" s="201"/>
      <c r="D229" s="195"/>
      <c r="E229" s="201"/>
      <c r="F229" s="201"/>
      <c r="G229" s="201"/>
      <c r="H229" s="201"/>
      <c r="I229" s="201"/>
      <c r="J229" s="201"/>
      <c r="K229" s="201"/>
      <c r="L229" s="201"/>
      <c r="M229" s="201"/>
      <c r="N229" s="201"/>
      <c r="O229" s="1132" t="s">
        <v>1136</v>
      </c>
      <c r="P229" s="1133"/>
    </row>
    <row r="230" spans="1:16">
      <c r="A230" s="202"/>
      <c r="B230" s="196"/>
      <c r="C230" s="203"/>
      <c r="D230" s="196"/>
      <c r="E230" s="203"/>
      <c r="F230" s="203"/>
      <c r="G230" s="203"/>
      <c r="H230" s="203"/>
      <c r="I230" s="203"/>
      <c r="J230" s="203"/>
      <c r="K230" s="203"/>
      <c r="L230" s="203"/>
      <c r="M230" s="203"/>
      <c r="N230" s="203"/>
      <c r="O230" s="1134"/>
      <c r="P230" s="1135"/>
    </row>
    <row r="231" spans="1:16">
      <c r="A231" s="202"/>
      <c r="B231" s="196"/>
      <c r="C231" s="203"/>
      <c r="D231" s="196"/>
      <c r="E231" s="203"/>
      <c r="F231" s="203"/>
      <c r="G231" s="203"/>
      <c r="H231" s="203"/>
      <c r="I231" s="203"/>
      <c r="J231" s="203"/>
      <c r="K231" s="203"/>
      <c r="L231" s="203"/>
      <c r="M231" s="203"/>
      <c r="N231" s="203"/>
      <c r="O231" s="1134"/>
      <c r="P231" s="1135"/>
    </row>
    <row r="232" spans="1:16">
      <c r="A232" s="202"/>
      <c r="B232" s="196"/>
      <c r="C232" s="203"/>
      <c r="D232" s="196"/>
      <c r="E232" s="203"/>
      <c r="F232" s="203"/>
      <c r="G232" s="203"/>
      <c r="H232" s="203"/>
      <c r="I232" s="203"/>
      <c r="J232" s="203"/>
      <c r="K232" s="203"/>
      <c r="L232" s="203"/>
      <c r="M232" s="203"/>
      <c r="N232" s="203"/>
      <c r="O232" s="1134"/>
      <c r="P232" s="1135"/>
    </row>
    <row r="233" spans="1:16">
      <c r="A233" s="202"/>
      <c r="B233" s="196"/>
      <c r="C233" s="203"/>
      <c r="D233" s="196"/>
      <c r="E233" s="203"/>
      <c r="F233" s="203"/>
      <c r="G233" s="203"/>
      <c r="H233" s="203"/>
      <c r="I233" s="203"/>
      <c r="J233" s="203"/>
      <c r="K233" s="203"/>
      <c r="L233" s="203"/>
      <c r="M233" s="203"/>
      <c r="N233" s="203"/>
      <c r="O233" s="1134"/>
      <c r="P233" s="1135"/>
    </row>
    <row r="234" spans="1:16">
      <c r="A234" s="202"/>
      <c r="B234" s="196"/>
      <c r="C234" s="203"/>
      <c r="D234" s="196"/>
      <c r="E234" s="203"/>
      <c r="F234" s="203"/>
      <c r="G234" s="203"/>
      <c r="H234" s="203"/>
      <c r="I234" s="203"/>
      <c r="J234" s="203"/>
      <c r="K234" s="203"/>
      <c r="L234" s="203"/>
      <c r="M234" s="203"/>
      <c r="N234" s="203"/>
      <c r="O234" s="1134"/>
      <c r="P234" s="1135"/>
    </row>
    <row r="235" spans="1:16">
      <c r="A235" s="202"/>
      <c r="B235" s="196"/>
      <c r="C235" s="203"/>
      <c r="D235" s="196"/>
      <c r="E235" s="203"/>
      <c r="F235" s="203"/>
      <c r="G235" s="203"/>
      <c r="H235" s="203"/>
      <c r="I235" s="203"/>
      <c r="J235" s="203"/>
      <c r="K235" s="203"/>
      <c r="L235" s="203"/>
      <c r="M235" s="203"/>
      <c r="N235" s="203"/>
      <c r="O235" s="1134"/>
      <c r="P235" s="1135"/>
    </row>
    <row r="236" spans="1:16">
      <c r="A236" s="202"/>
      <c r="B236" s="196"/>
      <c r="C236" s="203"/>
      <c r="D236" s="196"/>
      <c r="E236" s="203"/>
      <c r="F236" s="203"/>
      <c r="G236" s="203"/>
      <c r="H236" s="203"/>
      <c r="I236" s="203"/>
      <c r="J236" s="203"/>
      <c r="K236" s="203"/>
      <c r="L236" s="203"/>
      <c r="M236" s="203"/>
      <c r="N236" s="203"/>
      <c r="O236" s="1134"/>
      <c r="P236" s="1135"/>
    </row>
    <row r="237" spans="1:16">
      <c r="A237" s="202"/>
      <c r="B237" s="196"/>
      <c r="C237" s="203"/>
      <c r="D237" s="196"/>
      <c r="E237" s="203"/>
      <c r="F237" s="203"/>
      <c r="G237" s="203"/>
      <c r="H237" s="203"/>
      <c r="I237" s="203"/>
      <c r="J237" s="203"/>
      <c r="K237" s="203"/>
      <c r="L237" s="203"/>
      <c r="M237" s="203"/>
      <c r="N237" s="203"/>
      <c r="O237" s="1134"/>
      <c r="P237" s="1135"/>
    </row>
    <row r="238" spans="1:16">
      <c r="A238" s="202"/>
      <c r="B238" s="196"/>
      <c r="C238" s="203"/>
      <c r="D238" s="196"/>
      <c r="E238" s="203"/>
      <c r="F238" s="203"/>
      <c r="G238" s="203"/>
      <c r="H238" s="203"/>
      <c r="I238" s="203"/>
      <c r="J238" s="203"/>
      <c r="K238" s="203"/>
      <c r="L238" s="203"/>
      <c r="M238" s="203"/>
      <c r="N238" s="203"/>
      <c r="O238" s="1134"/>
      <c r="P238" s="1135"/>
    </row>
    <row r="239" spans="1:16">
      <c r="A239" s="202"/>
      <c r="B239" s="196"/>
      <c r="C239" s="203"/>
      <c r="D239" s="196"/>
      <c r="E239" s="203"/>
      <c r="F239" s="203"/>
      <c r="G239" s="203"/>
      <c r="H239" s="203"/>
      <c r="I239" s="203"/>
      <c r="J239" s="203"/>
      <c r="K239" s="203"/>
      <c r="L239" s="203"/>
      <c r="M239" s="203"/>
      <c r="N239" s="203"/>
      <c r="O239" s="1134"/>
      <c r="P239" s="1135"/>
    </row>
    <row r="240" spans="1:16">
      <c r="A240" s="202"/>
      <c r="B240" s="196"/>
      <c r="C240" s="203"/>
      <c r="D240" s="196"/>
      <c r="E240" s="203"/>
      <c r="F240" s="203"/>
      <c r="G240" s="203"/>
      <c r="H240" s="203"/>
      <c r="I240" s="203"/>
      <c r="J240" s="203"/>
      <c r="K240" s="203"/>
      <c r="L240" s="203"/>
      <c r="M240" s="203"/>
      <c r="N240" s="203"/>
      <c r="O240" s="1134"/>
      <c r="P240" s="1135"/>
    </row>
    <row r="241" spans="1:16">
      <c r="A241" s="202"/>
      <c r="B241" s="196"/>
      <c r="C241" s="203"/>
      <c r="D241" s="196"/>
      <c r="E241" s="203"/>
      <c r="F241" s="203"/>
      <c r="G241" s="203"/>
      <c r="H241" s="203"/>
      <c r="I241" s="203"/>
      <c r="J241" s="203"/>
      <c r="K241" s="203"/>
      <c r="L241" s="203"/>
      <c r="M241" s="203"/>
      <c r="N241" s="203"/>
      <c r="O241" s="1134"/>
      <c r="P241" s="1135"/>
    </row>
    <row r="242" spans="1:16">
      <c r="A242" s="202"/>
      <c r="B242" s="196"/>
      <c r="C242" s="203"/>
      <c r="D242" s="196"/>
      <c r="E242" s="203"/>
      <c r="F242" s="203"/>
      <c r="G242" s="203"/>
      <c r="H242" s="203"/>
      <c r="I242" s="203"/>
      <c r="J242" s="203"/>
      <c r="K242" s="203"/>
      <c r="L242" s="203"/>
      <c r="M242" s="203"/>
      <c r="N242" s="203"/>
      <c r="O242" s="1134"/>
      <c r="P242" s="1135"/>
    </row>
    <row r="243" spans="1:16">
      <c r="A243" s="202"/>
      <c r="B243" s="196"/>
      <c r="C243" s="203"/>
      <c r="D243" s="196"/>
      <c r="E243" s="203"/>
      <c r="F243" s="203"/>
      <c r="G243" s="203"/>
      <c r="H243" s="203"/>
      <c r="I243" s="203"/>
      <c r="J243" s="203"/>
      <c r="K243" s="203"/>
      <c r="L243" s="203"/>
      <c r="M243" s="203"/>
      <c r="N243" s="203"/>
      <c r="O243" s="1134"/>
      <c r="P243" s="1135"/>
    </row>
    <row r="244" spans="1:16">
      <c r="A244" s="202"/>
      <c r="B244" s="196"/>
      <c r="C244" s="203"/>
      <c r="D244" s="196"/>
      <c r="E244" s="203"/>
      <c r="F244" s="203"/>
      <c r="G244" s="203"/>
      <c r="H244" s="203"/>
      <c r="I244" s="203"/>
      <c r="J244" s="203"/>
      <c r="K244" s="203"/>
      <c r="L244" s="203"/>
      <c r="M244" s="203"/>
      <c r="N244" s="203"/>
      <c r="O244" s="1134"/>
      <c r="P244" s="1135"/>
    </row>
    <row r="245" spans="1:16">
      <c r="A245" s="202"/>
      <c r="B245" s="196"/>
      <c r="C245" s="203"/>
      <c r="D245" s="196"/>
      <c r="E245" s="203"/>
      <c r="F245" s="203"/>
      <c r="G245" s="203"/>
      <c r="H245" s="203"/>
      <c r="I245" s="203"/>
      <c r="J245" s="203"/>
      <c r="K245" s="203"/>
      <c r="L245" s="203"/>
      <c r="M245" s="203"/>
      <c r="N245" s="203"/>
      <c r="O245" s="1134"/>
      <c r="P245" s="1135"/>
    </row>
    <row r="246" spans="1:16">
      <c r="A246" s="202"/>
      <c r="B246" s="196"/>
      <c r="C246" s="203"/>
      <c r="D246" s="196"/>
      <c r="E246" s="203"/>
      <c r="F246" s="203"/>
      <c r="G246" s="203"/>
      <c r="H246" s="203"/>
      <c r="I246" s="203"/>
      <c r="J246" s="203"/>
      <c r="K246" s="203"/>
      <c r="L246" s="203"/>
      <c r="M246" s="203"/>
      <c r="N246" s="203"/>
      <c r="O246" s="1134"/>
      <c r="P246" s="1135"/>
    </row>
    <row r="247" spans="1:16">
      <c r="A247" s="202"/>
      <c r="B247" s="196"/>
      <c r="C247" s="203"/>
      <c r="D247" s="196"/>
      <c r="E247" s="203"/>
      <c r="F247" s="203"/>
      <c r="G247" s="203"/>
      <c r="H247" s="203"/>
      <c r="I247" s="203"/>
      <c r="J247" s="203"/>
      <c r="K247" s="203"/>
      <c r="L247" s="203"/>
      <c r="M247" s="203"/>
      <c r="N247" s="203"/>
      <c r="O247" s="1134"/>
      <c r="P247" s="1135"/>
    </row>
    <row r="248" spans="1:16">
      <c r="A248" s="202"/>
      <c r="B248" s="196"/>
      <c r="C248" s="203"/>
      <c r="D248" s="196"/>
      <c r="E248" s="203"/>
      <c r="F248" s="203"/>
      <c r="G248" s="203"/>
      <c r="H248" s="203"/>
      <c r="I248" s="203"/>
      <c r="J248" s="203"/>
      <c r="K248" s="203"/>
      <c r="L248" s="203"/>
      <c r="M248" s="203"/>
      <c r="N248" s="203"/>
      <c r="O248" s="1134"/>
      <c r="P248" s="1135"/>
    </row>
    <row r="249" spans="1:16">
      <c r="A249" s="202"/>
      <c r="B249" s="196"/>
      <c r="C249" s="203"/>
      <c r="D249" s="196"/>
      <c r="E249" s="203"/>
      <c r="F249" s="203"/>
      <c r="G249" s="203"/>
      <c r="H249" s="203"/>
      <c r="I249" s="203"/>
      <c r="J249" s="203"/>
      <c r="K249" s="203"/>
      <c r="L249" s="203"/>
      <c r="M249" s="203"/>
      <c r="N249" s="203"/>
      <c r="O249" s="1134"/>
      <c r="P249" s="1135"/>
    </row>
    <row r="250" spans="1:16">
      <c r="A250" s="202"/>
      <c r="B250" s="196"/>
      <c r="C250" s="203"/>
      <c r="D250" s="196"/>
      <c r="E250" s="203"/>
      <c r="F250" s="203"/>
      <c r="G250" s="203"/>
      <c r="H250" s="203"/>
      <c r="I250" s="203"/>
      <c r="J250" s="203"/>
      <c r="K250" s="203"/>
      <c r="L250" s="203"/>
      <c r="M250" s="203"/>
      <c r="N250" s="203"/>
      <c r="O250" s="1134"/>
      <c r="P250" s="1135"/>
    </row>
    <row r="251" spans="1:16">
      <c r="A251" s="202"/>
      <c r="B251" s="196"/>
      <c r="C251" s="203"/>
      <c r="D251" s="196"/>
      <c r="E251" s="203"/>
      <c r="F251" s="203"/>
      <c r="G251" s="203"/>
      <c r="H251" s="203"/>
      <c r="I251" s="203"/>
      <c r="J251" s="203"/>
      <c r="K251" s="203"/>
      <c r="L251" s="203"/>
      <c r="M251" s="203"/>
      <c r="N251" s="203"/>
      <c r="O251" s="1134"/>
      <c r="P251" s="1135"/>
    </row>
    <row r="252" spans="1:16">
      <c r="A252" s="202"/>
      <c r="B252" s="196"/>
      <c r="C252" s="203"/>
      <c r="D252" s="196"/>
      <c r="E252" s="203"/>
      <c r="F252" s="203"/>
      <c r="G252" s="203"/>
      <c r="H252" s="203"/>
      <c r="I252" s="203"/>
      <c r="J252" s="203"/>
      <c r="K252" s="203"/>
      <c r="L252" s="203"/>
      <c r="M252" s="203"/>
      <c r="N252" s="203"/>
      <c r="O252" s="1134"/>
      <c r="P252" s="1135"/>
    </row>
    <row r="253" spans="1:16">
      <c r="A253" s="202"/>
      <c r="B253" s="196"/>
      <c r="C253" s="203"/>
      <c r="D253" s="196"/>
      <c r="E253" s="203"/>
      <c r="F253" s="203"/>
      <c r="G253" s="203"/>
      <c r="H253" s="203"/>
      <c r="I253" s="203"/>
      <c r="J253" s="203"/>
      <c r="K253" s="203"/>
      <c r="L253" s="203"/>
      <c r="M253" s="203"/>
      <c r="N253" s="203"/>
      <c r="O253" s="1134"/>
      <c r="P253" s="1135"/>
    </row>
    <row r="254" spans="1:16">
      <c r="A254" s="202"/>
      <c r="B254" s="196"/>
      <c r="C254" s="203"/>
      <c r="D254" s="196"/>
      <c r="E254" s="203"/>
      <c r="F254" s="203"/>
      <c r="G254" s="203"/>
      <c r="H254" s="203"/>
      <c r="I254" s="203"/>
      <c r="J254" s="203"/>
      <c r="K254" s="203"/>
      <c r="L254" s="203"/>
      <c r="M254" s="203"/>
      <c r="N254" s="203"/>
      <c r="O254" s="1134"/>
      <c r="P254" s="1135"/>
    </row>
    <row r="255" spans="1:16">
      <c r="A255" s="202"/>
      <c r="B255" s="196"/>
      <c r="C255" s="203"/>
      <c r="D255" s="196"/>
      <c r="E255" s="203"/>
      <c r="F255" s="203"/>
      <c r="G255" s="203"/>
      <c r="H255" s="203"/>
      <c r="I255" s="203"/>
      <c r="J255" s="203"/>
      <c r="K255" s="203"/>
      <c r="L255" s="203"/>
      <c r="M255" s="203"/>
      <c r="N255" s="203"/>
      <c r="O255" s="1134"/>
      <c r="P255" s="1135"/>
    </row>
    <row r="256" spans="1:16">
      <c r="A256" s="202"/>
      <c r="B256" s="196"/>
      <c r="C256" s="203"/>
      <c r="D256" s="196"/>
      <c r="E256" s="203"/>
      <c r="F256" s="203"/>
      <c r="G256" s="203"/>
      <c r="H256" s="203"/>
      <c r="I256" s="203"/>
      <c r="J256" s="203"/>
      <c r="K256" s="203"/>
      <c r="L256" s="203"/>
      <c r="M256" s="203"/>
      <c r="N256" s="203"/>
      <c r="O256" s="1134"/>
      <c r="P256" s="1135"/>
    </row>
    <row r="257" spans="1:16">
      <c r="A257" s="202"/>
      <c r="B257" s="196"/>
      <c r="C257" s="203"/>
      <c r="D257" s="196"/>
      <c r="E257" s="203"/>
      <c r="F257" s="203"/>
      <c r="G257" s="203"/>
      <c r="H257" s="203"/>
      <c r="I257" s="203"/>
      <c r="J257" s="203"/>
      <c r="K257" s="203"/>
      <c r="L257" s="203"/>
      <c r="M257" s="203"/>
      <c r="N257" s="203"/>
      <c r="O257" s="1134"/>
      <c r="P257" s="1135"/>
    </row>
    <row r="258" spans="1:16">
      <c r="A258" s="202"/>
      <c r="B258" s="196"/>
      <c r="C258" s="203"/>
      <c r="D258" s="196"/>
      <c r="E258" s="203"/>
      <c r="F258" s="203"/>
      <c r="G258" s="203"/>
      <c r="H258" s="203"/>
      <c r="I258" s="203"/>
      <c r="J258" s="203"/>
      <c r="K258" s="203"/>
      <c r="L258" s="203"/>
      <c r="M258" s="203"/>
      <c r="N258" s="203"/>
      <c r="O258" s="1134"/>
      <c r="P258" s="1135"/>
    </row>
    <row r="259" spans="1:16">
      <c r="A259" s="202"/>
      <c r="B259" s="196"/>
      <c r="C259" s="203"/>
      <c r="D259" s="196"/>
      <c r="E259" s="203"/>
      <c r="F259" s="203"/>
      <c r="G259" s="203"/>
      <c r="H259" s="203"/>
      <c r="I259" s="203"/>
      <c r="J259" s="203"/>
      <c r="K259" s="203"/>
      <c r="L259" s="203"/>
      <c r="M259" s="203"/>
      <c r="N259" s="203"/>
      <c r="O259" s="1134"/>
      <c r="P259" s="1135"/>
    </row>
    <row r="260" spans="1:16">
      <c r="A260" s="202"/>
      <c r="B260" s="196"/>
      <c r="C260" s="203"/>
      <c r="D260" s="196"/>
      <c r="E260" s="203"/>
      <c r="F260" s="203"/>
      <c r="G260" s="203"/>
      <c r="H260" s="203"/>
      <c r="I260" s="203"/>
      <c r="J260" s="203"/>
      <c r="K260" s="203"/>
      <c r="L260" s="203"/>
      <c r="M260" s="203"/>
      <c r="N260" s="203"/>
      <c r="O260" s="1134"/>
      <c r="P260" s="1135"/>
    </row>
    <row r="261" spans="1:16">
      <c r="A261" s="202"/>
      <c r="B261" s="203"/>
      <c r="C261" s="203"/>
      <c r="D261" s="203"/>
      <c r="E261" s="203"/>
      <c r="F261" s="203"/>
      <c r="G261" s="203"/>
      <c r="H261" s="203"/>
      <c r="I261" s="203"/>
      <c r="J261" s="203"/>
      <c r="K261" s="203"/>
      <c r="L261" s="203"/>
      <c r="M261" s="203"/>
      <c r="N261" s="203"/>
      <c r="O261" s="1134"/>
      <c r="P261" s="1135"/>
    </row>
    <row r="262" spans="1:16">
      <c r="A262" s="202"/>
      <c r="B262" s="203"/>
      <c r="C262" s="203"/>
      <c r="D262" s="203"/>
      <c r="E262" s="203"/>
      <c r="F262" s="203"/>
      <c r="G262" s="203"/>
      <c r="H262" s="203"/>
      <c r="I262" s="203"/>
      <c r="J262" s="203"/>
      <c r="K262" s="203"/>
      <c r="L262" s="203"/>
      <c r="M262" s="203"/>
      <c r="N262" s="203"/>
      <c r="O262" s="1134"/>
      <c r="P262" s="1135"/>
    </row>
    <row r="263" spans="1:16">
      <c r="A263" s="202"/>
      <c r="B263" s="203"/>
      <c r="C263" s="203"/>
      <c r="D263" s="203"/>
      <c r="E263" s="203"/>
      <c r="F263" s="203"/>
      <c r="G263" s="203"/>
      <c r="H263" s="203"/>
      <c r="I263" s="203"/>
      <c r="J263" s="203"/>
      <c r="K263" s="203"/>
      <c r="L263" s="203"/>
      <c r="M263" s="203"/>
      <c r="N263" s="203"/>
      <c r="O263" s="1134"/>
      <c r="P263" s="1135"/>
    </row>
    <row r="264" spans="1:16" ht="15" thickBot="1">
      <c r="A264" s="211"/>
      <c r="B264" s="207"/>
      <c r="C264" s="207"/>
      <c r="D264" s="207"/>
      <c r="E264" s="207"/>
      <c r="F264" s="207"/>
      <c r="G264" s="207"/>
      <c r="H264" s="207"/>
      <c r="I264" s="207"/>
      <c r="J264" s="207"/>
      <c r="K264" s="207"/>
      <c r="L264" s="207"/>
      <c r="M264" s="207"/>
      <c r="N264" s="207"/>
      <c r="O264" s="1136"/>
      <c r="P264" s="1137"/>
    </row>
    <row r="267" spans="1:16">
      <c r="A267" s="6" t="s">
        <v>1137</v>
      </c>
    </row>
    <row r="268" spans="1:16">
      <c r="B268" s="6" t="s">
        <v>1138</v>
      </c>
    </row>
    <row r="269" spans="1:16">
      <c r="A269" s="523" t="s">
        <v>39</v>
      </c>
      <c r="B269" s="525" t="s">
        <v>94</v>
      </c>
      <c r="C269" s="6">
        <v>9</v>
      </c>
    </row>
    <row r="270" spans="1:16">
      <c r="A270" s="523" t="s">
        <v>39</v>
      </c>
      <c r="B270" s="540" t="s">
        <v>95</v>
      </c>
      <c r="C270" s="6">
        <v>26</v>
      </c>
    </row>
    <row r="271" spans="1:16">
      <c r="A271" s="523" t="s">
        <v>39</v>
      </c>
      <c r="B271" s="543" t="s">
        <v>96</v>
      </c>
      <c r="C271" s="6">
        <v>1.6</v>
      </c>
    </row>
    <row r="272" spans="1:16">
      <c r="A272" s="523" t="s">
        <v>39</v>
      </c>
      <c r="B272" s="544" t="s">
        <v>97</v>
      </c>
      <c r="C272" s="6">
        <v>0</v>
      </c>
    </row>
    <row r="273" spans="1:16">
      <c r="A273" s="523" t="s">
        <v>39</v>
      </c>
      <c r="B273" s="545" t="s">
        <v>93</v>
      </c>
      <c r="C273" s="6">
        <v>22</v>
      </c>
    </row>
    <row r="274" spans="1:16">
      <c r="A274" s="523" t="s">
        <v>39</v>
      </c>
      <c r="C274" s="6">
        <f>SUM(C269:C273)</f>
        <v>58.6</v>
      </c>
    </row>
    <row r="277" spans="1:16" s="2" customFormat="1">
      <c r="A277" s="523" t="s">
        <v>39</v>
      </c>
      <c r="B277" s="524" t="s">
        <v>1139</v>
      </c>
      <c r="C277" s="525" t="s">
        <v>94</v>
      </c>
      <c r="D277" s="7" t="s">
        <v>139</v>
      </c>
      <c r="E277" s="526">
        <v>0</v>
      </c>
      <c r="F277" s="403" t="s">
        <v>1140</v>
      </c>
      <c r="G277" s="527" t="s">
        <v>1141</v>
      </c>
      <c r="H277" s="528"/>
      <c r="I277" s="529"/>
      <c r="J277" s="529"/>
      <c r="K277" s="529"/>
      <c r="L277" s="529"/>
      <c r="M277" s="530"/>
      <c r="N277" s="531" t="str">
        <f t="shared" ref="N277:N321" si="7">IF( OR( ISBLANK(H277),ISBLANK(J277), ISBLANK(K277), ISBLANK(L277), ISBLANK(M277) ), "", 1.5*SQRT(   EXP(2.21*(H277-1)) + EXP(2.21*(J277-1)) + EXP(2.21*(K277-1)) + EXP(2.21*(L277-1)) + EXP(2.21*M277)   )/100*2.45 )</f>
        <v/>
      </c>
      <c r="O277" s="532" t="str">
        <f t="shared" ref="O277:O321" si="8">IF( OR( ISBLANK(I277),ISBLANK(J277), ISBLANK(K277), ISBLANK(L277), ISBLANK(M277) ), "", 1.5*SQRT(   EXP(2.21*(I277-1)) + EXP(2.21*(J277-1)) + EXP(2.21*(K277-1)) + EXP(2.21*(L277-1)) + EXP(2.21*M277)   )/100*2.45 )</f>
        <v/>
      </c>
      <c r="P277" s="533"/>
    </row>
    <row r="278" spans="1:16" s="2" customFormat="1">
      <c r="A278" s="523" t="s">
        <v>39</v>
      </c>
      <c r="B278" s="524" t="s">
        <v>1139</v>
      </c>
      <c r="C278" s="540" t="s">
        <v>95</v>
      </c>
      <c r="D278" s="7" t="s">
        <v>139</v>
      </c>
      <c r="E278" s="526">
        <v>0</v>
      </c>
      <c r="F278" s="403" t="s">
        <v>1140</v>
      </c>
      <c r="G278" s="527" t="s">
        <v>1141</v>
      </c>
      <c r="H278" s="528"/>
      <c r="I278" s="529"/>
      <c r="J278" s="529"/>
      <c r="K278" s="529"/>
      <c r="L278" s="529"/>
      <c r="M278" s="530"/>
      <c r="N278" s="531" t="str">
        <f t="shared" si="7"/>
        <v/>
      </c>
      <c r="O278" s="532" t="str">
        <f t="shared" si="8"/>
        <v/>
      </c>
      <c r="P278" s="533"/>
    </row>
    <row r="279" spans="1:16" s="2" customFormat="1">
      <c r="A279" s="523" t="s">
        <v>39</v>
      </c>
      <c r="B279" s="524" t="s">
        <v>1139</v>
      </c>
      <c r="C279" s="543" t="s">
        <v>96</v>
      </c>
      <c r="D279" s="7" t="s">
        <v>139</v>
      </c>
      <c r="E279" s="526">
        <v>0</v>
      </c>
      <c r="F279" s="403" t="s">
        <v>1140</v>
      </c>
      <c r="G279" s="527" t="s">
        <v>1141</v>
      </c>
      <c r="H279" s="528"/>
      <c r="I279" s="529"/>
      <c r="J279" s="529"/>
      <c r="K279" s="529"/>
      <c r="L279" s="529"/>
      <c r="M279" s="530"/>
      <c r="N279" s="531" t="str">
        <f t="shared" si="7"/>
        <v/>
      </c>
      <c r="O279" s="532" t="str">
        <f t="shared" si="8"/>
        <v/>
      </c>
      <c r="P279" s="533"/>
    </row>
    <row r="280" spans="1:16" s="2" customFormat="1">
      <c r="A280" s="523" t="s">
        <v>39</v>
      </c>
      <c r="B280" s="524" t="s">
        <v>1139</v>
      </c>
      <c r="C280" s="544" t="s">
        <v>97</v>
      </c>
      <c r="D280" s="7" t="s">
        <v>139</v>
      </c>
      <c r="E280" s="526">
        <v>0</v>
      </c>
      <c r="F280" s="403" t="s">
        <v>1140</v>
      </c>
      <c r="G280" s="527" t="s">
        <v>1141</v>
      </c>
      <c r="H280" s="528"/>
      <c r="I280" s="529"/>
      <c r="J280" s="529"/>
      <c r="K280" s="529"/>
      <c r="L280" s="529"/>
      <c r="M280" s="530"/>
      <c r="N280" s="531" t="str">
        <f t="shared" si="7"/>
        <v/>
      </c>
      <c r="O280" s="532" t="str">
        <f t="shared" si="8"/>
        <v/>
      </c>
      <c r="P280" s="533"/>
    </row>
    <row r="281" spans="1:16" s="2" customFormat="1">
      <c r="A281" s="523" t="s">
        <v>39</v>
      </c>
      <c r="B281" s="524" t="s">
        <v>1139</v>
      </c>
      <c r="C281" s="545" t="s">
        <v>93</v>
      </c>
      <c r="D281" s="7" t="s">
        <v>139</v>
      </c>
      <c r="E281" s="526">
        <v>0</v>
      </c>
      <c r="F281" s="403" t="s">
        <v>1140</v>
      </c>
      <c r="G281" s="527" t="s">
        <v>1141</v>
      </c>
      <c r="H281" s="528"/>
      <c r="I281" s="529"/>
      <c r="J281" s="529"/>
      <c r="K281" s="529"/>
      <c r="L281" s="529"/>
      <c r="M281" s="530"/>
      <c r="N281" s="531" t="str">
        <f t="shared" si="7"/>
        <v/>
      </c>
      <c r="O281" s="532" t="str">
        <f t="shared" si="8"/>
        <v/>
      </c>
      <c r="P281" s="533"/>
    </row>
    <row r="282" spans="1:16" s="2" customFormat="1">
      <c r="A282" s="523" t="s">
        <v>39</v>
      </c>
      <c r="B282" s="524" t="s">
        <v>1142</v>
      </c>
      <c r="C282" s="525" t="s">
        <v>94</v>
      </c>
      <c r="D282" s="7" t="s">
        <v>139</v>
      </c>
      <c r="E282" s="526">
        <v>0</v>
      </c>
      <c r="F282" s="403" t="s">
        <v>1140</v>
      </c>
      <c r="G282" s="527" t="s">
        <v>1141</v>
      </c>
      <c r="H282" s="528"/>
      <c r="I282" s="529"/>
      <c r="J282" s="529"/>
      <c r="K282" s="529"/>
      <c r="L282" s="529"/>
      <c r="M282" s="530"/>
      <c r="N282" s="531" t="str">
        <f t="shared" si="7"/>
        <v/>
      </c>
      <c r="O282" s="532" t="str">
        <f t="shared" si="8"/>
        <v/>
      </c>
      <c r="P282" s="533"/>
    </row>
    <row r="283" spans="1:16" s="2" customFormat="1">
      <c r="A283" s="523" t="s">
        <v>39</v>
      </c>
      <c r="B283" s="524" t="s">
        <v>1142</v>
      </c>
      <c r="C283" s="540" t="s">
        <v>95</v>
      </c>
      <c r="D283" s="7" t="s">
        <v>139</v>
      </c>
      <c r="E283" s="534">
        <v>0.03</v>
      </c>
      <c r="F283" s="403" t="s">
        <v>1140</v>
      </c>
      <c r="G283" s="527" t="s">
        <v>1141</v>
      </c>
      <c r="H283" s="535">
        <v>2</v>
      </c>
      <c r="I283" s="1">
        <v>2</v>
      </c>
      <c r="J283" s="1">
        <v>2</v>
      </c>
      <c r="K283" s="1">
        <v>1</v>
      </c>
      <c r="L283" s="1">
        <v>1</v>
      </c>
      <c r="M283" s="536">
        <v>2</v>
      </c>
      <c r="N283" s="538">
        <f t="shared" si="7"/>
        <v>0.37356464144298934</v>
      </c>
      <c r="O283" s="539">
        <f t="shared" si="8"/>
        <v>0.37356464144298934</v>
      </c>
      <c r="P283" s="533"/>
    </row>
    <row r="284" spans="1:16" s="2" customFormat="1">
      <c r="A284" s="523" t="s">
        <v>39</v>
      </c>
      <c r="B284" s="524" t="s">
        <v>1142</v>
      </c>
      <c r="C284" s="543" t="s">
        <v>96</v>
      </c>
      <c r="D284" s="7" t="s">
        <v>139</v>
      </c>
      <c r="E284" s="526">
        <v>0</v>
      </c>
      <c r="F284" s="403" t="s">
        <v>1140</v>
      </c>
      <c r="G284" s="527" t="s">
        <v>1141</v>
      </c>
      <c r="H284" s="528"/>
      <c r="I284" s="529"/>
      <c r="J284" s="529"/>
      <c r="K284" s="529"/>
      <c r="L284" s="529"/>
      <c r="M284" s="530"/>
      <c r="N284" s="531" t="str">
        <f t="shared" si="7"/>
        <v/>
      </c>
      <c r="O284" s="532" t="str">
        <f t="shared" si="8"/>
        <v/>
      </c>
      <c r="P284" s="533"/>
    </row>
    <row r="285" spans="1:16" s="2" customFormat="1">
      <c r="A285" s="523" t="s">
        <v>39</v>
      </c>
      <c r="B285" s="524" t="s">
        <v>1142</v>
      </c>
      <c r="C285" s="544" t="s">
        <v>97</v>
      </c>
      <c r="D285" s="7" t="s">
        <v>139</v>
      </c>
      <c r="E285" s="526">
        <v>0</v>
      </c>
      <c r="F285" s="403" t="s">
        <v>1140</v>
      </c>
      <c r="G285" s="527" t="s">
        <v>1141</v>
      </c>
      <c r="H285" s="528"/>
      <c r="I285" s="529"/>
      <c r="J285" s="529"/>
      <c r="K285" s="529"/>
      <c r="L285" s="529"/>
      <c r="M285" s="530"/>
      <c r="N285" s="531" t="str">
        <f t="shared" si="7"/>
        <v/>
      </c>
      <c r="O285" s="532" t="str">
        <f t="shared" si="8"/>
        <v/>
      </c>
      <c r="P285" s="533"/>
    </row>
    <row r="286" spans="1:16" s="2" customFormat="1">
      <c r="A286" s="523" t="s">
        <v>39</v>
      </c>
      <c r="B286" s="524" t="s">
        <v>1142</v>
      </c>
      <c r="C286" s="545" t="s">
        <v>93</v>
      </c>
      <c r="D286" s="7" t="s">
        <v>139</v>
      </c>
      <c r="E286" s="526">
        <v>0</v>
      </c>
      <c r="F286" s="403" t="s">
        <v>1140</v>
      </c>
      <c r="G286" s="527" t="s">
        <v>1141</v>
      </c>
      <c r="H286" s="528"/>
      <c r="I286" s="529"/>
      <c r="J286" s="529"/>
      <c r="K286" s="529"/>
      <c r="L286" s="529"/>
      <c r="M286" s="530"/>
      <c r="N286" s="531" t="str">
        <f t="shared" si="7"/>
        <v/>
      </c>
      <c r="O286" s="532" t="str">
        <f t="shared" si="8"/>
        <v/>
      </c>
      <c r="P286" s="533"/>
    </row>
    <row r="287" spans="1:16" s="2" customFormat="1">
      <c r="A287" s="523" t="s">
        <v>39</v>
      </c>
      <c r="B287" s="524" t="s">
        <v>1143</v>
      </c>
      <c r="C287" s="525" t="s">
        <v>94</v>
      </c>
      <c r="D287" s="7" t="s">
        <v>139</v>
      </c>
      <c r="E287" s="526">
        <v>0</v>
      </c>
      <c r="F287" s="403" t="s">
        <v>1140</v>
      </c>
      <c r="G287" s="527" t="s">
        <v>1141</v>
      </c>
      <c r="H287" s="528"/>
      <c r="I287" s="529"/>
      <c r="J287" s="529"/>
      <c r="K287" s="529"/>
      <c r="L287" s="529"/>
      <c r="M287" s="530"/>
      <c r="N287" s="531" t="str">
        <f t="shared" si="7"/>
        <v/>
      </c>
      <c r="O287" s="532" t="str">
        <f t="shared" si="8"/>
        <v/>
      </c>
      <c r="P287" s="533"/>
    </row>
    <row r="288" spans="1:16" s="2" customFormat="1">
      <c r="A288" s="523" t="s">
        <v>39</v>
      </c>
      <c r="B288" s="524" t="s">
        <v>1143</v>
      </c>
      <c r="C288" s="540" t="s">
        <v>95</v>
      </c>
      <c r="D288" s="7" t="s">
        <v>139</v>
      </c>
      <c r="E288" s="526">
        <v>0</v>
      </c>
      <c r="F288" s="403" t="s">
        <v>1140</v>
      </c>
      <c r="G288" s="527" t="s">
        <v>1141</v>
      </c>
      <c r="H288" s="528"/>
      <c r="I288" s="529"/>
      <c r="J288" s="529"/>
      <c r="K288" s="529"/>
      <c r="L288" s="529"/>
      <c r="M288" s="530"/>
      <c r="N288" s="531" t="str">
        <f t="shared" si="7"/>
        <v/>
      </c>
      <c r="O288" s="532" t="str">
        <f t="shared" si="8"/>
        <v/>
      </c>
      <c r="P288" s="541"/>
    </row>
    <row r="289" spans="1:16" s="2" customFormat="1">
      <c r="A289" s="523" t="s">
        <v>39</v>
      </c>
      <c r="B289" s="524" t="s">
        <v>1143</v>
      </c>
      <c r="C289" s="543" t="s">
        <v>96</v>
      </c>
      <c r="D289" s="7" t="s">
        <v>139</v>
      </c>
      <c r="E289" s="526">
        <v>0</v>
      </c>
      <c r="F289" s="403" t="s">
        <v>1140</v>
      </c>
      <c r="G289" s="527" t="s">
        <v>1141</v>
      </c>
      <c r="H289" s="528"/>
      <c r="I289" s="529"/>
      <c r="J289" s="529"/>
      <c r="K289" s="529"/>
      <c r="L289" s="529"/>
      <c r="M289" s="530"/>
      <c r="N289" s="531" t="str">
        <f t="shared" si="7"/>
        <v/>
      </c>
      <c r="O289" s="532" t="str">
        <f t="shared" si="8"/>
        <v/>
      </c>
      <c r="P289" s="533"/>
    </row>
    <row r="290" spans="1:16" s="2" customFormat="1">
      <c r="A290" s="523" t="s">
        <v>39</v>
      </c>
      <c r="B290" s="524" t="s">
        <v>1143</v>
      </c>
      <c r="C290" s="544" t="s">
        <v>97</v>
      </c>
      <c r="D290" s="7" t="s">
        <v>139</v>
      </c>
      <c r="E290" s="526">
        <v>0</v>
      </c>
      <c r="F290" s="403" t="s">
        <v>1140</v>
      </c>
      <c r="G290" s="527" t="s">
        <v>1141</v>
      </c>
      <c r="H290" s="528"/>
      <c r="I290" s="529"/>
      <c r="J290" s="529"/>
      <c r="K290" s="529"/>
      <c r="L290" s="529"/>
      <c r="M290" s="530"/>
      <c r="N290" s="531" t="str">
        <f t="shared" si="7"/>
        <v/>
      </c>
      <c r="O290" s="532" t="str">
        <f t="shared" si="8"/>
        <v/>
      </c>
      <c r="P290" s="533"/>
    </row>
    <row r="291" spans="1:16" s="2" customFormat="1">
      <c r="A291" s="523" t="s">
        <v>39</v>
      </c>
      <c r="B291" s="524" t="s">
        <v>1143</v>
      </c>
      <c r="C291" s="545" t="s">
        <v>93</v>
      </c>
      <c r="D291" s="7" t="s">
        <v>139</v>
      </c>
      <c r="E291" s="526">
        <v>0</v>
      </c>
      <c r="F291" s="403" t="s">
        <v>1140</v>
      </c>
      <c r="G291" s="527" t="s">
        <v>1141</v>
      </c>
      <c r="H291" s="528"/>
      <c r="I291" s="529"/>
      <c r="J291" s="529"/>
      <c r="K291" s="529"/>
      <c r="L291" s="529"/>
      <c r="M291" s="530"/>
      <c r="N291" s="531" t="str">
        <f t="shared" si="7"/>
        <v/>
      </c>
      <c r="O291" s="532" t="str">
        <f t="shared" si="8"/>
        <v/>
      </c>
      <c r="P291" s="533"/>
    </row>
    <row r="292" spans="1:16" s="2" customFormat="1">
      <c r="A292" s="542" t="s">
        <v>39</v>
      </c>
      <c r="B292" s="524" t="s">
        <v>1144</v>
      </c>
      <c r="C292" s="525" t="s">
        <v>94</v>
      </c>
      <c r="D292" s="7" t="s">
        <v>139</v>
      </c>
      <c r="E292" s="526">
        <v>0</v>
      </c>
      <c r="F292" s="403" t="s">
        <v>1140</v>
      </c>
      <c r="G292" s="527" t="s">
        <v>1141</v>
      </c>
      <c r="H292" s="528"/>
      <c r="I292" s="529"/>
      <c r="J292" s="529"/>
      <c r="K292" s="529"/>
      <c r="L292" s="529"/>
      <c r="M292" s="530"/>
      <c r="N292" s="531" t="str">
        <f t="shared" si="7"/>
        <v/>
      </c>
      <c r="O292" s="532" t="str">
        <f t="shared" si="8"/>
        <v/>
      </c>
      <c r="P292" s="533"/>
    </row>
    <row r="293" spans="1:16" s="2" customFormat="1">
      <c r="A293" s="523" t="s">
        <v>39</v>
      </c>
      <c r="B293" s="524" t="s">
        <v>1144</v>
      </c>
      <c r="C293" s="540" t="s">
        <v>95</v>
      </c>
      <c r="D293" s="7" t="s">
        <v>139</v>
      </c>
      <c r="E293" s="537">
        <v>0.28299999999999997</v>
      </c>
      <c r="F293" s="403" t="s">
        <v>1140</v>
      </c>
      <c r="G293" s="527" t="s">
        <v>1141</v>
      </c>
      <c r="H293" s="535">
        <v>2</v>
      </c>
      <c r="I293" s="1">
        <v>2</v>
      </c>
      <c r="J293" s="1">
        <v>2</v>
      </c>
      <c r="K293" s="1">
        <v>1</v>
      </c>
      <c r="L293" s="1">
        <v>1</v>
      </c>
      <c r="M293" s="536">
        <v>2</v>
      </c>
      <c r="N293" s="538">
        <f t="shared" si="7"/>
        <v>0.37356464144298934</v>
      </c>
      <c r="O293" s="539">
        <f t="shared" si="8"/>
        <v>0.37356464144298934</v>
      </c>
      <c r="P293" s="533"/>
    </row>
    <row r="294" spans="1:16" s="2" customFormat="1">
      <c r="A294" s="523" t="s">
        <v>39</v>
      </c>
      <c r="B294" s="524" t="s">
        <v>1144</v>
      </c>
      <c r="C294" s="543" t="s">
        <v>96</v>
      </c>
      <c r="D294" s="7" t="s">
        <v>139</v>
      </c>
      <c r="E294" s="526">
        <v>0</v>
      </c>
      <c r="F294" s="403" t="s">
        <v>1140</v>
      </c>
      <c r="G294" s="527" t="s">
        <v>1141</v>
      </c>
      <c r="H294" s="528"/>
      <c r="I294" s="529"/>
      <c r="J294" s="529"/>
      <c r="K294" s="529"/>
      <c r="L294" s="529"/>
      <c r="M294" s="530"/>
      <c r="N294" s="531" t="str">
        <f t="shared" si="7"/>
        <v/>
      </c>
      <c r="O294" s="532" t="str">
        <f t="shared" si="8"/>
        <v/>
      </c>
      <c r="P294" s="533"/>
    </row>
    <row r="295" spans="1:16" s="2" customFormat="1">
      <c r="A295" s="523" t="s">
        <v>39</v>
      </c>
      <c r="B295" s="524" t="s">
        <v>1144</v>
      </c>
      <c r="C295" s="544" t="s">
        <v>97</v>
      </c>
      <c r="D295" s="7" t="s">
        <v>139</v>
      </c>
      <c r="E295" s="526">
        <v>0</v>
      </c>
      <c r="F295" s="403" t="s">
        <v>1140</v>
      </c>
      <c r="G295" s="527" t="s">
        <v>1141</v>
      </c>
      <c r="H295" s="528"/>
      <c r="I295" s="529"/>
      <c r="J295" s="529"/>
      <c r="K295" s="529"/>
      <c r="L295" s="529"/>
      <c r="M295" s="530"/>
      <c r="N295" s="531" t="str">
        <f t="shared" si="7"/>
        <v/>
      </c>
      <c r="O295" s="532" t="str">
        <f t="shared" si="8"/>
        <v/>
      </c>
      <c r="P295" s="533"/>
    </row>
    <row r="296" spans="1:16" s="2" customFormat="1">
      <c r="A296" s="523" t="s">
        <v>39</v>
      </c>
      <c r="B296" s="524" t="s">
        <v>1144</v>
      </c>
      <c r="C296" s="545" t="s">
        <v>93</v>
      </c>
      <c r="D296" s="7" t="s">
        <v>139</v>
      </c>
      <c r="E296" s="526">
        <v>0</v>
      </c>
      <c r="F296" s="403" t="s">
        <v>1140</v>
      </c>
      <c r="G296" s="527" t="s">
        <v>1141</v>
      </c>
      <c r="H296" s="528"/>
      <c r="I296" s="529"/>
      <c r="J296" s="529"/>
      <c r="K296" s="529"/>
      <c r="L296" s="529"/>
      <c r="M296" s="530"/>
      <c r="N296" s="531" t="str">
        <f t="shared" si="7"/>
        <v/>
      </c>
      <c r="O296" s="532" t="str">
        <f t="shared" si="8"/>
        <v/>
      </c>
      <c r="P296" s="533"/>
    </row>
    <row r="297" spans="1:16" s="2" customFormat="1">
      <c r="A297" s="523" t="s">
        <v>39</v>
      </c>
      <c r="B297" s="524" t="s">
        <v>1145</v>
      </c>
      <c r="C297" s="525" t="s">
        <v>94</v>
      </c>
      <c r="D297" s="7" t="s">
        <v>139</v>
      </c>
      <c r="E297" s="526">
        <v>0</v>
      </c>
      <c r="F297" s="403" t="s">
        <v>1140</v>
      </c>
      <c r="G297" s="527" t="s">
        <v>1141</v>
      </c>
      <c r="H297" s="528"/>
      <c r="I297" s="529"/>
      <c r="J297" s="529"/>
      <c r="K297" s="529"/>
      <c r="L297" s="529"/>
      <c r="M297" s="530"/>
      <c r="N297" s="531" t="str">
        <f t="shared" si="7"/>
        <v/>
      </c>
      <c r="O297" s="532" t="str">
        <f t="shared" si="8"/>
        <v/>
      </c>
      <c r="P297" s="533"/>
    </row>
    <row r="298" spans="1:16" s="2" customFormat="1">
      <c r="A298" s="523" t="s">
        <v>39</v>
      </c>
      <c r="B298" s="524" t="s">
        <v>1145</v>
      </c>
      <c r="C298" s="540" t="s">
        <v>95</v>
      </c>
      <c r="D298" s="7" t="s">
        <v>139</v>
      </c>
      <c r="E298" s="537">
        <v>0.64300000000000002</v>
      </c>
      <c r="F298" s="403" t="s">
        <v>1140</v>
      </c>
      <c r="G298" s="527" t="s">
        <v>1141</v>
      </c>
      <c r="H298" s="535">
        <v>2</v>
      </c>
      <c r="I298" s="1">
        <v>2</v>
      </c>
      <c r="J298" s="1">
        <v>2</v>
      </c>
      <c r="K298" s="1">
        <v>1</v>
      </c>
      <c r="L298" s="1">
        <v>1</v>
      </c>
      <c r="M298" s="536">
        <v>2</v>
      </c>
      <c r="N298" s="538">
        <f t="shared" si="7"/>
        <v>0.37356464144298934</v>
      </c>
      <c r="O298" s="539">
        <f t="shared" si="8"/>
        <v>0.37356464144298934</v>
      </c>
      <c r="P298" s="533"/>
    </row>
    <row r="299" spans="1:16" s="2" customFormat="1">
      <c r="A299" s="523" t="s">
        <v>39</v>
      </c>
      <c r="B299" s="524" t="s">
        <v>1145</v>
      </c>
      <c r="C299" s="543" t="s">
        <v>96</v>
      </c>
      <c r="D299" s="7" t="s">
        <v>139</v>
      </c>
      <c r="E299" s="526">
        <v>0</v>
      </c>
      <c r="F299" s="403" t="s">
        <v>1140</v>
      </c>
      <c r="G299" s="527" t="s">
        <v>1141</v>
      </c>
      <c r="H299" s="528"/>
      <c r="I299" s="529"/>
      <c r="J299" s="529"/>
      <c r="K299" s="529"/>
      <c r="L299" s="529"/>
      <c r="M299" s="530"/>
      <c r="N299" s="531" t="str">
        <f t="shared" si="7"/>
        <v/>
      </c>
      <c r="O299" s="532" t="str">
        <f t="shared" si="8"/>
        <v/>
      </c>
      <c r="P299" s="533"/>
    </row>
    <row r="300" spans="1:16" s="2" customFormat="1">
      <c r="A300" s="523" t="s">
        <v>39</v>
      </c>
      <c r="B300" s="524" t="s">
        <v>1145</v>
      </c>
      <c r="C300" s="544" t="s">
        <v>97</v>
      </c>
      <c r="D300" s="7" t="s">
        <v>139</v>
      </c>
      <c r="E300" s="526">
        <v>0</v>
      </c>
      <c r="F300" s="403" t="s">
        <v>1140</v>
      </c>
      <c r="G300" s="527" t="s">
        <v>1141</v>
      </c>
      <c r="H300" s="528"/>
      <c r="I300" s="529"/>
      <c r="J300" s="529"/>
      <c r="K300" s="529"/>
      <c r="L300" s="529"/>
      <c r="M300" s="530"/>
      <c r="N300" s="531" t="str">
        <f t="shared" si="7"/>
        <v/>
      </c>
      <c r="O300" s="532" t="str">
        <f t="shared" si="8"/>
        <v/>
      </c>
      <c r="P300" s="533"/>
    </row>
    <row r="301" spans="1:16" s="2" customFormat="1">
      <c r="A301" s="523" t="s">
        <v>39</v>
      </c>
      <c r="B301" s="524" t="s">
        <v>1145</v>
      </c>
      <c r="C301" s="545" t="s">
        <v>93</v>
      </c>
      <c r="D301" s="7" t="s">
        <v>139</v>
      </c>
      <c r="E301" s="526">
        <v>0</v>
      </c>
      <c r="F301" s="403" t="s">
        <v>1140</v>
      </c>
      <c r="G301" s="527" t="s">
        <v>1141</v>
      </c>
      <c r="H301" s="528"/>
      <c r="I301" s="529"/>
      <c r="J301" s="529"/>
      <c r="K301" s="529"/>
      <c r="L301" s="529"/>
      <c r="M301" s="530"/>
      <c r="N301" s="531" t="str">
        <f t="shared" si="7"/>
        <v/>
      </c>
      <c r="O301" s="532" t="str">
        <f t="shared" si="8"/>
        <v/>
      </c>
      <c r="P301" s="533"/>
    </row>
    <row r="302" spans="1:16" s="2" customFormat="1">
      <c r="A302" s="542" t="s">
        <v>39</v>
      </c>
      <c r="B302" s="524" t="s">
        <v>1054</v>
      </c>
      <c r="C302" s="525" t="s">
        <v>94</v>
      </c>
      <c r="D302" s="7" t="s">
        <v>139</v>
      </c>
      <c r="E302" s="526">
        <v>0</v>
      </c>
      <c r="F302" s="403" t="s">
        <v>1140</v>
      </c>
      <c r="G302" s="527" t="s">
        <v>1141</v>
      </c>
      <c r="H302" s="528"/>
      <c r="I302" s="529"/>
      <c r="J302" s="529"/>
      <c r="K302" s="529"/>
      <c r="L302" s="529"/>
      <c r="M302" s="530"/>
      <c r="N302" s="531" t="str">
        <f t="shared" si="7"/>
        <v/>
      </c>
      <c r="O302" s="532" t="str">
        <f t="shared" si="8"/>
        <v/>
      </c>
      <c r="P302" s="533"/>
    </row>
    <row r="303" spans="1:16" s="2" customFormat="1">
      <c r="A303" s="523" t="s">
        <v>39</v>
      </c>
      <c r="B303" s="524" t="s">
        <v>1054</v>
      </c>
      <c r="C303" s="540" t="s">
        <v>95</v>
      </c>
      <c r="D303" s="7" t="s">
        <v>139</v>
      </c>
      <c r="E303" s="534">
        <v>4.3999999999999997E-2</v>
      </c>
      <c r="F303" s="403" t="s">
        <v>1140</v>
      </c>
      <c r="G303" s="527" t="s">
        <v>1141</v>
      </c>
      <c r="H303" s="535">
        <v>2</v>
      </c>
      <c r="I303" s="1">
        <v>2</v>
      </c>
      <c r="J303" s="1">
        <v>2</v>
      </c>
      <c r="K303" s="1">
        <v>1</v>
      </c>
      <c r="L303" s="1">
        <v>1</v>
      </c>
      <c r="M303" s="536">
        <v>2</v>
      </c>
      <c r="N303" s="538">
        <f t="shared" si="7"/>
        <v>0.37356464144298934</v>
      </c>
      <c r="O303" s="539">
        <f t="shared" si="8"/>
        <v>0.37356464144298934</v>
      </c>
      <c r="P303" s="533"/>
    </row>
    <row r="304" spans="1:16" s="2" customFormat="1">
      <c r="A304" s="523" t="s">
        <v>39</v>
      </c>
      <c r="B304" s="524" t="s">
        <v>1054</v>
      </c>
      <c r="C304" s="543" t="s">
        <v>96</v>
      </c>
      <c r="D304" s="7" t="s">
        <v>139</v>
      </c>
      <c r="E304" s="526">
        <v>0</v>
      </c>
      <c r="F304" s="403" t="s">
        <v>1140</v>
      </c>
      <c r="G304" s="527" t="s">
        <v>1141</v>
      </c>
      <c r="H304" s="528"/>
      <c r="I304" s="529"/>
      <c r="J304" s="529"/>
      <c r="K304" s="529"/>
      <c r="L304" s="529"/>
      <c r="M304" s="530"/>
      <c r="N304" s="531" t="str">
        <f t="shared" si="7"/>
        <v/>
      </c>
      <c r="O304" s="532" t="str">
        <f t="shared" si="8"/>
        <v/>
      </c>
      <c r="P304" s="533"/>
    </row>
    <row r="305" spans="1:16" s="2" customFormat="1">
      <c r="A305" s="523" t="s">
        <v>39</v>
      </c>
      <c r="B305" s="524" t="s">
        <v>1054</v>
      </c>
      <c r="C305" s="544" t="s">
        <v>97</v>
      </c>
      <c r="D305" s="7" t="s">
        <v>139</v>
      </c>
      <c r="E305" s="526">
        <v>0</v>
      </c>
      <c r="F305" s="403" t="s">
        <v>1140</v>
      </c>
      <c r="G305" s="527" t="s">
        <v>1141</v>
      </c>
      <c r="H305" s="528"/>
      <c r="I305" s="529"/>
      <c r="J305" s="529"/>
      <c r="K305" s="529"/>
      <c r="L305" s="529"/>
      <c r="M305" s="530"/>
      <c r="N305" s="531" t="str">
        <f t="shared" si="7"/>
        <v/>
      </c>
      <c r="O305" s="532" t="str">
        <f t="shared" si="8"/>
        <v/>
      </c>
      <c r="P305" s="533"/>
    </row>
    <row r="306" spans="1:16" s="2" customFormat="1">
      <c r="A306" s="523" t="s">
        <v>39</v>
      </c>
      <c r="B306" s="524" t="s">
        <v>1054</v>
      </c>
      <c r="C306" s="545" t="s">
        <v>93</v>
      </c>
      <c r="D306" s="7" t="s">
        <v>139</v>
      </c>
      <c r="E306" s="534">
        <v>0.5</v>
      </c>
      <c r="F306" s="403" t="s">
        <v>1140</v>
      </c>
      <c r="G306" s="527" t="s">
        <v>1141</v>
      </c>
      <c r="H306" s="535">
        <v>2</v>
      </c>
      <c r="I306" s="1">
        <v>2</v>
      </c>
      <c r="J306" s="1">
        <v>2</v>
      </c>
      <c r="K306" s="1">
        <v>1</v>
      </c>
      <c r="L306" s="1">
        <v>1</v>
      </c>
      <c r="M306" s="536">
        <v>3</v>
      </c>
      <c r="N306" s="538">
        <f t="shared" si="7"/>
        <v>1.0248662490928169</v>
      </c>
      <c r="O306" s="539">
        <f t="shared" si="8"/>
        <v>1.0248662490928169</v>
      </c>
      <c r="P306" s="533"/>
    </row>
    <row r="307" spans="1:16" s="2" customFormat="1">
      <c r="A307" s="523" t="s">
        <v>39</v>
      </c>
      <c r="B307" s="524" t="s">
        <v>1146</v>
      </c>
      <c r="C307" s="525" t="s">
        <v>94</v>
      </c>
      <c r="D307" s="7" t="s">
        <v>139</v>
      </c>
      <c r="E307" s="526">
        <v>0</v>
      </c>
      <c r="F307" s="403" t="s">
        <v>1140</v>
      </c>
      <c r="G307" s="527" t="s">
        <v>1141</v>
      </c>
      <c r="H307" s="528"/>
      <c r="I307" s="529"/>
      <c r="J307" s="529"/>
      <c r="K307" s="529"/>
      <c r="L307" s="529"/>
      <c r="M307" s="530"/>
      <c r="N307" s="531" t="str">
        <f t="shared" si="7"/>
        <v/>
      </c>
      <c r="O307" s="532" t="str">
        <f t="shared" si="8"/>
        <v/>
      </c>
      <c r="P307" s="533"/>
    </row>
    <row r="308" spans="1:16" s="2" customFormat="1">
      <c r="A308" s="523" t="s">
        <v>39</v>
      </c>
      <c r="B308" s="524" t="s">
        <v>1146</v>
      </c>
      <c r="C308" s="540" t="s">
        <v>95</v>
      </c>
      <c r="D308" s="7" t="s">
        <v>139</v>
      </c>
      <c r="E308" s="526">
        <v>0</v>
      </c>
      <c r="F308" s="403" t="s">
        <v>1140</v>
      </c>
      <c r="G308" s="527" t="s">
        <v>1141</v>
      </c>
      <c r="H308" s="528"/>
      <c r="I308" s="529"/>
      <c r="J308" s="529"/>
      <c r="K308" s="529"/>
      <c r="L308" s="529"/>
      <c r="M308" s="530"/>
      <c r="N308" s="531" t="str">
        <f t="shared" si="7"/>
        <v/>
      </c>
      <c r="O308" s="532" t="str">
        <f t="shared" si="8"/>
        <v/>
      </c>
      <c r="P308" s="533"/>
    </row>
    <row r="309" spans="1:16" s="2" customFormat="1">
      <c r="A309" s="523" t="s">
        <v>39</v>
      </c>
      <c r="B309" s="524" t="s">
        <v>1146</v>
      </c>
      <c r="C309" s="543" t="s">
        <v>96</v>
      </c>
      <c r="D309" s="7" t="s">
        <v>139</v>
      </c>
      <c r="E309" s="526">
        <v>0</v>
      </c>
      <c r="F309" s="403" t="s">
        <v>1140</v>
      </c>
      <c r="G309" s="527" t="s">
        <v>1141</v>
      </c>
      <c r="H309" s="528"/>
      <c r="I309" s="529"/>
      <c r="J309" s="529"/>
      <c r="K309" s="529"/>
      <c r="L309" s="529"/>
      <c r="M309" s="530"/>
      <c r="N309" s="531" t="str">
        <f t="shared" si="7"/>
        <v/>
      </c>
      <c r="O309" s="532" t="str">
        <f t="shared" si="8"/>
        <v/>
      </c>
      <c r="P309" s="533"/>
    </row>
    <row r="310" spans="1:16" s="2" customFormat="1">
      <c r="A310" s="523" t="s">
        <v>39</v>
      </c>
      <c r="B310" s="524" t="s">
        <v>1146</v>
      </c>
      <c r="C310" s="544" t="s">
        <v>97</v>
      </c>
      <c r="D310" s="7" t="s">
        <v>139</v>
      </c>
      <c r="E310" s="526">
        <v>0</v>
      </c>
      <c r="F310" s="403" t="s">
        <v>1140</v>
      </c>
      <c r="G310" s="527" t="s">
        <v>1141</v>
      </c>
      <c r="H310" s="528"/>
      <c r="I310" s="529"/>
      <c r="J310" s="529"/>
      <c r="K310" s="529"/>
      <c r="L310" s="529"/>
      <c r="M310" s="530"/>
      <c r="N310" s="531" t="str">
        <f t="shared" si="7"/>
        <v/>
      </c>
      <c r="O310" s="532" t="str">
        <f t="shared" si="8"/>
        <v/>
      </c>
      <c r="P310" s="533"/>
    </row>
    <row r="311" spans="1:16" s="2" customFormat="1">
      <c r="A311" s="523" t="s">
        <v>39</v>
      </c>
      <c r="B311" s="524" t="s">
        <v>1146</v>
      </c>
      <c r="C311" s="545" t="s">
        <v>93</v>
      </c>
      <c r="D311" s="7" t="s">
        <v>139</v>
      </c>
      <c r="E311" s="526">
        <v>0</v>
      </c>
      <c r="F311" s="403" t="s">
        <v>1140</v>
      </c>
      <c r="G311" s="527" t="s">
        <v>1141</v>
      </c>
      <c r="H311" s="528"/>
      <c r="I311" s="529"/>
      <c r="J311" s="529"/>
      <c r="K311" s="529"/>
      <c r="L311" s="529"/>
      <c r="M311" s="530"/>
      <c r="N311" s="531" t="str">
        <f t="shared" si="7"/>
        <v/>
      </c>
      <c r="O311" s="532" t="str">
        <f t="shared" si="8"/>
        <v/>
      </c>
      <c r="P311" s="533"/>
    </row>
    <row r="312" spans="1:16" s="2" customFormat="1">
      <c r="A312" s="542" t="s">
        <v>39</v>
      </c>
      <c r="B312" s="524" t="s">
        <v>1147</v>
      </c>
      <c r="C312" s="525" t="s">
        <v>94</v>
      </c>
      <c r="D312" s="7" t="s">
        <v>139</v>
      </c>
      <c r="E312" s="534">
        <v>1</v>
      </c>
      <c r="F312" s="403" t="s">
        <v>1140</v>
      </c>
      <c r="G312" s="527" t="s">
        <v>1141</v>
      </c>
      <c r="H312" s="535">
        <v>2</v>
      </c>
      <c r="I312" s="1">
        <v>2</v>
      </c>
      <c r="J312" s="1">
        <v>2</v>
      </c>
      <c r="K312" s="1">
        <v>1</v>
      </c>
      <c r="L312" s="1">
        <v>1</v>
      </c>
      <c r="M312" s="536">
        <v>2</v>
      </c>
      <c r="N312" s="531">
        <f t="shared" si="7"/>
        <v>0.37356464144298934</v>
      </c>
      <c r="O312" s="532">
        <f t="shared" si="8"/>
        <v>0.37356464144298934</v>
      </c>
      <c r="P312" s="533"/>
    </row>
    <row r="313" spans="1:16" s="2" customFormat="1">
      <c r="A313" s="523" t="s">
        <v>39</v>
      </c>
      <c r="B313" s="524" t="s">
        <v>1147</v>
      </c>
      <c r="C313" s="540" t="s">
        <v>95</v>
      </c>
      <c r="D313" s="7" t="s">
        <v>139</v>
      </c>
      <c r="E313" s="526">
        <v>0</v>
      </c>
      <c r="F313" s="403" t="s">
        <v>1140</v>
      </c>
      <c r="G313" s="527" t="s">
        <v>1141</v>
      </c>
      <c r="H313" s="528"/>
      <c r="I313" s="529"/>
      <c r="J313" s="529"/>
      <c r="K313" s="529"/>
      <c r="L313" s="529"/>
      <c r="M313" s="530"/>
      <c r="N313" s="531" t="str">
        <f t="shared" si="7"/>
        <v/>
      </c>
      <c r="O313" s="532" t="str">
        <f t="shared" si="8"/>
        <v/>
      </c>
      <c r="P313" s="533"/>
    </row>
    <row r="314" spans="1:16" s="2" customFormat="1">
      <c r="A314" s="523" t="s">
        <v>39</v>
      </c>
      <c r="B314" s="524" t="s">
        <v>1147</v>
      </c>
      <c r="C314" s="543" t="s">
        <v>96</v>
      </c>
      <c r="D314" s="7" t="s">
        <v>139</v>
      </c>
      <c r="E314" s="534">
        <v>1</v>
      </c>
      <c r="F314" s="403" t="s">
        <v>1140</v>
      </c>
      <c r="G314" s="527" t="s">
        <v>1141</v>
      </c>
      <c r="H314" s="535">
        <v>2</v>
      </c>
      <c r="I314" s="1">
        <v>2</v>
      </c>
      <c r="J314" s="1">
        <v>2</v>
      </c>
      <c r="K314" s="1">
        <v>1</v>
      </c>
      <c r="L314" s="1">
        <v>1</v>
      </c>
      <c r="M314" s="536">
        <v>2</v>
      </c>
      <c r="N314" s="531">
        <f t="shared" si="7"/>
        <v>0.37356464144298934</v>
      </c>
      <c r="O314" s="532">
        <f t="shared" si="8"/>
        <v>0.37356464144298934</v>
      </c>
      <c r="P314" s="533"/>
    </row>
    <row r="315" spans="1:16" s="2" customFormat="1">
      <c r="A315" s="523" t="s">
        <v>39</v>
      </c>
      <c r="B315" s="524" t="s">
        <v>1147</v>
      </c>
      <c r="C315" s="544" t="s">
        <v>97</v>
      </c>
      <c r="D315" s="7" t="s">
        <v>139</v>
      </c>
      <c r="E315" s="526">
        <v>0</v>
      </c>
      <c r="F315" s="403" t="s">
        <v>1140</v>
      </c>
      <c r="G315" s="527" t="s">
        <v>1141</v>
      </c>
      <c r="H315" s="528"/>
      <c r="I315" s="529"/>
      <c r="J315" s="529"/>
      <c r="K315" s="529"/>
      <c r="L315" s="529"/>
      <c r="M315" s="530"/>
      <c r="N315" s="531" t="str">
        <f t="shared" si="7"/>
        <v/>
      </c>
      <c r="O315" s="532" t="str">
        <f t="shared" si="8"/>
        <v/>
      </c>
      <c r="P315" s="533"/>
    </row>
    <row r="316" spans="1:16" s="2" customFormat="1">
      <c r="A316" s="523" t="s">
        <v>39</v>
      </c>
      <c r="B316" s="524" t="s">
        <v>1147</v>
      </c>
      <c r="C316" s="545" t="s">
        <v>93</v>
      </c>
      <c r="D316" s="7" t="s">
        <v>139</v>
      </c>
      <c r="E316" s="537">
        <v>0.5</v>
      </c>
      <c r="F316" s="403" t="s">
        <v>1140</v>
      </c>
      <c r="G316" s="527" t="s">
        <v>1141</v>
      </c>
      <c r="H316" s="535">
        <v>2</v>
      </c>
      <c r="I316" s="1">
        <v>2</v>
      </c>
      <c r="J316" s="1">
        <v>2</v>
      </c>
      <c r="K316" s="1">
        <v>1</v>
      </c>
      <c r="L316" s="1">
        <v>1</v>
      </c>
      <c r="M316" s="536">
        <v>3</v>
      </c>
      <c r="N316" s="531">
        <f t="shared" si="7"/>
        <v>1.0248662490928169</v>
      </c>
      <c r="O316" s="532">
        <f t="shared" si="8"/>
        <v>1.0248662490928169</v>
      </c>
      <c r="P316" s="533"/>
    </row>
    <row r="317" spans="1:16" s="2" customFormat="1">
      <c r="A317" s="523" t="s">
        <v>39</v>
      </c>
      <c r="B317" s="524" t="s">
        <v>1148</v>
      </c>
      <c r="C317" s="525" t="s">
        <v>94</v>
      </c>
      <c r="D317" s="7" t="s">
        <v>139</v>
      </c>
      <c r="E317" s="526">
        <v>0</v>
      </c>
      <c r="F317" s="403" t="s">
        <v>1140</v>
      </c>
      <c r="G317" s="527" t="s">
        <v>1141</v>
      </c>
      <c r="H317" s="528"/>
      <c r="I317" s="529"/>
      <c r="J317" s="529"/>
      <c r="K317" s="529"/>
      <c r="L317" s="529"/>
      <c r="M317" s="530"/>
      <c r="N317" s="531" t="str">
        <f t="shared" si="7"/>
        <v/>
      </c>
      <c r="O317" s="532" t="str">
        <f t="shared" si="8"/>
        <v/>
      </c>
      <c r="P317" s="533"/>
    </row>
    <row r="318" spans="1:16" s="2" customFormat="1">
      <c r="A318" s="523" t="s">
        <v>39</v>
      </c>
      <c r="B318" s="524" t="s">
        <v>1148</v>
      </c>
      <c r="C318" s="540" t="s">
        <v>95</v>
      </c>
      <c r="D318" s="7" t="s">
        <v>139</v>
      </c>
      <c r="E318" s="526">
        <v>0</v>
      </c>
      <c r="F318" s="403" t="s">
        <v>1140</v>
      </c>
      <c r="G318" s="527" t="s">
        <v>1141</v>
      </c>
      <c r="H318" s="528"/>
      <c r="I318" s="529"/>
      <c r="J318" s="529"/>
      <c r="K318" s="529"/>
      <c r="L318" s="529"/>
      <c r="M318" s="530"/>
      <c r="N318" s="531" t="str">
        <f t="shared" si="7"/>
        <v/>
      </c>
      <c r="O318" s="532" t="str">
        <f t="shared" si="8"/>
        <v/>
      </c>
      <c r="P318" s="533"/>
    </row>
    <row r="319" spans="1:16" s="2" customFormat="1">
      <c r="A319" s="523" t="s">
        <v>39</v>
      </c>
      <c r="B319" s="524" t="s">
        <v>1148</v>
      </c>
      <c r="C319" s="543" t="s">
        <v>96</v>
      </c>
      <c r="D319" s="7" t="s">
        <v>139</v>
      </c>
      <c r="E319" s="526">
        <v>0</v>
      </c>
      <c r="F319" s="403" t="s">
        <v>1140</v>
      </c>
      <c r="G319" s="527" t="s">
        <v>1141</v>
      </c>
      <c r="H319" s="528"/>
      <c r="I319" s="529"/>
      <c r="J319" s="529"/>
      <c r="K319" s="529"/>
      <c r="L319" s="529"/>
      <c r="M319" s="530"/>
      <c r="N319" s="531" t="str">
        <f t="shared" si="7"/>
        <v/>
      </c>
      <c r="O319" s="532" t="str">
        <f t="shared" si="8"/>
        <v/>
      </c>
      <c r="P319" s="533"/>
    </row>
    <row r="320" spans="1:16" s="2" customFormat="1">
      <c r="A320" s="523" t="s">
        <v>39</v>
      </c>
      <c r="B320" s="524" t="s">
        <v>1148</v>
      </c>
      <c r="C320" s="544" t="s">
        <v>97</v>
      </c>
      <c r="D320" s="7" t="s">
        <v>139</v>
      </c>
      <c r="E320" s="526">
        <v>0</v>
      </c>
      <c r="F320" s="403" t="s">
        <v>1140</v>
      </c>
      <c r="G320" s="527" t="s">
        <v>1141</v>
      </c>
      <c r="H320" s="528"/>
      <c r="I320" s="529"/>
      <c r="J320" s="529"/>
      <c r="K320" s="529"/>
      <c r="L320" s="529"/>
      <c r="M320" s="530"/>
      <c r="N320" s="531" t="str">
        <f t="shared" si="7"/>
        <v/>
      </c>
      <c r="O320" s="532" t="str">
        <f t="shared" si="8"/>
        <v/>
      </c>
      <c r="P320" s="533"/>
    </row>
    <row r="321" spans="1:16" s="549" customFormat="1">
      <c r="A321" s="546" t="s">
        <v>39</v>
      </c>
      <c r="B321" s="547" t="s">
        <v>1148</v>
      </c>
      <c r="C321" s="545" t="s">
        <v>93</v>
      </c>
      <c r="D321" s="161" t="s">
        <v>139</v>
      </c>
      <c r="E321" s="526">
        <v>0</v>
      </c>
      <c r="F321" s="403" t="s">
        <v>1140</v>
      </c>
      <c r="G321" s="77" t="s">
        <v>1141</v>
      </c>
      <c r="H321" s="528"/>
      <c r="I321" s="529"/>
      <c r="J321" s="529"/>
      <c r="K321" s="529"/>
      <c r="L321" s="529"/>
      <c r="M321" s="530"/>
      <c r="N321" s="531" t="str">
        <f t="shared" si="7"/>
        <v/>
      </c>
      <c r="O321" s="532" t="str">
        <f t="shared" si="8"/>
        <v/>
      </c>
      <c r="P321" s="548"/>
    </row>
    <row r="323" spans="1:16">
      <c r="A323" s="6" t="s">
        <v>39</v>
      </c>
      <c r="B323" s="524" t="s">
        <v>1139</v>
      </c>
      <c r="C323" s="6" t="s">
        <v>98</v>
      </c>
      <c r="D323" s="6">
        <v>0</v>
      </c>
      <c r="E323" s="550">
        <f>D323/$D$332</f>
        <v>0</v>
      </c>
      <c r="F323" s="34" t="s">
        <v>237</v>
      </c>
      <c r="G323" s="550">
        <f>E330</f>
        <v>0.36860068259385664</v>
      </c>
    </row>
    <row r="324" spans="1:16">
      <c r="A324" s="6" t="s">
        <v>39</v>
      </c>
      <c r="B324" s="524" t="s">
        <v>1142</v>
      </c>
      <c r="C324" s="6" t="s">
        <v>98</v>
      </c>
      <c r="D324" s="6">
        <f>E283*C270</f>
        <v>0.78</v>
      </c>
      <c r="E324" s="550">
        <f t="shared" ref="E324:E331" si="9">D324/$D$332</f>
        <v>1.3310580204778157E-2</v>
      </c>
      <c r="F324" s="34" t="s">
        <v>236</v>
      </c>
      <c r="G324" s="550">
        <f>E331</f>
        <v>0</v>
      </c>
    </row>
    <row r="325" spans="1:16">
      <c r="A325" s="6" t="s">
        <v>39</v>
      </c>
      <c r="B325" s="524" t="s">
        <v>1143</v>
      </c>
      <c r="C325" s="6" t="s">
        <v>98</v>
      </c>
      <c r="D325" s="6">
        <v>0</v>
      </c>
      <c r="E325" s="550">
        <f t="shared" si="9"/>
        <v>0</v>
      </c>
      <c r="F325" s="34" t="s">
        <v>203</v>
      </c>
      <c r="G325" s="550">
        <f>E328</f>
        <v>0.20723549488054607</v>
      </c>
    </row>
    <row r="326" spans="1:16">
      <c r="A326" s="6" t="s">
        <v>39</v>
      </c>
      <c r="B326" s="524" t="s">
        <v>1144</v>
      </c>
      <c r="C326" s="6" t="s">
        <v>98</v>
      </c>
      <c r="D326" s="6">
        <f>E293*C270</f>
        <v>7.3579999999999997</v>
      </c>
      <c r="E326" s="550">
        <f t="shared" si="9"/>
        <v>0.12556313993174059</v>
      </c>
      <c r="F326" s="34" t="s">
        <v>235</v>
      </c>
      <c r="G326" s="550">
        <f>E329</f>
        <v>0</v>
      </c>
    </row>
    <row r="327" spans="1:16">
      <c r="A327" s="6" t="s">
        <v>39</v>
      </c>
      <c r="B327" s="524" t="s">
        <v>1145</v>
      </c>
      <c r="C327" s="6" t="s">
        <v>98</v>
      </c>
      <c r="D327" s="6">
        <f>E298*C270</f>
        <v>16.718</v>
      </c>
      <c r="E327" s="550">
        <f t="shared" si="9"/>
        <v>0.28529010238907848</v>
      </c>
      <c r="F327" s="34" t="s">
        <v>202</v>
      </c>
      <c r="G327" s="550">
        <f>E327</f>
        <v>0.28529010238907848</v>
      </c>
    </row>
    <row r="328" spans="1:16">
      <c r="A328" s="6" t="s">
        <v>39</v>
      </c>
      <c r="B328" s="524" t="s">
        <v>1054</v>
      </c>
      <c r="C328" s="6" t="s">
        <v>98</v>
      </c>
      <c r="D328" s="6">
        <f>E303*C270+E306*C273</f>
        <v>12.144</v>
      </c>
      <c r="E328" s="550">
        <f t="shared" si="9"/>
        <v>0.20723549488054607</v>
      </c>
      <c r="F328" s="34" t="s">
        <v>201</v>
      </c>
      <c r="G328" s="6">
        <v>0</v>
      </c>
    </row>
    <row r="329" spans="1:16">
      <c r="A329" s="6" t="s">
        <v>39</v>
      </c>
      <c r="B329" s="524" t="s">
        <v>1146</v>
      </c>
      <c r="C329" s="6" t="s">
        <v>98</v>
      </c>
      <c r="D329" s="6">
        <v>0</v>
      </c>
      <c r="E329" s="550">
        <f t="shared" si="9"/>
        <v>0</v>
      </c>
      <c r="F329" s="34" t="s">
        <v>200</v>
      </c>
      <c r="G329" s="550">
        <f>E326</f>
        <v>0.12556313993174059</v>
      </c>
    </row>
    <row r="330" spans="1:16">
      <c r="A330" s="6" t="s">
        <v>39</v>
      </c>
      <c r="B330" s="524" t="s">
        <v>1147</v>
      </c>
      <c r="C330" s="6" t="s">
        <v>98</v>
      </c>
      <c r="D330" s="6">
        <f>E312*C269+E314*C271+E316*C273</f>
        <v>21.6</v>
      </c>
      <c r="E330" s="550">
        <f t="shared" si="9"/>
        <v>0.36860068259385664</v>
      </c>
      <c r="F330" s="34" t="s">
        <v>183</v>
      </c>
      <c r="G330" s="550">
        <f>E325</f>
        <v>0</v>
      </c>
    </row>
    <row r="331" spans="1:16">
      <c r="A331" s="6" t="s">
        <v>39</v>
      </c>
      <c r="B331" s="524" t="s">
        <v>1148</v>
      </c>
      <c r="C331" s="6" t="s">
        <v>98</v>
      </c>
      <c r="D331" s="6">
        <v>0</v>
      </c>
      <c r="E331" s="550">
        <f t="shared" si="9"/>
        <v>0</v>
      </c>
      <c r="F331" s="34" t="s">
        <v>142</v>
      </c>
      <c r="G331" s="550">
        <f>E324</f>
        <v>1.3310580204778157E-2</v>
      </c>
    </row>
    <row r="332" spans="1:16">
      <c r="D332" s="6">
        <f>SUM(D323:D331)</f>
        <v>58.6</v>
      </c>
      <c r="F332" s="34" t="s">
        <v>138</v>
      </c>
      <c r="G332" s="550">
        <f>E323</f>
        <v>0</v>
      </c>
    </row>
    <row r="333" spans="1:16">
      <c r="E333" s="550">
        <f>SUM(E323:E332)</f>
        <v>1</v>
      </c>
      <c r="G333" s="550">
        <f>SUM(G323:G332)</f>
        <v>1</v>
      </c>
    </row>
  </sheetData>
  <mergeCells count="77">
    <mergeCell ref="A133:P134"/>
    <mergeCell ref="F38:I38"/>
    <mergeCell ref="F39:I39"/>
    <mergeCell ref="F40:I40"/>
    <mergeCell ref="F33:I33"/>
    <mergeCell ref="F34:I34"/>
    <mergeCell ref="F35:I35"/>
    <mergeCell ref="F36:I36"/>
    <mergeCell ref="F37:I37"/>
    <mergeCell ref="F20:I20"/>
    <mergeCell ref="F21:I21"/>
    <mergeCell ref="F24:I24"/>
    <mergeCell ref="F25:I25"/>
    <mergeCell ref="F23:I23"/>
    <mergeCell ref="I9:O9"/>
    <mergeCell ref="I10:O10"/>
    <mergeCell ref="I11:O11"/>
    <mergeCell ref="I12:O12"/>
    <mergeCell ref="L135:L136"/>
    <mergeCell ref="M135:M136"/>
    <mergeCell ref="F32:I32"/>
    <mergeCell ref="A14:R14"/>
    <mergeCell ref="A28:R28"/>
    <mergeCell ref="F26:I26"/>
    <mergeCell ref="F22:I22"/>
    <mergeCell ref="A42:R42"/>
    <mergeCell ref="F15:I15"/>
    <mergeCell ref="F16:I16"/>
    <mergeCell ref="F18:I18"/>
    <mergeCell ref="F19:I19"/>
    <mergeCell ref="I4:O4"/>
    <mergeCell ref="I5:O5"/>
    <mergeCell ref="I6:O6"/>
    <mergeCell ref="I7:O7"/>
    <mergeCell ref="I8:O8"/>
    <mergeCell ref="A1:R1"/>
    <mergeCell ref="A2:A3"/>
    <mergeCell ref="B2:B3"/>
    <mergeCell ref="C2:C3"/>
    <mergeCell ref="G2:G3"/>
    <mergeCell ref="D2:D3"/>
    <mergeCell ref="H2:H3"/>
    <mergeCell ref="I2:O3"/>
    <mergeCell ref="O145:P180"/>
    <mergeCell ref="O192:P227"/>
    <mergeCell ref="O229:P264"/>
    <mergeCell ref="F29:I29"/>
    <mergeCell ref="F30:I30"/>
    <mergeCell ref="A43:R43"/>
    <mergeCell ref="N135:N136"/>
    <mergeCell ref="C135:C136"/>
    <mergeCell ref="E135:G135"/>
    <mergeCell ref="B135:B136"/>
    <mergeCell ref="D135:D136"/>
    <mergeCell ref="H135:H136"/>
    <mergeCell ref="I135:I136"/>
    <mergeCell ref="J135:J136"/>
    <mergeCell ref="K135:K136"/>
    <mergeCell ref="A135:A136"/>
    <mergeCell ref="Z15:AC15"/>
    <mergeCell ref="AK15:AN15"/>
    <mergeCell ref="Z16:AC16"/>
    <mergeCell ref="AK16:AN16"/>
    <mergeCell ref="Z17:AC17"/>
    <mergeCell ref="AK17:AN17"/>
    <mergeCell ref="Z18:AC18"/>
    <mergeCell ref="AK18:AN18"/>
    <mergeCell ref="Z19:AC19"/>
    <mergeCell ref="AK19:AN19"/>
    <mergeCell ref="Z20:AC20"/>
    <mergeCell ref="AK20:AN20"/>
    <mergeCell ref="Z21:AC21"/>
    <mergeCell ref="AK21:AN21"/>
    <mergeCell ref="Z61:AC61"/>
    <mergeCell ref="AK61:AN61"/>
    <mergeCell ref="Z62:AC62"/>
    <mergeCell ref="AK62:AN62"/>
  </mergeCells>
  <conditionalFormatting sqref="H45:M54">
    <cfRule type="cellIs" dxfId="62" priority="43" stopIfTrue="1" operator="notBetween">
      <formula>1</formula>
      <formula>4</formula>
    </cfRule>
    <cfRule type="dataBar" priority="45">
      <dataBar>
        <cfvo type="min"/>
        <cfvo type="num" val="4"/>
        <color rgb="FFFFC000"/>
      </dataBar>
      <extLst>
        <ext xmlns:x14="http://schemas.microsoft.com/office/spreadsheetml/2009/9/main" uri="{B025F937-C7B1-47D3-B67F-A62EFF666E3E}">
          <x14:id>{AE1269A0-EE84-437B-B9F8-57E7D041A84B}</x14:id>
        </ext>
      </extLst>
    </cfRule>
  </conditionalFormatting>
  <conditionalFormatting sqref="H56:M65">
    <cfRule type="cellIs" dxfId="61" priority="38" stopIfTrue="1" operator="notBetween">
      <formula>1</formula>
      <formula>4</formula>
    </cfRule>
    <cfRule type="dataBar" priority="40">
      <dataBar>
        <cfvo type="min"/>
        <cfvo type="num" val="4"/>
        <color rgb="FFFFC000"/>
      </dataBar>
      <extLst>
        <ext xmlns:x14="http://schemas.microsoft.com/office/spreadsheetml/2009/9/main" uri="{B025F937-C7B1-47D3-B67F-A62EFF666E3E}">
          <x14:id>{A2B31512-0BB9-4CEF-9AF8-3DEA76556831}</x14:id>
        </ext>
      </extLst>
    </cfRule>
  </conditionalFormatting>
  <conditionalFormatting sqref="H67:M76">
    <cfRule type="cellIs" dxfId="60" priority="33" stopIfTrue="1" operator="notBetween">
      <formula>1</formula>
      <formula>4</formula>
    </cfRule>
    <cfRule type="dataBar" priority="35">
      <dataBar>
        <cfvo type="min"/>
        <cfvo type="num" val="4"/>
        <color rgb="FFFFC000"/>
      </dataBar>
      <extLst>
        <ext xmlns:x14="http://schemas.microsoft.com/office/spreadsheetml/2009/9/main" uri="{B025F937-C7B1-47D3-B67F-A62EFF666E3E}">
          <x14:id>{18108CB0-7D47-4682-A141-FB0E6AF5ECFB}</x14:id>
        </ext>
      </extLst>
    </cfRule>
  </conditionalFormatting>
  <conditionalFormatting sqref="H78:M87">
    <cfRule type="cellIs" dxfId="59" priority="28" stopIfTrue="1" operator="notBetween">
      <formula>1</formula>
      <formula>4</formula>
    </cfRule>
    <cfRule type="dataBar" priority="30">
      <dataBar>
        <cfvo type="min"/>
        <cfvo type="num" val="4"/>
        <color rgb="FFFFC000"/>
      </dataBar>
      <extLst>
        <ext xmlns:x14="http://schemas.microsoft.com/office/spreadsheetml/2009/9/main" uri="{B025F937-C7B1-47D3-B67F-A62EFF666E3E}">
          <x14:id>{99BE0726-BC4C-480E-A9E9-21FB9F00D5AE}</x14:id>
        </ext>
      </extLst>
    </cfRule>
  </conditionalFormatting>
  <conditionalFormatting sqref="H89:M98">
    <cfRule type="cellIs" dxfId="58" priority="23" stopIfTrue="1" operator="notBetween">
      <formula>1</formula>
      <formula>4</formula>
    </cfRule>
    <cfRule type="dataBar" priority="25">
      <dataBar>
        <cfvo type="min"/>
        <cfvo type="num" val="4"/>
        <color rgb="FFFFC000"/>
      </dataBar>
      <extLst>
        <ext xmlns:x14="http://schemas.microsoft.com/office/spreadsheetml/2009/9/main" uri="{B025F937-C7B1-47D3-B67F-A62EFF666E3E}">
          <x14:id>{F3E37435-57D2-43D0-93FD-DBA20CD935F6}</x14:id>
        </ext>
      </extLst>
    </cfRule>
  </conditionalFormatting>
  <conditionalFormatting sqref="H100:M109">
    <cfRule type="cellIs" dxfId="57" priority="18" stopIfTrue="1" operator="notBetween">
      <formula>1</formula>
      <formula>4</formula>
    </cfRule>
    <cfRule type="dataBar" priority="20">
      <dataBar>
        <cfvo type="min"/>
        <cfvo type="num" val="4"/>
        <color rgb="FFFFC000"/>
      </dataBar>
      <extLst>
        <ext xmlns:x14="http://schemas.microsoft.com/office/spreadsheetml/2009/9/main" uri="{B025F937-C7B1-47D3-B67F-A62EFF666E3E}">
          <x14:id>{2A2E44AF-A7AE-43F8-80A2-DB40F113CFF6}</x14:id>
        </ext>
      </extLst>
    </cfRule>
  </conditionalFormatting>
  <conditionalFormatting sqref="H111:M120">
    <cfRule type="cellIs" dxfId="56" priority="13" stopIfTrue="1" operator="notBetween">
      <formula>1</formula>
      <formula>4</formula>
    </cfRule>
    <cfRule type="dataBar" priority="15">
      <dataBar>
        <cfvo type="min"/>
        <cfvo type="num" val="4"/>
        <color rgb="FFFFC000"/>
      </dataBar>
      <extLst>
        <ext xmlns:x14="http://schemas.microsoft.com/office/spreadsheetml/2009/9/main" uri="{B025F937-C7B1-47D3-B67F-A62EFF666E3E}">
          <x14:id>{DAADFCB8-4AEA-492A-831B-7747BF895993}</x14:id>
        </ext>
      </extLst>
    </cfRule>
  </conditionalFormatting>
  <conditionalFormatting sqref="H122:M132">
    <cfRule type="cellIs" dxfId="55" priority="8" stopIfTrue="1" operator="notBetween">
      <formula>1</formula>
      <formula>4</formula>
    </cfRule>
    <cfRule type="dataBar" priority="10">
      <dataBar>
        <cfvo type="min"/>
        <cfvo type="num" val="4"/>
        <color rgb="FFFFC000"/>
      </dataBar>
      <extLst>
        <ext xmlns:x14="http://schemas.microsoft.com/office/spreadsheetml/2009/9/main" uri="{B025F937-C7B1-47D3-B67F-A62EFF666E3E}">
          <x14:id>{06D7AD8D-708F-4344-A167-707497521382}</x14:id>
        </ext>
      </extLst>
    </cfRule>
  </conditionalFormatting>
  <conditionalFormatting sqref="H277:M321">
    <cfRule type="dataBar" priority="3">
      <dataBar>
        <cfvo type="min"/>
        <cfvo type="max"/>
        <color rgb="FFFFB628"/>
      </dataBar>
      <extLst>
        <ext xmlns:x14="http://schemas.microsoft.com/office/spreadsheetml/2009/9/main" uri="{B025F937-C7B1-47D3-B67F-A62EFF666E3E}">
          <x14:id>{C7CDE64E-3B03-452E-9ED8-50C5DFB38417}</x14:id>
        </ext>
      </extLst>
    </cfRule>
  </conditionalFormatting>
  <conditionalFormatting sqref="H45:N54">
    <cfRule type="containsBlanks" dxfId="54" priority="42">
      <formula>LEN(TRIM(H45))=0</formula>
    </cfRule>
  </conditionalFormatting>
  <conditionalFormatting sqref="H56:N65">
    <cfRule type="containsBlanks" dxfId="53" priority="37">
      <formula>LEN(TRIM(H56))=0</formula>
    </cfRule>
  </conditionalFormatting>
  <conditionalFormatting sqref="H67:N76">
    <cfRule type="containsBlanks" dxfId="52" priority="32">
      <formula>LEN(TRIM(H67))=0</formula>
    </cfRule>
  </conditionalFormatting>
  <conditionalFormatting sqref="H78:N87">
    <cfRule type="containsBlanks" dxfId="51" priority="27">
      <formula>LEN(TRIM(H78))=0</formula>
    </cfRule>
  </conditionalFormatting>
  <conditionalFormatting sqref="H89:N98">
    <cfRule type="containsBlanks" dxfId="50" priority="22">
      <formula>LEN(TRIM(H89))=0</formula>
    </cfRule>
  </conditionalFormatting>
  <conditionalFormatting sqref="H100:N109">
    <cfRule type="containsBlanks" dxfId="49" priority="17">
      <formula>LEN(TRIM(H100))=0</formula>
    </cfRule>
  </conditionalFormatting>
  <conditionalFormatting sqref="H111:N120">
    <cfRule type="containsBlanks" dxfId="48" priority="12">
      <formula>LEN(TRIM(H111))=0</formula>
    </cfRule>
  </conditionalFormatting>
  <conditionalFormatting sqref="H122:N132">
    <cfRule type="containsBlanks" dxfId="47" priority="1">
      <formula>LEN(TRIM(H122))=0</formula>
    </cfRule>
  </conditionalFormatting>
  <conditionalFormatting sqref="I137:M141">
    <cfRule type="dataBar" priority="48">
      <dataBar>
        <cfvo type="min"/>
        <cfvo type="num" val="4"/>
        <color rgb="FFFFC000"/>
      </dataBar>
      <extLst>
        <ext xmlns:x14="http://schemas.microsoft.com/office/spreadsheetml/2009/9/main" uri="{B025F937-C7B1-47D3-B67F-A62EFF666E3E}">
          <x14:id>{272D6FCC-4DBC-4895-A70B-0627532E6A6D}</x14:id>
        </ext>
      </extLst>
    </cfRule>
  </conditionalFormatting>
  <conditionalFormatting sqref="I137:N141">
    <cfRule type="containsBlanks" dxfId="46" priority="47">
      <formula>LEN(TRIM(I137))=0</formula>
    </cfRule>
  </conditionalFormatting>
  <conditionalFormatting sqref="N45:N54">
    <cfRule type="dataBar" priority="46">
      <dataBar>
        <cfvo type="min"/>
        <cfvo type="max"/>
        <color rgb="FF3FCDFF"/>
      </dataBar>
      <extLst>
        <ext xmlns:x14="http://schemas.microsoft.com/office/spreadsheetml/2009/9/main" uri="{B025F937-C7B1-47D3-B67F-A62EFF666E3E}">
          <x14:id>{F10CC281-3121-452B-A6A8-D5C0FC5753FD}</x14:id>
        </ext>
      </extLst>
    </cfRule>
  </conditionalFormatting>
  <conditionalFormatting sqref="N56:N65">
    <cfRule type="dataBar" priority="41">
      <dataBar>
        <cfvo type="min"/>
        <cfvo type="max"/>
        <color rgb="FF3FCDFF"/>
      </dataBar>
      <extLst>
        <ext xmlns:x14="http://schemas.microsoft.com/office/spreadsheetml/2009/9/main" uri="{B025F937-C7B1-47D3-B67F-A62EFF666E3E}">
          <x14:id>{281D998C-4541-4A1E-9940-D9677E167FBD}</x14:id>
        </ext>
      </extLst>
    </cfRule>
  </conditionalFormatting>
  <conditionalFormatting sqref="N67:N76">
    <cfRule type="dataBar" priority="36">
      <dataBar>
        <cfvo type="min"/>
        <cfvo type="max"/>
        <color rgb="FF3FCDFF"/>
      </dataBar>
      <extLst>
        <ext xmlns:x14="http://schemas.microsoft.com/office/spreadsheetml/2009/9/main" uri="{B025F937-C7B1-47D3-B67F-A62EFF666E3E}">
          <x14:id>{09ADA542-2B57-4DC1-8906-C8E7BF092402}</x14:id>
        </ext>
      </extLst>
    </cfRule>
  </conditionalFormatting>
  <conditionalFormatting sqref="N78:N87">
    <cfRule type="dataBar" priority="31">
      <dataBar>
        <cfvo type="min"/>
        <cfvo type="max"/>
        <color rgb="FF3FCDFF"/>
      </dataBar>
      <extLst>
        <ext xmlns:x14="http://schemas.microsoft.com/office/spreadsheetml/2009/9/main" uri="{B025F937-C7B1-47D3-B67F-A62EFF666E3E}">
          <x14:id>{7A0AEC27-C9E7-4BA9-8795-3FC9B87519E1}</x14:id>
        </ext>
      </extLst>
    </cfRule>
  </conditionalFormatting>
  <conditionalFormatting sqref="N89:N98">
    <cfRule type="dataBar" priority="26">
      <dataBar>
        <cfvo type="min"/>
        <cfvo type="max"/>
        <color rgb="FF3FCDFF"/>
      </dataBar>
      <extLst>
        <ext xmlns:x14="http://schemas.microsoft.com/office/spreadsheetml/2009/9/main" uri="{B025F937-C7B1-47D3-B67F-A62EFF666E3E}">
          <x14:id>{963CD6C7-C710-4F66-B6BA-11653E3ED733}</x14:id>
        </ext>
      </extLst>
    </cfRule>
  </conditionalFormatting>
  <conditionalFormatting sqref="N100:N109">
    <cfRule type="dataBar" priority="21">
      <dataBar>
        <cfvo type="min"/>
        <cfvo type="max"/>
        <color rgb="FF3FCDFF"/>
      </dataBar>
      <extLst>
        <ext xmlns:x14="http://schemas.microsoft.com/office/spreadsheetml/2009/9/main" uri="{B025F937-C7B1-47D3-B67F-A62EFF666E3E}">
          <x14:id>{4BAC4C1B-F20E-447C-8D92-D3A10DB51528}</x14:id>
        </ext>
      </extLst>
    </cfRule>
  </conditionalFormatting>
  <conditionalFormatting sqref="N111:N120">
    <cfRule type="dataBar" priority="16">
      <dataBar>
        <cfvo type="min"/>
        <cfvo type="max"/>
        <color rgb="FF3FCDFF"/>
      </dataBar>
      <extLst>
        <ext xmlns:x14="http://schemas.microsoft.com/office/spreadsheetml/2009/9/main" uri="{B025F937-C7B1-47D3-B67F-A62EFF666E3E}">
          <x14:id>{1F409E72-5E4E-4FD7-9C31-4BBEE445F75A}</x14:id>
        </ext>
      </extLst>
    </cfRule>
  </conditionalFormatting>
  <conditionalFormatting sqref="N122:N132">
    <cfRule type="dataBar" priority="2">
      <dataBar>
        <cfvo type="min"/>
        <cfvo type="max"/>
        <color rgb="FF3FCDFF"/>
      </dataBar>
      <extLst>
        <ext xmlns:x14="http://schemas.microsoft.com/office/spreadsheetml/2009/9/main" uri="{B025F937-C7B1-47D3-B67F-A62EFF666E3E}">
          <x14:id>{7C4B8C1A-FC0F-49D7-96D8-0D4B7FB9B9EE}</x14:id>
        </ext>
      </extLst>
    </cfRule>
  </conditionalFormatting>
  <conditionalFormatting sqref="N137:N141">
    <cfRule type="dataBar" priority="50">
      <dataBar>
        <cfvo type="min"/>
        <cfvo type="max"/>
        <color rgb="FF3FCDFF"/>
      </dataBar>
      <extLst>
        <ext xmlns:x14="http://schemas.microsoft.com/office/spreadsheetml/2009/9/main" uri="{B025F937-C7B1-47D3-B67F-A62EFF666E3E}">
          <x14:id>{1AC60BA5-C120-4820-B992-143295980028}</x14:id>
        </ext>
      </extLst>
    </cfRule>
  </conditionalFormatting>
  <conditionalFormatting sqref="N277:O321">
    <cfRule type="dataBar" priority="4">
      <dataBar>
        <cfvo type="min"/>
        <cfvo type="max"/>
        <color rgb="FF3FCDFF"/>
      </dataBar>
      <extLst>
        <ext xmlns:x14="http://schemas.microsoft.com/office/spreadsheetml/2009/9/main" uri="{B025F937-C7B1-47D3-B67F-A62EFF666E3E}">
          <x14:id>{5C6E1826-9445-4C40-BAB6-FDACDE982A8D}</x14:id>
        </ext>
      </extLst>
    </cfRule>
  </conditionalFormatting>
  <conditionalFormatting sqref="O45:O54">
    <cfRule type="containsText" dxfId="45" priority="44" operator="containsText" text="Actual TC">
      <formula>NOT(ISERROR(SEARCH("Actual TC",O45)))</formula>
    </cfRule>
  </conditionalFormatting>
  <conditionalFormatting sqref="O56:O65">
    <cfRule type="containsText" dxfId="44" priority="39" operator="containsText" text="Actual TC">
      <formula>NOT(ISERROR(SEARCH("Actual TC",O56)))</formula>
    </cfRule>
  </conditionalFormatting>
  <conditionalFormatting sqref="O67:O76">
    <cfRule type="containsText" dxfId="43" priority="34" operator="containsText" text="Actual TC">
      <formula>NOT(ISERROR(SEARCH("Actual TC",O67)))</formula>
    </cfRule>
  </conditionalFormatting>
  <conditionalFormatting sqref="O78:O87">
    <cfRule type="containsText" dxfId="42" priority="29" operator="containsText" text="Actual TC">
      <formula>NOT(ISERROR(SEARCH("Actual TC",O78)))</formula>
    </cfRule>
  </conditionalFormatting>
  <conditionalFormatting sqref="O89:O98">
    <cfRule type="containsText" dxfId="41" priority="24" operator="containsText" text="Actual TC">
      <formula>NOT(ISERROR(SEARCH("Actual TC",O89)))</formula>
    </cfRule>
  </conditionalFormatting>
  <conditionalFormatting sqref="O100:O109">
    <cfRule type="containsText" dxfId="40" priority="19" operator="containsText" text="Actual TC">
      <formula>NOT(ISERROR(SEARCH("Actual TC",O100)))</formula>
    </cfRule>
  </conditionalFormatting>
  <conditionalFormatting sqref="O111:O120">
    <cfRule type="containsText" dxfId="39" priority="14" operator="containsText" text="Actual TC">
      <formula>NOT(ISERROR(SEARCH("Actual TC",O111)))</formula>
    </cfRule>
  </conditionalFormatting>
  <conditionalFormatting sqref="O122:O132">
    <cfRule type="containsText" dxfId="38" priority="9" operator="containsText" text="Actual TC">
      <formula>NOT(ISERROR(SEARCH("Actual TC",O122)))</formula>
    </cfRule>
  </conditionalFormatting>
  <hyperlinks>
    <hyperlink ref="I4" r:id="rId1" display="https://onlinelibrary.wiley.com/doi/full/10.1111/jiec.13175" xr:uid="{1E9EA70F-AA98-471B-ACA7-9D1FE0EB2AB1}"/>
    <hyperlink ref="I5" r:id="rId2" display="https://onlinelibrary.wiley.com/doi/full/10.1111/jiec.13175" xr:uid="{C4B86E96-83A3-428E-9AC6-A084A1B043CB}"/>
    <hyperlink ref="I6" r:id="rId3" display="https://onlinelibrary.wiley.com/doi/full/10.1111/jiec.13175" xr:uid="{8D2DEB7F-0C4B-4F36-A2F5-F80F282A1E1E}"/>
    <hyperlink ref="I7" r:id="rId4" display="https://onlinelibrary.wiley.com/doi/full/10.1111/jiec.13175" xr:uid="{C8AB0DF3-B6C9-4E51-A0F7-79433F74890C}"/>
    <hyperlink ref="I8" r:id="rId5" display="https://onlinelibrary.wiley.com/doi/full/10.1111/jiec.13175" xr:uid="{F23009EA-4894-4A35-80C6-DCBE09AA056E}"/>
    <hyperlink ref="I9" r:id="rId6" display="https://onlinelibrary.wiley.com/doi/full/10.1111/jiec.13175" xr:uid="{B98D7C29-0CEC-4902-BB9B-1FC6AD9C9F12}"/>
    <hyperlink ref="I10" r:id="rId7" display="https://onlinelibrary.wiley.com/doi/full/10.1111/jiec.13175" xr:uid="{DAF44331-7569-423C-AAA5-5C37C2484777}"/>
    <hyperlink ref="I11" r:id="rId8" display="https://onlinelibrary.wiley.com/doi/full/10.1111/jiec.13175" xr:uid="{D822EBAB-D6FC-48E3-912D-E4264AC0674D}"/>
    <hyperlink ref="F30" r:id="rId9" xr:uid="{7F02ADBC-67CA-456C-87DB-D057484599ED}"/>
    <hyperlink ref="F16" r:id="rId10" xr:uid="{EB14E65E-8AE6-425E-AD34-D6515635A571}"/>
    <hyperlink ref="Z16" r:id="rId11" xr:uid="{C6CE3853-05A3-4BFC-9317-91B32B517819}"/>
    <hyperlink ref="Z17" r:id="rId12" xr:uid="{52DCF53C-1C8C-4299-B64A-C151FD608EE4}"/>
    <hyperlink ref="Z18" r:id="rId13" xr:uid="{B0544C2E-D851-4131-9B5D-37C35B6F3A6B}"/>
    <hyperlink ref="Z19" r:id="rId14" xr:uid="{7C6BF9BF-371D-474F-80F3-2F037B2D5405}"/>
    <hyperlink ref="Z20" r:id="rId15" xr:uid="{760FC56F-F4F5-44EC-A548-33A694AFFA1E}"/>
    <hyperlink ref="AK16" r:id="rId16" xr:uid="{F51199D4-9C29-4127-AD50-1FFB8657685C}"/>
    <hyperlink ref="AK17" r:id="rId17" xr:uid="{17E90986-D039-471C-93B9-9452240A8715}"/>
    <hyperlink ref="AK18" r:id="rId18" xr:uid="{2ACC9EE2-8FC5-4C4E-A52D-A93451C4EC5B}"/>
    <hyperlink ref="AK19" r:id="rId19" xr:uid="{867588E7-B35E-4EAB-AD91-EC5D98385B36}"/>
    <hyperlink ref="AK20" r:id="rId20" xr:uid="{7EA0B90A-309E-4ACB-A813-1D176189FAD9}"/>
  </hyperlinks>
  <pageMargins left="0.7" right="0.7" top="0.75" bottom="0.75" header="0.3" footer="0.3"/>
  <pageSetup paperSize="9" orientation="portrait" horizontalDpi="4294967293" verticalDpi="0" r:id="rId21"/>
  <drawing r:id="rId22"/>
  <extLst>
    <ext xmlns:x14="http://schemas.microsoft.com/office/spreadsheetml/2009/9/main" uri="{78C0D931-6437-407d-A8EE-F0AAD7539E65}">
      <x14:conditionalFormattings>
        <x14:conditionalFormatting xmlns:xm="http://schemas.microsoft.com/office/excel/2006/main">
          <x14:cfRule type="dataBar" id="{AE1269A0-EE84-437B-B9F8-57E7D041A84B}">
            <x14:dataBar minLength="0" maxLength="100" gradient="0">
              <x14:cfvo type="autoMin"/>
              <x14:cfvo type="num">
                <xm:f>4</xm:f>
              </x14:cfvo>
              <x14:negativeFillColor rgb="FFFF0000"/>
              <x14:axisColor rgb="FF000000"/>
            </x14:dataBar>
          </x14:cfRule>
          <xm:sqref>H45:M54</xm:sqref>
        </x14:conditionalFormatting>
        <x14:conditionalFormatting xmlns:xm="http://schemas.microsoft.com/office/excel/2006/main">
          <x14:cfRule type="dataBar" id="{A2B31512-0BB9-4CEF-9AF8-3DEA76556831}">
            <x14:dataBar minLength="0" maxLength="100" gradient="0">
              <x14:cfvo type="autoMin"/>
              <x14:cfvo type="num">
                <xm:f>4</xm:f>
              </x14:cfvo>
              <x14:negativeFillColor rgb="FFFF0000"/>
              <x14:axisColor rgb="FF000000"/>
            </x14:dataBar>
          </x14:cfRule>
          <xm:sqref>H56:M65</xm:sqref>
        </x14:conditionalFormatting>
        <x14:conditionalFormatting xmlns:xm="http://schemas.microsoft.com/office/excel/2006/main">
          <x14:cfRule type="dataBar" id="{18108CB0-7D47-4682-A141-FB0E6AF5ECFB}">
            <x14:dataBar minLength="0" maxLength="100" gradient="0">
              <x14:cfvo type="autoMin"/>
              <x14:cfvo type="num">
                <xm:f>4</xm:f>
              </x14:cfvo>
              <x14:negativeFillColor rgb="FFFF0000"/>
              <x14:axisColor rgb="FF000000"/>
            </x14:dataBar>
          </x14:cfRule>
          <xm:sqref>H67:M76</xm:sqref>
        </x14:conditionalFormatting>
        <x14:conditionalFormatting xmlns:xm="http://schemas.microsoft.com/office/excel/2006/main">
          <x14:cfRule type="dataBar" id="{99BE0726-BC4C-480E-A9E9-21FB9F00D5AE}">
            <x14:dataBar minLength="0" maxLength="100" gradient="0">
              <x14:cfvo type="autoMin"/>
              <x14:cfvo type="num">
                <xm:f>4</xm:f>
              </x14:cfvo>
              <x14:negativeFillColor rgb="FFFF0000"/>
              <x14:axisColor rgb="FF000000"/>
            </x14:dataBar>
          </x14:cfRule>
          <xm:sqref>H78:M87</xm:sqref>
        </x14:conditionalFormatting>
        <x14:conditionalFormatting xmlns:xm="http://schemas.microsoft.com/office/excel/2006/main">
          <x14:cfRule type="dataBar" id="{F3E37435-57D2-43D0-93FD-DBA20CD935F6}">
            <x14:dataBar minLength="0" maxLength="100" gradient="0">
              <x14:cfvo type="autoMin"/>
              <x14:cfvo type="num">
                <xm:f>4</xm:f>
              </x14:cfvo>
              <x14:negativeFillColor rgb="FFFF0000"/>
              <x14:axisColor rgb="FF000000"/>
            </x14:dataBar>
          </x14:cfRule>
          <xm:sqref>H89:M98</xm:sqref>
        </x14:conditionalFormatting>
        <x14:conditionalFormatting xmlns:xm="http://schemas.microsoft.com/office/excel/2006/main">
          <x14:cfRule type="dataBar" id="{2A2E44AF-A7AE-43F8-80A2-DB40F113CFF6}">
            <x14:dataBar minLength="0" maxLength="100" gradient="0">
              <x14:cfvo type="autoMin"/>
              <x14:cfvo type="num">
                <xm:f>4</xm:f>
              </x14:cfvo>
              <x14:negativeFillColor rgb="FFFF0000"/>
              <x14:axisColor rgb="FF000000"/>
            </x14:dataBar>
          </x14:cfRule>
          <xm:sqref>H100:M109</xm:sqref>
        </x14:conditionalFormatting>
        <x14:conditionalFormatting xmlns:xm="http://schemas.microsoft.com/office/excel/2006/main">
          <x14:cfRule type="dataBar" id="{DAADFCB8-4AEA-492A-831B-7747BF895993}">
            <x14:dataBar minLength="0" maxLength="100" gradient="0">
              <x14:cfvo type="autoMin"/>
              <x14:cfvo type="num">
                <xm:f>4</xm:f>
              </x14:cfvo>
              <x14:negativeFillColor rgb="FFFF0000"/>
              <x14:axisColor rgb="FF000000"/>
            </x14:dataBar>
          </x14:cfRule>
          <xm:sqref>H111:M120</xm:sqref>
        </x14:conditionalFormatting>
        <x14:conditionalFormatting xmlns:xm="http://schemas.microsoft.com/office/excel/2006/main">
          <x14:cfRule type="dataBar" id="{06D7AD8D-708F-4344-A167-707497521382}">
            <x14:dataBar minLength="0" maxLength="100" gradient="0">
              <x14:cfvo type="autoMin"/>
              <x14:cfvo type="num">
                <xm:f>4</xm:f>
              </x14:cfvo>
              <x14:negativeFillColor rgb="FFFF0000"/>
              <x14:axisColor rgb="FF000000"/>
            </x14:dataBar>
          </x14:cfRule>
          <xm:sqref>H122:M132</xm:sqref>
        </x14:conditionalFormatting>
        <x14:conditionalFormatting xmlns:xm="http://schemas.microsoft.com/office/excel/2006/main">
          <x14:cfRule type="dataBar" id="{C7CDE64E-3B03-452E-9ED8-50C5DFB38417}">
            <x14:dataBar minLength="0" maxLength="100" gradient="0">
              <x14:cfvo type="autoMin"/>
              <x14:cfvo type="autoMax"/>
              <x14:negativeFillColor rgb="FFFF0000"/>
              <x14:axisColor rgb="FF000000"/>
            </x14:dataBar>
          </x14:cfRule>
          <xm:sqref>H277:M321</xm:sqref>
        </x14:conditionalFormatting>
        <x14:conditionalFormatting xmlns:xm="http://schemas.microsoft.com/office/excel/2006/main">
          <x14:cfRule type="dataBar" id="{272D6FCC-4DBC-4895-A70B-0627532E6A6D}">
            <x14:dataBar minLength="0" maxLength="100" gradient="0">
              <x14:cfvo type="autoMin"/>
              <x14:cfvo type="num">
                <xm:f>4</xm:f>
              </x14:cfvo>
              <x14:negativeFillColor rgb="FFFF0000"/>
              <x14:axisColor rgb="FF000000"/>
            </x14:dataBar>
          </x14:cfRule>
          <xm:sqref>I137:M141</xm:sqref>
        </x14:conditionalFormatting>
        <x14:conditionalFormatting xmlns:xm="http://schemas.microsoft.com/office/excel/2006/main">
          <x14:cfRule type="dataBar" id="{F10CC281-3121-452B-A6A8-D5C0FC5753FD}">
            <x14:dataBar minLength="0" maxLength="100" gradient="0">
              <x14:cfvo type="autoMin"/>
              <x14:cfvo type="autoMax"/>
              <x14:negativeFillColor rgb="FFFF0000"/>
              <x14:axisColor rgb="FF000000"/>
            </x14:dataBar>
          </x14:cfRule>
          <xm:sqref>N45:N54</xm:sqref>
        </x14:conditionalFormatting>
        <x14:conditionalFormatting xmlns:xm="http://schemas.microsoft.com/office/excel/2006/main">
          <x14:cfRule type="dataBar" id="{281D998C-4541-4A1E-9940-D9677E167FBD}">
            <x14:dataBar minLength="0" maxLength="100" gradient="0">
              <x14:cfvo type="autoMin"/>
              <x14:cfvo type="autoMax"/>
              <x14:negativeFillColor rgb="FFFF0000"/>
              <x14:axisColor rgb="FF000000"/>
            </x14:dataBar>
          </x14:cfRule>
          <xm:sqref>N56:N65</xm:sqref>
        </x14:conditionalFormatting>
        <x14:conditionalFormatting xmlns:xm="http://schemas.microsoft.com/office/excel/2006/main">
          <x14:cfRule type="dataBar" id="{09ADA542-2B57-4DC1-8906-C8E7BF092402}">
            <x14:dataBar minLength="0" maxLength="100" gradient="0">
              <x14:cfvo type="autoMin"/>
              <x14:cfvo type="autoMax"/>
              <x14:negativeFillColor rgb="FFFF0000"/>
              <x14:axisColor rgb="FF000000"/>
            </x14:dataBar>
          </x14:cfRule>
          <xm:sqref>N67:N76</xm:sqref>
        </x14:conditionalFormatting>
        <x14:conditionalFormatting xmlns:xm="http://schemas.microsoft.com/office/excel/2006/main">
          <x14:cfRule type="dataBar" id="{7A0AEC27-C9E7-4BA9-8795-3FC9B87519E1}">
            <x14:dataBar minLength="0" maxLength="100" gradient="0">
              <x14:cfvo type="autoMin"/>
              <x14:cfvo type="autoMax"/>
              <x14:negativeFillColor rgb="FFFF0000"/>
              <x14:axisColor rgb="FF000000"/>
            </x14:dataBar>
          </x14:cfRule>
          <xm:sqref>N78:N87</xm:sqref>
        </x14:conditionalFormatting>
        <x14:conditionalFormatting xmlns:xm="http://schemas.microsoft.com/office/excel/2006/main">
          <x14:cfRule type="dataBar" id="{963CD6C7-C710-4F66-B6BA-11653E3ED733}">
            <x14:dataBar minLength="0" maxLength="100" gradient="0">
              <x14:cfvo type="autoMin"/>
              <x14:cfvo type="autoMax"/>
              <x14:negativeFillColor rgb="FFFF0000"/>
              <x14:axisColor rgb="FF000000"/>
            </x14:dataBar>
          </x14:cfRule>
          <xm:sqref>N89:N98</xm:sqref>
        </x14:conditionalFormatting>
        <x14:conditionalFormatting xmlns:xm="http://schemas.microsoft.com/office/excel/2006/main">
          <x14:cfRule type="dataBar" id="{4BAC4C1B-F20E-447C-8D92-D3A10DB51528}">
            <x14:dataBar minLength="0" maxLength="100" gradient="0">
              <x14:cfvo type="autoMin"/>
              <x14:cfvo type="autoMax"/>
              <x14:negativeFillColor rgb="FFFF0000"/>
              <x14:axisColor rgb="FF000000"/>
            </x14:dataBar>
          </x14:cfRule>
          <xm:sqref>N100:N109</xm:sqref>
        </x14:conditionalFormatting>
        <x14:conditionalFormatting xmlns:xm="http://schemas.microsoft.com/office/excel/2006/main">
          <x14:cfRule type="dataBar" id="{1F409E72-5E4E-4FD7-9C31-4BBEE445F75A}">
            <x14:dataBar minLength="0" maxLength="100" gradient="0">
              <x14:cfvo type="autoMin"/>
              <x14:cfvo type="autoMax"/>
              <x14:negativeFillColor rgb="FFFF0000"/>
              <x14:axisColor rgb="FF000000"/>
            </x14:dataBar>
          </x14:cfRule>
          <xm:sqref>N111:N120</xm:sqref>
        </x14:conditionalFormatting>
        <x14:conditionalFormatting xmlns:xm="http://schemas.microsoft.com/office/excel/2006/main">
          <x14:cfRule type="dataBar" id="{7C4B8C1A-FC0F-49D7-96D8-0D4B7FB9B9EE}">
            <x14:dataBar minLength="0" maxLength="100" gradient="0">
              <x14:cfvo type="autoMin"/>
              <x14:cfvo type="autoMax"/>
              <x14:negativeFillColor rgb="FFFF0000"/>
              <x14:axisColor rgb="FF000000"/>
            </x14:dataBar>
          </x14:cfRule>
          <xm:sqref>N122:N132</xm:sqref>
        </x14:conditionalFormatting>
        <x14:conditionalFormatting xmlns:xm="http://schemas.microsoft.com/office/excel/2006/main">
          <x14:cfRule type="dataBar" id="{1AC60BA5-C120-4820-B992-143295980028}">
            <x14:dataBar minLength="0" maxLength="100" gradient="0">
              <x14:cfvo type="autoMin"/>
              <x14:cfvo type="autoMax"/>
              <x14:negativeFillColor rgb="FFFF0000"/>
              <x14:axisColor rgb="FF000000"/>
            </x14:dataBar>
          </x14:cfRule>
          <xm:sqref>N137:N141</xm:sqref>
        </x14:conditionalFormatting>
        <x14:conditionalFormatting xmlns:xm="http://schemas.microsoft.com/office/excel/2006/main">
          <x14:cfRule type="dataBar" id="{5C6E1826-9445-4C40-BAB6-FDACDE982A8D}">
            <x14:dataBar minLength="0" maxLength="100" gradient="0">
              <x14:cfvo type="autoMin"/>
              <x14:cfvo type="autoMax"/>
              <x14:negativeFillColor rgb="FFFF0000"/>
              <x14:axisColor rgb="FF000000"/>
            </x14:dataBar>
          </x14:cfRule>
          <xm:sqref>N277:O321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57D20-71CC-4F8F-AC90-292054341AB9}">
  <sheetPr>
    <tabColor theme="8"/>
  </sheetPr>
  <dimension ref="A1:P23"/>
  <sheetViews>
    <sheetView workbookViewId="0">
      <selection activeCell="D30" sqref="D30"/>
    </sheetView>
  </sheetViews>
  <sheetFormatPr defaultRowHeight="14.4"/>
  <cols>
    <col min="1" max="1" width="38.109375" bestFit="1" customWidth="1"/>
    <col min="2" max="2" width="27.33203125" bestFit="1" customWidth="1"/>
    <col min="5" max="5" width="11.6640625" customWidth="1"/>
    <col min="7" max="7" width="69.5546875" bestFit="1" customWidth="1"/>
  </cols>
  <sheetData>
    <row r="1" spans="1:15">
      <c r="A1" s="470" t="s">
        <v>1981</v>
      </c>
      <c r="B1" s="664" t="s">
        <v>1982</v>
      </c>
      <c r="C1" s="469"/>
      <c r="D1" s="469"/>
      <c r="E1" s="469"/>
      <c r="F1" s="469"/>
      <c r="G1" s="469"/>
      <c r="H1" s="469"/>
      <c r="I1" s="469"/>
      <c r="J1" s="469"/>
      <c r="K1" s="469"/>
      <c r="L1" s="469"/>
      <c r="M1" s="469"/>
      <c r="N1" s="469"/>
      <c r="O1" s="469"/>
    </row>
    <row r="3" spans="1:15" ht="15" thickBot="1">
      <c r="A3" s="224" t="s">
        <v>1155</v>
      </c>
      <c r="B3" s="9" t="s">
        <v>1149</v>
      </c>
      <c r="C3" s="9" t="s">
        <v>139</v>
      </c>
      <c r="D3" s="9" t="s">
        <v>139</v>
      </c>
      <c r="E3" s="307">
        <f>0.004*0.0001/100</f>
        <v>4.0000000000000002E-9</v>
      </c>
      <c r="F3" s="655">
        <v>2</v>
      </c>
      <c r="G3" s="224" t="s">
        <v>252</v>
      </c>
      <c r="H3" s="15">
        <v>2</v>
      </c>
      <c r="I3" s="15">
        <v>1</v>
      </c>
      <c r="J3" s="15">
        <v>2</v>
      </c>
      <c r="K3" s="15">
        <v>3</v>
      </c>
      <c r="L3" s="15">
        <v>3</v>
      </c>
      <c r="M3" s="15">
        <v>1</v>
      </c>
      <c r="N3" s="177">
        <f>IF( OR( ISBLANK(H3),ISBLANK(J3), ISBLANK(K3), ISBLANK(L3), ISBLANK(M3) ), "", 1.5*SQRT(   EXP(2.21*(H3-1)) + EXP(2.21*(J3-1)) + EXP(2.21*(K3-1)) + EXP(2.21*(L3-1)) + EXP(2.21*M3)   )/100*2.45 )</f>
        <v>0.51126068492676302</v>
      </c>
      <c r="O3" s="224"/>
    </row>
    <row r="4" spans="1:15">
      <c r="A4" s="224" t="s">
        <v>1155</v>
      </c>
      <c r="B4" s="9" t="s">
        <v>1149</v>
      </c>
      <c r="C4" s="9" t="s">
        <v>139</v>
      </c>
      <c r="D4" s="9" t="s">
        <v>139</v>
      </c>
      <c r="E4" s="307">
        <f>0.004*0.04/100</f>
        <v>1.6000000000000001E-6</v>
      </c>
      <c r="F4" s="655">
        <v>2</v>
      </c>
      <c r="G4" s="224" t="s">
        <v>252</v>
      </c>
      <c r="H4" s="13">
        <v>2</v>
      </c>
      <c r="I4" s="13">
        <v>1</v>
      </c>
      <c r="J4" s="13">
        <v>2</v>
      </c>
      <c r="K4" s="13">
        <v>3</v>
      </c>
      <c r="L4" s="13">
        <v>3</v>
      </c>
      <c r="M4" s="13">
        <v>1</v>
      </c>
      <c r="N4" s="177">
        <f>IF( OR( ISBLANK(H4),ISBLANK(J4), ISBLANK(K4), ISBLANK(L4), ISBLANK(M4) ), "", 1.5*SQRT(   EXP(2.21*(H4-1)) + EXP(2.21*(J4-1)) + EXP(2.21*(K4-1)) + EXP(2.21*(L4-1)) + EXP(2.21*M4)   )/100*2.45 )</f>
        <v>0.51126068492676302</v>
      </c>
      <c r="O4" s="224"/>
    </row>
    <row r="5" spans="1:15">
      <c r="A5" s="224" t="s">
        <v>1155</v>
      </c>
      <c r="B5" s="9" t="s">
        <v>251</v>
      </c>
      <c r="C5" s="9" t="s">
        <v>139</v>
      </c>
      <c r="D5" s="9" t="s">
        <v>139</v>
      </c>
      <c r="E5" s="307">
        <f>(1-0.004)*0.0001/100</f>
        <v>9.9600000000000008E-7</v>
      </c>
      <c r="F5" s="655">
        <v>2</v>
      </c>
      <c r="G5" s="224" t="s">
        <v>252</v>
      </c>
      <c r="H5" s="15">
        <v>2</v>
      </c>
      <c r="I5" s="15">
        <v>1</v>
      </c>
      <c r="J5" s="15">
        <v>2</v>
      </c>
      <c r="K5" s="15">
        <v>3</v>
      </c>
      <c r="L5" s="15">
        <v>3</v>
      </c>
      <c r="M5" s="15">
        <v>1</v>
      </c>
      <c r="N5" s="177">
        <f>IF( OR( ISBLANK(H5),ISBLANK(J5), ISBLANK(K5), ISBLANK(L5), ISBLANK(M5) ), "", 1.5*SQRT(   EXP(2.21*(H5-1)) + EXP(2.21*(J5-1)) + EXP(2.21*(K5-1)) + EXP(2.21*(L5-1)) + EXP(2.21*M5)   )/100*2.45 )</f>
        <v>0.51126068492676302</v>
      </c>
      <c r="O5" s="224"/>
    </row>
    <row r="6" spans="1:15">
      <c r="A6" s="224" t="s">
        <v>1155</v>
      </c>
      <c r="B6" s="9" t="s">
        <v>251</v>
      </c>
      <c r="C6" s="9" t="s">
        <v>139</v>
      </c>
      <c r="D6" s="9" t="s">
        <v>139</v>
      </c>
      <c r="E6" s="307">
        <f>(1-0.004)*0.04/100</f>
        <v>3.9839999999999998E-4</v>
      </c>
      <c r="F6" s="655">
        <v>2</v>
      </c>
      <c r="G6" s="224" t="s">
        <v>252</v>
      </c>
      <c r="H6" s="71">
        <v>2</v>
      </c>
      <c r="I6" s="71">
        <v>1</v>
      </c>
      <c r="J6" s="71">
        <v>2</v>
      </c>
      <c r="K6" s="71">
        <v>3</v>
      </c>
      <c r="L6" s="71">
        <v>3</v>
      </c>
      <c r="M6" s="71">
        <v>1</v>
      </c>
      <c r="N6" s="180">
        <f>IF( OR( ISBLANK(H6),ISBLANK(J6), ISBLANK(K6), ISBLANK(L6), ISBLANK(M6) ), "", 1.5*SQRT(   EXP(2.21*(H6-1)) + EXP(2.21*(J6-1)) + EXP(2.21*(K6-1)) + EXP(2.21*(L6-1)) + EXP(2.21*M6)   )/100*2.45 )</f>
        <v>0.51126068492676302</v>
      </c>
      <c r="O6" s="224"/>
    </row>
    <row r="7" spans="1:15">
      <c r="E7" s="16"/>
    </row>
    <row r="8" spans="1:15" ht="15" thickBot="1">
      <c r="A8" s="596" t="s">
        <v>399</v>
      </c>
      <c r="B8" s="9" t="s">
        <v>232</v>
      </c>
      <c r="C8" s="122" t="s">
        <v>139</v>
      </c>
      <c r="D8" s="9" t="s">
        <v>139</v>
      </c>
      <c r="E8" s="307">
        <f>0.004*0.0001/100</f>
        <v>4.0000000000000002E-9</v>
      </c>
      <c r="F8" s="307">
        <v>2</v>
      </c>
      <c r="G8" s="224" t="s">
        <v>252</v>
      </c>
      <c r="H8" s="15">
        <v>2</v>
      </c>
      <c r="I8" s="15">
        <v>1</v>
      </c>
      <c r="J8" s="15">
        <v>2</v>
      </c>
      <c r="K8" s="15">
        <v>3</v>
      </c>
      <c r="L8" s="15">
        <v>3</v>
      </c>
      <c r="M8" s="15">
        <v>2</v>
      </c>
      <c r="N8" s="177">
        <f t="shared" ref="N8:N13" si="0">IF( OR( ISBLANK(H8),ISBLANK(J8), ISBLANK(K8), ISBLANK(L8), ISBLANK(M8) ), "", 1.5*SQRT(   EXP(2.21*(H8-1)) + EXP(2.21*(J8-1)) + EXP(2.21*(K8-1)) + EXP(2.21*(L8-1)) + EXP(2.21*M8)   )/100*2.45 )</f>
        <v>0.60108474454521421</v>
      </c>
      <c r="O8" s="224"/>
    </row>
    <row r="9" spans="1:15">
      <c r="A9" s="596" t="s">
        <v>399</v>
      </c>
      <c r="B9" s="9" t="s">
        <v>232</v>
      </c>
      <c r="C9" s="122" t="s">
        <v>139</v>
      </c>
      <c r="D9" s="9" t="s">
        <v>139</v>
      </c>
      <c r="E9" s="307">
        <f>0.004*0.04/100</f>
        <v>1.6000000000000001E-6</v>
      </c>
      <c r="F9" s="307">
        <v>2</v>
      </c>
      <c r="G9" s="224" t="s">
        <v>252</v>
      </c>
      <c r="H9" s="13">
        <v>2</v>
      </c>
      <c r="I9" s="13">
        <v>1</v>
      </c>
      <c r="J9" s="13">
        <v>2</v>
      </c>
      <c r="K9" s="13">
        <v>3</v>
      </c>
      <c r="L9" s="13">
        <v>3</v>
      </c>
      <c r="M9" s="13">
        <v>2</v>
      </c>
      <c r="N9" s="177">
        <f t="shared" si="0"/>
        <v>0.60108474454521421</v>
      </c>
      <c r="O9" s="224"/>
    </row>
    <row r="10" spans="1:15">
      <c r="A10" s="596" t="s">
        <v>399</v>
      </c>
      <c r="B10" s="9" t="s">
        <v>251</v>
      </c>
      <c r="C10" s="122" t="s">
        <v>139</v>
      </c>
      <c r="D10" s="9" t="s">
        <v>139</v>
      </c>
      <c r="E10" s="307">
        <f>(1-0.008)*0.0001/100</f>
        <v>9.9199999999999999E-7</v>
      </c>
      <c r="F10" s="307">
        <v>2</v>
      </c>
      <c r="G10" s="224" t="s">
        <v>252</v>
      </c>
      <c r="H10" s="15">
        <v>2</v>
      </c>
      <c r="I10" s="15">
        <v>1</v>
      </c>
      <c r="J10" s="15">
        <v>2</v>
      </c>
      <c r="K10" s="15">
        <v>3</v>
      </c>
      <c r="L10" s="15">
        <v>3</v>
      </c>
      <c r="M10" s="15">
        <v>2</v>
      </c>
      <c r="N10" s="177">
        <f t="shared" si="0"/>
        <v>0.60108474454521421</v>
      </c>
      <c r="O10" s="224"/>
    </row>
    <row r="11" spans="1:15">
      <c r="A11" s="596" t="s">
        <v>399</v>
      </c>
      <c r="B11" s="9" t="s">
        <v>251</v>
      </c>
      <c r="C11" s="122" t="s">
        <v>139</v>
      </c>
      <c r="D11" s="9" t="s">
        <v>139</v>
      </c>
      <c r="E11" s="307">
        <f>(1-0.008)*0.04/100</f>
        <v>3.968E-4</v>
      </c>
      <c r="F11" s="307">
        <v>2</v>
      </c>
      <c r="G11" s="224" t="s">
        <v>252</v>
      </c>
      <c r="H11" s="71">
        <v>2</v>
      </c>
      <c r="I11" s="71">
        <v>1</v>
      </c>
      <c r="J11" s="71">
        <v>2</v>
      </c>
      <c r="K11" s="71">
        <v>3</v>
      </c>
      <c r="L11" s="71">
        <v>3</v>
      </c>
      <c r="M11" s="71">
        <v>2</v>
      </c>
      <c r="N11" s="180">
        <f t="shared" si="0"/>
        <v>0.60108474454521421</v>
      </c>
      <c r="O11" s="224"/>
    </row>
    <row r="12" spans="1:15">
      <c r="A12" s="596" t="s">
        <v>399</v>
      </c>
      <c r="B12" s="9" t="s">
        <v>231</v>
      </c>
      <c r="C12" s="122" t="s">
        <v>139</v>
      </c>
      <c r="D12" s="9" t="s">
        <v>139</v>
      </c>
      <c r="E12" s="307">
        <f>0.004*0.0001/100</f>
        <v>4.0000000000000002E-9</v>
      </c>
      <c r="F12" s="307">
        <v>2</v>
      </c>
      <c r="G12" s="224" t="s">
        <v>252</v>
      </c>
      <c r="H12" s="71">
        <v>2</v>
      </c>
      <c r="I12" s="71">
        <v>1</v>
      </c>
      <c r="J12" s="71">
        <v>2</v>
      </c>
      <c r="K12" s="71">
        <v>3</v>
      </c>
      <c r="L12" s="71">
        <v>3</v>
      </c>
      <c r="M12" s="71">
        <v>2</v>
      </c>
      <c r="N12" s="180">
        <f t="shared" si="0"/>
        <v>0.60108474454521421</v>
      </c>
      <c r="O12" s="224"/>
    </row>
    <row r="13" spans="1:15">
      <c r="A13" s="596" t="s">
        <v>399</v>
      </c>
      <c r="B13" s="9" t="s">
        <v>231</v>
      </c>
      <c r="C13" s="122" t="s">
        <v>139</v>
      </c>
      <c r="D13" s="9" t="s">
        <v>139</v>
      </c>
      <c r="E13" s="307">
        <f>0.004*0.04/100</f>
        <v>1.6000000000000001E-6</v>
      </c>
      <c r="F13" s="307">
        <v>2</v>
      </c>
      <c r="G13" s="224" t="s">
        <v>252</v>
      </c>
      <c r="H13" s="71">
        <v>2</v>
      </c>
      <c r="I13" s="71">
        <v>1</v>
      </c>
      <c r="J13" s="71">
        <v>2</v>
      </c>
      <c r="K13" s="71">
        <v>3</v>
      </c>
      <c r="L13" s="71">
        <v>3</v>
      </c>
      <c r="M13" s="71">
        <v>2</v>
      </c>
      <c r="N13" s="180">
        <f t="shared" si="0"/>
        <v>0.60108474454521421</v>
      </c>
      <c r="O13" s="224"/>
    </row>
    <row r="14" spans="1:15">
      <c r="E14" s="16"/>
    </row>
    <row r="15" spans="1:15" ht="15" thickBot="1">
      <c r="A15" s="9" t="s">
        <v>283</v>
      </c>
      <c r="B15" s="122" t="s">
        <v>1149</v>
      </c>
      <c r="C15" s="9" t="s">
        <v>139</v>
      </c>
      <c r="D15" s="9" t="s">
        <v>139</v>
      </c>
      <c r="E15" s="307">
        <f>0.004*0.0001/100</f>
        <v>4.0000000000000002E-9</v>
      </c>
      <c r="F15" s="307">
        <v>2</v>
      </c>
      <c r="G15" s="224" t="s">
        <v>252</v>
      </c>
      <c r="H15" s="15">
        <v>2</v>
      </c>
      <c r="I15" s="15">
        <v>1</v>
      </c>
      <c r="J15" s="15">
        <v>2</v>
      </c>
      <c r="K15" s="15">
        <v>3</v>
      </c>
      <c r="L15" s="15">
        <v>3</v>
      </c>
      <c r="M15" s="15">
        <v>1</v>
      </c>
      <c r="N15" s="177">
        <f>IF( OR( ISBLANK(H15),ISBLANK(J15), ISBLANK(K15), ISBLANK(L15), ISBLANK(M15) ), "", 1.5*SQRT(   EXP(2.21*(H15-1)) + EXP(2.21*(J15-1)) + EXP(2.21*(K15-1)) + EXP(2.21*(L15-1)) + EXP(2.21*M15)   )/100*2.45 )</f>
        <v>0.51126068492676302</v>
      </c>
      <c r="O15" s="224"/>
    </row>
    <row r="16" spans="1:15">
      <c r="A16" s="9" t="s">
        <v>283</v>
      </c>
      <c r="B16" s="122" t="s">
        <v>1149</v>
      </c>
      <c r="C16" s="9" t="s">
        <v>139</v>
      </c>
      <c r="D16" s="9" t="s">
        <v>139</v>
      </c>
      <c r="E16" s="307">
        <f>0.004*0.04/100</f>
        <v>1.6000000000000001E-6</v>
      </c>
      <c r="F16" s="307">
        <v>2</v>
      </c>
      <c r="G16" s="224" t="s">
        <v>252</v>
      </c>
      <c r="H16" s="13">
        <v>2</v>
      </c>
      <c r="I16" s="13">
        <v>1</v>
      </c>
      <c r="J16" s="13">
        <v>2</v>
      </c>
      <c r="K16" s="13">
        <v>3</v>
      </c>
      <c r="L16" s="13">
        <v>3</v>
      </c>
      <c r="M16" s="13">
        <v>1</v>
      </c>
      <c r="N16" s="177">
        <f>IF( OR( ISBLANK(H16),ISBLANK(J16), ISBLANK(K16), ISBLANK(L16), ISBLANK(M16) ), "", 1.5*SQRT(   EXP(2.21*(H16-1)) + EXP(2.21*(J16-1)) + EXP(2.21*(K16-1)) + EXP(2.21*(L16-1)) + EXP(2.21*M16)   )/100*2.45 )</f>
        <v>0.51126068492676302</v>
      </c>
      <c r="O16" s="224"/>
    </row>
    <row r="17" spans="1:16">
      <c r="A17" s="9" t="s">
        <v>283</v>
      </c>
      <c r="B17" s="122" t="s">
        <v>251</v>
      </c>
      <c r="C17" s="9" t="s">
        <v>139</v>
      </c>
      <c r="D17" s="9" t="s">
        <v>139</v>
      </c>
      <c r="E17" s="307">
        <f>(1-0.004)*0.0001/100</f>
        <v>9.9600000000000008E-7</v>
      </c>
      <c r="F17" s="307">
        <v>2</v>
      </c>
      <c r="G17" s="224" t="s">
        <v>252</v>
      </c>
      <c r="H17" s="15">
        <v>2</v>
      </c>
      <c r="I17" s="15">
        <v>1</v>
      </c>
      <c r="J17" s="15">
        <v>2</v>
      </c>
      <c r="K17" s="15">
        <v>3</v>
      </c>
      <c r="L17" s="15">
        <v>3</v>
      </c>
      <c r="M17" s="15">
        <v>1</v>
      </c>
      <c r="N17" s="177">
        <f>IF( OR( ISBLANK(H17),ISBLANK(J17), ISBLANK(K17), ISBLANK(L17), ISBLANK(M17) ), "", 1.5*SQRT(   EXP(2.21*(H17-1)) + EXP(2.21*(J17-1)) + EXP(2.21*(K17-1)) + EXP(2.21*(L17-1)) + EXP(2.21*M17)   )/100*2.45 )</f>
        <v>0.51126068492676302</v>
      </c>
      <c r="O17" s="224"/>
    </row>
    <row r="18" spans="1:16">
      <c r="A18" s="9" t="s">
        <v>283</v>
      </c>
      <c r="B18" s="122" t="s">
        <v>251</v>
      </c>
      <c r="C18" s="9" t="s">
        <v>139</v>
      </c>
      <c r="D18" s="9" t="s">
        <v>139</v>
      </c>
      <c r="E18" s="307">
        <f>(1-0.004)*0.04/100</f>
        <v>3.9839999999999998E-4</v>
      </c>
      <c r="F18" s="307">
        <v>2</v>
      </c>
      <c r="G18" s="224" t="s">
        <v>252</v>
      </c>
      <c r="H18" s="71">
        <v>2</v>
      </c>
      <c r="I18" s="71">
        <v>1</v>
      </c>
      <c r="J18" s="71">
        <v>2</v>
      </c>
      <c r="K18" s="71">
        <v>3</v>
      </c>
      <c r="L18" s="71">
        <v>3</v>
      </c>
      <c r="M18" s="71">
        <v>1</v>
      </c>
      <c r="N18" s="180">
        <f>IF( OR( ISBLANK(H18),ISBLANK(J18), ISBLANK(K18), ISBLANK(L18), ISBLANK(M18) ), "", 1.5*SQRT(   EXP(2.21*(H18-1)) + EXP(2.21*(J18-1)) + EXP(2.21*(K18-1)) + EXP(2.21*(L18-1)) + EXP(2.21*M18)   )/100*2.45 )</f>
        <v>0.51126068492676302</v>
      </c>
      <c r="O18" s="224"/>
    </row>
    <row r="19" spans="1:16">
      <c r="E19" s="16"/>
    </row>
    <row r="20" spans="1:16">
      <c r="A20" s="9" t="s">
        <v>109</v>
      </c>
      <c r="B20" s="9" t="s">
        <v>261</v>
      </c>
      <c r="C20" s="9" t="s">
        <v>139</v>
      </c>
      <c r="D20" s="9" t="s">
        <v>139</v>
      </c>
      <c r="E20" s="766">
        <v>9.9999999999999995E-7</v>
      </c>
      <c r="F20" s="9">
        <v>2</v>
      </c>
      <c r="G20" s="186" t="s">
        <v>1974</v>
      </c>
      <c r="H20" s="10">
        <v>2</v>
      </c>
      <c r="I20" s="10">
        <v>2</v>
      </c>
      <c r="J20" s="10">
        <v>3</v>
      </c>
      <c r="K20" s="10">
        <v>3</v>
      </c>
      <c r="L20" s="10">
        <v>3</v>
      </c>
      <c r="M20" s="10">
        <v>2</v>
      </c>
      <c r="N20" s="402">
        <f>IF( OR( ISBLANK(H20),ISBLANK(J20), ISBLANK(K20), ISBLANK(L20), ISBLANK(M20) ), "", 1.5*SQRT(   EXP(2.21*(H20-1)) + EXP(2.21*(J20-1)) + EXP(2.21*(K20-1)) + EXP(2.21*(L20-1)) + EXP(2.21*M20)   )/100*2.45 )</f>
        <v>0.67913051197703389</v>
      </c>
      <c r="O20" s="402">
        <f>IF( OR( ISBLANK(I20),ISBLANK(J20), ISBLANK(K20), ISBLANK(L20), ISBLANK(M20) ), "", 1.5*SQRT( EXP(2.21*(I20-1)) + EXP(2.21*(J20-1)) + EXP(2.21*(K20-1)) + EXP(2.21*(L20-1)) + EXP(2.21*M20)   )/100*2.45 )</f>
        <v>0.67913051197703389</v>
      </c>
      <c r="P20" s="9" t="s">
        <v>504</v>
      </c>
    </row>
    <row r="21" spans="1:16">
      <c r="A21" s="9" t="s">
        <v>109</v>
      </c>
      <c r="B21" s="9" t="s">
        <v>261</v>
      </c>
      <c r="C21" s="9" t="s">
        <v>139</v>
      </c>
      <c r="D21" s="9" t="s">
        <v>139</v>
      </c>
      <c r="E21" s="766">
        <v>4.0000000000000002E-4</v>
      </c>
      <c r="F21" s="9">
        <v>2</v>
      </c>
      <c r="G21" s="186" t="s">
        <v>1974</v>
      </c>
      <c r="H21" s="10">
        <v>2</v>
      </c>
      <c r="I21" s="10">
        <v>2</v>
      </c>
      <c r="J21" s="10">
        <v>3</v>
      </c>
      <c r="K21" s="10">
        <v>3</v>
      </c>
      <c r="L21" s="10">
        <v>3</v>
      </c>
      <c r="M21" s="10">
        <v>2</v>
      </c>
      <c r="N21" s="402">
        <f>IF( OR( ISBLANK(H21),ISBLANK(J21), ISBLANK(K21), ISBLANK(L21), ISBLANK(M21) ), "", 1.5*SQRT(   EXP(2.21*(H21-1)) + EXP(2.21*(J21-1)) + EXP(2.21*(K21-1)) + EXP(2.21*(L21-1)) + EXP(2.21*M21)   )/100*2.45 )</f>
        <v>0.67913051197703389</v>
      </c>
      <c r="O21" s="402">
        <f>IF( OR( ISBLANK(I21),ISBLANK(J21), ISBLANK(K21), ISBLANK(L21), ISBLANK(M21) ), "", 1.5*SQRT( EXP(2.21*(I21-1)) + EXP(2.21*(J21-1)) + EXP(2.21*(K21-1)) + EXP(2.21*(L21-1)) + EXP(2.21*M21)   )/100*2.45 )</f>
        <v>0.67913051197703389</v>
      </c>
      <c r="P21" s="9" t="s">
        <v>504</v>
      </c>
    </row>
    <row r="23" spans="1:16">
      <c r="A23" s="7" t="s">
        <v>1983</v>
      </c>
    </row>
  </sheetData>
  <conditionalFormatting sqref="H3:H6">
    <cfRule type="dataBar" priority="56">
      <dataBar>
        <cfvo type="min"/>
        <cfvo type="num" val="4"/>
        <color rgb="FFFFC000"/>
      </dataBar>
      <extLst>
        <ext xmlns:x14="http://schemas.microsoft.com/office/spreadsheetml/2009/9/main" uri="{B025F937-C7B1-47D3-B67F-A62EFF666E3E}">
          <x14:id>{B1B415F0-89FA-4A05-ADC7-31AFE6B05238}</x14:id>
        </ext>
      </extLst>
    </cfRule>
  </conditionalFormatting>
  <conditionalFormatting sqref="H8:H13">
    <cfRule type="dataBar" priority="36">
      <dataBar>
        <cfvo type="min"/>
        <cfvo type="num" val="4"/>
        <color rgb="FFFFC000"/>
      </dataBar>
      <extLst>
        <ext xmlns:x14="http://schemas.microsoft.com/office/spreadsheetml/2009/9/main" uri="{B025F937-C7B1-47D3-B67F-A62EFF666E3E}">
          <x14:id>{F041FF15-CB4B-4FEE-B5BB-00C70E24D585}</x14:id>
        </ext>
      </extLst>
    </cfRule>
  </conditionalFormatting>
  <conditionalFormatting sqref="H15:H18">
    <cfRule type="dataBar" priority="16">
      <dataBar>
        <cfvo type="min"/>
        <cfvo type="num" val="4"/>
        <color rgb="FFFFC000"/>
      </dataBar>
      <extLst>
        <ext xmlns:x14="http://schemas.microsoft.com/office/spreadsheetml/2009/9/main" uri="{B025F937-C7B1-47D3-B67F-A62EFF666E3E}">
          <x14:id>{CEAD9282-9821-4002-9A33-A49F68817248}</x14:id>
        </ext>
      </extLst>
    </cfRule>
  </conditionalFormatting>
  <conditionalFormatting sqref="H3:M6">
    <cfRule type="cellIs" dxfId="37" priority="52" stopIfTrue="1" operator="notBetween">
      <formula>1</formula>
      <formula>4</formula>
    </cfRule>
  </conditionalFormatting>
  <conditionalFormatting sqref="H8:M13">
    <cfRule type="cellIs" dxfId="36" priority="32" stopIfTrue="1" operator="notBetween">
      <formula>1</formula>
      <formula>4</formula>
    </cfRule>
  </conditionalFormatting>
  <conditionalFormatting sqref="H15:M18">
    <cfRule type="cellIs" dxfId="35" priority="12" stopIfTrue="1" operator="notBetween">
      <formula>1</formula>
      <formula>4</formula>
    </cfRule>
  </conditionalFormatting>
  <conditionalFormatting sqref="H20:M21">
    <cfRule type="dataBar" priority="2">
      <dataBar>
        <cfvo type="min"/>
        <cfvo type="num" val="4"/>
        <color rgb="FFFFC000"/>
      </dataBar>
      <extLst>
        <ext xmlns:x14="http://schemas.microsoft.com/office/spreadsheetml/2009/9/main" uri="{B025F937-C7B1-47D3-B67F-A62EFF666E3E}">
          <x14:id>{00E50AA6-3B51-4430-8713-D2B95C64276C}</x14:id>
        </ext>
      </extLst>
    </cfRule>
    <cfRule type="cellIs" dxfId="34" priority="4" stopIfTrue="1" operator="notBetween">
      <formula>1</formula>
      <formula>4</formula>
    </cfRule>
  </conditionalFormatting>
  <conditionalFormatting sqref="H3:N6">
    <cfRule type="containsBlanks" dxfId="33" priority="49">
      <formula>LEN(TRIM(H3))=0</formula>
    </cfRule>
  </conditionalFormatting>
  <conditionalFormatting sqref="H8:N13">
    <cfRule type="containsBlanks" dxfId="32" priority="29">
      <formula>LEN(TRIM(H8))=0</formula>
    </cfRule>
  </conditionalFormatting>
  <conditionalFormatting sqref="H15:N18">
    <cfRule type="containsBlanks" dxfId="31" priority="9">
      <formula>LEN(TRIM(H15))=0</formula>
    </cfRule>
  </conditionalFormatting>
  <conditionalFormatting sqref="H20:O21">
    <cfRule type="containsBlanks" dxfId="30" priority="1">
      <formula>LEN(TRIM(H20))=0</formula>
    </cfRule>
  </conditionalFormatting>
  <conditionalFormatting sqref="I3:I6">
    <cfRule type="dataBar" priority="59">
      <dataBar>
        <cfvo type="min"/>
        <cfvo type="num" val="4"/>
        <color rgb="FFFFC000"/>
      </dataBar>
      <extLst>
        <ext xmlns:x14="http://schemas.microsoft.com/office/spreadsheetml/2009/9/main" uri="{B025F937-C7B1-47D3-B67F-A62EFF666E3E}">
          <x14:id>{EA5B06FA-FBD4-4D1B-BD04-DBD4E75BE6C8}</x14:id>
        </ext>
      </extLst>
    </cfRule>
  </conditionalFormatting>
  <conditionalFormatting sqref="I8:I13">
    <cfRule type="dataBar" priority="39">
      <dataBar>
        <cfvo type="min"/>
        <cfvo type="num" val="4"/>
        <color rgb="FFFFC000"/>
      </dataBar>
      <extLst>
        <ext xmlns:x14="http://schemas.microsoft.com/office/spreadsheetml/2009/9/main" uri="{B025F937-C7B1-47D3-B67F-A62EFF666E3E}">
          <x14:id>{2A38161A-CA79-4B76-B291-670B84C04EBF}</x14:id>
        </ext>
      </extLst>
    </cfRule>
  </conditionalFormatting>
  <conditionalFormatting sqref="I15:I18">
    <cfRule type="dataBar" priority="19">
      <dataBar>
        <cfvo type="min"/>
        <cfvo type="num" val="4"/>
        <color rgb="FFFFC000"/>
      </dataBar>
      <extLst>
        <ext xmlns:x14="http://schemas.microsoft.com/office/spreadsheetml/2009/9/main" uri="{B025F937-C7B1-47D3-B67F-A62EFF666E3E}">
          <x14:id>{05D9FE1C-0580-4118-9DF4-E6A7600F25C9}</x14:id>
        </ext>
      </extLst>
    </cfRule>
  </conditionalFormatting>
  <conditionalFormatting sqref="J3:J6">
    <cfRule type="dataBar" priority="53">
      <dataBar>
        <cfvo type="min"/>
        <cfvo type="num" val="4"/>
        <color rgb="FFFFC000"/>
      </dataBar>
      <extLst>
        <ext xmlns:x14="http://schemas.microsoft.com/office/spreadsheetml/2009/9/main" uri="{B025F937-C7B1-47D3-B67F-A62EFF666E3E}">
          <x14:id>{A0703011-F311-442F-B721-69322ED610D6}</x14:id>
        </ext>
      </extLst>
    </cfRule>
  </conditionalFormatting>
  <conditionalFormatting sqref="J8:J13">
    <cfRule type="dataBar" priority="33">
      <dataBar>
        <cfvo type="min"/>
        <cfvo type="num" val="4"/>
        <color rgb="FFFFC000"/>
      </dataBar>
      <extLst>
        <ext xmlns:x14="http://schemas.microsoft.com/office/spreadsheetml/2009/9/main" uri="{B025F937-C7B1-47D3-B67F-A62EFF666E3E}">
          <x14:id>{829A8AD5-4648-4D6D-B80E-FBA4845D0FA9}</x14:id>
        </ext>
      </extLst>
    </cfRule>
  </conditionalFormatting>
  <conditionalFormatting sqref="J15:J18">
    <cfRule type="dataBar" priority="13">
      <dataBar>
        <cfvo type="min"/>
        <cfvo type="num" val="4"/>
        <color rgb="FFFFC000"/>
      </dataBar>
      <extLst>
        <ext xmlns:x14="http://schemas.microsoft.com/office/spreadsheetml/2009/9/main" uri="{B025F937-C7B1-47D3-B67F-A62EFF666E3E}">
          <x14:id>{87CF3383-9CDA-4CB4-9DD7-3E6DFCD43C67}</x14:id>
        </ext>
      </extLst>
    </cfRule>
  </conditionalFormatting>
  <conditionalFormatting sqref="K3:K6">
    <cfRule type="dataBar" priority="68">
      <dataBar>
        <cfvo type="min"/>
        <cfvo type="num" val="4"/>
        <color rgb="FFFFC000"/>
      </dataBar>
      <extLst>
        <ext xmlns:x14="http://schemas.microsoft.com/office/spreadsheetml/2009/9/main" uri="{B025F937-C7B1-47D3-B67F-A62EFF666E3E}">
          <x14:id>{5B536303-3909-4794-875D-5EB4BB24D3E5}</x14:id>
        </ext>
      </extLst>
    </cfRule>
  </conditionalFormatting>
  <conditionalFormatting sqref="K8:K13">
    <cfRule type="dataBar" priority="48">
      <dataBar>
        <cfvo type="min"/>
        <cfvo type="num" val="4"/>
        <color rgb="FFFFC000"/>
      </dataBar>
      <extLst>
        <ext xmlns:x14="http://schemas.microsoft.com/office/spreadsheetml/2009/9/main" uri="{B025F937-C7B1-47D3-B67F-A62EFF666E3E}">
          <x14:id>{CAEB5974-37D4-4A99-99C0-A63AC40023DE}</x14:id>
        </ext>
      </extLst>
    </cfRule>
  </conditionalFormatting>
  <conditionalFormatting sqref="K15:K18">
    <cfRule type="dataBar" priority="28">
      <dataBar>
        <cfvo type="min"/>
        <cfvo type="num" val="4"/>
        <color rgb="FFFFC000"/>
      </dataBar>
      <extLst>
        <ext xmlns:x14="http://schemas.microsoft.com/office/spreadsheetml/2009/9/main" uri="{B025F937-C7B1-47D3-B67F-A62EFF666E3E}">
          <x14:id>{DD402FCA-45B2-4974-94F7-EC7FA300C99E}</x14:id>
        </ext>
      </extLst>
    </cfRule>
  </conditionalFormatting>
  <conditionalFormatting sqref="L3:L6">
    <cfRule type="dataBar" priority="65">
      <dataBar>
        <cfvo type="min"/>
        <cfvo type="num" val="4"/>
        <color rgb="FFFFC000"/>
      </dataBar>
      <extLst>
        <ext xmlns:x14="http://schemas.microsoft.com/office/spreadsheetml/2009/9/main" uri="{B025F937-C7B1-47D3-B67F-A62EFF666E3E}">
          <x14:id>{CBFBEC0B-1E3A-4717-8B6A-493202C50762}</x14:id>
        </ext>
      </extLst>
    </cfRule>
  </conditionalFormatting>
  <conditionalFormatting sqref="L8:L13">
    <cfRule type="dataBar" priority="45">
      <dataBar>
        <cfvo type="min"/>
        <cfvo type="num" val="4"/>
        <color rgb="FFFFC000"/>
      </dataBar>
      <extLst>
        <ext xmlns:x14="http://schemas.microsoft.com/office/spreadsheetml/2009/9/main" uri="{B025F937-C7B1-47D3-B67F-A62EFF666E3E}">
          <x14:id>{90658C68-C595-4D0F-ABFC-7D172670F329}</x14:id>
        </ext>
      </extLst>
    </cfRule>
  </conditionalFormatting>
  <conditionalFormatting sqref="L15:L18">
    <cfRule type="dataBar" priority="25">
      <dataBar>
        <cfvo type="min"/>
        <cfvo type="num" val="4"/>
        <color rgb="FFFFC000"/>
      </dataBar>
      <extLst>
        <ext xmlns:x14="http://schemas.microsoft.com/office/spreadsheetml/2009/9/main" uri="{B025F937-C7B1-47D3-B67F-A62EFF666E3E}">
          <x14:id>{9DEDFAD9-2BDE-4383-985B-D3508DECD198}</x14:id>
        </ext>
      </extLst>
    </cfRule>
  </conditionalFormatting>
  <conditionalFormatting sqref="M3:M6">
    <cfRule type="dataBar" priority="62">
      <dataBar>
        <cfvo type="min"/>
        <cfvo type="num" val="4"/>
        <color rgb="FFFFC000"/>
      </dataBar>
      <extLst>
        <ext xmlns:x14="http://schemas.microsoft.com/office/spreadsheetml/2009/9/main" uri="{B025F937-C7B1-47D3-B67F-A62EFF666E3E}">
          <x14:id>{639FBE73-C9D0-4D88-9441-DBC276217C9F}</x14:id>
        </ext>
      </extLst>
    </cfRule>
  </conditionalFormatting>
  <conditionalFormatting sqref="M8:M13">
    <cfRule type="dataBar" priority="42">
      <dataBar>
        <cfvo type="min"/>
        <cfvo type="num" val="4"/>
        <color rgb="FFFFC000"/>
      </dataBar>
      <extLst>
        <ext xmlns:x14="http://schemas.microsoft.com/office/spreadsheetml/2009/9/main" uri="{B025F937-C7B1-47D3-B67F-A62EFF666E3E}">
          <x14:id>{E4AF88EA-6F83-4423-95D8-53CA44287717}</x14:id>
        </ext>
      </extLst>
    </cfRule>
  </conditionalFormatting>
  <conditionalFormatting sqref="M15:M18">
    <cfRule type="dataBar" priority="22">
      <dataBar>
        <cfvo type="min"/>
        <cfvo type="num" val="4"/>
        <color rgb="FFFFC000"/>
      </dataBar>
      <extLst>
        <ext xmlns:x14="http://schemas.microsoft.com/office/spreadsheetml/2009/9/main" uri="{B025F937-C7B1-47D3-B67F-A62EFF666E3E}">
          <x14:id>{67F46E21-E2D7-4598-A3E0-4D5FC574F52F}</x14:id>
        </ext>
      </extLst>
    </cfRule>
  </conditionalFormatting>
  <conditionalFormatting sqref="N3:N6">
    <cfRule type="dataBar" priority="50">
      <dataBar>
        <cfvo type="min"/>
        <cfvo type="max"/>
        <color rgb="FF3FCDFF"/>
      </dataBar>
      <extLst>
        <ext xmlns:x14="http://schemas.microsoft.com/office/spreadsheetml/2009/9/main" uri="{B025F937-C7B1-47D3-B67F-A62EFF666E3E}">
          <x14:id>{795E9577-5BAA-4B70-80D1-3A9580758BEF}</x14:id>
        </ext>
      </extLst>
    </cfRule>
  </conditionalFormatting>
  <conditionalFormatting sqref="N8:N13">
    <cfRule type="dataBar" priority="30">
      <dataBar>
        <cfvo type="min"/>
        <cfvo type="max"/>
        <color rgb="FF3FCDFF"/>
      </dataBar>
      <extLst>
        <ext xmlns:x14="http://schemas.microsoft.com/office/spreadsheetml/2009/9/main" uri="{B025F937-C7B1-47D3-B67F-A62EFF666E3E}">
          <x14:id>{4CE2BAF4-5D47-4685-97F0-E5B2257F6C49}</x14:id>
        </ext>
      </extLst>
    </cfRule>
  </conditionalFormatting>
  <conditionalFormatting sqref="N15:N18">
    <cfRule type="dataBar" priority="10">
      <dataBar>
        <cfvo type="min"/>
        <cfvo type="max"/>
        <color rgb="FF3FCDFF"/>
      </dataBar>
      <extLst>
        <ext xmlns:x14="http://schemas.microsoft.com/office/spreadsheetml/2009/9/main" uri="{B025F937-C7B1-47D3-B67F-A62EFF666E3E}">
          <x14:id>{9F027037-FDD2-450A-8F4E-E9739F83C86D}</x14:id>
        </ext>
      </extLst>
    </cfRule>
  </conditionalFormatting>
  <conditionalFormatting sqref="N20:N21">
    <cfRule type="dataBar" priority="6">
      <dataBar>
        <cfvo type="min"/>
        <cfvo type="max"/>
        <color rgb="FF3FCDFF"/>
      </dataBar>
      <extLst>
        <ext xmlns:x14="http://schemas.microsoft.com/office/spreadsheetml/2009/9/main" uri="{B025F937-C7B1-47D3-B67F-A62EFF666E3E}">
          <x14:id>{E498EC96-D658-4143-A678-485B8BE8E6F0}</x14:id>
        </ext>
      </extLst>
    </cfRule>
  </conditionalFormatting>
  <conditionalFormatting sqref="O20:O21">
    <cfRule type="dataBar" priority="7">
      <dataBar>
        <cfvo type="min"/>
        <cfvo type="max"/>
        <color rgb="FF3FCDFF"/>
      </dataBar>
      <extLst>
        <ext xmlns:x14="http://schemas.microsoft.com/office/spreadsheetml/2009/9/main" uri="{B025F937-C7B1-47D3-B67F-A62EFF666E3E}">
          <x14:id>{527FB0B7-B316-4548-85C3-057BFA8B4BBF}</x14:id>
        </ext>
      </extLst>
    </cfRule>
  </conditionalFormatting>
  <conditionalFormatting sqref="P20:P21">
    <cfRule type="containsText" dxfId="29" priority="5" operator="containsText" text="Actual TC">
      <formula>NOT(ISERROR(SEARCH("Actual TC",P20)))</formula>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B1B415F0-89FA-4A05-ADC7-31AFE6B05238}">
            <x14:dataBar minLength="0" maxLength="100" gradient="0">
              <x14:cfvo type="autoMin"/>
              <x14:cfvo type="num">
                <xm:f>4</xm:f>
              </x14:cfvo>
              <x14:negativeFillColor rgb="FFFF0000"/>
              <x14:axisColor rgb="FF000000"/>
            </x14:dataBar>
          </x14:cfRule>
          <xm:sqref>H3:H6</xm:sqref>
        </x14:conditionalFormatting>
        <x14:conditionalFormatting xmlns:xm="http://schemas.microsoft.com/office/excel/2006/main">
          <x14:cfRule type="dataBar" id="{F041FF15-CB4B-4FEE-B5BB-00C70E24D585}">
            <x14:dataBar minLength="0" maxLength="100" gradient="0">
              <x14:cfvo type="autoMin"/>
              <x14:cfvo type="num">
                <xm:f>4</xm:f>
              </x14:cfvo>
              <x14:negativeFillColor rgb="FFFF0000"/>
              <x14:axisColor rgb="FF000000"/>
            </x14:dataBar>
          </x14:cfRule>
          <xm:sqref>H8:H13</xm:sqref>
        </x14:conditionalFormatting>
        <x14:conditionalFormatting xmlns:xm="http://schemas.microsoft.com/office/excel/2006/main">
          <x14:cfRule type="dataBar" id="{CEAD9282-9821-4002-9A33-A49F68817248}">
            <x14:dataBar minLength="0" maxLength="100" gradient="0">
              <x14:cfvo type="autoMin"/>
              <x14:cfvo type="num">
                <xm:f>4</xm:f>
              </x14:cfvo>
              <x14:negativeFillColor rgb="FFFF0000"/>
              <x14:axisColor rgb="FF000000"/>
            </x14:dataBar>
          </x14:cfRule>
          <xm:sqref>H15:H18</xm:sqref>
        </x14:conditionalFormatting>
        <x14:conditionalFormatting xmlns:xm="http://schemas.microsoft.com/office/excel/2006/main">
          <x14:cfRule type="dataBar" id="{00E50AA6-3B51-4430-8713-D2B95C64276C}">
            <x14:dataBar minLength="0" maxLength="100" gradient="0">
              <x14:cfvo type="autoMin"/>
              <x14:cfvo type="num">
                <xm:f>4</xm:f>
              </x14:cfvo>
              <x14:negativeFillColor rgb="FFFF0000"/>
              <x14:axisColor rgb="FF000000"/>
            </x14:dataBar>
          </x14:cfRule>
          <xm:sqref>H20:M21</xm:sqref>
        </x14:conditionalFormatting>
        <x14:conditionalFormatting xmlns:xm="http://schemas.microsoft.com/office/excel/2006/main">
          <x14:cfRule type="dataBar" id="{EA5B06FA-FBD4-4D1B-BD04-DBD4E75BE6C8}">
            <x14:dataBar minLength="0" maxLength="100" gradient="0">
              <x14:cfvo type="autoMin"/>
              <x14:cfvo type="num">
                <xm:f>4</xm:f>
              </x14:cfvo>
              <x14:negativeFillColor rgb="FFFF0000"/>
              <x14:axisColor rgb="FF000000"/>
            </x14:dataBar>
          </x14:cfRule>
          <xm:sqref>I3:I6</xm:sqref>
        </x14:conditionalFormatting>
        <x14:conditionalFormatting xmlns:xm="http://schemas.microsoft.com/office/excel/2006/main">
          <x14:cfRule type="dataBar" id="{2A38161A-CA79-4B76-B291-670B84C04EBF}">
            <x14:dataBar minLength="0" maxLength="100" gradient="0">
              <x14:cfvo type="autoMin"/>
              <x14:cfvo type="num">
                <xm:f>4</xm:f>
              </x14:cfvo>
              <x14:negativeFillColor rgb="FFFF0000"/>
              <x14:axisColor rgb="FF000000"/>
            </x14:dataBar>
          </x14:cfRule>
          <xm:sqref>I8:I13</xm:sqref>
        </x14:conditionalFormatting>
        <x14:conditionalFormatting xmlns:xm="http://schemas.microsoft.com/office/excel/2006/main">
          <x14:cfRule type="dataBar" id="{05D9FE1C-0580-4118-9DF4-E6A7600F25C9}">
            <x14:dataBar minLength="0" maxLength="100" gradient="0">
              <x14:cfvo type="autoMin"/>
              <x14:cfvo type="num">
                <xm:f>4</xm:f>
              </x14:cfvo>
              <x14:negativeFillColor rgb="FFFF0000"/>
              <x14:axisColor rgb="FF000000"/>
            </x14:dataBar>
          </x14:cfRule>
          <xm:sqref>I15:I18</xm:sqref>
        </x14:conditionalFormatting>
        <x14:conditionalFormatting xmlns:xm="http://schemas.microsoft.com/office/excel/2006/main">
          <x14:cfRule type="dataBar" id="{A0703011-F311-442F-B721-69322ED610D6}">
            <x14:dataBar minLength="0" maxLength="100" gradient="0">
              <x14:cfvo type="autoMin"/>
              <x14:cfvo type="num">
                <xm:f>4</xm:f>
              </x14:cfvo>
              <x14:negativeFillColor rgb="FFFF0000"/>
              <x14:axisColor rgb="FF000000"/>
            </x14:dataBar>
          </x14:cfRule>
          <xm:sqref>J3:J6</xm:sqref>
        </x14:conditionalFormatting>
        <x14:conditionalFormatting xmlns:xm="http://schemas.microsoft.com/office/excel/2006/main">
          <x14:cfRule type="dataBar" id="{829A8AD5-4648-4D6D-B80E-FBA4845D0FA9}">
            <x14:dataBar minLength="0" maxLength="100" gradient="0">
              <x14:cfvo type="autoMin"/>
              <x14:cfvo type="num">
                <xm:f>4</xm:f>
              </x14:cfvo>
              <x14:negativeFillColor rgb="FFFF0000"/>
              <x14:axisColor rgb="FF000000"/>
            </x14:dataBar>
          </x14:cfRule>
          <xm:sqref>J8:J13</xm:sqref>
        </x14:conditionalFormatting>
        <x14:conditionalFormatting xmlns:xm="http://schemas.microsoft.com/office/excel/2006/main">
          <x14:cfRule type="dataBar" id="{87CF3383-9CDA-4CB4-9DD7-3E6DFCD43C67}">
            <x14:dataBar minLength="0" maxLength="100" gradient="0">
              <x14:cfvo type="autoMin"/>
              <x14:cfvo type="num">
                <xm:f>4</xm:f>
              </x14:cfvo>
              <x14:negativeFillColor rgb="FFFF0000"/>
              <x14:axisColor rgb="FF000000"/>
            </x14:dataBar>
          </x14:cfRule>
          <xm:sqref>J15:J18</xm:sqref>
        </x14:conditionalFormatting>
        <x14:conditionalFormatting xmlns:xm="http://schemas.microsoft.com/office/excel/2006/main">
          <x14:cfRule type="dataBar" id="{5B536303-3909-4794-875D-5EB4BB24D3E5}">
            <x14:dataBar minLength="0" maxLength="100" gradient="0">
              <x14:cfvo type="autoMin"/>
              <x14:cfvo type="num">
                <xm:f>4</xm:f>
              </x14:cfvo>
              <x14:negativeFillColor rgb="FFFF0000"/>
              <x14:axisColor rgb="FF000000"/>
            </x14:dataBar>
          </x14:cfRule>
          <xm:sqref>K3:K6</xm:sqref>
        </x14:conditionalFormatting>
        <x14:conditionalFormatting xmlns:xm="http://schemas.microsoft.com/office/excel/2006/main">
          <x14:cfRule type="dataBar" id="{CAEB5974-37D4-4A99-99C0-A63AC40023DE}">
            <x14:dataBar minLength="0" maxLength="100" gradient="0">
              <x14:cfvo type="autoMin"/>
              <x14:cfvo type="num">
                <xm:f>4</xm:f>
              </x14:cfvo>
              <x14:negativeFillColor rgb="FFFF0000"/>
              <x14:axisColor rgb="FF000000"/>
            </x14:dataBar>
          </x14:cfRule>
          <xm:sqref>K8:K13</xm:sqref>
        </x14:conditionalFormatting>
        <x14:conditionalFormatting xmlns:xm="http://schemas.microsoft.com/office/excel/2006/main">
          <x14:cfRule type="dataBar" id="{DD402FCA-45B2-4974-94F7-EC7FA300C99E}">
            <x14:dataBar minLength="0" maxLength="100" gradient="0">
              <x14:cfvo type="autoMin"/>
              <x14:cfvo type="num">
                <xm:f>4</xm:f>
              </x14:cfvo>
              <x14:negativeFillColor rgb="FFFF0000"/>
              <x14:axisColor rgb="FF000000"/>
            </x14:dataBar>
          </x14:cfRule>
          <xm:sqref>K15:K18</xm:sqref>
        </x14:conditionalFormatting>
        <x14:conditionalFormatting xmlns:xm="http://schemas.microsoft.com/office/excel/2006/main">
          <x14:cfRule type="dataBar" id="{CBFBEC0B-1E3A-4717-8B6A-493202C50762}">
            <x14:dataBar minLength="0" maxLength="100" gradient="0">
              <x14:cfvo type="autoMin"/>
              <x14:cfvo type="num">
                <xm:f>4</xm:f>
              </x14:cfvo>
              <x14:negativeFillColor rgb="FFFF0000"/>
              <x14:axisColor rgb="FF000000"/>
            </x14:dataBar>
          </x14:cfRule>
          <xm:sqref>L3:L6</xm:sqref>
        </x14:conditionalFormatting>
        <x14:conditionalFormatting xmlns:xm="http://schemas.microsoft.com/office/excel/2006/main">
          <x14:cfRule type="dataBar" id="{90658C68-C595-4D0F-ABFC-7D172670F329}">
            <x14:dataBar minLength="0" maxLength="100" gradient="0">
              <x14:cfvo type="autoMin"/>
              <x14:cfvo type="num">
                <xm:f>4</xm:f>
              </x14:cfvo>
              <x14:negativeFillColor rgb="FFFF0000"/>
              <x14:axisColor rgb="FF000000"/>
            </x14:dataBar>
          </x14:cfRule>
          <xm:sqref>L8:L13</xm:sqref>
        </x14:conditionalFormatting>
        <x14:conditionalFormatting xmlns:xm="http://schemas.microsoft.com/office/excel/2006/main">
          <x14:cfRule type="dataBar" id="{9DEDFAD9-2BDE-4383-985B-D3508DECD198}">
            <x14:dataBar minLength="0" maxLength="100" gradient="0">
              <x14:cfvo type="autoMin"/>
              <x14:cfvo type="num">
                <xm:f>4</xm:f>
              </x14:cfvo>
              <x14:negativeFillColor rgb="FFFF0000"/>
              <x14:axisColor rgb="FF000000"/>
            </x14:dataBar>
          </x14:cfRule>
          <xm:sqref>L15:L18</xm:sqref>
        </x14:conditionalFormatting>
        <x14:conditionalFormatting xmlns:xm="http://schemas.microsoft.com/office/excel/2006/main">
          <x14:cfRule type="dataBar" id="{639FBE73-C9D0-4D88-9441-DBC276217C9F}">
            <x14:dataBar minLength="0" maxLength="100" gradient="0">
              <x14:cfvo type="autoMin"/>
              <x14:cfvo type="num">
                <xm:f>4</xm:f>
              </x14:cfvo>
              <x14:negativeFillColor rgb="FFFF0000"/>
              <x14:axisColor rgb="FF000000"/>
            </x14:dataBar>
          </x14:cfRule>
          <xm:sqref>M3:M6</xm:sqref>
        </x14:conditionalFormatting>
        <x14:conditionalFormatting xmlns:xm="http://schemas.microsoft.com/office/excel/2006/main">
          <x14:cfRule type="dataBar" id="{E4AF88EA-6F83-4423-95D8-53CA44287717}">
            <x14:dataBar minLength="0" maxLength="100" gradient="0">
              <x14:cfvo type="autoMin"/>
              <x14:cfvo type="num">
                <xm:f>4</xm:f>
              </x14:cfvo>
              <x14:negativeFillColor rgb="FFFF0000"/>
              <x14:axisColor rgb="FF000000"/>
            </x14:dataBar>
          </x14:cfRule>
          <xm:sqref>M8:M13</xm:sqref>
        </x14:conditionalFormatting>
        <x14:conditionalFormatting xmlns:xm="http://schemas.microsoft.com/office/excel/2006/main">
          <x14:cfRule type="dataBar" id="{67F46E21-E2D7-4598-A3E0-4D5FC574F52F}">
            <x14:dataBar minLength="0" maxLength="100" gradient="0">
              <x14:cfvo type="autoMin"/>
              <x14:cfvo type="num">
                <xm:f>4</xm:f>
              </x14:cfvo>
              <x14:negativeFillColor rgb="FFFF0000"/>
              <x14:axisColor rgb="FF000000"/>
            </x14:dataBar>
          </x14:cfRule>
          <xm:sqref>M15:M18</xm:sqref>
        </x14:conditionalFormatting>
        <x14:conditionalFormatting xmlns:xm="http://schemas.microsoft.com/office/excel/2006/main">
          <x14:cfRule type="dataBar" id="{795E9577-5BAA-4B70-80D1-3A9580758BEF}">
            <x14:dataBar minLength="0" maxLength="100" gradient="0">
              <x14:cfvo type="autoMin"/>
              <x14:cfvo type="autoMax"/>
              <x14:negativeFillColor rgb="FFFF0000"/>
              <x14:axisColor rgb="FF000000"/>
            </x14:dataBar>
          </x14:cfRule>
          <xm:sqref>N3:N6</xm:sqref>
        </x14:conditionalFormatting>
        <x14:conditionalFormatting xmlns:xm="http://schemas.microsoft.com/office/excel/2006/main">
          <x14:cfRule type="dataBar" id="{4CE2BAF4-5D47-4685-97F0-E5B2257F6C49}">
            <x14:dataBar minLength="0" maxLength="100" gradient="0">
              <x14:cfvo type="autoMin"/>
              <x14:cfvo type="autoMax"/>
              <x14:negativeFillColor rgb="FFFF0000"/>
              <x14:axisColor rgb="FF000000"/>
            </x14:dataBar>
          </x14:cfRule>
          <xm:sqref>N8:N13</xm:sqref>
        </x14:conditionalFormatting>
        <x14:conditionalFormatting xmlns:xm="http://schemas.microsoft.com/office/excel/2006/main">
          <x14:cfRule type="dataBar" id="{9F027037-FDD2-450A-8F4E-E9739F83C86D}">
            <x14:dataBar minLength="0" maxLength="100" gradient="0">
              <x14:cfvo type="autoMin"/>
              <x14:cfvo type="autoMax"/>
              <x14:negativeFillColor rgb="FFFF0000"/>
              <x14:axisColor rgb="FF000000"/>
            </x14:dataBar>
          </x14:cfRule>
          <xm:sqref>N15:N18</xm:sqref>
        </x14:conditionalFormatting>
        <x14:conditionalFormatting xmlns:xm="http://schemas.microsoft.com/office/excel/2006/main">
          <x14:cfRule type="dataBar" id="{E498EC96-D658-4143-A678-485B8BE8E6F0}">
            <x14:dataBar minLength="0" maxLength="100" gradient="0">
              <x14:cfvo type="autoMin"/>
              <x14:cfvo type="autoMax"/>
              <x14:negativeFillColor rgb="FFFF0000"/>
              <x14:axisColor rgb="FF000000"/>
            </x14:dataBar>
          </x14:cfRule>
          <xm:sqref>N20:N21</xm:sqref>
        </x14:conditionalFormatting>
        <x14:conditionalFormatting xmlns:xm="http://schemas.microsoft.com/office/excel/2006/main">
          <x14:cfRule type="dataBar" id="{527FB0B7-B316-4548-85C3-057BFA8B4BBF}">
            <x14:dataBar minLength="0" maxLength="100" gradient="0">
              <x14:cfvo type="autoMin"/>
              <x14:cfvo type="autoMax"/>
              <x14:negativeFillColor rgb="FFFF0000"/>
              <x14:axisColor rgb="FF000000"/>
            </x14:dataBar>
          </x14:cfRule>
          <xm:sqref>O20:O21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9B5BF-1333-4C31-98CF-019E267587A0}">
  <sheetPr>
    <tabColor theme="8"/>
  </sheetPr>
  <dimension ref="A1:AF66"/>
  <sheetViews>
    <sheetView topLeftCell="A34" zoomScale="80" zoomScaleNormal="80" workbookViewId="0">
      <selection activeCell="H26" sqref="A22:H26"/>
    </sheetView>
  </sheetViews>
  <sheetFormatPr defaultRowHeight="14.4"/>
  <cols>
    <col min="1" max="1" width="80.6640625" style="6" customWidth="1"/>
    <col min="2" max="29" width="20.6640625" style="6" customWidth="1"/>
    <col min="30" max="32" width="20.6640625" customWidth="1"/>
  </cols>
  <sheetData>
    <row r="1" spans="1:32" s="6" customFormat="1" ht="30" customHeight="1">
      <c r="A1" s="1038" t="s">
        <v>1156</v>
      </c>
      <c r="B1" s="1038"/>
      <c r="C1" s="1038"/>
      <c r="D1" s="1038"/>
      <c r="E1" s="1038"/>
      <c r="F1" s="1038"/>
      <c r="G1" s="1038"/>
      <c r="H1" s="1038"/>
      <c r="I1" s="1038"/>
      <c r="J1" s="1038"/>
      <c r="K1" s="1038"/>
      <c r="L1" s="1038"/>
      <c r="M1" s="1038"/>
      <c r="N1" s="1038"/>
      <c r="O1" s="1038"/>
      <c r="P1" s="1038"/>
      <c r="Q1" s="1038"/>
      <c r="R1" s="1038"/>
      <c r="S1" s="1038"/>
    </row>
    <row r="2" spans="1:32" s="6" customFormat="1" ht="30" customHeight="1">
      <c r="A2" s="140" t="s">
        <v>1157</v>
      </c>
      <c r="B2" s="352" t="s">
        <v>101</v>
      </c>
      <c r="C2" s="352" t="s">
        <v>131</v>
      </c>
      <c r="D2" s="349" t="s">
        <v>1158</v>
      </c>
      <c r="E2" s="1152" t="s">
        <v>104</v>
      </c>
      <c r="F2" s="1153"/>
      <c r="G2" s="1153"/>
      <c r="H2" s="1153"/>
      <c r="I2" s="1153"/>
      <c r="J2" s="1154"/>
      <c r="K2" s="1151" t="s">
        <v>123</v>
      </c>
      <c r="L2" s="1151"/>
      <c r="M2" s="1151"/>
      <c r="N2" s="1151"/>
      <c r="O2" s="1151"/>
      <c r="P2" s="1151"/>
      <c r="Q2" s="1151"/>
      <c r="R2" s="1151"/>
      <c r="S2" s="1151"/>
      <c r="AD2"/>
      <c r="AE2"/>
      <c r="AF2"/>
    </row>
    <row r="3" spans="1:32">
      <c r="A3" s="9" t="s">
        <v>1159</v>
      </c>
      <c r="B3" s="356">
        <v>2011</v>
      </c>
      <c r="C3" s="354" t="s">
        <v>180</v>
      </c>
      <c r="D3" s="354">
        <v>1273</v>
      </c>
      <c r="E3" s="1156" t="s">
        <v>1160</v>
      </c>
      <c r="F3" s="1157"/>
      <c r="G3" s="1157"/>
      <c r="H3" s="1157"/>
      <c r="I3" s="1157"/>
      <c r="J3" s="1158"/>
      <c r="K3" s="1122" t="s">
        <v>1161</v>
      </c>
      <c r="L3" s="1122"/>
      <c r="M3" s="1122"/>
      <c r="N3" s="1122"/>
      <c r="O3" s="1122"/>
      <c r="P3" s="1122"/>
      <c r="Q3" s="1122"/>
      <c r="R3" s="1122"/>
      <c r="S3" s="1122"/>
    </row>
    <row r="4" spans="1:32">
      <c r="A4" s="9" t="s">
        <v>1162</v>
      </c>
      <c r="B4" s="354">
        <v>2011</v>
      </c>
      <c r="C4" s="354" t="s">
        <v>180</v>
      </c>
      <c r="D4" s="354">
        <v>308</v>
      </c>
      <c r="E4" s="1131" t="s">
        <v>1160</v>
      </c>
      <c r="F4" s="1131"/>
      <c r="G4" s="1131"/>
      <c r="H4" s="1131"/>
      <c r="I4" s="1131"/>
      <c r="J4" s="1131"/>
      <c r="K4" s="1122"/>
      <c r="L4" s="1122"/>
      <c r="M4" s="1122"/>
      <c r="N4" s="1122"/>
      <c r="O4" s="1122"/>
      <c r="P4" s="1122"/>
      <c r="Q4" s="1122"/>
      <c r="R4" s="1122"/>
      <c r="S4" s="1122"/>
    </row>
    <row r="5" spans="1:32">
      <c r="A5" s="353" t="s">
        <v>1163</v>
      </c>
      <c r="B5" s="354">
        <v>2011</v>
      </c>
      <c r="C5" s="354" t="s">
        <v>180</v>
      </c>
      <c r="D5" s="355">
        <f>SUM(D3:D4)</f>
        <v>1581</v>
      </c>
      <c r="E5" s="1120"/>
      <c r="F5" s="1155"/>
      <c r="G5" s="1155"/>
      <c r="H5" s="1155"/>
      <c r="I5" s="1155"/>
      <c r="J5" s="1121"/>
      <c r="K5" s="1122"/>
      <c r="L5" s="1122"/>
      <c r="M5" s="1122"/>
      <c r="N5" s="1122"/>
      <c r="O5" s="1122"/>
      <c r="P5" s="1122"/>
      <c r="Q5" s="1122"/>
      <c r="R5" s="1122"/>
      <c r="S5" s="1122"/>
    </row>
    <row r="6" spans="1:32">
      <c r="A6" s="7"/>
      <c r="B6" s="7"/>
      <c r="C6" s="7"/>
      <c r="D6" s="7"/>
      <c r="E6" s="7"/>
      <c r="F6" s="351"/>
      <c r="G6" s="351"/>
      <c r="H6" s="351"/>
      <c r="I6" s="351"/>
      <c r="J6" s="351"/>
      <c r="K6" s="1"/>
    </row>
    <row r="7" spans="1:32" s="6" customFormat="1" ht="30" customHeight="1">
      <c r="A7" s="1038" t="s">
        <v>1164</v>
      </c>
      <c r="B7" s="1038"/>
      <c r="C7" s="1038"/>
      <c r="D7" s="1038"/>
      <c r="E7" s="1038"/>
      <c r="F7" s="1038"/>
      <c r="G7" s="1038"/>
      <c r="H7" s="1038"/>
      <c r="I7" s="1038"/>
      <c r="J7" s="1038"/>
      <c r="K7" s="1038"/>
      <c r="L7" s="1038"/>
      <c r="M7" s="1038"/>
      <c r="N7" s="1038"/>
      <c r="O7" s="1038"/>
      <c r="P7" s="1038"/>
      <c r="Q7" s="1038"/>
      <c r="R7" s="1038"/>
      <c r="S7" s="1038"/>
    </row>
    <row r="8" spans="1:32" s="6" customFormat="1" ht="30" customHeight="1">
      <c r="A8" s="140" t="s">
        <v>1165</v>
      </c>
      <c r="B8" s="352" t="s">
        <v>131</v>
      </c>
      <c r="C8" s="352" t="s">
        <v>1166</v>
      </c>
      <c r="D8" s="349" t="s">
        <v>1167</v>
      </c>
      <c r="E8" s="1151" t="s">
        <v>104</v>
      </c>
      <c r="F8" s="1151"/>
      <c r="G8" s="1151"/>
      <c r="H8" s="1151"/>
      <c r="I8" s="1151"/>
      <c r="J8" s="1151"/>
      <c r="K8" s="1151" t="s">
        <v>123</v>
      </c>
      <c r="L8" s="1151"/>
      <c r="M8" s="1151"/>
      <c r="N8" s="1151"/>
      <c r="O8" s="1151"/>
      <c r="P8" s="1151"/>
      <c r="Q8" s="1151"/>
      <c r="R8" s="1151"/>
      <c r="S8" s="1151"/>
      <c r="AD8"/>
      <c r="AE8"/>
      <c r="AF8"/>
    </row>
    <row r="9" spans="1:32">
      <c r="A9" s="9" t="s">
        <v>167</v>
      </c>
      <c r="B9" s="354" t="s">
        <v>180</v>
      </c>
      <c r="C9" s="354" t="s">
        <v>1168</v>
      </c>
      <c r="D9" s="354">
        <v>0.01</v>
      </c>
      <c r="E9" s="1131" t="s">
        <v>1169</v>
      </c>
      <c r="F9" s="1131"/>
      <c r="G9" s="1131"/>
      <c r="H9" s="1131"/>
      <c r="I9" s="1131"/>
      <c r="J9" s="1131"/>
      <c r="K9" s="1122" t="s">
        <v>1170</v>
      </c>
      <c r="L9" s="1122"/>
      <c r="M9" s="1122"/>
      <c r="N9" s="1122"/>
      <c r="O9" s="1122"/>
      <c r="P9" s="1122"/>
      <c r="Q9" s="1122"/>
      <c r="R9" s="1122"/>
      <c r="S9" s="1122"/>
    </row>
    <row r="10" spans="1:32">
      <c r="A10" s="7"/>
      <c r="B10" s="7"/>
      <c r="C10" s="7"/>
      <c r="D10" s="7"/>
      <c r="E10" s="7"/>
      <c r="F10" s="351"/>
      <c r="G10" s="351"/>
      <c r="H10" s="351"/>
      <c r="I10" s="351"/>
    </row>
    <row r="11" spans="1:32" s="6" customFormat="1" ht="30" customHeight="1">
      <c r="A11" s="1038" t="s">
        <v>1171</v>
      </c>
      <c r="B11" s="1038"/>
      <c r="C11" s="1038"/>
      <c r="D11" s="1038"/>
      <c r="E11" s="1038"/>
      <c r="F11" s="1038"/>
      <c r="G11" s="1038"/>
      <c r="H11" s="1038"/>
      <c r="I11" s="1038"/>
      <c r="J11" s="1038"/>
      <c r="K11" s="1038"/>
      <c r="L11" s="1038"/>
      <c r="M11" s="1038"/>
      <c r="N11" s="1038"/>
      <c r="O11" s="1038"/>
      <c r="P11" s="1038"/>
      <c r="Q11" s="1038"/>
      <c r="R11" s="1038"/>
      <c r="S11" s="1038"/>
    </row>
    <row r="12" spans="1:32" s="6" customFormat="1" ht="30" customHeight="1">
      <c r="A12" s="140" t="s">
        <v>1165</v>
      </c>
      <c r="B12" s="352" t="s">
        <v>101</v>
      </c>
      <c r="C12" s="352" t="s">
        <v>131</v>
      </c>
      <c r="D12" s="352" t="s">
        <v>102</v>
      </c>
      <c r="E12" s="350" t="s">
        <v>1172</v>
      </c>
      <c r="AD12"/>
      <c r="AE12"/>
      <c r="AF12"/>
    </row>
    <row r="13" spans="1:32">
      <c r="A13" s="9" t="s">
        <v>167</v>
      </c>
      <c r="B13" s="354">
        <v>2011</v>
      </c>
      <c r="C13" s="354" t="s">
        <v>180</v>
      </c>
      <c r="D13" s="354" t="s">
        <v>1168</v>
      </c>
      <c r="E13" s="354">
        <f>D9*D5</f>
        <v>15.81</v>
      </c>
    </row>
    <row r="14" spans="1:32">
      <c r="A14" s="7"/>
      <c r="B14" s="7"/>
      <c r="C14" s="7"/>
      <c r="D14" s="7"/>
      <c r="E14" s="7"/>
      <c r="F14" s="351"/>
      <c r="G14" s="351"/>
      <c r="H14" s="351"/>
      <c r="I14" s="351"/>
      <c r="J14" s="351"/>
      <c r="K14" s="1"/>
    </row>
    <row r="15" spans="1:32" s="6" customFormat="1" ht="30" customHeight="1">
      <c r="A15" s="1038" t="s">
        <v>1173</v>
      </c>
      <c r="B15" s="1038"/>
      <c r="C15" s="1038"/>
      <c r="D15" s="1038"/>
      <c r="E15" s="1038"/>
      <c r="F15" s="1038"/>
      <c r="G15" s="1038"/>
      <c r="H15" s="1038"/>
      <c r="I15" s="1038"/>
      <c r="J15" s="1038"/>
      <c r="K15" s="1038"/>
      <c r="L15" s="1038"/>
      <c r="M15" s="1038"/>
      <c r="N15" s="1038"/>
      <c r="O15" s="1038"/>
      <c r="P15" s="1038"/>
      <c r="Q15" s="1038"/>
      <c r="R15" s="1038"/>
      <c r="S15" s="1038"/>
    </row>
    <row r="16" spans="1:32" s="6" customFormat="1" ht="30" customHeight="1">
      <c r="A16" s="358" t="s">
        <v>130</v>
      </c>
      <c r="B16" s="352" t="s">
        <v>101</v>
      </c>
      <c r="C16" s="352" t="s">
        <v>131</v>
      </c>
      <c r="D16" s="352" t="s">
        <v>102</v>
      </c>
      <c r="E16" s="360" t="s">
        <v>1174</v>
      </c>
      <c r="F16" s="362" t="s">
        <v>1175</v>
      </c>
      <c r="G16"/>
      <c r="H16"/>
      <c r="I16"/>
      <c r="J16"/>
      <c r="K16"/>
      <c r="L16"/>
      <c r="M16"/>
      <c r="N16"/>
      <c r="O16"/>
    </row>
    <row r="17" spans="1:19">
      <c r="A17" s="9" t="s">
        <v>200</v>
      </c>
      <c r="B17" s="354">
        <v>2011</v>
      </c>
      <c r="C17" s="354" t="s">
        <v>180</v>
      </c>
      <c r="D17" s="356" t="s">
        <v>1168</v>
      </c>
      <c r="E17" s="402">
        <f xml:space="preserve"> 23.6015+23.72052+1.347871+10.4485+0.29442+0.127448</f>
        <v>59.540259000000006</v>
      </c>
      <c r="F17" s="402">
        <f xml:space="preserve"> 23.6015+23.72052+1.347871+10.4485+0.29442+0.127448</f>
        <v>59.540259000000006</v>
      </c>
      <c r="G17"/>
      <c r="H17"/>
      <c r="I17"/>
      <c r="J17"/>
      <c r="K17"/>
      <c r="L17"/>
      <c r="M17"/>
      <c r="N17"/>
      <c r="O17"/>
    </row>
    <row r="18" spans="1:19">
      <c r="A18" s="9" t="s">
        <v>202</v>
      </c>
      <c r="B18" s="354">
        <v>2011</v>
      </c>
      <c r="C18" s="354" t="s">
        <v>180</v>
      </c>
      <c r="D18" s="356" t="s">
        <v>1168</v>
      </c>
      <c r="E18" s="402">
        <f>6.221624+16.3967+7.014859+17.73089+0.649159</f>
        <v>48.013232000000002</v>
      </c>
      <c r="F18" s="402">
        <f>6.221624+16.3967+7.014859+17.73089+0.649159</f>
        <v>48.013232000000002</v>
      </c>
      <c r="G18"/>
      <c r="H18"/>
      <c r="I18"/>
      <c r="J18"/>
      <c r="K18"/>
      <c r="L18"/>
      <c r="M18"/>
      <c r="N18"/>
      <c r="O18"/>
    </row>
    <row r="19" spans="1:19">
      <c r="A19" s="9" t="s">
        <v>201</v>
      </c>
      <c r="B19" s="354">
        <v>2011</v>
      </c>
      <c r="C19" s="354" t="s">
        <v>180</v>
      </c>
      <c r="D19" s="356" t="s">
        <v>1168</v>
      </c>
      <c r="E19" s="402">
        <f>32.70976+0.28954+33.75779+1.09234+0.260305</f>
        <v>68.109735000000015</v>
      </c>
      <c r="F19" s="402">
        <f>32.70976+0.28954+33.75779+1.09234+0.260305</f>
        <v>68.109735000000015</v>
      </c>
      <c r="G19"/>
      <c r="H19"/>
      <c r="I19"/>
      <c r="J19"/>
      <c r="K19"/>
      <c r="L19"/>
      <c r="M19"/>
      <c r="N19"/>
      <c r="O19"/>
    </row>
    <row r="20" spans="1:19">
      <c r="A20" s="9" t="s">
        <v>203</v>
      </c>
      <c r="B20" s="354">
        <v>2011</v>
      </c>
      <c r="C20" s="354" t="s">
        <v>180</v>
      </c>
      <c r="D20" s="356" t="s">
        <v>1168</v>
      </c>
      <c r="E20" s="402">
        <f>7.458106+2.583978+37.90516+37.47286+12.81939+4.606734</f>
        <v>102.846228</v>
      </c>
      <c r="F20" s="402">
        <f>7.458106+2.583978+37.90516+37.47286+12.81939+4.606734</f>
        <v>102.846228</v>
      </c>
      <c r="G20"/>
      <c r="H20"/>
      <c r="I20"/>
      <c r="J20"/>
      <c r="K20"/>
      <c r="L20"/>
      <c r="M20"/>
      <c r="N20"/>
      <c r="O20"/>
    </row>
    <row r="21" spans="1:19">
      <c r="A21" s="9" t="s">
        <v>1030</v>
      </c>
      <c r="B21" s="354">
        <v>2011</v>
      </c>
      <c r="C21" s="354" t="s">
        <v>180</v>
      </c>
      <c r="D21" s="356" t="s">
        <v>1168</v>
      </c>
      <c r="E21" s="402">
        <f>54.34226+3.146061</f>
        <v>57.488321000000006</v>
      </c>
      <c r="F21" s="402">
        <f>54.34226+3.146061</f>
        <v>57.488321000000006</v>
      </c>
      <c r="G21"/>
      <c r="H21"/>
      <c r="I21"/>
      <c r="J21"/>
      <c r="K21"/>
      <c r="L21"/>
      <c r="M21"/>
      <c r="N21"/>
      <c r="O21"/>
    </row>
    <row r="22" spans="1:19">
      <c r="A22" s="9" t="s">
        <v>142</v>
      </c>
      <c r="B22" s="354">
        <v>2011</v>
      </c>
      <c r="C22" s="354" t="s">
        <v>180</v>
      </c>
      <c r="D22" s="356" t="s">
        <v>1168</v>
      </c>
      <c r="E22" s="435">
        <f>5.880256+2.755094</f>
        <v>8.6353500000000007</v>
      </c>
      <c r="F22" s="435">
        <f>5.880256+2.755094</f>
        <v>8.6353500000000007</v>
      </c>
      <c r="G22"/>
      <c r="H22"/>
      <c r="I22"/>
      <c r="J22"/>
      <c r="K22"/>
      <c r="L22"/>
      <c r="M22"/>
      <c r="N22"/>
      <c r="O22"/>
    </row>
    <row r="23" spans="1:19">
      <c r="A23" s="9" t="s">
        <v>138</v>
      </c>
      <c r="B23" s="354">
        <v>2011</v>
      </c>
      <c r="C23" s="354" t="s">
        <v>180</v>
      </c>
      <c r="D23" s="356" t="s">
        <v>1168</v>
      </c>
      <c r="E23" s="402">
        <f>1.110288</f>
        <v>1.1102879999999999</v>
      </c>
      <c r="F23" s="402">
        <f>1.110288</f>
        <v>1.1102879999999999</v>
      </c>
      <c r="G23"/>
      <c r="H23"/>
      <c r="I23"/>
      <c r="J23"/>
      <c r="K23"/>
      <c r="L23"/>
      <c r="M23"/>
      <c r="N23"/>
      <c r="O23"/>
    </row>
    <row r="24" spans="1:19">
      <c r="A24" s="9" t="s">
        <v>1032</v>
      </c>
      <c r="B24" s="354">
        <v>2011</v>
      </c>
      <c r="C24" s="354" t="s">
        <v>180</v>
      </c>
      <c r="D24" s="356" t="s">
        <v>1168</v>
      </c>
      <c r="E24" s="402">
        <f>0.652716+15.11199+4.053189</f>
        <v>19.817895</v>
      </c>
      <c r="F24" s="402">
        <f>0.652716+15.11199+4.053189</f>
        <v>19.817895</v>
      </c>
      <c r="G24"/>
      <c r="H24"/>
      <c r="I24"/>
      <c r="J24"/>
      <c r="K24"/>
      <c r="L24"/>
      <c r="M24"/>
      <c r="N24"/>
      <c r="O24"/>
    </row>
    <row r="25" spans="1:19">
      <c r="A25" s="9" t="s">
        <v>946</v>
      </c>
      <c r="B25" s="354">
        <v>2011</v>
      </c>
      <c r="C25" s="354" t="s">
        <v>180</v>
      </c>
      <c r="D25" s="356" t="s">
        <v>1168</v>
      </c>
      <c r="E25" s="402">
        <f>0.603811+11.52565+0.606781+0.607851+2.806034</f>
        <v>16.150127000000001</v>
      </c>
      <c r="F25" s="402">
        <f>0.603811+11.52565+0.606781+0.607851+2.806034</f>
        <v>16.150127000000001</v>
      </c>
      <c r="G25"/>
      <c r="H25"/>
      <c r="I25"/>
      <c r="J25"/>
      <c r="K25"/>
      <c r="L25"/>
      <c r="M25"/>
      <c r="N25"/>
      <c r="O25"/>
    </row>
    <row r="26" spans="1:19">
      <c r="A26" s="9" t="s">
        <v>153</v>
      </c>
      <c r="B26" s="354">
        <v>2011</v>
      </c>
      <c r="C26" s="354" t="s">
        <v>180</v>
      </c>
      <c r="D26" s="356" t="s">
        <v>1168</v>
      </c>
      <c r="E26" s="402">
        <f>10.5957+9.646484+9.932176</f>
        <v>30.17436</v>
      </c>
      <c r="F26" s="402">
        <f>10.5957+9.646484+9.932176</f>
        <v>30.17436</v>
      </c>
      <c r="G26"/>
      <c r="H26"/>
      <c r="I26"/>
      <c r="J26"/>
      <c r="K26"/>
      <c r="L26"/>
      <c r="M26"/>
      <c r="N26"/>
      <c r="O26"/>
    </row>
    <row r="27" spans="1:19">
      <c r="A27" s="353" t="s">
        <v>1163</v>
      </c>
      <c r="B27" s="354">
        <v>2012</v>
      </c>
      <c r="C27" s="354" t="s">
        <v>180</v>
      </c>
      <c r="D27" s="356" t="s">
        <v>1168</v>
      </c>
      <c r="E27" s="490">
        <f>SUM(E17:E26)</f>
        <v>411.88579500000003</v>
      </c>
      <c r="F27" s="490">
        <f>SUM(F17:F26)</f>
        <v>411.88579500000003</v>
      </c>
      <c r="G27"/>
      <c r="H27"/>
      <c r="I27"/>
      <c r="J27"/>
      <c r="K27"/>
      <c r="L27"/>
      <c r="M27"/>
      <c r="N27"/>
      <c r="O27"/>
    </row>
    <row r="29" spans="1:19" s="6" customFormat="1" ht="30" customHeight="1">
      <c r="A29" s="1038" t="s">
        <v>1176</v>
      </c>
      <c r="B29" s="1038"/>
      <c r="C29" s="1038"/>
      <c r="D29" s="1038"/>
      <c r="E29" s="1038"/>
      <c r="F29" s="1038"/>
      <c r="G29" s="1038"/>
      <c r="H29" s="1038"/>
      <c r="I29" s="1038"/>
      <c r="J29" s="1038"/>
      <c r="K29" s="1038"/>
      <c r="L29" s="1038"/>
      <c r="M29" s="1038"/>
      <c r="N29" s="1038"/>
      <c r="O29" s="1038"/>
      <c r="P29" s="1038"/>
      <c r="Q29" s="1038"/>
      <c r="R29" s="1038"/>
      <c r="S29" s="1038"/>
    </row>
    <row r="30" spans="1:19" s="6" customFormat="1" ht="30" customHeight="1">
      <c r="A30" s="358" t="s">
        <v>130</v>
      </c>
      <c r="B30" s="352" t="s">
        <v>101</v>
      </c>
      <c r="C30" s="352" t="s">
        <v>131</v>
      </c>
      <c r="D30" s="352" t="s">
        <v>102</v>
      </c>
      <c r="E30" s="349" t="s">
        <v>1177</v>
      </c>
      <c r="F30"/>
      <c r="G30"/>
      <c r="H30"/>
      <c r="I30"/>
      <c r="J30"/>
      <c r="K30"/>
      <c r="L30"/>
      <c r="M30"/>
      <c r="N30"/>
      <c r="O30"/>
    </row>
    <row r="31" spans="1:19">
      <c r="A31" s="9" t="s">
        <v>200</v>
      </c>
      <c r="B31" s="354">
        <v>2011</v>
      </c>
      <c r="C31" s="354" t="s">
        <v>180</v>
      </c>
      <c r="D31" s="354" t="s">
        <v>1168</v>
      </c>
      <c r="E31" s="363">
        <f t="shared" ref="E31:E40" si="0">E17/$E$27</f>
        <v>0.14455526197498508</v>
      </c>
      <c r="F31"/>
      <c r="G31"/>
      <c r="H31"/>
      <c r="I31"/>
      <c r="J31"/>
      <c r="K31"/>
      <c r="L31"/>
      <c r="M31"/>
      <c r="N31"/>
      <c r="O31"/>
    </row>
    <row r="32" spans="1:19">
      <c r="A32" s="9" t="s">
        <v>202</v>
      </c>
      <c r="B32" s="354">
        <v>2011</v>
      </c>
      <c r="C32" s="354" t="s">
        <v>180</v>
      </c>
      <c r="D32" s="354" t="s">
        <v>1168</v>
      </c>
      <c r="E32" s="363">
        <f t="shared" si="0"/>
        <v>0.11656928348305869</v>
      </c>
      <c r="F32"/>
      <c r="G32"/>
      <c r="H32"/>
      <c r="I32"/>
      <c r="J32"/>
      <c r="K32"/>
      <c r="L32"/>
      <c r="M32"/>
      <c r="N32"/>
      <c r="O32"/>
    </row>
    <row r="33" spans="1:19">
      <c r="A33" s="9" t="s">
        <v>201</v>
      </c>
      <c r="B33" s="354">
        <v>2011</v>
      </c>
      <c r="C33" s="354" t="s">
        <v>180</v>
      </c>
      <c r="D33" s="354" t="s">
        <v>1168</v>
      </c>
      <c r="E33" s="363">
        <f t="shared" si="0"/>
        <v>0.16536072820865311</v>
      </c>
      <c r="F33"/>
      <c r="G33"/>
      <c r="H33"/>
      <c r="I33"/>
      <c r="J33"/>
      <c r="K33"/>
      <c r="L33"/>
      <c r="M33"/>
      <c r="N33"/>
      <c r="O33"/>
    </row>
    <row r="34" spans="1:19">
      <c r="A34" s="9" t="s">
        <v>203</v>
      </c>
      <c r="B34" s="354">
        <v>2011</v>
      </c>
      <c r="C34" s="354" t="s">
        <v>180</v>
      </c>
      <c r="D34" s="354" t="s">
        <v>1168</v>
      </c>
      <c r="E34" s="363">
        <f t="shared" si="0"/>
        <v>0.24969598186798356</v>
      </c>
      <c r="F34"/>
      <c r="G34"/>
      <c r="H34"/>
      <c r="I34"/>
      <c r="J34"/>
      <c r="K34"/>
      <c r="L34"/>
      <c r="M34"/>
      <c r="N34"/>
      <c r="O34"/>
    </row>
    <row r="35" spans="1:19">
      <c r="A35" s="9" t="s">
        <v>1030</v>
      </c>
      <c r="B35" s="354">
        <v>2011</v>
      </c>
      <c r="C35" s="354" t="s">
        <v>180</v>
      </c>
      <c r="D35" s="354" t="s">
        <v>1168</v>
      </c>
      <c r="E35" s="363">
        <f t="shared" si="0"/>
        <v>0.13957344899452043</v>
      </c>
      <c r="F35"/>
      <c r="G35"/>
      <c r="H35"/>
      <c r="I35"/>
      <c r="J35"/>
      <c r="K35"/>
      <c r="L35"/>
      <c r="M35"/>
      <c r="N35"/>
      <c r="O35"/>
    </row>
    <row r="36" spans="1:19">
      <c r="A36" s="9" t="s">
        <v>142</v>
      </c>
      <c r="B36" s="354">
        <v>2011</v>
      </c>
      <c r="C36" s="354" t="s">
        <v>180</v>
      </c>
      <c r="D36" s="354" t="s">
        <v>1168</v>
      </c>
      <c r="E36" s="363">
        <f t="shared" si="0"/>
        <v>2.096539891597864E-2</v>
      </c>
      <c r="F36"/>
      <c r="G36"/>
      <c r="H36"/>
      <c r="I36"/>
      <c r="J36"/>
      <c r="K36"/>
      <c r="L36"/>
      <c r="M36"/>
      <c r="N36"/>
      <c r="O36"/>
    </row>
    <row r="37" spans="1:19">
      <c r="A37" s="9" t="s">
        <v>138</v>
      </c>
      <c r="B37" s="354">
        <v>2011</v>
      </c>
      <c r="C37" s="354" t="s">
        <v>180</v>
      </c>
      <c r="D37" s="354" t="s">
        <v>1168</v>
      </c>
      <c r="E37" s="363">
        <f t="shared" si="0"/>
        <v>2.6956210033900292E-3</v>
      </c>
      <c r="F37"/>
      <c r="G37"/>
      <c r="H37"/>
      <c r="I37"/>
      <c r="J37"/>
      <c r="K37"/>
      <c r="L37"/>
      <c r="M37"/>
      <c r="N37"/>
      <c r="O37"/>
    </row>
    <row r="38" spans="1:19">
      <c r="A38" s="9" t="s">
        <v>1032</v>
      </c>
      <c r="B38" s="354">
        <v>2011</v>
      </c>
      <c r="C38" s="354" t="s">
        <v>180</v>
      </c>
      <c r="D38" s="354" t="s">
        <v>1168</v>
      </c>
      <c r="E38" s="363">
        <f t="shared" si="0"/>
        <v>4.8115024214418461E-2</v>
      </c>
      <c r="F38"/>
      <c r="G38"/>
      <c r="H38"/>
      <c r="I38"/>
      <c r="J38"/>
      <c r="K38"/>
      <c r="L38"/>
      <c r="M38"/>
      <c r="N38"/>
      <c r="O38"/>
    </row>
    <row r="39" spans="1:19">
      <c r="A39" s="9" t="s">
        <v>946</v>
      </c>
      <c r="B39" s="354">
        <v>2011</v>
      </c>
      <c r="C39" s="354" t="s">
        <v>180</v>
      </c>
      <c r="D39" s="354" t="s">
        <v>1168</v>
      </c>
      <c r="E39" s="363">
        <f t="shared" si="0"/>
        <v>3.9210206314592613E-2</v>
      </c>
      <c r="F39"/>
      <c r="G39"/>
      <c r="H39"/>
      <c r="I39"/>
      <c r="J39"/>
      <c r="K39"/>
      <c r="L39"/>
      <c r="M39"/>
      <c r="N39"/>
      <c r="O39"/>
    </row>
    <row r="40" spans="1:19">
      <c r="A40" s="9" t="s">
        <v>153</v>
      </c>
      <c r="B40" s="354">
        <v>2012</v>
      </c>
      <c r="C40" s="354" t="s">
        <v>180</v>
      </c>
      <c r="D40" s="354" t="s">
        <v>1168</v>
      </c>
      <c r="E40" s="363">
        <f t="shared" si="0"/>
        <v>7.3259045022419381E-2</v>
      </c>
      <c r="F40"/>
      <c r="G40"/>
      <c r="H40"/>
      <c r="I40"/>
      <c r="J40"/>
      <c r="K40"/>
      <c r="L40"/>
      <c r="M40"/>
      <c r="N40"/>
      <c r="O40"/>
    </row>
    <row r="41" spans="1:19">
      <c r="A41"/>
      <c r="B41"/>
      <c r="C41"/>
      <c r="D41"/>
      <c r="E41"/>
      <c r="F41"/>
      <c r="G41"/>
      <c r="H41"/>
      <c r="I41"/>
      <c r="J41"/>
      <c r="K41"/>
      <c r="L41"/>
      <c r="M41"/>
      <c r="N41"/>
      <c r="O41"/>
    </row>
    <row r="42" spans="1:19" s="6" customFormat="1" ht="18">
      <c r="A42" s="1038" t="s">
        <v>1178</v>
      </c>
      <c r="B42" s="1038"/>
      <c r="C42" s="1038"/>
      <c r="D42" s="1038"/>
      <c r="E42" s="1038"/>
      <c r="F42" s="1038"/>
      <c r="G42" s="1038"/>
      <c r="H42" s="1038"/>
      <c r="I42" s="1038"/>
      <c r="J42" s="1038"/>
      <c r="K42" s="1038"/>
      <c r="L42" s="1038"/>
      <c r="M42" s="1038"/>
      <c r="N42" s="1038"/>
      <c r="O42" s="1038"/>
      <c r="P42" s="1038"/>
      <c r="Q42" s="1038"/>
      <c r="R42" s="1038"/>
      <c r="S42" s="1038"/>
    </row>
    <row r="43" spans="1:19">
      <c r="A43" s="140" t="s">
        <v>129</v>
      </c>
      <c r="B43" s="1030" t="s">
        <v>130</v>
      </c>
      <c r="C43" s="1047"/>
      <c r="D43" s="352" t="s">
        <v>131</v>
      </c>
      <c r="E43" s="349" t="s">
        <v>102</v>
      </c>
      <c r="F43" s="1159" t="s">
        <v>1179</v>
      </c>
      <c r="G43" s="1159"/>
      <c r="H43"/>
      <c r="I43"/>
      <c r="J43"/>
      <c r="K43"/>
      <c r="L43"/>
      <c r="M43"/>
      <c r="N43"/>
      <c r="O43"/>
    </row>
    <row r="44" spans="1:19">
      <c r="A44" s="9" t="s">
        <v>200</v>
      </c>
      <c r="B44" s="1122" t="s">
        <v>167</v>
      </c>
      <c r="C44" s="1122"/>
      <c r="D44" s="354" t="s">
        <v>180</v>
      </c>
      <c r="E44" s="357" t="s">
        <v>1168</v>
      </c>
      <c r="F44" s="1160">
        <f t="shared" ref="F44:F52" si="1">E31*$E$13</f>
        <v>2.2854186918245141</v>
      </c>
      <c r="G44" s="1160"/>
      <c r="H44"/>
      <c r="I44"/>
      <c r="J44"/>
      <c r="K44"/>
      <c r="L44"/>
      <c r="M44"/>
      <c r="N44"/>
      <c r="O44"/>
    </row>
    <row r="45" spans="1:19">
      <c r="A45" s="9" t="s">
        <v>202</v>
      </c>
      <c r="B45" s="1122" t="s">
        <v>167</v>
      </c>
      <c r="C45" s="1122"/>
      <c r="D45" s="354" t="s">
        <v>180</v>
      </c>
      <c r="E45" s="357" t="s">
        <v>1168</v>
      </c>
      <c r="F45" s="1160">
        <f t="shared" si="1"/>
        <v>1.8429603718671579</v>
      </c>
      <c r="G45" s="1160"/>
      <c r="H45"/>
      <c r="I45"/>
      <c r="J45"/>
      <c r="K45"/>
      <c r="L45"/>
      <c r="M45"/>
      <c r="N45"/>
      <c r="O45"/>
    </row>
    <row r="46" spans="1:19">
      <c r="A46" s="9" t="s">
        <v>201</v>
      </c>
      <c r="B46" s="1122" t="s">
        <v>167</v>
      </c>
      <c r="C46" s="1122"/>
      <c r="D46" s="354" t="s">
        <v>180</v>
      </c>
      <c r="E46" s="357" t="s">
        <v>1168</v>
      </c>
      <c r="F46" s="1160">
        <f t="shared" si="1"/>
        <v>2.6143531129788058</v>
      </c>
      <c r="G46" s="1160"/>
      <c r="H46"/>
      <c r="I46"/>
      <c r="J46"/>
      <c r="K46"/>
      <c r="L46"/>
      <c r="M46"/>
      <c r="N46"/>
      <c r="O46"/>
    </row>
    <row r="47" spans="1:19">
      <c r="A47" s="9" t="s">
        <v>203</v>
      </c>
      <c r="B47" s="1122" t="s">
        <v>167</v>
      </c>
      <c r="C47" s="1122"/>
      <c r="D47" s="354" t="s">
        <v>180</v>
      </c>
      <c r="E47" s="357" t="s">
        <v>1168</v>
      </c>
      <c r="F47" s="1160">
        <f t="shared" si="1"/>
        <v>3.9476934733328202</v>
      </c>
      <c r="G47" s="1160"/>
      <c r="H47"/>
      <c r="I47"/>
      <c r="J47"/>
      <c r="K47"/>
      <c r="L47"/>
      <c r="M47"/>
      <c r="N47"/>
      <c r="O47"/>
    </row>
    <row r="48" spans="1:19">
      <c r="A48" s="9" t="s">
        <v>1030</v>
      </c>
      <c r="B48" s="1122" t="s">
        <v>167</v>
      </c>
      <c r="C48" s="1122"/>
      <c r="D48" s="354" t="s">
        <v>180</v>
      </c>
      <c r="E48" s="357" t="s">
        <v>1168</v>
      </c>
      <c r="F48" s="1160">
        <f t="shared" si="1"/>
        <v>2.206656228603368</v>
      </c>
      <c r="G48" s="1160"/>
      <c r="H48"/>
      <c r="I48"/>
      <c r="J48"/>
      <c r="K48"/>
      <c r="L48"/>
      <c r="M48"/>
      <c r="N48"/>
      <c r="O48"/>
    </row>
    <row r="49" spans="1:32">
      <c r="A49" s="9" t="s">
        <v>142</v>
      </c>
      <c r="B49" s="1122" t="s">
        <v>167</v>
      </c>
      <c r="C49" s="1122"/>
      <c r="D49" s="354" t="s">
        <v>180</v>
      </c>
      <c r="E49" s="357" t="s">
        <v>1168</v>
      </c>
      <c r="F49" s="1160">
        <f t="shared" si="1"/>
        <v>0.3314629568616223</v>
      </c>
      <c r="G49" s="1160"/>
      <c r="H49"/>
      <c r="I49"/>
      <c r="J49"/>
      <c r="K49"/>
      <c r="L49"/>
      <c r="M49"/>
      <c r="N49"/>
      <c r="O49"/>
    </row>
    <row r="50" spans="1:32">
      <c r="A50" s="9" t="s">
        <v>138</v>
      </c>
      <c r="B50" s="1122" t="s">
        <v>167</v>
      </c>
      <c r="C50" s="1122"/>
      <c r="D50" s="354" t="s">
        <v>180</v>
      </c>
      <c r="E50" s="357" t="s">
        <v>1168</v>
      </c>
      <c r="F50" s="1160">
        <f t="shared" si="1"/>
        <v>4.2617768063596365E-2</v>
      </c>
      <c r="G50" s="1160"/>
      <c r="H50"/>
      <c r="I50"/>
      <c r="J50"/>
      <c r="K50"/>
      <c r="L50"/>
      <c r="M50"/>
      <c r="N50"/>
      <c r="O50"/>
    </row>
    <row r="51" spans="1:32">
      <c r="A51" s="9" t="s">
        <v>1032</v>
      </c>
      <c r="B51" s="1122" t="s">
        <v>167</v>
      </c>
      <c r="C51" s="1122"/>
      <c r="D51" s="354" t="s">
        <v>180</v>
      </c>
      <c r="E51" s="357" t="s">
        <v>1168</v>
      </c>
      <c r="F51" s="1160">
        <f t="shared" si="1"/>
        <v>0.76069853282995592</v>
      </c>
      <c r="G51" s="1160"/>
      <c r="H51"/>
      <c r="I51"/>
      <c r="J51"/>
      <c r="K51"/>
      <c r="L51"/>
      <c r="M51"/>
      <c r="N51"/>
      <c r="O51"/>
    </row>
    <row r="52" spans="1:32">
      <c r="A52" s="9" t="s">
        <v>946</v>
      </c>
      <c r="B52" s="1122" t="s">
        <v>167</v>
      </c>
      <c r="C52" s="1122"/>
      <c r="D52" s="354" t="s">
        <v>180</v>
      </c>
      <c r="E52" s="357" t="s">
        <v>1168</v>
      </c>
      <c r="F52" s="1160">
        <f t="shared" si="1"/>
        <v>0.61991336183370926</v>
      </c>
      <c r="G52" s="1160"/>
      <c r="H52"/>
      <c r="I52"/>
      <c r="J52"/>
      <c r="K52"/>
      <c r="L52"/>
      <c r="M52"/>
      <c r="N52"/>
      <c r="O52"/>
    </row>
    <row r="53" spans="1:32">
      <c r="A53" s="9" t="s">
        <v>153</v>
      </c>
      <c r="B53" s="1122" t="s">
        <v>167</v>
      </c>
      <c r="C53" s="1122"/>
      <c r="D53" s="354" t="s">
        <v>180</v>
      </c>
      <c r="E53" s="357" t="s">
        <v>1168</v>
      </c>
      <c r="F53" s="1160">
        <f t="shared" ref="F53" si="2">E40*$E$13</f>
        <v>1.1582255018044505</v>
      </c>
      <c r="G53" s="1160"/>
      <c r="H53"/>
      <c r="I53"/>
      <c r="J53"/>
      <c r="K53"/>
      <c r="L53"/>
      <c r="M53"/>
      <c r="N53"/>
      <c r="O53"/>
    </row>
    <row r="54" spans="1:32">
      <c r="A54"/>
      <c r="B54"/>
      <c r="C54"/>
      <c r="D54"/>
      <c r="E54"/>
      <c r="F54"/>
      <c r="G54"/>
      <c r="H54"/>
      <c r="I54"/>
      <c r="J54"/>
      <c r="K54"/>
      <c r="L54"/>
      <c r="M54"/>
      <c r="N54"/>
      <c r="O54"/>
    </row>
    <row r="55" spans="1:32" s="6" customFormat="1" ht="18">
      <c r="A55" s="1038" t="s">
        <v>15</v>
      </c>
      <c r="B55" s="1038"/>
      <c r="C55" s="1038"/>
      <c r="D55" s="1038"/>
      <c r="E55" s="1038"/>
      <c r="F55" s="1038"/>
      <c r="G55" s="1038"/>
      <c r="H55" s="1038"/>
      <c r="I55" s="1038"/>
      <c r="J55" s="1038"/>
      <c r="K55" s="1038"/>
      <c r="L55" s="1038"/>
      <c r="M55" s="1038"/>
      <c r="N55" s="1038"/>
      <c r="O55" s="1038"/>
      <c r="P55" s="1038"/>
      <c r="Q55" s="1038"/>
      <c r="R55" s="1038"/>
      <c r="S55" s="1038"/>
    </row>
    <row r="56" spans="1:32" s="6" customFormat="1">
      <c r="A56" s="140" t="s">
        <v>129</v>
      </c>
      <c r="B56" s="1030" t="s">
        <v>130</v>
      </c>
      <c r="C56" s="1047"/>
      <c r="D56" s="352" t="s">
        <v>131</v>
      </c>
      <c r="E56" s="349" t="s">
        <v>102</v>
      </c>
      <c r="F56" s="1159" t="s">
        <v>1180</v>
      </c>
      <c r="G56" s="1159"/>
      <c r="AD56"/>
      <c r="AE56"/>
      <c r="AF56"/>
    </row>
    <row r="57" spans="1:32">
      <c r="A57" s="9" t="s">
        <v>200</v>
      </c>
      <c r="B57" s="1122" t="s">
        <v>167</v>
      </c>
      <c r="C57" s="1122"/>
      <c r="D57" s="354" t="s">
        <v>180</v>
      </c>
      <c r="E57" s="357" t="s">
        <v>1168</v>
      </c>
      <c r="F57" s="1160">
        <f t="shared" ref="F57:F66" si="3">F44/F17</f>
        <v>3.8384426440343733E-2</v>
      </c>
      <c r="G57" s="1160"/>
    </row>
    <row r="58" spans="1:32">
      <c r="A58" s="9" t="s">
        <v>202</v>
      </c>
      <c r="B58" s="1122" t="s">
        <v>167</v>
      </c>
      <c r="C58" s="1122"/>
      <c r="D58" s="354" t="s">
        <v>180</v>
      </c>
      <c r="E58" s="357" t="s">
        <v>1168</v>
      </c>
      <c r="F58" s="1160">
        <f t="shared" si="3"/>
        <v>3.8384426440343733E-2</v>
      </c>
      <c r="G58" s="1160"/>
    </row>
    <row r="59" spans="1:32">
      <c r="A59" s="9" t="s">
        <v>201</v>
      </c>
      <c r="B59" s="1122" t="s">
        <v>167</v>
      </c>
      <c r="C59" s="1122"/>
      <c r="D59" s="354" t="s">
        <v>180</v>
      </c>
      <c r="E59" s="357" t="s">
        <v>1168</v>
      </c>
      <c r="F59" s="1160">
        <f t="shared" si="3"/>
        <v>3.838442644034374E-2</v>
      </c>
      <c r="G59" s="1160"/>
    </row>
    <row r="60" spans="1:32">
      <c r="A60" s="9" t="s">
        <v>203</v>
      </c>
      <c r="B60" s="1122" t="s">
        <v>167</v>
      </c>
      <c r="C60" s="1122"/>
      <c r="D60" s="354" t="s">
        <v>180</v>
      </c>
      <c r="E60" s="357" t="s">
        <v>1168</v>
      </c>
      <c r="F60" s="1160">
        <f t="shared" si="3"/>
        <v>3.8384426440343733E-2</v>
      </c>
      <c r="G60" s="1160"/>
    </row>
    <row r="61" spans="1:32">
      <c r="A61" s="9" t="s">
        <v>1030</v>
      </c>
      <c r="B61" s="1122" t="s">
        <v>167</v>
      </c>
      <c r="C61" s="1122"/>
      <c r="D61" s="354" t="s">
        <v>180</v>
      </c>
      <c r="E61" s="357" t="s">
        <v>1168</v>
      </c>
      <c r="F61" s="1160">
        <f t="shared" si="3"/>
        <v>3.8384426440343733E-2</v>
      </c>
      <c r="G61" s="1160"/>
    </row>
    <row r="62" spans="1:32">
      <c r="A62" s="9" t="s">
        <v>142</v>
      </c>
      <c r="B62" s="1122" t="s">
        <v>167</v>
      </c>
      <c r="C62" s="1122"/>
      <c r="D62" s="354" t="s">
        <v>180</v>
      </c>
      <c r="E62" s="357" t="s">
        <v>1168</v>
      </c>
      <c r="F62" s="1160">
        <f t="shared" si="3"/>
        <v>3.8384426440343733E-2</v>
      </c>
      <c r="G62" s="1160"/>
    </row>
    <row r="63" spans="1:32">
      <c r="A63" s="9" t="s">
        <v>138</v>
      </c>
      <c r="B63" s="1122" t="s">
        <v>167</v>
      </c>
      <c r="C63" s="1122"/>
      <c r="D63" s="354" t="s">
        <v>180</v>
      </c>
      <c r="E63" s="357" t="s">
        <v>1168</v>
      </c>
      <c r="F63" s="1160">
        <f t="shared" si="3"/>
        <v>3.838442644034374E-2</v>
      </c>
      <c r="G63" s="1160"/>
    </row>
    <row r="64" spans="1:32">
      <c r="A64" s="9" t="s">
        <v>1032</v>
      </c>
      <c r="B64" s="1122" t="s">
        <v>167</v>
      </c>
      <c r="C64" s="1122"/>
      <c r="D64" s="354" t="s">
        <v>180</v>
      </c>
      <c r="E64" s="357" t="s">
        <v>1168</v>
      </c>
      <c r="F64" s="1160">
        <f t="shared" si="3"/>
        <v>3.8384426440343733E-2</v>
      </c>
      <c r="G64" s="1160"/>
    </row>
    <row r="65" spans="1:7">
      <c r="A65" s="9" t="s">
        <v>946</v>
      </c>
      <c r="B65" s="1122" t="s">
        <v>167</v>
      </c>
      <c r="C65" s="1122"/>
      <c r="D65" s="354" t="s">
        <v>180</v>
      </c>
      <c r="E65" s="357" t="s">
        <v>1168</v>
      </c>
      <c r="F65" s="1160">
        <f t="shared" si="3"/>
        <v>3.8384426440343733E-2</v>
      </c>
      <c r="G65" s="1160"/>
    </row>
    <row r="66" spans="1:7">
      <c r="A66" s="9" t="s">
        <v>153</v>
      </c>
      <c r="B66" s="1122" t="s">
        <v>167</v>
      </c>
      <c r="C66" s="1122"/>
      <c r="D66" s="354" t="s">
        <v>180</v>
      </c>
      <c r="E66" s="357" t="s">
        <v>1168</v>
      </c>
      <c r="F66" s="1160">
        <f t="shared" si="3"/>
        <v>3.838442644034374E-2</v>
      </c>
      <c r="G66" s="1160"/>
    </row>
  </sheetData>
  <mergeCells count="63">
    <mergeCell ref="A55:S55"/>
    <mergeCell ref="B52:C52"/>
    <mergeCell ref="F52:G52"/>
    <mergeCell ref="B53:C53"/>
    <mergeCell ref="F53:G53"/>
    <mergeCell ref="B49:C49"/>
    <mergeCell ref="F49:G49"/>
    <mergeCell ref="B50:C50"/>
    <mergeCell ref="F50:G50"/>
    <mergeCell ref="B51:C51"/>
    <mergeCell ref="F51:G51"/>
    <mergeCell ref="B65:C65"/>
    <mergeCell ref="F65:G65"/>
    <mergeCell ref="B66:C66"/>
    <mergeCell ref="F66:G66"/>
    <mergeCell ref="B43:C43"/>
    <mergeCell ref="F43:G43"/>
    <mergeCell ref="B44:C44"/>
    <mergeCell ref="F44:G44"/>
    <mergeCell ref="B45:C45"/>
    <mergeCell ref="F45:G45"/>
    <mergeCell ref="B46:C46"/>
    <mergeCell ref="F46:G46"/>
    <mergeCell ref="B47:C47"/>
    <mergeCell ref="F47:G47"/>
    <mergeCell ref="B48:C48"/>
    <mergeCell ref="F48:G48"/>
    <mergeCell ref="B62:C62"/>
    <mergeCell ref="F62:G62"/>
    <mergeCell ref="B63:C63"/>
    <mergeCell ref="F63:G63"/>
    <mergeCell ref="B64:C64"/>
    <mergeCell ref="F64:G64"/>
    <mergeCell ref="B59:C59"/>
    <mergeCell ref="F59:G59"/>
    <mergeCell ref="B60:C60"/>
    <mergeCell ref="F60:G60"/>
    <mergeCell ref="B61:C61"/>
    <mergeCell ref="F61:G61"/>
    <mergeCell ref="B56:C56"/>
    <mergeCell ref="F56:G56"/>
    <mergeCell ref="B57:C57"/>
    <mergeCell ref="F57:G57"/>
    <mergeCell ref="B58:C58"/>
    <mergeCell ref="F58:G58"/>
    <mergeCell ref="A1:S1"/>
    <mergeCell ref="A11:S11"/>
    <mergeCell ref="A15:S15"/>
    <mergeCell ref="K8:S8"/>
    <mergeCell ref="K9:S9"/>
    <mergeCell ref="E8:J8"/>
    <mergeCell ref="E5:J5"/>
    <mergeCell ref="E4:J4"/>
    <mergeCell ref="E3:J3"/>
    <mergeCell ref="A7:S7"/>
    <mergeCell ref="K5:S5"/>
    <mergeCell ref="A42:S42"/>
    <mergeCell ref="A29:S29"/>
    <mergeCell ref="E9:J9"/>
    <mergeCell ref="K2:S2"/>
    <mergeCell ref="K3:S3"/>
    <mergeCell ref="K4:S4"/>
    <mergeCell ref="E2:J2"/>
  </mergeCells>
  <hyperlinks>
    <hyperlink ref="E3" r:id="rId1" xr:uid="{EC478C41-FD79-4A80-90A5-A4C995E9C799}"/>
    <hyperlink ref="E4" r:id="rId2" xr:uid="{0BE46C12-9DCE-4514-AC21-F5B12C7BE577}"/>
    <hyperlink ref="E9" r:id="rId3" xr:uid="{8944310B-A01A-4335-80FB-61F4F7599E86}"/>
  </hyperlinks>
  <pageMargins left="0.7" right="0.7" top="0.75" bottom="0.75" header="0.3" footer="0.3"/>
  <pageSetup paperSize="9" orientation="portrait" horizontalDpi="4294967293" verticalDpi="0"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22641-4272-444A-947A-30524556CEF4}">
  <sheetPr>
    <tabColor theme="8"/>
  </sheetPr>
  <dimension ref="A1:AB62"/>
  <sheetViews>
    <sheetView topLeftCell="B1" workbookViewId="0">
      <selection activeCell="B35" sqref="B35"/>
    </sheetView>
  </sheetViews>
  <sheetFormatPr defaultRowHeight="14.4"/>
  <cols>
    <col min="1" max="1" width="9.6640625" bestFit="1" customWidth="1"/>
    <col min="6" max="6" width="27.33203125" bestFit="1" customWidth="1"/>
  </cols>
  <sheetData>
    <row r="1" spans="1:28">
      <c r="A1" t="s">
        <v>1088</v>
      </c>
    </row>
    <row r="2" spans="1:28">
      <c r="A2" s="140" t="s">
        <v>1085</v>
      </c>
      <c r="B2" s="140" t="s">
        <v>101</v>
      </c>
      <c r="C2" s="140" t="s">
        <v>182</v>
      </c>
      <c r="D2" s="140" t="s">
        <v>180</v>
      </c>
      <c r="E2" s="140" t="s">
        <v>1086</v>
      </c>
      <c r="F2" s="370" t="s">
        <v>104</v>
      </c>
      <c r="G2" s="225" t="s">
        <v>1087</v>
      </c>
      <c r="H2" s="225" t="s">
        <v>1181</v>
      </c>
    </row>
    <row r="3" spans="1:28">
      <c r="A3" s="383" t="s">
        <v>1088</v>
      </c>
      <c r="B3" s="357">
        <v>1990</v>
      </c>
      <c r="C3" s="387">
        <v>418764395</v>
      </c>
      <c r="D3" s="387">
        <v>14951510</v>
      </c>
      <c r="E3" s="384"/>
      <c r="F3" s="385" t="s">
        <v>1182</v>
      </c>
      <c r="G3" s="369">
        <f t="shared" ref="G3:G12" si="0">D3/C3</f>
        <v>3.5703871146924991E-2</v>
      </c>
      <c r="H3" s="369">
        <f>C3/D3</f>
        <v>28.008167402489782</v>
      </c>
    </row>
    <row r="4" spans="1:28">
      <c r="A4" s="383" t="s">
        <v>1088</v>
      </c>
      <c r="B4" s="357">
        <v>1995</v>
      </c>
      <c r="C4" s="387">
        <v>424301173</v>
      </c>
      <c r="D4" s="387">
        <v>15459006</v>
      </c>
      <c r="E4" s="382"/>
      <c r="F4" s="386" t="s">
        <v>1182</v>
      </c>
      <c r="G4" s="369">
        <f t="shared" si="0"/>
        <v>3.6434040214166456E-2</v>
      </c>
      <c r="H4" s="369">
        <f t="shared" ref="H4:H12" si="1">C4/D4</f>
        <v>27.446859972756332</v>
      </c>
    </row>
    <row r="5" spans="1:28">
      <c r="A5" s="383" t="s">
        <v>1088</v>
      </c>
      <c r="B5" s="357">
        <v>2000</v>
      </c>
      <c r="C5" s="387">
        <v>428929021</v>
      </c>
      <c r="D5" s="387">
        <v>15925513</v>
      </c>
      <c r="E5" s="382"/>
      <c r="F5" s="386" t="s">
        <v>1182</v>
      </c>
      <c r="G5" s="369">
        <f t="shared" si="0"/>
        <v>3.7128550926378096E-2</v>
      </c>
      <c r="H5" s="369">
        <f t="shared" si="1"/>
        <v>26.933450809402498</v>
      </c>
    </row>
    <row r="6" spans="1:28">
      <c r="A6" s="383" t="s">
        <v>1088</v>
      </c>
      <c r="B6" s="357">
        <v>2005</v>
      </c>
      <c r="C6" s="387">
        <v>435116254</v>
      </c>
      <c r="D6" s="387">
        <v>16319868</v>
      </c>
      <c r="E6" s="382"/>
      <c r="F6" s="386" t="s">
        <v>1182</v>
      </c>
      <c r="G6" s="369">
        <f t="shared" si="0"/>
        <v>3.7506914186662396E-2</v>
      </c>
      <c r="H6" s="369">
        <f t="shared" si="1"/>
        <v>26.661750818082599</v>
      </c>
    </row>
    <row r="7" spans="1:28">
      <c r="A7" s="383" t="s">
        <v>1088</v>
      </c>
      <c r="B7" s="357">
        <v>2010</v>
      </c>
      <c r="C7" s="387">
        <v>441041446</v>
      </c>
      <c r="D7" s="387">
        <v>16615394</v>
      </c>
      <c r="E7" s="382"/>
      <c r="F7" s="386" t="s">
        <v>1182</v>
      </c>
      <c r="G7" s="369">
        <f t="shared" si="0"/>
        <v>3.7673089798458535E-2</v>
      </c>
      <c r="H7" s="369">
        <f t="shared" si="1"/>
        <v>26.544146109324881</v>
      </c>
    </row>
    <row r="8" spans="1:28">
      <c r="A8" s="383" t="s">
        <v>1088</v>
      </c>
      <c r="B8" s="357">
        <v>2015</v>
      </c>
      <c r="C8" s="387">
        <v>444234821</v>
      </c>
      <c r="D8" s="387">
        <v>16939923</v>
      </c>
      <c r="E8" s="382"/>
      <c r="F8" s="386" t="s">
        <v>1182</v>
      </c>
      <c r="G8" s="369">
        <f t="shared" si="0"/>
        <v>3.8132812195737352E-2</v>
      </c>
      <c r="H8" s="369">
        <f t="shared" si="1"/>
        <v>26.224134607931806</v>
      </c>
    </row>
    <row r="9" spans="1:28">
      <c r="A9" s="383" t="s">
        <v>1088</v>
      </c>
      <c r="B9" s="357">
        <v>2019</v>
      </c>
      <c r="C9" s="387">
        <v>447022255</v>
      </c>
      <c r="D9" s="387">
        <v>17344874</v>
      </c>
      <c r="E9" s="382"/>
      <c r="F9" s="386" t="s">
        <v>1182</v>
      </c>
      <c r="G9" s="369">
        <f t="shared" si="0"/>
        <v>3.8800918312221391E-2</v>
      </c>
      <c r="H9" s="369">
        <f t="shared" si="1"/>
        <v>25.772585894829792</v>
      </c>
    </row>
    <row r="10" spans="1:28">
      <c r="A10" s="383" t="s">
        <v>1088</v>
      </c>
      <c r="B10" s="357">
        <v>2020</v>
      </c>
      <c r="C10" s="387">
        <v>447346360</v>
      </c>
      <c r="D10" s="387">
        <v>17441500</v>
      </c>
      <c r="E10" s="384" t="s">
        <v>1089</v>
      </c>
      <c r="F10" s="385" t="s">
        <v>1182</v>
      </c>
      <c r="G10" s="369">
        <f>D10/C10</f>
        <v>3.8988805005588961E-2</v>
      </c>
      <c r="H10" s="369">
        <f t="shared" si="1"/>
        <v>25.648388040019494</v>
      </c>
    </row>
    <row r="11" spans="1:28">
      <c r="A11" s="383" t="s">
        <v>1088</v>
      </c>
      <c r="B11" s="382">
        <v>2021</v>
      </c>
      <c r="C11" s="387">
        <v>446904604</v>
      </c>
      <c r="D11" s="387">
        <v>17533044</v>
      </c>
      <c r="E11" s="382"/>
      <c r="F11" s="386" t="s">
        <v>1182</v>
      </c>
      <c r="G11" s="369">
        <f t="shared" si="0"/>
        <v>3.923218477292751E-2</v>
      </c>
      <c r="H11" s="369">
        <f t="shared" si="1"/>
        <v>25.489276362963555</v>
      </c>
    </row>
    <row r="12" spans="1:28">
      <c r="A12" s="383" t="s">
        <v>1088</v>
      </c>
      <c r="B12" s="382">
        <v>2022</v>
      </c>
      <c r="C12" s="387">
        <v>447033117</v>
      </c>
      <c r="D12" s="387">
        <v>17700982</v>
      </c>
      <c r="E12" s="382"/>
      <c r="F12" s="386" t="s">
        <v>1182</v>
      </c>
      <c r="G12" s="369">
        <f t="shared" si="0"/>
        <v>3.9596578702691503E-2</v>
      </c>
      <c r="H12" s="369">
        <f t="shared" si="1"/>
        <v>25.254707168223774</v>
      </c>
    </row>
    <row r="14" spans="1:28">
      <c r="B14" s="390" t="s">
        <v>1183</v>
      </c>
      <c r="C14" s="388"/>
      <c r="D14" s="388"/>
      <c r="E14" s="388"/>
      <c r="F14" s="388"/>
      <c r="G14" s="388"/>
      <c r="H14" s="388"/>
      <c r="I14" s="388"/>
      <c r="J14" s="388"/>
      <c r="K14" s="388"/>
      <c r="L14" s="388"/>
      <c r="M14" s="388"/>
      <c r="N14" s="388"/>
      <c r="O14" s="388"/>
      <c r="P14" s="388"/>
      <c r="Q14" s="388"/>
      <c r="R14" s="388"/>
      <c r="S14" s="388"/>
      <c r="T14" s="388"/>
      <c r="U14" s="388"/>
      <c r="V14" s="388"/>
      <c r="W14" s="388"/>
      <c r="X14" s="388"/>
      <c r="Y14" s="388"/>
      <c r="Z14" s="388"/>
      <c r="AA14" s="388"/>
      <c r="AB14" s="388"/>
    </row>
    <row r="15" spans="1:28">
      <c r="B15" s="390" t="s">
        <v>1184</v>
      </c>
      <c r="C15" s="389" t="s">
        <v>1185</v>
      </c>
      <c r="D15" s="388"/>
      <c r="E15" s="388"/>
      <c r="F15" s="388"/>
      <c r="G15" s="388"/>
      <c r="H15" s="388"/>
      <c r="I15" s="388"/>
      <c r="J15" s="388"/>
      <c r="K15" s="388"/>
      <c r="L15" s="388"/>
      <c r="M15" s="388"/>
      <c r="N15" s="388"/>
      <c r="O15" s="388"/>
      <c r="P15" s="388"/>
      <c r="Q15" s="388"/>
      <c r="R15" s="388"/>
      <c r="S15" s="388"/>
      <c r="T15" s="388"/>
      <c r="U15" s="388"/>
      <c r="V15" s="388"/>
      <c r="W15" s="388"/>
      <c r="X15" s="388"/>
      <c r="Y15" s="388"/>
      <c r="Z15" s="388"/>
      <c r="AA15" s="388"/>
      <c r="AB15" s="388"/>
    </row>
    <row r="16" spans="1:28">
      <c r="B16" s="390" t="s">
        <v>1186</v>
      </c>
      <c r="C16" s="390" t="s">
        <v>1187</v>
      </c>
      <c r="D16" s="388"/>
      <c r="E16" s="388"/>
      <c r="F16" s="388"/>
      <c r="G16" s="388"/>
      <c r="H16" s="388"/>
      <c r="I16" s="388"/>
      <c r="J16" s="388"/>
      <c r="K16" s="388"/>
      <c r="L16" s="388"/>
      <c r="M16" s="388"/>
      <c r="N16" s="388"/>
      <c r="O16" s="388"/>
      <c r="P16" s="388"/>
      <c r="Q16" s="388"/>
      <c r="R16" s="388"/>
      <c r="S16" s="388"/>
      <c r="T16" s="388"/>
      <c r="U16" s="388"/>
      <c r="V16" s="388"/>
      <c r="W16" s="388"/>
      <c r="X16" s="388"/>
      <c r="Y16" s="388"/>
      <c r="Z16" s="388"/>
      <c r="AA16" s="388"/>
      <c r="AB16" s="388"/>
    </row>
    <row r="17" spans="2:28">
      <c r="B17" s="388"/>
      <c r="C17" s="388"/>
      <c r="D17" s="388"/>
      <c r="E17" s="388"/>
      <c r="F17" s="388"/>
      <c r="G17" s="388"/>
      <c r="H17" s="388"/>
      <c r="I17" s="388"/>
      <c r="J17" s="388"/>
      <c r="K17" s="388"/>
      <c r="L17" s="388"/>
      <c r="M17" s="388"/>
      <c r="N17" s="388"/>
      <c r="O17" s="388"/>
      <c r="P17" s="388"/>
      <c r="Q17" s="388"/>
      <c r="R17" s="388"/>
      <c r="S17" s="388"/>
      <c r="T17" s="388"/>
      <c r="U17" s="388"/>
      <c r="V17" s="388"/>
      <c r="W17" s="388"/>
      <c r="X17" s="388"/>
      <c r="Y17" s="388"/>
      <c r="Z17" s="388"/>
      <c r="AA17" s="388"/>
      <c r="AB17" s="388"/>
    </row>
    <row r="18" spans="2:28">
      <c r="B18" s="389" t="s">
        <v>1188</v>
      </c>
      <c r="C18" s="388"/>
      <c r="D18" s="390" t="s">
        <v>1189</v>
      </c>
      <c r="E18" s="388"/>
      <c r="F18" s="388"/>
      <c r="G18" s="388"/>
      <c r="H18" s="388"/>
      <c r="I18" s="388"/>
      <c r="J18" s="388"/>
      <c r="K18" s="388"/>
      <c r="L18" s="388"/>
      <c r="M18" s="388"/>
      <c r="N18" s="388"/>
      <c r="O18" s="388"/>
      <c r="P18" s="388"/>
      <c r="Q18" s="388"/>
      <c r="R18" s="388"/>
      <c r="S18" s="388"/>
      <c r="T18" s="388"/>
      <c r="U18" s="388"/>
      <c r="V18" s="388"/>
      <c r="W18" s="388"/>
      <c r="X18" s="388"/>
      <c r="Y18" s="388"/>
      <c r="Z18" s="388"/>
      <c r="AA18" s="388"/>
      <c r="AB18" s="388"/>
    </row>
    <row r="19" spans="2:28">
      <c r="B19" s="389" t="s">
        <v>1190</v>
      </c>
      <c r="C19" s="388"/>
      <c r="D19" s="390" t="s">
        <v>1191</v>
      </c>
      <c r="E19" s="388"/>
      <c r="F19" s="388"/>
      <c r="G19" s="388"/>
      <c r="H19" s="388"/>
      <c r="I19" s="388"/>
      <c r="J19" s="388"/>
      <c r="K19" s="388"/>
      <c r="L19" s="388"/>
      <c r="M19" s="388"/>
      <c r="N19" s="388"/>
      <c r="O19" s="388"/>
      <c r="P19" s="388"/>
      <c r="Q19" s="388"/>
      <c r="R19" s="388"/>
      <c r="S19" s="388"/>
      <c r="T19" s="388"/>
      <c r="U19" s="388"/>
      <c r="V19" s="388"/>
      <c r="W19" s="388"/>
      <c r="X19" s="388"/>
      <c r="Y19" s="388"/>
      <c r="Z19" s="388"/>
      <c r="AA19" s="388"/>
      <c r="AB19" s="388"/>
    </row>
    <row r="20" spans="2:28">
      <c r="B20" s="388"/>
      <c r="C20" s="388"/>
      <c r="D20" s="388"/>
      <c r="E20" s="388"/>
      <c r="F20" s="388"/>
      <c r="G20" s="388"/>
      <c r="H20" s="388"/>
      <c r="I20" s="388"/>
      <c r="J20" s="388"/>
      <c r="K20" s="388"/>
      <c r="L20" s="388"/>
      <c r="M20" s="388"/>
      <c r="N20" s="388"/>
      <c r="O20" s="388"/>
      <c r="P20" s="388"/>
      <c r="Q20" s="388"/>
      <c r="R20" s="388"/>
      <c r="S20" s="388"/>
      <c r="T20" s="388"/>
      <c r="U20" s="388"/>
      <c r="V20" s="388"/>
      <c r="W20" s="388"/>
      <c r="X20" s="388"/>
      <c r="Y20" s="388"/>
      <c r="Z20" s="388"/>
      <c r="AA20" s="388"/>
      <c r="AB20" s="388"/>
    </row>
    <row r="21" spans="2:28">
      <c r="B21" s="391" t="s">
        <v>1192</v>
      </c>
      <c r="C21" s="1161" t="s">
        <v>1193</v>
      </c>
      <c r="D21" s="1161" t="s">
        <v>249</v>
      </c>
      <c r="E21" s="1161" t="s">
        <v>1194</v>
      </c>
      <c r="F21" s="1161" t="s">
        <v>249</v>
      </c>
      <c r="G21" s="1161" t="s">
        <v>1195</v>
      </c>
      <c r="H21" s="1161" t="s">
        <v>249</v>
      </c>
      <c r="I21" s="1161" t="s">
        <v>1196</v>
      </c>
      <c r="J21" s="1161" t="s">
        <v>249</v>
      </c>
      <c r="K21" s="1161" t="s">
        <v>1197</v>
      </c>
      <c r="L21" s="1161" t="s">
        <v>249</v>
      </c>
      <c r="M21" s="1161" t="s">
        <v>1198</v>
      </c>
      <c r="N21" s="1161" t="s">
        <v>249</v>
      </c>
      <c r="O21" s="1161" t="s">
        <v>1199</v>
      </c>
      <c r="P21" s="1161" t="s">
        <v>249</v>
      </c>
      <c r="Q21" s="1161" t="s">
        <v>1200</v>
      </c>
      <c r="R21" s="1161" t="s">
        <v>249</v>
      </c>
      <c r="S21" s="1161" t="s">
        <v>1201</v>
      </c>
      <c r="T21" s="1161" t="s">
        <v>249</v>
      </c>
      <c r="U21" s="1161" t="s">
        <v>1202</v>
      </c>
      <c r="V21" s="1161" t="s">
        <v>249</v>
      </c>
      <c r="W21" s="1161" t="s">
        <v>1203</v>
      </c>
      <c r="X21" s="1161" t="s">
        <v>249</v>
      </c>
      <c r="Y21" s="1161" t="s">
        <v>1204</v>
      </c>
      <c r="Z21" s="1161" t="s">
        <v>249</v>
      </c>
      <c r="AA21" s="1161" t="s">
        <v>1205</v>
      </c>
      <c r="AB21" s="1161" t="s">
        <v>249</v>
      </c>
    </row>
    <row r="22" spans="2:28">
      <c r="B22" s="392" t="s">
        <v>1206</v>
      </c>
      <c r="C22" s="394" t="s">
        <v>249</v>
      </c>
      <c r="D22" s="394" t="s">
        <v>249</v>
      </c>
      <c r="E22" s="394" t="s">
        <v>249</v>
      </c>
      <c r="F22" s="394" t="s">
        <v>249</v>
      </c>
      <c r="G22" s="394" t="s">
        <v>249</v>
      </c>
      <c r="H22" s="394" t="s">
        <v>249</v>
      </c>
      <c r="I22" s="394" t="s">
        <v>249</v>
      </c>
      <c r="J22" s="394" t="s">
        <v>249</v>
      </c>
      <c r="K22" s="394" t="s">
        <v>249</v>
      </c>
      <c r="L22" s="394" t="s">
        <v>249</v>
      </c>
      <c r="M22" s="394" t="s">
        <v>249</v>
      </c>
      <c r="N22" s="394" t="s">
        <v>249</v>
      </c>
      <c r="O22" s="394" t="s">
        <v>249</v>
      </c>
      <c r="P22" s="394" t="s">
        <v>249</v>
      </c>
      <c r="Q22" s="394" t="s">
        <v>249</v>
      </c>
      <c r="R22" s="394" t="s">
        <v>249</v>
      </c>
      <c r="S22" s="394" t="s">
        <v>249</v>
      </c>
      <c r="T22" s="394" t="s">
        <v>249</v>
      </c>
      <c r="U22" s="394" t="s">
        <v>249</v>
      </c>
      <c r="V22" s="394" t="s">
        <v>249</v>
      </c>
      <c r="W22" s="394" t="s">
        <v>249</v>
      </c>
      <c r="X22" s="394" t="s">
        <v>249</v>
      </c>
      <c r="Y22" s="394" t="s">
        <v>249</v>
      </c>
      <c r="Z22" s="394" t="s">
        <v>249</v>
      </c>
      <c r="AA22" s="394" t="s">
        <v>249</v>
      </c>
      <c r="AB22" s="394" t="s">
        <v>249</v>
      </c>
    </row>
    <row r="23" spans="2:28">
      <c r="B23" s="393" t="s">
        <v>1207</v>
      </c>
      <c r="C23" s="396">
        <v>418764395</v>
      </c>
      <c r="D23" s="396" t="s">
        <v>249</v>
      </c>
      <c r="E23" s="396">
        <v>424301173</v>
      </c>
      <c r="F23" s="396" t="s">
        <v>249</v>
      </c>
      <c r="G23" s="396">
        <v>428929021</v>
      </c>
      <c r="H23" s="396" t="s">
        <v>1208</v>
      </c>
      <c r="I23" s="396">
        <v>443274551</v>
      </c>
      <c r="J23" s="396" t="s">
        <v>1208</v>
      </c>
      <c r="K23" s="396">
        <v>444234821</v>
      </c>
      <c r="L23" s="396" t="s">
        <v>1208</v>
      </c>
      <c r="M23" s="396">
        <v>445167186</v>
      </c>
      <c r="N23" s="396" t="s">
        <v>249</v>
      </c>
      <c r="O23" s="396">
        <v>445871494</v>
      </c>
      <c r="P23" s="396" t="s">
        <v>1208</v>
      </c>
      <c r="Q23" s="396">
        <v>446655355</v>
      </c>
      <c r="R23" s="396" t="s">
        <v>1209</v>
      </c>
      <c r="S23" s="396">
        <v>447022255</v>
      </c>
      <c r="T23" s="396" t="s">
        <v>1210</v>
      </c>
      <c r="U23" s="396">
        <v>447346360</v>
      </c>
      <c r="V23" s="396" t="s">
        <v>1211</v>
      </c>
      <c r="W23" s="396">
        <v>446904604</v>
      </c>
      <c r="X23" s="396" t="s">
        <v>1210</v>
      </c>
      <c r="Y23" s="396">
        <v>447033117</v>
      </c>
      <c r="Z23" s="396" t="s">
        <v>1210</v>
      </c>
      <c r="AA23" s="396" t="s">
        <v>1212</v>
      </c>
      <c r="AB23" s="396" t="s">
        <v>249</v>
      </c>
    </row>
    <row r="24" spans="2:28">
      <c r="B24" s="393" t="s">
        <v>1213</v>
      </c>
      <c r="C24" s="395">
        <v>476011981</v>
      </c>
      <c r="D24" s="395" t="s">
        <v>249</v>
      </c>
      <c r="E24" s="395">
        <v>482320203</v>
      </c>
      <c r="F24" s="395" t="s">
        <v>249</v>
      </c>
      <c r="G24" s="395">
        <v>487821535</v>
      </c>
      <c r="H24" s="395" t="s">
        <v>1208</v>
      </c>
      <c r="I24" s="395">
        <v>507876849</v>
      </c>
      <c r="J24" s="395" t="s">
        <v>1208</v>
      </c>
      <c r="K24" s="395">
        <v>509351040</v>
      </c>
      <c r="L24" s="395" t="s">
        <v>1208</v>
      </c>
      <c r="M24" s="395">
        <v>510778779</v>
      </c>
      <c r="N24" s="395" t="s">
        <v>249</v>
      </c>
      <c r="O24" s="395">
        <v>511930353</v>
      </c>
      <c r="P24" s="395" t="s">
        <v>1208</v>
      </c>
      <c r="Q24" s="395" t="s">
        <v>1212</v>
      </c>
      <c r="R24" s="395" t="s">
        <v>249</v>
      </c>
      <c r="S24" s="395">
        <v>513858582</v>
      </c>
      <c r="T24" s="395" t="s">
        <v>1210</v>
      </c>
      <c r="U24" s="395" t="s">
        <v>1212</v>
      </c>
      <c r="V24" s="395" t="s">
        <v>249</v>
      </c>
      <c r="W24" s="395" t="s">
        <v>1212</v>
      </c>
      <c r="X24" s="395" t="s">
        <v>249</v>
      </c>
      <c r="Y24" s="395" t="s">
        <v>1212</v>
      </c>
      <c r="Z24" s="395" t="s">
        <v>249</v>
      </c>
      <c r="AA24" s="395" t="s">
        <v>1212</v>
      </c>
      <c r="AB24" s="395" t="s">
        <v>249</v>
      </c>
    </row>
    <row r="25" spans="2:28">
      <c r="B25" s="393" t="s">
        <v>1214</v>
      </c>
      <c r="C25" s="396">
        <v>14951510</v>
      </c>
      <c r="D25" s="396" t="s">
        <v>249</v>
      </c>
      <c r="E25" s="396">
        <v>15459006</v>
      </c>
      <c r="F25" s="396" t="s">
        <v>249</v>
      </c>
      <c r="G25" s="396">
        <v>15925513</v>
      </c>
      <c r="H25" s="396" t="s">
        <v>249</v>
      </c>
      <c r="I25" s="396">
        <v>16865008</v>
      </c>
      <c r="J25" s="396" t="s">
        <v>249</v>
      </c>
      <c r="K25" s="396">
        <v>16939923</v>
      </c>
      <c r="L25" s="396" t="s">
        <v>249</v>
      </c>
      <c r="M25" s="396">
        <v>17030314</v>
      </c>
      <c r="N25" s="396" t="s">
        <v>249</v>
      </c>
      <c r="O25" s="396">
        <v>17131296</v>
      </c>
      <c r="P25" s="396" t="s">
        <v>249</v>
      </c>
      <c r="Q25" s="396">
        <v>17231624</v>
      </c>
      <c r="R25" s="396" t="s">
        <v>249</v>
      </c>
      <c r="S25" s="396">
        <v>17344874</v>
      </c>
      <c r="T25" s="396" t="s">
        <v>249</v>
      </c>
      <c r="U25" s="396">
        <v>17441500</v>
      </c>
      <c r="V25" s="396" t="s">
        <v>249</v>
      </c>
      <c r="W25" s="396">
        <v>17533044</v>
      </c>
      <c r="X25" s="396" t="s">
        <v>249</v>
      </c>
      <c r="Y25" s="396">
        <v>17700982</v>
      </c>
      <c r="Z25" s="396" t="s">
        <v>249</v>
      </c>
      <c r="AA25" s="396" t="s">
        <v>1212</v>
      </c>
      <c r="AB25" s="396" t="s">
        <v>249</v>
      </c>
    </row>
    <row r="27" spans="2:28">
      <c r="B27" s="389" t="s">
        <v>1215</v>
      </c>
      <c r="C27" s="388"/>
      <c r="D27" s="388"/>
      <c r="E27" s="388"/>
      <c r="F27" s="388"/>
      <c r="G27" s="388"/>
      <c r="H27" s="388"/>
      <c r="I27" s="388"/>
      <c r="J27" s="388"/>
      <c r="K27" s="388"/>
      <c r="L27" s="388"/>
      <c r="M27" s="388"/>
      <c r="N27" s="388"/>
      <c r="O27" s="388"/>
      <c r="P27" s="388"/>
      <c r="Q27" s="388"/>
      <c r="R27" s="388"/>
      <c r="S27" s="388"/>
      <c r="T27" s="388"/>
      <c r="U27" s="388"/>
      <c r="V27" s="388"/>
      <c r="W27" s="388"/>
      <c r="X27" s="388"/>
      <c r="Y27" s="388"/>
      <c r="Z27" s="388"/>
      <c r="AA27" s="388"/>
      <c r="AB27" s="388"/>
    </row>
    <row r="28" spans="2:28">
      <c r="B28" s="389" t="s">
        <v>1212</v>
      </c>
      <c r="C28" s="390" t="s">
        <v>1216</v>
      </c>
      <c r="D28" s="388"/>
      <c r="E28" s="388"/>
      <c r="F28" s="388"/>
      <c r="G28" s="388"/>
      <c r="H28" s="388"/>
      <c r="I28" s="388"/>
      <c r="J28" s="388"/>
      <c r="K28" s="388"/>
      <c r="L28" s="388"/>
      <c r="M28" s="388"/>
      <c r="N28" s="388"/>
      <c r="O28" s="388"/>
      <c r="P28" s="388"/>
      <c r="Q28" s="388"/>
      <c r="R28" s="388"/>
      <c r="S28" s="388"/>
      <c r="T28" s="388"/>
      <c r="U28" s="388"/>
      <c r="V28" s="388"/>
      <c r="W28" s="388"/>
      <c r="X28" s="388"/>
      <c r="Y28" s="388"/>
      <c r="Z28" s="388"/>
      <c r="AA28" s="388"/>
      <c r="AB28" s="388"/>
    </row>
    <row r="29" spans="2:28">
      <c r="B29" s="389" t="s">
        <v>1217</v>
      </c>
      <c r="C29" s="388"/>
      <c r="D29" s="388"/>
      <c r="E29" s="388"/>
      <c r="F29" s="388"/>
      <c r="G29" s="388"/>
      <c r="H29" s="388"/>
      <c r="I29" s="388"/>
      <c r="J29" s="388"/>
      <c r="K29" s="388"/>
      <c r="L29" s="388"/>
      <c r="M29" s="388"/>
      <c r="N29" s="388"/>
      <c r="O29" s="388"/>
      <c r="P29" s="388"/>
      <c r="Q29" s="388"/>
      <c r="R29" s="388"/>
      <c r="S29" s="388"/>
      <c r="T29" s="388"/>
      <c r="U29" s="388"/>
      <c r="V29" s="388"/>
      <c r="W29" s="388"/>
      <c r="X29" s="388"/>
      <c r="Y29" s="388"/>
      <c r="Z29" s="388"/>
      <c r="AA29" s="388"/>
      <c r="AB29" s="388"/>
    </row>
    <row r="30" spans="2:28">
      <c r="B30" s="389" t="s">
        <v>1210</v>
      </c>
      <c r="C30" s="390" t="s">
        <v>1218</v>
      </c>
    </row>
    <row r="31" spans="2:28">
      <c r="B31" s="389" t="s">
        <v>1208</v>
      </c>
      <c r="C31" s="390" t="s">
        <v>1219</v>
      </c>
    </row>
    <row r="32" spans="2:28">
      <c r="B32" s="389" t="s">
        <v>1209</v>
      </c>
      <c r="C32" s="390" t="s">
        <v>1220</v>
      </c>
    </row>
    <row r="33" spans="1:3">
      <c r="B33" s="389" t="s">
        <v>1211</v>
      </c>
      <c r="C33" s="390" t="s">
        <v>1221</v>
      </c>
    </row>
    <row r="34" spans="1:3">
      <c r="A34" t="s">
        <v>1222</v>
      </c>
    </row>
    <row r="35" spans="1:3">
      <c r="A35" s="391" t="s">
        <v>1192</v>
      </c>
      <c r="B35" s="393" t="s">
        <v>1207</v>
      </c>
      <c r="C35" s="393" t="s">
        <v>1214</v>
      </c>
    </row>
    <row r="36" spans="1:3">
      <c r="A36" s="397" t="s">
        <v>1193</v>
      </c>
      <c r="B36" s="396">
        <v>418764395</v>
      </c>
      <c r="C36" s="396">
        <v>14951510</v>
      </c>
    </row>
    <row r="37" spans="1:3">
      <c r="A37" s="397" t="s">
        <v>1194</v>
      </c>
      <c r="B37" s="396">
        <v>424301173</v>
      </c>
      <c r="C37" s="396">
        <v>15459006</v>
      </c>
    </row>
    <row r="38" spans="1:3">
      <c r="A38" s="397" t="s">
        <v>1195</v>
      </c>
      <c r="B38" s="396">
        <v>428929021</v>
      </c>
      <c r="C38" s="396">
        <v>15925513</v>
      </c>
    </row>
    <row r="39" spans="1:3">
      <c r="A39" s="397" t="s">
        <v>1196</v>
      </c>
      <c r="B39" s="396">
        <v>443274551</v>
      </c>
      <c r="C39" s="396">
        <v>16865008</v>
      </c>
    </row>
    <row r="40" spans="1:3">
      <c r="A40" s="397" t="s">
        <v>1197</v>
      </c>
      <c r="B40" s="396">
        <v>444234821</v>
      </c>
      <c r="C40" s="396">
        <v>16939923</v>
      </c>
    </row>
    <row r="41" spans="1:3">
      <c r="A41" s="397" t="s">
        <v>1198</v>
      </c>
      <c r="B41" s="396">
        <v>445167186</v>
      </c>
      <c r="C41" s="396">
        <v>17030314</v>
      </c>
    </row>
    <row r="42" spans="1:3">
      <c r="A42" s="397" t="s">
        <v>1199</v>
      </c>
      <c r="B42" s="396">
        <v>445871494</v>
      </c>
      <c r="C42" s="396">
        <v>17131296</v>
      </c>
    </row>
    <row r="43" spans="1:3">
      <c r="A43" s="397" t="s">
        <v>1200</v>
      </c>
      <c r="B43" s="396">
        <v>446655355</v>
      </c>
      <c r="C43" s="396">
        <v>17231624</v>
      </c>
    </row>
    <row r="44" spans="1:3">
      <c r="A44" s="397" t="s">
        <v>1201</v>
      </c>
      <c r="B44" s="396">
        <v>447022255</v>
      </c>
      <c r="C44" s="396">
        <v>17344874</v>
      </c>
    </row>
    <row r="45" spans="1:3">
      <c r="A45" s="397" t="s">
        <v>1202</v>
      </c>
      <c r="B45" s="396">
        <v>447346360</v>
      </c>
      <c r="C45" s="396">
        <v>17441500</v>
      </c>
    </row>
    <row r="46" spans="1:3">
      <c r="A46" s="397" t="s">
        <v>1203</v>
      </c>
      <c r="B46" s="396">
        <v>446904604</v>
      </c>
      <c r="C46" s="396">
        <v>17533044</v>
      </c>
    </row>
    <row r="47" spans="1:3">
      <c r="A47" s="397" t="s">
        <v>1204</v>
      </c>
      <c r="B47" s="396">
        <v>447033117</v>
      </c>
      <c r="C47" s="396">
        <v>17700982</v>
      </c>
    </row>
    <row r="48" spans="1:3">
      <c r="A48" s="397" t="s">
        <v>1205</v>
      </c>
      <c r="B48" s="396" t="s">
        <v>1212</v>
      </c>
      <c r="C48" s="396" t="s">
        <v>1212</v>
      </c>
    </row>
    <row r="49" spans="1:3">
      <c r="A49" s="397" t="s">
        <v>249</v>
      </c>
      <c r="B49" s="396" t="s">
        <v>249</v>
      </c>
      <c r="C49" s="396" t="s">
        <v>249</v>
      </c>
    </row>
    <row r="52" spans="1:3">
      <c r="A52" t="s">
        <v>1222</v>
      </c>
      <c r="B52" t="s">
        <v>182</v>
      </c>
      <c r="C52" t="s">
        <v>180</v>
      </c>
    </row>
    <row r="53" spans="1:3">
      <c r="A53" s="401" t="s">
        <v>1193</v>
      </c>
      <c r="B53" s="399">
        <v>418764395</v>
      </c>
      <c r="C53" s="400">
        <v>14951510</v>
      </c>
    </row>
    <row r="54" spans="1:3">
      <c r="A54" s="401" t="s">
        <v>1194</v>
      </c>
      <c r="B54" s="399">
        <v>424301173</v>
      </c>
      <c r="C54" s="400">
        <v>15459006</v>
      </c>
    </row>
    <row r="55" spans="1:3">
      <c r="A55" s="401" t="s">
        <v>1195</v>
      </c>
      <c r="B55" s="399">
        <v>428929021</v>
      </c>
      <c r="C55" s="400">
        <v>15925513</v>
      </c>
    </row>
    <row r="56" spans="1:3">
      <c r="A56" s="401" t="s">
        <v>1223</v>
      </c>
      <c r="B56" s="399">
        <v>435116254</v>
      </c>
      <c r="C56" s="400">
        <v>16319868</v>
      </c>
    </row>
    <row r="57" spans="1:3">
      <c r="A57" s="401" t="s">
        <v>1224</v>
      </c>
      <c r="B57" s="399">
        <v>441041446</v>
      </c>
      <c r="C57" s="400">
        <v>16615394</v>
      </c>
    </row>
    <row r="58" spans="1:3">
      <c r="A58" s="401" t="s">
        <v>1197</v>
      </c>
      <c r="B58" s="399">
        <v>444234821</v>
      </c>
      <c r="C58" s="400">
        <v>16939923</v>
      </c>
    </row>
    <row r="59" spans="1:3">
      <c r="A59" s="401" t="s">
        <v>1201</v>
      </c>
      <c r="B59" s="399">
        <v>447022255</v>
      </c>
      <c r="C59" s="400">
        <v>17344874</v>
      </c>
    </row>
    <row r="60" spans="1:3">
      <c r="A60" s="401" t="s">
        <v>1202</v>
      </c>
      <c r="B60" s="399">
        <v>447346360</v>
      </c>
      <c r="C60" s="400">
        <v>17441500</v>
      </c>
    </row>
    <row r="61" spans="1:3">
      <c r="A61" s="401" t="s">
        <v>1203</v>
      </c>
      <c r="B61" s="399">
        <v>446904604</v>
      </c>
      <c r="C61" s="400">
        <v>17533044</v>
      </c>
    </row>
    <row r="62" spans="1:3">
      <c r="A62" s="401" t="s">
        <v>1204</v>
      </c>
      <c r="B62" s="399">
        <v>447033117</v>
      </c>
      <c r="C62" s="400">
        <v>17700982</v>
      </c>
    </row>
  </sheetData>
  <mergeCells count="13">
    <mergeCell ref="C21:D21"/>
    <mergeCell ref="E21:F21"/>
    <mergeCell ref="G21:H21"/>
    <mergeCell ref="I21:J21"/>
    <mergeCell ref="K21:L21"/>
    <mergeCell ref="W21:X21"/>
    <mergeCell ref="Y21:Z21"/>
    <mergeCell ref="AA21:AB21"/>
    <mergeCell ref="M21:N21"/>
    <mergeCell ref="O21:P21"/>
    <mergeCell ref="Q21:R21"/>
    <mergeCell ref="S21:T21"/>
    <mergeCell ref="U21:V21"/>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5C4A0-B492-471D-BA0B-47AC3C4193E6}">
  <sheetPr>
    <tabColor theme="7" tint="0.59999389629810485"/>
  </sheetPr>
  <dimension ref="A1:O82"/>
  <sheetViews>
    <sheetView topLeftCell="A19" workbookViewId="0">
      <selection activeCell="D59" sqref="D59"/>
    </sheetView>
  </sheetViews>
  <sheetFormatPr defaultRowHeight="14.4"/>
  <cols>
    <col min="2" max="2" width="15.88671875" bestFit="1" customWidth="1"/>
    <col min="3" max="3" width="32.5546875" customWidth="1"/>
    <col min="4" max="4" width="28.44140625" bestFit="1" customWidth="1"/>
    <col min="5" max="5" width="32.109375" bestFit="1" customWidth="1"/>
    <col min="6" max="6" width="32.6640625" bestFit="1" customWidth="1"/>
    <col min="7" max="7" width="177.88671875" bestFit="1" customWidth="1"/>
    <col min="13" max="13" width="11" customWidth="1"/>
    <col min="15" max="15" width="20.109375" bestFit="1" customWidth="1"/>
  </cols>
  <sheetData>
    <row r="1" spans="1:15">
      <c r="A1" s="222" t="s">
        <v>101</v>
      </c>
      <c r="B1" s="222" t="s">
        <v>1225</v>
      </c>
      <c r="C1" s="222" t="s">
        <v>1226</v>
      </c>
      <c r="D1" s="222" t="s">
        <v>1227</v>
      </c>
      <c r="E1" s="222" t="s">
        <v>1228</v>
      </c>
      <c r="F1" s="222" t="s">
        <v>1229</v>
      </c>
      <c r="G1" s="222" t="s">
        <v>104</v>
      </c>
      <c r="H1" s="111" t="s">
        <v>134</v>
      </c>
      <c r="I1" s="112" t="s">
        <v>135</v>
      </c>
      <c r="J1" s="112" t="s">
        <v>65</v>
      </c>
      <c r="K1" s="112" t="s">
        <v>67</v>
      </c>
      <c r="L1" s="112" t="s">
        <v>73</v>
      </c>
      <c r="M1" s="113" t="s">
        <v>79</v>
      </c>
      <c r="O1" s="411" t="s">
        <v>1230</v>
      </c>
    </row>
    <row r="2" spans="1:15">
      <c r="A2" s="412">
        <v>1980</v>
      </c>
      <c r="B2" s="412">
        <v>22.5036767</v>
      </c>
      <c r="C2" s="506">
        <f t="shared" ref="C2:C39" si="0">B2/OECD_ref_2018</f>
        <v>0.36060378883928257</v>
      </c>
      <c r="D2">
        <f t="shared" ref="D2:D39" si="1">In_EU_2018*C2</f>
        <v>249.82991094574334</v>
      </c>
      <c r="E2">
        <f t="shared" ref="E2:E39" si="2">In_NL_2018_low*C2</f>
        <v>8.2211048318604494</v>
      </c>
      <c r="F2">
        <f t="shared" ref="F2:F39" si="3">IN_NL_2018_high*C2</f>
        <v>16.777422760387797</v>
      </c>
      <c r="G2" t="s">
        <v>1231</v>
      </c>
      <c r="H2" s="174">
        <v>2</v>
      </c>
      <c r="I2" s="66">
        <v>1</v>
      </c>
      <c r="J2" s="66">
        <v>1</v>
      </c>
      <c r="K2" s="66">
        <v>1</v>
      </c>
      <c r="L2" s="66">
        <v>1</v>
      </c>
      <c r="M2" s="66">
        <v>2</v>
      </c>
    </row>
    <row r="3" spans="1:15">
      <c r="A3" s="412">
        <v>1981</v>
      </c>
      <c r="B3" s="412">
        <v>22.558411880000001</v>
      </c>
      <c r="C3" s="506">
        <f t="shared" si="0"/>
        <v>0.36148087721705868</v>
      </c>
      <c r="D3">
        <f t="shared" si="1"/>
        <v>250.43756654475041</v>
      </c>
      <c r="E3">
        <f t="shared" si="2"/>
        <v>8.2411008377918176</v>
      </c>
      <c r="F3">
        <f t="shared" si="3"/>
        <v>16.818230103426366</v>
      </c>
      <c r="G3" t="s">
        <v>1231</v>
      </c>
      <c r="H3" s="174">
        <v>2</v>
      </c>
      <c r="I3" s="66">
        <v>1</v>
      </c>
      <c r="J3" s="66">
        <v>1</v>
      </c>
      <c r="K3" s="66">
        <v>1</v>
      </c>
      <c r="L3" s="66">
        <v>1</v>
      </c>
      <c r="M3" s="66">
        <v>2</v>
      </c>
    </row>
    <row r="4" spans="1:15">
      <c r="A4" s="412">
        <v>1982</v>
      </c>
      <c r="B4" s="412">
        <v>22.65352575</v>
      </c>
      <c r="C4" s="506">
        <f t="shared" si="0"/>
        <v>0.36300500246780787</v>
      </c>
      <c r="D4">
        <f t="shared" si="1"/>
        <v>251.49349575972195</v>
      </c>
      <c r="E4">
        <f t="shared" si="2"/>
        <v>8.2758480973911315</v>
      </c>
      <c r="F4">
        <f t="shared" si="3"/>
        <v>16.88914143176795</v>
      </c>
      <c r="G4" t="s">
        <v>1231</v>
      </c>
      <c r="H4" s="174">
        <v>2</v>
      </c>
      <c r="I4" s="66">
        <v>1</v>
      </c>
      <c r="J4" s="66">
        <v>1</v>
      </c>
      <c r="K4" s="66">
        <v>1</v>
      </c>
      <c r="L4" s="66">
        <v>1</v>
      </c>
      <c r="M4" s="66">
        <v>2</v>
      </c>
    </row>
    <row r="5" spans="1:15">
      <c r="A5" s="412">
        <v>1983</v>
      </c>
      <c r="B5" s="412">
        <v>24.461622120000001</v>
      </c>
      <c r="C5" s="506">
        <f t="shared" si="0"/>
        <v>0.39197833026221907</v>
      </c>
      <c r="D5">
        <f t="shared" si="1"/>
        <v>271.56650698896794</v>
      </c>
      <c r="E5">
        <f t="shared" si="2"/>
        <v>8.9363868174428802</v>
      </c>
      <c r="F5">
        <f t="shared" si="3"/>
        <v>18.237152141102953</v>
      </c>
      <c r="G5" t="s">
        <v>1231</v>
      </c>
      <c r="H5" s="174">
        <v>2</v>
      </c>
      <c r="I5" s="66">
        <v>1</v>
      </c>
      <c r="J5" s="66">
        <v>1</v>
      </c>
      <c r="K5" s="66">
        <v>1</v>
      </c>
      <c r="L5" s="66">
        <v>1</v>
      </c>
      <c r="M5" s="66">
        <v>2</v>
      </c>
    </row>
    <row r="6" spans="1:15">
      <c r="A6" s="412">
        <v>1984</v>
      </c>
      <c r="B6" s="412">
        <v>25.81452925</v>
      </c>
      <c r="C6" s="506">
        <f t="shared" si="0"/>
        <v>0.41365760709904276</v>
      </c>
      <c r="D6">
        <f t="shared" si="1"/>
        <v>286.58612677428778</v>
      </c>
      <c r="E6">
        <f t="shared" si="2"/>
        <v>9.430634557124522</v>
      </c>
      <c r="F6">
        <f t="shared" si="3"/>
        <v>19.245800424587799</v>
      </c>
      <c r="G6" t="s">
        <v>1231</v>
      </c>
      <c r="H6" s="174">
        <v>2</v>
      </c>
      <c r="I6" s="66">
        <v>1</v>
      </c>
      <c r="J6" s="66">
        <v>1</v>
      </c>
      <c r="K6" s="66">
        <v>1</v>
      </c>
      <c r="L6" s="66">
        <v>1</v>
      </c>
      <c r="M6" s="66">
        <v>2</v>
      </c>
    </row>
    <row r="7" spans="1:15">
      <c r="A7" s="412">
        <v>1985</v>
      </c>
      <c r="B7" s="412">
        <v>26.78568624</v>
      </c>
      <c r="C7" s="506">
        <f t="shared" si="0"/>
        <v>0.42921963702065791</v>
      </c>
      <c r="D7">
        <f t="shared" si="1"/>
        <v>297.36765672428197</v>
      </c>
      <c r="E7">
        <f t="shared" si="2"/>
        <v>9.7854202896703537</v>
      </c>
      <c r="F7">
        <f t="shared" si="3"/>
        <v>19.969838172069998</v>
      </c>
      <c r="G7" t="s">
        <v>1231</v>
      </c>
      <c r="H7" s="174">
        <v>2</v>
      </c>
      <c r="I7" s="66">
        <v>1</v>
      </c>
      <c r="J7" s="66">
        <v>1</v>
      </c>
      <c r="K7" s="66">
        <v>1</v>
      </c>
      <c r="L7" s="66">
        <v>1</v>
      </c>
      <c r="M7" s="66">
        <v>2</v>
      </c>
    </row>
    <row r="8" spans="1:15">
      <c r="A8" s="412">
        <v>1986</v>
      </c>
      <c r="B8" s="412">
        <v>28.008801429999998</v>
      </c>
      <c r="C8" s="506">
        <f t="shared" si="0"/>
        <v>0.44881909970316608</v>
      </c>
      <c r="D8">
        <f t="shared" si="1"/>
        <v>310.94636046535049</v>
      </c>
      <c r="E8">
        <f t="shared" si="2"/>
        <v>10.232252082202766</v>
      </c>
      <c r="F8">
        <f t="shared" si="3"/>
        <v>20.881721190158419</v>
      </c>
      <c r="G8" t="s">
        <v>1231</v>
      </c>
      <c r="H8" s="174">
        <v>2</v>
      </c>
      <c r="I8" s="66">
        <v>1</v>
      </c>
      <c r="J8" s="66">
        <v>1</v>
      </c>
      <c r="K8" s="66">
        <v>1</v>
      </c>
      <c r="L8" s="66">
        <v>1</v>
      </c>
      <c r="M8" s="66">
        <v>2</v>
      </c>
    </row>
    <row r="9" spans="1:15">
      <c r="A9" s="412">
        <v>1987</v>
      </c>
      <c r="B9" s="412">
        <v>29.841345990000001</v>
      </c>
      <c r="C9" s="506">
        <f t="shared" si="0"/>
        <v>0.47818419058863976</v>
      </c>
      <c r="D9">
        <f t="shared" si="1"/>
        <v>331.2907890817155</v>
      </c>
      <c r="E9">
        <f t="shared" si="2"/>
        <v>10.901722282013075</v>
      </c>
      <c r="F9">
        <f t="shared" si="3"/>
        <v>22.247959037432899</v>
      </c>
      <c r="G9" t="s">
        <v>1231</v>
      </c>
      <c r="H9" s="174">
        <v>2</v>
      </c>
      <c r="I9" s="66">
        <v>1</v>
      </c>
      <c r="J9" s="66">
        <v>1</v>
      </c>
      <c r="K9" s="66">
        <v>1</v>
      </c>
      <c r="L9" s="66">
        <v>1</v>
      </c>
      <c r="M9" s="66">
        <v>2</v>
      </c>
    </row>
    <row r="10" spans="1:15">
      <c r="A10" s="412">
        <v>1988</v>
      </c>
      <c r="B10" s="412">
        <v>31.233463759999999</v>
      </c>
      <c r="C10" s="506">
        <f t="shared" si="0"/>
        <v>0.5004917872122836</v>
      </c>
      <c r="D10">
        <f t="shared" si="1"/>
        <v>346.74571509854218</v>
      </c>
      <c r="E10">
        <f t="shared" si="2"/>
        <v>11.410294560136222</v>
      </c>
      <c r="F10">
        <f t="shared" si="3"/>
        <v>23.285840476581829</v>
      </c>
      <c r="G10" t="s">
        <v>1231</v>
      </c>
      <c r="H10" s="174">
        <v>2</v>
      </c>
      <c r="I10" s="66">
        <v>1</v>
      </c>
      <c r="J10" s="66">
        <v>1</v>
      </c>
      <c r="K10" s="66">
        <v>1</v>
      </c>
      <c r="L10" s="66">
        <v>1</v>
      </c>
      <c r="M10" s="66">
        <v>2</v>
      </c>
    </row>
    <row r="11" spans="1:15">
      <c r="A11" s="412">
        <v>1989</v>
      </c>
      <c r="B11" s="412">
        <v>31.640265190000001</v>
      </c>
      <c r="C11" s="506">
        <f t="shared" si="0"/>
        <v>0.5070104614235621</v>
      </c>
      <c r="D11">
        <f t="shared" si="1"/>
        <v>351.26191777885805</v>
      </c>
      <c r="E11">
        <f t="shared" si="2"/>
        <v>11.558908373175083</v>
      </c>
      <c r="F11">
        <f t="shared" si="3"/>
        <v>23.589127786545731</v>
      </c>
      <c r="G11" t="s">
        <v>1231</v>
      </c>
      <c r="H11" s="174">
        <v>2</v>
      </c>
      <c r="I11" s="66">
        <v>1</v>
      </c>
      <c r="J11" s="66">
        <v>1</v>
      </c>
      <c r="K11" s="66">
        <v>1</v>
      </c>
      <c r="L11" s="66">
        <v>1</v>
      </c>
      <c r="M11" s="66">
        <v>2</v>
      </c>
    </row>
    <row r="12" spans="1:15">
      <c r="A12" s="412">
        <v>1990</v>
      </c>
      <c r="B12" s="412">
        <v>32.819377369999998</v>
      </c>
      <c r="C12" s="506">
        <f t="shared" si="0"/>
        <v>0.52590481034453396</v>
      </c>
      <c r="D12">
        <f t="shared" si="1"/>
        <v>364.35211165479654</v>
      </c>
      <c r="E12">
        <f t="shared" si="2"/>
        <v>11.989664865526551</v>
      </c>
      <c r="F12">
        <f t="shared" si="3"/>
        <v>24.468204738703616</v>
      </c>
      <c r="G12" t="s">
        <v>1231</v>
      </c>
      <c r="H12" s="174">
        <v>2</v>
      </c>
      <c r="I12" s="66">
        <v>1</v>
      </c>
      <c r="J12" s="66">
        <v>1</v>
      </c>
      <c r="K12" s="66">
        <v>1</v>
      </c>
      <c r="L12" s="66">
        <v>1</v>
      </c>
      <c r="M12" s="66">
        <v>2</v>
      </c>
    </row>
    <row r="13" spans="1:15">
      <c r="A13" s="412">
        <v>1991</v>
      </c>
      <c r="B13" s="412">
        <v>33.445377110000003</v>
      </c>
      <c r="C13" s="506">
        <f t="shared" si="0"/>
        <v>0.53593596574486047</v>
      </c>
      <c r="D13">
        <f t="shared" si="1"/>
        <v>371.30179642769673</v>
      </c>
      <c r="E13">
        <f t="shared" si="2"/>
        <v>12.218356805775471</v>
      </c>
      <c r="F13">
        <f t="shared" si="3"/>
        <v>24.934913464832483</v>
      </c>
      <c r="G13" t="s">
        <v>1231</v>
      </c>
      <c r="H13" s="174">
        <v>2</v>
      </c>
      <c r="I13" s="66">
        <v>1</v>
      </c>
      <c r="J13" s="66">
        <v>1</v>
      </c>
      <c r="K13" s="66">
        <v>1</v>
      </c>
      <c r="L13" s="66">
        <v>1</v>
      </c>
      <c r="M13" s="66">
        <v>2</v>
      </c>
    </row>
    <row r="14" spans="1:15">
      <c r="A14" s="412">
        <v>1992</v>
      </c>
      <c r="B14" s="412">
        <v>34.929339040000002</v>
      </c>
      <c r="C14" s="506">
        <f t="shared" si="0"/>
        <v>0.55971529307812484</v>
      </c>
      <c r="D14">
        <f t="shared" si="1"/>
        <v>387.77635219745565</v>
      </c>
      <c r="E14">
        <f t="shared" si="2"/>
        <v>12.760481844081767</v>
      </c>
      <c r="F14">
        <f t="shared" si="3"/>
        <v>26.041268528133365</v>
      </c>
      <c r="G14" t="s">
        <v>1231</v>
      </c>
      <c r="H14" s="174">
        <v>2</v>
      </c>
      <c r="I14" s="66">
        <v>1</v>
      </c>
      <c r="J14" s="66">
        <v>1</v>
      </c>
      <c r="K14" s="66">
        <v>1</v>
      </c>
      <c r="L14" s="66">
        <v>1</v>
      </c>
      <c r="M14" s="66">
        <v>2</v>
      </c>
    </row>
    <row r="15" spans="1:15">
      <c r="A15" s="412">
        <v>1993</v>
      </c>
      <c r="B15" s="412">
        <v>35.716374469999998</v>
      </c>
      <c r="C15" s="506">
        <f t="shared" si="0"/>
        <v>0.57232691924891643</v>
      </c>
      <c r="D15">
        <f t="shared" si="1"/>
        <v>396.51381292484177</v>
      </c>
      <c r="E15">
        <f t="shared" si="2"/>
        <v>13.04800378383743</v>
      </c>
      <c r="F15">
        <f t="shared" si="3"/>
        <v>26.628036028953066</v>
      </c>
      <c r="G15" t="s">
        <v>1231</v>
      </c>
      <c r="H15" s="174">
        <v>2</v>
      </c>
      <c r="I15" s="66">
        <v>1</v>
      </c>
      <c r="J15" s="66">
        <v>1</v>
      </c>
      <c r="K15" s="66">
        <v>1</v>
      </c>
      <c r="L15" s="66">
        <v>1</v>
      </c>
      <c r="M15" s="66">
        <v>2</v>
      </c>
    </row>
    <row r="16" spans="1:15">
      <c r="A16" s="412">
        <v>1994</v>
      </c>
      <c r="B16" s="412">
        <v>38.469429210000001</v>
      </c>
      <c r="C16" s="506">
        <f t="shared" si="0"/>
        <v>0.61644246460448704</v>
      </c>
      <c r="D16">
        <f t="shared" si="1"/>
        <v>427.07750390263465</v>
      </c>
      <c r="E16">
        <f t="shared" si="2"/>
        <v>14.053757284792692</v>
      </c>
      <c r="F16">
        <f t="shared" si="3"/>
        <v>28.680552329788011</v>
      </c>
      <c r="G16" t="s">
        <v>1231</v>
      </c>
      <c r="H16" s="174">
        <v>2</v>
      </c>
      <c r="I16" s="66">
        <v>1</v>
      </c>
      <c r="J16" s="66">
        <v>1</v>
      </c>
      <c r="K16" s="66">
        <v>1</v>
      </c>
      <c r="L16" s="66">
        <v>1</v>
      </c>
      <c r="M16" s="66">
        <v>2</v>
      </c>
    </row>
    <row r="17" spans="1:13">
      <c r="A17" s="412">
        <v>1995</v>
      </c>
      <c r="B17" s="412">
        <v>39.184407389999997</v>
      </c>
      <c r="C17" s="506">
        <f t="shared" si="0"/>
        <v>0.62789942979655333</v>
      </c>
      <c r="D17">
        <f t="shared" si="1"/>
        <v>435.01500395735007</v>
      </c>
      <c r="E17">
        <f t="shared" si="2"/>
        <v>14.314955072542316</v>
      </c>
      <c r="F17">
        <f t="shared" si="3"/>
        <v>29.213598167151673</v>
      </c>
      <c r="G17" t="s">
        <v>1231</v>
      </c>
      <c r="H17" s="174">
        <v>2</v>
      </c>
      <c r="I17" s="66">
        <v>1</v>
      </c>
      <c r="J17" s="66">
        <v>1</v>
      </c>
      <c r="K17" s="66">
        <v>1</v>
      </c>
      <c r="L17" s="66">
        <v>1</v>
      </c>
      <c r="M17" s="66">
        <v>2</v>
      </c>
    </row>
    <row r="18" spans="1:13">
      <c r="A18" s="412">
        <v>1996</v>
      </c>
      <c r="B18" s="412">
        <v>41.199328379999997</v>
      </c>
      <c r="C18" s="506">
        <f t="shared" si="0"/>
        <v>0.660186960091805</v>
      </c>
      <c r="D18">
        <f t="shared" si="1"/>
        <v>457.38412782120338</v>
      </c>
      <c r="E18">
        <f t="shared" si="2"/>
        <v>15.051051529469555</v>
      </c>
      <c r="F18">
        <f t="shared" si="3"/>
        <v>30.715805194415317</v>
      </c>
      <c r="G18" t="s">
        <v>1231</v>
      </c>
      <c r="H18" s="174">
        <v>2</v>
      </c>
      <c r="I18" s="66">
        <v>1</v>
      </c>
      <c r="J18" s="66">
        <v>1</v>
      </c>
      <c r="K18" s="66">
        <v>1</v>
      </c>
      <c r="L18" s="66">
        <v>1</v>
      </c>
      <c r="M18" s="66">
        <v>2</v>
      </c>
    </row>
    <row r="19" spans="1:13">
      <c r="A19" s="412">
        <v>1997</v>
      </c>
      <c r="B19" s="412">
        <v>43.37690465</v>
      </c>
      <c r="C19" s="506">
        <f t="shared" si="0"/>
        <v>0.69508091381842041</v>
      </c>
      <c r="D19">
        <f t="shared" si="1"/>
        <v>481.5590079025398</v>
      </c>
      <c r="E19">
        <f t="shared" si="2"/>
        <v>15.846569658959998</v>
      </c>
      <c r="F19">
        <f t="shared" si="3"/>
        <v>32.33927846777506</v>
      </c>
      <c r="G19" t="s">
        <v>1231</v>
      </c>
      <c r="H19" s="174">
        <v>2</v>
      </c>
      <c r="I19" s="66">
        <v>1</v>
      </c>
      <c r="J19" s="66">
        <v>1</v>
      </c>
      <c r="K19" s="66">
        <v>1</v>
      </c>
      <c r="L19" s="66">
        <v>1</v>
      </c>
      <c r="M19" s="66">
        <v>2</v>
      </c>
    </row>
    <row r="20" spans="1:13">
      <c r="A20" s="412">
        <v>1998</v>
      </c>
      <c r="B20" s="412">
        <v>44.432741010000001</v>
      </c>
      <c r="C20" s="506">
        <f t="shared" si="0"/>
        <v>0.71199986430308837</v>
      </c>
      <c r="D20">
        <f t="shared" si="1"/>
        <v>493.28062598782259</v>
      </c>
      <c r="E20">
        <f t="shared" si="2"/>
        <v>16.232290690974732</v>
      </c>
      <c r="F20">
        <f t="shared" si="3"/>
        <v>33.126448191801046</v>
      </c>
      <c r="G20" t="s">
        <v>1231</v>
      </c>
      <c r="H20" s="174">
        <v>2</v>
      </c>
      <c r="I20" s="66">
        <v>1</v>
      </c>
      <c r="J20" s="66">
        <v>1</v>
      </c>
      <c r="K20" s="66">
        <v>1</v>
      </c>
      <c r="L20" s="66">
        <v>1</v>
      </c>
      <c r="M20" s="66">
        <v>2</v>
      </c>
    </row>
    <row r="21" spans="1:13">
      <c r="A21" s="412">
        <v>1999</v>
      </c>
      <c r="B21" s="412">
        <v>46.790113920000003</v>
      </c>
      <c r="C21" s="506">
        <f t="shared" si="0"/>
        <v>0.7497749183258422</v>
      </c>
      <c r="D21">
        <f t="shared" si="1"/>
        <v>519.45156116532667</v>
      </c>
      <c r="E21">
        <f t="shared" si="2"/>
        <v>17.093492621630713</v>
      </c>
      <c r="F21">
        <f t="shared" si="3"/>
        <v>34.883967304886937</v>
      </c>
      <c r="G21" t="s">
        <v>1231</v>
      </c>
      <c r="H21" s="174">
        <v>2</v>
      </c>
      <c r="I21" s="66">
        <v>1</v>
      </c>
      <c r="J21" s="66">
        <v>1</v>
      </c>
      <c r="K21" s="66">
        <v>1</v>
      </c>
      <c r="L21" s="66">
        <v>1</v>
      </c>
      <c r="M21" s="66">
        <v>2</v>
      </c>
    </row>
    <row r="22" spans="1:13">
      <c r="A22" s="412">
        <v>2000</v>
      </c>
      <c r="B22" s="412">
        <v>48.20224262</v>
      </c>
      <c r="C22" s="506">
        <f t="shared" si="0"/>
        <v>0.77240317442537498</v>
      </c>
      <c r="D22">
        <f t="shared" si="1"/>
        <v>535.128643273644</v>
      </c>
      <c r="E22">
        <f t="shared" si="2"/>
        <v>17.609375347531177</v>
      </c>
      <c r="F22">
        <f t="shared" si="3"/>
        <v>35.93676772091748</v>
      </c>
      <c r="G22" t="s">
        <v>1231</v>
      </c>
      <c r="H22" s="174">
        <v>2</v>
      </c>
      <c r="I22" s="66">
        <v>1</v>
      </c>
      <c r="J22" s="66">
        <v>1</v>
      </c>
      <c r="K22" s="66">
        <v>1</v>
      </c>
      <c r="L22" s="66">
        <v>1</v>
      </c>
      <c r="M22" s="66">
        <v>2</v>
      </c>
    </row>
    <row r="23" spans="1:13">
      <c r="A23" s="412">
        <v>2001</v>
      </c>
      <c r="B23" s="412">
        <v>48.30472391</v>
      </c>
      <c r="C23" s="506">
        <f t="shared" si="0"/>
        <v>0.77404535680969344</v>
      </c>
      <c r="D23">
        <f t="shared" si="1"/>
        <v>536.26636365132367</v>
      </c>
      <c r="E23">
        <f t="shared" si="2"/>
        <v>17.646814093191537</v>
      </c>
      <c r="F23">
        <f t="shared" si="3"/>
        <v>36.013171765922266</v>
      </c>
      <c r="G23" t="s">
        <v>1231</v>
      </c>
      <c r="H23" s="174">
        <v>2</v>
      </c>
      <c r="I23" s="66">
        <v>1</v>
      </c>
      <c r="J23" s="66">
        <v>1</v>
      </c>
      <c r="K23" s="66">
        <v>1</v>
      </c>
      <c r="L23" s="66">
        <v>1</v>
      </c>
      <c r="M23" s="66">
        <v>2</v>
      </c>
    </row>
    <row r="24" spans="1:13">
      <c r="A24" s="412">
        <v>2002</v>
      </c>
      <c r="B24" s="412">
        <v>50.256855190000003</v>
      </c>
      <c r="C24" s="506">
        <f t="shared" si="0"/>
        <v>0.80532673119415921</v>
      </c>
      <c r="D24">
        <f t="shared" si="1"/>
        <v>557.93841263862544</v>
      </c>
      <c r="E24">
        <f t="shared" si="2"/>
        <v>18.359972041218491</v>
      </c>
      <c r="F24">
        <f t="shared" si="3"/>
        <v>37.46856646452887</v>
      </c>
      <c r="G24" t="s">
        <v>1231</v>
      </c>
      <c r="H24" s="174">
        <v>2</v>
      </c>
      <c r="I24" s="66">
        <v>1</v>
      </c>
      <c r="J24" s="66">
        <v>1</v>
      </c>
      <c r="K24" s="66">
        <v>1</v>
      </c>
      <c r="L24" s="66">
        <v>1</v>
      </c>
      <c r="M24" s="66">
        <v>2</v>
      </c>
    </row>
    <row r="25" spans="1:13">
      <c r="A25" s="412">
        <v>2003</v>
      </c>
      <c r="B25" s="412">
        <v>51.157698490000001</v>
      </c>
      <c r="C25" s="506">
        <f t="shared" si="0"/>
        <v>0.81976203932007452</v>
      </c>
      <c r="D25">
        <f t="shared" si="1"/>
        <v>567.93933846134075</v>
      </c>
      <c r="E25">
        <f t="shared" si="2"/>
        <v>18.689070583874816</v>
      </c>
      <c r="F25">
        <f t="shared" si="3"/>
        <v>38.140182444728353</v>
      </c>
      <c r="G25" t="s">
        <v>1231</v>
      </c>
      <c r="H25" s="174">
        <v>2</v>
      </c>
      <c r="I25" s="66">
        <v>1</v>
      </c>
      <c r="J25" s="66">
        <v>1</v>
      </c>
      <c r="K25" s="66">
        <v>1</v>
      </c>
      <c r="L25" s="66">
        <v>1</v>
      </c>
      <c r="M25" s="66">
        <v>2</v>
      </c>
    </row>
    <row r="26" spans="1:13">
      <c r="A26" s="412">
        <v>2004</v>
      </c>
      <c r="B26" s="412">
        <v>53.148585580000002</v>
      </c>
      <c r="C26" s="506">
        <f t="shared" si="0"/>
        <v>0.8516644451969424</v>
      </c>
      <c r="D26">
        <f t="shared" si="1"/>
        <v>590.04164427689363</v>
      </c>
      <c r="E26">
        <f t="shared" si="2"/>
        <v>19.416386910601442</v>
      </c>
      <c r="F26">
        <f t="shared" si="3"/>
        <v>39.624471204401488</v>
      </c>
      <c r="G26" t="s">
        <v>1231</v>
      </c>
      <c r="H26" s="174">
        <v>2</v>
      </c>
      <c r="I26" s="66">
        <v>1</v>
      </c>
      <c r="J26" s="66">
        <v>1</v>
      </c>
      <c r="K26" s="66">
        <v>1</v>
      </c>
      <c r="L26" s="66">
        <v>1</v>
      </c>
      <c r="M26" s="66">
        <v>2</v>
      </c>
    </row>
    <row r="27" spans="1:13">
      <c r="A27" s="412">
        <v>2005</v>
      </c>
      <c r="B27" s="412">
        <v>53.354288410000002</v>
      </c>
      <c r="C27" s="506">
        <f t="shared" si="0"/>
        <v>0.85496067189188785</v>
      </c>
      <c r="D27">
        <f t="shared" si="1"/>
        <v>592.32530309341882</v>
      </c>
      <c r="E27">
        <f t="shared" si="2"/>
        <v>19.49153483208044</v>
      </c>
      <c r="F27">
        <f t="shared" si="3"/>
        <v>39.777831181436625</v>
      </c>
      <c r="G27" t="s">
        <v>1231</v>
      </c>
      <c r="H27" s="174">
        <v>2</v>
      </c>
      <c r="I27" s="66">
        <v>1</v>
      </c>
      <c r="J27" s="66">
        <v>1</v>
      </c>
      <c r="K27" s="66">
        <v>1</v>
      </c>
      <c r="L27" s="66">
        <v>1</v>
      </c>
      <c r="M27" s="66">
        <v>2</v>
      </c>
    </row>
    <row r="28" spans="1:13">
      <c r="A28" s="412">
        <v>2006</v>
      </c>
      <c r="B28" s="412">
        <v>55.338338159999999</v>
      </c>
      <c r="C28" s="506">
        <f t="shared" si="0"/>
        <v>0.88675351475190067</v>
      </c>
      <c r="D28">
        <f t="shared" si="1"/>
        <v>614.3517025552643</v>
      </c>
      <c r="E28">
        <f t="shared" si="2"/>
        <v>20.216353323024034</v>
      </c>
      <c r="F28">
        <f t="shared" si="3"/>
        <v>41.257022421034897</v>
      </c>
      <c r="G28" t="s">
        <v>1231</v>
      </c>
      <c r="H28" s="174">
        <v>2</v>
      </c>
      <c r="I28" s="66">
        <v>1</v>
      </c>
      <c r="J28" s="66">
        <v>1</v>
      </c>
      <c r="K28" s="66">
        <v>1</v>
      </c>
      <c r="L28" s="66">
        <v>1</v>
      </c>
      <c r="M28" s="66">
        <v>2</v>
      </c>
    </row>
    <row r="29" spans="1:13">
      <c r="A29" s="412">
        <v>2007</v>
      </c>
      <c r="B29" s="412">
        <v>56.97384194</v>
      </c>
      <c r="C29" s="506">
        <f t="shared" si="0"/>
        <v>0.91296118150748329</v>
      </c>
      <c r="D29">
        <f t="shared" si="1"/>
        <v>632.50863616019944</v>
      </c>
      <c r="E29">
        <f t="shared" si="2"/>
        <v>20.813840045195263</v>
      </c>
      <c r="F29">
        <f t="shared" si="3"/>
        <v>42.4763582082075</v>
      </c>
      <c r="G29" t="s">
        <v>1231</v>
      </c>
      <c r="H29" s="174">
        <v>2</v>
      </c>
      <c r="I29" s="66">
        <v>1</v>
      </c>
      <c r="J29" s="66">
        <v>1</v>
      </c>
      <c r="K29" s="66">
        <v>1</v>
      </c>
      <c r="L29" s="66">
        <v>1</v>
      </c>
      <c r="M29" s="66">
        <v>2</v>
      </c>
    </row>
    <row r="30" spans="1:13">
      <c r="A30" s="412">
        <v>2008</v>
      </c>
      <c r="B30" s="412">
        <v>52.894491530000003</v>
      </c>
      <c r="C30" s="506">
        <f t="shared" si="0"/>
        <v>0.84759278711310948</v>
      </c>
      <c r="D30">
        <f t="shared" si="1"/>
        <v>587.22075883983337</v>
      </c>
      <c r="E30">
        <f t="shared" si="2"/>
        <v>19.323560576040656</v>
      </c>
      <c r="F30">
        <f t="shared" si="3"/>
        <v>39.435033569183901</v>
      </c>
      <c r="G30" t="s">
        <v>1231</v>
      </c>
      <c r="H30" s="174">
        <v>2</v>
      </c>
      <c r="I30" s="66">
        <v>1</v>
      </c>
      <c r="J30" s="66">
        <v>1</v>
      </c>
      <c r="K30" s="66">
        <v>1</v>
      </c>
      <c r="L30" s="66">
        <v>1</v>
      </c>
      <c r="M30" s="66">
        <v>2</v>
      </c>
    </row>
    <row r="31" spans="1:13">
      <c r="A31" s="412">
        <v>2009</v>
      </c>
      <c r="B31" s="412">
        <v>52.81567038</v>
      </c>
      <c r="C31" s="506">
        <f t="shared" si="0"/>
        <v>0.84632973993599325</v>
      </c>
      <c r="D31">
        <f t="shared" si="1"/>
        <v>586.34570712505547</v>
      </c>
      <c r="E31">
        <f t="shared" si="2"/>
        <v>19.294765417553606</v>
      </c>
      <c r="F31">
        <f t="shared" si="3"/>
        <v>39.376269138213829</v>
      </c>
      <c r="G31" t="s">
        <v>1231</v>
      </c>
      <c r="H31" s="174">
        <v>2</v>
      </c>
      <c r="I31" s="66">
        <v>1</v>
      </c>
      <c r="J31" s="66">
        <v>1</v>
      </c>
      <c r="K31" s="66">
        <v>1</v>
      </c>
      <c r="L31" s="66">
        <v>1</v>
      </c>
      <c r="M31" s="66">
        <v>2</v>
      </c>
    </row>
    <row r="32" spans="1:13">
      <c r="A32" s="412">
        <v>2010</v>
      </c>
      <c r="B32" s="412">
        <v>55.750704589999998</v>
      </c>
      <c r="C32" s="506">
        <f t="shared" si="0"/>
        <v>0.89336136372833608</v>
      </c>
      <c r="D32">
        <f t="shared" si="1"/>
        <v>618.92968640462846</v>
      </c>
      <c r="E32">
        <f t="shared" si="2"/>
        <v>20.36700015711093</v>
      </c>
      <c r="F32">
        <f t="shared" si="3"/>
        <v>41.564458668921532</v>
      </c>
      <c r="G32" t="s">
        <v>1231</v>
      </c>
      <c r="H32" s="174">
        <v>2</v>
      </c>
      <c r="I32" s="66">
        <v>1</v>
      </c>
      <c r="J32" s="66">
        <v>1</v>
      </c>
      <c r="K32" s="66">
        <v>1</v>
      </c>
      <c r="L32" s="66">
        <v>1</v>
      </c>
      <c r="M32" s="66">
        <v>2</v>
      </c>
    </row>
    <row r="33" spans="1:13">
      <c r="A33" s="412">
        <v>2011</v>
      </c>
      <c r="B33" s="412">
        <v>56.366173369999998</v>
      </c>
      <c r="C33" s="506">
        <f t="shared" si="0"/>
        <v>0.90322376874503674</v>
      </c>
      <c r="D33">
        <f t="shared" si="1"/>
        <v>625.7624592242488</v>
      </c>
      <c r="E33">
        <f t="shared" si="2"/>
        <v>20.591844898197937</v>
      </c>
      <c r="F33">
        <f t="shared" si="3"/>
        <v>42.023316128328602</v>
      </c>
      <c r="G33" t="s">
        <v>1231</v>
      </c>
      <c r="H33" s="174">
        <v>2</v>
      </c>
      <c r="I33" s="66">
        <v>1</v>
      </c>
      <c r="J33" s="66">
        <v>1</v>
      </c>
      <c r="K33" s="66">
        <v>1</v>
      </c>
      <c r="L33" s="66">
        <v>1</v>
      </c>
      <c r="M33" s="66">
        <v>2</v>
      </c>
    </row>
    <row r="34" spans="1:13">
      <c r="A34" s="412">
        <v>2012</v>
      </c>
      <c r="B34" s="412">
        <v>56.799612029999999</v>
      </c>
      <c r="C34" s="506">
        <f t="shared" si="0"/>
        <v>0.91016928369839645</v>
      </c>
      <c r="D34">
        <f t="shared" si="1"/>
        <v>630.57438143908598</v>
      </c>
      <c r="E34">
        <f t="shared" si="2"/>
        <v>20.750189897086106</v>
      </c>
      <c r="F34">
        <f t="shared" si="3"/>
        <v>42.346462596190719</v>
      </c>
      <c r="G34" t="s">
        <v>1231</v>
      </c>
      <c r="H34" s="174">
        <v>2</v>
      </c>
      <c r="I34" s="66">
        <v>1</v>
      </c>
      <c r="J34" s="66">
        <v>1</v>
      </c>
      <c r="K34" s="66">
        <v>1</v>
      </c>
      <c r="L34" s="66">
        <v>1</v>
      </c>
      <c r="M34" s="66">
        <v>2</v>
      </c>
    </row>
    <row r="35" spans="1:13">
      <c r="A35" s="412">
        <v>2013</v>
      </c>
      <c r="B35" s="412">
        <v>57.459872150000002</v>
      </c>
      <c r="C35" s="506">
        <f t="shared" si="0"/>
        <v>0.92074943484727434</v>
      </c>
      <c r="D35">
        <f t="shared" si="1"/>
        <v>637.90441595654011</v>
      </c>
      <c r="E35">
        <f t="shared" si="2"/>
        <v>20.991397933229674</v>
      </c>
      <c r="F35">
        <f t="shared" si="3"/>
        <v>42.838713854184682</v>
      </c>
      <c r="G35" t="s">
        <v>1231</v>
      </c>
      <c r="H35" s="174">
        <v>2</v>
      </c>
      <c r="I35" s="66">
        <v>1</v>
      </c>
      <c r="J35" s="66">
        <v>1</v>
      </c>
      <c r="K35" s="66">
        <v>1</v>
      </c>
      <c r="L35" s="66">
        <v>1</v>
      </c>
      <c r="M35" s="66">
        <v>2</v>
      </c>
    </row>
    <row r="36" spans="1:13">
      <c r="A36" s="412">
        <v>2014</v>
      </c>
      <c r="B36" s="412">
        <v>56.68223965</v>
      </c>
      <c r="C36" s="506">
        <f t="shared" si="0"/>
        <v>0.90828848326310208</v>
      </c>
      <c r="D36">
        <f t="shared" si="1"/>
        <v>629.27134408950974</v>
      </c>
      <c r="E36">
        <f t="shared" si="2"/>
        <v>20.707311097625528</v>
      </c>
      <c r="F36">
        <f t="shared" si="3"/>
        <v>42.258956627014896</v>
      </c>
      <c r="G36" t="s">
        <v>1231</v>
      </c>
      <c r="H36" s="174">
        <v>2</v>
      </c>
      <c r="I36" s="66">
        <v>1</v>
      </c>
      <c r="J36" s="66">
        <v>1</v>
      </c>
      <c r="K36" s="66">
        <v>1</v>
      </c>
      <c r="L36" s="66">
        <v>1</v>
      </c>
      <c r="M36" s="66">
        <v>2</v>
      </c>
    </row>
    <row r="37" spans="1:13">
      <c r="A37" s="412">
        <v>2015</v>
      </c>
      <c r="B37" s="412">
        <v>56.774038679999997</v>
      </c>
      <c r="C37" s="506">
        <f t="shared" si="0"/>
        <v>0.90975949079982921</v>
      </c>
      <c r="D37">
        <f t="shared" si="1"/>
        <v>630.29047282102965</v>
      </c>
      <c r="E37">
        <f t="shared" si="2"/>
        <v>20.740847370793418</v>
      </c>
      <c r="F37">
        <f t="shared" si="3"/>
        <v>42.327396604883198</v>
      </c>
      <c r="G37" t="s">
        <v>1231</v>
      </c>
      <c r="H37" s="174">
        <v>2</v>
      </c>
      <c r="I37" s="66">
        <v>1</v>
      </c>
      <c r="J37" s="66">
        <v>1</v>
      </c>
      <c r="K37" s="66">
        <v>1</v>
      </c>
      <c r="L37" s="66">
        <v>1</v>
      </c>
      <c r="M37" s="66">
        <v>2</v>
      </c>
    </row>
    <row r="38" spans="1:13">
      <c r="A38" s="412">
        <v>2016</v>
      </c>
      <c r="B38" s="412">
        <v>58.404274020000003</v>
      </c>
      <c r="C38" s="506">
        <f t="shared" si="0"/>
        <v>0.93588273493191798</v>
      </c>
      <c r="D38">
        <f t="shared" si="1"/>
        <v>648.38891758818204</v>
      </c>
      <c r="E38">
        <f t="shared" si="2"/>
        <v>21.336409412028381</v>
      </c>
      <c r="F38">
        <f t="shared" si="3"/>
        <v>43.542804551892353</v>
      </c>
      <c r="G38" t="s">
        <v>1231</v>
      </c>
      <c r="H38" s="174">
        <v>2</v>
      </c>
      <c r="I38" s="66">
        <v>1</v>
      </c>
      <c r="J38" s="66">
        <v>1</v>
      </c>
      <c r="K38" s="66">
        <v>1</v>
      </c>
      <c r="L38" s="66">
        <v>1</v>
      </c>
      <c r="M38" s="66">
        <v>2</v>
      </c>
    </row>
    <row r="39" spans="1:13">
      <c r="A39" s="412">
        <v>2017</v>
      </c>
      <c r="B39" s="412">
        <v>60.762864729999997</v>
      </c>
      <c r="C39" s="506">
        <f t="shared" si="0"/>
        <v>0.97367730324559854</v>
      </c>
      <c r="D39">
        <f t="shared" si="1"/>
        <v>674.57337246158306</v>
      </c>
      <c r="E39">
        <f t="shared" si="2"/>
        <v>22.198056232717114</v>
      </c>
      <c r="F39">
        <f t="shared" si="3"/>
        <v>45.301231585302098</v>
      </c>
      <c r="G39" t="s">
        <v>1231</v>
      </c>
      <c r="H39" s="174">
        <v>2</v>
      </c>
      <c r="I39" s="66">
        <v>1</v>
      </c>
      <c r="J39" s="66">
        <v>1</v>
      </c>
      <c r="K39" s="66">
        <v>1</v>
      </c>
      <c r="L39" s="66">
        <v>1</v>
      </c>
      <c r="M39" s="66">
        <v>2</v>
      </c>
    </row>
    <row r="40" spans="1:13">
      <c r="A40" s="413">
        <v>2018</v>
      </c>
      <c r="B40" s="413">
        <v>62.40554702</v>
      </c>
      <c r="C40" s="507">
        <v>1</v>
      </c>
      <c r="D40" s="414">
        <f>In_EU_2018</f>
        <v>692.81</v>
      </c>
      <c r="E40" s="414">
        <f>In_NL_2018_low</f>
        <v>22.798165427830579</v>
      </c>
      <c r="F40" s="414">
        <f>IN_NL_2018_high</f>
        <v>46.525919248910952</v>
      </c>
      <c r="G40" t="s">
        <v>1231</v>
      </c>
      <c r="H40" s="174">
        <v>2</v>
      </c>
      <c r="I40" s="66">
        <v>1</v>
      </c>
      <c r="J40" s="66">
        <v>1</v>
      </c>
      <c r="K40" s="66">
        <v>1</v>
      </c>
      <c r="L40" s="66">
        <v>1</v>
      </c>
      <c r="M40" s="66">
        <v>2</v>
      </c>
    </row>
    <row r="41" spans="1:13">
      <c r="A41" s="413">
        <v>2019</v>
      </c>
      <c r="B41" s="413">
        <v>63.673394029999997</v>
      </c>
      <c r="C41" s="507">
        <v>1</v>
      </c>
      <c r="D41" s="414">
        <f>In_EU_2019</f>
        <v>695.5</v>
      </c>
      <c r="E41" s="414">
        <f>IN_NL_2019_low</f>
        <v>22.888549427830579</v>
      </c>
      <c r="F41" s="414">
        <f>IN_NL_2019_high</f>
        <v>46.706479507763902</v>
      </c>
      <c r="G41" t="s">
        <v>1231</v>
      </c>
      <c r="H41" s="174">
        <v>2</v>
      </c>
      <c r="I41" s="66">
        <v>1</v>
      </c>
      <c r="J41" s="66">
        <v>1</v>
      </c>
      <c r="K41" s="66">
        <v>1</v>
      </c>
      <c r="L41" s="66">
        <v>1</v>
      </c>
      <c r="M41" s="66">
        <v>2</v>
      </c>
    </row>
    <row r="42" spans="1:13">
      <c r="A42" s="412">
        <v>2020</v>
      </c>
      <c r="B42" s="412">
        <v>62.244721509999998</v>
      </c>
      <c r="C42" s="506">
        <f t="shared" ref="C42:C82" si="4">B42/OECD_ref_2019</f>
        <v>0.9775624883553895</v>
      </c>
      <c r="D42">
        <f t="shared" ref="D42:D82" si="5">In_EU_2019*C42</f>
        <v>679.89471065117345</v>
      </c>
      <c r="E42">
        <f t="shared" ref="E42:E82" si="6">IN_NL_2019_low*C42</f>
        <v>22.374987333515389</v>
      </c>
      <c r="F42">
        <f t="shared" ref="F42:F82" si="7">IN_NL_2019_high*C42</f>
        <v>45.658502329929689</v>
      </c>
      <c r="G42" t="s">
        <v>1231</v>
      </c>
      <c r="H42" s="174">
        <v>2</v>
      </c>
      <c r="I42" s="66">
        <v>1</v>
      </c>
      <c r="J42" s="66">
        <v>1</v>
      </c>
      <c r="K42" s="66">
        <v>1</v>
      </c>
      <c r="L42" s="66">
        <v>1</v>
      </c>
      <c r="M42" s="66">
        <v>2</v>
      </c>
    </row>
    <row r="43" spans="1:13">
      <c r="A43" s="412">
        <v>2021</v>
      </c>
      <c r="B43" s="412">
        <v>62.751095020000001</v>
      </c>
      <c r="C43" s="506">
        <f t="shared" si="4"/>
        <v>0.98551515866163109</v>
      </c>
      <c r="D43">
        <f t="shared" si="5"/>
        <v>685.4257928491644</v>
      </c>
      <c r="E43">
        <f t="shared" si="6"/>
        <v>22.557012420903039</v>
      </c>
      <c r="F43">
        <f t="shared" si="7"/>
        <v>46.029943562620161</v>
      </c>
      <c r="G43" t="s">
        <v>1231</v>
      </c>
      <c r="H43" s="174">
        <v>2</v>
      </c>
      <c r="I43" s="66">
        <v>1</v>
      </c>
      <c r="J43" s="66">
        <v>1</v>
      </c>
      <c r="K43" s="66">
        <v>1</v>
      </c>
      <c r="L43" s="66">
        <v>1</v>
      </c>
      <c r="M43" s="66">
        <v>2</v>
      </c>
    </row>
    <row r="44" spans="1:13">
      <c r="A44" s="412">
        <v>2022</v>
      </c>
      <c r="B44" s="412">
        <v>63.284099789999999</v>
      </c>
      <c r="C44" s="506">
        <f t="shared" si="4"/>
        <v>0.99388607681543439</v>
      </c>
      <c r="D44">
        <f t="shared" si="5"/>
        <v>691.24776642513461</v>
      </c>
      <c r="E44">
        <f t="shared" si="6"/>
        <v>22.74861059482269</v>
      </c>
      <c r="F44">
        <f t="shared" si="7"/>
        <v>46.420919679831947</v>
      </c>
      <c r="G44" t="s">
        <v>1231</v>
      </c>
      <c r="H44" s="174">
        <v>2</v>
      </c>
      <c r="I44" s="66">
        <v>1</v>
      </c>
      <c r="J44" s="66">
        <v>1</v>
      </c>
      <c r="K44" s="66">
        <v>1</v>
      </c>
      <c r="L44" s="66">
        <v>1</v>
      </c>
      <c r="M44" s="66">
        <v>2</v>
      </c>
    </row>
    <row r="45" spans="1:13">
      <c r="A45" s="412">
        <v>2023</v>
      </c>
      <c r="B45" s="412">
        <v>63.887207420000003</v>
      </c>
      <c r="C45" s="506">
        <f t="shared" si="4"/>
        <v>1.0033579706760922</v>
      </c>
      <c r="D45">
        <f t="shared" si="5"/>
        <v>697.8354686052221</v>
      </c>
      <c r="E45">
        <f t="shared" si="6"/>
        <v>22.965408505627522</v>
      </c>
      <c r="F45">
        <f t="shared" si="7"/>
        <v>46.863318496334479</v>
      </c>
      <c r="G45" t="s">
        <v>1231</v>
      </c>
      <c r="H45" s="174">
        <v>2</v>
      </c>
      <c r="I45" s="66">
        <v>1</v>
      </c>
      <c r="J45" s="66">
        <v>1</v>
      </c>
      <c r="K45" s="66">
        <v>1</v>
      </c>
      <c r="L45" s="66">
        <v>1</v>
      </c>
      <c r="M45" s="66">
        <v>2</v>
      </c>
    </row>
    <row r="46" spans="1:13">
      <c r="A46" s="412">
        <v>2024</v>
      </c>
      <c r="B46" s="412">
        <v>64.615952640000003</v>
      </c>
      <c r="C46" s="506">
        <f t="shared" si="4"/>
        <v>1.0148030213303207</v>
      </c>
      <c r="D46">
        <f t="shared" si="5"/>
        <v>705.7955013352381</v>
      </c>
      <c r="E46">
        <f t="shared" si="6"/>
        <v>23.227369113230857</v>
      </c>
      <c r="F46">
        <f t="shared" si="7"/>
        <v>47.397876520181519</v>
      </c>
      <c r="G46" t="s">
        <v>1231</v>
      </c>
      <c r="H46" s="174">
        <v>2</v>
      </c>
      <c r="I46" s="66">
        <v>1</v>
      </c>
      <c r="J46" s="66">
        <v>1</v>
      </c>
      <c r="K46" s="66">
        <v>1</v>
      </c>
      <c r="L46" s="66">
        <v>1</v>
      </c>
      <c r="M46" s="66">
        <v>2</v>
      </c>
    </row>
    <row r="47" spans="1:13">
      <c r="A47" s="412">
        <v>2025</v>
      </c>
      <c r="B47" s="412">
        <v>65.465784360000001</v>
      </c>
      <c r="C47" s="506">
        <f t="shared" si="4"/>
        <v>1.0281497532416053</v>
      </c>
      <c r="D47">
        <f t="shared" si="5"/>
        <v>715.0781533795365</v>
      </c>
      <c r="E47">
        <f t="shared" si="6"/>
        <v>23.532856446282295</v>
      </c>
      <c r="F47">
        <f t="shared" si="7"/>
        <v>48.021255380691549</v>
      </c>
      <c r="G47" t="s">
        <v>1231</v>
      </c>
      <c r="H47" s="174">
        <v>2</v>
      </c>
      <c r="I47" s="66">
        <v>1</v>
      </c>
      <c r="J47" s="66">
        <v>1</v>
      </c>
      <c r="K47" s="66">
        <v>1</v>
      </c>
      <c r="L47" s="66">
        <v>1</v>
      </c>
      <c r="M47" s="66">
        <v>2</v>
      </c>
    </row>
    <row r="48" spans="1:13">
      <c r="A48" s="412">
        <v>2026</v>
      </c>
      <c r="B48" s="412">
        <v>66.419471389999998</v>
      </c>
      <c r="C48" s="506">
        <f t="shared" si="4"/>
        <v>1.0431275480415914</v>
      </c>
      <c r="D48">
        <f t="shared" si="5"/>
        <v>725.49520966292675</v>
      </c>
      <c r="E48">
        <f t="shared" si="6"/>
        <v>23.87567644288168</v>
      </c>
      <c r="F48">
        <f t="shared" si="7"/>
        <v>48.720815446588588</v>
      </c>
      <c r="G48" t="s">
        <v>1231</v>
      </c>
      <c r="H48" s="174">
        <v>2</v>
      </c>
      <c r="I48" s="66">
        <v>1</v>
      </c>
      <c r="J48" s="66">
        <v>1</v>
      </c>
      <c r="K48" s="66">
        <v>1</v>
      </c>
      <c r="L48" s="66">
        <v>1</v>
      </c>
      <c r="M48" s="66">
        <v>2</v>
      </c>
    </row>
    <row r="49" spans="1:13">
      <c r="A49" s="412">
        <v>2027</v>
      </c>
      <c r="B49" s="412">
        <v>67.380646179999999</v>
      </c>
      <c r="C49" s="506">
        <f t="shared" si="4"/>
        <v>1.0582229392115223</v>
      </c>
      <c r="D49">
        <f t="shared" si="5"/>
        <v>735.99405422161374</v>
      </c>
      <c r="E49">
        <f t="shared" si="6"/>
        <v>24.221188049807083</v>
      </c>
      <c r="F49">
        <f t="shared" si="7"/>
        <v>49.425868024928654</v>
      </c>
      <c r="G49" t="s">
        <v>1231</v>
      </c>
      <c r="H49" s="174">
        <v>2</v>
      </c>
      <c r="I49" s="66">
        <v>1</v>
      </c>
      <c r="J49" s="66">
        <v>1</v>
      </c>
      <c r="K49" s="66">
        <v>1</v>
      </c>
      <c r="L49" s="66">
        <v>1</v>
      </c>
      <c r="M49" s="66">
        <v>2</v>
      </c>
    </row>
    <row r="50" spans="1:13">
      <c r="A50" s="412">
        <v>2028</v>
      </c>
      <c r="B50" s="412">
        <v>68.443224400000005</v>
      </c>
      <c r="C50" s="506">
        <f t="shared" si="4"/>
        <v>1.074910886134838</v>
      </c>
      <c r="D50">
        <f t="shared" si="5"/>
        <v>747.6005213067798</v>
      </c>
      <c r="E50">
        <f t="shared" si="6"/>
        <v>24.603150947810406</v>
      </c>
      <c r="F50">
        <f t="shared" si="7"/>
        <v>50.205303275929147</v>
      </c>
      <c r="G50" t="s">
        <v>1231</v>
      </c>
      <c r="H50" s="174">
        <v>2</v>
      </c>
      <c r="I50" s="66">
        <v>1</v>
      </c>
      <c r="J50" s="66">
        <v>1</v>
      </c>
      <c r="K50" s="66">
        <v>1</v>
      </c>
      <c r="L50" s="66">
        <v>1</v>
      </c>
      <c r="M50" s="66">
        <v>2</v>
      </c>
    </row>
    <row r="51" spans="1:13">
      <c r="A51" s="412">
        <v>2029</v>
      </c>
      <c r="B51" s="412">
        <v>69.561988159999999</v>
      </c>
      <c r="C51" s="506">
        <f t="shared" si="4"/>
        <v>1.0924812352114537</v>
      </c>
      <c r="D51">
        <f t="shared" si="5"/>
        <v>759.82069908956601</v>
      </c>
      <c r="E51">
        <f t="shared" si="6"/>
        <v>25.005310751114763</v>
      </c>
      <c r="F51">
        <f t="shared" si="7"/>
        <v>51.025952425020357</v>
      </c>
      <c r="G51" t="s">
        <v>1231</v>
      </c>
      <c r="H51" s="174">
        <v>2</v>
      </c>
      <c r="I51" s="66">
        <v>1</v>
      </c>
      <c r="J51" s="66">
        <v>1</v>
      </c>
      <c r="K51" s="66">
        <v>1</v>
      </c>
      <c r="L51" s="66">
        <v>1</v>
      </c>
      <c r="M51" s="66">
        <v>2</v>
      </c>
    </row>
    <row r="52" spans="1:13">
      <c r="A52" s="412">
        <v>2030</v>
      </c>
      <c r="B52" s="412">
        <v>70.721950910000004</v>
      </c>
      <c r="C52" s="506">
        <f t="shared" si="4"/>
        <v>1.1106986204737106</v>
      </c>
      <c r="D52">
        <f t="shared" si="5"/>
        <v>772.49089053946568</v>
      </c>
      <c r="E52">
        <f t="shared" si="6"/>
        <v>25.422280274135762</v>
      </c>
      <c r="F52">
        <f t="shared" si="7"/>
        <v>51.876822356456998</v>
      </c>
      <c r="G52" t="s">
        <v>1231</v>
      </c>
      <c r="H52" s="174">
        <v>2</v>
      </c>
      <c r="I52" s="66">
        <v>1</v>
      </c>
      <c r="J52" s="66">
        <v>1</v>
      </c>
      <c r="K52" s="66">
        <v>1</v>
      </c>
      <c r="L52" s="66">
        <v>1</v>
      </c>
      <c r="M52" s="66">
        <v>2</v>
      </c>
    </row>
    <row r="53" spans="1:13">
      <c r="A53" s="412">
        <v>2031</v>
      </c>
      <c r="B53" s="412">
        <v>71.938240480000005</v>
      </c>
      <c r="C53" s="506">
        <f t="shared" si="4"/>
        <v>1.1298006267124066</v>
      </c>
      <c r="D53">
        <f t="shared" si="5"/>
        <v>785.77633587847879</v>
      </c>
      <c r="E53">
        <f t="shared" si="6"/>
        <v>25.859497488100882</v>
      </c>
      <c r="F53">
        <f t="shared" si="7"/>
        <v>52.76900981940183</v>
      </c>
      <c r="G53" t="s">
        <v>1231</v>
      </c>
      <c r="H53" s="174">
        <v>2</v>
      </c>
      <c r="I53" s="66">
        <v>1</v>
      </c>
      <c r="J53" s="66">
        <v>1</v>
      </c>
      <c r="K53" s="66">
        <v>1</v>
      </c>
      <c r="L53" s="66">
        <v>1</v>
      </c>
      <c r="M53" s="66">
        <v>2</v>
      </c>
    </row>
    <row r="54" spans="1:13">
      <c r="A54" s="412">
        <v>2032</v>
      </c>
      <c r="B54" s="412">
        <v>73.165602570000004</v>
      </c>
      <c r="C54" s="506">
        <f t="shared" si="4"/>
        <v>1.1490765285030622</v>
      </c>
      <c r="D54">
        <f t="shared" si="5"/>
        <v>799.18272557387979</v>
      </c>
      <c r="E54">
        <f t="shared" si="6"/>
        <v>26.300694919002311</v>
      </c>
      <c r="F54">
        <f t="shared" si="7"/>
        <v>53.669319331380756</v>
      </c>
      <c r="G54" t="s">
        <v>1231</v>
      </c>
      <c r="H54" s="174">
        <v>2</v>
      </c>
      <c r="I54" s="66">
        <v>1</v>
      </c>
      <c r="J54" s="66">
        <v>1</v>
      </c>
      <c r="K54" s="66">
        <v>1</v>
      </c>
      <c r="L54" s="66">
        <v>1</v>
      </c>
      <c r="M54" s="66">
        <v>2</v>
      </c>
    </row>
    <row r="55" spans="1:13">
      <c r="A55" s="412">
        <v>2033</v>
      </c>
      <c r="B55" s="412">
        <v>74.40693358</v>
      </c>
      <c r="C55" s="506">
        <f t="shared" si="4"/>
        <v>1.1685718142328465</v>
      </c>
      <c r="D55">
        <f t="shared" si="5"/>
        <v>812.74169679894476</v>
      </c>
      <c r="E55">
        <f t="shared" si="6"/>
        <v>26.746913730038163</v>
      </c>
      <c r="F55">
        <f t="shared" si="7"/>
        <v>54.579875494816932</v>
      </c>
      <c r="G55" t="s">
        <v>1231</v>
      </c>
      <c r="H55" s="174">
        <v>2</v>
      </c>
      <c r="I55" s="66">
        <v>1</v>
      </c>
      <c r="J55" s="66">
        <v>1</v>
      </c>
      <c r="K55" s="66">
        <v>1</v>
      </c>
      <c r="L55" s="66">
        <v>1</v>
      </c>
      <c r="M55" s="66">
        <v>2</v>
      </c>
    </row>
    <row r="56" spans="1:13">
      <c r="A56" s="412">
        <v>2034</v>
      </c>
      <c r="B56" s="412">
        <v>75.68639623</v>
      </c>
      <c r="C56" s="506">
        <f t="shared" si="4"/>
        <v>1.188665962966259</v>
      </c>
      <c r="D56">
        <f t="shared" si="5"/>
        <v>826.71717724303312</v>
      </c>
      <c r="E56">
        <f t="shared" si="6"/>
        <v>27.206839646533052</v>
      </c>
      <c r="F56">
        <f t="shared" si="7"/>
        <v>55.518402440860022</v>
      </c>
      <c r="G56" t="s">
        <v>1231</v>
      </c>
      <c r="H56" s="174">
        <v>2</v>
      </c>
      <c r="I56" s="66">
        <v>1</v>
      </c>
      <c r="J56" s="66">
        <v>1</v>
      </c>
      <c r="K56" s="66">
        <v>1</v>
      </c>
      <c r="L56" s="66">
        <v>1</v>
      </c>
      <c r="M56" s="66">
        <v>2</v>
      </c>
    </row>
    <row r="57" spans="1:13">
      <c r="A57" s="412">
        <v>2035</v>
      </c>
      <c r="B57" s="412">
        <v>76.9915685</v>
      </c>
      <c r="C57" s="506">
        <f t="shared" si="4"/>
        <v>1.2091638850557438</v>
      </c>
      <c r="D57">
        <f t="shared" si="5"/>
        <v>840.97348205626986</v>
      </c>
      <c r="E57">
        <f t="shared" si="6"/>
        <v>27.676007349446046</v>
      </c>
      <c r="F57">
        <f t="shared" si="7"/>
        <v>56.475788218884283</v>
      </c>
      <c r="G57" t="s">
        <v>1231</v>
      </c>
      <c r="H57" s="174">
        <v>2</v>
      </c>
      <c r="I57" s="66">
        <v>1</v>
      </c>
      <c r="J57" s="66">
        <v>1</v>
      </c>
      <c r="K57" s="66">
        <v>1</v>
      </c>
      <c r="L57" s="66">
        <v>1</v>
      </c>
      <c r="M57" s="66">
        <v>2</v>
      </c>
    </row>
    <row r="58" spans="1:13">
      <c r="A58" s="412">
        <v>2036</v>
      </c>
      <c r="B58" s="412">
        <v>78.336995779999995</v>
      </c>
      <c r="C58" s="506">
        <f t="shared" si="4"/>
        <v>1.2302940179864006</v>
      </c>
      <c r="D58">
        <f t="shared" si="5"/>
        <v>855.66948950954156</v>
      </c>
      <c r="E58">
        <f t="shared" si="6"/>
        <v>28.159645441446013</v>
      </c>
      <c r="F58">
        <f t="shared" si="7"/>
        <v>57.462702339606331</v>
      </c>
      <c r="G58" t="s">
        <v>1231</v>
      </c>
      <c r="H58" s="174">
        <v>2</v>
      </c>
      <c r="I58" s="66">
        <v>1</v>
      </c>
      <c r="J58" s="66">
        <v>1</v>
      </c>
      <c r="K58" s="66">
        <v>1</v>
      </c>
      <c r="L58" s="66">
        <v>1</v>
      </c>
      <c r="M58" s="66">
        <v>2</v>
      </c>
    </row>
    <row r="59" spans="1:13">
      <c r="A59" s="412">
        <v>2037</v>
      </c>
      <c r="B59" s="412">
        <v>79.702670609999998</v>
      </c>
      <c r="C59" s="506">
        <f t="shared" si="4"/>
        <v>1.2517421416619905</v>
      </c>
      <c r="D59">
        <f t="shared" si="5"/>
        <v>870.58665952591434</v>
      </c>
      <c r="E59">
        <f t="shared" si="6"/>
        <v>28.650561880328976</v>
      </c>
      <c r="F59">
        <f t="shared" si="7"/>
        <v>58.464468688540258</v>
      </c>
      <c r="G59" t="s">
        <v>1231</v>
      </c>
      <c r="H59" s="174">
        <v>2</v>
      </c>
      <c r="I59" s="66">
        <v>1</v>
      </c>
      <c r="J59" s="66">
        <v>1</v>
      </c>
      <c r="K59" s="66">
        <v>1</v>
      </c>
      <c r="L59" s="66">
        <v>1</v>
      </c>
      <c r="M59" s="66">
        <v>2</v>
      </c>
    </row>
    <row r="60" spans="1:13">
      <c r="A60" s="412">
        <v>2038</v>
      </c>
      <c r="B60" s="412">
        <v>81.100178380000003</v>
      </c>
      <c r="C60" s="506">
        <f t="shared" si="4"/>
        <v>1.2736902063331084</v>
      </c>
      <c r="D60">
        <f t="shared" si="5"/>
        <v>885.85153850467691</v>
      </c>
      <c r="E60">
        <f t="shared" si="6"/>
        <v>29.152921243399081</v>
      </c>
      <c r="F60">
        <f t="shared" si="7"/>
        <v>59.489585521336899</v>
      </c>
      <c r="G60" t="s">
        <v>1231</v>
      </c>
      <c r="H60" s="174">
        <v>2</v>
      </c>
      <c r="I60" s="66">
        <v>1</v>
      </c>
      <c r="J60" s="66">
        <v>1</v>
      </c>
      <c r="K60" s="66">
        <v>1</v>
      </c>
      <c r="L60" s="66">
        <v>1</v>
      </c>
      <c r="M60" s="66">
        <v>2</v>
      </c>
    </row>
    <row r="61" spans="1:13">
      <c r="A61" s="412">
        <v>2039</v>
      </c>
      <c r="B61" s="412">
        <v>82.544736630000003</v>
      </c>
      <c r="C61" s="506">
        <f t="shared" si="4"/>
        <v>1.2963772056992704</v>
      </c>
      <c r="D61">
        <f t="shared" si="5"/>
        <v>901.63034656384252</v>
      </c>
      <c r="E61">
        <f t="shared" si="6"/>
        <v>29.672193749760641</v>
      </c>
      <c r="F61">
        <f t="shared" si="7"/>
        <v>60.549215392325202</v>
      </c>
      <c r="G61" t="s">
        <v>1231</v>
      </c>
      <c r="H61" s="174">
        <v>2</v>
      </c>
      <c r="I61" s="66">
        <v>1</v>
      </c>
      <c r="J61" s="66">
        <v>1</v>
      </c>
      <c r="K61" s="66">
        <v>1</v>
      </c>
      <c r="L61" s="66">
        <v>1</v>
      </c>
      <c r="M61" s="66">
        <v>2</v>
      </c>
    </row>
    <row r="62" spans="1:13">
      <c r="A62" s="412">
        <v>2040</v>
      </c>
      <c r="B62" s="412">
        <v>84.02895925</v>
      </c>
      <c r="C62" s="506">
        <f t="shared" si="4"/>
        <v>1.3196871398187033</v>
      </c>
      <c r="D62">
        <f t="shared" si="5"/>
        <v>917.84240574390822</v>
      </c>
      <c r="E62">
        <f t="shared" si="6"/>
        <v>30.205724329012757</v>
      </c>
      <c r="F62">
        <f t="shared" si="7"/>
        <v>61.637940352601824</v>
      </c>
      <c r="G62" t="s">
        <v>1231</v>
      </c>
      <c r="H62" s="174">
        <v>2</v>
      </c>
      <c r="I62" s="66">
        <v>1</v>
      </c>
      <c r="J62" s="66">
        <v>1</v>
      </c>
      <c r="K62" s="66">
        <v>1</v>
      </c>
      <c r="L62" s="66">
        <v>1</v>
      </c>
      <c r="M62" s="66">
        <v>2</v>
      </c>
    </row>
    <row r="63" spans="1:13">
      <c r="A63" s="412">
        <v>2041</v>
      </c>
      <c r="B63" s="412">
        <v>85.572727369999996</v>
      </c>
      <c r="C63" s="506">
        <f t="shared" si="4"/>
        <v>1.3439322447564526</v>
      </c>
      <c r="D63">
        <f t="shared" si="5"/>
        <v>934.70487622811277</v>
      </c>
      <c r="E63">
        <f t="shared" si="6"/>
        <v>30.760659611763369</v>
      </c>
      <c r="F63">
        <f t="shared" si="7"/>
        <v>62.770343849540396</v>
      </c>
      <c r="G63" t="s">
        <v>1231</v>
      </c>
      <c r="H63" s="174">
        <v>2</v>
      </c>
      <c r="I63" s="66">
        <v>1</v>
      </c>
      <c r="J63" s="66">
        <v>1</v>
      </c>
      <c r="K63" s="66">
        <v>1</v>
      </c>
      <c r="L63" s="66">
        <v>1</v>
      </c>
      <c r="M63" s="66">
        <v>2</v>
      </c>
    </row>
    <row r="64" spans="1:13">
      <c r="A64" s="412">
        <v>2042</v>
      </c>
      <c r="B64" s="412">
        <v>87.157978889999995</v>
      </c>
      <c r="C64" s="506">
        <f t="shared" si="4"/>
        <v>1.368828852580642</v>
      </c>
      <c r="D64">
        <f t="shared" si="5"/>
        <v>952.02046696983655</v>
      </c>
      <c r="E64">
        <f t="shared" si="6"/>
        <v>31.330506850532643</v>
      </c>
      <c r="F64">
        <f t="shared" si="7"/>
        <v>63.933176752693733</v>
      </c>
      <c r="G64" t="s">
        <v>1231</v>
      </c>
      <c r="H64" s="174">
        <v>2</v>
      </c>
      <c r="I64" s="66">
        <v>1</v>
      </c>
      <c r="J64" s="66">
        <v>1</v>
      </c>
      <c r="K64" s="66">
        <v>1</v>
      </c>
      <c r="L64" s="66">
        <v>1</v>
      </c>
      <c r="M64" s="66">
        <v>2</v>
      </c>
    </row>
    <row r="65" spans="1:13">
      <c r="A65" s="412">
        <v>2043</v>
      </c>
      <c r="B65" s="412">
        <v>88.811835630000004</v>
      </c>
      <c r="C65" s="506">
        <f t="shared" si="4"/>
        <v>1.3948029154556443</v>
      </c>
      <c r="D65">
        <f t="shared" si="5"/>
        <v>970.08542769940061</v>
      </c>
      <c r="E65">
        <f t="shared" si="6"/>
        <v>31.92501547248871</v>
      </c>
      <c r="F65">
        <f t="shared" si="7"/>
        <v>65.146333788098389</v>
      </c>
      <c r="G65" t="s">
        <v>1231</v>
      </c>
      <c r="H65" s="174">
        <v>2</v>
      </c>
      <c r="I65" s="66">
        <v>1</v>
      </c>
      <c r="J65" s="66">
        <v>1</v>
      </c>
      <c r="K65" s="66">
        <v>1</v>
      </c>
      <c r="L65" s="66">
        <v>1</v>
      </c>
      <c r="M65" s="66">
        <v>2</v>
      </c>
    </row>
    <row r="66" spans="1:13">
      <c r="A66" s="412">
        <v>2044</v>
      </c>
      <c r="B66" s="412">
        <v>90.524344569999997</v>
      </c>
      <c r="C66" s="506">
        <f t="shared" si="4"/>
        <v>1.4216981197413328</v>
      </c>
      <c r="D66">
        <f t="shared" si="5"/>
        <v>988.79104228009692</v>
      </c>
      <c r="E66">
        <f t="shared" si="6"/>
        <v>32.54060768515329</v>
      </c>
      <c r="F66">
        <f t="shared" si="7"/>
        <v>66.402514095925028</v>
      </c>
      <c r="G66" t="s">
        <v>1231</v>
      </c>
      <c r="H66" s="174">
        <v>2</v>
      </c>
      <c r="I66" s="66">
        <v>1</v>
      </c>
      <c r="J66" s="66">
        <v>1</v>
      </c>
      <c r="K66" s="66">
        <v>1</v>
      </c>
      <c r="L66" s="66">
        <v>1</v>
      </c>
      <c r="M66" s="66">
        <v>2</v>
      </c>
    </row>
    <row r="67" spans="1:13">
      <c r="A67" s="412">
        <v>2045</v>
      </c>
      <c r="B67" s="412">
        <v>92.270779849999997</v>
      </c>
      <c r="C67" s="506">
        <f t="shared" si="4"/>
        <v>1.4491261421768442</v>
      </c>
      <c r="D67">
        <f t="shared" si="5"/>
        <v>1007.8672318839951</v>
      </c>
      <c r="E67">
        <f t="shared" si="6"/>
        <v>33.168395332376143</v>
      </c>
      <c r="F67">
        <f t="shared" si="7"/>
        <v>67.683580463747731</v>
      </c>
      <c r="G67" t="s">
        <v>1231</v>
      </c>
      <c r="H67" s="174">
        <v>2</v>
      </c>
      <c r="I67" s="66">
        <v>1</v>
      </c>
      <c r="J67" s="66">
        <v>1</v>
      </c>
      <c r="K67" s="66">
        <v>1</v>
      </c>
      <c r="L67" s="66">
        <v>1</v>
      </c>
      <c r="M67" s="66">
        <v>2</v>
      </c>
    </row>
    <row r="68" spans="1:13">
      <c r="A68" s="412">
        <v>2046</v>
      </c>
      <c r="B68" s="412">
        <v>94.077414829999995</v>
      </c>
      <c r="C68" s="506">
        <f t="shared" si="4"/>
        <v>1.4774996097377031</v>
      </c>
      <c r="D68">
        <f t="shared" si="5"/>
        <v>1027.6009785725726</v>
      </c>
      <c r="E68">
        <f t="shared" si="6"/>
        <v>33.817822847081807</v>
      </c>
      <c r="F68">
        <f t="shared" si="7"/>
        <v>69.00880524494319</v>
      </c>
      <c r="G68" t="s">
        <v>1231</v>
      </c>
      <c r="H68" s="174">
        <v>2</v>
      </c>
      <c r="I68" s="66">
        <v>1</v>
      </c>
      <c r="J68" s="66">
        <v>1</v>
      </c>
      <c r="K68" s="66">
        <v>1</v>
      </c>
      <c r="L68" s="66">
        <v>1</v>
      </c>
      <c r="M68" s="66">
        <v>2</v>
      </c>
    </row>
    <row r="69" spans="1:13">
      <c r="A69" s="412">
        <v>2047</v>
      </c>
      <c r="B69" s="412">
        <v>95.914050689999996</v>
      </c>
      <c r="C69" s="506">
        <f t="shared" si="4"/>
        <v>1.5063442455228579</v>
      </c>
      <c r="D69">
        <f t="shared" si="5"/>
        <v>1047.6624227611478</v>
      </c>
      <c r="E69">
        <f t="shared" si="6"/>
        <v>34.478034718978094</v>
      </c>
      <c r="F69">
        <f t="shared" si="7"/>
        <v>70.35603663515144</v>
      </c>
      <c r="G69" t="s">
        <v>1231</v>
      </c>
      <c r="H69" s="174">
        <v>2</v>
      </c>
      <c r="I69" s="66">
        <v>1</v>
      </c>
      <c r="J69" s="66">
        <v>1</v>
      </c>
      <c r="K69" s="66">
        <v>1</v>
      </c>
      <c r="L69" s="66">
        <v>1</v>
      </c>
      <c r="M69" s="66">
        <v>2</v>
      </c>
    </row>
    <row r="70" spans="1:13">
      <c r="A70" s="412">
        <v>2048</v>
      </c>
      <c r="B70" s="412">
        <v>97.822312159999996</v>
      </c>
      <c r="C70" s="506">
        <f t="shared" si="4"/>
        <v>1.5363137720271451</v>
      </c>
      <c r="D70">
        <f t="shared" si="5"/>
        <v>1068.5062284448795</v>
      </c>
      <c r="E70">
        <f t="shared" si="6"/>
        <v>35.163993707700151</v>
      </c>
      <c r="F70">
        <f t="shared" si="7"/>
        <v>71.755807710681324</v>
      </c>
      <c r="G70" t="s">
        <v>1231</v>
      </c>
      <c r="H70" s="174">
        <v>2</v>
      </c>
      <c r="I70" s="66">
        <v>1</v>
      </c>
      <c r="J70" s="66">
        <v>1</v>
      </c>
      <c r="K70" s="66">
        <v>1</v>
      </c>
      <c r="L70" s="66">
        <v>1</v>
      </c>
      <c r="M70" s="66">
        <v>2</v>
      </c>
    </row>
    <row r="71" spans="1:13">
      <c r="A71" s="412">
        <v>2049</v>
      </c>
      <c r="B71" s="412">
        <v>99.774037800000002</v>
      </c>
      <c r="C71" s="506">
        <f t="shared" si="4"/>
        <v>1.5669659097014843</v>
      </c>
      <c r="D71">
        <f t="shared" si="5"/>
        <v>1089.8247901973823</v>
      </c>
      <c r="E71">
        <f t="shared" si="6"/>
        <v>35.865576675927933</v>
      </c>
      <c r="F71">
        <f t="shared" si="7"/>
        <v>73.187461150836995</v>
      </c>
      <c r="G71" t="s">
        <v>1231</v>
      </c>
      <c r="H71" s="174">
        <v>2</v>
      </c>
      <c r="I71" s="66">
        <v>1</v>
      </c>
      <c r="J71" s="66">
        <v>1</v>
      </c>
      <c r="K71" s="66">
        <v>1</v>
      </c>
      <c r="L71" s="66">
        <v>1</v>
      </c>
      <c r="M71" s="66">
        <v>2</v>
      </c>
    </row>
    <row r="72" spans="1:13">
      <c r="A72" s="412">
        <v>2050</v>
      </c>
      <c r="B72" s="412">
        <v>101.7943732</v>
      </c>
      <c r="C72" s="506">
        <f t="shared" si="4"/>
        <v>1.5986955737280022</v>
      </c>
      <c r="D72">
        <f t="shared" si="5"/>
        <v>1111.8927715278255</v>
      </c>
      <c r="E72">
        <f t="shared" si="6"/>
        <v>36.591822659327342</v>
      </c>
      <c r="F72">
        <f t="shared" si="7"/>
        <v>74.669442053479784</v>
      </c>
      <c r="G72" t="s">
        <v>1231</v>
      </c>
      <c r="H72" s="174">
        <v>2</v>
      </c>
      <c r="I72" s="66">
        <v>1</v>
      </c>
      <c r="J72" s="66">
        <v>1</v>
      </c>
      <c r="K72" s="66">
        <v>1</v>
      </c>
      <c r="L72" s="66">
        <v>1</v>
      </c>
      <c r="M72" s="66">
        <v>2</v>
      </c>
    </row>
    <row r="73" spans="1:13">
      <c r="A73" s="412">
        <v>2051</v>
      </c>
      <c r="B73" s="412">
        <v>103.8311403</v>
      </c>
      <c r="C73" s="506">
        <f t="shared" si="4"/>
        <v>1.630683300015066</v>
      </c>
      <c r="D73">
        <f t="shared" si="5"/>
        <v>1134.1402351604784</v>
      </c>
      <c r="E73">
        <f t="shared" si="6"/>
        <v>37.323975313532721</v>
      </c>
      <c r="F73">
        <f t="shared" si="7"/>
        <v>76.163476135806491</v>
      </c>
      <c r="G73" t="s">
        <v>1231</v>
      </c>
      <c r="H73" s="174">
        <v>2</v>
      </c>
      <c r="I73" s="66">
        <v>1</v>
      </c>
      <c r="J73" s="66">
        <v>1</v>
      </c>
      <c r="K73" s="66">
        <v>1</v>
      </c>
      <c r="L73" s="66">
        <v>1</v>
      </c>
      <c r="M73" s="66">
        <v>2</v>
      </c>
    </row>
    <row r="74" spans="1:13">
      <c r="A74" s="412">
        <v>2052</v>
      </c>
      <c r="B74" s="412">
        <v>105.9148888</v>
      </c>
      <c r="C74" s="506">
        <f t="shared" si="4"/>
        <v>1.6634088760856338</v>
      </c>
      <c r="D74">
        <f t="shared" si="5"/>
        <v>1156.9008733175583</v>
      </c>
      <c r="E74">
        <f t="shared" si="6"/>
        <v>38.073016278978137</v>
      </c>
      <c r="F74">
        <f t="shared" si="7"/>
        <v>77.691972583926244</v>
      </c>
      <c r="G74" t="s">
        <v>1231</v>
      </c>
      <c r="H74" s="174">
        <v>2</v>
      </c>
      <c r="I74" s="66">
        <v>1</v>
      </c>
      <c r="J74" s="66">
        <v>1</v>
      </c>
      <c r="K74" s="66">
        <v>1</v>
      </c>
      <c r="L74" s="66">
        <v>1</v>
      </c>
      <c r="M74" s="66">
        <v>2</v>
      </c>
    </row>
    <row r="75" spans="1:13">
      <c r="A75" s="412">
        <v>2053</v>
      </c>
      <c r="B75" s="412">
        <v>108.06990879999999</v>
      </c>
      <c r="C75" s="506">
        <f t="shared" si="4"/>
        <v>1.6972537815258031</v>
      </c>
      <c r="D75">
        <f t="shared" si="5"/>
        <v>1180.4400050511961</v>
      </c>
      <c r="E75">
        <f t="shared" si="6"/>
        <v>38.847677070025711</v>
      </c>
      <c r="F75">
        <f t="shared" si="7"/>
        <v>79.272748966309706</v>
      </c>
      <c r="G75" t="s">
        <v>1231</v>
      </c>
      <c r="H75" s="174">
        <v>2</v>
      </c>
      <c r="I75" s="66">
        <v>1</v>
      </c>
      <c r="J75" s="66">
        <v>1</v>
      </c>
      <c r="K75" s="66">
        <v>1</v>
      </c>
      <c r="L75" s="66">
        <v>1</v>
      </c>
      <c r="M75" s="66">
        <v>2</v>
      </c>
    </row>
    <row r="76" spans="1:13">
      <c r="A76" s="412">
        <v>2054</v>
      </c>
      <c r="B76" s="412">
        <v>110.2730487</v>
      </c>
      <c r="C76" s="506">
        <f t="shared" si="4"/>
        <v>1.7318544170590997</v>
      </c>
      <c r="D76">
        <f t="shared" si="5"/>
        <v>1204.5047470646039</v>
      </c>
      <c r="E76">
        <f t="shared" si="6"/>
        <v>39.639635426663915</v>
      </c>
      <c r="F76">
        <f t="shared" si="7"/>
        <v>80.88882284080124</v>
      </c>
      <c r="G76" t="s">
        <v>1231</v>
      </c>
      <c r="H76" s="174">
        <v>2</v>
      </c>
      <c r="I76" s="66">
        <v>1</v>
      </c>
      <c r="J76" s="66">
        <v>1</v>
      </c>
      <c r="K76" s="66">
        <v>1</v>
      </c>
      <c r="L76" s="66">
        <v>1</v>
      </c>
      <c r="M76" s="66">
        <v>2</v>
      </c>
    </row>
    <row r="77" spans="1:13">
      <c r="A77" s="412">
        <v>2055</v>
      </c>
      <c r="B77" s="412">
        <v>112.5594547</v>
      </c>
      <c r="C77" s="506">
        <f t="shared" si="4"/>
        <v>1.7677627589157117</v>
      </c>
      <c r="D77">
        <f t="shared" si="5"/>
        <v>1229.4789988258774</v>
      </c>
      <c r="E77">
        <f t="shared" si="6"/>
        <v>40.46152528412042</v>
      </c>
      <c r="F77">
        <f t="shared" si="7"/>
        <v>82.565975073884871</v>
      </c>
      <c r="G77" t="s">
        <v>1231</v>
      </c>
      <c r="H77" s="174">
        <v>2</v>
      </c>
      <c r="I77" s="66">
        <v>1</v>
      </c>
      <c r="J77" s="66">
        <v>1</v>
      </c>
      <c r="K77" s="66">
        <v>1</v>
      </c>
      <c r="L77" s="66">
        <v>1</v>
      </c>
      <c r="M77" s="66">
        <v>2</v>
      </c>
    </row>
    <row r="78" spans="1:13">
      <c r="A78" s="412">
        <v>2056</v>
      </c>
      <c r="B78" s="412">
        <v>114.8965238</v>
      </c>
      <c r="C78" s="506">
        <f t="shared" si="4"/>
        <v>1.8044667721947725</v>
      </c>
      <c r="D78">
        <f t="shared" si="5"/>
        <v>1255.0066400614642</v>
      </c>
      <c r="E78">
        <f t="shared" si="6"/>
        <v>41.301626906257951</v>
      </c>
      <c r="F78">
        <f t="shared" si="7"/>
        <v>84.280290317956016</v>
      </c>
      <c r="G78" t="s">
        <v>1231</v>
      </c>
      <c r="H78" s="174">
        <v>2</v>
      </c>
      <c r="I78" s="66">
        <v>1</v>
      </c>
      <c r="J78" s="66">
        <v>1</v>
      </c>
      <c r="K78" s="66">
        <v>1</v>
      </c>
      <c r="L78" s="66">
        <v>1</v>
      </c>
      <c r="M78" s="66">
        <v>2</v>
      </c>
    </row>
    <row r="79" spans="1:13">
      <c r="A79" s="412">
        <v>2057</v>
      </c>
      <c r="B79" s="412">
        <v>117.3261189</v>
      </c>
      <c r="C79" s="506">
        <f t="shared" si="4"/>
        <v>1.8426239198859304</v>
      </c>
      <c r="D79">
        <f t="shared" si="5"/>
        <v>1281.5449362806646</v>
      </c>
      <c r="E79">
        <f t="shared" si="6"/>
        <v>42.174988667212055</v>
      </c>
      <c r="F79">
        <f t="shared" si="7"/>
        <v>86.062476354667808</v>
      </c>
      <c r="G79" t="s">
        <v>1231</v>
      </c>
      <c r="H79" s="174">
        <v>2</v>
      </c>
      <c r="I79" s="66">
        <v>1</v>
      </c>
      <c r="J79" s="66">
        <v>1</v>
      </c>
      <c r="K79" s="66">
        <v>1</v>
      </c>
      <c r="L79" s="66">
        <v>1</v>
      </c>
      <c r="M79" s="66">
        <v>2</v>
      </c>
    </row>
    <row r="80" spans="1:13">
      <c r="A80" s="412">
        <v>2058</v>
      </c>
      <c r="B80" s="412">
        <v>119.8032601</v>
      </c>
      <c r="C80" s="506">
        <f t="shared" si="4"/>
        <v>1.8815277860569859</v>
      </c>
      <c r="D80">
        <f t="shared" si="5"/>
        <v>1308.6025752026337</v>
      </c>
      <c r="E80">
        <f t="shared" si="6"/>
        <v>43.065441731001961</v>
      </c>
      <c r="F80">
        <f t="shared" si="7"/>
        <v>87.879538982759001</v>
      </c>
      <c r="G80" t="s">
        <v>1231</v>
      </c>
      <c r="H80" s="174">
        <v>2</v>
      </c>
      <c r="I80" s="66">
        <v>1</v>
      </c>
      <c r="J80" s="66">
        <v>1</v>
      </c>
      <c r="K80" s="66">
        <v>1</v>
      </c>
      <c r="L80" s="66">
        <v>1</v>
      </c>
      <c r="M80" s="66">
        <v>2</v>
      </c>
    </row>
    <row r="81" spans="1:13">
      <c r="A81" s="412">
        <v>2059</v>
      </c>
      <c r="B81" s="412">
        <v>122.38200670000001</v>
      </c>
      <c r="C81" s="506">
        <f t="shared" si="4"/>
        <v>1.9220273799499237</v>
      </c>
      <c r="D81">
        <f t="shared" si="5"/>
        <v>1336.770042755172</v>
      </c>
      <c r="E81">
        <f t="shared" si="6"/>
        <v>43.992418687627534</v>
      </c>
      <c r="F81">
        <f t="shared" si="7"/>
        <v>89.771132434992253</v>
      </c>
      <c r="G81" t="s">
        <v>1231</v>
      </c>
      <c r="H81" s="174">
        <v>2</v>
      </c>
      <c r="I81" s="66">
        <v>1</v>
      </c>
      <c r="J81" s="66">
        <v>1</v>
      </c>
      <c r="K81" s="66">
        <v>1</v>
      </c>
      <c r="L81" s="66">
        <v>1</v>
      </c>
      <c r="M81" s="66">
        <v>2</v>
      </c>
    </row>
    <row r="82" spans="1:13">
      <c r="A82" s="412">
        <v>2060</v>
      </c>
      <c r="B82" s="412">
        <v>124.8903523</v>
      </c>
      <c r="C82" s="506">
        <f t="shared" si="4"/>
        <v>1.9614213158035423</v>
      </c>
      <c r="D82">
        <f t="shared" si="5"/>
        <v>1364.1685251413637</v>
      </c>
      <c r="E82">
        <f t="shared" si="6"/>
        <v>44.894088735569866</v>
      </c>
      <c r="F82">
        <f t="shared" si="7"/>
        <v>91.611084492669463</v>
      </c>
      <c r="G82" t="s">
        <v>1231</v>
      </c>
      <c r="H82" s="174">
        <v>2</v>
      </c>
      <c r="I82" s="66">
        <v>1</v>
      </c>
      <c r="J82" s="66">
        <v>1</v>
      </c>
      <c r="K82" s="66">
        <v>1</v>
      </c>
      <c r="L82" s="66">
        <v>1</v>
      </c>
      <c r="M82" s="66">
        <v>2</v>
      </c>
    </row>
  </sheetData>
  <conditionalFormatting sqref="H2:M82">
    <cfRule type="containsBlanks" dxfId="28" priority="1">
      <formula>LEN(TRIM(H2))=0</formula>
    </cfRule>
    <cfRule type="cellIs" dxfId="27" priority="2" stopIfTrue="1" operator="notBetween">
      <formula>1</formula>
      <formula>4</formula>
    </cfRule>
    <cfRule type="dataBar" priority="3">
      <dataBar>
        <cfvo type="min"/>
        <cfvo type="num" val="4"/>
        <color rgb="FFFFC000"/>
      </dataBar>
      <extLst>
        <ext xmlns:x14="http://schemas.microsoft.com/office/spreadsheetml/2009/9/main" uri="{B025F937-C7B1-47D3-B67F-A62EFF666E3E}">
          <x14:id>{AAACF436-2942-4CF6-8912-AC7886C5EC77}</x14:id>
        </ext>
      </extLst>
    </cfRule>
  </conditionalFormatting>
  <hyperlinks>
    <hyperlink ref="G2" r:id="rId1" display="https://www.oecd-ilibrary.org/environment/global-plastics-outlook_aa1edf33-en" xr:uid="{9EDD35E6-36EE-4BFE-8E25-D7C41537A6B6}"/>
    <hyperlink ref="G3:G82" r:id="rId2" display="https://www.oecd-ilibrary.org/environment/global-plastics-outlook_aa1edf33-en" xr:uid="{27CF6CBB-00F2-4703-B336-932F9AF163AF}"/>
  </hyperlinks>
  <pageMargins left="0.7" right="0.7" top="0.75" bottom="0.75" header="0.3" footer="0.3"/>
  <pageSetup orientation="portrait" r:id="rId3"/>
  <extLst>
    <ext xmlns:x14="http://schemas.microsoft.com/office/spreadsheetml/2009/9/main" uri="{78C0D931-6437-407d-A8EE-F0AAD7539E65}">
      <x14:conditionalFormattings>
        <x14:conditionalFormatting xmlns:xm="http://schemas.microsoft.com/office/excel/2006/main">
          <x14:cfRule type="dataBar" id="{AAACF436-2942-4CF6-8912-AC7886C5EC77}">
            <x14:dataBar minLength="0" maxLength="100" gradient="0">
              <x14:cfvo type="autoMin"/>
              <x14:cfvo type="num">
                <xm:f>4</xm:f>
              </x14:cfvo>
              <x14:negativeFillColor rgb="FFFF0000"/>
              <x14:axisColor rgb="FF000000"/>
            </x14:dataBar>
          </x14:cfRule>
          <xm:sqref>H2:M82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7F619-4994-4452-AA39-B74CDF0F95FE}">
  <sheetPr>
    <tabColor theme="3"/>
  </sheetPr>
  <dimension ref="A1:CV201"/>
  <sheetViews>
    <sheetView topLeftCell="U158" zoomScale="80" zoomScaleNormal="80" workbookViewId="0">
      <selection activeCell="AD1" sqref="AD1:AD201"/>
    </sheetView>
  </sheetViews>
  <sheetFormatPr defaultRowHeight="14.4"/>
  <cols>
    <col min="1" max="1" width="20.6640625" customWidth="1"/>
    <col min="2" max="30" width="30.6640625" customWidth="1"/>
    <col min="31" max="33" width="30.6640625" style="916" customWidth="1"/>
    <col min="34" max="100" width="30.6640625" customWidth="1"/>
  </cols>
  <sheetData>
    <row r="1" spans="1:100" s="4" customFormat="1" ht="30" customHeight="1" thickBot="1">
      <c r="A1" s="552" t="s">
        <v>101</v>
      </c>
      <c r="B1" s="552" t="s">
        <v>963</v>
      </c>
      <c r="C1" s="552" t="s">
        <v>1232</v>
      </c>
      <c r="D1" s="552" t="s">
        <v>1139</v>
      </c>
      <c r="E1" s="552" t="s">
        <v>1142</v>
      </c>
      <c r="F1" s="552" t="s">
        <v>958</v>
      </c>
      <c r="G1" s="552" t="s">
        <v>1233</v>
      </c>
      <c r="H1" s="552" t="s">
        <v>1049</v>
      </c>
      <c r="I1" s="552" t="s">
        <v>1143</v>
      </c>
      <c r="J1" s="552" t="s">
        <v>1144</v>
      </c>
      <c r="K1" s="552" t="s">
        <v>1234</v>
      </c>
      <c r="L1" s="552" t="s">
        <v>1145</v>
      </c>
      <c r="M1" s="552" t="s">
        <v>1054</v>
      </c>
      <c r="N1" s="552" t="s">
        <v>1046</v>
      </c>
      <c r="O1" s="552" t="s">
        <v>1235</v>
      </c>
      <c r="P1" s="552" t="s">
        <v>1146</v>
      </c>
      <c r="Q1" s="552" t="s">
        <v>1147</v>
      </c>
      <c r="R1" s="552" t="s">
        <v>1148</v>
      </c>
      <c r="S1" s="552" t="s">
        <v>1236</v>
      </c>
      <c r="T1" s="552" t="s">
        <v>1237</v>
      </c>
      <c r="U1" s="552" t="s">
        <v>1058</v>
      </c>
      <c r="V1" s="552" t="s">
        <v>1238</v>
      </c>
      <c r="W1" s="552" t="s">
        <v>1239</v>
      </c>
      <c r="X1" s="869" t="s">
        <v>2120</v>
      </c>
      <c r="Y1" s="869" t="s">
        <v>2121</v>
      </c>
      <c r="Z1" s="869" t="s">
        <v>2122</v>
      </c>
      <c r="AA1" s="869" t="s">
        <v>2123</v>
      </c>
      <c r="AB1" s="869" t="s">
        <v>2124</v>
      </c>
      <c r="AC1" s="869" t="s">
        <v>2125</v>
      </c>
      <c r="AD1" s="869" t="s">
        <v>2126</v>
      </c>
      <c r="AE1" s="904" t="s">
        <v>1240</v>
      </c>
      <c r="AF1" s="905" t="s">
        <v>1241</v>
      </c>
      <c r="AG1" s="906" t="s">
        <v>1242</v>
      </c>
      <c r="AH1" s="553" t="s">
        <v>1243</v>
      </c>
      <c r="AI1" s="554" t="s">
        <v>1244</v>
      </c>
      <c r="AJ1" s="553" t="s">
        <v>1245</v>
      </c>
      <c r="AK1" s="554" t="s">
        <v>1246</v>
      </c>
      <c r="AL1" s="555" t="s">
        <v>1247</v>
      </c>
      <c r="AM1" s="555" t="s">
        <v>1248</v>
      </c>
      <c r="AN1" s="556" t="s">
        <v>1249</v>
      </c>
      <c r="AO1" s="555" t="s">
        <v>1250</v>
      </c>
      <c r="AP1" s="553" t="s">
        <v>1251</v>
      </c>
      <c r="AQ1" s="554" t="s">
        <v>1252</v>
      </c>
      <c r="AR1" s="553" t="s">
        <v>1253</v>
      </c>
      <c r="AS1" s="554" t="s">
        <v>1254</v>
      </c>
      <c r="AT1" s="555" t="s">
        <v>1255</v>
      </c>
      <c r="AU1" s="553" t="s">
        <v>1256</v>
      </c>
      <c r="AV1" s="554" t="s">
        <v>1257</v>
      </c>
      <c r="AW1" s="557" t="s">
        <v>1258</v>
      </c>
      <c r="AX1" s="558" t="s">
        <v>1259</v>
      </c>
      <c r="AY1" s="557" t="s">
        <v>1260</v>
      </c>
      <c r="AZ1" s="558" t="s">
        <v>1261</v>
      </c>
      <c r="BA1" s="559" t="s">
        <v>1262</v>
      </c>
      <c r="BB1" s="560" t="s">
        <v>1263</v>
      </c>
      <c r="BC1" s="559" t="s">
        <v>1264</v>
      </c>
      <c r="BD1" s="560" t="s">
        <v>1265</v>
      </c>
      <c r="BE1" s="559" t="s">
        <v>1266</v>
      </c>
      <c r="BF1" s="560" t="s">
        <v>1267</v>
      </c>
      <c r="BG1" s="559" t="s">
        <v>1268</v>
      </c>
      <c r="BH1" s="560" t="s">
        <v>1269</v>
      </c>
      <c r="BI1" s="557" t="s">
        <v>1270</v>
      </c>
      <c r="BJ1" s="558" t="s">
        <v>1271</v>
      </c>
      <c r="BK1" s="557" t="s">
        <v>1272</v>
      </c>
      <c r="BL1" s="558" t="s">
        <v>1273</v>
      </c>
      <c r="BM1" s="557" t="s">
        <v>1274</v>
      </c>
      <c r="BN1" s="558" t="s">
        <v>1275</v>
      </c>
      <c r="BO1" s="557" t="s">
        <v>1276</v>
      </c>
      <c r="BP1" s="558" t="s">
        <v>1277</v>
      </c>
      <c r="BQ1" s="557" t="s">
        <v>1278</v>
      </c>
      <c r="BR1" s="558" t="s">
        <v>1279</v>
      </c>
      <c r="BS1" s="557" t="s">
        <v>1280</v>
      </c>
      <c r="BT1" s="558" t="s">
        <v>1281</v>
      </c>
      <c r="BU1" s="557" t="s">
        <v>1282</v>
      </c>
      <c r="BV1" s="558" t="s">
        <v>1283</v>
      </c>
      <c r="BW1" s="557" t="s">
        <v>1284</v>
      </c>
      <c r="BX1" s="558" t="s">
        <v>1285</v>
      </c>
      <c r="BY1" s="557" t="s">
        <v>1286</v>
      </c>
      <c r="BZ1" s="558" t="s">
        <v>1287</v>
      </c>
      <c r="CA1" s="557" t="s">
        <v>1288</v>
      </c>
      <c r="CB1" s="558" t="s">
        <v>1289</v>
      </c>
      <c r="CC1" s="557" t="s">
        <v>1290</v>
      </c>
      <c r="CD1" s="558" t="s">
        <v>1291</v>
      </c>
      <c r="CE1" s="557" t="s">
        <v>1292</v>
      </c>
      <c r="CF1" s="558" t="s">
        <v>1293</v>
      </c>
      <c r="CG1" s="557" t="s">
        <v>1294</v>
      </c>
      <c r="CH1" s="558" t="s">
        <v>1295</v>
      </c>
      <c r="CI1" s="557" t="s">
        <v>1296</v>
      </c>
      <c r="CJ1" s="558" t="s">
        <v>1297</v>
      </c>
      <c r="CK1" s="557" t="s">
        <v>1298</v>
      </c>
      <c r="CL1" s="558" t="s">
        <v>1299</v>
      </c>
      <c r="CM1" s="557" t="s">
        <v>1300</v>
      </c>
      <c r="CN1" s="558" t="s">
        <v>1301</v>
      </c>
      <c r="CO1" s="559" t="s">
        <v>1302</v>
      </c>
      <c r="CP1" s="560" t="s">
        <v>1303</v>
      </c>
      <c r="CQ1" s="559" t="s">
        <v>1304</v>
      </c>
      <c r="CR1" s="560" t="s">
        <v>1305</v>
      </c>
      <c r="CS1" s="559" t="s">
        <v>1306</v>
      </c>
      <c r="CT1" s="560" t="s">
        <v>1307</v>
      </c>
      <c r="CU1" s="559" t="s">
        <v>1308</v>
      </c>
      <c r="CV1" s="560" t="s">
        <v>1309</v>
      </c>
    </row>
    <row r="2" spans="1:100">
      <c r="A2" s="457">
        <v>0</v>
      </c>
      <c r="B2" s="577">
        <v>0.25</v>
      </c>
      <c r="C2" s="577">
        <v>0.25</v>
      </c>
      <c r="D2" s="577">
        <v>0.9</v>
      </c>
      <c r="E2" s="577">
        <v>0.9</v>
      </c>
      <c r="F2" s="577">
        <f t="shared" ref="F2:F33" si="0">1/80</f>
        <v>1.2500000000000001E-2</v>
      </c>
      <c r="G2" s="577">
        <v>0</v>
      </c>
      <c r="H2" s="577">
        <v>0.9</v>
      </c>
      <c r="I2" s="577">
        <v>0.9</v>
      </c>
      <c r="J2" s="577">
        <v>0.9</v>
      </c>
      <c r="K2" s="577">
        <v>0.9</v>
      </c>
      <c r="L2" s="577">
        <v>0.9</v>
      </c>
      <c r="M2" s="577">
        <v>0.9</v>
      </c>
      <c r="N2" s="577">
        <v>0.43</v>
      </c>
      <c r="O2" s="577">
        <v>0.01</v>
      </c>
      <c r="P2" s="577">
        <v>0.9</v>
      </c>
      <c r="Q2" s="577">
        <v>0.9</v>
      </c>
      <c r="R2" s="577">
        <v>0.9</v>
      </c>
      <c r="S2" s="577">
        <v>0.01</v>
      </c>
      <c r="T2" s="577">
        <v>0</v>
      </c>
      <c r="U2" s="577">
        <v>0.9</v>
      </c>
      <c r="V2" s="577">
        <v>0</v>
      </c>
      <c r="W2" s="591">
        <v>0.12</v>
      </c>
      <c r="X2" s="675">
        <f>AE2+(SUM($AE$4:$AE$6)/2)</f>
        <v>0.44999999999999996</v>
      </c>
      <c r="Y2" s="872">
        <f>AE2+(SUM($AE$5:$AE$6)/3)</f>
        <v>0.35</v>
      </c>
      <c r="Z2" s="873">
        <f>AE2+(SUM($AE$6)/4)</f>
        <v>0.3125</v>
      </c>
      <c r="AA2" s="871">
        <v>0.3</v>
      </c>
      <c r="AB2" s="872">
        <f>Clothing!J620</f>
        <v>0.25</v>
      </c>
      <c r="AC2" s="872">
        <f>Clothing!K620</f>
        <v>0.2142857142857143</v>
      </c>
      <c r="AD2" s="872">
        <f>Clothing!L620</f>
        <v>0.1875</v>
      </c>
      <c r="AE2" s="907">
        <v>0.3</v>
      </c>
      <c r="AF2" s="908">
        <v>0.72</v>
      </c>
      <c r="AG2" s="909">
        <v>0.39</v>
      </c>
      <c r="AH2" s="675">
        <v>0.230763365</v>
      </c>
      <c r="AI2" s="674">
        <v>0.1</v>
      </c>
      <c r="AJ2" s="673">
        <v>0.230763365</v>
      </c>
      <c r="AK2" s="674">
        <v>0.1</v>
      </c>
      <c r="AL2" s="676">
        <v>0.9</v>
      </c>
      <c r="AM2" s="673">
        <v>0.25</v>
      </c>
      <c r="AN2" s="673">
        <v>0.25</v>
      </c>
      <c r="AO2" s="676">
        <v>0.05</v>
      </c>
      <c r="AP2" s="673">
        <v>0.15</v>
      </c>
      <c r="AQ2" s="674">
        <f>1/140</f>
        <v>7.1428571428571426E-3</v>
      </c>
      <c r="AR2" s="673">
        <v>1.7500000000000002E-2</v>
      </c>
      <c r="AS2" s="674">
        <f t="shared" ref="AS2:AS33" si="1">1/80</f>
        <v>1.2500000000000001E-2</v>
      </c>
      <c r="AT2" s="677">
        <v>0.27100000000000002</v>
      </c>
      <c r="AU2" s="673">
        <v>0.230763365</v>
      </c>
      <c r="AV2" s="674">
        <v>0.1</v>
      </c>
      <c r="AW2" s="678">
        <v>0</v>
      </c>
      <c r="AX2" s="679">
        <f t="shared" ref="AX2:AX12" si="2">1/11</f>
        <v>9.0909090909090912E-2</v>
      </c>
      <c r="AY2" s="678">
        <v>0</v>
      </c>
      <c r="AZ2" s="679">
        <f t="shared" ref="AZ2:AZ9" si="3">1/8</f>
        <v>0.125</v>
      </c>
      <c r="BA2" s="678">
        <v>0</v>
      </c>
      <c r="BB2" s="679">
        <f t="shared" ref="BB2:BB7" si="4">1/6</f>
        <v>0.16666666666666666</v>
      </c>
      <c r="BC2" s="680">
        <v>0</v>
      </c>
      <c r="BD2" s="681">
        <f>1/3</f>
        <v>0.33333333333333331</v>
      </c>
      <c r="BE2" s="678">
        <v>0</v>
      </c>
      <c r="BF2" s="679">
        <f t="shared" ref="BF2:BF17" si="5">1/16</f>
        <v>6.25E-2</v>
      </c>
      <c r="BG2" s="680">
        <v>0</v>
      </c>
      <c r="BH2" s="679">
        <f t="shared" ref="BH2:BH9" si="6">1/8</f>
        <v>0.125</v>
      </c>
      <c r="BI2" s="680">
        <v>0</v>
      </c>
      <c r="BJ2" s="679">
        <f t="shared" ref="BJ2:BJ8" si="7">1/7</f>
        <v>0.14285714285714285</v>
      </c>
      <c r="BK2" s="680">
        <v>0</v>
      </c>
      <c r="BL2" s="679">
        <v>0.2</v>
      </c>
      <c r="BM2" s="680">
        <v>0</v>
      </c>
      <c r="BN2" s="679">
        <f t="shared" ref="BN2:BN8" si="8">1/7</f>
        <v>0.14285714285714285</v>
      </c>
      <c r="BO2" s="680">
        <v>0</v>
      </c>
      <c r="BP2" s="679">
        <v>0.2</v>
      </c>
      <c r="BQ2" s="680">
        <v>0</v>
      </c>
      <c r="BR2" s="679">
        <f t="shared" ref="BR2:BR16" si="9">1/15</f>
        <v>6.6666666666666666E-2</v>
      </c>
      <c r="BS2" s="680">
        <v>0</v>
      </c>
      <c r="BT2" s="679">
        <v>0.1</v>
      </c>
      <c r="BU2" s="680">
        <v>0</v>
      </c>
      <c r="BV2" s="679">
        <f t="shared" ref="BV2:BV16" si="10">1/15</f>
        <v>6.6666666666666666E-2</v>
      </c>
      <c r="BW2" s="680">
        <v>0</v>
      </c>
      <c r="BX2" s="679">
        <v>0.1</v>
      </c>
      <c r="BY2" s="680">
        <v>0</v>
      </c>
      <c r="BZ2" s="679">
        <f t="shared" ref="BZ2:BZ21" si="11">1/20</f>
        <v>0.05</v>
      </c>
      <c r="CA2" s="680">
        <v>0</v>
      </c>
      <c r="CB2" s="679">
        <f t="shared" ref="CB2:CB16" si="12">1/15</f>
        <v>6.6666666666666666E-2</v>
      </c>
      <c r="CC2" s="678">
        <v>0</v>
      </c>
      <c r="CD2" s="681">
        <v>0.2</v>
      </c>
      <c r="CE2" s="678">
        <v>0</v>
      </c>
      <c r="CF2" s="681">
        <v>0.5</v>
      </c>
      <c r="CG2" s="678">
        <v>0</v>
      </c>
      <c r="CH2" s="681">
        <v>0.2</v>
      </c>
      <c r="CI2" s="678">
        <v>0</v>
      </c>
      <c r="CJ2" s="681">
        <v>0.2</v>
      </c>
      <c r="CK2" s="678">
        <v>0</v>
      </c>
      <c r="CL2" s="681">
        <v>0.1</v>
      </c>
      <c r="CM2" s="678">
        <v>0</v>
      </c>
      <c r="CN2" s="681">
        <f t="shared" ref="CN2:CN8" si="13">1/7</f>
        <v>0.14285714285714285</v>
      </c>
      <c r="CO2" s="678">
        <v>0</v>
      </c>
      <c r="CP2" s="681">
        <v>0.5</v>
      </c>
      <c r="CQ2" s="678">
        <v>0</v>
      </c>
      <c r="CR2" s="679">
        <v>0.25</v>
      </c>
      <c r="CS2" s="678">
        <v>0</v>
      </c>
      <c r="CT2" s="679">
        <f t="shared" ref="CT2:CT9" si="14">1/8</f>
        <v>0.125</v>
      </c>
      <c r="CU2" s="680">
        <v>0</v>
      </c>
      <c r="CV2" s="679">
        <v>0.1</v>
      </c>
    </row>
    <row r="3" spans="1:100">
      <c r="A3" s="457">
        <v>1</v>
      </c>
      <c r="B3" s="577">
        <v>0.25</v>
      </c>
      <c r="C3" s="577">
        <v>0.25</v>
      </c>
      <c r="D3" s="577">
        <v>0.1</v>
      </c>
      <c r="E3" s="577">
        <v>0.1</v>
      </c>
      <c r="F3" s="577">
        <f t="shared" si="0"/>
        <v>1.2500000000000001E-2</v>
      </c>
      <c r="G3" s="577">
        <v>0</v>
      </c>
      <c r="H3" s="577">
        <v>0.1</v>
      </c>
      <c r="I3" s="577">
        <v>0.1</v>
      </c>
      <c r="J3" s="577">
        <v>0.1</v>
      </c>
      <c r="K3" s="577">
        <v>0.1</v>
      </c>
      <c r="L3" s="577">
        <v>0.1</v>
      </c>
      <c r="M3" s="577">
        <v>0.1</v>
      </c>
      <c r="N3" s="577">
        <v>0.56999999999999995</v>
      </c>
      <c r="O3" s="577">
        <v>0.03</v>
      </c>
      <c r="P3" s="577">
        <v>0.1</v>
      </c>
      <c r="Q3" s="577">
        <v>0.1</v>
      </c>
      <c r="R3" s="577">
        <v>0.1</v>
      </c>
      <c r="S3" s="577">
        <v>0.03</v>
      </c>
      <c r="T3" s="577">
        <v>0</v>
      </c>
      <c r="U3" s="577">
        <v>0.1</v>
      </c>
      <c r="V3" s="577">
        <v>0</v>
      </c>
      <c r="W3" s="591">
        <v>0.11</v>
      </c>
      <c r="X3" s="870">
        <f>AE3+(SUM($AE$4:$AE$6)/2)</f>
        <v>0.55000000000000004</v>
      </c>
      <c r="Y3" s="683">
        <f t="shared" ref="Y3:Y4" si="15">AE3+(SUM($AE$5:$AE$6)/3)</f>
        <v>0.45</v>
      </c>
      <c r="Z3" s="874">
        <f t="shared" ref="Z3:Z5" si="16">AE3+(SUM($AE$6)/4)</f>
        <v>0.41250000000000003</v>
      </c>
      <c r="AA3" s="900">
        <v>0.4</v>
      </c>
      <c r="AB3" s="900">
        <f>Clothing!J621</f>
        <v>0.37333333333333335</v>
      </c>
      <c r="AC3" s="900">
        <f>Clothing!K621</f>
        <v>0.35342222222222225</v>
      </c>
      <c r="AD3" s="903">
        <f>Clothing!L621</f>
        <v>0.33780881382716055</v>
      </c>
      <c r="AE3" s="910">
        <v>0.4</v>
      </c>
      <c r="AF3" s="911">
        <v>0.12</v>
      </c>
      <c r="AG3" s="912">
        <v>0.16</v>
      </c>
      <c r="AH3" s="685">
        <v>0.20243269999999999</v>
      </c>
      <c r="AI3" s="684">
        <v>0.1</v>
      </c>
      <c r="AJ3" s="682">
        <v>0.20243269999999999</v>
      </c>
      <c r="AK3" s="684">
        <v>0.1</v>
      </c>
      <c r="AL3" s="686">
        <v>0.1</v>
      </c>
      <c r="AM3" s="682">
        <v>0.25</v>
      </c>
      <c r="AN3" s="682">
        <v>0.25</v>
      </c>
      <c r="AO3" s="686">
        <v>2.5000000000000001E-2</v>
      </c>
      <c r="AP3" s="687">
        <v>0.04</v>
      </c>
      <c r="AQ3" s="684">
        <f>1/140</f>
        <v>7.1428571428571426E-3</v>
      </c>
      <c r="AR3" s="682">
        <v>1.7500000000000002E-2</v>
      </c>
      <c r="AS3" s="684">
        <f t="shared" si="1"/>
        <v>1.2500000000000001E-2</v>
      </c>
      <c r="AT3" s="688">
        <v>0.14699999999999999</v>
      </c>
      <c r="AU3" s="682">
        <v>0.20243269999999999</v>
      </c>
      <c r="AV3" s="684">
        <v>0.1</v>
      </c>
      <c r="AW3" s="689">
        <v>0</v>
      </c>
      <c r="AX3" s="690">
        <f t="shared" si="2"/>
        <v>9.0909090909090912E-2</v>
      </c>
      <c r="AY3" s="689">
        <v>0</v>
      </c>
      <c r="AZ3" s="690">
        <f t="shared" si="3"/>
        <v>0.125</v>
      </c>
      <c r="BA3" s="689">
        <v>0</v>
      </c>
      <c r="BB3" s="690">
        <f t="shared" si="4"/>
        <v>0.16666666666666666</v>
      </c>
      <c r="BC3" s="691">
        <v>0</v>
      </c>
      <c r="BD3" s="692">
        <f>1/3</f>
        <v>0.33333333333333331</v>
      </c>
      <c r="BE3" s="689">
        <v>0</v>
      </c>
      <c r="BF3" s="690">
        <f t="shared" si="5"/>
        <v>6.25E-2</v>
      </c>
      <c r="BG3" s="691">
        <v>0</v>
      </c>
      <c r="BH3" s="690">
        <f t="shared" si="6"/>
        <v>0.125</v>
      </c>
      <c r="BI3" s="691">
        <v>0</v>
      </c>
      <c r="BJ3" s="690">
        <f t="shared" si="7"/>
        <v>0.14285714285714285</v>
      </c>
      <c r="BK3" s="691">
        <v>0</v>
      </c>
      <c r="BL3" s="690">
        <v>0.2</v>
      </c>
      <c r="BM3" s="691">
        <v>0</v>
      </c>
      <c r="BN3" s="690">
        <f t="shared" si="8"/>
        <v>0.14285714285714285</v>
      </c>
      <c r="BO3" s="691">
        <v>0</v>
      </c>
      <c r="BP3" s="690">
        <v>0.2</v>
      </c>
      <c r="BQ3" s="691">
        <v>0</v>
      </c>
      <c r="BR3" s="690">
        <f t="shared" si="9"/>
        <v>6.6666666666666666E-2</v>
      </c>
      <c r="BS3" s="691">
        <v>0</v>
      </c>
      <c r="BT3" s="690">
        <v>0.1</v>
      </c>
      <c r="BU3" s="691">
        <v>0</v>
      </c>
      <c r="BV3" s="690">
        <f t="shared" si="10"/>
        <v>6.6666666666666666E-2</v>
      </c>
      <c r="BW3" s="691">
        <v>0</v>
      </c>
      <c r="BX3" s="690">
        <v>0.1</v>
      </c>
      <c r="BY3" s="691">
        <v>0</v>
      </c>
      <c r="BZ3" s="690">
        <f t="shared" si="11"/>
        <v>0.05</v>
      </c>
      <c r="CA3" s="691">
        <v>0</v>
      </c>
      <c r="CB3" s="690">
        <f t="shared" si="12"/>
        <v>6.6666666666666666E-2</v>
      </c>
      <c r="CC3" s="689">
        <v>0</v>
      </c>
      <c r="CD3" s="692">
        <v>0.2</v>
      </c>
      <c r="CE3" s="689">
        <v>1</v>
      </c>
      <c r="CF3" s="692">
        <v>0.5</v>
      </c>
      <c r="CG3" s="689">
        <v>0</v>
      </c>
      <c r="CH3" s="692">
        <v>0.2</v>
      </c>
      <c r="CI3" s="689">
        <v>0</v>
      </c>
      <c r="CJ3" s="692">
        <v>0.2</v>
      </c>
      <c r="CK3" s="689">
        <v>0</v>
      </c>
      <c r="CL3" s="692">
        <v>0.1</v>
      </c>
      <c r="CM3" s="689">
        <v>0</v>
      </c>
      <c r="CN3" s="692">
        <f t="shared" si="13"/>
        <v>0.14285714285714285</v>
      </c>
      <c r="CO3" s="689">
        <v>1</v>
      </c>
      <c r="CP3" s="692">
        <v>0.5</v>
      </c>
      <c r="CQ3" s="689">
        <v>0</v>
      </c>
      <c r="CR3" s="690">
        <v>0.25</v>
      </c>
      <c r="CS3" s="689">
        <v>0</v>
      </c>
      <c r="CT3" s="690">
        <f t="shared" si="14"/>
        <v>0.125</v>
      </c>
      <c r="CU3" s="691">
        <v>0</v>
      </c>
      <c r="CV3" s="690">
        <v>0.1</v>
      </c>
    </row>
    <row r="4" spans="1:100">
      <c r="A4" s="457">
        <v>2</v>
      </c>
      <c r="B4" s="577">
        <v>0.25</v>
      </c>
      <c r="C4" s="577">
        <v>0.25</v>
      </c>
      <c r="D4" s="577">
        <v>0</v>
      </c>
      <c r="E4" s="577">
        <v>0</v>
      </c>
      <c r="F4" s="577">
        <f t="shared" si="0"/>
        <v>1.2500000000000001E-2</v>
      </c>
      <c r="G4" s="577">
        <v>0</v>
      </c>
      <c r="H4" s="577">
        <v>0</v>
      </c>
      <c r="I4" s="577">
        <v>0</v>
      </c>
      <c r="J4" s="577">
        <v>0</v>
      </c>
      <c r="K4" s="577">
        <v>0</v>
      </c>
      <c r="L4" s="577">
        <v>0</v>
      </c>
      <c r="M4" s="577">
        <v>0</v>
      </c>
      <c r="N4" s="577">
        <v>0</v>
      </c>
      <c r="O4" s="577">
        <v>0.08</v>
      </c>
      <c r="P4" s="577">
        <v>0</v>
      </c>
      <c r="Q4" s="577">
        <v>0</v>
      </c>
      <c r="R4" s="577">
        <v>0</v>
      </c>
      <c r="S4" s="577">
        <v>0.08</v>
      </c>
      <c r="T4" s="577">
        <v>0</v>
      </c>
      <c r="U4" s="577">
        <v>0</v>
      </c>
      <c r="V4" s="577">
        <v>0</v>
      </c>
      <c r="W4" s="591">
        <v>0.11</v>
      </c>
      <c r="X4" s="685">
        <v>0</v>
      </c>
      <c r="Y4" s="683">
        <f t="shared" si="15"/>
        <v>0.2</v>
      </c>
      <c r="Z4" s="874">
        <f t="shared" si="16"/>
        <v>0.16250000000000001</v>
      </c>
      <c r="AA4" s="900">
        <v>0.15</v>
      </c>
      <c r="AB4" s="900">
        <f>Clothing!J622</f>
        <v>0.14624999999999999</v>
      </c>
      <c r="AC4" s="900">
        <f>Clothing!K622</f>
        <v>0.14319441964285715</v>
      </c>
      <c r="AD4" s="903">
        <f>Clothing!L622</f>
        <v>0.14063133941575032</v>
      </c>
      <c r="AE4" s="910">
        <v>0.15</v>
      </c>
      <c r="AF4" s="911">
        <v>0.08</v>
      </c>
      <c r="AG4" s="912">
        <v>0.15</v>
      </c>
      <c r="AH4" s="685">
        <v>9.7155494999999994E-2</v>
      </c>
      <c r="AI4" s="684">
        <v>0.1</v>
      </c>
      <c r="AJ4" s="682">
        <v>9.7155494999999994E-2</v>
      </c>
      <c r="AK4" s="684">
        <v>0.1</v>
      </c>
      <c r="AL4" s="686">
        <v>0</v>
      </c>
      <c r="AM4" s="682">
        <v>0.25</v>
      </c>
      <c r="AN4" s="682">
        <v>0.25</v>
      </c>
      <c r="AO4" s="686">
        <v>2.5000000000000001E-2</v>
      </c>
      <c r="AP4" s="687">
        <v>0.04</v>
      </c>
      <c r="AQ4" s="684">
        <f t="shared" ref="AQ4:AQ67" si="17">1/140</f>
        <v>7.1428571428571426E-3</v>
      </c>
      <c r="AR4" s="682">
        <v>5.5555559999999997E-3</v>
      </c>
      <c r="AS4" s="684">
        <f t="shared" si="1"/>
        <v>1.2500000000000001E-2</v>
      </c>
      <c r="AT4" s="688">
        <v>7.400000000000001E-2</v>
      </c>
      <c r="AU4" s="682">
        <v>9.7155494999999994E-2</v>
      </c>
      <c r="AV4" s="684">
        <v>0.1</v>
      </c>
      <c r="AW4" s="689">
        <v>0</v>
      </c>
      <c r="AX4" s="690">
        <f t="shared" si="2"/>
        <v>9.0909090909090912E-2</v>
      </c>
      <c r="AY4" s="689">
        <v>0</v>
      </c>
      <c r="AZ4" s="690">
        <f t="shared" si="3"/>
        <v>0.125</v>
      </c>
      <c r="BA4" s="689">
        <v>0</v>
      </c>
      <c r="BB4" s="690">
        <f t="shared" si="4"/>
        <v>0.16666666666666666</v>
      </c>
      <c r="BC4" s="691">
        <v>1</v>
      </c>
      <c r="BD4" s="692">
        <f>1/3</f>
        <v>0.33333333333333331</v>
      </c>
      <c r="BE4" s="689">
        <v>0</v>
      </c>
      <c r="BF4" s="690">
        <f t="shared" si="5"/>
        <v>6.25E-2</v>
      </c>
      <c r="BG4" s="691">
        <v>0</v>
      </c>
      <c r="BH4" s="690">
        <f t="shared" si="6"/>
        <v>0.125</v>
      </c>
      <c r="BI4" s="691">
        <v>0</v>
      </c>
      <c r="BJ4" s="690">
        <f t="shared" si="7"/>
        <v>0.14285714285714285</v>
      </c>
      <c r="BK4" s="691">
        <v>0</v>
      </c>
      <c r="BL4" s="690">
        <v>0.2</v>
      </c>
      <c r="BM4" s="691">
        <v>0</v>
      </c>
      <c r="BN4" s="690">
        <f t="shared" si="8"/>
        <v>0.14285714285714285</v>
      </c>
      <c r="BO4" s="691">
        <v>0</v>
      </c>
      <c r="BP4" s="690">
        <v>0.2</v>
      </c>
      <c r="BQ4" s="691">
        <v>0</v>
      </c>
      <c r="BR4" s="690">
        <f t="shared" si="9"/>
        <v>6.6666666666666666E-2</v>
      </c>
      <c r="BS4" s="691">
        <v>0</v>
      </c>
      <c r="BT4" s="690">
        <v>0.1</v>
      </c>
      <c r="BU4" s="691">
        <v>0</v>
      </c>
      <c r="BV4" s="690">
        <f t="shared" si="10"/>
        <v>6.6666666666666666E-2</v>
      </c>
      <c r="BW4" s="691">
        <v>0</v>
      </c>
      <c r="BX4" s="690">
        <v>0.1</v>
      </c>
      <c r="BY4" s="691">
        <v>0</v>
      </c>
      <c r="BZ4" s="690">
        <f t="shared" si="11"/>
        <v>0.05</v>
      </c>
      <c r="CA4" s="691">
        <v>0</v>
      </c>
      <c r="CB4" s="690">
        <f t="shared" si="12"/>
        <v>6.6666666666666666E-2</v>
      </c>
      <c r="CC4" s="689">
        <v>0</v>
      </c>
      <c r="CD4" s="692">
        <v>0.2</v>
      </c>
      <c r="CE4" s="689">
        <v>0</v>
      </c>
      <c r="CF4" s="692">
        <v>0</v>
      </c>
      <c r="CG4" s="689">
        <v>0</v>
      </c>
      <c r="CH4" s="692">
        <v>0.2</v>
      </c>
      <c r="CI4" s="689">
        <v>0</v>
      </c>
      <c r="CJ4" s="692">
        <v>0.2</v>
      </c>
      <c r="CK4" s="689">
        <v>0</v>
      </c>
      <c r="CL4" s="692">
        <v>0.1</v>
      </c>
      <c r="CM4" s="689">
        <v>0</v>
      </c>
      <c r="CN4" s="692">
        <f t="shared" si="13"/>
        <v>0.14285714285714285</v>
      </c>
      <c r="CO4" s="689">
        <v>0</v>
      </c>
      <c r="CP4" s="692">
        <v>0</v>
      </c>
      <c r="CQ4" s="689">
        <v>0</v>
      </c>
      <c r="CR4" s="690">
        <v>0.25</v>
      </c>
      <c r="CS4" s="689">
        <v>0</v>
      </c>
      <c r="CT4" s="690">
        <f t="shared" si="14"/>
        <v>0.125</v>
      </c>
      <c r="CU4" s="691">
        <v>0</v>
      </c>
      <c r="CV4" s="690">
        <v>0.1</v>
      </c>
    </row>
    <row r="5" spans="1:100">
      <c r="A5" s="457">
        <v>3</v>
      </c>
      <c r="B5" s="577">
        <v>0.25</v>
      </c>
      <c r="C5" s="577">
        <v>0.25</v>
      </c>
      <c r="D5" s="577">
        <v>0</v>
      </c>
      <c r="E5" s="577">
        <v>0</v>
      </c>
      <c r="F5" s="577">
        <f t="shared" si="0"/>
        <v>1.2500000000000001E-2</v>
      </c>
      <c r="G5" s="577">
        <v>0</v>
      </c>
      <c r="H5" s="577">
        <v>0</v>
      </c>
      <c r="I5" s="577">
        <v>0</v>
      </c>
      <c r="J5" s="577">
        <v>0</v>
      </c>
      <c r="K5" s="577">
        <v>0</v>
      </c>
      <c r="L5" s="577">
        <v>0</v>
      </c>
      <c r="M5" s="577">
        <v>0</v>
      </c>
      <c r="N5" s="577">
        <v>0</v>
      </c>
      <c r="O5" s="577">
        <v>0.16</v>
      </c>
      <c r="P5" s="577">
        <v>0</v>
      </c>
      <c r="Q5" s="577">
        <v>0</v>
      </c>
      <c r="R5" s="577">
        <v>0</v>
      </c>
      <c r="S5" s="577">
        <v>0.16</v>
      </c>
      <c r="T5" s="577">
        <v>0</v>
      </c>
      <c r="U5" s="577">
        <v>0</v>
      </c>
      <c r="V5" s="577">
        <v>0</v>
      </c>
      <c r="W5" s="591">
        <v>0.11</v>
      </c>
      <c r="X5" s="685">
        <v>0</v>
      </c>
      <c r="Y5" s="685">
        <v>0</v>
      </c>
      <c r="Z5" s="874">
        <f t="shared" si="16"/>
        <v>0.1125</v>
      </c>
      <c r="AA5" s="900">
        <v>0.1</v>
      </c>
      <c r="AB5" s="900">
        <f>Clothing!J623</f>
        <v>9.8333333333333328E-2</v>
      </c>
      <c r="AC5" s="900">
        <f>Clothing!K623</f>
        <v>9.6951984126984123E-2</v>
      </c>
      <c r="AD5" s="903">
        <f>Clothing!L623</f>
        <v>9.5777023223714244E-2</v>
      </c>
      <c r="AE5" s="910">
        <v>0.1</v>
      </c>
      <c r="AF5" s="911">
        <v>0.04</v>
      </c>
      <c r="AG5" s="912">
        <v>0.15</v>
      </c>
      <c r="AH5" s="685">
        <v>9.7155494999999994E-2</v>
      </c>
      <c r="AI5" s="684">
        <v>0.1</v>
      </c>
      <c r="AJ5" s="682">
        <v>9.7155494999999994E-2</v>
      </c>
      <c r="AK5" s="684">
        <v>0.1</v>
      </c>
      <c r="AL5" s="686">
        <v>0</v>
      </c>
      <c r="AM5" s="682">
        <v>0.25</v>
      </c>
      <c r="AN5" s="682">
        <v>0.25</v>
      </c>
      <c r="AO5" s="686">
        <v>2.5000000000000001E-2</v>
      </c>
      <c r="AP5" s="687">
        <v>0.04</v>
      </c>
      <c r="AQ5" s="684">
        <f t="shared" si="17"/>
        <v>7.1428571428571426E-3</v>
      </c>
      <c r="AR5" s="682">
        <v>5.5555559999999997E-3</v>
      </c>
      <c r="AS5" s="684">
        <f t="shared" si="1"/>
        <v>1.2500000000000001E-2</v>
      </c>
      <c r="AT5" s="688">
        <v>7.400000000000001E-2</v>
      </c>
      <c r="AU5" s="682">
        <v>9.7155494999999994E-2</v>
      </c>
      <c r="AV5" s="684">
        <v>0.1</v>
      </c>
      <c r="AW5" s="689">
        <v>0</v>
      </c>
      <c r="AX5" s="690">
        <f t="shared" si="2"/>
        <v>9.0909090909090912E-2</v>
      </c>
      <c r="AY5" s="689">
        <v>0</v>
      </c>
      <c r="AZ5" s="690">
        <f t="shared" si="3"/>
        <v>0.125</v>
      </c>
      <c r="BA5" s="689">
        <v>0</v>
      </c>
      <c r="BB5" s="690">
        <f t="shared" si="4"/>
        <v>0.16666666666666666</v>
      </c>
      <c r="BC5" s="691">
        <v>0</v>
      </c>
      <c r="BD5" s="692">
        <v>0</v>
      </c>
      <c r="BE5" s="689">
        <v>0</v>
      </c>
      <c r="BF5" s="690">
        <f t="shared" si="5"/>
        <v>6.25E-2</v>
      </c>
      <c r="BG5" s="691">
        <v>0</v>
      </c>
      <c r="BH5" s="690">
        <f t="shared" si="6"/>
        <v>0.125</v>
      </c>
      <c r="BI5" s="691">
        <v>0</v>
      </c>
      <c r="BJ5" s="690">
        <f t="shared" si="7"/>
        <v>0.14285714285714285</v>
      </c>
      <c r="BK5" s="691">
        <v>0</v>
      </c>
      <c r="BL5" s="690">
        <v>0.2</v>
      </c>
      <c r="BM5" s="691">
        <v>0</v>
      </c>
      <c r="BN5" s="690">
        <f t="shared" si="8"/>
        <v>0.14285714285714285</v>
      </c>
      <c r="BO5" s="691">
        <v>0</v>
      </c>
      <c r="BP5" s="690">
        <v>0.2</v>
      </c>
      <c r="BQ5" s="691">
        <v>0</v>
      </c>
      <c r="BR5" s="690">
        <f t="shared" si="9"/>
        <v>6.6666666666666666E-2</v>
      </c>
      <c r="BS5" s="691">
        <v>0</v>
      </c>
      <c r="BT5" s="690">
        <v>0.1</v>
      </c>
      <c r="BU5" s="691">
        <v>0</v>
      </c>
      <c r="BV5" s="690">
        <f t="shared" si="10"/>
        <v>6.6666666666666666E-2</v>
      </c>
      <c r="BW5" s="691">
        <v>0</v>
      </c>
      <c r="BX5" s="690">
        <v>0.1</v>
      </c>
      <c r="BY5" s="691">
        <v>0</v>
      </c>
      <c r="BZ5" s="690">
        <f t="shared" si="11"/>
        <v>0.05</v>
      </c>
      <c r="CA5" s="691">
        <v>0</v>
      </c>
      <c r="CB5" s="690">
        <f t="shared" si="12"/>
        <v>6.6666666666666666E-2</v>
      </c>
      <c r="CC5" s="689">
        <v>0</v>
      </c>
      <c r="CD5" s="692">
        <v>0.2</v>
      </c>
      <c r="CE5" s="689">
        <v>0</v>
      </c>
      <c r="CF5" s="692">
        <v>0</v>
      </c>
      <c r="CG5" s="689">
        <v>0</v>
      </c>
      <c r="CH5" s="692">
        <v>0.2</v>
      </c>
      <c r="CI5" s="689">
        <v>0</v>
      </c>
      <c r="CJ5" s="692">
        <v>0.2</v>
      </c>
      <c r="CK5" s="689">
        <v>0</v>
      </c>
      <c r="CL5" s="692">
        <v>0.1</v>
      </c>
      <c r="CM5" s="689">
        <v>0</v>
      </c>
      <c r="CN5" s="692">
        <f t="shared" si="13"/>
        <v>0.14285714285714285</v>
      </c>
      <c r="CO5" s="689">
        <v>0</v>
      </c>
      <c r="CP5" s="692">
        <v>0</v>
      </c>
      <c r="CQ5" s="689">
        <v>1</v>
      </c>
      <c r="CR5" s="690">
        <v>0.25</v>
      </c>
      <c r="CS5" s="689">
        <v>0</v>
      </c>
      <c r="CT5" s="690">
        <f t="shared" si="14"/>
        <v>0.125</v>
      </c>
      <c r="CU5" s="691">
        <v>0</v>
      </c>
      <c r="CV5" s="690">
        <v>0.1</v>
      </c>
    </row>
    <row r="6" spans="1:100">
      <c r="A6" s="457">
        <v>4</v>
      </c>
      <c r="B6" s="577">
        <v>0</v>
      </c>
      <c r="C6" s="577">
        <v>0</v>
      </c>
      <c r="D6" s="577">
        <v>0</v>
      </c>
      <c r="E6" s="577">
        <v>0</v>
      </c>
      <c r="F6" s="577">
        <f t="shared" si="0"/>
        <v>1.2500000000000001E-2</v>
      </c>
      <c r="G6" s="577">
        <v>0</v>
      </c>
      <c r="H6" s="577">
        <v>0</v>
      </c>
      <c r="I6" s="577">
        <v>0</v>
      </c>
      <c r="J6" s="577">
        <v>0</v>
      </c>
      <c r="K6" s="577">
        <v>0</v>
      </c>
      <c r="L6" s="577">
        <v>0</v>
      </c>
      <c r="M6" s="577">
        <v>0</v>
      </c>
      <c r="N6" s="577">
        <v>0</v>
      </c>
      <c r="O6" s="577">
        <v>0.23</v>
      </c>
      <c r="P6" s="577">
        <v>0</v>
      </c>
      <c r="Q6" s="577">
        <v>0</v>
      </c>
      <c r="R6" s="577">
        <v>0</v>
      </c>
      <c r="S6" s="577">
        <v>0.23</v>
      </c>
      <c r="T6" s="577">
        <v>0</v>
      </c>
      <c r="U6" s="577">
        <v>0</v>
      </c>
      <c r="V6" s="577">
        <v>0.05</v>
      </c>
      <c r="W6" s="591">
        <v>0.1</v>
      </c>
      <c r="X6" s="685">
        <v>0</v>
      </c>
      <c r="Y6" s="685">
        <v>0</v>
      </c>
      <c r="Z6" s="685">
        <v>0</v>
      </c>
      <c r="AA6" s="900">
        <v>0.05</v>
      </c>
      <c r="AB6" s="900">
        <f>Clothing!J624</f>
        <v>4.958333333333334E-2</v>
      </c>
      <c r="AC6" s="900">
        <f>Clothing!K624</f>
        <v>4.9232118055555565E-2</v>
      </c>
      <c r="AD6" s="684">
        <f>Clothing!L624</f>
        <v>4.8929142874526044E-2</v>
      </c>
      <c r="AE6" s="910">
        <v>0.05</v>
      </c>
      <c r="AF6" s="911">
        <v>0.04</v>
      </c>
      <c r="AG6" s="912">
        <v>0.15</v>
      </c>
      <c r="AH6" s="685">
        <v>9.7155494999999994E-2</v>
      </c>
      <c r="AI6" s="684">
        <v>0.1</v>
      </c>
      <c r="AJ6" s="682">
        <v>9.7155494999999994E-2</v>
      </c>
      <c r="AK6" s="684">
        <v>0.1</v>
      </c>
      <c r="AL6" s="686">
        <v>0</v>
      </c>
      <c r="AM6" s="682">
        <v>0</v>
      </c>
      <c r="AN6" s="682">
        <v>0</v>
      </c>
      <c r="AO6" s="686">
        <v>2.5000000000000001E-2</v>
      </c>
      <c r="AP6" s="687">
        <v>0.04</v>
      </c>
      <c r="AQ6" s="684">
        <f t="shared" si="17"/>
        <v>7.1428571428571426E-3</v>
      </c>
      <c r="AR6" s="682">
        <v>5.5555559999999997E-3</v>
      </c>
      <c r="AS6" s="684">
        <f t="shared" si="1"/>
        <v>1.2500000000000001E-2</v>
      </c>
      <c r="AT6" s="688">
        <v>3.7999999999999999E-2</v>
      </c>
      <c r="AU6" s="682">
        <v>9.7155494999999994E-2</v>
      </c>
      <c r="AV6" s="684">
        <v>0.1</v>
      </c>
      <c r="AW6" s="689">
        <v>0</v>
      </c>
      <c r="AX6" s="690">
        <f t="shared" si="2"/>
        <v>9.0909090909090912E-2</v>
      </c>
      <c r="AY6" s="689">
        <v>0</v>
      </c>
      <c r="AZ6" s="690">
        <f t="shared" si="3"/>
        <v>0.125</v>
      </c>
      <c r="BA6" s="689">
        <v>0</v>
      </c>
      <c r="BB6" s="690">
        <f t="shared" si="4"/>
        <v>0.16666666666666666</v>
      </c>
      <c r="BC6" s="691">
        <v>0</v>
      </c>
      <c r="BD6" s="692">
        <v>0</v>
      </c>
      <c r="BE6" s="689">
        <v>0</v>
      </c>
      <c r="BF6" s="690">
        <f t="shared" si="5"/>
        <v>6.25E-2</v>
      </c>
      <c r="BG6" s="691">
        <v>0</v>
      </c>
      <c r="BH6" s="690">
        <f t="shared" si="6"/>
        <v>0.125</v>
      </c>
      <c r="BI6" s="691">
        <v>0</v>
      </c>
      <c r="BJ6" s="690">
        <f t="shared" si="7"/>
        <v>0.14285714285714285</v>
      </c>
      <c r="BK6" s="691">
        <v>1</v>
      </c>
      <c r="BL6" s="690">
        <v>0.2</v>
      </c>
      <c r="BM6" s="691">
        <v>0</v>
      </c>
      <c r="BN6" s="690">
        <f t="shared" si="8"/>
        <v>0.14285714285714285</v>
      </c>
      <c r="BO6" s="691">
        <v>1</v>
      </c>
      <c r="BP6" s="690">
        <v>0.2</v>
      </c>
      <c r="BQ6" s="691">
        <v>0</v>
      </c>
      <c r="BR6" s="690">
        <f t="shared" si="9"/>
        <v>6.6666666666666666E-2</v>
      </c>
      <c r="BS6" s="691">
        <v>0</v>
      </c>
      <c r="BT6" s="690">
        <v>0.1</v>
      </c>
      <c r="BU6" s="691">
        <v>0</v>
      </c>
      <c r="BV6" s="690">
        <f t="shared" si="10"/>
        <v>6.6666666666666666E-2</v>
      </c>
      <c r="BW6" s="691">
        <v>0</v>
      </c>
      <c r="BX6" s="690">
        <v>0.1</v>
      </c>
      <c r="BY6" s="691">
        <v>0</v>
      </c>
      <c r="BZ6" s="690">
        <f t="shared" si="11"/>
        <v>0.05</v>
      </c>
      <c r="CA6" s="691">
        <v>0</v>
      </c>
      <c r="CB6" s="690">
        <f t="shared" si="12"/>
        <v>6.6666666666666666E-2</v>
      </c>
      <c r="CC6" s="689">
        <v>1</v>
      </c>
      <c r="CD6" s="692">
        <v>0.2</v>
      </c>
      <c r="CE6" s="689">
        <v>0</v>
      </c>
      <c r="CF6" s="692">
        <v>0</v>
      </c>
      <c r="CG6" s="689">
        <v>1</v>
      </c>
      <c r="CH6" s="692">
        <v>0.2</v>
      </c>
      <c r="CI6" s="689">
        <v>1</v>
      </c>
      <c r="CJ6" s="692">
        <v>0.2</v>
      </c>
      <c r="CK6" s="689">
        <v>0</v>
      </c>
      <c r="CL6" s="692">
        <v>0.1</v>
      </c>
      <c r="CM6" s="689">
        <v>0</v>
      </c>
      <c r="CN6" s="692">
        <f t="shared" si="13"/>
        <v>0.14285714285714285</v>
      </c>
      <c r="CO6" s="689">
        <v>0</v>
      </c>
      <c r="CP6" s="692">
        <v>0</v>
      </c>
      <c r="CQ6" s="689">
        <v>0</v>
      </c>
      <c r="CR6" s="690">
        <v>0</v>
      </c>
      <c r="CS6" s="689">
        <v>0</v>
      </c>
      <c r="CT6" s="690">
        <f t="shared" si="14"/>
        <v>0.125</v>
      </c>
      <c r="CU6" s="691">
        <v>0</v>
      </c>
      <c r="CV6" s="690">
        <v>0.1</v>
      </c>
    </row>
    <row r="7" spans="1:100">
      <c r="A7" s="457">
        <v>5</v>
      </c>
      <c r="B7" s="577">
        <v>0</v>
      </c>
      <c r="C7" s="577">
        <v>0</v>
      </c>
      <c r="D7" s="577">
        <v>0</v>
      </c>
      <c r="E7" s="577">
        <v>0</v>
      </c>
      <c r="F7" s="577">
        <f t="shared" si="0"/>
        <v>1.2500000000000001E-2</v>
      </c>
      <c r="G7" s="577">
        <v>0</v>
      </c>
      <c r="H7" s="577">
        <v>0</v>
      </c>
      <c r="I7" s="577">
        <v>0</v>
      </c>
      <c r="J7" s="577">
        <v>0</v>
      </c>
      <c r="K7" s="577">
        <v>0</v>
      </c>
      <c r="L7" s="577">
        <v>0</v>
      </c>
      <c r="M7" s="577">
        <v>0</v>
      </c>
      <c r="N7" s="577">
        <v>0</v>
      </c>
      <c r="O7" s="577">
        <v>0.23</v>
      </c>
      <c r="P7" s="577">
        <v>0</v>
      </c>
      <c r="Q7" s="577">
        <v>0</v>
      </c>
      <c r="R7" s="577">
        <v>0</v>
      </c>
      <c r="S7" s="577">
        <v>0.23</v>
      </c>
      <c r="T7" s="577">
        <v>0</v>
      </c>
      <c r="U7" s="577">
        <v>0</v>
      </c>
      <c r="V7" s="577">
        <v>0.05</v>
      </c>
      <c r="W7" s="591">
        <v>0.1</v>
      </c>
      <c r="X7" s="685">
        <v>0</v>
      </c>
      <c r="Y7" s="685">
        <v>0</v>
      </c>
      <c r="Z7" s="685">
        <v>0</v>
      </c>
      <c r="AA7" s="685">
        <v>0</v>
      </c>
      <c r="AB7" s="901">
        <f>Clothing!J625</f>
        <v>8.2500000000000018E-2</v>
      </c>
      <c r="AC7" s="900">
        <f>Clothing!K625</f>
        <v>8.1527678571428591E-2</v>
      </c>
      <c r="AD7" s="903">
        <f>Clothing!L625</f>
        <v>8.0696833274772811E-2</v>
      </c>
      <c r="AE7" s="910">
        <v>0</v>
      </c>
      <c r="AF7" s="911">
        <v>0</v>
      </c>
      <c r="AG7" s="912">
        <v>0</v>
      </c>
      <c r="AH7" s="685">
        <v>5.5540304000000013E-2</v>
      </c>
      <c r="AI7" s="684">
        <v>0.1</v>
      </c>
      <c r="AJ7" s="682">
        <v>5.5540304000000013E-2</v>
      </c>
      <c r="AK7" s="684">
        <v>0.1</v>
      </c>
      <c r="AL7" s="686">
        <v>0</v>
      </c>
      <c r="AM7" s="682">
        <v>0</v>
      </c>
      <c r="AN7" s="682">
        <v>0</v>
      </c>
      <c r="AO7" s="686">
        <v>0.08</v>
      </c>
      <c r="AP7" s="687">
        <v>0.04</v>
      </c>
      <c r="AQ7" s="684">
        <f t="shared" si="17"/>
        <v>7.1428571428571426E-3</v>
      </c>
      <c r="AR7" s="682">
        <v>0.03</v>
      </c>
      <c r="AS7" s="684">
        <f t="shared" si="1"/>
        <v>1.2500000000000001E-2</v>
      </c>
      <c r="AT7" s="688">
        <v>2.9000000000000001E-2</v>
      </c>
      <c r="AU7" s="682">
        <v>5.5540304000000013E-2</v>
      </c>
      <c r="AV7" s="684">
        <v>0.1</v>
      </c>
      <c r="AW7" s="689">
        <v>0</v>
      </c>
      <c r="AX7" s="690">
        <f t="shared" si="2"/>
        <v>9.0909090909090912E-2</v>
      </c>
      <c r="AY7" s="689">
        <v>0</v>
      </c>
      <c r="AZ7" s="690">
        <f t="shared" si="3"/>
        <v>0.125</v>
      </c>
      <c r="BA7" s="689">
        <v>1</v>
      </c>
      <c r="BB7" s="690">
        <f t="shared" si="4"/>
        <v>0.16666666666666666</v>
      </c>
      <c r="BC7" s="691">
        <v>0</v>
      </c>
      <c r="BD7" s="692">
        <v>0</v>
      </c>
      <c r="BE7" s="689">
        <v>0</v>
      </c>
      <c r="BF7" s="690">
        <f t="shared" si="5"/>
        <v>6.25E-2</v>
      </c>
      <c r="BG7" s="691">
        <v>0</v>
      </c>
      <c r="BH7" s="690">
        <f t="shared" si="6"/>
        <v>0.125</v>
      </c>
      <c r="BI7" s="691">
        <v>0</v>
      </c>
      <c r="BJ7" s="690">
        <f t="shared" si="7"/>
        <v>0.14285714285714285</v>
      </c>
      <c r="BK7" s="691">
        <v>0</v>
      </c>
      <c r="BL7" s="690">
        <v>0</v>
      </c>
      <c r="BM7" s="691">
        <v>0</v>
      </c>
      <c r="BN7" s="690">
        <f t="shared" si="8"/>
        <v>0.14285714285714285</v>
      </c>
      <c r="BO7" s="691">
        <v>0</v>
      </c>
      <c r="BP7" s="690">
        <v>0</v>
      </c>
      <c r="BQ7" s="691">
        <v>0</v>
      </c>
      <c r="BR7" s="690">
        <f t="shared" si="9"/>
        <v>6.6666666666666666E-2</v>
      </c>
      <c r="BS7" s="691">
        <v>0</v>
      </c>
      <c r="BT7" s="690">
        <v>0.1</v>
      </c>
      <c r="BU7" s="691">
        <v>0</v>
      </c>
      <c r="BV7" s="690">
        <f t="shared" si="10"/>
        <v>6.6666666666666666E-2</v>
      </c>
      <c r="BW7" s="691">
        <v>0</v>
      </c>
      <c r="BX7" s="690">
        <v>0.1</v>
      </c>
      <c r="BY7" s="691">
        <v>0</v>
      </c>
      <c r="BZ7" s="690">
        <f t="shared" si="11"/>
        <v>0.05</v>
      </c>
      <c r="CA7" s="691">
        <v>0</v>
      </c>
      <c r="CB7" s="690">
        <f t="shared" si="12"/>
        <v>6.6666666666666666E-2</v>
      </c>
      <c r="CC7" s="689">
        <v>0</v>
      </c>
      <c r="CD7" s="692">
        <v>0</v>
      </c>
      <c r="CE7" s="689">
        <v>0</v>
      </c>
      <c r="CF7" s="692">
        <v>0</v>
      </c>
      <c r="CG7" s="689">
        <v>0</v>
      </c>
      <c r="CH7" s="692">
        <v>0</v>
      </c>
      <c r="CI7" s="689">
        <v>0</v>
      </c>
      <c r="CJ7" s="692">
        <v>0</v>
      </c>
      <c r="CK7" s="689">
        <v>0</v>
      </c>
      <c r="CL7" s="692">
        <v>0.1</v>
      </c>
      <c r="CM7" s="689">
        <v>0</v>
      </c>
      <c r="CN7" s="692">
        <f t="shared" si="13"/>
        <v>0.14285714285714285</v>
      </c>
      <c r="CO7" s="689">
        <v>0</v>
      </c>
      <c r="CP7" s="692">
        <v>0</v>
      </c>
      <c r="CQ7" s="689">
        <v>0</v>
      </c>
      <c r="CR7" s="690">
        <v>0</v>
      </c>
      <c r="CS7" s="689">
        <v>0</v>
      </c>
      <c r="CT7" s="690">
        <f t="shared" si="14"/>
        <v>0.125</v>
      </c>
      <c r="CU7" s="691">
        <v>0</v>
      </c>
      <c r="CV7" s="690">
        <v>0.1</v>
      </c>
    </row>
    <row r="8" spans="1:100">
      <c r="A8" s="457">
        <v>6</v>
      </c>
      <c r="B8" s="577">
        <v>0</v>
      </c>
      <c r="C8" s="577">
        <v>0</v>
      </c>
      <c r="D8" s="577">
        <v>0</v>
      </c>
      <c r="E8" s="577">
        <v>0</v>
      </c>
      <c r="F8" s="577">
        <f t="shared" si="0"/>
        <v>1.2500000000000001E-2</v>
      </c>
      <c r="G8" s="577">
        <v>0</v>
      </c>
      <c r="H8" s="577">
        <v>0</v>
      </c>
      <c r="I8" s="577">
        <v>0</v>
      </c>
      <c r="J8" s="577">
        <v>0</v>
      </c>
      <c r="K8" s="577">
        <v>0</v>
      </c>
      <c r="L8" s="577">
        <v>0</v>
      </c>
      <c r="M8" s="577">
        <v>0</v>
      </c>
      <c r="N8" s="577">
        <v>0</v>
      </c>
      <c r="O8" s="577">
        <v>0.16</v>
      </c>
      <c r="P8" s="577">
        <v>0</v>
      </c>
      <c r="Q8" s="577">
        <v>0</v>
      </c>
      <c r="R8" s="577">
        <v>0</v>
      </c>
      <c r="S8" s="577">
        <v>0.16</v>
      </c>
      <c r="T8" s="577">
        <v>0</v>
      </c>
      <c r="U8" s="577">
        <v>0</v>
      </c>
      <c r="V8" s="577">
        <v>0.05</v>
      </c>
      <c r="W8" s="591">
        <f t="shared" ref="W8" si="18">1/15</f>
        <v>6.6666666666666666E-2</v>
      </c>
      <c r="X8" s="685">
        <v>0</v>
      </c>
      <c r="Y8" s="685">
        <v>0</v>
      </c>
      <c r="Z8" s="685">
        <v>0</v>
      </c>
      <c r="AA8" s="685">
        <v>0</v>
      </c>
      <c r="AB8" s="685">
        <v>0</v>
      </c>
      <c r="AC8" s="900">
        <f>Clothing!K626</f>
        <v>6.1385863095237969E-2</v>
      </c>
      <c r="AD8" s="903">
        <f>Clothing!L626</f>
        <v>6.0914835071744562E-2</v>
      </c>
      <c r="AE8" s="910">
        <v>0</v>
      </c>
      <c r="AF8" s="911">
        <v>0</v>
      </c>
      <c r="AG8" s="912">
        <v>0</v>
      </c>
      <c r="AH8" s="685">
        <v>5.5540304000000013E-2</v>
      </c>
      <c r="AI8" s="684">
        <v>0.1</v>
      </c>
      <c r="AJ8" s="682">
        <v>5.5540304000000013E-2</v>
      </c>
      <c r="AK8" s="684">
        <v>0.1</v>
      </c>
      <c r="AL8" s="686">
        <v>0</v>
      </c>
      <c r="AM8" s="682">
        <v>0</v>
      </c>
      <c r="AN8" s="682">
        <v>0</v>
      </c>
      <c r="AO8" s="686">
        <v>0.08</v>
      </c>
      <c r="AP8" s="687">
        <v>0</v>
      </c>
      <c r="AQ8" s="684">
        <f t="shared" si="17"/>
        <v>7.1428571428571426E-3</v>
      </c>
      <c r="AR8" s="682">
        <v>0.03</v>
      </c>
      <c r="AS8" s="684">
        <f t="shared" si="1"/>
        <v>1.2500000000000001E-2</v>
      </c>
      <c r="AT8" s="688">
        <v>2.4E-2</v>
      </c>
      <c r="AU8" s="682">
        <v>5.5540304000000013E-2</v>
      </c>
      <c r="AV8" s="684">
        <v>0.1</v>
      </c>
      <c r="AW8" s="689">
        <v>0</v>
      </c>
      <c r="AX8" s="690">
        <f t="shared" si="2"/>
        <v>9.0909090909090912E-2</v>
      </c>
      <c r="AY8" s="689">
        <v>0</v>
      </c>
      <c r="AZ8" s="690">
        <f t="shared" si="3"/>
        <v>0.125</v>
      </c>
      <c r="BA8" s="689">
        <v>0</v>
      </c>
      <c r="BB8" s="690">
        <v>0</v>
      </c>
      <c r="BC8" s="691">
        <v>0</v>
      </c>
      <c r="BD8" s="692">
        <v>0</v>
      </c>
      <c r="BE8" s="689">
        <v>0</v>
      </c>
      <c r="BF8" s="690">
        <f t="shared" si="5"/>
        <v>6.25E-2</v>
      </c>
      <c r="BG8" s="691">
        <v>0</v>
      </c>
      <c r="BH8" s="690">
        <f t="shared" si="6"/>
        <v>0.125</v>
      </c>
      <c r="BI8" s="691">
        <v>1</v>
      </c>
      <c r="BJ8" s="690">
        <f t="shared" si="7"/>
        <v>0.14285714285714285</v>
      </c>
      <c r="BK8" s="691">
        <v>0</v>
      </c>
      <c r="BL8" s="690">
        <v>0</v>
      </c>
      <c r="BM8" s="691">
        <v>1</v>
      </c>
      <c r="BN8" s="690">
        <f t="shared" si="8"/>
        <v>0.14285714285714285</v>
      </c>
      <c r="BO8" s="691">
        <v>0</v>
      </c>
      <c r="BP8" s="690">
        <v>0</v>
      </c>
      <c r="BQ8" s="691">
        <v>0</v>
      </c>
      <c r="BR8" s="690">
        <f t="shared" si="9"/>
        <v>6.6666666666666666E-2</v>
      </c>
      <c r="BS8" s="691">
        <v>0</v>
      </c>
      <c r="BT8" s="690">
        <v>0.1</v>
      </c>
      <c r="BU8" s="691">
        <v>0</v>
      </c>
      <c r="BV8" s="690">
        <f t="shared" si="10"/>
        <v>6.6666666666666666E-2</v>
      </c>
      <c r="BW8" s="691">
        <v>0</v>
      </c>
      <c r="BX8" s="690">
        <v>0.1</v>
      </c>
      <c r="BY8" s="691">
        <v>0</v>
      </c>
      <c r="BZ8" s="690">
        <f t="shared" si="11"/>
        <v>0.05</v>
      </c>
      <c r="CA8" s="691">
        <v>0</v>
      </c>
      <c r="CB8" s="690">
        <f t="shared" si="12"/>
        <v>6.6666666666666666E-2</v>
      </c>
      <c r="CC8" s="689">
        <v>0</v>
      </c>
      <c r="CD8" s="692">
        <v>0</v>
      </c>
      <c r="CE8" s="689">
        <v>0</v>
      </c>
      <c r="CF8" s="692">
        <v>0</v>
      </c>
      <c r="CG8" s="689">
        <v>0</v>
      </c>
      <c r="CH8" s="692">
        <v>0</v>
      </c>
      <c r="CI8" s="689">
        <v>0</v>
      </c>
      <c r="CJ8" s="692">
        <v>0</v>
      </c>
      <c r="CK8" s="689">
        <v>0</v>
      </c>
      <c r="CL8" s="692">
        <v>0.1</v>
      </c>
      <c r="CM8" s="689">
        <v>1</v>
      </c>
      <c r="CN8" s="692">
        <f t="shared" si="13"/>
        <v>0.14285714285714285</v>
      </c>
      <c r="CO8" s="689">
        <v>0</v>
      </c>
      <c r="CP8" s="692">
        <v>0</v>
      </c>
      <c r="CQ8" s="689">
        <v>0</v>
      </c>
      <c r="CR8" s="690">
        <v>0</v>
      </c>
      <c r="CS8" s="689">
        <v>0</v>
      </c>
      <c r="CT8" s="690">
        <f t="shared" si="14"/>
        <v>0.125</v>
      </c>
      <c r="CU8" s="691">
        <v>0</v>
      </c>
      <c r="CV8" s="690">
        <v>0.1</v>
      </c>
    </row>
    <row r="9" spans="1:100">
      <c r="A9" s="457">
        <v>7</v>
      </c>
      <c r="B9" s="577">
        <v>0</v>
      </c>
      <c r="C9" s="577">
        <v>0</v>
      </c>
      <c r="D9" s="577">
        <v>0</v>
      </c>
      <c r="E9" s="577">
        <v>0</v>
      </c>
      <c r="F9" s="577">
        <f t="shared" si="0"/>
        <v>1.2500000000000001E-2</v>
      </c>
      <c r="G9" s="577">
        <v>0</v>
      </c>
      <c r="H9" s="577">
        <v>0</v>
      </c>
      <c r="I9" s="577">
        <v>0</v>
      </c>
      <c r="J9" s="577">
        <v>0</v>
      </c>
      <c r="K9" s="577">
        <v>0</v>
      </c>
      <c r="L9" s="577">
        <v>0</v>
      </c>
      <c r="M9" s="577">
        <v>0</v>
      </c>
      <c r="N9" s="577">
        <v>0</v>
      </c>
      <c r="O9" s="577">
        <v>0.08</v>
      </c>
      <c r="P9" s="577">
        <v>0</v>
      </c>
      <c r="Q9" s="577">
        <v>0</v>
      </c>
      <c r="R9" s="577">
        <v>0</v>
      </c>
      <c r="S9" s="577">
        <v>0.08</v>
      </c>
      <c r="T9" s="577">
        <v>0</v>
      </c>
      <c r="U9" s="577">
        <v>0</v>
      </c>
      <c r="V9" s="577">
        <v>0.1</v>
      </c>
      <c r="W9" s="591">
        <v>7.0000000000000007E-2</v>
      </c>
      <c r="X9" s="685">
        <v>0</v>
      </c>
      <c r="Y9" s="685">
        <v>0</v>
      </c>
      <c r="Z9" s="685">
        <v>0</v>
      </c>
      <c r="AA9" s="685">
        <v>0</v>
      </c>
      <c r="AB9" s="902">
        <v>0</v>
      </c>
      <c r="AC9" s="685">
        <v>0</v>
      </c>
      <c r="AD9" s="684">
        <f>Clothing!L627</f>
        <v>4.7742012312331328E-2</v>
      </c>
      <c r="AE9" s="910">
        <v>0</v>
      </c>
      <c r="AF9" s="911">
        <v>0</v>
      </c>
      <c r="AG9" s="912">
        <v>0</v>
      </c>
      <c r="AH9" s="685">
        <v>5.5540304000000013E-2</v>
      </c>
      <c r="AI9" s="684">
        <v>0.1</v>
      </c>
      <c r="AJ9" s="682">
        <v>5.5540304000000013E-2</v>
      </c>
      <c r="AK9" s="684">
        <v>0.1</v>
      </c>
      <c r="AL9" s="686">
        <v>0</v>
      </c>
      <c r="AM9" s="682">
        <v>0</v>
      </c>
      <c r="AN9" s="682">
        <v>0</v>
      </c>
      <c r="AO9" s="686">
        <v>0.08</v>
      </c>
      <c r="AP9" s="687">
        <v>0</v>
      </c>
      <c r="AQ9" s="684">
        <f t="shared" si="17"/>
        <v>7.1428571428571426E-3</v>
      </c>
      <c r="AR9" s="682">
        <v>0.03</v>
      </c>
      <c r="AS9" s="684">
        <f t="shared" si="1"/>
        <v>1.2500000000000001E-2</v>
      </c>
      <c r="AT9" s="688">
        <v>2.4E-2</v>
      </c>
      <c r="AU9" s="682">
        <v>5.5540304000000013E-2</v>
      </c>
      <c r="AV9" s="684">
        <v>0.1</v>
      </c>
      <c r="AW9" s="689">
        <v>0</v>
      </c>
      <c r="AX9" s="690">
        <f t="shared" si="2"/>
        <v>9.0909090909090912E-2</v>
      </c>
      <c r="AY9" s="689">
        <v>1</v>
      </c>
      <c r="AZ9" s="690">
        <f t="shared" si="3"/>
        <v>0.125</v>
      </c>
      <c r="BA9" s="689">
        <v>0</v>
      </c>
      <c r="BB9" s="690">
        <v>0</v>
      </c>
      <c r="BC9" s="691">
        <v>0</v>
      </c>
      <c r="BD9" s="692">
        <v>0</v>
      </c>
      <c r="BE9" s="689">
        <v>0</v>
      </c>
      <c r="BF9" s="690">
        <f t="shared" si="5"/>
        <v>6.25E-2</v>
      </c>
      <c r="BG9" s="691">
        <v>1</v>
      </c>
      <c r="BH9" s="690">
        <f t="shared" si="6"/>
        <v>0.125</v>
      </c>
      <c r="BI9" s="691">
        <v>0</v>
      </c>
      <c r="BJ9" s="690">
        <v>0</v>
      </c>
      <c r="BK9" s="691">
        <v>0</v>
      </c>
      <c r="BL9" s="690">
        <v>0</v>
      </c>
      <c r="BM9" s="691">
        <v>0</v>
      </c>
      <c r="BN9" s="690">
        <v>0</v>
      </c>
      <c r="BO9" s="691">
        <v>0</v>
      </c>
      <c r="BP9" s="690">
        <v>0</v>
      </c>
      <c r="BQ9" s="691">
        <v>0</v>
      </c>
      <c r="BR9" s="690">
        <f t="shared" si="9"/>
        <v>6.6666666666666666E-2</v>
      </c>
      <c r="BS9" s="691">
        <v>0</v>
      </c>
      <c r="BT9" s="690">
        <v>0.1</v>
      </c>
      <c r="BU9" s="691">
        <v>0</v>
      </c>
      <c r="BV9" s="690">
        <f t="shared" si="10"/>
        <v>6.6666666666666666E-2</v>
      </c>
      <c r="BW9" s="691">
        <v>0</v>
      </c>
      <c r="BX9" s="690">
        <v>0.1</v>
      </c>
      <c r="BY9" s="691">
        <v>0</v>
      </c>
      <c r="BZ9" s="690">
        <f t="shared" si="11"/>
        <v>0.05</v>
      </c>
      <c r="CA9" s="691">
        <v>0</v>
      </c>
      <c r="CB9" s="690">
        <f t="shared" si="12"/>
        <v>6.6666666666666666E-2</v>
      </c>
      <c r="CC9" s="689">
        <v>0</v>
      </c>
      <c r="CD9" s="692">
        <v>0</v>
      </c>
      <c r="CE9" s="689">
        <v>0</v>
      </c>
      <c r="CF9" s="692">
        <v>0</v>
      </c>
      <c r="CG9" s="689">
        <v>0</v>
      </c>
      <c r="CH9" s="692">
        <v>0</v>
      </c>
      <c r="CI9" s="689">
        <v>0</v>
      </c>
      <c r="CJ9" s="692">
        <v>0</v>
      </c>
      <c r="CK9" s="689">
        <v>0</v>
      </c>
      <c r="CL9" s="692">
        <v>0.1</v>
      </c>
      <c r="CM9" s="689">
        <v>0</v>
      </c>
      <c r="CN9" s="692">
        <v>0</v>
      </c>
      <c r="CO9" s="689">
        <v>0</v>
      </c>
      <c r="CP9" s="692">
        <v>0</v>
      </c>
      <c r="CQ9" s="689">
        <v>0</v>
      </c>
      <c r="CR9" s="690">
        <v>0</v>
      </c>
      <c r="CS9" s="689">
        <v>1</v>
      </c>
      <c r="CT9" s="690">
        <f t="shared" si="14"/>
        <v>0.125</v>
      </c>
      <c r="CU9" s="691">
        <v>0</v>
      </c>
      <c r="CV9" s="690">
        <v>0.1</v>
      </c>
    </row>
    <row r="10" spans="1:100">
      <c r="A10" s="457">
        <v>8</v>
      </c>
      <c r="B10" s="577">
        <v>0</v>
      </c>
      <c r="C10" s="577">
        <v>0</v>
      </c>
      <c r="D10" s="577">
        <v>0</v>
      </c>
      <c r="E10" s="577">
        <v>0</v>
      </c>
      <c r="F10" s="577">
        <f t="shared" si="0"/>
        <v>1.2500000000000001E-2</v>
      </c>
      <c r="G10" s="577">
        <v>0</v>
      </c>
      <c r="H10" s="577">
        <v>0</v>
      </c>
      <c r="I10" s="577">
        <v>0</v>
      </c>
      <c r="J10" s="577">
        <v>0</v>
      </c>
      <c r="K10" s="577">
        <v>0</v>
      </c>
      <c r="L10" s="577">
        <v>0</v>
      </c>
      <c r="M10" s="577">
        <v>0</v>
      </c>
      <c r="N10" s="577">
        <v>0</v>
      </c>
      <c r="O10" s="577">
        <v>0.02</v>
      </c>
      <c r="P10" s="577">
        <v>0</v>
      </c>
      <c r="Q10" s="577">
        <v>0</v>
      </c>
      <c r="R10" s="577">
        <v>0</v>
      </c>
      <c r="S10" s="577">
        <v>0.02</v>
      </c>
      <c r="T10" s="577">
        <v>0</v>
      </c>
      <c r="U10" s="577">
        <v>0</v>
      </c>
      <c r="V10" s="577">
        <v>0.15</v>
      </c>
      <c r="W10" s="591">
        <v>0.06</v>
      </c>
      <c r="X10" s="685">
        <v>0</v>
      </c>
      <c r="Y10" s="685">
        <v>0</v>
      </c>
      <c r="Z10" s="685">
        <v>0</v>
      </c>
      <c r="AA10" s="685">
        <v>0</v>
      </c>
      <c r="AB10" s="685">
        <v>0</v>
      </c>
      <c r="AC10" s="685">
        <v>0</v>
      </c>
      <c r="AD10" s="685">
        <v>0</v>
      </c>
      <c r="AE10" s="910">
        <v>0</v>
      </c>
      <c r="AF10" s="911">
        <v>0</v>
      </c>
      <c r="AG10" s="912">
        <v>0</v>
      </c>
      <c r="AH10" s="685">
        <v>5.5540304000000013E-2</v>
      </c>
      <c r="AI10" s="684">
        <v>0.1</v>
      </c>
      <c r="AJ10" s="682">
        <v>5.5540304000000013E-2</v>
      </c>
      <c r="AK10" s="684">
        <v>0.1</v>
      </c>
      <c r="AL10" s="686">
        <v>0</v>
      </c>
      <c r="AM10" s="682">
        <v>0</v>
      </c>
      <c r="AN10" s="682">
        <v>0</v>
      </c>
      <c r="AO10" s="686">
        <v>0.08</v>
      </c>
      <c r="AP10" s="687">
        <v>0</v>
      </c>
      <c r="AQ10" s="684">
        <f t="shared" si="17"/>
        <v>7.1428571428571426E-3</v>
      </c>
      <c r="AR10" s="682">
        <v>0.03</v>
      </c>
      <c r="AS10" s="684">
        <f t="shared" si="1"/>
        <v>1.2500000000000001E-2</v>
      </c>
      <c r="AT10" s="688">
        <v>2.4E-2</v>
      </c>
      <c r="AU10" s="682">
        <v>5.5540304000000013E-2</v>
      </c>
      <c r="AV10" s="684">
        <v>0.1</v>
      </c>
      <c r="AW10" s="689">
        <v>0</v>
      </c>
      <c r="AX10" s="690">
        <f t="shared" si="2"/>
        <v>9.0909090909090912E-2</v>
      </c>
      <c r="AY10" s="689">
        <v>0</v>
      </c>
      <c r="AZ10" s="690">
        <v>0</v>
      </c>
      <c r="BA10" s="689">
        <v>0</v>
      </c>
      <c r="BB10" s="690">
        <v>0</v>
      </c>
      <c r="BC10" s="691">
        <v>0</v>
      </c>
      <c r="BD10" s="692">
        <v>0</v>
      </c>
      <c r="BE10" s="689">
        <v>0</v>
      </c>
      <c r="BF10" s="690">
        <f t="shared" si="5"/>
        <v>6.25E-2</v>
      </c>
      <c r="BG10" s="691">
        <v>0</v>
      </c>
      <c r="BH10" s="690">
        <v>0</v>
      </c>
      <c r="BI10" s="691">
        <v>0</v>
      </c>
      <c r="BJ10" s="690">
        <v>0</v>
      </c>
      <c r="BK10" s="691">
        <v>0</v>
      </c>
      <c r="BL10" s="690">
        <v>0</v>
      </c>
      <c r="BM10" s="691">
        <v>0</v>
      </c>
      <c r="BN10" s="690">
        <v>0</v>
      </c>
      <c r="BO10" s="691">
        <v>0</v>
      </c>
      <c r="BP10" s="690">
        <v>0</v>
      </c>
      <c r="BQ10" s="691">
        <v>0</v>
      </c>
      <c r="BR10" s="690">
        <f t="shared" si="9"/>
        <v>6.6666666666666666E-2</v>
      </c>
      <c r="BS10" s="691">
        <v>0</v>
      </c>
      <c r="BT10" s="690">
        <v>0.1</v>
      </c>
      <c r="BU10" s="691">
        <v>0</v>
      </c>
      <c r="BV10" s="690">
        <f t="shared" si="10"/>
        <v>6.6666666666666666E-2</v>
      </c>
      <c r="BW10" s="691">
        <v>0</v>
      </c>
      <c r="BX10" s="690">
        <v>0.1</v>
      </c>
      <c r="BY10" s="691">
        <v>0</v>
      </c>
      <c r="BZ10" s="690">
        <f t="shared" si="11"/>
        <v>0.05</v>
      </c>
      <c r="CA10" s="691">
        <v>0</v>
      </c>
      <c r="CB10" s="690">
        <f t="shared" si="12"/>
        <v>6.6666666666666666E-2</v>
      </c>
      <c r="CC10" s="689">
        <v>0</v>
      </c>
      <c r="CD10" s="692">
        <v>0</v>
      </c>
      <c r="CE10" s="689">
        <v>0</v>
      </c>
      <c r="CF10" s="692">
        <v>0</v>
      </c>
      <c r="CG10" s="689">
        <v>0</v>
      </c>
      <c r="CH10" s="692">
        <v>0</v>
      </c>
      <c r="CI10" s="689">
        <v>0</v>
      </c>
      <c r="CJ10" s="692">
        <v>0</v>
      </c>
      <c r="CK10" s="689">
        <v>0</v>
      </c>
      <c r="CL10" s="692">
        <v>0.1</v>
      </c>
      <c r="CM10" s="689">
        <v>0</v>
      </c>
      <c r="CN10" s="692">
        <v>0</v>
      </c>
      <c r="CO10" s="689">
        <v>0</v>
      </c>
      <c r="CP10" s="692">
        <v>0</v>
      </c>
      <c r="CQ10" s="689">
        <v>0</v>
      </c>
      <c r="CR10" s="690">
        <v>0</v>
      </c>
      <c r="CS10" s="689">
        <v>0</v>
      </c>
      <c r="CT10" s="690">
        <v>0</v>
      </c>
      <c r="CU10" s="691">
        <v>0</v>
      </c>
      <c r="CV10" s="690">
        <v>0.1</v>
      </c>
    </row>
    <row r="11" spans="1:100">
      <c r="A11" s="457">
        <v>9</v>
      </c>
      <c r="B11" s="577">
        <v>0</v>
      </c>
      <c r="C11" s="577">
        <v>0</v>
      </c>
      <c r="D11" s="577">
        <v>0</v>
      </c>
      <c r="E11" s="577">
        <v>0</v>
      </c>
      <c r="F11" s="577">
        <f t="shared" si="0"/>
        <v>1.2500000000000001E-2</v>
      </c>
      <c r="G11" s="577">
        <v>0</v>
      </c>
      <c r="H11" s="577">
        <v>0</v>
      </c>
      <c r="I11" s="577">
        <v>0</v>
      </c>
      <c r="J11" s="577">
        <v>0</v>
      </c>
      <c r="K11" s="577">
        <v>0</v>
      </c>
      <c r="L11" s="577">
        <v>0</v>
      </c>
      <c r="M11" s="577">
        <v>0</v>
      </c>
      <c r="N11" s="577">
        <v>0</v>
      </c>
      <c r="O11" s="577">
        <v>0</v>
      </c>
      <c r="P11" s="577">
        <v>0</v>
      </c>
      <c r="Q11" s="577">
        <v>0</v>
      </c>
      <c r="R11" s="577">
        <v>0</v>
      </c>
      <c r="S11" s="577">
        <v>0</v>
      </c>
      <c r="T11" s="577">
        <v>0</v>
      </c>
      <c r="U11" s="577">
        <v>0</v>
      </c>
      <c r="V11" s="577">
        <v>0.4</v>
      </c>
      <c r="W11" s="591">
        <v>0.05</v>
      </c>
      <c r="X11" s="685">
        <v>0</v>
      </c>
      <c r="Y11" s="685">
        <v>0</v>
      </c>
      <c r="Z11" s="685">
        <v>0</v>
      </c>
      <c r="AA11" s="685">
        <v>0</v>
      </c>
      <c r="AB11" s="685">
        <v>0</v>
      </c>
      <c r="AC11" s="685">
        <v>0</v>
      </c>
      <c r="AD11" s="685">
        <v>0</v>
      </c>
      <c r="AE11" s="910">
        <v>0</v>
      </c>
      <c r="AF11" s="911">
        <v>0</v>
      </c>
      <c r="AG11" s="912">
        <v>0</v>
      </c>
      <c r="AH11" s="685">
        <v>5.3176234000000155E-2</v>
      </c>
      <c r="AI11" s="684">
        <v>0.1</v>
      </c>
      <c r="AJ11" s="682">
        <v>5.3176234000000155E-2</v>
      </c>
      <c r="AK11" s="684">
        <v>0.1</v>
      </c>
      <c r="AL11" s="686">
        <v>0</v>
      </c>
      <c r="AM11" s="682">
        <v>0</v>
      </c>
      <c r="AN11" s="682">
        <v>0</v>
      </c>
      <c r="AO11" s="686">
        <v>0.08</v>
      </c>
      <c r="AP11" s="687">
        <v>0</v>
      </c>
      <c r="AQ11" s="684">
        <f t="shared" si="17"/>
        <v>7.1428571428571426E-3</v>
      </c>
      <c r="AR11" s="682">
        <v>0.03</v>
      </c>
      <c r="AS11" s="684">
        <f t="shared" si="1"/>
        <v>1.2500000000000001E-2</v>
      </c>
      <c r="AT11" s="688">
        <v>2.4E-2</v>
      </c>
      <c r="AU11" s="682">
        <v>5.3176234000000155E-2</v>
      </c>
      <c r="AV11" s="684">
        <v>0.1</v>
      </c>
      <c r="AW11" s="689">
        <v>0</v>
      </c>
      <c r="AX11" s="690">
        <f t="shared" si="2"/>
        <v>9.0909090909090912E-2</v>
      </c>
      <c r="AY11" s="689">
        <v>0</v>
      </c>
      <c r="AZ11" s="690">
        <v>0</v>
      </c>
      <c r="BA11" s="689">
        <v>0</v>
      </c>
      <c r="BB11" s="690">
        <v>0</v>
      </c>
      <c r="BC11" s="691">
        <v>0</v>
      </c>
      <c r="BD11" s="692">
        <v>0</v>
      </c>
      <c r="BE11" s="689">
        <v>0</v>
      </c>
      <c r="BF11" s="690">
        <f t="shared" si="5"/>
        <v>6.25E-2</v>
      </c>
      <c r="BG11" s="691">
        <v>0</v>
      </c>
      <c r="BH11" s="690">
        <v>0</v>
      </c>
      <c r="BI11" s="691">
        <v>0</v>
      </c>
      <c r="BJ11" s="690">
        <v>0</v>
      </c>
      <c r="BK11" s="691">
        <v>0</v>
      </c>
      <c r="BL11" s="690">
        <v>0</v>
      </c>
      <c r="BM11" s="691">
        <v>0</v>
      </c>
      <c r="BN11" s="690">
        <v>0</v>
      </c>
      <c r="BO11" s="691">
        <v>0</v>
      </c>
      <c r="BP11" s="690">
        <v>0</v>
      </c>
      <c r="BQ11" s="691">
        <v>0</v>
      </c>
      <c r="BR11" s="690">
        <f t="shared" si="9"/>
        <v>6.6666666666666666E-2</v>
      </c>
      <c r="BS11" s="691">
        <v>1</v>
      </c>
      <c r="BT11" s="690">
        <v>0.1</v>
      </c>
      <c r="BU11" s="691">
        <v>0</v>
      </c>
      <c r="BV11" s="690">
        <f t="shared" si="10"/>
        <v>6.6666666666666666E-2</v>
      </c>
      <c r="BW11" s="691">
        <v>1</v>
      </c>
      <c r="BX11" s="690">
        <v>0.1</v>
      </c>
      <c r="BY11" s="691">
        <v>0</v>
      </c>
      <c r="BZ11" s="690">
        <f t="shared" si="11"/>
        <v>0.05</v>
      </c>
      <c r="CA11" s="691">
        <v>0</v>
      </c>
      <c r="CB11" s="690">
        <f t="shared" si="12"/>
        <v>6.6666666666666666E-2</v>
      </c>
      <c r="CC11" s="689">
        <v>0</v>
      </c>
      <c r="CD11" s="692">
        <v>0</v>
      </c>
      <c r="CE11" s="689">
        <v>0</v>
      </c>
      <c r="CF11" s="692">
        <v>0</v>
      </c>
      <c r="CG11" s="689">
        <v>0</v>
      </c>
      <c r="CH11" s="692">
        <v>0</v>
      </c>
      <c r="CI11" s="689">
        <v>0</v>
      </c>
      <c r="CJ11" s="692">
        <v>0</v>
      </c>
      <c r="CK11" s="689">
        <v>1</v>
      </c>
      <c r="CL11" s="692">
        <v>0.1</v>
      </c>
      <c r="CM11" s="689">
        <v>0</v>
      </c>
      <c r="CN11" s="692">
        <v>0</v>
      </c>
      <c r="CO11" s="689">
        <v>0</v>
      </c>
      <c r="CP11" s="692">
        <v>0</v>
      </c>
      <c r="CQ11" s="689">
        <v>0</v>
      </c>
      <c r="CR11" s="690">
        <v>0</v>
      </c>
      <c r="CS11" s="689">
        <v>0</v>
      </c>
      <c r="CT11" s="690">
        <v>0</v>
      </c>
      <c r="CU11" s="691">
        <v>1</v>
      </c>
      <c r="CV11" s="690">
        <v>0.1</v>
      </c>
    </row>
    <row r="12" spans="1:100">
      <c r="A12" s="457">
        <v>10</v>
      </c>
      <c r="B12" s="577">
        <v>0</v>
      </c>
      <c r="C12" s="577">
        <v>0</v>
      </c>
      <c r="D12" s="577">
        <v>0</v>
      </c>
      <c r="E12" s="577">
        <v>0</v>
      </c>
      <c r="F12" s="577">
        <f t="shared" si="0"/>
        <v>1.2500000000000001E-2</v>
      </c>
      <c r="G12" s="577">
        <v>0</v>
      </c>
      <c r="H12" s="577">
        <v>0</v>
      </c>
      <c r="I12" s="577">
        <v>0</v>
      </c>
      <c r="J12" s="577">
        <v>0</v>
      </c>
      <c r="K12" s="577">
        <v>0</v>
      </c>
      <c r="L12" s="577">
        <v>0</v>
      </c>
      <c r="M12" s="577">
        <v>0</v>
      </c>
      <c r="N12" s="577">
        <v>0</v>
      </c>
      <c r="O12" s="577">
        <v>0</v>
      </c>
      <c r="P12" s="577">
        <v>0</v>
      </c>
      <c r="Q12" s="577">
        <v>0</v>
      </c>
      <c r="R12" s="577">
        <v>0</v>
      </c>
      <c r="S12" s="577">
        <v>0</v>
      </c>
      <c r="T12" s="577">
        <v>0</v>
      </c>
      <c r="U12" s="577">
        <v>0</v>
      </c>
      <c r="V12" s="577">
        <v>0.15</v>
      </c>
      <c r="W12" s="591">
        <v>0.05</v>
      </c>
      <c r="X12" s="685">
        <v>0</v>
      </c>
      <c r="Y12" s="685">
        <v>0</v>
      </c>
      <c r="Z12" s="685">
        <v>0</v>
      </c>
      <c r="AA12" s="685">
        <v>0</v>
      </c>
      <c r="AB12" s="685">
        <v>0</v>
      </c>
      <c r="AC12" s="685">
        <v>0</v>
      </c>
      <c r="AD12" s="685">
        <v>0</v>
      </c>
      <c r="AE12" s="910">
        <v>0</v>
      </c>
      <c r="AF12" s="911">
        <v>0</v>
      </c>
      <c r="AG12" s="912">
        <v>0</v>
      </c>
      <c r="AH12" s="685">
        <v>0</v>
      </c>
      <c r="AI12" s="684">
        <v>0</v>
      </c>
      <c r="AJ12" s="682">
        <v>0</v>
      </c>
      <c r="AK12" s="684">
        <v>0</v>
      </c>
      <c r="AL12" s="686">
        <v>0</v>
      </c>
      <c r="AM12" s="682">
        <v>0</v>
      </c>
      <c r="AN12" s="682">
        <v>0</v>
      </c>
      <c r="AO12" s="686">
        <v>0.08</v>
      </c>
      <c r="AP12" s="687">
        <v>0.01</v>
      </c>
      <c r="AQ12" s="684">
        <f t="shared" si="17"/>
        <v>7.1428571428571426E-3</v>
      </c>
      <c r="AR12" s="682">
        <v>2.8000000000000001E-2</v>
      </c>
      <c r="AS12" s="684">
        <f t="shared" si="1"/>
        <v>1.2500000000000001E-2</v>
      </c>
      <c r="AT12" s="688">
        <v>1.6E-2</v>
      </c>
      <c r="AU12" s="682">
        <v>0</v>
      </c>
      <c r="AV12" s="684">
        <v>0</v>
      </c>
      <c r="AW12" s="689">
        <v>1</v>
      </c>
      <c r="AX12" s="690">
        <f t="shared" si="2"/>
        <v>9.0909090909090912E-2</v>
      </c>
      <c r="AY12" s="689">
        <v>0</v>
      </c>
      <c r="AZ12" s="690">
        <v>0</v>
      </c>
      <c r="BA12" s="689">
        <v>0</v>
      </c>
      <c r="BB12" s="690">
        <v>0</v>
      </c>
      <c r="BC12" s="691">
        <v>0</v>
      </c>
      <c r="BD12" s="692">
        <v>0</v>
      </c>
      <c r="BE12" s="689">
        <v>0</v>
      </c>
      <c r="BF12" s="690">
        <f t="shared" si="5"/>
        <v>6.25E-2</v>
      </c>
      <c r="BG12" s="691">
        <v>0</v>
      </c>
      <c r="BH12" s="690">
        <v>0</v>
      </c>
      <c r="BI12" s="691">
        <v>0</v>
      </c>
      <c r="BJ12" s="690">
        <v>0</v>
      </c>
      <c r="BK12" s="691">
        <v>0</v>
      </c>
      <c r="BL12" s="690">
        <v>0</v>
      </c>
      <c r="BM12" s="691">
        <v>0</v>
      </c>
      <c r="BN12" s="690">
        <v>0</v>
      </c>
      <c r="BO12" s="691">
        <v>0</v>
      </c>
      <c r="BP12" s="690">
        <v>0</v>
      </c>
      <c r="BQ12" s="691">
        <v>0</v>
      </c>
      <c r="BR12" s="690">
        <f t="shared" si="9"/>
        <v>6.6666666666666666E-2</v>
      </c>
      <c r="BS12" s="691">
        <v>0</v>
      </c>
      <c r="BT12" s="690">
        <v>0</v>
      </c>
      <c r="BU12" s="691">
        <v>0</v>
      </c>
      <c r="BV12" s="690">
        <f t="shared" si="10"/>
        <v>6.6666666666666666E-2</v>
      </c>
      <c r="BW12" s="691">
        <v>0</v>
      </c>
      <c r="BX12" s="690">
        <v>0</v>
      </c>
      <c r="BY12" s="691">
        <v>0</v>
      </c>
      <c r="BZ12" s="690">
        <f t="shared" si="11"/>
        <v>0.05</v>
      </c>
      <c r="CA12" s="691">
        <v>0</v>
      </c>
      <c r="CB12" s="690">
        <f t="shared" si="12"/>
        <v>6.6666666666666666E-2</v>
      </c>
      <c r="CC12" s="689">
        <v>0</v>
      </c>
      <c r="CD12" s="692">
        <v>0</v>
      </c>
      <c r="CE12" s="689">
        <v>0</v>
      </c>
      <c r="CF12" s="692">
        <v>0</v>
      </c>
      <c r="CG12" s="689">
        <v>0</v>
      </c>
      <c r="CH12" s="692">
        <v>0</v>
      </c>
      <c r="CI12" s="689">
        <v>0</v>
      </c>
      <c r="CJ12" s="692">
        <v>0</v>
      </c>
      <c r="CK12" s="689">
        <v>0</v>
      </c>
      <c r="CL12" s="692">
        <v>0</v>
      </c>
      <c r="CM12" s="689">
        <v>0</v>
      </c>
      <c r="CN12" s="692">
        <v>0</v>
      </c>
      <c r="CO12" s="689">
        <v>0</v>
      </c>
      <c r="CP12" s="692">
        <v>0</v>
      </c>
      <c r="CQ12" s="689">
        <v>0</v>
      </c>
      <c r="CR12" s="690">
        <v>0</v>
      </c>
      <c r="CS12" s="689">
        <v>0</v>
      </c>
      <c r="CT12" s="690">
        <v>0</v>
      </c>
      <c r="CU12" s="691">
        <v>0</v>
      </c>
      <c r="CV12" s="690">
        <v>0</v>
      </c>
    </row>
    <row r="13" spans="1:100">
      <c r="A13" s="457">
        <v>11</v>
      </c>
      <c r="B13" s="577">
        <v>0</v>
      </c>
      <c r="C13" s="577">
        <v>0</v>
      </c>
      <c r="D13" s="577">
        <v>0</v>
      </c>
      <c r="E13" s="577">
        <v>0</v>
      </c>
      <c r="F13" s="577">
        <f t="shared" si="0"/>
        <v>1.2500000000000001E-2</v>
      </c>
      <c r="G13" s="577">
        <v>0</v>
      </c>
      <c r="H13" s="577">
        <v>0</v>
      </c>
      <c r="I13" s="577">
        <v>0</v>
      </c>
      <c r="J13" s="577">
        <v>0</v>
      </c>
      <c r="K13" s="577">
        <v>0</v>
      </c>
      <c r="L13" s="577">
        <v>0</v>
      </c>
      <c r="M13" s="577">
        <v>0</v>
      </c>
      <c r="N13" s="577">
        <v>0</v>
      </c>
      <c r="O13" s="577">
        <v>0</v>
      </c>
      <c r="P13" s="577">
        <v>0</v>
      </c>
      <c r="Q13" s="577">
        <v>0</v>
      </c>
      <c r="R13" s="577">
        <v>0</v>
      </c>
      <c r="S13" s="577">
        <v>0</v>
      </c>
      <c r="T13" s="577">
        <v>0</v>
      </c>
      <c r="U13" s="577">
        <v>0</v>
      </c>
      <c r="V13" s="577">
        <v>0.05</v>
      </c>
      <c r="W13" s="591">
        <v>0.05</v>
      </c>
      <c r="X13" s="685">
        <v>0</v>
      </c>
      <c r="Y13" s="685">
        <v>0</v>
      </c>
      <c r="Z13" s="685">
        <v>0</v>
      </c>
      <c r="AA13" s="685">
        <v>0</v>
      </c>
      <c r="AB13" s="685">
        <v>0</v>
      </c>
      <c r="AC13" s="685">
        <v>0</v>
      </c>
      <c r="AD13" s="685">
        <v>0</v>
      </c>
      <c r="AE13" s="910">
        <v>0</v>
      </c>
      <c r="AF13" s="911">
        <v>0</v>
      </c>
      <c r="AG13" s="912">
        <v>0</v>
      </c>
      <c r="AH13" s="685">
        <v>0</v>
      </c>
      <c r="AI13" s="684">
        <v>0</v>
      </c>
      <c r="AJ13" s="682">
        <v>0</v>
      </c>
      <c r="AK13" s="684">
        <v>0</v>
      </c>
      <c r="AL13" s="686">
        <v>0</v>
      </c>
      <c r="AM13" s="682">
        <v>0</v>
      </c>
      <c r="AN13" s="682">
        <v>0</v>
      </c>
      <c r="AO13" s="686">
        <v>0.08</v>
      </c>
      <c r="AP13" s="687">
        <v>0.01</v>
      </c>
      <c r="AQ13" s="684">
        <f t="shared" si="17"/>
        <v>7.1428571428571426E-3</v>
      </c>
      <c r="AR13" s="682">
        <v>2.8000000000000001E-2</v>
      </c>
      <c r="AS13" s="684">
        <f t="shared" si="1"/>
        <v>1.2500000000000001E-2</v>
      </c>
      <c r="AT13" s="688">
        <v>1.6E-2</v>
      </c>
      <c r="AU13" s="682">
        <v>0</v>
      </c>
      <c r="AV13" s="684">
        <v>0</v>
      </c>
      <c r="AW13" s="689">
        <v>0</v>
      </c>
      <c r="AX13" s="690">
        <v>0</v>
      </c>
      <c r="AY13" s="689">
        <v>0</v>
      </c>
      <c r="AZ13" s="690">
        <v>0</v>
      </c>
      <c r="BA13" s="689">
        <v>0</v>
      </c>
      <c r="BB13" s="690">
        <v>0</v>
      </c>
      <c r="BC13" s="691">
        <v>0</v>
      </c>
      <c r="BD13" s="692">
        <v>0</v>
      </c>
      <c r="BE13" s="689">
        <v>0</v>
      </c>
      <c r="BF13" s="690">
        <f t="shared" si="5"/>
        <v>6.25E-2</v>
      </c>
      <c r="BG13" s="691">
        <v>0</v>
      </c>
      <c r="BH13" s="690">
        <v>0</v>
      </c>
      <c r="BI13" s="691">
        <v>0</v>
      </c>
      <c r="BJ13" s="690">
        <v>0</v>
      </c>
      <c r="BK13" s="691">
        <v>0</v>
      </c>
      <c r="BL13" s="690">
        <v>0</v>
      </c>
      <c r="BM13" s="691">
        <v>0</v>
      </c>
      <c r="BN13" s="690">
        <v>0</v>
      </c>
      <c r="BO13" s="691">
        <v>0</v>
      </c>
      <c r="BP13" s="690">
        <v>0</v>
      </c>
      <c r="BQ13" s="691">
        <v>0</v>
      </c>
      <c r="BR13" s="690">
        <f t="shared" si="9"/>
        <v>6.6666666666666666E-2</v>
      </c>
      <c r="BS13" s="691">
        <v>0</v>
      </c>
      <c r="BT13" s="690">
        <v>0</v>
      </c>
      <c r="BU13" s="691">
        <v>0</v>
      </c>
      <c r="BV13" s="690">
        <f t="shared" si="10"/>
        <v>6.6666666666666666E-2</v>
      </c>
      <c r="BW13" s="691">
        <v>0</v>
      </c>
      <c r="BX13" s="690">
        <v>0</v>
      </c>
      <c r="BY13" s="691">
        <v>0</v>
      </c>
      <c r="BZ13" s="690">
        <f t="shared" si="11"/>
        <v>0.05</v>
      </c>
      <c r="CA13" s="691">
        <v>0</v>
      </c>
      <c r="CB13" s="690">
        <f t="shared" si="12"/>
        <v>6.6666666666666666E-2</v>
      </c>
      <c r="CC13" s="689">
        <v>0</v>
      </c>
      <c r="CD13" s="692">
        <v>0</v>
      </c>
      <c r="CE13" s="689">
        <v>0</v>
      </c>
      <c r="CF13" s="692">
        <v>0</v>
      </c>
      <c r="CG13" s="689">
        <v>0</v>
      </c>
      <c r="CH13" s="692">
        <v>0</v>
      </c>
      <c r="CI13" s="689">
        <v>0</v>
      </c>
      <c r="CJ13" s="692">
        <v>0</v>
      </c>
      <c r="CK13" s="689">
        <v>0</v>
      </c>
      <c r="CL13" s="692">
        <v>0</v>
      </c>
      <c r="CM13" s="689">
        <v>0</v>
      </c>
      <c r="CN13" s="692">
        <v>0</v>
      </c>
      <c r="CO13" s="689">
        <v>0</v>
      </c>
      <c r="CP13" s="692">
        <v>0</v>
      </c>
      <c r="CQ13" s="689">
        <v>0</v>
      </c>
      <c r="CR13" s="690">
        <v>0</v>
      </c>
      <c r="CS13" s="689">
        <v>0</v>
      </c>
      <c r="CT13" s="690">
        <v>0</v>
      </c>
      <c r="CU13" s="691">
        <v>0</v>
      </c>
      <c r="CV13" s="690">
        <v>0</v>
      </c>
    </row>
    <row r="14" spans="1:100">
      <c r="A14" s="457">
        <v>12</v>
      </c>
      <c r="B14" s="577">
        <v>0</v>
      </c>
      <c r="C14" s="577">
        <v>0</v>
      </c>
      <c r="D14" s="577">
        <v>0</v>
      </c>
      <c r="E14" s="577">
        <v>0</v>
      </c>
      <c r="F14" s="577">
        <f t="shared" si="0"/>
        <v>1.2500000000000001E-2</v>
      </c>
      <c r="G14" s="577">
        <v>0</v>
      </c>
      <c r="H14" s="577">
        <v>0</v>
      </c>
      <c r="I14" s="577">
        <v>0</v>
      </c>
      <c r="J14" s="577">
        <v>0</v>
      </c>
      <c r="K14" s="577">
        <v>0</v>
      </c>
      <c r="L14" s="577">
        <v>0</v>
      </c>
      <c r="M14" s="577">
        <v>0</v>
      </c>
      <c r="N14" s="577">
        <v>0</v>
      </c>
      <c r="O14" s="577">
        <v>0</v>
      </c>
      <c r="P14" s="577">
        <v>0</v>
      </c>
      <c r="Q14" s="577">
        <v>0</v>
      </c>
      <c r="R14" s="577">
        <v>0</v>
      </c>
      <c r="S14" s="577">
        <v>0</v>
      </c>
      <c r="T14" s="577">
        <v>0</v>
      </c>
      <c r="U14" s="577">
        <v>0</v>
      </c>
      <c r="V14" s="577">
        <v>0</v>
      </c>
      <c r="W14" s="591">
        <v>0</v>
      </c>
      <c r="X14" s="685">
        <v>0</v>
      </c>
      <c r="Y14" s="685">
        <v>0</v>
      </c>
      <c r="Z14" s="685">
        <v>0</v>
      </c>
      <c r="AA14" s="685">
        <v>0</v>
      </c>
      <c r="AB14" s="685">
        <v>0</v>
      </c>
      <c r="AC14" s="685">
        <v>0</v>
      </c>
      <c r="AD14" s="685">
        <v>0</v>
      </c>
      <c r="AE14" s="910">
        <v>0</v>
      </c>
      <c r="AF14" s="911">
        <v>0</v>
      </c>
      <c r="AG14" s="912">
        <v>0</v>
      </c>
      <c r="AH14" s="685">
        <v>0</v>
      </c>
      <c r="AI14" s="684">
        <v>0</v>
      </c>
      <c r="AJ14" s="682">
        <v>0</v>
      </c>
      <c r="AK14" s="684">
        <v>0</v>
      </c>
      <c r="AL14" s="686">
        <v>0</v>
      </c>
      <c r="AM14" s="682">
        <v>0</v>
      </c>
      <c r="AN14" s="682">
        <v>0</v>
      </c>
      <c r="AO14" s="686">
        <v>0.08</v>
      </c>
      <c r="AP14" s="687">
        <v>0.01</v>
      </c>
      <c r="AQ14" s="684">
        <f t="shared" si="17"/>
        <v>7.1428571428571426E-3</v>
      </c>
      <c r="AR14" s="682">
        <v>2.8000000000000001E-2</v>
      </c>
      <c r="AS14" s="684">
        <f t="shared" si="1"/>
        <v>1.2500000000000001E-2</v>
      </c>
      <c r="AT14" s="688">
        <v>1.6E-2</v>
      </c>
      <c r="AU14" s="682">
        <v>0</v>
      </c>
      <c r="AV14" s="684">
        <v>0</v>
      </c>
      <c r="AW14" s="689">
        <v>0</v>
      </c>
      <c r="AX14" s="690">
        <v>0</v>
      </c>
      <c r="AY14" s="689">
        <v>0</v>
      </c>
      <c r="AZ14" s="690">
        <v>0</v>
      </c>
      <c r="BA14" s="689">
        <v>0</v>
      </c>
      <c r="BB14" s="690">
        <v>0</v>
      </c>
      <c r="BC14" s="691">
        <v>0</v>
      </c>
      <c r="BD14" s="692">
        <v>0</v>
      </c>
      <c r="BE14" s="689">
        <v>0</v>
      </c>
      <c r="BF14" s="690">
        <f t="shared" si="5"/>
        <v>6.25E-2</v>
      </c>
      <c r="BG14" s="691">
        <v>0</v>
      </c>
      <c r="BH14" s="690">
        <v>0</v>
      </c>
      <c r="BI14" s="691">
        <v>0</v>
      </c>
      <c r="BJ14" s="690">
        <v>0</v>
      </c>
      <c r="BK14" s="691">
        <v>0</v>
      </c>
      <c r="BL14" s="690">
        <v>0</v>
      </c>
      <c r="BM14" s="691">
        <v>0</v>
      </c>
      <c r="BN14" s="690">
        <v>0</v>
      </c>
      <c r="BO14" s="691">
        <v>0</v>
      </c>
      <c r="BP14" s="690">
        <v>0</v>
      </c>
      <c r="BQ14" s="691">
        <v>0</v>
      </c>
      <c r="BR14" s="690">
        <f t="shared" si="9"/>
        <v>6.6666666666666666E-2</v>
      </c>
      <c r="BS14" s="691">
        <v>0</v>
      </c>
      <c r="BT14" s="690">
        <v>0</v>
      </c>
      <c r="BU14" s="691">
        <v>0</v>
      </c>
      <c r="BV14" s="690">
        <f t="shared" si="10"/>
        <v>6.6666666666666666E-2</v>
      </c>
      <c r="BW14" s="691">
        <v>0</v>
      </c>
      <c r="BX14" s="690">
        <v>0</v>
      </c>
      <c r="BY14" s="691">
        <v>0</v>
      </c>
      <c r="BZ14" s="690">
        <f t="shared" si="11"/>
        <v>0.05</v>
      </c>
      <c r="CA14" s="691">
        <v>0</v>
      </c>
      <c r="CB14" s="690">
        <f t="shared" si="12"/>
        <v>6.6666666666666666E-2</v>
      </c>
      <c r="CC14" s="689">
        <v>0</v>
      </c>
      <c r="CD14" s="692">
        <v>0</v>
      </c>
      <c r="CE14" s="689">
        <v>0</v>
      </c>
      <c r="CF14" s="692">
        <v>0</v>
      </c>
      <c r="CG14" s="689">
        <v>0</v>
      </c>
      <c r="CH14" s="692">
        <v>0</v>
      </c>
      <c r="CI14" s="689">
        <v>0</v>
      </c>
      <c r="CJ14" s="692">
        <v>0</v>
      </c>
      <c r="CK14" s="689">
        <v>0</v>
      </c>
      <c r="CL14" s="692">
        <v>0</v>
      </c>
      <c r="CM14" s="689">
        <v>0</v>
      </c>
      <c r="CN14" s="692">
        <v>0</v>
      </c>
      <c r="CO14" s="689">
        <v>0</v>
      </c>
      <c r="CP14" s="692">
        <v>0</v>
      </c>
      <c r="CQ14" s="689">
        <v>0</v>
      </c>
      <c r="CR14" s="690">
        <v>0</v>
      </c>
      <c r="CS14" s="689">
        <v>0</v>
      </c>
      <c r="CT14" s="690">
        <v>0</v>
      </c>
      <c r="CU14" s="691">
        <v>0</v>
      </c>
      <c r="CV14" s="690">
        <v>0</v>
      </c>
    </row>
    <row r="15" spans="1:100">
      <c r="A15" s="457">
        <v>13</v>
      </c>
      <c r="B15" s="577">
        <v>0</v>
      </c>
      <c r="C15" s="577">
        <v>0</v>
      </c>
      <c r="D15" s="577">
        <v>0</v>
      </c>
      <c r="E15" s="577">
        <v>0</v>
      </c>
      <c r="F15" s="577">
        <f t="shared" si="0"/>
        <v>1.2500000000000001E-2</v>
      </c>
      <c r="G15" s="577">
        <v>0</v>
      </c>
      <c r="H15" s="577">
        <v>0</v>
      </c>
      <c r="I15" s="577">
        <v>0</v>
      </c>
      <c r="J15" s="577">
        <v>0</v>
      </c>
      <c r="K15" s="577">
        <v>0</v>
      </c>
      <c r="L15" s="577">
        <v>0</v>
      </c>
      <c r="M15" s="577">
        <v>0</v>
      </c>
      <c r="N15" s="577">
        <v>0</v>
      </c>
      <c r="O15" s="577">
        <v>0</v>
      </c>
      <c r="P15" s="577">
        <v>0</v>
      </c>
      <c r="Q15" s="577">
        <v>0</v>
      </c>
      <c r="R15" s="577">
        <v>0</v>
      </c>
      <c r="S15" s="577">
        <v>0</v>
      </c>
      <c r="T15" s="577">
        <v>0</v>
      </c>
      <c r="U15" s="577">
        <v>0</v>
      </c>
      <c r="V15" s="577">
        <v>0</v>
      </c>
      <c r="W15" s="591">
        <v>0</v>
      </c>
      <c r="X15" s="685">
        <v>0</v>
      </c>
      <c r="Y15" s="685">
        <v>0</v>
      </c>
      <c r="Z15" s="685">
        <v>0</v>
      </c>
      <c r="AA15" s="685">
        <v>0</v>
      </c>
      <c r="AB15" s="685">
        <v>0</v>
      </c>
      <c r="AC15" s="685">
        <v>0</v>
      </c>
      <c r="AD15" s="685">
        <v>0</v>
      </c>
      <c r="AE15" s="910">
        <v>0</v>
      </c>
      <c r="AF15" s="911">
        <v>0</v>
      </c>
      <c r="AG15" s="912">
        <v>0</v>
      </c>
      <c r="AH15" s="685">
        <v>0</v>
      </c>
      <c r="AI15" s="684">
        <v>0</v>
      </c>
      <c r="AJ15" s="682">
        <v>0</v>
      </c>
      <c r="AK15" s="684">
        <v>0</v>
      </c>
      <c r="AL15" s="686">
        <v>0</v>
      </c>
      <c r="AM15" s="682">
        <v>0</v>
      </c>
      <c r="AN15" s="682">
        <v>0</v>
      </c>
      <c r="AO15" s="686">
        <v>0.08</v>
      </c>
      <c r="AP15" s="687">
        <v>0.01</v>
      </c>
      <c r="AQ15" s="684">
        <f t="shared" si="17"/>
        <v>7.1428571428571426E-3</v>
      </c>
      <c r="AR15" s="682">
        <v>2.8000000000000001E-2</v>
      </c>
      <c r="AS15" s="684">
        <f t="shared" si="1"/>
        <v>1.2500000000000001E-2</v>
      </c>
      <c r="AT15" s="688">
        <v>1.6E-2</v>
      </c>
      <c r="AU15" s="682">
        <v>0</v>
      </c>
      <c r="AV15" s="684">
        <v>0</v>
      </c>
      <c r="AW15" s="689">
        <v>0</v>
      </c>
      <c r="AX15" s="690">
        <v>0</v>
      </c>
      <c r="AY15" s="689">
        <v>0</v>
      </c>
      <c r="AZ15" s="690">
        <v>0</v>
      </c>
      <c r="BA15" s="689">
        <v>0</v>
      </c>
      <c r="BB15" s="690">
        <v>0</v>
      </c>
      <c r="BC15" s="691">
        <v>0</v>
      </c>
      <c r="BD15" s="692">
        <v>0</v>
      </c>
      <c r="BE15" s="689">
        <v>0</v>
      </c>
      <c r="BF15" s="690">
        <f t="shared" si="5"/>
        <v>6.25E-2</v>
      </c>
      <c r="BG15" s="691">
        <v>0</v>
      </c>
      <c r="BH15" s="690">
        <v>0</v>
      </c>
      <c r="BI15" s="691">
        <v>0</v>
      </c>
      <c r="BJ15" s="690">
        <v>0</v>
      </c>
      <c r="BK15" s="691">
        <v>0</v>
      </c>
      <c r="BL15" s="690">
        <v>0</v>
      </c>
      <c r="BM15" s="691">
        <v>0</v>
      </c>
      <c r="BN15" s="690">
        <v>0</v>
      </c>
      <c r="BO15" s="691">
        <v>0</v>
      </c>
      <c r="BP15" s="690">
        <v>0</v>
      </c>
      <c r="BQ15" s="691">
        <v>0</v>
      </c>
      <c r="BR15" s="690">
        <f t="shared" si="9"/>
        <v>6.6666666666666666E-2</v>
      </c>
      <c r="BS15" s="691">
        <v>0</v>
      </c>
      <c r="BT15" s="690">
        <v>0</v>
      </c>
      <c r="BU15" s="691">
        <v>0</v>
      </c>
      <c r="BV15" s="690">
        <f t="shared" si="10"/>
        <v>6.6666666666666666E-2</v>
      </c>
      <c r="BW15" s="691">
        <v>0</v>
      </c>
      <c r="BX15" s="690">
        <v>0</v>
      </c>
      <c r="BY15" s="691">
        <v>0</v>
      </c>
      <c r="BZ15" s="690">
        <f t="shared" si="11"/>
        <v>0.05</v>
      </c>
      <c r="CA15" s="691">
        <v>0</v>
      </c>
      <c r="CB15" s="690">
        <f t="shared" si="12"/>
        <v>6.6666666666666666E-2</v>
      </c>
      <c r="CC15" s="689">
        <v>0</v>
      </c>
      <c r="CD15" s="692">
        <v>0</v>
      </c>
      <c r="CE15" s="689">
        <v>0</v>
      </c>
      <c r="CF15" s="692">
        <v>0</v>
      </c>
      <c r="CG15" s="689">
        <v>0</v>
      </c>
      <c r="CH15" s="692">
        <v>0</v>
      </c>
      <c r="CI15" s="689">
        <v>0</v>
      </c>
      <c r="CJ15" s="692">
        <v>0</v>
      </c>
      <c r="CK15" s="689">
        <v>0</v>
      </c>
      <c r="CL15" s="692">
        <v>0</v>
      </c>
      <c r="CM15" s="689">
        <v>0</v>
      </c>
      <c r="CN15" s="692">
        <v>0</v>
      </c>
      <c r="CO15" s="689">
        <v>0</v>
      </c>
      <c r="CP15" s="692">
        <v>0</v>
      </c>
      <c r="CQ15" s="689">
        <v>0</v>
      </c>
      <c r="CR15" s="690">
        <v>0</v>
      </c>
      <c r="CS15" s="689">
        <v>0</v>
      </c>
      <c r="CT15" s="690">
        <v>0</v>
      </c>
      <c r="CU15" s="691">
        <v>0</v>
      </c>
      <c r="CV15" s="690">
        <v>0</v>
      </c>
    </row>
    <row r="16" spans="1:100">
      <c r="A16" s="457">
        <v>14</v>
      </c>
      <c r="B16" s="577">
        <v>0</v>
      </c>
      <c r="C16" s="577">
        <v>0</v>
      </c>
      <c r="D16" s="577">
        <v>0</v>
      </c>
      <c r="E16" s="577">
        <v>0</v>
      </c>
      <c r="F16" s="577">
        <f t="shared" si="0"/>
        <v>1.2500000000000001E-2</v>
      </c>
      <c r="G16" s="577">
        <v>0</v>
      </c>
      <c r="H16" s="577">
        <v>0</v>
      </c>
      <c r="I16" s="577">
        <v>0</v>
      </c>
      <c r="J16" s="577">
        <v>0</v>
      </c>
      <c r="K16" s="577">
        <v>0</v>
      </c>
      <c r="L16" s="577">
        <v>0</v>
      </c>
      <c r="M16" s="577">
        <v>0</v>
      </c>
      <c r="N16" s="577">
        <v>0</v>
      </c>
      <c r="O16" s="577">
        <v>0</v>
      </c>
      <c r="P16" s="577">
        <v>0</v>
      </c>
      <c r="Q16" s="577">
        <v>0</v>
      </c>
      <c r="R16" s="577">
        <v>0</v>
      </c>
      <c r="S16" s="577">
        <v>0</v>
      </c>
      <c r="T16" s="577">
        <v>0</v>
      </c>
      <c r="U16" s="577">
        <v>0</v>
      </c>
      <c r="V16" s="577">
        <v>0</v>
      </c>
      <c r="W16" s="591">
        <v>0</v>
      </c>
      <c r="X16" s="685">
        <v>0</v>
      </c>
      <c r="Y16" s="685">
        <v>0</v>
      </c>
      <c r="Z16" s="685">
        <v>0</v>
      </c>
      <c r="AA16" s="685">
        <v>0</v>
      </c>
      <c r="AB16" s="685">
        <v>0</v>
      </c>
      <c r="AC16" s="685">
        <v>0</v>
      </c>
      <c r="AD16" s="685">
        <v>0</v>
      </c>
      <c r="AE16" s="910">
        <v>0</v>
      </c>
      <c r="AF16" s="911">
        <v>0</v>
      </c>
      <c r="AG16" s="912">
        <v>0</v>
      </c>
      <c r="AH16" s="685">
        <v>0</v>
      </c>
      <c r="AI16" s="684">
        <v>0</v>
      </c>
      <c r="AJ16" s="682">
        <v>0</v>
      </c>
      <c r="AK16" s="684">
        <v>0</v>
      </c>
      <c r="AL16" s="686">
        <v>0</v>
      </c>
      <c r="AM16" s="682">
        <v>0</v>
      </c>
      <c r="AN16" s="682">
        <v>0</v>
      </c>
      <c r="AO16" s="686">
        <v>0.08</v>
      </c>
      <c r="AP16" s="687">
        <v>0.01</v>
      </c>
      <c r="AQ16" s="684">
        <f t="shared" si="17"/>
        <v>7.1428571428571426E-3</v>
      </c>
      <c r="AR16" s="682">
        <v>2.8000000000000001E-2</v>
      </c>
      <c r="AS16" s="684">
        <f t="shared" si="1"/>
        <v>1.2500000000000001E-2</v>
      </c>
      <c r="AT16" s="688">
        <v>1.6E-2</v>
      </c>
      <c r="AU16" s="682">
        <v>0</v>
      </c>
      <c r="AV16" s="684">
        <v>0</v>
      </c>
      <c r="AW16" s="689">
        <v>0</v>
      </c>
      <c r="AX16" s="690">
        <v>0</v>
      </c>
      <c r="AY16" s="689">
        <v>0</v>
      </c>
      <c r="AZ16" s="690">
        <v>0</v>
      </c>
      <c r="BA16" s="689">
        <v>0</v>
      </c>
      <c r="BB16" s="690">
        <v>0</v>
      </c>
      <c r="BC16" s="691">
        <v>0</v>
      </c>
      <c r="BD16" s="692">
        <v>0</v>
      </c>
      <c r="BE16" s="689">
        <v>0</v>
      </c>
      <c r="BF16" s="690">
        <f t="shared" si="5"/>
        <v>6.25E-2</v>
      </c>
      <c r="BG16" s="691">
        <v>0</v>
      </c>
      <c r="BH16" s="690">
        <v>0</v>
      </c>
      <c r="BI16" s="691">
        <v>0</v>
      </c>
      <c r="BJ16" s="690">
        <v>0</v>
      </c>
      <c r="BK16" s="691">
        <v>0</v>
      </c>
      <c r="BL16" s="690">
        <v>0</v>
      </c>
      <c r="BM16" s="691">
        <v>0</v>
      </c>
      <c r="BN16" s="690">
        <v>0</v>
      </c>
      <c r="BO16" s="691">
        <v>0</v>
      </c>
      <c r="BP16" s="690">
        <v>0</v>
      </c>
      <c r="BQ16" s="691">
        <v>1</v>
      </c>
      <c r="BR16" s="690">
        <f t="shared" si="9"/>
        <v>6.6666666666666666E-2</v>
      </c>
      <c r="BS16" s="691">
        <v>0</v>
      </c>
      <c r="BT16" s="690">
        <v>0</v>
      </c>
      <c r="BU16" s="691">
        <v>1</v>
      </c>
      <c r="BV16" s="690">
        <f t="shared" si="10"/>
        <v>6.6666666666666666E-2</v>
      </c>
      <c r="BW16" s="691">
        <v>0</v>
      </c>
      <c r="BX16" s="690">
        <v>0</v>
      </c>
      <c r="BY16" s="691">
        <v>0</v>
      </c>
      <c r="BZ16" s="690">
        <f t="shared" si="11"/>
        <v>0.05</v>
      </c>
      <c r="CA16" s="691">
        <v>1</v>
      </c>
      <c r="CB16" s="690">
        <f t="shared" si="12"/>
        <v>6.6666666666666666E-2</v>
      </c>
      <c r="CC16" s="689">
        <v>0</v>
      </c>
      <c r="CD16" s="692">
        <v>0</v>
      </c>
      <c r="CE16" s="689">
        <v>0</v>
      </c>
      <c r="CF16" s="692">
        <v>0</v>
      </c>
      <c r="CG16" s="689">
        <v>0</v>
      </c>
      <c r="CH16" s="692">
        <v>0</v>
      </c>
      <c r="CI16" s="689">
        <v>0</v>
      </c>
      <c r="CJ16" s="692">
        <v>0</v>
      </c>
      <c r="CK16" s="689">
        <v>0</v>
      </c>
      <c r="CL16" s="692">
        <v>0</v>
      </c>
      <c r="CM16" s="689">
        <v>0</v>
      </c>
      <c r="CN16" s="692">
        <v>0</v>
      </c>
      <c r="CO16" s="689">
        <v>0</v>
      </c>
      <c r="CP16" s="692">
        <v>0</v>
      </c>
      <c r="CQ16" s="689">
        <v>0</v>
      </c>
      <c r="CR16" s="690">
        <v>0</v>
      </c>
      <c r="CS16" s="689">
        <v>0</v>
      </c>
      <c r="CT16" s="690">
        <v>0</v>
      </c>
      <c r="CU16" s="691">
        <v>0</v>
      </c>
      <c r="CV16" s="690">
        <v>0</v>
      </c>
    </row>
    <row r="17" spans="1:100">
      <c r="A17" s="457">
        <v>15</v>
      </c>
      <c r="B17" s="577">
        <v>0</v>
      </c>
      <c r="C17" s="577">
        <v>0</v>
      </c>
      <c r="D17" s="577">
        <v>0</v>
      </c>
      <c r="E17" s="577">
        <v>0</v>
      </c>
      <c r="F17" s="577">
        <f t="shared" si="0"/>
        <v>1.2500000000000001E-2</v>
      </c>
      <c r="G17" s="577">
        <v>0</v>
      </c>
      <c r="H17" s="577">
        <v>0</v>
      </c>
      <c r="I17" s="577">
        <v>0</v>
      </c>
      <c r="J17" s="577">
        <v>0</v>
      </c>
      <c r="K17" s="577">
        <v>0</v>
      </c>
      <c r="L17" s="577">
        <v>0</v>
      </c>
      <c r="M17" s="577">
        <v>0</v>
      </c>
      <c r="N17" s="577">
        <v>0</v>
      </c>
      <c r="O17" s="577">
        <v>0</v>
      </c>
      <c r="P17" s="577">
        <v>0</v>
      </c>
      <c r="Q17" s="577">
        <v>0</v>
      </c>
      <c r="R17" s="577">
        <v>0</v>
      </c>
      <c r="S17" s="577">
        <v>0</v>
      </c>
      <c r="T17" s="577">
        <v>0</v>
      </c>
      <c r="U17" s="577">
        <v>0</v>
      </c>
      <c r="V17" s="577">
        <v>0</v>
      </c>
      <c r="W17" s="592">
        <v>0</v>
      </c>
      <c r="X17" s="685">
        <v>0</v>
      </c>
      <c r="Y17" s="685">
        <v>0</v>
      </c>
      <c r="Z17" s="685">
        <v>0</v>
      </c>
      <c r="AA17" s="685">
        <v>0</v>
      </c>
      <c r="AB17" s="685">
        <v>0</v>
      </c>
      <c r="AC17" s="685">
        <v>0</v>
      </c>
      <c r="AD17" s="685">
        <v>0</v>
      </c>
      <c r="AE17" s="910">
        <v>0</v>
      </c>
      <c r="AF17" s="911">
        <v>0</v>
      </c>
      <c r="AG17" s="912">
        <v>0</v>
      </c>
      <c r="AH17" s="685">
        <v>0</v>
      </c>
      <c r="AI17" s="684">
        <v>0</v>
      </c>
      <c r="AJ17" s="682">
        <v>0</v>
      </c>
      <c r="AK17" s="684">
        <v>0</v>
      </c>
      <c r="AL17" s="686">
        <v>0</v>
      </c>
      <c r="AM17" s="682">
        <v>0</v>
      </c>
      <c r="AN17" s="682">
        <v>0</v>
      </c>
      <c r="AO17" s="686">
        <v>0.01</v>
      </c>
      <c r="AP17" s="687">
        <v>0.01</v>
      </c>
      <c r="AQ17" s="684">
        <f t="shared" si="17"/>
        <v>7.1428571428571426E-3</v>
      </c>
      <c r="AR17" s="682">
        <v>2.8000000000000001E-2</v>
      </c>
      <c r="AS17" s="684">
        <f t="shared" si="1"/>
        <v>1.2500000000000001E-2</v>
      </c>
      <c r="AT17" s="688">
        <v>6.0000000000000001E-3</v>
      </c>
      <c r="AU17" s="682">
        <v>0</v>
      </c>
      <c r="AV17" s="684">
        <v>0</v>
      </c>
      <c r="AW17" s="689">
        <v>0</v>
      </c>
      <c r="AX17" s="690">
        <v>0</v>
      </c>
      <c r="AY17" s="689">
        <v>0</v>
      </c>
      <c r="AZ17" s="690">
        <v>0</v>
      </c>
      <c r="BA17" s="689">
        <v>0</v>
      </c>
      <c r="BB17" s="690">
        <v>0</v>
      </c>
      <c r="BC17" s="691">
        <v>0</v>
      </c>
      <c r="BD17" s="692">
        <v>0</v>
      </c>
      <c r="BE17" s="689">
        <v>1</v>
      </c>
      <c r="BF17" s="690">
        <f t="shared" si="5"/>
        <v>6.25E-2</v>
      </c>
      <c r="BG17" s="691">
        <v>0</v>
      </c>
      <c r="BH17" s="690">
        <v>0</v>
      </c>
      <c r="BI17" s="691">
        <v>0</v>
      </c>
      <c r="BJ17" s="690">
        <v>0</v>
      </c>
      <c r="BK17" s="691">
        <v>0</v>
      </c>
      <c r="BL17" s="690">
        <v>0</v>
      </c>
      <c r="BM17" s="691">
        <v>0</v>
      </c>
      <c r="BN17" s="690">
        <v>0</v>
      </c>
      <c r="BO17" s="691">
        <v>0</v>
      </c>
      <c r="BP17" s="690">
        <v>0</v>
      </c>
      <c r="BQ17" s="691">
        <v>0</v>
      </c>
      <c r="BR17" s="690">
        <v>0</v>
      </c>
      <c r="BS17" s="691">
        <v>0</v>
      </c>
      <c r="BT17" s="690">
        <v>0</v>
      </c>
      <c r="BU17" s="691">
        <v>0</v>
      </c>
      <c r="BV17" s="690">
        <v>0</v>
      </c>
      <c r="BW17" s="691">
        <v>0</v>
      </c>
      <c r="BX17" s="690">
        <v>0</v>
      </c>
      <c r="BY17" s="691">
        <v>0</v>
      </c>
      <c r="BZ17" s="690">
        <f t="shared" si="11"/>
        <v>0.05</v>
      </c>
      <c r="CA17" s="691">
        <v>0</v>
      </c>
      <c r="CB17" s="690">
        <v>0</v>
      </c>
      <c r="CC17" s="689">
        <v>0</v>
      </c>
      <c r="CD17" s="692">
        <v>0</v>
      </c>
      <c r="CE17" s="689">
        <v>0</v>
      </c>
      <c r="CF17" s="692">
        <v>0</v>
      </c>
      <c r="CG17" s="689">
        <v>0</v>
      </c>
      <c r="CH17" s="692">
        <v>0</v>
      </c>
      <c r="CI17" s="689">
        <v>0</v>
      </c>
      <c r="CJ17" s="692">
        <v>0</v>
      </c>
      <c r="CK17" s="689">
        <v>0</v>
      </c>
      <c r="CL17" s="692">
        <v>0</v>
      </c>
      <c r="CM17" s="689">
        <v>0</v>
      </c>
      <c r="CN17" s="692">
        <v>0</v>
      </c>
      <c r="CO17" s="689">
        <v>0</v>
      </c>
      <c r="CP17" s="692">
        <v>0</v>
      </c>
      <c r="CQ17" s="689">
        <v>0</v>
      </c>
      <c r="CR17" s="690">
        <v>0</v>
      </c>
      <c r="CS17" s="689">
        <v>0</v>
      </c>
      <c r="CT17" s="690">
        <v>0</v>
      </c>
      <c r="CU17" s="691">
        <v>0</v>
      </c>
      <c r="CV17" s="690">
        <v>0</v>
      </c>
    </row>
    <row r="18" spans="1:100">
      <c r="A18" s="457">
        <v>16</v>
      </c>
      <c r="B18" s="577">
        <v>0</v>
      </c>
      <c r="C18" s="577">
        <v>0</v>
      </c>
      <c r="D18" s="577">
        <v>0</v>
      </c>
      <c r="E18" s="577">
        <v>0</v>
      </c>
      <c r="F18" s="577">
        <f t="shared" si="0"/>
        <v>1.2500000000000001E-2</v>
      </c>
      <c r="G18" s="577">
        <v>0</v>
      </c>
      <c r="H18" s="577">
        <v>0</v>
      </c>
      <c r="I18" s="577">
        <v>0</v>
      </c>
      <c r="J18" s="577">
        <v>0</v>
      </c>
      <c r="K18" s="577">
        <v>0</v>
      </c>
      <c r="L18" s="577">
        <v>0</v>
      </c>
      <c r="M18" s="577">
        <v>0</v>
      </c>
      <c r="N18" s="577">
        <v>0</v>
      </c>
      <c r="O18" s="577">
        <v>0</v>
      </c>
      <c r="P18" s="577">
        <v>0</v>
      </c>
      <c r="Q18" s="577">
        <v>0</v>
      </c>
      <c r="R18" s="577">
        <v>0</v>
      </c>
      <c r="S18" s="577">
        <v>0</v>
      </c>
      <c r="T18" s="577">
        <v>0</v>
      </c>
      <c r="U18" s="577">
        <v>0</v>
      </c>
      <c r="V18" s="577">
        <v>0</v>
      </c>
      <c r="W18" s="592">
        <v>0</v>
      </c>
      <c r="X18" s="685">
        <v>0</v>
      </c>
      <c r="Y18" s="685">
        <v>0</v>
      </c>
      <c r="Z18" s="685">
        <v>0</v>
      </c>
      <c r="AA18" s="685">
        <v>0</v>
      </c>
      <c r="AB18" s="685">
        <v>0</v>
      </c>
      <c r="AC18" s="685">
        <v>0</v>
      </c>
      <c r="AD18" s="685">
        <v>0</v>
      </c>
      <c r="AE18" s="910">
        <v>0</v>
      </c>
      <c r="AF18" s="911">
        <v>0</v>
      </c>
      <c r="AG18" s="912">
        <v>0</v>
      </c>
      <c r="AH18" s="685">
        <v>0</v>
      </c>
      <c r="AI18" s="684">
        <v>0</v>
      </c>
      <c r="AJ18" s="682">
        <v>0</v>
      </c>
      <c r="AK18" s="684">
        <v>0</v>
      </c>
      <c r="AL18" s="686">
        <v>0</v>
      </c>
      <c r="AM18" s="682">
        <v>0</v>
      </c>
      <c r="AN18" s="682">
        <v>0</v>
      </c>
      <c r="AO18" s="686">
        <v>0.01</v>
      </c>
      <c r="AP18" s="687">
        <v>0.01</v>
      </c>
      <c r="AQ18" s="684">
        <f t="shared" si="17"/>
        <v>7.1428571428571426E-3</v>
      </c>
      <c r="AR18" s="682">
        <v>2.8000000000000001E-2</v>
      </c>
      <c r="AS18" s="684">
        <f t="shared" si="1"/>
        <v>1.2500000000000001E-2</v>
      </c>
      <c r="AT18" s="688">
        <v>6.0000000000000001E-3</v>
      </c>
      <c r="AU18" s="682">
        <v>0</v>
      </c>
      <c r="AV18" s="684">
        <v>0</v>
      </c>
      <c r="AW18" s="689">
        <v>0</v>
      </c>
      <c r="AX18" s="690">
        <v>0</v>
      </c>
      <c r="AY18" s="689">
        <v>0</v>
      </c>
      <c r="AZ18" s="690">
        <v>0</v>
      </c>
      <c r="BA18" s="689">
        <v>0</v>
      </c>
      <c r="BB18" s="690">
        <v>0</v>
      </c>
      <c r="BC18" s="691">
        <v>0</v>
      </c>
      <c r="BD18" s="692">
        <v>0</v>
      </c>
      <c r="BE18" s="689">
        <v>0</v>
      </c>
      <c r="BF18" s="690">
        <v>0</v>
      </c>
      <c r="BG18" s="691">
        <v>0</v>
      </c>
      <c r="BH18" s="690">
        <v>0</v>
      </c>
      <c r="BI18" s="691">
        <v>0</v>
      </c>
      <c r="BJ18" s="690">
        <v>0</v>
      </c>
      <c r="BK18" s="691">
        <v>0</v>
      </c>
      <c r="BL18" s="690">
        <v>0</v>
      </c>
      <c r="BM18" s="691">
        <v>0</v>
      </c>
      <c r="BN18" s="690">
        <v>0</v>
      </c>
      <c r="BO18" s="691">
        <v>0</v>
      </c>
      <c r="BP18" s="690">
        <v>0</v>
      </c>
      <c r="BQ18" s="691">
        <v>0</v>
      </c>
      <c r="BR18" s="690">
        <v>0</v>
      </c>
      <c r="BS18" s="691">
        <v>0</v>
      </c>
      <c r="BT18" s="690">
        <v>0</v>
      </c>
      <c r="BU18" s="691">
        <v>0</v>
      </c>
      <c r="BV18" s="690">
        <v>0</v>
      </c>
      <c r="BW18" s="691">
        <v>0</v>
      </c>
      <c r="BX18" s="690">
        <v>0</v>
      </c>
      <c r="BY18" s="691">
        <v>0</v>
      </c>
      <c r="BZ18" s="690">
        <f t="shared" si="11"/>
        <v>0.05</v>
      </c>
      <c r="CA18" s="691">
        <v>0</v>
      </c>
      <c r="CB18" s="690">
        <v>0</v>
      </c>
      <c r="CC18" s="689">
        <v>0</v>
      </c>
      <c r="CD18" s="692">
        <v>0</v>
      </c>
      <c r="CE18" s="689">
        <v>0</v>
      </c>
      <c r="CF18" s="692">
        <v>0</v>
      </c>
      <c r="CG18" s="689">
        <v>0</v>
      </c>
      <c r="CH18" s="692">
        <v>0</v>
      </c>
      <c r="CI18" s="689">
        <v>0</v>
      </c>
      <c r="CJ18" s="692">
        <v>0</v>
      </c>
      <c r="CK18" s="689">
        <v>0</v>
      </c>
      <c r="CL18" s="692">
        <v>0</v>
      </c>
      <c r="CM18" s="689">
        <v>0</v>
      </c>
      <c r="CN18" s="692">
        <v>0</v>
      </c>
      <c r="CO18" s="689">
        <v>0</v>
      </c>
      <c r="CP18" s="692">
        <v>0</v>
      </c>
      <c r="CQ18" s="689">
        <v>0</v>
      </c>
      <c r="CR18" s="690">
        <v>0</v>
      </c>
      <c r="CS18" s="689">
        <v>0</v>
      </c>
      <c r="CT18" s="690">
        <v>0</v>
      </c>
      <c r="CU18" s="691">
        <v>0</v>
      </c>
      <c r="CV18" s="690">
        <v>0</v>
      </c>
    </row>
    <row r="19" spans="1:100">
      <c r="A19" s="457">
        <v>17</v>
      </c>
      <c r="B19" s="577">
        <v>0</v>
      </c>
      <c r="C19" s="577">
        <v>0</v>
      </c>
      <c r="D19" s="577">
        <v>0</v>
      </c>
      <c r="E19" s="577">
        <v>0</v>
      </c>
      <c r="F19" s="577">
        <f t="shared" si="0"/>
        <v>1.2500000000000001E-2</v>
      </c>
      <c r="G19" s="577">
        <v>0</v>
      </c>
      <c r="H19" s="577">
        <v>0</v>
      </c>
      <c r="I19" s="577">
        <v>0</v>
      </c>
      <c r="J19" s="577">
        <v>0</v>
      </c>
      <c r="K19" s="577">
        <v>0</v>
      </c>
      <c r="L19" s="577">
        <v>0</v>
      </c>
      <c r="M19" s="577">
        <v>0</v>
      </c>
      <c r="N19" s="577">
        <v>0</v>
      </c>
      <c r="O19" s="577">
        <v>0</v>
      </c>
      <c r="P19" s="577">
        <v>0</v>
      </c>
      <c r="Q19" s="577">
        <v>0</v>
      </c>
      <c r="R19" s="577">
        <v>0</v>
      </c>
      <c r="S19" s="577">
        <v>0</v>
      </c>
      <c r="T19" s="577">
        <v>0</v>
      </c>
      <c r="U19" s="577">
        <v>0</v>
      </c>
      <c r="V19" s="577">
        <v>0</v>
      </c>
      <c r="W19" s="592">
        <v>0</v>
      </c>
      <c r="X19" s="685">
        <v>0</v>
      </c>
      <c r="Y19" s="685">
        <v>0</v>
      </c>
      <c r="Z19" s="685">
        <v>0</v>
      </c>
      <c r="AA19" s="685">
        <v>0</v>
      </c>
      <c r="AB19" s="685">
        <v>0</v>
      </c>
      <c r="AC19" s="685">
        <v>0</v>
      </c>
      <c r="AD19" s="685">
        <v>0</v>
      </c>
      <c r="AE19" s="910">
        <v>0</v>
      </c>
      <c r="AF19" s="911">
        <v>0</v>
      </c>
      <c r="AG19" s="912">
        <v>0</v>
      </c>
      <c r="AH19" s="685">
        <v>0</v>
      </c>
      <c r="AI19" s="684">
        <v>0</v>
      </c>
      <c r="AJ19" s="682">
        <v>0</v>
      </c>
      <c r="AK19" s="684">
        <v>0</v>
      </c>
      <c r="AL19" s="686">
        <v>0</v>
      </c>
      <c r="AM19" s="682">
        <v>0</v>
      </c>
      <c r="AN19" s="682">
        <v>0</v>
      </c>
      <c r="AO19" s="686">
        <v>0.01</v>
      </c>
      <c r="AP19" s="687">
        <v>0.01</v>
      </c>
      <c r="AQ19" s="684">
        <f t="shared" si="17"/>
        <v>7.1428571428571426E-3</v>
      </c>
      <c r="AR19" s="682">
        <v>2.8000000000000001E-2</v>
      </c>
      <c r="AS19" s="684">
        <f t="shared" si="1"/>
        <v>1.2500000000000001E-2</v>
      </c>
      <c r="AT19" s="688">
        <v>6.0000000000000001E-3</v>
      </c>
      <c r="AU19" s="682">
        <v>0</v>
      </c>
      <c r="AV19" s="684">
        <v>0</v>
      </c>
      <c r="AW19" s="689">
        <v>0</v>
      </c>
      <c r="AX19" s="690">
        <v>0</v>
      </c>
      <c r="AY19" s="689">
        <v>0</v>
      </c>
      <c r="AZ19" s="690">
        <v>0</v>
      </c>
      <c r="BA19" s="689">
        <v>0</v>
      </c>
      <c r="BB19" s="690">
        <v>0</v>
      </c>
      <c r="BC19" s="691">
        <v>0</v>
      </c>
      <c r="BD19" s="692">
        <v>0</v>
      </c>
      <c r="BE19" s="689">
        <v>0</v>
      </c>
      <c r="BF19" s="690">
        <v>0</v>
      </c>
      <c r="BG19" s="691">
        <v>0</v>
      </c>
      <c r="BH19" s="690">
        <v>0</v>
      </c>
      <c r="BI19" s="691">
        <v>0</v>
      </c>
      <c r="BJ19" s="690">
        <v>0</v>
      </c>
      <c r="BK19" s="691">
        <v>0</v>
      </c>
      <c r="BL19" s="690">
        <v>0</v>
      </c>
      <c r="BM19" s="691">
        <v>0</v>
      </c>
      <c r="BN19" s="690">
        <v>0</v>
      </c>
      <c r="BO19" s="691">
        <v>0</v>
      </c>
      <c r="BP19" s="690">
        <v>0</v>
      </c>
      <c r="BQ19" s="691">
        <v>0</v>
      </c>
      <c r="BR19" s="690">
        <v>0</v>
      </c>
      <c r="BS19" s="691">
        <v>0</v>
      </c>
      <c r="BT19" s="690">
        <v>0</v>
      </c>
      <c r="BU19" s="691">
        <v>0</v>
      </c>
      <c r="BV19" s="690">
        <v>0</v>
      </c>
      <c r="BW19" s="691">
        <v>0</v>
      </c>
      <c r="BX19" s="690">
        <v>0</v>
      </c>
      <c r="BY19" s="691">
        <v>0</v>
      </c>
      <c r="BZ19" s="690">
        <f t="shared" si="11"/>
        <v>0.05</v>
      </c>
      <c r="CA19" s="691">
        <v>0</v>
      </c>
      <c r="CB19" s="690">
        <v>0</v>
      </c>
      <c r="CC19" s="689">
        <v>0</v>
      </c>
      <c r="CD19" s="692">
        <v>0</v>
      </c>
      <c r="CE19" s="689">
        <v>0</v>
      </c>
      <c r="CF19" s="692">
        <v>0</v>
      </c>
      <c r="CG19" s="689">
        <v>0</v>
      </c>
      <c r="CH19" s="692">
        <v>0</v>
      </c>
      <c r="CI19" s="689">
        <v>0</v>
      </c>
      <c r="CJ19" s="692">
        <v>0</v>
      </c>
      <c r="CK19" s="689">
        <v>0</v>
      </c>
      <c r="CL19" s="692">
        <v>0</v>
      </c>
      <c r="CM19" s="689">
        <v>0</v>
      </c>
      <c r="CN19" s="692">
        <v>0</v>
      </c>
      <c r="CO19" s="689">
        <v>0</v>
      </c>
      <c r="CP19" s="692">
        <v>0</v>
      </c>
      <c r="CQ19" s="689">
        <v>0</v>
      </c>
      <c r="CR19" s="690">
        <v>0</v>
      </c>
      <c r="CS19" s="689">
        <v>0</v>
      </c>
      <c r="CT19" s="690">
        <v>0</v>
      </c>
      <c r="CU19" s="691">
        <v>0</v>
      </c>
      <c r="CV19" s="690">
        <v>0</v>
      </c>
    </row>
    <row r="20" spans="1:100">
      <c r="A20" s="457">
        <v>18</v>
      </c>
      <c r="B20" s="577">
        <v>0</v>
      </c>
      <c r="C20" s="577">
        <v>0</v>
      </c>
      <c r="D20" s="577">
        <v>0</v>
      </c>
      <c r="E20" s="577">
        <v>0</v>
      </c>
      <c r="F20" s="577">
        <f t="shared" si="0"/>
        <v>1.2500000000000001E-2</v>
      </c>
      <c r="G20" s="577">
        <v>0</v>
      </c>
      <c r="H20" s="577">
        <v>0</v>
      </c>
      <c r="I20" s="577">
        <v>0</v>
      </c>
      <c r="J20" s="577">
        <v>0</v>
      </c>
      <c r="K20" s="577">
        <v>0</v>
      </c>
      <c r="L20" s="577">
        <v>0</v>
      </c>
      <c r="M20" s="577">
        <v>0</v>
      </c>
      <c r="N20" s="577">
        <v>0</v>
      </c>
      <c r="O20" s="577">
        <v>0</v>
      </c>
      <c r="P20" s="577">
        <v>0</v>
      </c>
      <c r="Q20" s="577">
        <v>0</v>
      </c>
      <c r="R20" s="577">
        <v>0</v>
      </c>
      <c r="S20" s="577">
        <v>0</v>
      </c>
      <c r="T20" s="577">
        <v>0</v>
      </c>
      <c r="U20" s="577">
        <v>0</v>
      </c>
      <c r="V20" s="577">
        <v>0</v>
      </c>
      <c r="W20" s="592">
        <v>0</v>
      </c>
      <c r="X20" s="685">
        <v>0</v>
      </c>
      <c r="Y20" s="685">
        <v>0</v>
      </c>
      <c r="Z20" s="685">
        <v>0</v>
      </c>
      <c r="AA20" s="685">
        <v>0</v>
      </c>
      <c r="AB20" s="685">
        <v>0</v>
      </c>
      <c r="AC20" s="685">
        <v>0</v>
      </c>
      <c r="AD20" s="685">
        <v>0</v>
      </c>
      <c r="AE20" s="910">
        <v>0</v>
      </c>
      <c r="AF20" s="911">
        <v>0</v>
      </c>
      <c r="AG20" s="912">
        <v>0</v>
      </c>
      <c r="AH20" s="685">
        <v>0</v>
      </c>
      <c r="AI20" s="684">
        <v>0</v>
      </c>
      <c r="AJ20" s="682">
        <v>0</v>
      </c>
      <c r="AK20" s="684">
        <v>0</v>
      </c>
      <c r="AL20" s="686">
        <v>0</v>
      </c>
      <c r="AM20" s="682">
        <v>0</v>
      </c>
      <c r="AN20" s="682">
        <v>0</v>
      </c>
      <c r="AO20" s="686">
        <v>0.01</v>
      </c>
      <c r="AP20" s="687">
        <v>0.01</v>
      </c>
      <c r="AQ20" s="684">
        <f t="shared" si="17"/>
        <v>7.1428571428571426E-3</v>
      </c>
      <c r="AR20" s="682">
        <v>2.8000000000000001E-2</v>
      </c>
      <c r="AS20" s="684">
        <f t="shared" si="1"/>
        <v>1.2500000000000001E-2</v>
      </c>
      <c r="AT20" s="688">
        <v>6.0000000000000001E-3</v>
      </c>
      <c r="AU20" s="682">
        <v>0</v>
      </c>
      <c r="AV20" s="684">
        <v>0</v>
      </c>
      <c r="AW20" s="689">
        <v>0</v>
      </c>
      <c r="AX20" s="690">
        <v>0</v>
      </c>
      <c r="AY20" s="689">
        <v>0</v>
      </c>
      <c r="AZ20" s="690">
        <v>0</v>
      </c>
      <c r="BA20" s="689">
        <v>0</v>
      </c>
      <c r="BB20" s="690">
        <v>0</v>
      </c>
      <c r="BC20" s="691">
        <v>0</v>
      </c>
      <c r="BD20" s="692">
        <v>0</v>
      </c>
      <c r="BE20" s="689">
        <v>0</v>
      </c>
      <c r="BF20" s="690">
        <v>0</v>
      </c>
      <c r="BG20" s="691">
        <v>0</v>
      </c>
      <c r="BH20" s="690">
        <v>0</v>
      </c>
      <c r="BI20" s="691">
        <v>0</v>
      </c>
      <c r="BJ20" s="690">
        <v>0</v>
      </c>
      <c r="BK20" s="691">
        <v>0</v>
      </c>
      <c r="BL20" s="690">
        <v>0</v>
      </c>
      <c r="BM20" s="691">
        <v>0</v>
      </c>
      <c r="BN20" s="690">
        <v>0</v>
      </c>
      <c r="BO20" s="691">
        <v>0</v>
      </c>
      <c r="BP20" s="690">
        <v>0</v>
      </c>
      <c r="BQ20" s="691">
        <v>0</v>
      </c>
      <c r="BR20" s="690">
        <v>0</v>
      </c>
      <c r="BS20" s="691">
        <v>0</v>
      </c>
      <c r="BT20" s="690">
        <v>0</v>
      </c>
      <c r="BU20" s="691">
        <v>0</v>
      </c>
      <c r="BV20" s="690">
        <v>0</v>
      </c>
      <c r="BW20" s="691">
        <v>0</v>
      </c>
      <c r="BX20" s="690">
        <v>0</v>
      </c>
      <c r="BY20" s="691">
        <v>0</v>
      </c>
      <c r="BZ20" s="690">
        <f t="shared" si="11"/>
        <v>0.05</v>
      </c>
      <c r="CA20" s="691">
        <v>0</v>
      </c>
      <c r="CB20" s="690">
        <v>0</v>
      </c>
      <c r="CC20" s="689">
        <v>0</v>
      </c>
      <c r="CD20" s="692">
        <v>0</v>
      </c>
      <c r="CE20" s="689">
        <v>0</v>
      </c>
      <c r="CF20" s="692">
        <v>0</v>
      </c>
      <c r="CG20" s="689">
        <v>0</v>
      </c>
      <c r="CH20" s="692">
        <v>0</v>
      </c>
      <c r="CI20" s="689">
        <v>0</v>
      </c>
      <c r="CJ20" s="692">
        <v>0</v>
      </c>
      <c r="CK20" s="689">
        <v>0</v>
      </c>
      <c r="CL20" s="692">
        <v>0</v>
      </c>
      <c r="CM20" s="689">
        <v>0</v>
      </c>
      <c r="CN20" s="692">
        <v>0</v>
      </c>
      <c r="CO20" s="689">
        <v>0</v>
      </c>
      <c r="CP20" s="692">
        <v>0</v>
      </c>
      <c r="CQ20" s="689">
        <v>0</v>
      </c>
      <c r="CR20" s="690">
        <v>0</v>
      </c>
      <c r="CS20" s="689">
        <v>0</v>
      </c>
      <c r="CT20" s="690">
        <v>0</v>
      </c>
      <c r="CU20" s="691">
        <v>0</v>
      </c>
      <c r="CV20" s="690">
        <v>0</v>
      </c>
    </row>
    <row r="21" spans="1:100">
      <c r="A21" s="457">
        <v>19</v>
      </c>
      <c r="B21" s="577">
        <v>0</v>
      </c>
      <c r="C21" s="577">
        <v>0</v>
      </c>
      <c r="D21" s="577">
        <v>0</v>
      </c>
      <c r="E21" s="577">
        <v>0</v>
      </c>
      <c r="F21" s="577">
        <f t="shared" si="0"/>
        <v>1.2500000000000001E-2</v>
      </c>
      <c r="G21" s="577">
        <v>0</v>
      </c>
      <c r="H21" s="577">
        <v>0</v>
      </c>
      <c r="I21" s="577">
        <v>0</v>
      </c>
      <c r="J21" s="577">
        <v>0</v>
      </c>
      <c r="K21" s="577">
        <v>0</v>
      </c>
      <c r="L21" s="577">
        <v>0</v>
      </c>
      <c r="M21" s="577">
        <v>0</v>
      </c>
      <c r="N21" s="577">
        <v>0</v>
      </c>
      <c r="O21" s="577">
        <v>0</v>
      </c>
      <c r="P21" s="577">
        <v>0</v>
      </c>
      <c r="Q21" s="577">
        <v>0</v>
      </c>
      <c r="R21" s="577">
        <v>0</v>
      </c>
      <c r="S21" s="577">
        <v>0</v>
      </c>
      <c r="T21" s="577">
        <v>0</v>
      </c>
      <c r="U21" s="577">
        <v>0</v>
      </c>
      <c r="V21" s="577">
        <v>0</v>
      </c>
      <c r="W21" s="592">
        <v>0</v>
      </c>
      <c r="X21" s="685">
        <v>0</v>
      </c>
      <c r="Y21" s="685">
        <v>0</v>
      </c>
      <c r="Z21" s="685">
        <v>0</v>
      </c>
      <c r="AA21" s="685">
        <v>0</v>
      </c>
      <c r="AB21" s="685">
        <v>0</v>
      </c>
      <c r="AC21" s="685">
        <v>0</v>
      </c>
      <c r="AD21" s="685">
        <v>0</v>
      </c>
      <c r="AE21" s="910">
        <v>0</v>
      </c>
      <c r="AF21" s="911">
        <v>0</v>
      </c>
      <c r="AG21" s="912">
        <v>0</v>
      </c>
      <c r="AH21" s="685">
        <v>0</v>
      </c>
      <c r="AI21" s="684">
        <v>0</v>
      </c>
      <c r="AJ21" s="682">
        <v>0</v>
      </c>
      <c r="AK21" s="684">
        <v>0</v>
      </c>
      <c r="AL21" s="686">
        <v>0</v>
      </c>
      <c r="AM21" s="682">
        <v>0</v>
      </c>
      <c r="AN21" s="682">
        <v>0</v>
      </c>
      <c r="AO21" s="686">
        <v>0.01</v>
      </c>
      <c r="AP21" s="687">
        <v>0.01</v>
      </c>
      <c r="AQ21" s="684">
        <f t="shared" si="17"/>
        <v>7.1428571428571426E-3</v>
      </c>
      <c r="AR21" s="682">
        <v>2.8000000000000001E-2</v>
      </c>
      <c r="AS21" s="684">
        <f t="shared" si="1"/>
        <v>1.2500000000000001E-2</v>
      </c>
      <c r="AT21" s="688">
        <v>6.0000000000000001E-3</v>
      </c>
      <c r="AU21" s="682">
        <v>0</v>
      </c>
      <c r="AV21" s="684">
        <v>0</v>
      </c>
      <c r="AW21" s="689">
        <v>0</v>
      </c>
      <c r="AX21" s="690">
        <v>0</v>
      </c>
      <c r="AY21" s="689">
        <v>0</v>
      </c>
      <c r="AZ21" s="690">
        <v>0</v>
      </c>
      <c r="BA21" s="689">
        <v>0</v>
      </c>
      <c r="BB21" s="690">
        <v>0</v>
      </c>
      <c r="BC21" s="691">
        <v>0</v>
      </c>
      <c r="BD21" s="692">
        <v>0</v>
      </c>
      <c r="BE21" s="689">
        <v>0</v>
      </c>
      <c r="BF21" s="690">
        <v>0</v>
      </c>
      <c r="BG21" s="691">
        <v>0</v>
      </c>
      <c r="BH21" s="690">
        <v>0</v>
      </c>
      <c r="BI21" s="691">
        <v>0</v>
      </c>
      <c r="BJ21" s="690">
        <v>0</v>
      </c>
      <c r="BK21" s="691">
        <v>0</v>
      </c>
      <c r="BL21" s="690">
        <v>0</v>
      </c>
      <c r="BM21" s="691">
        <v>0</v>
      </c>
      <c r="BN21" s="690">
        <v>0</v>
      </c>
      <c r="BO21" s="691">
        <v>0</v>
      </c>
      <c r="BP21" s="690">
        <v>0</v>
      </c>
      <c r="BQ21" s="691">
        <v>0</v>
      </c>
      <c r="BR21" s="690">
        <v>0</v>
      </c>
      <c r="BS21" s="691">
        <v>0</v>
      </c>
      <c r="BT21" s="690">
        <v>0</v>
      </c>
      <c r="BU21" s="691">
        <v>0</v>
      </c>
      <c r="BV21" s="690">
        <v>0</v>
      </c>
      <c r="BW21" s="691">
        <v>0</v>
      </c>
      <c r="BX21" s="690">
        <v>0</v>
      </c>
      <c r="BY21" s="691">
        <v>1</v>
      </c>
      <c r="BZ21" s="690">
        <f t="shared" si="11"/>
        <v>0.05</v>
      </c>
      <c r="CA21" s="691">
        <v>0</v>
      </c>
      <c r="CB21" s="690">
        <v>0</v>
      </c>
      <c r="CC21" s="689">
        <v>0</v>
      </c>
      <c r="CD21" s="692">
        <v>0</v>
      </c>
      <c r="CE21" s="689">
        <v>0</v>
      </c>
      <c r="CF21" s="692">
        <v>0</v>
      </c>
      <c r="CG21" s="689">
        <v>0</v>
      </c>
      <c r="CH21" s="692">
        <v>0</v>
      </c>
      <c r="CI21" s="689">
        <v>0</v>
      </c>
      <c r="CJ21" s="692">
        <v>0</v>
      </c>
      <c r="CK21" s="689">
        <v>0</v>
      </c>
      <c r="CL21" s="692">
        <v>0</v>
      </c>
      <c r="CM21" s="689">
        <v>0</v>
      </c>
      <c r="CN21" s="692">
        <v>0</v>
      </c>
      <c r="CO21" s="689">
        <v>0</v>
      </c>
      <c r="CP21" s="692">
        <v>0</v>
      </c>
      <c r="CQ21" s="689">
        <v>0</v>
      </c>
      <c r="CR21" s="690">
        <v>0</v>
      </c>
      <c r="CS21" s="689">
        <v>0</v>
      </c>
      <c r="CT21" s="690">
        <v>0</v>
      </c>
      <c r="CU21" s="691">
        <v>0</v>
      </c>
      <c r="CV21" s="690">
        <v>0</v>
      </c>
    </row>
    <row r="22" spans="1:100">
      <c r="A22" s="457">
        <v>20</v>
      </c>
      <c r="B22" s="577">
        <v>0</v>
      </c>
      <c r="C22" s="577">
        <v>0</v>
      </c>
      <c r="D22" s="577">
        <v>0</v>
      </c>
      <c r="E22" s="577">
        <v>0</v>
      </c>
      <c r="F22" s="577">
        <f t="shared" si="0"/>
        <v>1.2500000000000001E-2</v>
      </c>
      <c r="G22" s="577">
        <v>0.01</v>
      </c>
      <c r="H22" s="577">
        <v>0</v>
      </c>
      <c r="I22" s="577">
        <v>0</v>
      </c>
      <c r="J22" s="577">
        <v>0</v>
      </c>
      <c r="K22" s="577">
        <v>0</v>
      </c>
      <c r="L22" s="577">
        <v>0</v>
      </c>
      <c r="M22" s="577">
        <v>0</v>
      </c>
      <c r="N22" s="577">
        <v>0</v>
      </c>
      <c r="O22" s="577">
        <v>0</v>
      </c>
      <c r="P22" s="577">
        <v>0</v>
      </c>
      <c r="Q22" s="577">
        <v>0</v>
      </c>
      <c r="R22" s="577">
        <v>0</v>
      </c>
      <c r="S22" s="577">
        <v>0</v>
      </c>
      <c r="T22" s="577">
        <v>0.01</v>
      </c>
      <c r="U22" s="577">
        <v>0</v>
      </c>
      <c r="V22" s="577">
        <v>0</v>
      </c>
      <c r="W22" s="592">
        <v>0</v>
      </c>
      <c r="X22" s="685">
        <v>0</v>
      </c>
      <c r="Y22" s="685">
        <v>0</v>
      </c>
      <c r="Z22" s="685">
        <v>0</v>
      </c>
      <c r="AA22" s="685">
        <v>0</v>
      </c>
      <c r="AB22" s="685">
        <v>0</v>
      </c>
      <c r="AC22" s="685">
        <v>0</v>
      </c>
      <c r="AD22" s="685">
        <v>0</v>
      </c>
      <c r="AE22" s="910">
        <v>0</v>
      </c>
      <c r="AF22" s="911">
        <v>0</v>
      </c>
      <c r="AG22" s="912">
        <v>0</v>
      </c>
      <c r="AH22" s="685">
        <v>0</v>
      </c>
      <c r="AI22" s="684">
        <v>0</v>
      </c>
      <c r="AJ22" s="682">
        <v>0</v>
      </c>
      <c r="AK22" s="684">
        <v>0</v>
      </c>
      <c r="AL22" s="686">
        <v>0</v>
      </c>
      <c r="AM22" s="682">
        <v>0</v>
      </c>
      <c r="AN22" s="682">
        <v>0</v>
      </c>
      <c r="AO22" s="686">
        <v>0</v>
      </c>
      <c r="AP22" s="687">
        <v>0.01</v>
      </c>
      <c r="AQ22" s="684">
        <f t="shared" si="17"/>
        <v>7.1428571428571426E-3</v>
      </c>
      <c r="AR22" s="682">
        <v>1.6250000000000001E-2</v>
      </c>
      <c r="AS22" s="684">
        <f t="shared" si="1"/>
        <v>1.2500000000000001E-2</v>
      </c>
      <c r="AT22" s="688">
        <v>5.0000000000000001E-3</v>
      </c>
      <c r="AU22" s="682">
        <v>0</v>
      </c>
      <c r="AV22" s="684">
        <v>0</v>
      </c>
      <c r="AW22" s="689">
        <v>0</v>
      </c>
      <c r="AX22" s="690">
        <v>0</v>
      </c>
      <c r="AY22" s="689">
        <v>0</v>
      </c>
      <c r="AZ22" s="690">
        <v>0</v>
      </c>
      <c r="BA22" s="689">
        <v>0</v>
      </c>
      <c r="BB22" s="690">
        <v>0</v>
      </c>
      <c r="BC22" s="691">
        <v>0</v>
      </c>
      <c r="BD22" s="692">
        <v>0</v>
      </c>
      <c r="BE22" s="689">
        <v>0</v>
      </c>
      <c r="BF22" s="690">
        <v>0</v>
      </c>
      <c r="BG22" s="691">
        <v>0</v>
      </c>
      <c r="BH22" s="690">
        <v>0</v>
      </c>
      <c r="BI22" s="691">
        <v>0</v>
      </c>
      <c r="BJ22" s="690">
        <v>0</v>
      </c>
      <c r="BK22" s="691">
        <v>0</v>
      </c>
      <c r="BL22" s="690">
        <v>0</v>
      </c>
      <c r="BM22" s="691">
        <v>0</v>
      </c>
      <c r="BN22" s="690">
        <v>0</v>
      </c>
      <c r="BO22" s="691">
        <v>0</v>
      </c>
      <c r="BP22" s="690">
        <v>0</v>
      </c>
      <c r="BQ22" s="691">
        <v>0</v>
      </c>
      <c r="BR22" s="690">
        <v>0</v>
      </c>
      <c r="BS22" s="691">
        <v>0</v>
      </c>
      <c r="BT22" s="690">
        <v>0</v>
      </c>
      <c r="BU22" s="691">
        <v>0</v>
      </c>
      <c r="BV22" s="690">
        <v>0</v>
      </c>
      <c r="BW22" s="691">
        <v>0</v>
      </c>
      <c r="BX22" s="690">
        <v>0</v>
      </c>
      <c r="BY22" s="691">
        <v>0</v>
      </c>
      <c r="BZ22" s="690">
        <v>0</v>
      </c>
      <c r="CA22" s="691">
        <v>0</v>
      </c>
      <c r="CB22" s="690">
        <v>0</v>
      </c>
      <c r="CC22" s="689">
        <v>0</v>
      </c>
      <c r="CD22" s="692">
        <v>0</v>
      </c>
      <c r="CE22" s="689">
        <v>0</v>
      </c>
      <c r="CF22" s="692">
        <v>0</v>
      </c>
      <c r="CG22" s="689">
        <v>0</v>
      </c>
      <c r="CH22" s="692">
        <v>0</v>
      </c>
      <c r="CI22" s="689">
        <v>0</v>
      </c>
      <c r="CJ22" s="692">
        <v>0</v>
      </c>
      <c r="CK22" s="689">
        <v>0</v>
      </c>
      <c r="CL22" s="692">
        <v>0</v>
      </c>
      <c r="CM22" s="689">
        <v>0</v>
      </c>
      <c r="CN22" s="692">
        <v>0</v>
      </c>
      <c r="CO22" s="689">
        <v>0</v>
      </c>
      <c r="CP22" s="692">
        <v>0</v>
      </c>
      <c r="CQ22" s="689">
        <v>0</v>
      </c>
      <c r="CR22" s="690">
        <v>0</v>
      </c>
      <c r="CS22" s="689">
        <v>0</v>
      </c>
      <c r="CT22" s="690">
        <v>0</v>
      </c>
      <c r="CU22" s="691">
        <v>0</v>
      </c>
      <c r="CV22" s="690">
        <v>0</v>
      </c>
    </row>
    <row r="23" spans="1:100">
      <c r="A23" s="457">
        <v>21</v>
      </c>
      <c r="B23" s="577">
        <v>0</v>
      </c>
      <c r="C23" s="577">
        <v>0</v>
      </c>
      <c r="D23" s="577">
        <v>0</v>
      </c>
      <c r="E23" s="577">
        <v>0</v>
      </c>
      <c r="F23" s="577">
        <f t="shared" si="0"/>
        <v>1.2500000000000001E-2</v>
      </c>
      <c r="G23" s="577">
        <v>0.01</v>
      </c>
      <c r="H23" s="577">
        <v>0</v>
      </c>
      <c r="I23" s="577">
        <v>0</v>
      </c>
      <c r="J23" s="577">
        <v>0</v>
      </c>
      <c r="K23" s="577">
        <v>0</v>
      </c>
      <c r="L23" s="577">
        <v>0</v>
      </c>
      <c r="M23" s="577">
        <v>0</v>
      </c>
      <c r="N23" s="577">
        <v>0</v>
      </c>
      <c r="O23" s="577">
        <v>0</v>
      </c>
      <c r="P23" s="577">
        <v>0</v>
      </c>
      <c r="Q23" s="577">
        <v>0</v>
      </c>
      <c r="R23" s="577">
        <v>0</v>
      </c>
      <c r="S23" s="577">
        <v>0</v>
      </c>
      <c r="T23" s="577">
        <v>0.01</v>
      </c>
      <c r="U23" s="577">
        <v>0</v>
      </c>
      <c r="V23" s="577">
        <v>0</v>
      </c>
      <c r="W23" s="592">
        <v>0</v>
      </c>
      <c r="X23" s="685">
        <v>0</v>
      </c>
      <c r="Y23" s="685">
        <v>0</v>
      </c>
      <c r="Z23" s="685">
        <v>0</v>
      </c>
      <c r="AA23" s="685">
        <v>0</v>
      </c>
      <c r="AB23" s="685">
        <v>0</v>
      </c>
      <c r="AC23" s="685">
        <v>0</v>
      </c>
      <c r="AD23" s="685">
        <v>0</v>
      </c>
      <c r="AE23" s="910">
        <v>0</v>
      </c>
      <c r="AF23" s="911">
        <v>0</v>
      </c>
      <c r="AG23" s="912">
        <v>0</v>
      </c>
      <c r="AH23" s="685">
        <v>0</v>
      </c>
      <c r="AI23" s="684">
        <v>0</v>
      </c>
      <c r="AJ23" s="682">
        <v>0</v>
      </c>
      <c r="AK23" s="684">
        <v>0</v>
      </c>
      <c r="AL23" s="686">
        <v>0</v>
      </c>
      <c r="AM23" s="682">
        <v>0</v>
      </c>
      <c r="AN23" s="682">
        <v>0</v>
      </c>
      <c r="AO23" s="686">
        <v>0</v>
      </c>
      <c r="AP23" s="687">
        <v>0.01</v>
      </c>
      <c r="AQ23" s="684">
        <f t="shared" si="17"/>
        <v>7.1428571428571426E-3</v>
      </c>
      <c r="AR23" s="682">
        <v>1.6250000000000001E-2</v>
      </c>
      <c r="AS23" s="684">
        <f t="shared" si="1"/>
        <v>1.2500000000000001E-2</v>
      </c>
      <c r="AT23" s="688">
        <v>3.0000000000000001E-3</v>
      </c>
      <c r="AU23" s="682">
        <v>0</v>
      </c>
      <c r="AV23" s="684">
        <v>0</v>
      </c>
      <c r="AW23" s="689">
        <v>0</v>
      </c>
      <c r="AX23" s="690">
        <v>0</v>
      </c>
      <c r="AY23" s="689">
        <v>0</v>
      </c>
      <c r="AZ23" s="690">
        <v>0</v>
      </c>
      <c r="BA23" s="689">
        <v>0</v>
      </c>
      <c r="BB23" s="690">
        <v>0</v>
      </c>
      <c r="BC23" s="691">
        <v>0</v>
      </c>
      <c r="BD23" s="692">
        <v>0</v>
      </c>
      <c r="BE23" s="689">
        <v>0</v>
      </c>
      <c r="BF23" s="690">
        <v>0</v>
      </c>
      <c r="BG23" s="691">
        <v>0</v>
      </c>
      <c r="BH23" s="690">
        <v>0</v>
      </c>
      <c r="BI23" s="691">
        <v>0</v>
      </c>
      <c r="BJ23" s="690">
        <v>0</v>
      </c>
      <c r="BK23" s="691">
        <v>0</v>
      </c>
      <c r="BL23" s="690">
        <v>0</v>
      </c>
      <c r="BM23" s="691">
        <v>0</v>
      </c>
      <c r="BN23" s="690">
        <v>0</v>
      </c>
      <c r="BO23" s="691">
        <v>0</v>
      </c>
      <c r="BP23" s="690">
        <v>0</v>
      </c>
      <c r="BQ23" s="691">
        <v>0</v>
      </c>
      <c r="BR23" s="690">
        <v>0</v>
      </c>
      <c r="BS23" s="691">
        <v>0</v>
      </c>
      <c r="BT23" s="690">
        <v>0</v>
      </c>
      <c r="BU23" s="691">
        <v>0</v>
      </c>
      <c r="BV23" s="690">
        <v>0</v>
      </c>
      <c r="BW23" s="691">
        <v>0</v>
      </c>
      <c r="BX23" s="690">
        <v>0</v>
      </c>
      <c r="BY23" s="691">
        <v>0</v>
      </c>
      <c r="BZ23" s="690">
        <v>0</v>
      </c>
      <c r="CA23" s="691">
        <v>0</v>
      </c>
      <c r="CB23" s="690">
        <v>0</v>
      </c>
      <c r="CC23" s="689">
        <v>0</v>
      </c>
      <c r="CD23" s="692">
        <v>0</v>
      </c>
      <c r="CE23" s="689">
        <v>0</v>
      </c>
      <c r="CF23" s="692">
        <v>0</v>
      </c>
      <c r="CG23" s="689">
        <v>0</v>
      </c>
      <c r="CH23" s="692">
        <v>0</v>
      </c>
      <c r="CI23" s="689">
        <v>0</v>
      </c>
      <c r="CJ23" s="692">
        <v>0</v>
      </c>
      <c r="CK23" s="689">
        <v>0</v>
      </c>
      <c r="CL23" s="692">
        <v>0</v>
      </c>
      <c r="CM23" s="689">
        <v>0</v>
      </c>
      <c r="CN23" s="692">
        <v>0</v>
      </c>
      <c r="CO23" s="689">
        <v>0</v>
      </c>
      <c r="CP23" s="692">
        <v>0</v>
      </c>
      <c r="CQ23" s="689">
        <v>0</v>
      </c>
      <c r="CR23" s="690">
        <v>0</v>
      </c>
      <c r="CS23" s="689">
        <v>0</v>
      </c>
      <c r="CT23" s="690">
        <v>0</v>
      </c>
      <c r="CU23" s="691">
        <v>0</v>
      </c>
      <c r="CV23" s="690">
        <v>0</v>
      </c>
    </row>
    <row r="24" spans="1:100">
      <c r="A24" s="457">
        <v>22</v>
      </c>
      <c r="B24" s="577">
        <v>0</v>
      </c>
      <c r="C24" s="577">
        <v>0</v>
      </c>
      <c r="D24" s="577">
        <v>0</v>
      </c>
      <c r="E24" s="577">
        <v>0</v>
      </c>
      <c r="F24" s="577">
        <f t="shared" si="0"/>
        <v>1.2500000000000001E-2</v>
      </c>
      <c r="G24" s="577">
        <v>0.01</v>
      </c>
      <c r="H24" s="577">
        <v>0</v>
      </c>
      <c r="I24" s="577">
        <v>0</v>
      </c>
      <c r="J24" s="577">
        <v>0</v>
      </c>
      <c r="K24" s="577">
        <v>0</v>
      </c>
      <c r="L24" s="577">
        <v>0</v>
      </c>
      <c r="M24" s="577">
        <v>0</v>
      </c>
      <c r="N24" s="577">
        <v>0</v>
      </c>
      <c r="O24" s="577">
        <v>0</v>
      </c>
      <c r="P24" s="577">
        <v>0</v>
      </c>
      <c r="Q24" s="577">
        <v>0</v>
      </c>
      <c r="R24" s="577">
        <v>0</v>
      </c>
      <c r="S24" s="577">
        <v>0</v>
      </c>
      <c r="T24" s="577">
        <v>0.01</v>
      </c>
      <c r="U24" s="577">
        <v>0</v>
      </c>
      <c r="V24" s="577">
        <v>0</v>
      </c>
      <c r="W24" s="592">
        <v>0</v>
      </c>
      <c r="X24" s="685">
        <v>0</v>
      </c>
      <c r="Y24" s="685">
        <v>0</v>
      </c>
      <c r="Z24" s="685">
        <v>0</v>
      </c>
      <c r="AA24" s="685">
        <v>0</v>
      </c>
      <c r="AB24" s="685">
        <v>0</v>
      </c>
      <c r="AC24" s="685">
        <v>0</v>
      </c>
      <c r="AD24" s="685">
        <v>0</v>
      </c>
      <c r="AE24" s="910">
        <v>0</v>
      </c>
      <c r="AF24" s="911">
        <v>0</v>
      </c>
      <c r="AG24" s="912">
        <v>0</v>
      </c>
      <c r="AH24" s="685">
        <v>0</v>
      </c>
      <c r="AI24" s="684">
        <v>0</v>
      </c>
      <c r="AJ24" s="682">
        <v>0</v>
      </c>
      <c r="AK24" s="684">
        <v>0</v>
      </c>
      <c r="AL24" s="686">
        <v>0</v>
      </c>
      <c r="AM24" s="682">
        <v>0</v>
      </c>
      <c r="AN24" s="682">
        <v>0</v>
      </c>
      <c r="AO24" s="686">
        <v>0</v>
      </c>
      <c r="AP24" s="687">
        <v>0.01</v>
      </c>
      <c r="AQ24" s="684">
        <f t="shared" si="17"/>
        <v>7.1428571428571426E-3</v>
      </c>
      <c r="AR24" s="682">
        <v>1.6250000000000001E-2</v>
      </c>
      <c r="AS24" s="684">
        <f t="shared" si="1"/>
        <v>1.2500000000000001E-2</v>
      </c>
      <c r="AT24" s="688">
        <v>3.0000000000000001E-3</v>
      </c>
      <c r="AU24" s="682">
        <v>0</v>
      </c>
      <c r="AV24" s="684">
        <v>0</v>
      </c>
      <c r="AW24" s="689">
        <v>0</v>
      </c>
      <c r="AX24" s="690">
        <v>0</v>
      </c>
      <c r="AY24" s="689">
        <v>0</v>
      </c>
      <c r="AZ24" s="690">
        <v>0</v>
      </c>
      <c r="BA24" s="689">
        <v>0</v>
      </c>
      <c r="BB24" s="690">
        <v>0</v>
      </c>
      <c r="BC24" s="691">
        <v>0</v>
      </c>
      <c r="BD24" s="692">
        <v>0</v>
      </c>
      <c r="BE24" s="689">
        <v>0</v>
      </c>
      <c r="BF24" s="690">
        <v>0</v>
      </c>
      <c r="BG24" s="691">
        <v>0</v>
      </c>
      <c r="BH24" s="690">
        <v>0</v>
      </c>
      <c r="BI24" s="691">
        <v>0</v>
      </c>
      <c r="BJ24" s="690">
        <v>0</v>
      </c>
      <c r="BK24" s="691">
        <v>0</v>
      </c>
      <c r="BL24" s="690">
        <v>0</v>
      </c>
      <c r="BM24" s="691">
        <v>0</v>
      </c>
      <c r="BN24" s="690">
        <v>0</v>
      </c>
      <c r="BO24" s="691">
        <v>0</v>
      </c>
      <c r="BP24" s="690">
        <v>0</v>
      </c>
      <c r="BQ24" s="691">
        <v>0</v>
      </c>
      <c r="BR24" s="690">
        <v>0</v>
      </c>
      <c r="BS24" s="691">
        <v>0</v>
      </c>
      <c r="BT24" s="690">
        <v>0</v>
      </c>
      <c r="BU24" s="691">
        <v>0</v>
      </c>
      <c r="BV24" s="690">
        <v>0</v>
      </c>
      <c r="BW24" s="691">
        <v>0</v>
      </c>
      <c r="BX24" s="690">
        <v>0</v>
      </c>
      <c r="BY24" s="691">
        <v>0</v>
      </c>
      <c r="BZ24" s="690">
        <v>0</v>
      </c>
      <c r="CA24" s="691">
        <v>0</v>
      </c>
      <c r="CB24" s="690">
        <v>0</v>
      </c>
      <c r="CC24" s="689">
        <v>0</v>
      </c>
      <c r="CD24" s="692">
        <v>0</v>
      </c>
      <c r="CE24" s="689">
        <v>0</v>
      </c>
      <c r="CF24" s="692">
        <v>0</v>
      </c>
      <c r="CG24" s="689">
        <v>0</v>
      </c>
      <c r="CH24" s="692">
        <v>0</v>
      </c>
      <c r="CI24" s="689">
        <v>0</v>
      </c>
      <c r="CJ24" s="692">
        <v>0</v>
      </c>
      <c r="CK24" s="689">
        <v>0</v>
      </c>
      <c r="CL24" s="692">
        <v>0</v>
      </c>
      <c r="CM24" s="689">
        <v>0</v>
      </c>
      <c r="CN24" s="692">
        <v>0</v>
      </c>
      <c r="CO24" s="689">
        <v>0</v>
      </c>
      <c r="CP24" s="692">
        <v>0</v>
      </c>
      <c r="CQ24" s="689">
        <v>0</v>
      </c>
      <c r="CR24" s="690">
        <v>0</v>
      </c>
      <c r="CS24" s="689">
        <v>0</v>
      </c>
      <c r="CT24" s="690">
        <v>0</v>
      </c>
      <c r="CU24" s="691">
        <v>0</v>
      </c>
      <c r="CV24" s="690">
        <v>0</v>
      </c>
    </row>
    <row r="25" spans="1:100">
      <c r="A25" s="457">
        <v>23</v>
      </c>
      <c r="B25" s="577">
        <v>0</v>
      </c>
      <c r="C25" s="577">
        <v>0</v>
      </c>
      <c r="D25" s="577">
        <v>0</v>
      </c>
      <c r="E25" s="577">
        <v>0</v>
      </c>
      <c r="F25" s="577">
        <f t="shared" si="0"/>
        <v>1.2500000000000001E-2</v>
      </c>
      <c r="G25" s="577">
        <v>0.01</v>
      </c>
      <c r="H25" s="577">
        <v>0</v>
      </c>
      <c r="I25" s="577">
        <v>0</v>
      </c>
      <c r="J25" s="577">
        <v>0</v>
      </c>
      <c r="K25" s="577">
        <v>0</v>
      </c>
      <c r="L25" s="577">
        <v>0</v>
      </c>
      <c r="M25" s="577">
        <v>0</v>
      </c>
      <c r="N25" s="577">
        <v>0</v>
      </c>
      <c r="O25" s="577">
        <v>0</v>
      </c>
      <c r="P25" s="577">
        <v>0</v>
      </c>
      <c r="Q25" s="577">
        <v>0</v>
      </c>
      <c r="R25" s="577">
        <v>0</v>
      </c>
      <c r="S25" s="577">
        <v>0</v>
      </c>
      <c r="T25" s="577">
        <v>0.01</v>
      </c>
      <c r="U25" s="577">
        <v>0</v>
      </c>
      <c r="V25" s="577">
        <v>0</v>
      </c>
      <c r="W25" s="592">
        <v>0</v>
      </c>
      <c r="X25" s="685">
        <v>0</v>
      </c>
      <c r="Y25" s="685">
        <v>0</v>
      </c>
      <c r="Z25" s="685">
        <v>0</v>
      </c>
      <c r="AA25" s="685">
        <v>0</v>
      </c>
      <c r="AB25" s="685">
        <v>0</v>
      </c>
      <c r="AC25" s="685">
        <v>0</v>
      </c>
      <c r="AD25" s="685">
        <v>0</v>
      </c>
      <c r="AE25" s="910">
        <v>0</v>
      </c>
      <c r="AF25" s="911">
        <v>0</v>
      </c>
      <c r="AG25" s="912">
        <v>0</v>
      </c>
      <c r="AH25" s="685">
        <v>0</v>
      </c>
      <c r="AI25" s="684">
        <v>0</v>
      </c>
      <c r="AJ25" s="682">
        <v>0</v>
      </c>
      <c r="AK25" s="684">
        <v>0</v>
      </c>
      <c r="AL25" s="686">
        <v>0</v>
      </c>
      <c r="AM25" s="682">
        <v>0</v>
      </c>
      <c r="AN25" s="682">
        <v>0</v>
      </c>
      <c r="AO25" s="686">
        <v>0</v>
      </c>
      <c r="AP25" s="687">
        <v>0.01</v>
      </c>
      <c r="AQ25" s="684">
        <f t="shared" si="17"/>
        <v>7.1428571428571426E-3</v>
      </c>
      <c r="AR25" s="682">
        <v>1.6250000000000001E-2</v>
      </c>
      <c r="AS25" s="684">
        <f t="shared" si="1"/>
        <v>1.2500000000000001E-2</v>
      </c>
      <c r="AT25" s="688">
        <v>3.0000000000000001E-3</v>
      </c>
      <c r="AU25" s="682">
        <v>0</v>
      </c>
      <c r="AV25" s="684">
        <v>0</v>
      </c>
      <c r="AW25" s="689">
        <v>0</v>
      </c>
      <c r="AX25" s="690">
        <v>0</v>
      </c>
      <c r="AY25" s="689">
        <v>0</v>
      </c>
      <c r="AZ25" s="690">
        <v>0</v>
      </c>
      <c r="BA25" s="689">
        <v>0</v>
      </c>
      <c r="BB25" s="690">
        <v>0</v>
      </c>
      <c r="BC25" s="691">
        <v>0</v>
      </c>
      <c r="BD25" s="692">
        <v>0</v>
      </c>
      <c r="BE25" s="689">
        <v>0</v>
      </c>
      <c r="BF25" s="690">
        <v>0</v>
      </c>
      <c r="BG25" s="691">
        <v>0</v>
      </c>
      <c r="BH25" s="690">
        <v>0</v>
      </c>
      <c r="BI25" s="691">
        <v>0</v>
      </c>
      <c r="BJ25" s="690">
        <v>0</v>
      </c>
      <c r="BK25" s="691">
        <v>0</v>
      </c>
      <c r="BL25" s="690">
        <v>0</v>
      </c>
      <c r="BM25" s="691">
        <v>0</v>
      </c>
      <c r="BN25" s="690">
        <v>0</v>
      </c>
      <c r="BO25" s="691">
        <v>0</v>
      </c>
      <c r="BP25" s="690">
        <v>0</v>
      </c>
      <c r="BQ25" s="691">
        <v>0</v>
      </c>
      <c r="BR25" s="690">
        <v>0</v>
      </c>
      <c r="BS25" s="691">
        <v>0</v>
      </c>
      <c r="BT25" s="690">
        <v>0</v>
      </c>
      <c r="BU25" s="691">
        <v>0</v>
      </c>
      <c r="BV25" s="690">
        <v>0</v>
      </c>
      <c r="BW25" s="691">
        <v>0</v>
      </c>
      <c r="BX25" s="690">
        <v>0</v>
      </c>
      <c r="BY25" s="691">
        <v>0</v>
      </c>
      <c r="BZ25" s="690">
        <v>0</v>
      </c>
      <c r="CA25" s="691">
        <v>0</v>
      </c>
      <c r="CB25" s="690">
        <v>0</v>
      </c>
      <c r="CC25" s="689">
        <v>0</v>
      </c>
      <c r="CD25" s="692">
        <v>0</v>
      </c>
      <c r="CE25" s="689">
        <v>0</v>
      </c>
      <c r="CF25" s="692">
        <v>0</v>
      </c>
      <c r="CG25" s="689">
        <v>0</v>
      </c>
      <c r="CH25" s="692">
        <v>0</v>
      </c>
      <c r="CI25" s="689">
        <v>0</v>
      </c>
      <c r="CJ25" s="692">
        <v>0</v>
      </c>
      <c r="CK25" s="689">
        <v>0</v>
      </c>
      <c r="CL25" s="692">
        <v>0</v>
      </c>
      <c r="CM25" s="689">
        <v>0</v>
      </c>
      <c r="CN25" s="692">
        <v>0</v>
      </c>
      <c r="CO25" s="689">
        <v>0</v>
      </c>
      <c r="CP25" s="692">
        <v>0</v>
      </c>
      <c r="CQ25" s="689">
        <v>0</v>
      </c>
      <c r="CR25" s="690">
        <v>0</v>
      </c>
      <c r="CS25" s="689">
        <v>0</v>
      </c>
      <c r="CT25" s="690">
        <v>0</v>
      </c>
      <c r="CU25" s="691">
        <v>0</v>
      </c>
      <c r="CV25" s="690">
        <v>0</v>
      </c>
    </row>
    <row r="26" spans="1:100">
      <c r="A26" s="457">
        <v>24</v>
      </c>
      <c r="B26" s="577">
        <v>0</v>
      </c>
      <c r="C26" s="577">
        <v>0</v>
      </c>
      <c r="D26" s="577">
        <v>0</v>
      </c>
      <c r="E26" s="577">
        <v>0</v>
      </c>
      <c r="F26" s="577">
        <f t="shared" si="0"/>
        <v>1.2500000000000001E-2</v>
      </c>
      <c r="G26" s="577">
        <v>0.01</v>
      </c>
      <c r="H26" s="577">
        <v>0</v>
      </c>
      <c r="I26" s="577">
        <v>0</v>
      </c>
      <c r="J26" s="577">
        <v>0</v>
      </c>
      <c r="K26" s="577">
        <v>0</v>
      </c>
      <c r="L26" s="577">
        <v>0</v>
      </c>
      <c r="M26" s="577">
        <v>0</v>
      </c>
      <c r="N26" s="577">
        <v>0</v>
      </c>
      <c r="O26" s="577">
        <v>0</v>
      </c>
      <c r="P26" s="577">
        <v>0</v>
      </c>
      <c r="Q26" s="577">
        <v>0</v>
      </c>
      <c r="R26" s="577">
        <v>0</v>
      </c>
      <c r="S26" s="577">
        <v>0</v>
      </c>
      <c r="T26" s="577">
        <v>0.01</v>
      </c>
      <c r="U26" s="577">
        <v>0</v>
      </c>
      <c r="V26" s="577">
        <v>0</v>
      </c>
      <c r="W26" s="592">
        <v>0</v>
      </c>
      <c r="X26" s="685">
        <v>0</v>
      </c>
      <c r="Y26" s="685">
        <v>0</v>
      </c>
      <c r="Z26" s="685">
        <v>0</v>
      </c>
      <c r="AA26" s="685">
        <v>0</v>
      </c>
      <c r="AB26" s="685">
        <v>0</v>
      </c>
      <c r="AC26" s="685">
        <v>0</v>
      </c>
      <c r="AD26" s="685">
        <v>0</v>
      </c>
      <c r="AE26" s="910">
        <v>0</v>
      </c>
      <c r="AF26" s="911">
        <v>0</v>
      </c>
      <c r="AG26" s="912">
        <v>0</v>
      </c>
      <c r="AH26" s="685">
        <v>0</v>
      </c>
      <c r="AI26" s="684">
        <v>0</v>
      </c>
      <c r="AJ26" s="682">
        <v>0</v>
      </c>
      <c r="AK26" s="684">
        <v>0</v>
      </c>
      <c r="AL26" s="686">
        <v>0</v>
      </c>
      <c r="AM26" s="682">
        <v>0</v>
      </c>
      <c r="AN26" s="682">
        <v>0</v>
      </c>
      <c r="AO26" s="686">
        <v>0</v>
      </c>
      <c r="AP26" s="687">
        <v>0.01</v>
      </c>
      <c r="AQ26" s="684">
        <f t="shared" si="17"/>
        <v>7.1428571428571426E-3</v>
      </c>
      <c r="AR26" s="682">
        <v>1.6250000000000001E-2</v>
      </c>
      <c r="AS26" s="684">
        <f t="shared" si="1"/>
        <v>1.2500000000000001E-2</v>
      </c>
      <c r="AT26" s="688">
        <v>3.0000000000000001E-3</v>
      </c>
      <c r="AU26" s="682">
        <v>0</v>
      </c>
      <c r="AV26" s="684">
        <v>0</v>
      </c>
      <c r="AW26" s="689">
        <v>0</v>
      </c>
      <c r="AX26" s="690">
        <v>0</v>
      </c>
      <c r="AY26" s="689">
        <v>0</v>
      </c>
      <c r="AZ26" s="690">
        <v>0</v>
      </c>
      <c r="BA26" s="689">
        <v>0</v>
      </c>
      <c r="BB26" s="690">
        <v>0</v>
      </c>
      <c r="BC26" s="691">
        <v>0</v>
      </c>
      <c r="BD26" s="692">
        <v>0</v>
      </c>
      <c r="BE26" s="689">
        <v>0</v>
      </c>
      <c r="BF26" s="690">
        <v>0</v>
      </c>
      <c r="BG26" s="691">
        <v>0</v>
      </c>
      <c r="BH26" s="690">
        <v>0</v>
      </c>
      <c r="BI26" s="691">
        <v>0</v>
      </c>
      <c r="BJ26" s="690">
        <v>0</v>
      </c>
      <c r="BK26" s="691">
        <v>0</v>
      </c>
      <c r="BL26" s="690">
        <v>0</v>
      </c>
      <c r="BM26" s="691">
        <v>0</v>
      </c>
      <c r="BN26" s="690">
        <v>0</v>
      </c>
      <c r="BO26" s="691">
        <v>0</v>
      </c>
      <c r="BP26" s="690">
        <v>0</v>
      </c>
      <c r="BQ26" s="691">
        <v>0</v>
      </c>
      <c r="BR26" s="690">
        <v>0</v>
      </c>
      <c r="BS26" s="691">
        <v>0</v>
      </c>
      <c r="BT26" s="690">
        <v>0</v>
      </c>
      <c r="BU26" s="691">
        <v>0</v>
      </c>
      <c r="BV26" s="690">
        <v>0</v>
      </c>
      <c r="BW26" s="691">
        <v>0</v>
      </c>
      <c r="BX26" s="690">
        <v>0</v>
      </c>
      <c r="BY26" s="691">
        <v>0</v>
      </c>
      <c r="BZ26" s="690">
        <v>0</v>
      </c>
      <c r="CA26" s="691">
        <v>0</v>
      </c>
      <c r="CB26" s="690">
        <v>0</v>
      </c>
      <c r="CC26" s="689">
        <v>0</v>
      </c>
      <c r="CD26" s="692">
        <v>0</v>
      </c>
      <c r="CE26" s="689">
        <v>0</v>
      </c>
      <c r="CF26" s="692">
        <v>0</v>
      </c>
      <c r="CG26" s="689">
        <v>0</v>
      </c>
      <c r="CH26" s="692">
        <v>0</v>
      </c>
      <c r="CI26" s="689">
        <v>0</v>
      </c>
      <c r="CJ26" s="692">
        <v>0</v>
      </c>
      <c r="CK26" s="689">
        <v>0</v>
      </c>
      <c r="CL26" s="692">
        <v>0</v>
      </c>
      <c r="CM26" s="689">
        <v>0</v>
      </c>
      <c r="CN26" s="692">
        <v>0</v>
      </c>
      <c r="CO26" s="689">
        <v>0</v>
      </c>
      <c r="CP26" s="692">
        <v>0</v>
      </c>
      <c r="CQ26" s="689">
        <v>0</v>
      </c>
      <c r="CR26" s="690">
        <v>0</v>
      </c>
      <c r="CS26" s="689">
        <v>0</v>
      </c>
      <c r="CT26" s="690">
        <v>0</v>
      </c>
      <c r="CU26" s="691">
        <v>0</v>
      </c>
      <c r="CV26" s="690">
        <v>0</v>
      </c>
    </row>
    <row r="27" spans="1:100">
      <c r="A27" s="457">
        <v>25</v>
      </c>
      <c r="B27" s="577">
        <v>0</v>
      </c>
      <c r="C27" s="577">
        <v>0</v>
      </c>
      <c r="D27" s="577">
        <v>0</v>
      </c>
      <c r="E27" s="577">
        <v>0</v>
      </c>
      <c r="F27" s="577">
        <f t="shared" si="0"/>
        <v>1.2500000000000001E-2</v>
      </c>
      <c r="G27" s="577">
        <v>0.01</v>
      </c>
      <c r="H27" s="577">
        <v>0</v>
      </c>
      <c r="I27" s="577">
        <v>0</v>
      </c>
      <c r="J27" s="577">
        <v>0</v>
      </c>
      <c r="K27" s="577">
        <v>0</v>
      </c>
      <c r="L27" s="577">
        <v>0</v>
      </c>
      <c r="M27" s="577">
        <v>0</v>
      </c>
      <c r="N27" s="577">
        <v>0</v>
      </c>
      <c r="O27" s="577">
        <v>0</v>
      </c>
      <c r="P27" s="577">
        <v>0</v>
      </c>
      <c r="Q27" s="577">
        <v>0</v>
      </c>
      <c r="R27" s="577">
        <v>0</v>
      </c>
      <c r="S27" s="577">
        <v>0</v>
      </c>
      <c r="T27" s="577">
        <v>0.01</v>
      </c>
      <c r="U27" s="577">
        <v>0</v>
      </c>
      <c r="V27" s="577">
        <v>0</v>
      </c>
      <c r="W27" s="592">
        <v>0</v>
      </c>
      <c r="X27" s="685">
        <v>0</v>
      </c>
      <c r="Y27" s="685">
        <v>0</v>
      </c>
      <c r="Z27" s="685">
        <v>0</v>
      </c>
      <c r="AA27" s="685">
        <v>0</v>
      </c>
      <c r="AB27" s="685">
        <v>0</v>
      </c>
      <c r="AC27" s="685">
        <v>0</v>
      </c>
      <c r="AD27" s="685">
        <v>0</v>
      </c>
      <c r="AE27" s="910">
        <v>0</v>
      </c>
      <c r="AF27" s="911">
        <v>0</v>
      </c>
      <c r="AG27" s="912">
        <v>0</v>
      </c>
      <c r="AH27" s="685">
        <v>0</v>
      </c>
      <c r="AI27" s="684">
        <v>0</v>
      </c>
      <c r="AJ27" s="682">
        <v>0</v>
      </c>
      <c r="AK27" s="684">
        <v>0</v>
      </c>
      <c r="AL27" s="686">
        <v>0</v>
      </c>
      <c r="AM27" s="682">
        <v>0</v>
      </c>
      <c r="AN27" s="682">
        <v>0</v>
      </c>
      <c r="AO27" s="686">
        <v>0</v>
      </c>
      <c r="AP27" s="687">
        <v>0</v>
      </c>
      <c r="AQ27" s="684">
        <f t="shared" si="17"/>
        <v>7.1428571428571426E-3</v>
      </c>
      <c r="AR27" s="682">
        <v>1.6250000000000001E-2</v>
      </c>
      <c r="AS27" s="684">
        <f t="shared" si="1"/>
        <v>1.2500000000000001E-2</v>
      </c>
      <c r="AT27" s="688">
        <v>2E-3</v>
      </c>
      <c r="AU27" s="682">
        <v>0</v>
      </c>
      <c r="AV27" s="684">
        <v>0</v>
      </c>
      <c r="AW27" s="689">
        <v>0</v>
      </c>
      <c r="AX27" s="690">
        <v>0</v>
      </c>
      <c r="AY27" s="689">
        <v>0</v>
      </c>
      <c r="AZ27" s="690">
        <v>0</v>
      </c>
      <c r="BA27" s="689">
        <v>0</v>
      </c>
      <c r="BB27" s="690">
        <v>0</v>
      </c>
      <c r="BC27" s="691">
        <v>0</v>
      </c>
      <c r="BD27" s="692">
        <v>0</v>
      </c>
      <c r="BE27" s="689">
        <v>0</v>
      </c>
      <c r="BF27" s="690">
        <v>0</v>
      </c>
      <c r="BG27" s="691">
        <v>0</v>
      </c>
      <c r="BH27" s="690">
        <v>0</v>
      </c>
      <c r="BI27" s="691">
        <v>0</v>
      </c>
      <c r="BJ27" s="690">
        <v>0</v>
      </c>
      <c r="BK27" s="691">
        <v>0</v>
      </c>
      <c r="BL27" s="690">
        <v>0</v>
      </c>
      <c r="BM27" s="691">
        <v>0</v>
      </c>
      <c r="BN27" s="690">
        <v>0</v>
      </c>
      <c r="BO27" s="691">
        <v>0</v>
      </c>
      <c r="BP27" s="690">
        <v>0</v>
      </c>
      <c r="BQ27" s="691">
        <v>0</v>
      </c>
      <c r="BR27" s="690">
        <v>0</v>
      </c>
      <c r="BS27" s="691">
        <v>0</v>
      </c>
      <c r="BT27" s="690">
        <v>0</v>
      </c>
      <c r="BU27" s="691">
        <v>0</v>
      </c>
      <c r="BV27" s="690">
        <v>0</v>
      </c>
      <c r="BW27" s="691">
        <v>0</v>
      </c>
      <c r="BX27" s="690">
        <v>0</v>
      </c>
      <c r="BY27" s="691">
        <v>0</v>
      </c>
      <c r="BZ27" s="690">
        <v>0</v>
      </c>
      <c r="CA27" s="691">
        <v>0</v>
      </c>
      <c r="CB27" s="690">
        <v>0</v>
      </c>
      <c r="CC27" s="689">
        <v>0</v>
      </c>
      <c r="CD27" s="692">
        <v>0</v>
      </c>
      <c r="CE27" s="689">
        <v>0</v>
      </c>
      <c r="CF27" s="692">
        <v>0</v>
      </c>
      <c r="CG27" s="689">
        <v>0</v>
      </c>
      <c r="CH27" s="692">
        <v>0</v>
      </c>
      <c r="CI27" s="689">
        <v>0</v>
      </c>
      <c r="CJ27" s="692">
        <v>0</v>
      </c>
      <c r="CK27" s="689">
        <v>0</v>
      </c>
      <c r="CL27" s="692">
        <v>0</v>
      </c>
      <c r="CM27" s="689">
        <v>0</v>
      </c>
      <c r="CN27" s="692">
        <v>0</v>
      </c>
      <c r="CO27" s="689">
        <v>0</v>
      </c>
      <c r="CP27" s="692">
        <v>0</v>
      </c>
      <c r="CQ27" s="689">
        <v>0</v>
      </c>
      <c r="CR27" s="690">
        <v>0</v>
      </c>
      <c r="CS27" s="689">
        <v>0</v>
      </c>
      <c r="CT27" s="690">
        <v>0</v>
      </c>
      <c r="CU27" s="691">
        <v>0</v>
      </c>
      <c r="CV27" s="690">
        <v>0</v>
      </c>
    </row>
    <row r="28" spans="1:100">
      <c r="A28" s="457">
        <v>26</v>
      </c>
      <c r="B28" s="577">
        <v>0</v>
      </c>
      <c r="C28" s="577">
        <v>0</v>
      </c>
      <c r="D28" s="577">
        <v>0</v>
      </c>
      <c r="E28" s="577">
        <v>0</v>
      </c>
      <c r="F28" s="577">
        <f t="shared" si="0"/>
        <v>1.2500000000000001E-2</v>
      </c>
      <c r="G28" s="577">
        <v>0.01</v>
      </c>
      <c r="H28" s="577">
        <v>0</v>
      </c>
      <c r="I28" s="577">
        <v>0</v>
      </c>
      <c r="J28" s="577">
        <v>0</v>
      </c>
      <c r="K28" s="577">
        <v>0</v>
      </c>
      <c r="L28" s="577">
        <v>0</v>
      </c>
      <c r="M28" s="577">
        <v>0</v>
      </c>
      <c r="N28" s="577">
        <v>0</v>
      </c>
      <c r="O28" s="577">
        <v>0</v>
      </c>
      <c r="P28" s="577">
        <v>0</v>
      </c>
      <c r="Q28" s="577">
        <v>0</v>
      </c>
      <c r="R28" s="577">
        <v>0</v>
      </c>
      <c r="S28" s="577">
        <v>0</v>
      </c>
      <c r="T28" s="577">
        <v>0.01</v>
      </c>
      <c r="U28" s="577">
        <v>0</v>
      </c>
      <c r="V28" s="577">
        <v>0</v>
      </c>
      <c r="W28" s="592">
        <v>0</v>
      </c>
      <c r="X28" s="685">
        <v>0</v>
      </c>
      <c r="Y28" s="685">
        <v>0</v>
      </c>
      <c r="Z28" s="685">
        <v>0</v>
      </c>
      <c r="AA28" s="685">
        <v>0</v>
      </c>
      <c r="AB28" s="685">
        <v>0</v>
      </c>
      <c r="AC28" s="685">
        <v>0</v>
      </c>
      <c r="AD28" s="685">
        <v>0</v>
      </c>
      <c r="AE28" s="910">
        <v>0</v>
      </c>
      <c r="AF28" s="911">
        <v>0</v>
      </c>
      <c r="AG28" s="912">
        <v>0</v>
      </c>
      <c r="AH28" s="685">
        <v>0</v>
      </c>
      <c r="AI28" s="684">
        <v>0</v>
      </c>
      <c r="AJ28" s="682">
        <v>0</v>
      </c>
      <c r="AK28" s="684">
        <v>0</v>
      </c>
      <c r="AL28" s="686">
        <v>0</v>
      </c>
      <c r="AM28" s="682">
        <v>0</v>
      </c>
      <c r="AN28" s="682">
        <v>0</v>
      </c>
      <c r="AO28" s="686">
        <v>0</v>
      </c>
      <c r="AP28" s="687">
        <v>0</v>
      </c>
      <c r="AQ28" s="684">
        <f t="shared" si="17"/>
        <v>7.1428571428571426E-3</v>
      </c>
      <c r="AR28" s="682">
        <v>1.6250000000000001E-2</v>
      </c>
      <c r="AS28" s="684">
        <f t="shared" si="1"/>
        <v>1.2500000000000001E-2</v>
      </c>
      <c r="AT28" s="688">
        <v>2E-3</v>
      </c>
      <c r="AU28" s="682">
        <v>0</v>
      </c>
      <c r="AV28" s="684">
        <v>0</v>
      </c>
      <c r="AW28" s="689">
        <v>0</v>
      </c>
      <c r="AX28" s="690">
        <v>0</v>
      </c>
      <c r="AY28" s="689">
        <v>0</v>
      </c>
      <c r="AZ28" s="690">
        <v>0</v>
      </c>
      <c r="BA28" s="689">
        <v>0</v>
      </c>
      <c r="BB28" s="690">
        <v>0</v>
      </c>
      <c r="BC28" s="691">
        <v>0</v>
      </c>
      <c r="BD28" s="692">
        <v>0</v>
      </c>
      <c r="BE28" s="689">
        <v>0</v>
      </c>
      <c r="BF28" s="690">
        <v>0</v>
      </c>
      <c r="BG28" s="691">
        <v>0</v>
      </c>
      <c r="BH28" s="690">
        <v>0</v>
      </c>
      <c r="BI28" s="691">
        <v>0</v>
      </c>
      <c r="BJ28" s="690">
        <v>0</v>
      </c>
      <c r="BK28" s="691">
        <v>0</v>
      </c>
      <c r="BL28" s="690">
        <v>0</v>
      </c>
      <c r="BM28" s="691">
        <v>0</v>
      </c>
      <c r="BN28" s="690">
        <v>0</v>
      </c>
      <c r="BO28" s="691">
        <v>0</v>
      </c>
      <c r="BP28" s="690">
        <v>0</v>
      </c>
      <c r="BQ28" s="691">
        <v>0</v>
      </c>
      <c r="BR28" s="690">
        <v>0</v>
      </c>
      <c r="BS28" s="691">
        <v>0</v>
      </c>
      <c r="BT28" s="690">
        <v>0</v>
      </c>
      <c r="BU28" s="691">
        <v>0</v>
      </c>
      <c r="BV28" s="690">
        <v>0</v>
      </c>
      <c r="BW28" s="691">
        <v>0</v>
      </c>
      <c r="BX28" s="690">
        <v>0</v>
      </c>
      <c r="BY28" s="691">
        <v>0</v>
      </c>
      <c r="BZ28" s="690">
        <v>0</v>
      </c>
      <c r="CA28" s="691">
        <v>0</v>
      </c>
      <c r="CB28" s="690">
        <v>0</v>
      </c>
      <c r="CC28" s="689">
        <v>0</v>
      </c>
      <c r="CD28" s="692">
        <v>0</v>
      </c>
      <c r="CE28" s="689">
        <v>0</v>
      </c>
      <c r="CF28" s="692">
        <v>0</v>
      </c>
      <c r="CG28" s="689">
        <v>0</v>
      </c>
      <c r="CH28" s="692">
        <v>0</v>
      </c>
      <c r="CI28" s="689">
        <v>0</v>
      </c>
      <c r="CJ28" s="692">
        <v>0</v>
      </c>
      <c r="CK28" s="689">
        <v>0</v>
      </c>
      <c r="CL28" s="692">
        <v>0</v>
      </c>
      <c r="CM28" s="689">
        <v>0</v>
      </c>
      <c r="CN28" s="692">
        <v>0</v>
      </c>
      <c r="CO28" s="689">
        <v>0</v>
      </c>
      <c r="CP28" s="692">
        <v>0</v>
      </c>
      <c r="CQ28" s="689">
        <v>0</v>
      </c>
      <c r="CR28" s="690">
        <v>0</v>
      </c>
      <c r="CS28" s="689">
        <v>0</v>
      </c>
      <c r="CT28" s="690">
        <v>0</v>
      </c>
      <c r="CU28" s="691">
        <v>0</v>
      </c>
      <c r="CV28" s="690">
        <v>0</v>
      </c>
    </row>
    <row r="29" spans="1:100">
      <c r="A29" s="457">
        <v>27</v>
      </c>
      <c r="B29" s="577">
        <v>0</v>
      </c>
      <c r="C29" s="577">
        <v>0</v>
      </c>
      <c r="D29" s="577">
        <v>0</v>
      </c>
      <c r="E29" s="577">
        <v>0</v>
      </c>
      <c r="F29" s="577">
        <f t="shared" si="0"/>
        <v>1.2500000000000001E-2</v>
      </c>
      <c r="G29" s="577">
        <v>0.01</v>
      </c>
      <c r="H29" s="577">
        <v>0</v>
      </c>
      <c r="I29" s="577">
        <v>0</v>
      </c>
      <c r="J29" s="577">
        <v>0</v>
      </c>
      <c r="K29" s="577">
        <v>0</v>
      </c>
      <c r="L29" s="577">
        <v>0</v>
      </c>
      <c r="M29" s="577">
        <v>0</v>
      </c>
      <c r="N29" s="577">
        <v>0</v>
      </c>
      <c r="O29" s="577">
        <v>0</v>
      </c>
      <c r="P29" s="577">
        <v>0</v>
      </c>
      <c r="Q29" s="577">
        <v>0</v>
      </c>
      <c r="R29" s="577">
        <v>0</v>
      </c>
      <c r="S29" s="577">
        <v>0</v>
      </c>
      <c r="T29" s="577">
        <v>0.01</v>
      </c>
      <c r="U29" s="577">
        <v>0</v>
      </c>
      <c r="V29" s="577">
        <v>0</v>
      </c>
      <c r="W29" s="592">
        <v>0</v>
      </c>
      <c r="X29" s="685">
        <v>0</v>
      </c>
      <c r="Y29" s="685">
        <v>0</v>
      </c>
      <c r="Z29" s="685">
        <v>0</v>
      </c>
      <c r="AA29" s="685">
        <v>0</v>
      </c>
      <c r="AB29" s="685">
        <v>0</v>
      </c>
      <c r="AC29" s="685">
        <v>0</v>
      </c>
      <c r="AD29" s="685">
        <v>0</v>
      </c>
      <c r="AE29" s="910">
        <v>0</v>
      </c>
      <c r="AF29" s="911">
        <v>0</v>
      </c>
      <c r="AG29" s="912">
        <v>0</v>
      </c>
      <c r="AH29" s="685">
        <v>0</v>
      </c>
      <c r="AI29" s="684">
        <v>0</v>
      </c>
      <c r="AJ29" s="682">
        <v>0</v>
      </c>
      <c r="AK29" s="684">
        <v>0</v>
      </c>
      <c r="AL29" s="686">
        <v>0</v>
      </c>
      <c r="AM29" s="682">
        <v>0</v>
      </c>
      <c r="AN29" s="682">
        <v>0</v>
      </c>
      <c r="AO29" s="686">
        <v>0</v>
      </c>
      <c r="AP29" s="687">
        <v>0</v>
      </c>
      <c r="AQ29" s="684">
        <f t="shared" si="17"/>
        <v>7.1428571428571426E-3</v>
      </c>
      <c r="AR29" s="682">
        <v>1.6250000000000001E-2</v>
      </c>
      <c r="AS29" s="684">
        <f t="shared" si="1"/>
        <v>1.2500000000000001E-2</v>
      </c>
      <c r="AT29" s="688">
        <v>2E-3</v>
      </c>
      <c r="AU29" s="682">
        <v>0</v>
      </c>
      <c r="AV29" s="684">
        <v>0</v>
      </c>
      <c r="AW29" s="689">
        <v>0</v>
      </c>
      <c r="AX29" s="690">
        <v>0</v>
      </c>
      <c r="AY29" s="689">
        <v>0</v>
      </c>
      <c r="AZ29" s="690">
        <v>0</v>
      </c>
      <c r="BA29" s="689">
        <v>0</v>
      </c>
      <c r="BB29" s="690">
        <v>0</v>
      </c>
      <c r="BC29" s="691">
        <v>0</v>
      </c>
      <c r="BD29" s="692">
        <v>0</v>
      </c>
      <c r="BE29" s="689">
        <v>0</v>
      </c>
      <c r="BF29" s="690">
        <v>0</v>
      </c>
      <c r="BG29" s="691">
        <v>0</v>
      </c>
      <c r="BH29" s="690">
        <v>0</v>
      </c>
      <c r="BI29" s="691">
        <v>0</v>
      </c>
      <c r="BJ29" s="690">
        <v>0</v>
      </c>
      <c r="BK29" s="691">
        <v>0</v>
      </c>
      <c r="BL29" s="690">
        <v>0</v>
      </c>
      <c r="BM29" s="691">
        <v>0</v>
      </c>
      <c r="BN29" s="690">
        <v>0</v>
      </c>
      <c r="BO29" s="691">
        <v>0</v>
      </c>
      <c r="BP29" s="690">
        <v>0</v>
      </c>
      <c r="BQ29" s="691">
        <v>0</v>
      </c>
      <c r="BR29" s="690">
        <v>0</v>
      </c>
      <c r="BS29" s="691">
        <v>0</v>
      </c>
      <c r="BT29" s="690">
        <v>0</v>
      </c>
      <c r="BU29" s="691">
        <v>0</v>
      </c>
      <c r="BV29" s="690">
        <v>0</v>
      </c>
      <c r="BW29" s="691">
        <v>0</v>
      </c>
      <c r="BX29" s="690">
        <v>0</v>
      </c>
      <c r="BY29" s="691">
        <v>0</v>
      </c>
      <c r="BZ29" s="690">
        <v>0</v>
      </c>
      <c r="CA29" s="691">
        <v>0</v>
      </c>
      <c r="CB29" s="690">
        <v>0</v>
      </c>
      <c r="CC29" s="689">
        <v>0</v>
      </c>
      <c r="CD29" s="692">
        <v>0</v>
      </c>
      <c r="CE29" s="689">
        <v>0</v>
      </c>
      <c r="CF29" s="692">
        <v>0</v>
      </c>
      <c r="CG29" s="689">
        <v>0</v>
      </c>
      <c r="CH29" s="692">
        <v>0</v>
      </c>
      <c r="CI29" s="689">
        <v>0</v>
      </c>
      <c r="CJ29" s="692">
        <v>0</v>
      </c>
      <c r="CK29" s="689">
        <v>0</v>
      </c>
      <c r="CL29" s="692">
        <v>0</v>
      </c>
      <c r="CM29" s="689">
        <v>0</v>
      </c>
      <c r="CN29" s="692">
        <v>0</v>
      </c>
      <c r="CO29" s="689">
        <v>0</v>
      </c>
      <c r="CP29" s="692">
        <v>0</v>
      </c>
      <c r="CQ29" s="689">
        <v>0</v>
      </c>
      <c r="CR29" s="690">
        <v>0</v>
      </c>
      <c r="CS29" s="689">
        <v>0</v>
      </c>
      <c r="CT29" s="690">
        <v>0</v>
      </c>
      <c r="CU29" s="691">
        <v>0</v>
      </c>
      <c r="CV29" s="690">
        <v>0</v>
      </c>
    </row>
    <row r="30" spans="1:100">
      <c r="A30" s="457">
        <v>28</v>
      </c>
      <c r="B30" s="577">
        <v>0</v>
      </c>
      <c r="C30" s="577">
        <v>0</v>
      </c>
      <c r="D30" s="577">
        <v>0</v>
      </c>
      <c r="E30" s="577">
        <v>0</v>
      </c>
      <c r="F30" s="577">
        <f t="shared" si="0"/>
        <v>1.2500000000000001E-2</v>
      </c>
      <c r="G30" s="577">
        <v>0.01</v>
      </c>
      <c r="H30" s="577">
        <v>0</v>
      </c>
      <c r="I30" s="577">
        <v>0</v>
      </c>
      <c r="J30" s="577">
        <v>0</v>
      </c>
      <c r="K30" s="577">
        <v>0</v>
      </c>
      <c r="L30" s="577">
        <v>0</v>
      </c>
      <c r="M30" s="577">
        <v>0</v>
      </c>
      <c r="N30" s="577">
        <v>0</v>
      </c>
      <c r="O30" s="577">
        <v>0</v>
      </c>
      <c r="P30" s="577">
        <v>0</v>
      </c>
      <c r="Q30" s="577">
        <v>0</v>
      </c>
      <c r="R30" s="577">
        <v>0</v>
      </c>
      <c r="S30" s="577">
        <v>0</v>
      </c>
      <c r="T30" s="577">
        <v>0.01</v>
      </c>
      <c r="U30" s="577">
        <v>0</v>
      </c>
      <c r="V30" s="577">
        <v>0</v>
      </c>
      <c r="W30" s="592">
        <v>0</v>
      </c>
      <c r="X30" s="685">
        <v>0</v>
      </c>
      <c r="Y30" s="685">
        <v>0</v>
      </c>
      <c r="Z30" s="685">
        <v>0</v>
      </c>
      <c r="AA30" s="685">
        <v>0</v>
      </c>
      <c r="AB30" s="685">
        <v>0</v>
      </c>
      <c r="AC30" s="685">
        <v>0</v>
      </c>
      <c r="AD30" s="685">
        <v>0</v>
      </c>
      <c r="AE30" s="910">
        <v>0</v>
      </c>
      <c r="AF30" s="911">
        <v>0</v>
      </c>
      <c r="AG30" s="912">
        <v>0</v>
      </c>
      <c r="AH30" s="685">
        <v>0</v>
      </c>
      <c r="AI30" s="684">
        <v>0</v>
      </c>
      <c r="AJ30" s="682">
        <v>0</v>
      </c>
      <c r="AK30" s="684">
        <v>0</v>
      </c>
      <c r="AL30" s="686">
        <v>0</v>
      </c>
      <c r="AM30" s="682">
        <v>0</v>
      </c>
      <c r="AN30" s="682">
        <v>0</v>
      </c>
      <c r="AO30" s="686">
        <v>0</v>
      </c>
      <c r="AP30" s="687">
        <v>0</v>
      </c>
      <c r="AQ30" s="684">
        <f t="shared" si="17"/>
        <v>7.1428571428571426E-3</v>
      </c>
      <c r="AR30" s="682">
        <v>1.6250000000000001E-2</v>
      </c>
      <c r="AS30" s="684">
        <f t="shared" si="1"/>
        <v>1.2500000000000001E-2</v>
      </c>
      <c r="AT30" s="688">
        <v>2E-3</v>
      </c>
      <c r="AU30" s="682">
        <v>0</v>
      </c>
      <c r="AV30" s="684">
        <v>0</v>
      </c>
      <c r="AW30" s="689">
        <v>0</v>
      </c>
      <c r="AX30" s="690">
        <v>0</v>
      </c>
      <c r="AY30" s="689">
        <v>0</v>
      </c>
      <c r="AZ30" s="690">
        <v>0</v>
      </c>
      <c r="BA30" s="689">
        <v>0</v>
      </c>
      <c r="BB30" s="690">
        <v>0</v>
      </c>
      <c r="BC30" s="691">
        <v>0</v>
      </c>
      <c r="BD30" s="692">
        <v>0</v>
      </c>
      <c r="BE30" s="689">
        <v>0</v>
      </c>
      <c r="BF30" s="690">
        <v>0</v>
      </c>
      <c r="BG30" s="691">
        <v>0</v>
      </c>
      <c r="BH30" s="690">
        <v>0</v>
      </c>
      <c r="BI30" s="691">
        <v>0</v>
      </c>
      <c r="BJ30" s="690">
        <v>0</v>
      </c>
      <c r="BK30" s="691">
        <v>0</v>
      </c>
      <c r="BL30" s="690">
        <v>0</v>
      </c>
      <c r="BM30" s="691">
        <v>0</v>
      </c>
      <c r="BN30" s="690">
        <v>0</v>
      </c>
      <c r="BO30" s="691">
        <v>0</v>
      </c>
      <c r="BP30" s="690">
        <v>0</v>
      </c>
      <c r="BQ30" s="691">
        <v>0</v>
      </c>
      <c r="BR30" s="690">
        <v>0</v>
      </c>
      <c r="BS30" s="691">
        <v>0</v>
      </c>
      <c r="BT30" s="690">
        <v>0</v>
      </c>
      <c r="BU30" s="691">
        <v>0</v>
      </c>
      <c r="BV30" s="690">
        <v>0</v>
      </c>
      <c r="BW30" s="691">
        <v>0</v>
      </c>
      <c r="BX30" s="690">
        <v>0</v>
      </c>
      <c r="BY30" s="691">
        <v>0</v>
      </c>
      <c r="BZ30" s="690">
        <v>0</v>
      </c>
      <c r="CA30" s="691">
        <v>0</v>
      </c>
      <c r="CB30" s="690">
        <v>0</v>
      </c>
      <c r="CC30" s="689">
        <v>0</v>
      </c>
      <c r="CD30" s="692">
        <v>0</v>
      </c>
      <c r="CE30" s="689">
        <v>0</v>
      </c>
      <c r="CF30" s="692">
        <v>0</v>
      </c>
      <c r="CG30" s="689">
        <v>0</v>
      </c>
      <c r="CH30" s="692">
        <v>0</v>
      </c>
      <c r="CI30" s="689">
        <v>0</v>
      </c>
      <c r="CJ30" s="692">
        <v>0</v>
      </c>
      <c r="CK30" s="689">
        <v>0</v>
      </c>
      <c r="CL30" s="692">
        <v>0</v>
      </c>
      <c r="CM30" s="689">
        <v>0</v>
      </c>
      <c r="CN30" s="692">
        <v>0</v>
      </c>
      <c r="CO30" s="689">
        <v>0</v>
      </c>
      <c r="CP30" s="692">
        <v>0</v>
      </c>
      <c r="CQ30" s="689">
        <v>0</v>
      </c>
      <c r="CR30" s="690">
        <v>0</v>
      </c>
      <c r="CS30" s="689">
        <v>0</v>
      </c>
      <c r="CT30" s="690">
        <v>0</v>
      </c>
      <c r="CU30" s="691">
        <v>0</v>
      </c>
      <c r="CV30" s="690">
        <v>0</v>
      </c>
    </row>
    <row r="31" spans="1:100">
      <c r="A31" s="457">
        <v>29</v>
      </c>
      <c r="B31" s="577">
        <v>0</v>
      </c>
      <c r="C31" s="577">
        <v>0</v>
      </c>
      <c r="D31" s="577">
        <v>0</v>
      </c>
      <c r="E31" s="577">
        <v>0</v>
      </c>
      <c r="F31" s="577">
        <f t="shared" si="0"/>
        <v>1.2500000000000001E-2</v>
      </c>
      <c r="G31" s="577">
        <v>0.01</v>
      </c>
      <c r="H31" s="577">
        <v>0</v>
      </c>
      <c r="I31" s="577">
        <v>0</v>
      </c>
      <c r="J31" s="577">
        <v>0</v>
      </c>
      <c r="K31" s="577">
        <v>0</v>
      </c>
      <c r="L31" s="577">
        <v>0</v>
      </c>
      <c r="M31" s="577">
        <v>0</v>
      </c>
      <c r="N31" s="577">
        <v>0</v>
      </c>
      <c r="O31" s="577">
        <v>0</v>
      </c>
      <c r="P31" s="577">
        <v>0</v>
      </c>
      <c r="Q31" s="577">
        <v>0</v>
      </c>
      <c r="R31" s="577">
        <v>0</v>
      </c>
      <c r="S31" s="577">
        <v>0</v>
      </c>
      <c r="T31" s="577">
        <v>0.01</v>
      </c>
      <c r="U31" s="577">
        <v>0</v>
      </c>
      <c r="V31" s="577">
        <v>0</v>
      </c>
      <c r="W31" s="592">
        <v>0</v>
      </c>
      <c r="X31" s="685">
        <v>0</v>
      </c>
      <c r="Y31" s="685">
        <v>0</v>
      </c>
      <c r="Z31" s="685">
        <v>0</v>
      </c>
      <c r="AA31" s="685">
        <v>0</v>
      </c>
      <c r="AB31" s="685">
        <v>0</v>
      </c>
      <c r="AC31" s="685">
        <v>0</v>
      </c>
      <c r="AD31" s="685">
        <v>0</v>
      </c>
      <c r="AE31" s="910">
        <v>0</v>
      </c>
      <c r="AF31" s="911">
        <v>0</v>
      </c>
      <c r="AG31" s="912">
        <v>0</v>
      </c>
      <c r="AH31" s="685">
        <v>0</v>
      </c>
      <c r="AI31" s="684">
        <v>0</v>
      </c>
      <c r="AJ31" s="682">
        <v>0</v>
      </c>
      <c r="AK31" s="684">
        <v>0</v>
      </c>
      <c r="AL31" s="686">
        <v>0</v>
      </c>
      <c r="AM31" s="682">
        <v>0</v>
      </c>
      <c r="AN31" s="682">
        <v>0</v>
      </c>
      <c r="AO31" s="686">
        <v>0</v>
      </c>
      <c r="AP31" s="687">
        <v>0</v>
      </c>
      <c r="AQ31" s="684">
        <f t="shared" si="17"/>
        <v>7.1428571428571426E-3</v>
      </c>
      <c r="AR31" s="682">
        <v>1.6250000000000001E-2</v>
      </c>
      <c r="AS31" s="684">
        <f t="shared" si="1"/>
        <v>1.2500000000000001E-2</v>
      </c>
      <c r="AT31" s="688">
        <v>2E-3</v>
      </c>
      <c r="AU31" s="682">
        <v>0</v>
      </c>
      <c r="AV31" s="684">
        <v>0</v>
      </c>
      <c r="AW31" s="689">
        <v>0</v>
      </c>
      <c r="AX31" s="690">
        <v>0</v>
      </c>
      <c r="AY31" s="689">
        <v>0</v>
      </c>
      <c r="AZ31" s="690">
        <v>0</v>
      </c>
      <c r="BA31" s="689">
        <v>0</v>
      </c>
      <c r="BB31" s="690">
        <v>0</v>
      </c>
      <c r="BC31" s="691">
        <v>0</v>
      </c>
      <c r="BD31" s="692">
        <v>0</v>
      </c>
      <c r="BE31" s="689">
        <v>0</v>
      </c>
      <c r="BF31" s="690">
        <v>0</v>
      </c>
      <c r="BG31" s="691">
        <v>0</v>
      </c>
      <c r="BH31" s="690">
        <v>0</v>
      </c>
      <c r="BI31" s="691">
        <v>0</v>
      </c>
      <c r="BJ31" s="690">
        <v>0</v>
      </c>
      <c r="BK31" s="691">
        <v>0</v>
      </c>
      <c r="BL31" s="690">
        <v>0</v>
      </c>
      <c r="BM31" s="691">
        <v>0</v>
      </c>
      <c r="BN31" s="690">
        <v>0</v>
      </c>
      <c r="BO31" s="691">
        <v>0</v>
      </c>
      <c r="BP31" s="690">
        <v>0</v>
      </c>
      <c r="BQ31" s="691">
        <v>0</v>
      </c>
      <c r="BR31" s="690">
        <v>0</v>
      </c>
      <c r="BS31" s="691">
        <v>0</v>
      </c>
      <c r="BT31" s="690">
        <v>0</v>
      </c>
      <c r="BU31" s="691">
        <v>0</v>
      </c>
      <c r="BV31" s="690">
        <v>0</v>
      </c>
      <c r="BW31" s="691">
        <v>0</v>
      </c>
      <c r="BX31" s="690">
        <v>0</v>
      </c>
      <c r="BY31" s="691">
        <v>0</v>
      </c>
      <c r="BZ31" s="690">
        <v>0</v>
      </c>
      <c r="CA31" s="691">
        <v>0</v>
      </c>
      <c r="CB31" s="690">
        <v>0</v>
      </c>
      <c r="CC31" s="689">
        <v>0</v>
      </c>
      <c r="CD31" s="692">
        <v>0</v>
      </c>
      <c r="CE31" s="689">
        <v>0</v>
      </c>
      <c r="CF31" s="692">
        <v>0</v>
      </c>
      <c r="CG31" s="689">
        <v>0</v>
      </c>
      <c r="CH31" s="692">
        <v>0</v>
      </c>
      <c r="CI31" s="689">
        <v>0</v>
      </c>
      <c r="CJ31" s="692">
        <v>0</v>
      </c>
      <c r="CK31" s="689">
        <v>0</v>
      </c>
      <c r="CL31" s="692">
        <v>0</v>
      </c>
      <c r="CM31" s="689">
        <v>0</v>
      </c>
      <c r="CN31" s="692">
        <v>0</v>
      </c>
      <c r="CO31" s="689">
        <v>0</v>
      </c>
      <c r="CP31" s="692">
        <v>0</v>
      </c>
      <c r="CQ31" s="689">
        <v>0</v>
      </c>
      <c r="CR31" s="690">
        <v>0</v>
      </c>
      <c r="CS31" s="689">
        <v>0</v>
      </c>
      <c r="CT31" s="690">
        <v>0</v>
      </c>
      <c r="CU31" s="691">
        <v>0</v>
      </c>
      <c r="CV31" s="690">
        <v>0</v>
      </c>
    </row>
    <row r="32" spans="1:100">
      <c r="A32" s="457">
        <v>30</v>
      </c>
      <c r="B32" s="577">
        <v>0</v>
      </c>
      <c r="C32" s="577">
        <v>0</v>
      </c>
      <c r="D32" s="577">
        <v>0</v>
      </c>
      <c r="E32" s="577">
        <v>0</v>
      </c>
      <c r="F32" s="577">
        <f t="shared" si="0"/>
        <v>1.2500000000000001E-2</v>
      </c>
      <c r="G32" s="577">
        <v>0.01</v>
      </c>
      <c r="H32" s="577">
        <v>0</v>
      </c>
      <c r="I32" s="577">
        <v>0</v>
      </c>
      <c r="J32" s="577">
        <v>0</v>
      </c>
      <c r="K32" s="577">
        <v>0</v>
      </c>
      <c r="L32" s="577">
        <v>0</v>
      </c>
      <c r="M32" s="577">
        <v>0</v>
      </c>
      <c r="N32" s="577">
        <v>0</v>
      </c>
      <c r="O32" s="577">
        <v>0</v>
      </c>
      <c r="P32" s="577">
        <v>0</v>
      </c>
      <c r="Q32" s="577">
        <v>0</v>
      </c>
      <c r="R32" s="577">
        <v>0</v>
      </c>
      <c r="S32" s="577">
        <v>0</v>
      </c>
      <c r="T32" s="577">
        <v>0.01</v>
      </c>
      <c r="U32" s="577">
        <v>0</v>
      </c>
      <c r="V32" s="577">
        <v>0</v>
      </c>
      <c r="W32" s="592">
        <v>0</v>
      </c>
      <c r="X32" s="685">
        <v>0</v>
      </c>
      <c r="Y32" s="685">
        <v>0</v>
      </c>
      <c r="Z32" s="685">
        <v>0</v>
      </c>
      <c r="AA32" s="685">
        <v>0</v>
      </c>
      <c r="AB32" s="685">
        <v>0</v>
      </c>
      <c r="AC32" s="685">
        <v>0</v>
      </c>
      <c r="AD32" s="685">
        <v>0</v>
      </c>
      <c r="AE32" s="910">
        <v>0</v>
      </c>
      <c r="AF32" s="911">
        <v>0</v>
      </c>
      <c r="AG32" s="912">
        <v>0</v>
      </c>
      <c r="AH32" s="685">
        <v>0</v>
      </c>
      <c r="AI32" s="684">
        <v>0</v>
      </c>
      <c r="AJ32" s="682">
        <v>0</v>
      </c>
      <c r="AK32" s="684">
        <v>0</v>
      </c>
      <c r="AL32" s="686">
        <v>0</v>
      </c>
      <c r="AM32" s="682">
        <v>0</v>
      </c>
      <c r="AN32" s="682">
        <v>0</v>
      </c>
      <c r="AO32" s="686">
        <v>0</v>
      </c>
      <c r="AP32" s="687">
        <v>0</v>
      </c>
      <c r="AQ32" s="684">
        <f t="shared" si="17"/>
        <v>7.1428571428571426E-3</v>
      </c>
      <c r="AR32" s="682">
        <v>1.6E-2</v>
      </c>
      <c r="AS32" s="684">
        <f t="shared" si="1"/>
        <v>1.2500000000000001E-2</v>
      </c>
      <c r="AT32" s="688">
        <v>2E-3</v>
      </c>
      <c r="AU32" s="682">
        <v>0</v>
      </c>
      <c r="AV32" s="684">
        <v>0</v>
      </c>
      <c r="AW32" s="689">
        <v>0</v>
      </c>
      <c r="AX32" s="690">
        <v>0</v>
      </c>
      <c r="AY32" s="689">
        <v>0</v>
      </c>
      <c r="AZ32" s="690">
        <v>0</v>
      </c>
      <c r="BA32" s="689">
        <v>0</v>
      </c>
      <c r="BB32" s="690">
        <v>0</v>
      </c>
      <c r="BC32" s="691">
        <v>0</v>
      </c>
      <c r="BD32" s="692">
        <v>0</v>
      </c>
      <c r="BE32" s="689">
        <v>0</v>
      </c>
      <c r="BF32" s="690">
        <v>0</v>
      </c>
      <c r="BG32" s="691">
        <v>0</v>
      </c>
      <c r="BH32" s="690">
        <v>0</v>
      </c>
      <c r="BI32" s="691">
        <v>0</v>
      </c>
      <c r="BJ32" s="690">
        <v>0</v>
      </c>
      <c r="BK32" s="691">
        <v>0</v>
      </c>
      <c r="BL32" s="690">
        <v>0</v>
      </c>
      <c r="BM32" s="691">
        <v>0</v>
      </c>
      <c r="BN32" s="690">
        <v>0</v>
      </c>
      <c r="BO32" s="691">
        <v>0</v>
      </c>
      <c r="BP32" s="690">
        <v>0</v>
      </c>
      <c r="BQ32" s="691">
        <v>0</v>
      </c>
      <c r="BR32" s="690">
        <v>0</v>
      </c>
      <c r="BS32" s="691">
        <v>0</v>
      </c>
      <c r="BT32" s="690">
        <v>0</v>
      </c>
      <c r="BU32" s="691">
        <v>0</v>
      </c>
      <c r="BV32" s="690">
        <v>0</v>
      </c>
      <c r="BW32" s="691">
        <v>0</v>
      </c>
      <c r="BX32" s="690">
        <v>0</v>
      </c>
      <c r="BY32" s="691">
        <v>0</v>
      </c>
      <c r="BZ32" s="690">
        <v>0</v>
      </c>
      <c r="CA32" s="691">
        <v>0</v>
      </c>
      <c r="CB32" s="690">
        <v>0</v>
      </c>
      <c r="CC32" s="689">
        <v>0</v>
      </c>
      <c r="CD32" s="692">
        <v>0</v>
      </c>
      <c r="CE32" s="689">
        <v>0</v>
      </c>
      <c r="CF32" s="692">
        <v>0</v>
      </c>
      <c r="CG32" s="689">
        <v>0</v>
      </c>
      <c r="CH32" s="692">
        <v>0</v>
      </c>
      <c r="CI32" s="689">
        <v>0</v>
      </c>
      <c r="CJ32" s="692">
        <v>0</v>
      </c>
      <c r="CK32" s="689">
        <v>0</v>
      </c>
      <c r="CL32" s="692">
        <v>0</v>
      </c>
      <c r="CM32" s="689">
        <v>0</v>
      </c>
      <c r="CN32" s="692">
        <v>0</v>
      </c>
      <c r="CO32" s="689">
        <v>0</v>
      </c>
      <c r="CP32" s="692">
        <v>0</v>
      </c>
      <c r="CQ32" s="689">
        <v>0</v>
      </c>
      <c r="CR32" s="690">
        <v>0</v>
      </c>
      <c r="CS32" s="689">
        <v>0</v>
      </c>
      <c r="CT32" s="690">
        <v>0</v>
      </c>
      <c r="CU32" s="691">
        <v>0</v>
      </c>
      <c r="CV32" s="690">
        <v>0</v>
      </c>
    </row>
    <row r="33" spans="1:100">
      <c r="A33" s="457">
        <v>31</v>
      </c>
      <c r="B33" s="577">
        <v>0</v>
      </c>
      <c r="C33" s="577">
        <v>0</v>
      </c>
      <c r="D33" s="577">
        <v>0</v>
      </c>
      <c r="E33" s="577">
        <v>0</v>
      </c>
      <c r="F33" s="577">
        <f t="shared" si="0"/>
        <v>1.2500000000000001E-2</v>
      </c>
      <c r="G33" s="577">
        <v>0.01</v>
      </c>
      <c r="H33" s="577">
        <v>0</v>
      </c>
      <c r="I33" s="577">
        <v>0</v>
      </c>
      <c r="J33" s="577">
        <v>0</v>
      </c>
      <c r="K33" s="577">
        <v>0</v>
      </c>
      <c r="L33" s="577">
        <v>0</v>
      </c>
      <c r="M33" s="577">
        <v>0</v>
      </c>
      <c r="N33" s="577">
        <v>0</v>
      </c>
      <c r="O33" s="577">
        <v>0</v>
      </c>
      <c r="P33" s="577">
        <v>0</v>
      </c>
      <c r="Q33" s="577">
        <v>0</v>
      </c>
      <c r="R33" s="577">
        <v>0</v>
      </c>
      <c r="S33" s="577">
        <v>0</v>
      </c>
      <c r="T33" s="577">
        <v>0.01</v>
      </c>
      <c r="U33" s="577">
        <v>0</v>
      </c>
      <c r="V33" s="577">
        <v>0</v>
      </c>
      <c r="W33" s="592">
        <v>0</v>
      </c>
      <c r="X33" s="685">
        <v>0</v>
      </c>
      <c r="Y33" s="685">
        <v>0</v>
      </c>
      <c r="Z33" s="685">
        <v>0</v>
      </c>
      <c r="AA33" s="685">
        <v>0</v>
      </c>
      <c r="AB33" s="685">
        <v>0</v>
      </c>
      <c r="AC33" s="685">
        <v>0</v>
      </c>
      <c r="AD33" s="685">
        <v>0</v>
      </c>
      <c r="AE33" s="910">
        <v>0</v>
      </c>
      <c r="AF33" s="911">
        <v>0</v>
      </c>
      <c r="AG33" s="912">
        <v>0</v>
      </c>
      <c r="AH33" s="685">
        <v>0</v>
      </c>
      <c r="AI33" s="684">
        <v>0</v>
      </c>
      <c r="AJ33" s="682">
        <v>0</v>
      </c>
      <c r="AK33" s="684">
        <v>0</v>
      </c>
      <c r="AL33" s="686">
        <v>0</v>
      </c>
      <c r="AM33" s="682">
        <v>0</v>
      </c>
      <c r="AN33" s="682">
        <v>0</v>
      </c>
      <c r="AO33" s="686">
        <v>0</v>
      </c>
      <c r="AP33" s="687">
        <v>0</v>
      </c>
      <c r="AQ33" s="684">
        <f t="shared" si="17"/>
        <v>7.1428571428571426E-3</v>
      </c>
      <c r="AR33" s="682">
        <v>1.6E-2</v>
      </c>
      <c r="AS33" s="684">
        <f t="shared" si="1"/>
        <v>1.2500000000000001E-2</v>
      </c>
      <c r="AT33" s="688">
        <v>2E-3</v>
      </c>
      <c r="AU33" s="682">
        <v>0</v>
      </c>
      <c r="AV33" s="684">
        <v>0</v>
      </c>
      <c r="AW33" s="689">
        <v>0</v>
      </c>
      <c r="AX33" s="690">
        <v>0</v>
      </c>
      <c r="AY33" s="689">
        <v>0</v>
      </c>
      <c r="AZ33" s="690">
        <v>0</v>
      </c>
      <c r="BA33" s="689">
        <v>0</v>
      </c>
      <c r="BB33" s="690">
        <v>0</v>
      </c>
      <c r="BC33" s="691">
        <v>0</v>
      </c>
      <c r="BD33" s="692">
        <v>0</v>
      </c>
      <c r="BE33" s="689">
        <v>0</v>
      </c>
      <c r="BF33" s="690">
        <v>0</v>
      </c>
      <c r="BG33" s="691">
        <v>0</v>
      </c>
      <c r="BH33" s="690">
        <v>0</v>
      </c>
      <c r="BI33" s="691">
        <v>0</v>
      </c>
      <c r="BJ33" s="690">
        <v>0</v>
      </c>
      <c r="BK33" s="691">
        <v>0</v>
      </c>
      <c r="BL33" s="690">
        <v>0</v>
      </c>
      <c r="BM33" s="691">
        <v>0</v>
      </c>
      <c r="BN33" s="690">
        <v>0</v>
      </c>
      <c r="BO33" s="691">
        <v>0</v>
      </c>
      <c r="BP33" s="690">
        <v>0</v>
      </c>
      <c r="BQ33" s="691">
        <v>0</v>
      </c>
      <c r="BR33" s="690">
        <v>0</v>
      </c>
      <c r="BS33" s="691">
        <v>0</v>
      </c>
      <c r="BT33" s="690">
        <v>0</v>
      </c>
      <c r="BU33" s="691">
        <v>0</v>
      </c>
      <c r="BV33" s="690">
        <v>0</v>
      </c>
      <c r="BW33" s="691">
        <v>0</v>
      </c>
      <c r="BX33" s="690">
        <v>0</v>
      </c>
      <c r="BY33" s="691">
        <v>0</v>
      </c>
      <c r="BZ33" s="690">
        <v>0</v>
      </c>
      <c r="CA33" s="691">
        <v>0</v>
      </c>
      <c r="CB33" s="690">
        <v>0</v>
      </c>
      <c r="CC33" s="689">
        <v>0</v>
      </c>
      <c r="CD33" s="692">
        <v>0</v>
      </c>
      <c r="CE33" s="689">
        <v>0</v>
      </c>
      <c r="CF33" s="692">
        <v>0</v>
      </c>
      <c r="CG33" s="689">
        <v>0</v>
      </c>
      <c r="CH33" s="692">
        <v>0</v>
      </c>
      <c r="CI33" s="689">
        <v>0</v>
      </c>
      <c r="CJ33" s="692">
        <v>0</v>
      </c>
      <c r="CK33" s="689">
        <v>0</v>
      </c>
      <c r="CL33" s="692">
        <v>0</v>
      </c>
      <c r="CM33" s="689">
        <v>0</v>
      </c>
      <c r="CN33" s="692">
        <v>0</v>
      </c>
      <c r="CO33" s="689">
        <v>0</v>
      </c>
      <c r="CP33" s="692">
        <v>0</v>
      </c>
      <c r="CQ33" s="689">
        <v>0</v>
      </c>
      <c r="CR33" s="690">
        <v>0</v>
      </c>
      <c r="CS33" s="689">
        <v>0</v>
      </c>
      <c r="CT33" s="690">
        <v>0</v>
      </c>
      <c r="CU33" s="691">
        <v>0</v>
      </c>
      <c r="CV33" s="690">
        <v>0</v>
      </c>
    </row>
    <row r="34" spans="1:100">
      <c r="A34" s="457">
        <v>32</v>
      </c>
      <c r="B34" s="577">
        <v>0</v>
      </c>
      <c r="C34" s="577">
        <v>0</v>
      </c>
      <c r="D34" s="577">
        <v>0</v>
      </c>
      <c r="E34" s="577">
        <v>0</v>
      </c>
      <c r="F34" s="577">
        <f t="shared" ref="F34:F65" si="19">1/80</f>
        <v>1.2500000000000001E-2</v>
      </c>
      <c r="G34" s="577">
        <v>0.01</v>
      </c>
      <c r="H34" s="577">
        <v>0</v>
      </c>
      <c r="I34" s="577">
        <v>0</v>
      </c>
      <c r="J34" s="577">
        <v>0</v>
      </c>
      <c r="K34" s="577">
        <v>0</v>
      </c>
      <c r="L34" s="577">
        <v>0</v>
      </c>
      <c r="M34" s="577">
        <v>0</v>
      </c>
      <c r="N34" s="577">
        <v>0</v>
      </c>
      <c r="O34" s="577">
        <v>0</v>
      </c>
      <c r="P34" s="577">
        <v>0</v>
      </c>
      <c r="Q34" s="577">
        <v>0</v>
      </c>
      <c r="R34" s="577">
        <v>0</v>
      </c>
      <c r="S34" s="577">
        <v>0</v>
      </c>
      <c r="T34" s="577">
        <v>0.01</v>
      </c>
      <c r="U34" s="577">
        <v>0</v>
      </c>
      <c r="V34" s="577">
        <v>0</v>
      </c>
      <c r="W34" s="592">
        <v>0</v>
      </c>
      <c r="X34" s="685">
        <v>0</v>
      </c>
      <c r="Y34" s="685">
        <v>0</v>
      </c>
      <c r="Z34" s="685">
        <v>0</v>
      </c>
      <c r="AA34" s="685">
        <v>0</v>
      </c>
      <c r="AB34" s="685">
        <v>0</v>
      </c>
      <c r="AC34" s="685">
        <v>0</v>
      </c>
      <c r="AD34" s="685">
        <v>0</v>
      </c>
      <c r="AE34" s="910">
        <v>0</v>
      </c>
      <c r="AF34" s="911">
        <v>0</v>
      </c>
      <c r="AG34" s="912">
        <v>0</v>
      </c>
      <c r="AH34" s="685">
        <v>0</v>
      </c>
      <c r="AI34" s="684">
        <v>0</v>
      </c>
      <c r="AJ34" s="682">
        <v>0</v>
      </c>
      <c r="AK34" s="684">
        <v>0</v>
      </c>
      <c r="AL34" s="686">
        <v>0</v>
      </c>
      <c r="AM34" s="682">
        <v>0</v>
      </c>
      <c r="AN34" s="682">
        <v>0</v>
      </c>
      <c r="AO34" s="686">
        <v>0</v>
      </c>
      <c r="AP34" s="687">
        <v>0</v>
      </c>
      <c r="AQ34" s="684">
        <f t="shared" si="17"/>
        <v>7.1428571428571426E-3</v>
      </c>
      <c r="AR34" s="682">
        <v>1.6E-2</v>
      </c>
      <c r="AS34" s="684">
        <f t="shared" ref="AS34:AS65" si="20">1/80</f>
        <v>1.2500000000000001E-2</v>
      </c>
      <c r="AT34" s="688">
        <v>2E-3</v>
      </c>
      <c r="AU34" s="682">
        <v>0</v>
      </c>
      <c r="AV34" s="684">
        <v>0</v>
      </c>
      <c r="AW34" s="689">
        <v>0</v>
      </c>
      <c r="AX34" s="690">
        <v>0</v>
      </c>
      <c r="AY34" s="689">
        <v>0</v>
      </c>
      <c r="AZ34" s="690">
        <v>0</v>
      </c>
      <c r="BA34" s="689">
        <v>0</v>
      </c>
      <c r="BB34" s="690">
        <v>0</v>
      </c>
      <c r="BC34" s="691">
        <v>0</v>
      </c>
      <c r="BD34" s="692">
        <v>0</v>
      </c>
      <c r="BE34" s="689">
        <v>0</v>
      </c>
      <c r="BF34" s="690">
        <v>0</v>
      </c>
      <c r="BG34" s="691">
        <v>0</v>
      </c>
      <c r="BH34" s="690">
        <v>0</v>
      </c>
      <c r="BI34" s="691">
        <v>0</v>
      </c>
      <c r="BJ34" s="690">
        <v>0</v>
      </c>
      <c r="BK34" s="691">
        <v>0</v>
      </c>
      <c r="BL34" s="690">
        <v>0</v>
      </c>
      <c r="BM34" s="691">
        <v>0</v>
      </c>
      <c r="BN34" s="690">
        <v>0</v>
      </c>
      <c r="BO34" s="691">
        <v>0</v>
      </c>
      <c r="BP34" s="690">
        <v>0</v>
      </c>
      <c r="BQ34" s="691">
        <v>0</v>
      </c>
      <c r="BR34" s="690">
        <v>0</v>
      </c>
      <c r="BS34" s="691">
        <v>0</v>
      </c>
      <c r="BT34" s="690">
        <v>0</v>
      </c>
      <c r="BU34" s="691">
        <v>0</v>
      </c>
      <c r="BV34" s="690">
        <v>0</v>
      </c>
      <c r="BW34" s="691">
        <v>0</v>
      </c>
      <c r="BX34" s="690">
        <v>0</v>
      </c>
      <c r="BY34" s="691">
        <v>0</v>
      </c>
      <c r="BZ34" s="690">
        <v>0</v>
      </c>
      <c r="CA34" s="691">
        <v>0</v>
      </c>
      <c r="CB34" s="690">
        <v>0</v>
      </c>
      <c r="CC34" s="689">
        <v>0</v>
      </c>
      <c r="CD34" s="692">
        <v>0</v>
      </c>
      <c r="CE34" s="689">
        <v>0</v>
      </c>
      <c r="CF34" s="692">
        <v>0</v>
      </c>
      <c r="CG34" s="689">
        <v>0</v>
      </c>
      <c r="CH34" s="692">
        <v>0</v>
      </c>
      <c r="CI34" s="689">
        <v>0</v>
      </c>
      <c r="CJ34" s="692">
        <v>0</v>
      </c>
      <c r="CK34" s="689">
        <v>0</v>
      </c>
      <c r="CL34" s="692">
        <v>0</v>
      </c>
      <c r="CM34" s="689">
        <v>0</v>
      </c>
      <c r="CN34" s="692">
        <v>0</v>
      </c>
      <c r="CO34" s="689">
        <v>0</v>
      </c>
      <c r="CP34" s="692">
        <v>0</v>
      </c>
      <c r="CQ34" s="689">
        <v>0</v>
      </c>
      <c r="CR34" s="690">
        <v>0</v>
      </c>
      <c r="CS34" s="689">
        <v>0</v>
      </c>
      <c r="CT34" s="690">
        <v>0</v>
      </c>
      <c r="CU34" s="691">
        <v>0</v>
      </c>
      <c r="CV34" s="690">
        <v>0</v>
      </c>
    </row>
    <row r="35" spans="1:100">
      <c r="A35" s="457">
        <v>33</v>
      </c>
      <c r="B35" s="577">
        <v>0</v>
      </c>
      <c r="C35" s="577">
        <v>0</v>
      </c>
      <c r="D35" s="577">
        <v>0</v>
      </c>
      <c r="E35" s="577">
        <v>0</v>
      </c>
      <c r="F35" s="577">
        <f t="shared" si="19"/>
        <v>1.2500000000000001E-2</v>
      </c>
      <c r="G35" s="577">
        <v>0.01</v>
      </c>
      <c r="H35" s="577">
        <v>0</v>
      </c>
      <c r="I35" s="577">
        <v>0</v>
      </c>
      <c r="J35" s="577">
        <v>0</v>
      </c>
      <c r="K35" s="577">
        <v>0</v>
      </c>
      <c r="L35" s="577">
        <v>0</v>
      </c>
      <c r="M35" s="577">
        <v>0</v>
      </c>
      <c r="N35" s="577">
        <v>0</v>
      </c>
      <c r="O35" s="577">
        <v>0</v>
      </c>
      <c r="P35" s="577">
        <v>0</v>
      </c>
      <c r="Q35" s="577">
        <v>0</v>
      </c>
      <c r="R35" s="577">
        <v>0</v>
      </c>
      <c r="S35" s="577">
        <v>0</v>
      </c>
      <c r="T35" s="577">
        <v>0.01</v>
      </c>
      <c r="U35" s="577">
        <v>0</v>
      </c>
      <c r="V35" s="577">
        <v>0</v>
      </c>
      <c r="W35" s="592">
        <v>0</v>
      </c>
      <c r="X35" s="685">
        <v>0</v>
      </c>
      <c r="Y35" s="685">
        <v>0</v>
      </c>
      <c r="Z35" s="685">
        <v>0</v>
      </c>
      <c r="AA35" s="685">
        <v>0</v>
      </c>
      <c r="AB35" s="685">
        <v>0</v>
      </c>
      <c r="AC35" s="685">
        <v>0</v>
      </c>
      <c r="AD35" s="685">
        <v>0</v>
      </c>
      <c r="AE35" s="910">
        <v>0</v>
      </c>
      <c r="AF35" s="911">
        <v>0</v>
      </c>
      <c r="AG35" s="912">
        <v>0</v>
      </c>
      <c r="AH35" s="685">
        <v>0</v>
      </c>
      <c r="AI35" s="684">
        <v>0</v>
      </c>
      <c r="AJ35" s="682">
        <v>0</v>
      </c>
      <c r="AK35" s="684">
        <v>0</v>
      </c>
      <c r="AL35" s="686">
        <v>0</v>
      </c>
      <c r="AM35" s="682">
        <v>0</v>
      </c>
      <c r="AN35" s="682">
        <v>0</v>
      </c>
      <c r="AO35" s="686">
        <v>0</v>
      </c>
      <c r="AP35" s="687">
        <v>0</v>
      </c>
      <c r="AQ35" s="684">
        <f t="shared" si="17"/>
        <v>7.1428571428571426E-3</v>
      </c>
      <c r="AR35" s="682">
        <v>1.6E-2</v>
      </c>
      <c r="AS35" s="684">
        <f t="shared" si="20"/>
        <v>1.2500000000000001E-2</v>
      </c>
      <c r="AT35" s="688">
        <v>2E-3</v>
      </c>
      <c r="AU35" s="682">
        <v>0</v>
      </c>
      <c r="AV35" s="684">
        <v>0</v>
      </c>
      <c r="AW35" s="689">
        <v>0</v>
      </c>
      <c r="AX35" s="690">
        <v>0</v>
      </c>
      <c r="AY35" s="689">
        <v>0</v>
      </c>
      <c r="AZ35" s="690">
        <v>0</v>
      </c>
      <c r="BA35" s="689">
        <v>0</v>
      </c>
      <c r="BB35" s="690">
        <v>0</v>
      </c>
      <c r="BC35" s="691">
        <v>0</v>
      </c>
      <c r="BD35" s="692">
        <v>0</v>
      </c>
      <c r="BE35" s="689">
        <v>0</v>
      </c>
      <c r="BF35" s="690">
        <v>0</v>
      </c>
      <c r="BG35" s="691">
        <v>0</v>
      </c>
      <c r="BH35" s="690">
        <v>0</v>
      </c>
      <c r="BI35" s="691">
        <v>0</v>
      </c>
      <c r="BJ35" s="690">
        <v>0</v>
      </c>
      <c r="BK35" s="691">
        <v>0</v>
      </c>
      <c r="BL35" s="690">
        <v>0</v>
      </c>
      <c r="BM35" s="691">
        <v>0</v>
      </c>
      <c r="BN35" s="690">
        <v>0</v>
      </c>
      <c r="BO35" s="691">
        <v>0</v>
      </c>
      <c r="BP35" s="690">
        <v>0</v>
      </c>
      <c r="BQ35" s="691">
        <v>0</v>
      </c>
      <c r="BR35" s="690">
        <v>0</v>
      </c>
      <c r="BS35" s="691">
        <v>0</v>
      </c>
      <c r="BT35" s="690">
        <v>0</v>
      </c>
      <c r="BU35" s="691">
        <v>0</v>
      </c>
      <c r="BV35" s="690">
        <v>0</v>
      </c>
      <c r="BW35" s="691">
        <v>0</v>
      </c>
      <c r="BX35" s="690">
        <v>0</v>
      </c>
      <c r="BY35" s="691">
        <v>0</v>
      </c>
      <c r="BZ35" s="690">
        <v>0</v>
      </c>
      <c r="CA35" s="691">
        <v>0</v>
      </c>
      <c r="CB35" s="690">
        <v>0</v>
      </c>
      <c r="CC35" s="689">
        <v>0</v>
      </c>
      <c r="CD35" s="692">
        <v>0</v>
      </c>
      <c r="CE35" s="689">
        <v>0</v>
      </c>
      <c r="CF35" s="692">
        <v>0</v>
      </c>
      <c r="CG35" s="689">
        <v>0</v>
      </c>
      <c r="CH35" s="692">
        <v>0</v>
      </c>
      <c r="CI35" s="689">
        <v>0</v>
      </c>
      <c r="CJ35" s="692">
        <v>0</v>
      </c>
      <c r="CK35" s="689">
        <v>0</v>
      </c>
      <c r="CL35" s="692">
        <v>0</v>
      </c>
      <c r="CM35" s="689">
        <v>0</v>
      </c>
      <c r="CN35" s="692">
        <v>0</v>
      </c>
      <c r="CO35" s="689">
        <v>0</v>
      </c>
      <c r="CP35" s="692">
        <v>0</v>
      </c>
      <c r="CQ35" s="689">
        <v>0</v>
      </c>
      <c r="CR35" s="690">
        <v>0</v>
      </c>
      <c r="CS35" s="689">
        <v>0</v>
      </c>
      <c r="CT35" s="690">
        <v>0</v>
      </c>
      <c r="CU35" s="691">
        <v>0</v>
      </c>
      <c r="CV35" s="690">
        <v>0</v>
      </c>
    </row>
    <row r="36" spans="1:100">
      <c r="A36" s="457">
        <v>34</v>
      </c>
      <c r="B36" s="577">
        <v>0</v>
      </c>
      <c r="C36" s="577">
        <v>0</v>
      </c>
      <c r="D36" s="577">
        <v>0</v>
      </c>
      <c r="E36" s="577">
        <v>0</v>
      </c>
      <c r="F36" s="577">
        <f t="shared" si="19"/>
        <v>1.2500000000000001E-2</v>
      </c>
      <c r="G36" s="577">
        <v>0.01</v>
      </c>
      <c r="H36" s="577">
        <v>0</v>
      </c>
      <c r="I36" s="577">
        <v>0</v>
      </c>
      <c r="J36" s="577">
        <v>0</v>
      </c>
      <c r="K36" s="577">
        <v>0</v>
      </c>
      <c r="L36" s="577">
        <v>0</v>
      </c>
      <c r="M36" s="577">
        <v>0</v>
      </c>
      <c r="N36" s="577">
        <v>0</v>
      </c>
      <c r="O36" s="577">
        <v>0</v>
      </c>
      <c r="P36" s="577">
        <v>0</v>
      </c>
      <c r="Q36" s="577">
        <v>0</v>
      </c>
      <c r="R36" s="577">
        <v>0</v>
      </c>
      <c r="S36" s="577">
        <v>0</v>
      </c>
      <c r="T36" s="577">
        <v>0.01</v>
      </c>
      <c r="U36" s="577">
        <v>0</v>
      </c>
      <c r="V36" s="577">
        <v>0</v>
      </c>
      <c r="W36" s="592">
        <v>0</v>
      </c>
      <c r="X36" s="685">
        <v>0</v>
      </c>
      <c r="Y36" s="685">
        <v>0</v>
      </c>
      <c r="Z36" s="685">
        <v>0</v>
      </c>
      <c r="AA36" s="685">
        <v>0</v>
      </c>
      <c r="AB36" s="685">
        <v>0</v>
      </c>
      <c r="AC36" s="685">
        <v>0</v>
      </c>
      <c r="AD36" s="685">
        <v>0</v>
      </c>
      <c r="AE36" s="910">
        <v>0</v>
      </c>
      <c r="AF36" s="911">
        <v>0</v>
      </c>
      <c r="AG36" s="912">
        <v>0</v>
      </c>
      <c r="AH36" s="685">
        <v>0</v>
      </c>
      <c r="AI36" s="684">
        <v>0</v>
      </c>
      <c r="AJ36" s="682">
        <v>0</v>
      </c>
      <c r="AK36" s="684">
        <v>0</v>
      </c>
      <c r="AL36" s="686">
        <v>0</v>
      </c>
      <c r="AM36" s="682">
        <v>0</v>
      </c>
      <c r="AN36" s="682">
        <v>0</v>
      </c>
      <c r="AO36" s="686">
        <v>0</v>
      </c>
      <c r="AP36" s="687">
        <v>0</v>
      </c>
      <c r="AQ36" s="684">
        <f t="shared" si="17"/>
        <v>7.1428571428571426E-3</v>
      </c>
      <c r="AR36" s="682">
        <v>1.6E-2</v>
      </c>
      <c r="AS36" s="684">
        <f t="shared" si="20"/>
        <v>1.2500000000000001E-2</v>
      </c>
      <c r="AT36" s="688">
        <v>2E-3</v>
      </c>
      <c r="AU36" s="682">
        <v>0</v>
      </c>
      <c r="AV36" s="684">
        <v>0</v>
      </c>
      <c r="AW36" s="689">
        <v>0</v>
      </c>
      <c r="AX36" s="690">
        <v>0</v>
      </c>
      <c r="AY36" s="689">
        <v>0</v>
      </c>
      <c r="AZ36" s="690">
        <v>0</v>
      </c>
      <c r="BA36" s="689">
        <v>0</v>
      </c>
      <c r="BB36" s="690">
        <v>0</v>
      </c>
      <c r="BC36" s="691">
        <v>0</v>
      </c>
      <c r="BD36" s="692">
        <v>0</v>
      </c>
      <c r="BE36" s="689">
        <v>0</v>
      </c>
      <c r="BF36" s="690">
        <v>0</v>
      </c>
      <c r="BG36" s="691">
        <v>0</v>
      </c>
      <c r="BH36" s="690">
        <v>0</v>
      </c>
      <c r="BI36" s="691">
        <v>0</v>
      </c>
      <c r="BJ36" s="690">
        <v>0</v>
      </c>
      <c r="BK36" s="691">
        <v>0</v>
      </c>
      <c r="BL36" s="690">
        <v>0</v>
      </c>
      <c r="BM36" s="691">
        <v>0</v>
      </c>
      <c r="BN36" s="690">
        <v>0</v>
      </c>
      <c r="BO36" s="691">
        <v>0</v>
      </c>
      <c r="BP36" s="690">
        <v>0</v>
      </c>
      <c r="BQ36" s="691">
        <v>0</v>
      </c>
      <c r="BR36" s="690">
        <v>0</v>
      </c>
      <c r="BS36" s="691">
        <v>0</v>
      </c>
      <c r="BT36" s="690">
        <v>0</v>
      </c>
      <c r="BU36" s="691">
        <v>0</v>
      </c>
      <c r="BV36" s="690">
        <v>0</v>
      </c>
      <c r="BW36" s="691">
        <v>0</v>
      </c>
      <c r="BX36" s="690">
        <v>0</v>
      </c>
      <c r="BY36" s="691">
        <v>0</v>
      </c>
      <c r="BZ36" s="690">
        <v>0</v>
      </c>
      <c r="CA36" s="691">
        <v>0</v>
      </c>
      <c r="CB36" s="690">
        <v>0</v>
      </c>
      <c r="CC36" s="689">
        <v>0</v>
      </c>
      <c r="CD36" s="692">
        <v>0</v>
      </c>
      <c r="CE36" s="689">
        <v>0</v>
      </c>
      <c r="CF36" s="692">
        <v>0</v>
      </c>
      <c r="CG36" s="689">
        <v>0</v>
      </c>
      <c r="CH36" s="692">
        <v>0</v>
      </c>
      <c r="CI36" s="689">
        <v>0</v>
      </c>
      <c r="CJ36" s="692">
        <v>0</v>
      </c>
      <c r="CK36" s="689">
        <v>0</v>
      </c>
      <c r="CL36" s="692">
        <v>0</v>
      </c>
      <c r="CM36" s="689">
        <v>0</v>
      </c>
      <c r="CN36" s="692">
        <v>0</v>
      </c>
      <c r="CO36" s="689">
        <v>0</v>
      </c>
      <c r="CP36" s="692">
        <v>0</v>
      </c>
      <c r="CQ36" s="689">
        <v>0</v>
      </c>
      <c r="CR36" s="690">
        <v>0</v>
      </c>
      <c r="CS36" s="689">
        <v>0</v>
      </c>
      <c r="CT36" s="690">
        <v>0</v>
      </c>
      <c r="CU36" s="691">
        <v>0</v>
      </c>
      <c r="CV36" s="690">
        <v>0</v>
      </c>
    </row>
    <row r="37" spans="1:100">
      <c r="A37" s="457">
        <v>35</v>
      </c>
      <c r="B37" s="577">
        <v>0</v>
      </c>
      <c r="C37" s="577">
        <v>0</v>
      </c>
      <c r="D37" s="577">
        <v>0</v>
      </c>
      <c r="E37" s="577">
        <v>0</v>
      </c>
      <c r="F37" s="577">
        <f t="shared" si="19"/>
        <v>1.2500000000000001E-2</v>
      </c>
      <c r="G37" s="577">
        <v>0.01</v>
      </c>
      <c r="H37" s="577">
        <v>0</v>
      </c>
      <c r="I37" s="577">
        <v>0</v>
      </c>
      <c r="J37" s="577">
        <v>0</v>
      </c>
      <c r="K37" s="577">
        <v>0</v>
      </c>
      <c r="L37" s="577">
        <v>0</v>
      </c>
      <c r="M37" s="577">
        <v>0</v>
      </c>
      <c r="N37" s="577">
        <v>0</v>
      </c>
      <c r="O37" s="577">
        <v>0</v>
      </c>
      <c r="P37" s="577">
        <v>0</v>
      </c>
      <c r="Q37" s="577">
        <v>0</v>
      </c>
      <c r="R37" s="577">
        <v>0</v>
      </c>
      <c r="S37" s="577">
        <v>0</v>
      </c>
      <c r="T37" s="577">
        <v>0.01</v>
      </c>
      <c r="U37" s="577">
        <v>0</v>
      </c>
      <c r="V37" s="577">
        <v>0</v>
      </c>
      <c r="W37" s="592">
        <v>0</v>
      </c>
      <c r="X37" s="685">
        <v>0</v>
      </c>
      <c r="Y37" s="685">
        <v>0</v>
      </c>
      <c r="Z37" s="685">
        <v>0</v>
      </c>
      <c r="AA37" s="685">
        <v>0</v>
      </c>
      <c r="AB37" s="685">
        <v>0</v>
      </c>
      <c r="AC37" s="685">
        <v>0</v>
      </c>
      <c r="AD37" s="685">
        <v>0</v>
      </c>
      <c r="AE37" s="910">
        <v>0</v>
      </c>
      <c r="AF37" s="911">
        <v>0</v>
      </c>
      <c r="AG37" s="912">
        <v>0</v>
      </c>
      <c r="AH37" s="685">
        <v>0</v>
      </c>
      <c r="AI37" s="684">
        <v>0</v>
      </c>
      <c r="AJ37" s="682">
        <v>0</v>
      </c>
      <c r="AK37" s="684">
        <v>0</v>
      </c>
      <c r="AL37" s="686">
        <v>0</v>
      </c>
      <c r="AM37" s="682">
        <v>0</v>
      </c>
      <c r="AN37" s="682">
        <v>0</v>
      </c>
      <c r="AO37" s="686">
        <v>0</v>
      </c>
      <c r="AP37" s="687">
        <v>0</v>
      </c>
      <c r="AQ37" s="684">
        <f t="shared" si="17"/>
        <v>7.1428571428571426E-3</v>
      </c>
      <c r="AR37" s="682">
        <v>1.6E-2</v>
      </c>
      <c r="AS37" s="684">
        <f t="shared" si="20"/>
        <v>1.2500000000000001E-2</v>
      </c>
      <c r="AT37" s="688">
        <v>2E-3</v>
      </c>
      <c r="AU37" s="682">
        <v>0</v>
      </c>
      <c r="AV37" s="684">
        <v>0</v>
      </c>
      <c r="AW37" s="689">
        <v>0</v>
      </c>
      <c r="AX37" s="690">
        <v>0</v>
      </c>
      <c r="AY37" s="689">
        <v>0</v>
      </c>
      <c r="AZ37" s="690">
        <v>0</v>
      </c>
      <c r="BA37" s="689">
        <v>0</v>
      </c>
      <c r="BB37" s="690">
        <v>0</v>
      </c>
      <c r="BC37" s="691">
        <v>0</v>
      </c>
      <c r="BD37" s="692">
        <v>0</v>
      </c>
      <c r="BE37" s="689">
        <v>0</v>
      </c>
      <c r="BF37" s="690">
        <v>0</v>
      </c>
      <c r="BG37" s="691">
        <v>0</v>
      </c>
      <c r="BH37" s="690">
        <v>0</v>
      </c>
      <c r="BI37" s="691">
        <v>0</v>
      </c>
      <c r="BJ37" s="690">
        <v>0</v>
      </c>
      <c r="BK37" s="691">
        <v>0</v>
      </c>
      <c r="BL37" s="690">
        <v>0</v>
      </c>
      <c r="BM37" s="691">
        <v>0</v>
      </c>
      <c r="BN37" s="690">
        <v>0</v>
      </c>
      <c r="BO37" s="691">
        <v>0</v>
      </c>
      <c r="BP37" s="690">
        <v>0</v>
      </c>
      <c r="BQ37" s="691">
        <v>0</v>
      </c>
      <c r="BR37" s="690">
        <v>0</v>
      </c>
      <c r="BS37" s="691">
        <v>0</v>
      </c>
      <c r="BT37" s="690">
        <v>0</v>
      </c>
      <c r="BU37" s="691">
        <v>0</v>
      </c>
      <c r="BV37" s="690">
        <v>0</v>
      </c>
      <c r="BW37" s="691">
        <v>0</v>
      </c>
      <c r="BX37" s="690">
        <v>0</v>
      </c>
      <c r="BY37" s="691">
        <v>0</v>
      </c>
      <c r="BZ37" s="690">
        <v>0</v>
      </c>
      <c r="CA37" s="691">
        <v>0</v>
      </c>
      <c r="CB37" s="690">
        <v>0</v>
      </c>
      <c r="CC37" s="689">
        <v>0</v>
      </c>
      <c r="CD37" s="692">
        <v>0</v>
      </c>
      <c r="CE37" s="689">
        <v>0</v>
      </c>
      <c r="CF37" s="692">
        <v>0</v>
      </c>
      <c r="CG37" s="689">
        <v>0</v>
      </c>
      <c r="CH37" s="692">
        <v>0</v>
      </c>
      <c r="CI37" s="689">
        <v>0</v>
      </c>
      <c r="CJ37" s="692">
        <v>0</v>
      </c>
      <c r="CK37" s="689">
        <v>0</v>
      </c>
      <c r="CL37" s="692">
        <v>0</v>
      </c>
      <c r="CM37" s="689">
        <v>0</v>
      </c>
      <c r="CN37" s="692">
        <v>0</v>
      </c>
      <c r="CO37" s="689">
        <v>0</v>
      </c>
      <c r="CP37" s="692">
        <v>0</v>
      </c>
      <c r="CQ37" s="689">
        <v>0</v>
      </c>
      <c r="CR37" s="690">
        <v>0</v>
      </c>
      <c r="CS37" s="689">
        <v>0</v>
      </c>
      <c r="CT37" s="690">
        <v>0</v>
      </c>
      <c r="CU37" s="691">
        <v>0</v>
      </c>
      <c r="CV37" s="690">
        <v>0</v>
      </c>
    </row>
    <row r="38" spans="1:100">
      <c r="A38" s="457">
        <v>36</v>
      </c>
      <c r="B38" s="577">
        <v>0</v>
      </c>
      <c r="C38" s="577">
        <v>0</v>
      </c>
      <c r="D38" s="577">
        <v>0</v>
      </c>
      <c r="E38" s="577">
        <v>0</v>
      </c>
      <c r="F38" s="577">
        <f t="shared" si="19"/>
        <v>1.2500000000000001E-2</v>
      </c>
      <c r="G38" s="577">
        <v>0.01</v>
      </c>
      <c r="H38" s="577">
        <v>0</v>
      </c>
      <c r="I38" s="577">
        <v>0</v>
      </c>
      <c r="J38" s="577">
        <v>0</v>
      </c>
      <c r="K38" s="577">
        <v>0</v>
      </c>
      <c r="L38" s="577">
        <v>0</v>
      </c>
      <c r="M38" s="577">
        <v>0</v>
      </c>
      <c r="N38" s="577">
        <v>0</v>
      </c>
      <c r="O38" s="577">
        <v>0</v>
      </c>
      <c r="P38" s="577">
        <v>0</v>
      </c>
      <c r="Q38" s="577">
        <v>0</v>
      </c>
      <c r="R38" s="577">
        <v>0</v>
      </c>
      <c r="S38" s="577">
        <v>0</v>
      </c>
      <c r="T38" s="577">
        <v>0.01</v>
      </c>
      <c r="U38" s="577">
        <v>0</v>
      </c>
      <c r="V38" s="577">
        <v>0</v>
      </c>
      <c r="W38" s="592">
        <v>0</v>
      </c>
      <c r="X38" s="685">
        <v>0</v>
      </c>
      <c r="Y38" s="685">
        <v>0</v>
      </c>
      <c r="Z38" s="685">
        <v>0</v>
      </c>
      <c r="AA38" s="685">
        <v>0</v>
      </c>
      <c r="AB38" s="685">
        <v>0</v>
      </c>
      <c r="AC38" s="685">
        <v>0</v>
      </c>
      <c r="AD38" s="685">
        <v>0</v>
      </c>
      <c r="AE38" s="910">
        <v>0</v>
      </c>
      <c r="AF38" s="911">
        <v>0</v>
      </c>
      <c r="AG38" s="912">
        <v>0</v>
      </c>
      <c r="AH38" s="685">
        <v>0</v>
      </c>
      <c r="AI38" s="684">
        <v>0</v>
      </c>
      <c r="AJ38" s="682">
        <v>0</v>
      </c>
      <c r="AK38" s="684">
        <v>0</v>
      </c>
      <c r="AL38" s="686">
        <v>0</v>
      </c>
      <c r="AM38" s="682">
        <v>0</v>
      </c>
      <c r="AN38" s="682">
        <v>0</v>
      </c>
      <c r="AO38" s="686">
        <v>0</v>
      </c>
      <c r="AP38" s="687">
        <v>0</v>
      </c>
      <c r="AQ38" s="684">
        <f t="shared" si="17"/>
        <v>7.1428571428571426E-3</v>
      </c>
      <c r="AR38" s="682">
        <v>1.6E-2</v>
      </c>
      <c r="AS38" s="684">
        <f t="shared" si="20"/>
        <v>1.2500000000000001E-2</v>
      </c>
      <c r="AT38" s="688">
        <v>2E-3</v>
      </c>
      <c r="AU38" s="682">
        <v>0</v>
      </c>
      <c r="AV38" s="684">
        <v>0</v>
      </c>
      <c r="AW38" s="689">
        <v>0</v>
      </c>
      <c r="AX38" s="690">
        <v>0</v>
      </c>
      <c r="AY38" s="689">
        <v>0</v>
      </c>
      <c r="AZ38" s="690">
        <v>0</v>
      </c>
      <c r="BA38" s="689">
        <v>0</v>
      </c>
      <c r="BB38" s="690">
        <v>0</v>
      </c>
      <c r="BC38" s="691">
        <v>0</v>
      </c>
      <c r="BD38" s="692">
        <v>0</v>
      </c>
      <c r="BE38" s="689">
        <v>0</v>
      </c>
      <c r="BF38" s="690">
        <v>0</v>
      </c>
      <c r="BG38" s="691">
        <v>0</v>
      </c>
      <c r="BH38" s="690">
        <v>0</v>
      </c>
      <c r="BI38" s="691">
        <v>0</v>
      </c>
      <c r="BJ38" s="690">
        <v>0</v>
      </c>
      <c r="BK38" s="691">
        <v>0</v>
      </c>
      <c r="BL38" s="690">
        <v>0</v>
      </c>
      <c r="BM38" s="691">
        <v>0</v>
      </c>
      <c r="BN38" s="690">
        <v>0</v>
      </c>
      <c r="BO38" s="691">
        <v>0</v>
      </c>
      <c r="BP38" s="690">
        <v>0</v>
      </c>
      <c r="BQ38" s="691">
        <v>0</v>
      </c>
      <c r="BR38" s="690">
        <v>0</v>
      </c>
      <c r="BS38" s="691">
        <v>0</v>
      </c>
      <c r="BT38" s="690">
        <v>0</v>
      </c>
      <c r="BU38" s="691">
        <v>0</v>
      </c>
      <c r="BV38" s="690">
        <v>0</v>
      </c>
      <c r="BW38" s="691">
        <v>0</v>
      </c>
      <c r="BX38" s="690">
        <v>0</v>
      </c>
      <c r="BY38" s="691">
        <v>0</v>
      </c>
      <c r="BZ38" s="690">
        <v>0</v>
      </c>
      <c r="CA38" s="691">
        <v>0</v>
      </c>
      <c r="CB38" s="690">
        <v>0</v>
      </c>
      <c r="CC38" s="689">
        <v>0</v>
      </c>
      <c r="CD38" s="692">
        <v>0</v>
      </c>
      <c r="CE38" s="689">
        <v>0</v>
      </c>
      <c r="CF38" s="692">
        <v>0</v>
      </c>
      <c r="CG38" s="689">
        <v>0</v>
      </c>
      <c r="CH38" s="692">
        <v>0</v>
      </c>
      <c r="CI38" s="689">
        <v>0</v>
      </c>
      <c r="CJ38" s="692">
        <v>0</v>
      </c>
      <c r="CK38" s="689">
        <v>0</v>
      </c>
      <c r="CL38" s="692">
        <v>0</v>
      </c>
      <c r="CM38" s="689">
        <v>0</v>
      </c>
      <c r="CN38" s="692">
        <v>0</v>
      </c>
      <c r="CO38" s="689">
        <v>0</v>
      </c>
      <c r="CP38" s="692">
        <v>0</v>
      </c>
      <c r="CQ38" s="689">
        <v>0</v>
      </c>
      <c r="CR38" s="690">
        <v>0</v>
      </c>
      <c r="CS38" s="689">
        <v>0</v>
      </c>
      <c r="CT38" s="690">
        <v>0</v>
      </c>
      <c r="CU38" s="691">
        <v>0</v>
      </c>
      <c r="CV38" s="690">
        <v>0</v>
      </c>
    </row>
    <row r="39" spans="1:100">
      <c r="A39" s="457">
        <v>37</v>
      </c>
      <c r="B39" s="577">
        <v>0</v>
      </c>
      <c r="C39" s="577">
        <v>0</v>
      </c>
      <c r="D39" s="577">
        <v>0</v>
      </c>
      <c r="E39" s="577">
        <v>0</v>
      </c>
      <c r="F39" s="577">
        <f t="shared" si="19"/>
        <v>1.2500000000000001E-2</v>
      </c>
      <c r="G39" s="577">
        <v>0.01</v>
      </c>
      <c r="H39" s="577">
        <v>0</v>
      </c>
      <c r="I39" s="577">
        <v>0</v>
      </c>
      <c r="J39" s="577">
        <v>0</v>
      </c>
      <c r="K39" s="577">
        <v>0</v>
      </c>
      <c r="L39" s="577">
        <v>0</v>
      </c>
      <c r="M39" s="577">
        <v>0</v>
      </c>
      <c r="N39" s="577">
        <v>0</v>
      </c>
      <c r="O39" s="577">
        <v>0</v>
      </c>
      <c r="P39" s="577">
        <v>0</v>
      </c>
      <c r="Q39" s="577">
        <v>0</v>
      </c>
      <c r="R39" s="577">
        <v>0</v>
      </c>
      <c r="S39" s="577">
        <v>0</v>
      </c>
      <c r="T39" s="577">
        <v>0.01</v>
      </c>
      <c r="U39" s="577">
        <v>0</v>
      </c>
      <c r="V39" s="577">
        <v>0</v>
      </c>
      <c r="W39" s="592">
        <v>0</v>
      </c>
      <c r="X39" s="685">
        <v>0</v>
      </c>
      <c r="Y39" s="685">
        <v>0</v>
      </c>
      <c r="Z39" s="685">
        <v>0</v>
      </c>
      <c r="AA39" s="685">
        <v>0</v>
      </c>
      <c r="AB39" s="685">
        <v>0</v>
      </c>
      <c r="AC39" s="685">
        <v>0</v>
      </c>
      <c r="AD39" s="685">
        <v>0</v>
      </c>
      <c r="AE39" s="910">
        <v>0</v>
      </c>
      <c r="AF39" s="911">
        <v>0</v>
      </c>
      <c r="AG39" s="912">
        <v>0</v>
      </c>
      <c r="AH39" s="685">
        <v>0</v>
      </c>
      <c r="AI39" s="684">
        <v>0</v>
      </c>
      <c r="AJ39" s="682">
        <v>0</v>
      </c>
      <c r="AK39" s="684">
        <v>0</v>
      </c>
      <c r="AL39" s="686">
        <v>0</v>
      </c>
      <c r="AM39" s="682">
        <v>0</v>
      </c>
      <c r="AN39" s="682">
        <v>0</v>
      </c>
      <c r="AO39" s="686">
        <v>0</v>
      </c>
      <c r="AP39" s="687">
        <v>0</v>
      </c>
      <c r="AQ39" s="684">
        <f t="shared" si="17"/>
        <v>7.1428571428571426E-3</v>
      </c>
      <c r="AR39" s="682">
        <v>1.6E-2</v>
      </c>
      <c r="AS39" s="684">
        <f t="shared" si="20"/>
        <v>1.2500000000000001E-2</v>
      </c>
      <c r="AT39" s="688">
        <v>2E-3</v>
      </c>
      <c r="AU39" s="682">
        <v>0</v>
      </c>
      <c r="AV39" s="684">
        <v>0</v>
      </c>
      <c r="AW39" s="689">
        <v>0</v>
      </c>
      <c r="AX39" s="690">
        <v>0</v>
      </c>
      <c r="AY39" s="689">
        <v>0</v>
      </c>
      <c r="AZ39" s="690">
        <v>0</v>
      </c>
      <c r="BA39" s="689">
        <v>0</v>
      </c>
      <c r="BB39" s="690">
        <v>0</v>
      </c>
      <c r="BC39" s="691">
        <v>0</v>
      </c>
      <c r="BD39" s="692">
        <v>0</v>
      </c>
      <c r="BE39" s="689">
        <v>0</v>
      </c>
      <c r="BF39" s="690">
        <v>0</v>
      </c>
      <c r="BG39" s="691">
        <v>0</v>
      </c>
      <c r="BH39" s="690">
        <v>0</v>
      </c>
      <c r="BI39" s="691">
        <v>0</v>
      </c>
      <c r="BJ39" s="690">
        <v>0</v>
      </c>
      <c r="BK39" s="691">
        <v>0</v>
      </c>
      <c r="BL39" s="690">
        <v>0</v>
      </c>
      <c r="BM39" s="691">
        <v>0</v>
      </c>
      <c r="BN39" s="690">
        <v>0</v>
      </c>
      <c r="BO39" s="691">
        <v>0</v>
      </c>
      <c r="BP39" s="690">
        <v>0</v>
      </c>
      <c r="BQ39" s="691">
        <v>0</v>
      </c>
      <c r="BR39" s="690">
        <v>0</v>
      </c>
      <c r="BS39" s="691">
        <v>0</v>
      </c>
      <c r="BT39" s="690">
        <v>0</v>
      </c>
      <c r="BU39" s="691">
        <v>0</v>
      </c>
      <c r="BV39" s="690">
        <v>0</v>
      </c>
      <c r="BW39" s="691">
        <v>0</v>
      </c>
      <c r="BX39" s="690">
        <v>0</v>
      </c>
      <c r="BY39" s="691">
        <v>0</v>
      </c>
      <c r="BZ39" s="690">
        <v>0</v>
      </c>
      <c r="CA39" s="691">
        <v>0</v>
      </c>
      <c r="CB39" s="690">
        <v>0</v>
      </c>
      <c r="CC39" s="689">
        <v>0</v>
      </c>
      <c r="CD39" s="692">
        <v>0</v>
      </c>
      <c r="CE39" s="689">
        <v>0</v>
      </c>
      <c r="CF39" s="692">
        <v>0</v>
      </c>
      <c r="CG39" s="689">
        <v>0</v>
      </c>
      <c r="CH39" s="692">
        <v>0</v>
      </c>
      <c r="CI39" s="689">
        <v>0</v>
      </c>
      <c r="CJ39" s="692">
        <v>0</v>
      </c>
      <c r="CK39" s="689">
        <v>0</v>
      </c>
      <c r="CL39" s="692">
        <v>0</v>
      </c>
      <c r="CM39" s="689">
        <v>0</v>
      </c>
      <c r="CN39" s="692">
        <v>0</v>
      </c>
      <c r="CO39" s="689">
        <v>0</v>
      </c>
      <c r="CP39" s="692">
        <v>0</v>
      </c>
      <c r="CQ39" s="689">
        <v>0</v>
      </c>
      <c r="CR39" s="690">
        <v>0</v>
      </c>
      <c r="CS39" s="689">
        <v>0</v>
      </c>
      <c r="CT39" s="690">
        <v>0</v>
      </c>
      <c r="CU39" s="691">
        <v>0</v>
      </c>
      <c r="CV39" s="690">
        <v>0</v>
      </c>
    </row>
    <row r="40" spans="1:100">
      <c r="A40" s="457">
        <v>38</v>
      </c>
      <c r="B40" s="577">
        <v>0</v>
      </c>
      <c r="C40" s="577">
        <v>0</v>
      </c>
      <c r="D40" s="577">
        <v>0</v>
      </c>
      <c r="E40" s="577">
        <v>0</v>
      </c>
      <c r="F40" s="577">
        <f t="shared" si="19"/>
        <v>1.2500000000000001E-2</v>
      </c>
      <c r="G40" s="577">
        <v>0.01</v>
      </c>
      <c r="H40" s="577">
        <v>0</v>
      </c>
      <c r="I40" s="577">
        <v>0</v>
      </c>
      <c r="J40" s="577">
        <v>0</v>
      </c>
      <c r="K40" s="577">
        <v>0</v>
      </c>
      <c r="L40" s="577">
        <v>0</v>
      </c>
      <c r="M40" s="577">
        <v>0</v>
      </c>
      <c r="N40" s="577">
        <v>0</v>
      </c>
      <c r="O40" s="577">
        <v>0</v>
      </c>
      <c r="P40" s="577">
        <v>0</v>
      </c>
      <c r="Q40" s="577">
        <v>0</v>
      </c>
      <c r="R40" s="577">
        <v>0</v>
      </c>
      <c r="S40" s="577">
        <v>0</v>
      </c>
      <c r="T40" s="577">
        <v>0.01</v>
      </c>
      <c r="U40" s="577">
        <v>0</v>
      </c>
      <c r="V40" s="577">
        <v>0</v>
      </c>
      <c r="W40" s="592">
        <v>0</v>
      </c>
      <c r="X40" s="685">
        <v>0</v>
      </c>
      <c r="Y40" s="685">
        <v>0</v>
      </c>
      <c r="Z40" s="685">
        <v>0</v>
      </c>
      <c r="AA40" s="685">
        <v>0</v>
      </c>
      <c r="AB40" s="685">
        <v>0</v>
      </c>
      <c r="AC40" s="685">
        <v>0</v>
      </c>
      <c r="AD40" s="685">
        <v>0</v>
      </c>
      <c r="AE40" s="910">
        <v>0</v>
      </c>
      <c r="AF40" s="911">
        <v>0</v>
      </c>
      <c r="AG40" s="912">
        <v>0</v>
      </c>
      <c r="AH40" s="685">
        <v>0</v>
      </c>
      <c r="AI40" s="684">
        <v>0</v>
      </c>
      <c r="AJ40" s="682">
        <v>0</v>
      </c>
      <c r="AK40" s="684">
        <v>0</v>
      </c>
      <c r="AL40" s="686">
        <v>0</v>
      </c>
      <c r="AM40" s="682">
        <v>0</v>
      </c>
      <c r="AN40" s="682">
        <v>0</v>
      </c>
      <c r="AO40" s="686">
        <v>0</v>
      </c>
      <c r="AP40" s="687">
        <v>0</v>
      </c>
      <c r="AQ40" s="684">
        <f t="shared" si="17"/>
        <v>7.1428571428571426E-3</v>
      </c>
      <c r="AR40" s="682">
        <v>1.6E-2</v>
      </c>
      <c r="AS40" s="684">
        <f t="shared" si="20"/>
        <v>1.2500000000000001E-2</v>
      </c>
      <c r="AT40" s="688">
        <v>2E-3</v>
      </c>
      <c r="AU40" s="682">
        <v>0</v>
      </c>
      <c r="AV40" s="684">
        <v>0</v>
      </c>
      <c r="AW40" s="689">
        <v>0</v>
      </c>
      <c r="AX40" s="690">
        <v>0</v>
      </c>
      <c r="AY40" s="689">
        <v>0</v>
      </c>
      <c r="AZ40" s="690">
        <v>0</v>
      </c>
      <c r="BA40" s="689">
        <v>0</v>
      </c>
      <c r="BB40" s="690">
        <v>0</v>
      </c>
      <c r="BC40" s="691">
        <v>0</v>
      </c>
      <c r="BD40" s="692">
        <v>0</v>
      </c>
      <c r="BE40" s="689">
        <v>0</v>
      </c>
      <c r="BF40" s="690">
        <v>0</v>
      </c>
      <c r="BG40" s="691">
        <v>0</v>
      </c>
      <c r="BH40" s="690">
        <v>0</v>
      </c>
      <c r="BI40" s="691">
        <v>0</v>
      </c>
      <c r="BJ40" s="690">
        <v>0</v>
      </c>
      <c r="BK40" s="691">
        <v>0</v>
      </c>
      <c r="BL40" s="690">
        <v>0</v>
      </c>
      <c r="BM40" s="691">
        <v>0</v>
      </c>
      <c r="BN40" s="690">
        <v>0</v>
      </c>
      <c r="BO40" s="691">
        <v>0</v>
      </c>
      <c r="BP40" s="690">
        <v>0</v>
      </c>
      <c r="BQ40" s="691">
        <v>0</v>
      </c>
      <c r="BR40" s="690">
        <v>0</v>
      </c>
      <c r="BS40" s="691">
        <v>0</v>
      </c>
      <c r="BT40" s="690">
        <v>0</v>
      </c>
      <c r="BU40" s="691">
        <v>0</v>
      </c>
      <c r="BV40" s="690">
        <v>0</v>
      </c>
      <c r="BW40" s="691">
        <v>0</v>
      </c>
      <c r="BX40" s="690">
        <v>0</v>
      </c>
      <c r="BY40" s="691">
        <v>0</v>
      </c>
      <c r="BZ40" s="690">
        <v>0</v>
      </c>
      <c r="CA40" s="691">
        <v>0</v>
      </c>
      <c r="CB40" s="690">
        <v>0</v>
      </c>
      <c r="CC40" s="689">
        <v>0</v>
      </c>
      <c r="CD40" s="692">
        <v>0</v>
      </c>
      <c r="CE40" s="689">
        <v>0</v>
      </c>
      <c r="CF40" s="692">
        <v>0</v>
      </c>
      <c r="CG40" s="689">
        <v>0</v>
      </c>
      <c r="CH40" s="692">
        <v>0</v>
      </c>
      <c r="CI40" s="689">
        <v>0</v>
      </c>
      <c r="CJ40" s="692">
        <v>0</v>
      </c>
      <c r="CK40" s="689">
        <v>0</v>
      </c>
      <c r="CL40" s="692">
        <v>0</v>
      </c>
      <c r="CM40" s="689">
        <v>0</v>
      </c>
      <c r="CN40" s="692">
        <v>0</v>
      </c>
      <c r="CO40" s="689">
        <v>0</v>
      </c>
      <c r="CP40" s="692">
        <v>0</v>
      </c>
      <c r="CQ40" s="689">
        <v>0</v>
      </c>
      <c r="CR40" s="690">
        <v>0</v>
      </c>
      <c r="CS40" s="689">
        <v>0</v>
      </c>
      <c r="CT40" s="690">
        <v>0</v>
      </c>
      <c r="CU40" s="691">
        <v>0</v>
      </c>
      <c r="CV40" s="690">
        <v>0</v>
      </c>
    </row>
    <row r="41" spans="1:100">
      <c r="A41" s="457">
        <v>39</v>
      </c>
      <c r="B41" s="577">
        <v>0</v>
      </c>
      <c r="C41" s="577">
        <v>0</v>
      </c>
      <c r="D41" s="577">
        <v>0</v>
      </c>
      <c r="E41" s="577">
        <v>0</v>
      </c>
      <c r="F41" s="577">
        <f t="shared" si="19"/>
        <v>1.2500000000000001E-2</v>
      </c>
      <c r="G41" s="577">
        <v>0.01</v>
      </c>
      <c r="H41" s="577">
        <v>0</v>
      </c>
      <c r="I41" s="577">
        <v>0</v>
      </c>
      <c r="J41" s="577">
        <v>0</v>
      </c>
      <c r="K41" s="577">
        <v>0</v>
      </c>
      <c r="L41" s="577">
        <v>0</v>
      </c>
      <c r="M41" s="577">
        <v>0</v>
      </c>
      <c r="N41" s="577">
        <v>0</v>
      </c>
      <c r="O41" s="577">
        <v>0</v>
      </c>
      <c r="P41" s="577">
        <v>0</v>
      </c>
      <c r="Q41" s="577">
        <v>0</v>
      </c>
      <c r="R41" s="577">
        <v>0</v>
      </c>
      <c r="S41" s="577">
        <v>0</v>
      </c>
      <c r="T41" s="577">
        <v>0.01</v>
      </c>
      <c r="U41" s="577">
        <v>0</v>
      </c>
      <c r="V41" s="577">
        <v>0</v>
      </c>
      <c r="W41" s="592">
        <v>0</v>
      </c>
      <c r="X41" s="685">
        <v>0</v>
      </c>
      <c r="Y41" s="685">
        <v>0</v>
      </c>
      <c r="Z41" s="685">
        <v>0</v>
      </c>
      <c r="AA41" s="685">
        <v>0</v>
      </c>
      <c r="AB41" s="685">
        <v>0</v>
      </c>
      <c r="AC41" s="685">
        <v>0</v>
      </c>
      <c r="AD41" s="685">
        <v>0</v>
      </c>
      <c r="AE41" s="910">
        <v>0</v>
      </c>
      <c r="AF41" s="911">
        <v>0</v>
      </c>
      <c r="AG41" s="912">
        <v>0</v>
      </c>
      <c r="AH41" s="685">
        <v>0</v>
      </c>
      <c r="AI41" s="684">
        <v>0</v>
      </c>
      <c r="AJ41" s="682">
        <v>0</v>
      </c>
      <c r="AK41" s="684">
        <v>0</v>
      </c>
      <c r="AL41" s="686">
        <v>0</v>
      </c>
      <c r="AM41" s="682">
        <v>0</v>
      </c>
      <c r="AN41" s="682">
        <v>0</v>
      </c>
      <c r="AO41" s="686">
        <v>0</v>
      </c>
      <c r="AP41" s="687">
        <v>0</v>
      </c>
      <c r="AQ41" s="684">
        <f t="shared" si="17"/>
        <v>7.1428571428571426E-3</v>
      </c>
      <c r="AR41" s="682">
        <v>1.6E-2</v>
      </c>
      <c r="AS41" s="684">
        <f t="shared" si="20"/>
        <v>1.2500000000000001E-2</v>
      </c>
      <c r="AT41" s="688">
        <v>2E-3</v>
      </c>
      <c r="AU41" s="682">
        <v>0</v>
      </c>
      <c r="AV41" s="684">
        <v>0</v>
      </c>
      <c r="AW41" s="689">
        <v>0</v>
      </c>
      <c r="AX41" s="690">
        <v>0</v>
      </c>
      <c r="AY41" s="689">
        <v>0</v>
      </c>
      <c r="AZ41" s="690">
        <v>0</v>
      </c>
      <c r="BA41" s="689">
        <v>0</v>
      </c>
      <c r="BB41" s="690">
        <v>0</v>
      </c>
      <c r="BC41" s="691">
        <v>0</v>
      </c>
      <c r="BD41" s="692">
        <v>0</v>
      </c>
      <c r="BE41" s="689">
        <v>0</v>
      </c>
      <c r="BF41" s="690">
        <v>0</v>
      </c>
      <c r="BG41" s="691">
        <v>0</v>
      </c>
      <c r="BH41" s="690">
        <v>0</v>
      </c>
      <c r="BI41" s="691">
        <v>0</v>
      </c>
      <c r="BJ41" s="690">
        <v>0</v>
      </c>
      <c r="BK41" s="691">
        <v>0</v>
      </c>
      <c r="BL41" s="690">
        <v>0</v>
      </c>
      <c r="BM41" s="691">
        <v>0</v>
      </c>
      <c r="BN41" s="690">
        <v>0</v>
      </c>
      <c r="BO41" s="691">
        <v>0</v>
      </c>
      <c r="BP41" s="690">
        <v>0</v>
      </c>
      <c r="BQ41" s="691">
        <v>0</v>
      </c>
      <c r="BR41" s="690">
        <v>0</v>
      </c>
      <c r="BS41" s="691">
        <v>0</v>
      </c>
      <c r="BT41" s="690">
        <v>0</v>
      </c>
      <c r="BU41" s="691">
        <v>0</v>
      </c>
      <c r="BV41" s="690">
        <v>0</v>
      </c>
      <c r="BW41" s="691">
        <v>0</v>
      </c>
      <c r="BX41" s="690">
        <v>0</v>
      </c>
      <c r="BY41" s="691">
        <v>0</v>
      </c>
      <c r="BZ41" s="690">
        <v>0</v>
      </c>
      <c r="CA41" s="691">
        <v>0</v>
      </c>
      <c r="CB41" s="690">
        <v>0</v>
      </c>
      <c r="CC41" s="689">
        <v>0</v>
      </c>
      <c r="CD41" s="692">
        <v>0</v>
      </c>
      <c r="CE41" s="689">
        <v>0</v>
      </c>
      <c r="CF41" s="692">
        <v>0</v>
      </c>
      <c r="CG41" s="689">
        <v>0</v>
      </c>
      <c r="CH41" s="692">
        <v>0</v>
      </c>
      <c r="CI41" s="689">
        <v>0</v>
      </c>
      <c r="CJ41" s="692">
        <v>0</v>
      </c>
      <c r="CK41" s="689">
        <v>0</v>
      </c>
      <c r="CL41" s="692">
        <v>0</v>
      </c>
      <c r="CM41" s="689">
        <v>0</v>
      </c>
      <c r="CN41" s="692">
        <v>0</v>
      </c>
      <c r="CO41" s="689">
        <v>0</v>
      </c>
      <c r="CP41" s="692">
        <v>0</v>
      </c>
      <c r="CQ41" s="689">
        <v>0</v>
      </c>
      <c r="CR41" s="690">
        <v>0</v>
      </c>
      <c r="CS41" s="689">
        <v>0</v>
      </c>
      <c r="CT41" s="690">
        <v>0</v>
      </c>
      <c r="CU41" s="691">
        <v>0</v>
      </c>
      <c r="CV41" s="690">
        <v>0</v>
      </c>
    </row>
    <row r="42" spans="1:100">
      <c r="A42" s="457">
        <v>40</v>
      </c>
      <c r="B42" s="577">
        <v>0</v>
      </c>
      <c r="C42" s="577">
        <v>0</v>
      </c>
      <c r="D42" s="577">
        <v>0</v>
      </c>
      <c r="E42" s="577">
        <v>0</v>
      </c>
      <c r="F42" s="577">
        <f t="shared" si="19"/>
        <v>1.2500000000000001E-2</v>
      </c>
      <c r="G42" s="577">
        <v>0.02</v>
      </c>
      <c r="H42" s="577">
        <v>0</v>
      </c>
      <c r="I42" s="577">
        <v>0</v>
      </c>
      <c r="J42" s="577">
        <v>0</v>
      </c>
      <c r="K42" s="577">
        <v>0</v>
      </c>
      <c r="L42" s="577">
        <v>0</v>
      </c>
      <c r="M42" s="577">
        <v>0</v>
      </c>
      <c r="N42" s="577">
        <v>0</v>
      </c>
      <c r="O42" s="577">
        <v>0</v>
      </c>
      <c r="P42" s="577">
        <v>0</v>
      </c>
      <c r="Q42" s="577">
        <v>0</v>
      </c>
      <c r="R42" s="577">
        <v>0</v>
      </c>
      <c r="S42" s="577">
        <v>0</v>
      </c>
      <c r="T42" s="577">
        <v>0.02</v>
      </c>
      <c r="U42" s="577">
        <v>0</v>
      </c>
      <c r="V42" s="577">
        <v>0</v>
      </c>
      <c r="W42" s="592">
        <v>0</v>
      </c>
      <c r="X42" s="685">
        <v>0</v>
      </c>
      <c r="Y42" s="685">
        <v>0</v>
      </c>
      <c r="Z42" s="685">
        <v>0</v>
      </c>
      <c r="AA42" s="685">
        <v>0</v>
      </c>
      <c r="AB42" s="685">
        <v>0</v>
      </c>
      <c r="AC42" s="685">
        <v>0</v>
      </c>
      <c r="AD42" s="685">
        <v>0</v>
      </c>
      <c r="AE42" s="910">
        <v>0</v>
      </c>
      <c r="AF42" s="911">
        <v>0</v>
      </c>
      <c r="AG42" s="912">
        <v>0</v>
      </c>
      <c r="AH42" s="685">
        <v>0</v>
      </c>
      <c r="AI42" s="684">
        <v>0</v>
      </c>
      <c r="AJ42" s="682">
        <v>0</v>
      </c>
      <c r="AK42" s="684">
        <v>0</v>
      </c>
      <c r="AL42" s="686">
        <v>0</v>
      </c>
      <c r="AM42" s="682">
        <v>0</v>
      </c>
      <c r="AN42" s="682">
        <v>0</v>
      </c>
      <c r="AO42" s="686">
        <v>0</v>
      </c>
      <c r="AP42" s="687">
        <v>0</v>
      </c>
      <c r="AQ42" s="684">
        <f t="shared" si="17"/>
        <v>7.1428571428571426E-3</v>
      </c>
      <c r="AR42" s="682">
        <v>5.0000000000000001E-3</v>
      </c>
      <c r="AS42" s="684">
        <f t="shared" si="20"/>
        <v>1.2500000000000001E-2</v>
      </c>
      <c r="AT42" s="688">
        <v>1E-3</v>
      </c>
      <c r="AU42" s="682">
        <v>0</v>
      </c>
      <c r="AV42" s="684">
        <v>0</v>
      </c>
      <c r="AW42" s="689">
        <v>0</v>
      </c>
      <c r="AX42" s="690">
        <v>0</v>
      </c>
      <c r="AY42" s="689">
        <v>0</v>
      </c>
      <c r="AZ42" s="690">
        <v>0</v>
      </c>
      <c r="BA42" s="689">
        <v>0</v>
      </c>
      <c r="BB42" s="690">
        <v>0</v>
      </c>
      <c r="BC42" s="691">
        <v>0</v>
      </c>
      <c r="BD42" s="692">
        <v>0</v>
      </c>
      <c r="BE42" s="689">
        <v>0</v>
      </c>
      <c r="BF42" s="690">
        <v>0</v>
      </c>
      <c r="BG42" s="691">
        <v>0</v>
      </c>
      <c r="BH42" s="690">
        <v>0</v>
      </c>
      <c r="BI42" s="691">
        <v>0</v>
      </c>
      <c r="BJ42" s="690">
        <v>0</v>
      </c>
      <c r="BK42" s="691">
        <v>0</v>
      </c>
      <c r="BL42" s="690">
        <v>0</v>
      </c>
      <c r="BM42" s="691">
        <v>0</v>
      </c>
      <c r="BN42" s="690">
        <v>0</v>
      </c>
      <c r="BO42" s="691">
        <v>0</v>
      </c>
      <c r="BP42" s="690">
        <v>0</v>
      </c>
      <c r="BQ42" s="691">
        <v>0</v>
      </c>
      <c r="BR42" s="690">
        <v>0</v>
      </c>
      <c r="BS42" s="691">
        <v>0</v>
      </c>
      <c r="BT42" s="690">
        <v>0</v>
      </c>
      <c r="BU42" s="691">
        <v>0</v>
      </c>
      <c r="BV42" s="690">
        <v>0</v>
      </c>
      <c r="BW42" s="691">
        <v>0</v>
      </c>
      <c r="BX42" s="690">
        <v>0</v>
      </c>
      <c r="BY42" s="691">
        <v>0</v>
      </c>
      <c r="BZ42" s="690">
        <v>0</v>
      </c>
      <c r="CA42" s="691">
        <v>0</v>
      </c>
      <c r="CB42" s="690">
        <v>0</v>
      </c>
      <c r="CC42" s="689">
        <v>0</v>
      </c>
      <c r="CD42" s="692">
        <v>0</v>
      </c>
      <c r="CE42" s="689">
        <v>0</v>
      </c>
      <c r="CF42" s="692">
        <v>0</v>
      </c>
      <c r="CG42" s="689">
        <v>0</v>
      </c>
      <c r="CH42" s="692">
        <v>0</v>
      </c>
      <c r="CI42" s="689">
        <v>0</v>
      </c>
      <c r="CJ42" s="692">
        <v>0</v>
      </c>
      <c r="CK42" s="689">
        <v>0</v>
      </c>
      <c r="CL42" s="692">
        <v>0</v>
      </c>
      <c r="CM42" s="689">
        <v>0</v>
      </c>
      <c r="CN42" s="692">
        <v>0</v>
      </c>
      <c r="CO42" s="689">
        <v>0</v>
      </c>
      <c r="CP42" s="692">
        <v>0</v>
      </c>
      <c r="CQ42" s="689">
        <v>0</v>
      </c>
      <c r="CR42" s="690">
        <v>0</v>
      </c>
      <c r="CS42" s="689">
        <v>0</v>
      </c>
      <c r="CT42" s="690">
        <v>0</v>
      </c>
      <c r="CU42" s="691">
        <v>0</v>
      </c>
      <c r="CV42" s="690">
        <v>0</v>
      </c>
    </row>
    <row r="43" spans="1:100">
      <c r="A43" s="457">
        <v>41</v>
      </c>
      <c r="B43" s="577">
        <v>0</v>
      </c>
      <c r="C43" s="577">
        <v>0</v>
      </c>
      <c r="D43" s="577">
        <v>0</v>
      </c>
      <c r="E43" s="577">
        <v>0</v>
      </c>
      <c r="F43" s="577">
        <f t="shared" si="19"/>
        <v>1.2500000000000001E-2</v>
      </c>
      <c r="G43" s="577">
        <v>0.02</v>
      </c>
      <c r="H43" s="577">
        <v>0</v>
      </c>
      <c r="I43" s="577">
        <v>0</v>
      </c>
      <c r="J43" s="577">
        <v>0</v>
      </c>
      <c r="K43" s="577">
        <v>0</v>
      </c>
      <c r="L43" s="577">
        <v>0</v>
      </c>
      <c r="M43" s="577">
        <v>0</v>
      </c>
      <c r="N43" s="577">
        <v>0</v>
      </c>
      <c r="O43" s="577">
        <v>0</v>
      </c>
      <c r="P43" s="577">
        <v>0</v>
      </c>
      <c r="Q43" s="577">
        <v>0</v>
      </c>
      <c r="R43" s="577">
        <v>0</v>
      </c>
      <c r="S43" s="577">
        <v>0</v>
      </c>
      <c r="T43" s="577">
        <v>0.02</v>
      </c>
      <c r="U43" s="577">
        <v>0</v>
      </c>
      <c r="V43" s="577">
        <v>0</v>
      </c>
      <c r="W43" s="592">
        <v>0</v>
      </c>
      <c r="X43" s="685">
        <v>0</v>
      </c>
      <c r="Y43" s="685">
        <v>0</v>
      </c>
      <c r="Z43" s="685">
        <v>0</v>
      </c>
      <c r="AA43" s="685">
        <v>0</v>
      </c>
      <c r="AB43" s="685">
        <v>0</v>
      </c>
      <c r="AC43" s="685">
        <v>0</v>
      </c>
      <c r="AD43" s="685">
        <v>0</v>
      </c>
      <c r="AE43" s="910">
        <v>0</v>
      </c>
      <c r="AF43" s="911">
        <v>0</v>
      </c>
      <c r="AG43" s="912">
        <v>0</v>
      </c>
      <c r="AH43" s="685">
        <v>0</v>
      </c>
      <c r="AI43" s="684">
        <v>0</v>
      </c>
      <c r="AJ43" s="682">
        <v>0</v>
      </c>
      <c r="AK43" s="684">
        <v>0</v>
      </c>
      <c r="AL43" s="686">
        <v>0</v>
      </c>
      <c r="AM43" s="682">
        <v>0</v>
      </c>
      <c r="AN43" s="682">
        <v>0</v>
      </c>
      <c r="AO43" s="686">
        <v>0</v>
      </c>
      <c r="AP43" s="687">
        <v>0</v>
      </c>
      <c r="AQ43" s="684">
        <f t="shared" si="17"/>
        <v>7.1428571428571426E-3</v>
      </c>
      <c r="AR43" s="682">
        <v>5.0000000000000001E-3</v>
      </c>
      <c r="AS43" s="684">
        <f t="shared" si="20"/>
        <v>1.2500000000000001E-2</v>
      </c>
      <c r="AT43" s="688">
        <v>1E-3</v>
      </c>
      <c r="AU43" s="682">
        <v>0</v>
      </c>
      <c r="AV43" s="684">
        <v>0</v>
      </c>
      <c r="AW43" s="689">
        <v>0</v>
      </c>
      <c r="AX43" s="690">
        <v>0</v>
      </c>
      <c r="AY43" s="689">
        <v>0</v>
      </c>
      <c r="AZ43" s="690">
        <v>0</v>
      </c>
      <c r="BA43" s="689">
        <v>0</v>
      </c>
      <c r="BB43" s="690">
        <v>0</v>
      </c>
      <c r="BC43" s="691">
        <v>0</v>
      </c>
      <c r="BD43" s="692">
        <v>0</v>
      </c>
      <c r="BE43" s="689">
        <v>0</v>
      </c>
      <c r="BF43" s="690">
        <v>0</v>
      </c>
      <c r="BG43" s="691">
        <v>0</v>
      </c>
      <c r="BH43" s="690">
        <v>0</v>
      </c>
      <c r="BI43" s="691">
        <v>0</v>
      </c>
      <c r="BJ43" s="690">
        <v>0</v>
      </c>
      <c r="BK43" s="691">
        <v>0</v>
      </c>
      <c r="BL43" s="690">
        <v>0</v>
      </c>
      <c r="BM43" s="691">
        <v>0</v>
      </c>
      <c r="BN43" s="690">
        <v>0</v>
      </c>
      <c r="BO43" s="691">
        <v>0</v>
      </c>
      <c r="BP43" s="690">
        <v>0</v>
      </c>
      <c r="BQ43" s="691">
        <v>0</v>
      </c>
      <c r="BR43" s="690">
        <v>0</v>
      </c>
      <c r="BS43" s="691">
        <v>0</v>
      </c>
      <c r="BT43" s="690">
        <v>0</v>
      </c>
      <c r="BU43" s="691">
        <v>0</v>
      </c>
      <c r="BV43" s="690">
        <v>0</v>
      </c>
      <c r="BW43" s="691">
        <v>0</v>
      </c>
      <c r="BX43" s="690">
        <v>0</v>
      </c>
      <c r="BY43" s="691">
        <v>0</v>
      </c>
      <c r="BZ43" s="690">
        <v>0</v>
      </c>
      <c r="CA43" s="691">
        <v>0</v>
      </c>
      <c r="CB43" s="690">
        <v>0</v>
      </c>
      <c r="CC43" s="689">
        <v>0</v>
      </c>
      <c r="CD43" s="692">
        <v>0</v>
      </c>
      <c r="CE43" s="689">
        <v>0</v>
      </c>
      <c r="CF43" s="692">
        <v>0</v>
      </c>
      <c r="CG43" s="689">
        <v>0</v>
      </c>
      <c r="CH43" s="692">
        <v>0</v>
      </c>
      <c r="CI43" s="689">
        <v>0</v>
      </c>
      <c r="CJ43" s="692">
        <v>0</v>
      </c>
      <c r="CK43" s="689">
        <v>0</v>
      </c>
      <c r="CL43" s="692">
        <v>0</v>
      </c>
      <c r="CM43" s="689">
        <v>0</v>
      </c>
      <c r="CN43" s="692">
        <v>0</v>
      </c>
      <c r="CO43" s="689">
        <v>0</v>
      </c>
      <c r="CP43" s="692">
        <v>0</v>
      </c>
      <c r="CQ43" s="689">
        <v>0</v>
      </c>
      <c r="CR43" s="690">
        <v>0</v>
      </c>
      <c r="CS43" s="689">
        <v>0</v>
      </c>
      <c r="CT43" s="690">
        <v>0</v>
      </c>
      <c r="CU43" s="691">
        <v>0</v>
      </c>
      <c r="CV43" s="690">
        <v>0</v>
      </c>
    </row>
    <row r="44" spans="1:100">
      <c r="A44" s="457">
        <v>42</v>
      </c>
      <c r="B44" s="577">
        <v>0</v>
      </c>
      <c r="C44" s="577">
        <v>0</v>
      </c>
      <c r="D44" s="577">
        <v>0</v>
      </c>
      <c r="E44" s="577">
        <v>0</v>
      </c>
      <c r="F44" s="577">
        <f t="shared" si="19"/>
        <v>1.2500000000000001E-2</v>
      </c>
      <c r="G44" s="577">
        <v>0.02</v>
      </c>
      <c r="H44" s="577">
        <v>0</v>
      </c>
      <c r="I44" s="577">
        <v>0</v>
      </c>
      <c r="J44" s="577">
        <v>0</v>
      </c>
      <c r="K44" s="577">
        <v>0</v>
      </c>
      <c r="L44" s="577">
        <v>0</v>
      </c>
      <c r="M44" s="577">
        <v>0</v>
      </c>
      <c r="N44" s="577">
        <v>0</v>
      </c>
      <c r="O44" s="577">
        <v>0</v>
      </c>
      <c r="P44" s="577">
        <v>0</v>
      </c>
      <c r="Q44" s="577">
        <v>0</v>
      </c>
      <c r="R44" s="577">
        <v>0</v>
      </c>
      <c r="S44" s="577">
        <v>0</v>
      </c>
      <c r="T44" s="577">
        <v>0.02</v>
      </c>
      <c r="U44" s="577">
        <v>0</v>
      </c>
      <c r="V44" s="577">
        <v>0</v>
      </c>
      <c r="W44" s="592">
        <v>0</v>
      </c>
      <c r="X44" s="685">
        <v>0</v>
      </c>
      <c r="Y44" s="685">
        <v>0</v>
      </c>
      <c r="Z44" s="685">
        <v>0</v>
      </c>
      <c r="AA44" s="685">
        <v>0</v>
      </c>
      <c r="AB44" s="685">
        <v>0</v>
      </c>
      <c r="AC44" s="685">
        <v>0</v>
      </c>
      <c r="AD44" s="685">
        <v>0</v>
      </c>
      <c r="AE44" s="910">
        <v>0</v>
      </c>
      <c r="AF44" s="911">
        <v>0</v>
      </c>
      <c r="AG44" s="912">
        <v>0</v>
      </c>
      <c r="AH44" s="685">
        <v>0</v>
      </c>
      <c r="AI44" s="684">
        <v>0</v>
      </c>
      <c r="AJ44" s="682">
        <v>0</v>
      </c>
      <c r="AK44" s="684">
        <v>0</v>
      </c>
      <c r="AL44" s="686">
        <v>0</v>
      </c>
      <c r="AM44" s="682">
        <v>0</v>
      </c>
      <c r="AN44" s="682">
        <v>0</v>
      </c>
      <c r="AO44" s="686">
        <v>0</v>
      </c>
      <c r="AP44" s="687">
        <v>0</v>
      </c>
      <c r="AQ44" s="684">
        <f t="shared" si="17"/>
        <v>7.1428571428571426E-3</v>
      </c>
      <c r="AR44" s="682">
        <v>5.0000000000000001E-3</v>
      </c>
      <c r="AS44" s="684">
        <f t="shared" si="20"/>
        <v>1.2500000000000001E-2</v>
      </c>
      <c r="AT44" s="688">
        <v>1E-3</v>
      </c>
      <c r="AU44" s="682">
        <v>0</v>
      </c>
      <c r="AV44" s="684">
        <v>0</v>
      </c>
      <c r="AW44" s="689">
        <v>0</v>
      </c>
      <c r="AX44" s="690">
        <v>0</v>
      </c>
      <c r="AY44" s="689">
        <v>0</v>
      </c>
      <c r="AZ44" s="690">
        <v>0</v>
      </c>
      <c r="BA44" s="689">
        <v>0</v>
      </c>
      <c r="BB44" s="690">
        <v>0</v>
      </c>
      <c r="BC44" s="691">
        <v>0</v>
      </c>
      <c r="BD44" s="692">
        <v>0</v>
      </c>
      <c r="BE44" s="689">
        <v>0</v>
      </c>
      <c r="BF44" s="690">
        <v>0</v>
      </c>
      <c r="BG44" s="691">
        <v>0</v>
      </c>
      <c r="BH44" s="690">
        <v>0</v>
      </c>
      <c r="BI44" s="691">
        <v>0</v>
      </c>
      <c r="BJ44" s="690">
        <v>0</v>
      </c>
      <c r="BK44" s="691">
        <v>0</v>
      </c>
      <c r="BL44" s="690">
        <v>0</v>
      </c>
      <c r="BM44" s="691">
        <v>0</v>
      </c>
      <c r="BN44" s="690">
        <v>0</v>
      </c>
      <c r="BO44" s="691">
        <v>0</v>
      </c>
      <c r="BP44" s="690">
        <v>0</v>
      </c>
      <c r="BQ44" s="691">
        <v>0</v>
      </c>
      <c r="BR44" s="690">
        <v>0</v>
      </c>
      <c r="BS44" s="691">
        <v>0</v>
      </c>
      <c r="BT44" s="690">
        <v>0</v>
      </c>
      <c r="BU44" s="691">
        <v>0</v>
      </c>
      <c r="BV44" s="690">
        <v>0</v>
      </c>
      <c r="BW44" s="691">
        <v>0</v>
      </c>
      <c r="BX44" s="690">
        <v>0</v>
      </c>
      <c r="BY44" s="691">
        <v>0</v>
      </c>
      <c r="BZ44" s="690">
        <v>0</v>
      </c>
      <c r="CA44" s="691">
        <v>0</v>
      </c>
      <c r="CB44" s="690">
        <v>0</v>
      </c>
      <c r="CC44" s="689">
        <v>0</v>
      </c>
      <c r="CD44" s="692">
        <v>0</v>
      </c>
      <c r="CE44" s="689">
        <v>0</v>
      </c>
      <c r="CF44" s="692">
        <v>0</v>
      </c>
      <c r="CG44" s="689">
        <v>0</v>
      </c>
      <c r="CH44" s="692">
        <v>0</v>
      </c>
      <c r="CI44" s="689">
        <v>0</v>
      </c>
      <c r="CJ44" s="692">
        <v>0</v>
      </c>
      <c r="CK44" s="689">
        <v>0</v>
      </c>
      <c r="CL44" s="692">
        <v>0</v>
      </c>
      <c r="CM44" s="689">
        <v>0</v>
      </c>
      <c r="CN44" s="692">
        <v>0</v>
      </c>
      <c r="CO44" s="689">
        <v>0</v>
      </c>
      <c r="CP44" s="692">
        <v>0</v>
      </c>
      <c r="CQ44" s="689">
        <v>0</v>
      </c>
      <c r="CR44" s="690">
        <v>0</v>
      </c>
      <c r="CS44" s="689">
        <v>0</v>
      </c>
      <c r="CT44" s="690">
        <v>0</v>
      </c>
      <c r="CU44" s="691">
        <v>0</v>
      </c>
      <c r="CV44" s="690">
        <v>0</v>
      </c>
    </row>
    <row r="45" spans="1:100">
      <c r="A45" s="457">
        <v>43</v>
      </c>
      <c r="B45" s="577">
        <v>0</v>
      </c>
      <c r="C45" s="577">
        <v>0</v>
      </c>
      <c r="D45" s="577">
        <v>0</v>
      </c>
      <c r="E45" s="577">
        <v>0</v>
      </c>
      <c r="F45" s="577">
        <f t="shared" si="19"/>
        <v>1.2500000000000001E-2</v>
      </c>
      <c r="G45" s="577">
        <v>0.02</v>
      </c>
      <c r="H45" s="577">
        <v>0</v>
      </c>
      <c r="I45" s="577">
        <v>0</v>
      </c>
      <c r="J45" s="577">
        <v>0</v>
      </c>
      <c r="K45" s="577">
        <v>0</v>
      </c>
      <c r="L45" s="577">
        <v>0</v>
      </c>
      <c r="M45" s="577">
        <v>0</v>
      </c>
      <c r="N45" s="577">
        <v>0</v>
      </c>
      <c r="O45" s="577">
        <v>0</v>
      </c>
      <c r="P45" s="577">
        <v>0</v>
      </c>
      <c r="Q45" s="577">
        <v>0</v>
      </c>
      <c r="R45" s="577">
        <v>0</v>
      </c>
      <c r="S45" s="577">
        <v>0</v>
      </c>
      <c r="T45" s="577">
        <v>0.02</v>
      </c>
      <c r="U45" s="577">
        <v>0</v>
      </c>
      <c r="V45" s="577">
        <v>0</v>
      </c>
      <c r="W45" s="592">
        <v>0</v>
      </c>
      <c r="X45" s="685">
        <v>0</v>
      </c>
      <c r="Y45" s="685">
        <v>0</v>
      </c>
      <c r="Z45" s="685">
        <v>0</v>
      </c>
      <c r="AA45" s="685">
        <v>0</v>
      </c>
      <c r="AB45" s="685">
        <v>0</v>
      </c>
      <c r="AC45" s="685">
        <v>0</v>
      </c>
      <c r="AD45" s="685">
        <v>0</v>
      </c>
      <c r="AE45" s="910">
        <v>0</v>
      </c>
      <c r="AF45" s="911">
        <v>0</v>
      </c>
      <c r="AG45" s="912">
        <v>0</v>
      </c>
      <c r="AH45" s="685">
        <v>0</v>
      </c>
      <c r="AI45" s="684">
        <v>0</v>
      </c>
      <c r="AJ45" s="682">
        <v>0</v>
      </c>
      <c r="AK45" s="684">
        <v>0</v>
      </c>
      <c r="AL45" s="686">
        <v>0</v>
      </c>
      <c r="AM45" s="682">
        <v>0</v>
      </c>
      <c r="AN45" s="682">
        <v>0</v>
      </c>
      <c r="AO45" s="686">
        <v>0</v>
      </c>
      <c r="AP45" s="687">
        <v>0</v>
      </c>
      <c r="AQ45" s="684">
        <f t="shared" si="17"/>
        <v>7.1428571428571426E-3</v>
      </c>
      <c r="AR45" s="682">
        <v>5.0000000000000001E-3</v>
      </c>
      <c r="AS45" s="684">
        <f t="shared" si="20"/>
        <v>1.2500000000000001E-2</v>
      </c>
      <c r="AT45" s="688">
        <v>1E-3</v>
      </c>
      <c r="AU45" s="682">
        <v>0</v>
      </c>
      <c r="AV45" s="684">
        <v>0</v>
      </c>
      <c r="AW45" s="689">
        <v>0</v>
      </c>
      <c r="AX45" s="690">
        <v>0</v>
      </c>
      <c r="AY45" s="689">
        <v>0</v>
      </c>
      <c r="AZ45" s="690">
        <v>0</v>
      </c>
      <c r="BA45" s="689">
        <v>0</v>
      </c>
      <c r="BB45" s="690">
        <v>0</v>
      </c>
      <c r="BC45" s="691">
        <v>0</v>
      </c>
      <c r="BD45" s="692">
        <v>0</v>
      </c>
      <c r="BE45" s="689">
        <v>0</v>
      </c>
      <c r="BF45" s="690">
        <v>0</v>
      </c>
      <c r="BG45" s="691">
        <v>0</v>
      </c>
      <c r="BH45" s="690">
        <v>0</v>
      </c>
      <c r="BI45" s="691">
        <v>0</v>
      </c>
      <c r="BJ45" s="690">
        <v>0</v>
      </c>
      <c r="BK45" s="691">
        <v>0</v>
      </c>
      <c r="BL45" s="690">
        <v>0</v>
      </c>
      <c r="BM45" s="691">
        <v>0</v>
      </c>
      <c r="BN45" s="690">
        <v>0</v>
      </c>
      <c r="BO45" s="691">
        <v>0</v>
      </c>
      <c r="BP45" s="690">
        <v>0</v>
      </c>
      <c r="BQ45" s="691">
        <v>0</v>
      </c>
      <c r="BR45" s="690">
        <v>0</v>
      </c>
      <c r="BS45" s="691">
        <v>0</v>
      </c>
      <c r="BT45" s="690">
        <v>0</v>
      </c>
      <c r="BU45" s="691">
        <v>0</v>
      </c>
      <c r="BV45" s="690">
        <v>0</v>
      </c>
      <c r="BW45" s="691">
        <v>0</v>
      </c>
      <c r="BX45" s="690">
        <v>0</v>
      </c>
      <c r="BY45" s="691">
        <v>0</v>
      </c>
      <c r="BZ45" s="690">
        <v>0</v>
      </c>
      <c r="CA45" s="691">
        <v>0</v>
      </c>
      <c r="CB45" s="690">
        <v>0</v>
      </c>
      <c r="CC45" s="689">
        <v>0</v>
      </c>
      <c r="CD45" s="692">
        <v>0</v>
      </c>
      <c r="CE45" s="689">
        <v>0</v>
      </c>
      <c r="CF45" s="692">
        <v>0</v>
      </c>
      <c r="CG45" s="689">
        <v>0</v>
      </c>
      <c r="CH45" s="692">
        <v>0</v>
      </c>
      <c r="CI45" s="689">
        <v>0</v>
      </c>
      <c r="CJ45" s="692">
        <v>0</v>
      </c>
      <c r="CK45" s="689">
        <v>0</v>
      </c>
      <c r="CL45" s="692">
        <v>0</v>
      </c>
      <c r="CM45" s="689">
        <v>0</v>
      </c>
      <c r="CN45" s="692">
        <v>0</v>
      </c>
      <c r="CO45" s="689">
        <v>0</v>
      </c>
      <c r="CP45" s="692">
        <v>0</v>
      </c>
      <c r="CQ45" s="689">
        <v>0</v>
      </c>
      <c r="CR45" s="690">
        <v>0</v>
      </c>
      <c r="CS45" s="689">
        <v>0</v>
      </c>
      <c r="CT45" s="690">
        <v>0</v>
      </c>
      <c r="CU45" s="691">
        <v>0</v>
      </c>
      <c r="CV45" s="690">
        <v>0</v>
      </c>
    </row>
    <row r="46" spans="1:100">
      <c r="A46" s="457">
        <v>44</v>
      </c>
      <c r="B46" s="577">
        <v>0</v>
      </c>
      <c r="C46" s="577">
        <v>0</v>
      </c>
      <c r="D46" s="577">
        <v>0</v>
      </c>
      <c r="E46" s="577">
        <v>0</v>
      </c>
      <c r="F46" s="577">
        <f t="shared" si="19"/>
        <v>1.2500000000000001E-2</v>
      </c>
      <c r="G46" s="577">
        <v>0.02</v>
      </c>
      <c r="H46" s="577">
        <v>0</v>
      </c>
      <c r="I46" s="577">
        <v>0</v>
      </c>
      <c r="J46" s="577">
        <v>0</v>
      </c>
      <c r="K46" s="577">
        <v>0</v>
      </c>
      <c r="L46" s="577">
        <v>0</v>
      </c>
      <c r="M46" s="577">
        <v>0</v>
      </c>
      <c r="N46" s="577">
        <v>0</v>
      </c>
      <c r="O46" s="577">
        <v>0</v>
      </c>
      <c r="P46" s="577">
        <v>0</v>
      </c>
      <c r="Q46" s="577">
        <v>0</v>
      </c>
      <c r="R46" s="577">
        <v>0</v>
      </c>
      <c r="S46" s="577">
        <v>0</v>
      </c>
      <c r="T46" s="577">
        <v>0.02</v>
      </c>
      <c r="U46" s="577">
        <v>0</v>
      </c>
      <c r="V46" s="577">
        <v>0</v>
      </c>
      <c r="W46" s="592">
        <v>0</v>
      </c>
      <c r="X46" s="685">
        <v>0</v>
      </c>
      <c r="Y46" s="685">
        <v>0</v>
      </c>
      <c r="Z46" s="685">
        <v>0</v>
      </c>
      <c r="AA46" s="685">
        <v>0</v>
      </c>
      <c r="AB46" s="685">
        <v>0</v>
      </c>
      <c r="AC46" s="685">
        <v>0</v>
      </c>
      <c r="AD46" s="685">
        <v>0</v>
      </c>
      <c r="AE46" s="910">
        <v>0</v>
      </c>
      <c r="AF46" s="911">
        <v>0</v>
      </c>
      <c r="AG46" s="912">
        <v>0</v>
      </c>
      <c r="AH46" s="685">
        <v>0</v>
      </c>
      <c r="AI46" s="684">
        <v>0</v>
      </c>
      <c r="AJ46" s="682">
        <v>0</v>
      </c>
      <c r="AK46" s="684">
        <v>0</v>
      </c>
      <c r="AL46" s="686">
        <v>0</v>
      </c>
      <c r="AM46" s="682">
        <v>0</v>
      </c>
      <c r="AN46" s="682">
        <v>0</v>
      </c>
      <c r="AO46" s="686">
        <v>0</v>
      </c>
      <c r="AP46" s="687">
        <v>0</v>
      </c>
      <c r="AQ46" s="684">
        <f t="shared" si="17"/>
        <v>7.1428571428571426E-3</v>
      </c>
      <c r="AR46" s="682">
        <v>5.0000000000000001E-3</v>
      </c>
      <c r="AS46" s="684">
        <f t="shared" si="20"/>
        <v>1.2500000000000001E-2</v>
      </c>
      <c r="AT46" s="688">
        <v>1E-3</v>
      </c>
      <c r="AU46" s="682">
        <v>0</v>
      </c>
      <c r="AV46" s="684">
        <v>0</v>
      </c>
      <c r="AW46" s="689">
        <v>0</v>
      </c>
      <c r="AX46" s="690">
        <v>0</v>
      </c>
      <c r="AY46" s="689">
        <v>0</v>
      </c>
      <c r="AZ46" s="690">
        <v>0</v>
      </c>
      <c r="BA46" s="689">
        <v>0</v>
      </c>
      <c r="BB46" s="690">
        <v>0</v>
      </c>
      <c r="BC46" s="691">
        <v>0</v>
      </c>
      <c r="BD46" s="692">
        <v>0</v>
      </c>
      <c r="BE46" s="689">
        <v>0</v>
      </c>
      <c r="BF46" s="690">
        <v>0</v>
      </c>
      <c r="BG46" s="691">
        <v>0</v>
      </c>
      <c r="BH46" s="690">
        <v>0</v>
      </c>
      <c r="BI46" s="691">
        <v>0</v>
      </c>
      <c r="BJ46" s="690">
        <v>0</v>
      </c>
      <c r="BK46" s="691">
        <v>0</v>
      </c>
      <c r="BL46" s="690">
        <v>0</v>
      </c>
      <c r="BM46" s="691">
        <v>0</v>
      </c>
      <c r="BN46" s="690">
        <v>0</v>
      </c>
      <c r="BO46" s="691">
        <v>0</v>
      </c>
      <c r="BP46" s="690">
        <v>0</v>
      </c>
      <c r="BQ46" s="691">
        <v>0</v>
      </c>
      <c r="BR46" s="690">
        <v>0</v>
      </c>
      <c r="BS46" s="691">
        <v>0</v>
      </c>
      <c r="BT46" s="690">
        <v>0</v>
      </c>
      <c r="BU46" s="691">
        <v>0</v>
      </c>
      <c r="BV46" s="690">
        <v>0</v>
      </c>
      <c r="BW46" s="691">
        <v>0</v>
      </c>
      <c r="BX46" s="690">
        <v>0</v>
      </c>
      <c r="BY46" s="691">
        <v>0</v>
      </c>
      <c r="BZ46" s="690">
        <v>0</v>
      </c>
      <c r="CA46" s="691">
        <v>0</v>
      </c>
      <c r="CB46" s="690">
        <v>0</v>
      </c>
      <c r="CC46" s="689">
        <v>0</v>
      </c>
      <c r="CD46" s="692">
        <v>0</v>
      </c>
      <c r="CE46" s="689">
        <v>0</v>
      </c>
      <c r="CF46" s="692">
        <v>0</v>
      </c>
      <c r="CG46" s="689">
        <v>0</v>
      </c>
      <c r="CH46" s="692">
        <v>0</v>
      </c>
      <c r="CI46" s="689">
        <v>0</v>
      </c>
      <c r="CJ46" s="692">
        <v>0</v>
      </c>
      <c r="CK46" s="689">
        <v>0</v>
      </c>
      <c r="CL46" s="692">
        <v>0</v>
      </c>
      <c r="CM46" s="689">
        <v>0</v>
      </c>
      <c r="CN46" s="692">
        <v>0</v>
      </c>
      <c r="CO46" s="689">
        <v>0</v>
      </c>
      <c r="CP46" s="692">
        <v>0</v>
      </c>
      <c r="CQ46" s="689">
        <v>0</v>
      </c>
      <c r="CR46" s="690">
        <v>0</v>
      </c>
      <c r="CS46" s="689">
        <v>0</v>
      </c>
      <c r="CT46" s="690">
        <v>0</v>
      </c>
      <c r="CU46" s="691">
        <v>0</v>
      </c>
      <c r="CV46" s="690">
        <v>0</v>
      </c>
    </row>
    <row r="47" spans="1:100">
      <c r="A47" s="457">
        <v>45</v>
      </c>
      <c r="B47" s="577">
        <v>0</v>
      </c>
      <c r="C47" s="577">
        <v>0</v>
      </c>
      <c r="D47" s="577">
        <v>0</v>
      </c>
      <c r="E47" s="577">
        <v>0</v>
      </c>
      <c r="F47" s="577">
        <f t="shared" si="19"/>
        <v>1.2500000000000001E-2</v>
      </c>
      <c r="G47" s="577">
        <v>0.02</v>
      </c>
      <c r="H47" s="577">
        <v>0</v>
      </c>
      <c r="I47" s="577">
        <v>0</v>
      </c>
      <c r="J47" s="577">
        <v>0</v>
      </c>
      <c r="K47" s="577">
        <v>0</v>
      </c>
      <c r="L47" s="577">
        <v>0</v>
      </c>
      <c r="M47" s="577">
        <v>0</v>
      </c>
      <c r="N47" s="577">
        <v>0</v>
      </c>
      <c r="O47" s="577">
        <v>0</v>
      </c>
      <c r="P47" s="577">
        <v>0</v>
      </c>
      <c r="Q47" s="577">
        <v>0</v>
      </c>
      <c r="R47" s="577">
        <v>0</v>
      </c>
      <c r="S47" s="577">
        <v>0</v>
      </c>
      <c r="T47" s="577">
        <v>0.02</v>
      </c>
      <c r="U47" s="577">
        <v>0</v>
      </c>
      <c r="V47" s="577">
        <v>0</v>
      </c>
      <c r="W47" s="592">
        <v>0</v>
      </c>
      <c r="X47" s="685">
        <v>0</v>
      </c>
      <c r="Y47" s="685">
        <v>0</v>
      </c>
      <c r="Z47" s="685">
        <v>0</v>
      </c>
      <c r="AA47" s="685">
        <v>0</v>
      </c>
      <c r="AB47" s="685">
        <v>0</v>
      </c>
      <c r="AC47" s="685">
        <v>0</v>
      </c>
      <c r="AD47" s="685">
        <v>0</v>
      </c>
      <c r="AE47" s="910">
        <v>0</v>
      </c>
      <c r="AF47" s="911">
        <v>0</v>
      </c>
      <c r="AG47" s="912">
        <v>0</v>
      </c>
      <c r="AH47" s="685">
        <v>0</v>
      </c>
      <c r="AI47" s="684">
        <v>0</v>
      </c>
      <c r="AJ47" s="682">
        <v>0</v>
      </c>
      <c r="AK47" s="684">
        <v>0</v>
      </c>
      <c r="AL47" s="686">
        <v>0</v>
      </c>
      <c r="AM47" s="682">
        <v>0</v>
      </c>
      <c r="AN47" s="682">
        <v>0</v>
      </c>
      <c r="AO47" s="686">
        <v>0</v>
      </c>
      <c r="AP47" s="687">
        <v>0</v>
      </c>
      <c r="AQ47" s="684">
        <f t="shared" si="17"/>
        <v>7.1428571428571426E-3</v>
      </c>
      <c r="AR47" s="682">
        <v>5.0000000000000001E-3</v>
      </c>
      <c r="AS47" s="684">
        <f t="shared" si="20"/>
        <v>1.2500000000000001E-2</v>
      </c>
      <c r="AT47" s="688">
        <v>1E-3</v>
      </c>
      <c r="AU47" s="682">
        <v>0</v>
      </c>
      <c r="AV47" s="684">
        <v>0</v>
      </c>
      <c r="AW47" s="689">
        <v>0</v>
      </c>
      <c r="AX47" s="690">
        <v>0</v>
      </c>
      <c r="AY47" s="689">
        <v>0</v>
      </c>
      <c r="AZ47" s="690">
        <v>0</v>
      </c>
      <c r="BA47" s="689">
        <v>0</v>
      </c>
      <c r="BB47" s="690">
        <v>0</v>
      </c>
      <c r="BC47" s="691">
        <v>0</v>
      </c>
      <c r="BD47" s="692">
        <v>0</v>
      </c>
      <c r="BE47" s="689">
        <v>0</v>
      </c>
      <c r="BF47" s="690">
        <v>0</v>
      </c>
      <c r="BG47" s="691">
        <v>0</v>
      </c>
      <c r="BH47" s="690">
        <v>0</v>
      </c>
      <c r="BI47" s="691">
        <v>0</v>
      </c>
      <c r="BJ47" s="690">
        <v>0</v>
      </c>
      <c r="BK47" s="691">
        <v>0</v>
      </c>
      <c r="BL47" s="690">
        <v>0</v>
      </c>
      <c r="BM47" s="691">
        <v>0</v>
      </c>
      <c r="BN47" s="690">
        <v>0</v>
      </c>
      <c r="BO47" s="691">
        <v>0</v>
      </c>
      <c r="BP47" s="690">
        <v>0</v>
      </c>
      <c r="BQ47" s="691">
        <v>0</v>
      </c>
      <c r="BR47" s="690">
        <v>0</v>
      </c>
      <c r="BS47" s="691">
        <v>0</v>
      </c>
      <c r="BT47" s="690">
        <v>0</v>
      </c>
      <c r="BU47" s="691">
        <v>0</v>
      </c>
      <c r="BV47" s="690">
        <v>0</v>
      </c>
      <c r="BW47" s="691">
        <v>0</v>
      </c>
      <c r="BX47" s="690">
        <v>0</v>
      </c>
      <c r="BY47" s="691">
        <v>0</v>
      </c>
      <c r="BZ47" s="690">
        <v>0</v>
      </c>
      <c r="CA47" s="691">
        <v>0</v>
      </c>
      <c r="CB47" s="690">
        <v>0</v>
      </c>
      <c r="CC47" s="689">
        <v>0</v>
      </c>
      <c r="CD47" s="692">
        <v>0</v>
      </c>
      <c r="CE47" s="689">
        <v>0</v>
      </c>
      <c r="CF47" s="692">
        <v>0</v>
      </c>
      <c r="CG47" s="689">
        <v>0</v>
      </c>
      <c r="CH47" s="692">
        <v>0</v>
      </c>
      <c r="CI47" s="689">
        <v>0</v>
      </c>
      <c r="CJ47" s="692">
        <v>0</v>
      </c>
      <c r="CK47" s="689">
        <v>0</v>
      </c>
      <c r="CL47" s="692">
        <v>0</v>
      </c>
      <c r="CM47" s="689">
        <v>0</v>
      </c>
      <c r="CN47" s="692">
        <v>0</v>
      </c>
      <c r="CO47" s="689">
        <v>0</v>
      </c>
      <c r="CP47" s="692">
        <v>0</v>
      </c>
      <c r="CQ47" s="689">
        <v>0</v>
      </c>
      <c r="CR47" s="690">
        <v>0</v>
      </c>
      <c r="CS47" s="689">
        <v>0</v>
      </c>
      <c r="CT47" s="690">
        <v>0</v>
      </c>
      <c r="CU47" s="691">
        <v>0</v>
      </c>
      <c r="CV47" s="690">
        <v>0</v>
      </c>
    </row>
    <row r="48" spans="1:100">
      <c r="A48" s="457">
        <v>46</v>
      </c>
      <c r="B48" s="577">
        <v>0</v>
      </c>
      <c r="C48" s="577">
        <v>0</v>
      </c>
      <c r="D48" s="577">
        <v>0</v>
      </c>
      <c r="E48" s="577">
        <v>0</v>
      </c>
      <c r="F48" s="577">
        <f t="shared" si="19"/>
        <v>1.2500000000000001E-2</v>
      </c>
      <c r="G48" s="577">
        <v>0.02</v>
      </c>
      <c r="H48" s="577">
        <v>0</v>
      </c>
      <c r="I48" s="577">
        <v>0</v>
      </c>
      <c r="J48" s="577">
        <v>0</v>
      </c>
      <c r="K48" s="577">
        <v>0</v>
      </c>
      <c r="L48" s="577">
        <v>0</v>
      </c>
      <c r="M48" s="577">
        <v>0</v>
      </c>
      <c r="N48" s="577">
        <v>0</v>
      </c>
      <c r="O48" s="577">
        <v>0</v>
      </c>
      <c r="P48" s="577">
        <v>0</v>
      </c>
      <c r="Q48" s="577">
        <v>0</v>
      </c>
      <c r="R48" s="577">
        <v>0</v>
      </c>
      <c r="S48" s="577">
        <v>0</v>
      </c>
      <c r="T48" s="577">
        <v>0.02</v>
      </c>
      <c r="U48" s="577">
        <v>0</v>
      </c>
      <c r="V48" s="577">
        <v>0</v>
      </c>
      <c r="W48" s="592">
        <v>0</v>
      </c>
      <c r="X48" s="685">
        <v>0</v>
      </c>
      <c r="Y48" s="685">
        <v>0</v>
      </c>
      <c r="Z48" s="685">
        <v>0</v>
      </c>
      <c r="AA48" s="685">
        <v>0</v>
      </c>
      <c r="AB48" s="685">
        <v>0</v>
      </c>
      <c r="AC48" s="685">
        <v>0</v>
      </c>
      <c r="AD48" s="685">
        <v>0</v>
      </c>
      <c r="AE48" s="910">
        <v>0</v>
      </c>
      <c r="AF48" s="911">
        <v>0</v>
      </c>
      <c r="AG48" s="912">
        <v>0</v>
      </c>
      <c r="AH48" s="685">
        <v>0</v>
      </c>
      <c r="AI48" s="684">
        <v>0</v>
      </c>
      <c r="AJ48" s="682">
        <v>0</v>
      </c>
      <c r="AK48" s="684">
        <v>0</v>
      </c>
      <c r="AL48" s="686">
        <v>0</v>
      </c>
      <c r="AM48" s="682">
        <v>0</v>
      </c>
      <c r="AN48" s="682">
        <v>0</v>
      </c>
      <c r="AO48" s="686">
        <v>0</v>
      </c>
      <c r="AP48" s="687">
        <v>0</v>
      </c>
      <c r="AQ48" s="684">
        <f t="shared" si="17"/>
        <v>7.1428571428571426E-3</v>
      </c>
      <c r="AR48" s="682">
        <v>5.0000000000000001E-3</v>
      </c>
      <c r="AS48" s="684">
        <f t="shared" si="20"/>
        <v>1.2500000000000001E-2</v>
      </c>
      <c r="AT48" s="688">
        <v>1E-3</v>
      </c>
      <c r="AU48" s="682">
        <v>0</v>
      </c>
      <c r="AV48" s="684">
        <v>0</v>
      </c>
      <c r="AW48" s="689">
        <v>0</v>
      </c>
      <c r="AX48" s="690">
        <v>0</v>
      </c>
      <c r="AY48" s="689">
        <v>0</v>
      </c>
      <c r="AZ48" s="690">
        <v>0</v>
      </c>
      <c r="BA48" s="689">
        <v>0</v>
      </c>
      <c r="BB48" s="690">
        <v>0</v>
      </c>
      <c r="BC48" s="691">
        <v>0</v>
      </c>
      <c r="BD48" s="692">
        <v>0</v>
      </c>
      <c r="BE48" s="689">
        <v>0</v>
      </c>
      <c r="BF48" s="690">
        <v>0</v>
      </c>
      <c r="BG48" s="691">
        <v>0</v>
      </c>
      <c r="BH48" s="690">
        <v>0</v>
      </c>
      <c r="BI48" s="691">
        <v>0</v>
      </c>
      <c r="BJ48" s="690">
        <v>0</v>
      </c>
      <c r="BK48" s="691">
        <v>0</v>
      </c>
      <c r="BL48" s="690">
        <v>0</v>
      </c>
      <c r="BM48" s="691">
        <v>0</v>
      </c>
      <c r="BN48" s="690">
        <v>0</v>
      </c>
      <c r="BO48" s="691">
        <v>0</v>
      </c>
      <c r="BP48" s="690">
        <v>0</v>
      </c>
      <c r="BQ48" s="691">
        <v>0</v>
      </c>
      <c r="BR48" s="690">
        <v>0</v>
      </c>
      <c r="BS48" s="691">
        <v>0</v>
      </c>
      <c r="BT48" s="690">
        <v>0</v>
      </c>
      <c r="BU48" s="691">
        <v>0</v>
      </c>
      <c r="BV48" s="690">
        <v>0</v>
      </c>
      <c r="BW48" s="691">
        <v>0</v>
      </c>
      <c r="BX48" s="690">
        <v>0</v>
      </c>
      <c r="BY48" s="691">
        <v>0</v>
      </c>
      <c r="BZ48" s="690">
        <v>0</v>
      </c>
      <c r="CA48" s="691">
        <v>0</v>
      </c>
      <c r="CB48" s="690">
        <v>0</v>
      </c>
      <c r="CC48" s="689">
        <v>0</v>
      </c>
      <c r="CD48" s="692">
        <v>0</v>
      </c>
      <c r="CE48" s="689">
        <v>0</v>
      </c>
      <c r="CF48" s="692">
        <v>0</v>
      </c>
      <c r="CG48" s="689">
        <v>0</v>
      </c>
      <c r="CH48" s="692">
        <v>0</v>
      </c>
      <c r="CI48" s="689">
        <v>0</v>
      </c>
      <c r="CJ48" s="692">
        <v>0</v>
      </c>
      <c r="CK48" s="689">
        <v>0</v>
      </c>
      <c r="CL48" s="692">
        <v>0</v>
      </c>
      <c r="CM48" s="689">
        <v>0</v>
      </c>
      <c r="CN48" s="692">
        <v>0</v>
      </c>
      <c r="CO48" s="689">
        <v>0</v>
      </c>
      <c r="CP48" s="692">
        <v>0</v>
      </c>
      <c r="CQ48" s="689">
        <v>0</v>
      </c>
      <c r="CR48" s="690">
        <v>0</v>
      </c>
      <c r="CS48" s="689">
        <v>0</v>
      </c>
      <c r="CT48" s="690">
        <v>0</v>
      </c>
      <c r="CU48" s="691">
        <v>0</v>
      </c>
      <c r="CV48" s="690">
        <v>0</v>
      </c>
    </row>
    <row r="49" spans="1:100">
      <c r="A49" s="457">
        <v>47</v>
      </c>
      <c r="B49" s="577">
        <v>0</v>
      </c>
      <c r="C49" s="577">
        <v>0</v>
      </c>
      <c r="D49" s="577">
        <v>0</v>
      </c>
      <c r="E49" s="577">
        <v>0</v>
      </c>
      <c r="F49" s="577">
        <f t="shared" si="19"/>
        <v>1.2500000000000001E-2</v>
      </c>
      <c r="G49" s="577">
        <v>0.02</v>
      </c>
      <c r="H49" s="577">
        <v>0</v>
      </c>
      <c r="I49" s="577">
        <v>0</v>
      </c>
      <c r="J49" s="577">
        <v>0</v>
      </c>
      <c r="K49" s="577">
        <v>0</v>
      </c>
      <c r="L49" s="577">
        <v>0</v>
      </c>
      <c r="M49" s="577">
        <v>0</v>
      </c>
      <c r="N49" s="577">
        <v>0</v>
      </c>
      <c r="O49" s="577">
        <v>0</v>
      </c>
      <c r="P49" s="577">
        <v>0</v>
      </c>
      <c r="Q49" s="577">
        <v>0</v>
      </c>
      <c r="R49" s="577">
        <v>0</v>
      </c>
      <c r="S49" s="577">
        <v>0</v>
      </c>
      <c r="T49" s="577">
        <v>0.02</v>
      </c>
      <c r="U49" s="577">
        <v>0</v>
      </c>
      <c r="V49" s="577">
        <v>0</v>
      </c>
      <c r="W49" s="592">
        <v>0</v>
      </c>
      <c r="X49" s="685">
        <v>0</v>
      </c>
      <c r="Y49" s="685">
        <v>0</v>
      </c>
      <c r="Z49" s="685">
        <v>0</v>
      </c>
      <c r="AA49" s="685">
        <v>0</v>
      </c>
      <c r="AB49" s="685">
        <v>0</v>
      </c>
      <c r="AC49" s="685">
        <v>0</v>
      </c>
      <c r="AD49" s="685">
        <v>0</v>
      </c>
      <c r="AE49" s="910">
        <v>0</v>
      </c>
      <c r="AF49" s="911">
        <v>0</v>
      </c>
      <c r="AG49" s="912">
        <v>0</v>
      </c>
      <c r="AH49" s="685">
        <v>0</v>
      </c>
      <c r="AI49" s="684">
        <v>0</v>
      </c>
      <c r="AJ49" s="682">
        <v>0</v>
      </c>
      <c r="AK49" s="684">
        <v>0</v>
      </c>
      <c r="AL49" s="686">
        <v>0</v>
      </c>
      <c r="AM49" s="682">
        <v>0</v>
      </c>
      <c r="AN49" s="682">
        <v>0</v>
      </c>
      <c r="AO49" s="686">
        <v>0</v>
      </c>
      <c r="AP49" s="687">
        <v>0</v>
      </c>
      <c r="AQ49" s="684">
        <f t="shared" si="17"/>
        <v>7.1428571428571426E-3</v>
      </c>
      <c r="AR49" s="682">
        <v>5.0000000000000001E-3</v>
      </c>
      <c r="AS49" s="684">
        <f t="shared" si="20"/>
        <v>1.2500000000000001E-2</v>
      </c>
      <c r="AT49" s="688">
        <v>1E-3</v>
      </c>
      <c r="AU49" s="682">
        <v>0</v>
      </c>
      <c r="AV49" s="684">
        <v>0</v>
      </c>
      <c r="AW49" s="689">
        <v>0</v>
      </c>
      <c r="AX49" s="690">
        <v>0</v>
      </c>
      <c r="AY49" s="689">
        <v>0</v>
      </c>
      <c r="AZ49" s="690">
        <v>0</v>
      </c>
      <c r="BA49" s="689">
        <v>0</v>
      </c>
      <c r="BB49" s="690">
        <v>0</v>
      </c>
      <c r="BC49" s="691">
        <v>0</v>
      </c>
      <c r="BD49" s="692">
        <v>0</v>
      </c>
      <c r="BE49" s="689">
        <v>0</v>
      </c>
      <c r="BF49" s="690">
        <v>0</v>
      </c>
      <c r="BG49" s="691">
        <v>0</v>
      </c>
      <c r="BH49" s="690">
        <v>0</v>
      </c>
      <c r="BI49" s="691">
        <v>0</v>
      </c>
      <c r="BJ49" s="690">
        <v>0</v>
      </c>
      <c r="BK49" s="691">
        <v>0</v>
      </c>
      <c r="BL49" s="690">
        <v>0</v>
      </c>
      <c r="BM49" s="691">
        <v>0</v>
      </c>
      <c r="BN49" s="690">
        <v>0</v>
      </c>
      <c r="BO49" s="691">
        <v>0</v>
      </c>
      <c r="BP49" s="690">
        <v>0</v>
      </c>
      <c r="BQ49" s="691">
        <v>0</v>
      </c>
      <c r="BR49" s="690">
        <v>0</v>
      </c>
      <c r="BS49" s="691">
        <v>0</v>
      </c>
      <c r="BT49" s="690">
        <v>0</v>
      </c>
      <c r="BU49" s="691">
        <v>0</v>
      </c>
      <c r="BV49" s="690">
        <v>0</v>
      </c>
      <c r="BW49" s="691">
        <v>0</v>
      </c>
      <c r="BX49" s="690">
        <v>0</v>
      </c>
      <c r="BY49" s="691">
        <v>0</v>
      </c>
      <c r="BZ49" s="690">
        <v>0</v>
      </c>
      <c r="CA49" s="691">
        <v>0</v>
      </c>
      <c r="CB49" s="690">
        <v>0</v>
      </c>
      <c r="CC49" s="689">
        <v>0</v>
      </c>
      <c r="CD49" s="692">
        <v>0</v>
      </c>
      <c r="CE49" s="689">
        <v>0</v>
      </c>
      <c r="CF49" s="692">
        <v>0</v>
      </c>
      <c r="CG49" s="689">
        <v>0</v>
      </c>
      <c r="CH49" s="692">
        <v>0</v>
      </c>
      <c r="CI49" s="689">
        <v>0</v>
      </c>
      <c r="CJ49" s="692">
        <v>0</v>
      </c>
      <c r="CK49" s="689">
        <v>0</v>
      </c>
      <c r="CL49" s="692">
        <v>0</v>
      </c>
      <c r="CM49" s="689">
        <v>0</v>
      </c>
      <c r="CN49" s="692">
        <v>0</v>
      </c>
      <c r="CO49" s="689">
        <v>0</v>
      </c>
      <c r="CP49" s="692">
        <v>0</v>
      </c>
      <c r="CQ49" s="689">
        <v>0</v>
      </c>
      <c r="CR49" s="690">
        <v>0</v>
      </c>
      <c r="CS49" s="689">
        <v>0</v>
      </c>
      <c r="CT49" s="690">
        <v>0</v>
      </c>
      <c r="CU49" s="691">
        <v>0</v>
      </c>
      <c r="CV49" s="690">
        <v>0</v>
      </c>
    </row>
    <row r="50" spans="1:100">
      <c r="A50" s="457">
        <v>48</v>
      </c>
      <c r="B50" s="577">
        <v>0</v>
      </c>
      <c r="C50" s="577">
        <v>0</v>
      </c>
      <c r="D50" s="577">
        <v>0</v>
      </c>
      <c r="E50" s="577">
        <v>0</v>
      </c>
      <c r="F50" s="577">
        <f t="shared" si="19"/>
        <v>1.2500000000000001E-2</v>
      </c>
      <c r="G50" s="577">
        <v>0.02</v>
      </c>
      <c r="H50" s="577">
        <v>0</v>
      </c>
      <c r="I50" s="577">
        <v>0</v>
      </c>
      <c r="J50" s="577">
        <v>0</v>
      </c>
      <c r="K50" s="577">
        <v>0</v>
      </c>
      <c r="L50" s="577">
        <v>0</v>
      </c>
      <c r="M50" s="577">
        <v>0</v>
      </c>
      <c r="N50" s="577">
        <v>0</v>
      </c>
      <c r="O50" s="577">
        <v>0</v>
      </c>
      <c r="P50" s="577">
        <v>0</v>
      </c>
      <c r="Q50" s="577">
        <v>0</v>
      </c>
      <c r="R50" s="577">
        <v>0</v>
      </c>
      <c r="S50" s="577">
        <v>0</v>
      </c>
      <c r="T50" s="577">
        <v>0.02</v>
      </c>
      <c r="U50" s="577">
        <v>0</v>
      </c>
      <c r="V50" s="577">
        <v>0</v>
      </c>
      <c r="W50" s="592">
        <v>0</v>
      </c>
      <c r="X50" s="685">
        <v>0</v>
      </c>
      <c r="Y50" s="685">
        <v>0</v>
      </c>
      <c r="Z50" s="685">
        <v>0</v>
      </c>
      <c r="AA50" s="685">
        <v>0</v>
      </c>
      <c r="AB50" s="685">
        <v>0</v>
      </c>
      <c r="AC50" s="685">
        <v>0</v>
      </c>
      <c r="AD50" s="685">
        <v>0</v>
      </c>
      <c r="AE50" s="910">
        <v>0</v>
      </c>
      <c r="AF50" s="911">
        <v>0</v>
      </c>
      <c r="AG50" s="912">
        <v>0</v>
      </c>
      <c r="AH50" s="685">
        <v>0</v>
      </c>
      <c r="AI50" s="684">
        <v>0</v>
      </c>
      <c r="AJ50" s="682">
        <v>0</v>
      </c>
      <c r="AK50" s="684">
        <v>0</v>
      </c>
      <c r="AL50" s="686">
        <v>0</v>
      </c>
      <c r="AM50" s="682">
        <v>0</v>
      </c>
      <c r="AN50" s="682">
        <v>0</v>
      </c>
      <c r="AO50" s="686">
        <v>0</v>
      </c>
      <c r="AP50" s="687">
        <v>0</v>
      </c>
      <c r="AQ50" s="684">
        <f t="shared" si="17"/>
        <v>7.1428571428571426E-3</v>
      </c>
      <c r="AR50" s="682">
        <v>5.0000000000000001E-3</v>
      </c>
      <c r="AS50" s="684">
        <f t="shared" si="20"/>
        <v>1.2500000000000001E-2</v>
      </c>
      <c r="AT50" s="688">
        <v>1E-3</v>
      </c>
      <c r="AU50" s="682">
        <v>0</v>
      </c>
      <c r="AV50" s="684">
        <v>0</v>
      </c>
      <c r="AW50" s="689">
        <v>0</v>
      </c>
      <c r="AX50" s="690">
        <v>0</v>
      </c>
      <c r="AY50" s="689">
        <v>0</v>
      </c>
      <c r="AZ50" s="690">
        <v>0</v>
      </c>
      <c r="BA50" s="689">
        <v>0</v>
      </c>
      <c r="BB50" s="690">
        <v>0</v>
      </c>
      <c r="BC50" s="691">
        <v>0</v>
      </c>
      <c r="BD50" s="692">
        <v>0</v>
      </c>
      <c r="BE50" s="689">
        <v>0</v>
      </c>
      <c r="BF50" s="690">
        <v>0</v>
      </c>
      <c r="BG50" s="691">
        <v>0</v>
      </c>
      <c r="BH50" s="690">
        <v>0</v>
      </c>
      <c r="BI50" s="691">
        <v>0</v>
      </c>
      <c r="BJ50" s="690">
        <v>0</v>
      </c>
      <c r="BK50" s="691">
        <v>0</v>
      </c>
      <c r="BL50" s="690">
        <v>0</v>
      </c>
      <c r="BM50" s="691">
        <v>0</v>
      </c>
      <c r="BN50" s="690">
        <v>0</v>
      </c>
      <c r="BO50" s="691">
        <v>0</v>
      </c>
      <c r="BP50" s="690">
        <v>0</v>
      </c>
      <c r="BQ50" s="691">
        <v>0</v>
      </c>
      <c r="BR50" s="690">
        <v>0</v>
      </c>
      <c r="BS50" s="691">
        <v>0</v>
      </c>
      <c r="BT50" s="690">
        <v>0</v>
      </c>
      <c r="BU50" s="691">
        <v>0</v>
      </c>
      <c r="BV50" s="690">
        <v>0</v>
      </c>
      <c r="BW50" s="691">
        <v>0</v>
      </c>
      <c r="BX50" s="690">
        <v>0</v>
      </c>
      <c r="BY50" s="691">
        <v>0</v>
      </c>
      <c r="BZ50" s="690">
        <v>0</v>
      </c>
      <c r="CA50" s="691">
        <v>0</v>
      </c>
      <c r="CB50" s="690">
        <v>0</v>
      </c>
      <c r="CC50" s="689">
        <v>0</v>
      </c>
      <c r="CD50" s="692">
        <v>0</v>
      </c>
      <c r="CE50" s="689">
        <v>0</v>
      </c>
      <c r="CF50" s="692">
        <v>0</v>
      </c>
      <c r="CG50" s="689">
        <v>0</v>
      </c>
      <c r="CH50" s="692">
        <v>0</v>
      </c>
      <c r="CI50" s="689">
        <v>0</v>
      </c>
      <c r="CJ50" s="692">
        <v>0</v>
      </c>
      <c r="CK50" s="689">
        <v>0</v>
      </c>
      <c r="CL50" s="692">
        <v>0</v>
      </c>
      <c r="CM50" s="689">
        <v>0</v>
      </c>
      <c r="CN50" s="692">
        <v>0</v>
      </c>
      <c r="CO50" s="689">
        <v>0</v>
      </c>
      <c r="CP50" s="692">
        <v>0</v>
      </c>
      <c r="CQ50" s="689">
        <v>0</v>
      </c>
      <c r="CR50" s="690">
        <v>0</v>
      </c>
      <c r="CS50" s="689">
        <v>0</v>
      </c>
      <c r="CT50" s="690">
        <v>0</v>
      </c>
      <c r="CU50" s="691">
        <v>0</v>
      </c>
      <c r="CV50" s="690">
        <v>0</v>
      </c>
    </row>
    <row r="51" spans="1:100">
      <c r="A51" s="457">
        <v>49</v>
      </c>
      <c r="B51" s="577">
        <v>0</v>
      </c>
      <c r="C51" s="577">
        <v>0</v>
      </c>
      <c r="D51" s="577">
        <v>0</v>
      </c>
      <c r="E51" s="577">
        <v>0</v>
      </c>
      <c r="F51" s="577">
        <f t="shared" si="19"/>
        <v>1.2500000000000001E-2</v>
      </c>
      <c r="G51" s="577">
        <v>0.02</v>
      </c>
      <c r="H51" s="577">
        <v>0</v>
      </c>
      <c r="I51" s="577">
        <v>0</v>
      </c>
      <c r="J51" s="577">
        <v>0</v>
      </c>
      <c r="K51" s="577">
        <v>0</v>
      </c>
      <c r="L51" s="577">
        <v>0</v>
      </c>
      <c r="M51" s="577">
        <v>0</v>
      </c>
      <c r="N51" s="577">
        <v>0</v>
      </c>
      <c r="O51" s="577">
        <v>0</v>
      </c>
      <c r="P51" s="577">
        <v>0</v>
      </c>
      <c r="Q51" s="577">
        <v>0</v>
      </c>
      <c r="R51" s="577">
        <v>0</v>
      </c>
      <c r="S51" s="577">
        <v>0</v>
      </c>
      <c r="T51" s="577">
        <v>0.02</v>
      </c>
      <c r="U51" s="577">
        <v>0</v>
      </c>
      <c r="V51" s="577">
        <v>0</v>
      </c>
      <c r="W51" s="592">
        <v>0</v>
      </c>
      <c r="X51" s="685">
        <v>0</v>
      </c>
      <c r="Y51" s="685">
        <v>0</v>
      </c>
      <c r="Z51" s="685">
        <v>0</v>
      </c>
      <c r="AA51" s="685">
        <v>0</v>
      </c>
      <c r="AB51" s="685">
        <v>0</v>
      </c>
      <c r="AC51" s="685">
        <v>0</v>
      </c>
      <c r="AD51" s="685">
        <v>0</v>
      </c>
      <c r="AE51" s="910">
        <v>0</v>
      </c>
      <c r="AF51" s="911">
        <v>0</v>
      </c>
      <c r="AG51" s="912">
        <v>0</v>
      </c>
      <c r="AH51" s="685">
        <v>0</v>
      </c>
      <c r="AI51" s="684">
        <v>0</v>
      </c>
      <c r="AJ51" s="682">
        <v>0</v>
      </c>
      <c r="AK51" s="684">
        <v>0</v>
      </c>
      <c r="AL51" s="686">
        <v>0</v>
      </c>
      <c r="AM51" s="682">
        <v>0</v>
      </c>
      <c r="AN51" s="682">
        <v>0</v>
      </c>
      <c r="AO51" s="686">
        <v>0</v>
      </c>
      <c r="AP51" s="687">
        <v>0</v>
      </c>
      <c r="AQ51" s="684">
        <f t="shared" si="17"/>
        <v>7.1428571428571426E-3</v>
      </c>
      <c r="AR51" s="682">
        <v>5.0000000000000001E-3</v>
      </c>
      <c r="AS51" s="684">
        <f t="shared" si="20"/>
        <v>1.2500000000000001E-2</v>
      </c>
      <c r="AT51" s="688">
        <v>1E-3</v>
      </c>
      <c r="AU51" s="682">
        <v>0</v>
      </c>
      <c r="AV51" s="684">
        <v>0</v>
      </c>
      <c r="AW51" s="689">
        <v>0</v>
      </c>
      <c r="AX51" s="690">
        <v>0</v>
      </c>
      <c r="AY51" s="689">
        <v>0</v>
      </c>
      <c r="AZ51" s="690">
        <v>0</v>
      </c>
      <c r="BA51" s="689">
        <v>0</v>
      </c>
      <c r="BB51" s="690">
        <v>0</v>
      </c>
      <c r="BC51" s="691">
        <v>0</v>
      </c>
      <c r="BD51" s="692">
        <v>0</v>
      </c>
      <c r="BE51" s="689">
        <v>0</v>
      </c>
      <c r="BF51" s="690">
        <v>0</v>
      </c>
      <c r="BG51" s="691">
        <v>0</v>
      </c>
      <c r="BH51" s="690">
        <v>0</v>
      </c>
      <c r="BI51" s="691">
        <v>0</v>
      </c>
      <c r="BJ51" s="690">
        <v>0</v>
      </c>
      <c r="BK51" s="691">
        <v>0</v>
      </c>
      <c r="BL51" s="690">
        <v>0</v>
      </c>
      <c r="BM51" s="691">
        <v>0</v>
      </c>
      <c r="BN51" s="690">
        <v>0</v>
      </c>
      <c r="BO51" s="691">
        <v>0</v>
      </c>
      <c r="BP51" s="690">
        <v>0</v>
      </c>
      <c r="BQ51" s="691">
        <v>0</v>
      </c>
      <c r="BR51" s="690">
        <v>0</v>
      </c>
      <c r="BS51" s="691">
        <v>0</v>
      </c>
      <c r="BT51" s="690">
        <v>0</v>
      </c>
      <c r="BU51" s="691">
        <v>0</v>
      </c>
      <c r="BV51" s="690">
        <v>0</v>
      </c>
      <c r="BW51" s="691">
        <v>0</v>
      </c>
      <c r="BX51" s="690">
        <v>0</v>
      </c>
      <c r="BY51" s="691">
        <v>0</v>
      </c>
      <c r="BZ51" s="690">
        <v>0</v>
      </c>
      <c r="CA51" s="691">
        <v>0</v>
      </c>
      <c r="CB51" s="690">
        <v>0</v>
      </c>
      <c r="CC51" s="689">
        <v>0</v>
      </c>
      <c r="CD51" s="692">
        <v>0</v>
      </c>
      <c r="CE51" s="689">
        <v>0</v>
      </c>
      <c r="CF51" s="692">
        <v>0</v>
      </c>
      <c r="CG51" s="689">
        <v>0</v>
      </c>
      <c r="CH51" s="692">
        <v>0</v>
      </c>
      <c r="CI51" s="689">
        <v>0</v>
      </c>
      <c r="CJ51" s="692">
        <v>0</v>
      </c>
      <c r="CK51" s="689">
        <v>0</v>
      </c>
      <c r="CL51" s="692">
        <v>0</v>
      </c>
      <c r="CM51" s="689">
        <v>0</v>
      </c>
      <c r="CN51" s="692">
        <v>0</v>
      </c>
      <c r="CO51" s="689">
        <v>0</v>
      </c>
      <c r="CP51" s="692">
        <v>0</v>
      </c>
      <c r="CQ51" s="689">
        <v>0</v>
      </c>
      <c r="CR51" s="690">
        <v>0</v>
      </c>
      <c r="CS51" s="689">
        <v>0</v>
      </c>
      <c r="CT51" s="690">
        <v>0</v>
      </c>
      <c r="CU51" s="691">
        <v>0</v>
      </c>
      <c r="CV51" s="690">
        <v>0</v>
      </c>
    </row>
    <row r="52" spans="1:100">
      <c r="A52" s="457">
        <v>50</v>
      </c>
      <c r="B52" s="577">
        <v>0</v>
      </c>
      <c r="C52" s="577">
        <v>0</v>
      </c>
      <c r="D52" s="577">
        <v>0</v>
      </c>
      <c r="E52" s="577">
        <v>0</v>
      </c>
      <c r="F52" s="577">
        <f t="shared" si="19"/>
        <v>1.2500000000000001E-2</v>
      </c>
      <c r="G52" s="577">
        <v>0.02</v>
      </c>
      <c r="H52" s="577">
        <v>0</v>
      </c>
      <c r="I52" s="577">
        <v>0</v>
      </c>
      <c r="J52" s="577">
        <v>0</v>
      </c>
      <c r="K52" s="577">
        <v>0</v>
      </c>
      <c r="L52" s="577">
        <v>0</v>
      </c>
      <c r="M52" s="577">
        <v>0</v>
      </c>
      <c r="N52" s="577">
        <v>0</v>
      </c>
      <c r="O52" s="577">
        <v>0</v>
      </c>
      <c r="P52" s="577">
        <v>0</v>
      </c>
      <c r="Q52" s="577">
        <v>0</v>
      </c>
      <c r="R52" s="577">
        <v>0</v>
      </c>
      <c r="S52" s="577">
        <v>0</v>
      </c>
      <c r="T52" s="577">
        <v>0.02</v>
      </c>
      <c r="U52" s="577">
        <v>0</v>
      </c>
      <c r="V52" s="577">
        <v>0</v>
      </c>
      <c r="W52" s="592">
        <v>0</v>
      </c>
      <c r="X52" s="685">
        <v>0</v>
      </c>
      <c r="Y52" s="685">
        <v>0</v>
      </c>
      <c r="Z52" s="685">
        <v>0</v>
      </c>
      <c r="AA52" s="685">
        <v>0</v>
      </c>
      <c r="AB52" s="685">
        <v>0</v>
      </c>
      <c r="AC52" s="685">
        <v>0</v>
      </c>
      <c r="AD52" s="685">
        <v>0</v>
      </c>
      <c r="AE52" s="910">
        <v>0</v>
      </c>
      <c r="AF52" s="911">
        <v>0</v>
      </c>
      <c r="AG52" s="912">
        <v>0</v>
      </c>
      <c r="AH52" s="685">
        <v>0</v>
      </c>
      <c r="AI52" s="684">
        <v>0</v>
      </c>
      <c r="AJ52" s="682">
        <v>0</v>
      </c>
      <c r="AK52" s="684">
        <v>0</v>
      </c>
      <c r="AL52" s="686">
        <v>0</v>
      </c>
      <c r="AM52" s="682">
        <v>0</v>
      </c>
      <c r="AN52" s="682">
        <v>0</v>
      </c>
      <c r="AO52" s="686">
        <v>0</v>
      </c>
      <c r="AP52" s="687">
        <v>0</v>
      </c>
      <c r="AQ52" s="684">
        <f t="shared" si="17"/>
        <v>7.1428571428571426E-3</v>
      </c>
      <c r="AR52" s="682">
        <v>5.0000000000000001E-3</v>
      </c>
      <c r="AS52" s="684">
        <f t="shared" si="20"/>
        <v>1.2500000000000001E-2</v>
      </c>
      <c r="AT52" s="688">
        <v>1E-3</v>
      </c>
      <c r="AU52" s="682">
        <v>0</v>
      </c>
      <c r="AV52" s="684">
        <v>0</v>
      </c>
      <c r="AW52" s="689">
        <v>0</v>
      </c>
      <c r="AX52" s="690">
        <v>0</v>
      </c>
      <c r="AY52" s="689">
        <v>0</v>
      </c>
      <c r="AZ52" s="690">
        <v>0</v>
      </c>
      <c r="BA52" s="689">
        <v>0</v>
      </c>
      <c r="BB52" s="690">
        <v>0</v>
      </c>
      <c r="BC52" s="691">
        <v>0</v>
      </c>
      <c r="BD52" s="692">
        <v>0</v>
      </c>
      <c r="BE52" s="689">
        <v>0</v>
      </c>
      <c r="BF52" s="690">
        <v>0</v>
      </c>
      <c r="BG52" s="691">
        <v>0</v>
      </c>
      <c r="BH52" s="690">
        <v>0</v>
      </c>
      <c r="BI52" s="691">
        <v>0</v>
      </c>
      <c r="BJ52" s="690">
        <v>0</v>
      </c>
      <c r="BK52" s="691">
        <v>0</v>
      </c>
      <c r="BL52" s="690">
        <v>0</v>
      </c>
      <c r="BM52" s="691">
        <v>0</v>
      </c>
      <c r="BN52" s="690">
        <v>0</v>
      </c>
      <c r="BO52" s="691">
        <v>0</v>
      </c>
      <c r="BP52" s="690">
        <v>0</v>
      </c>
      <c r="BQ52" s="691">
        <v>0</v>
      </c>
      <c r="BR52" s="690">
        <v>0</v>
      </c>
      <c r="BS52" s="691">
        <v>0</v>
      </c>
      <c r="BT52" s="690">
        <v>0</v>
      </c>
      <c r="BU52" s="691">
        <v>0</v>
      </c>
      <c r="BV52" s="690">
        <v>0</v>
      </c>
      <c r="BW52" s="691">
        <v>0</v>
      </c>
      <c r="BX52" s="690">
        <v>0</v>
      </c>
      <c r="BY52" s="691">
        <v>0</v>
      </c>
      <c r="BZ52" s="690">
        <v>0</v>
      </c>
      <c r="CA52" s="691">
        <v>0</v>
      </c>
      <c r="CB52" s="690">
        <v>0</v>
      </c>
      <c r="CC52" s="689">
        <v>0</v>
      </c>
      <c r="CD52" s="692">
        <v>0</v>
      </c>
      <c r="CE52" s="689">
        <v>0</v>
      </c>
      <c r="CF52" s="692">
        <v>0</v>
      </c>
      <c r="CG52" s="689">
        <v>0</v>
      </c>
      <c r="CH52" s="692">
        <v>0</v>
      </c>
      <c r="CI52" s="689">
        <v>0</v>
      </c>
      <c r="CJ52" s="692">
        <v>0</v>
      </c>
      <c r="CK52" s="689">
        <v>0</v>
      </c>
      <c r="CL52" s="692">
        <v>0</v>
      </c>
      <c r="CM52" s="689">
        <v>0</v>
      </c>
      <c r="CN52" s="692">
        <v>0</v>
      </c>
      <c r="CO52" s="689">
        <v>0</v>
      </c>
      <c r="CP52" s="692">
        <v>0</v>
      </c>
      <c r="CQ52" s="689">
        <v>0</v>
      </c>
      <c r="CR52" s="690">
        <v>0</v>
      </c>
      <c r="CS52" s="689">
        <v>0</v>
      </c>
      <c r="CT52" s="690">
        <v>0</v>
      </c>
      <c r="CU52" s="691">
        <v>0</v>
      </c>
      <c r="CV52" s="690">
        <v>0</v>
      </c>
    </row>
    <row r="53" spans="1:100">
      <c r="A53" s="457">
        <v>51</v>
      </c>
      <c r="B53" s="577">
        <v>0</v>
      </c>
      <c r="C53" s="577">
        <v>0</v>
      </c>
      <c r="D53" s="577">
        <v>0</v>
      </c>
      <c r="E53" s="577">
        <v>0</v>
      </c>
      <c r="F53" s="577">
        <f t="shared" si="19"/>
        <v>1.2500000000000001E-2</v>
      </c>
      <c r="G53" s="577">
        <v>0.02</v>
      </c>
      <c r="H53" s="577">
        <v>0</v>
      </c>
      <c r="I53" s="577">
        <v>0</v>
      </c>
      <c r="J53" s="577">
        <v>0</v>
      </c>
      <c r="K53" s="577">
        <v>0</v>
      </c>
      <c r="L53" s="577">
        <v>0</v>
      </c>
      <c r="M53" s="577">
        <v>0</v>
      </c>
      <c r="N53" s="577">
        <v>0</v>
      </c>
      <c r="O53" s="577">
        <v>0</v>
      </c>
      <c r="P53" s="577">
        <v>0</v>
      </c>
      <c r="Q53" s="577">
        <v>0</v>
      </c>
      <c r="R53" s="577">
        <v>0</v>
      </c>
      <c r="S53" s="577">
        <v>0</v>
      </c>
      <c r="T53" s="577">
        <v>0.02</v>
      </c>
      <c r="U53" s="577">
        <v>0</v>
      </c>
      <c r="V53" s="577">
        <v>0</v>
      </c>
      <c r="W53" s="592">
        <v>0</v>
      </c>
      <c r="X53" s="685">
        <v>0</v>
      </c>
      <c r="Y53" s="685">
        <v>0</v>
      </c>
      <c r="Z53" s="685">
        <v>0</v>
      </c>
      <c r="AA53" s="685">
        <v>0</v>
      </c>
      <c r="AB53" s="685">
        <v>0</v>
      </c>
      <c r="AC53" s="685">
        <v>0</v>
      </c>
      <c r="AD53" s="685">
        <v>0</v>
      </c>
      <c r="AE53" s="910">
        <v>0</v>
      </c>
      <c r="AF53" s="911">
        <v>0</v>
      </c>
      <c r="AG53" s="912">
        <v>0</v>
      </c>
      <c r="AH53" s="685">
        <v>0</v>
      </c>
      <c r="AI53" s="684">
        <v>0</v>
      </c>
      <c r="AJ53" s="682">
        <v>0</v>
      </c>
      <c r="AK53" s="684">
        <v>0</v>
      </c>
      <c r="AL53" s="686">
        <v>0</v>
      </c>
      <c r="AM53" s="682">
        <v>0</v>
      </c>
      <c r="AN53" s="682">
        <v>0</v>
      </c>
      <c r="AO53" s="686">
        <v>0</v>
      </c>
      <c r="AP53" s="687">
        <v>0</v>
      </c>
      <c r="AQ53" s="684">
        <f t="shared" si="17"/>
        <v>7.1428571428571426E-3</v>
      </c>
      <c r="AR53" s="682">
        <v>5.0000000000000001E-3</v>
      </c>
      <c r="AS53" s="684">
        <f t="shared" si="20"/>
        <v>1.2500000000000001E-2</v>
      </c>
      <c r="AT53" s="688">
        <v>1E-3</v>
      </c>
      <c r="AU53" s="682">
        <v>0</v>
      </c>
      <c r="AV53" s="684">
        <v>0</v>
      </c>
      <c r="AW53" s="689">
        <v>0</v>
      </c>
      <c r="AX53" s="690">
        <v>0</v>
      </c>
      <c r="AY53" s="689">
        <v>0</v>
      </c>
      <c r="AZ53" s="690">
        <v>0</v>
      </c>
      <c r="BA53" s="689">
        <v>0</v>
      </c>
      <c r="BB53" s="690">
        <v>0</v>
      </c>
      <c r="BC53" s="691">
        <v>0</v>
      </c>
      <c r="BD53" s="692">
        <v>0</v>
      </c>
      <c r="BE53" s="689">
        <v>0</v>
      </c>
      <c r="BF53" s="690">
        <v>0</v>
      </c>
      <c r="BG53" s="691">
        <v>0</v>
      </c>
      <c r="BH53" s="690">
        <v>0</v>
      </c>
      <c r="BI53" s="691">
        <v>0</v>
      </c>
      <c r="BJ53" s="690">
        <v>0</v>
      </c>
      <c r="BK53" s="691">
        <v>0</v>
      </c>
      <c r="BL53" s="690">
        <v>0</v>
      </c>
      <c r="BM53" s="691">
        <v>0</v>
      </c>
      <c r="BN53" s="690">
        <v>0</v>
      </c>
      <c r="BO53" s="691">
        <v>0</v>
      </c>
      <c r="BP53" s="690">
        <v>0</v>
      </c>
      <c r="BQ53" s="691">
        <v>0</v>
      </c>
      <c r="BR53" s="690">
        <v>0</v>
      </c>
      <c r="BS53" s="691">
        <v>0</v>
      </c>
      <c r="BT53" s="690">
        <v>0</v>
      </c>
      <c r="BU53" s="691">
        <v>0</v>
      </c>
      <c r="BV53" s="690">
        <v>0</v>
      </c>
      <c r="BW53" s="691">
        <v>0</v>
      </c>
      <c r="BX53" s="690">
        <v>0</v>
      </c>
      <c r="BY53" s="691">
        <v>0</v>
      </c>
      <c r="BZ53" s="690">
        <v>0</v>
      </c>
      <c r="CA53" s="691">
        <v>0</v>
      </c>
      <c r="CB53" s="690">
        <v>0</v>
      </c>
      <c r="CC53" s="689">
        <v>0</v>
      </c>
      <c r="CD53" s="692">
        <v>0</v>
      </c>
      <c r="CE53" s="689">
        <v>0</v>
      </c>
      <c r="CF53" s="692">
        <v>0</v>
      </c>
      <c r="CG53" s="689">
        <v>0</v>
      </c>
      <c r="CH53" s="692">
        <v>0</v>
      </c>
      <c r="CI53" s="689">
        <v>0</v>
      </c>
      <c r="CJ53" s="692">
        <v>0</v>
      </c>
      <c r="CK53" s="689">
        <v>0</v>
      </c>
      <c r="CL53" s="692">
        <v>0</v>
      </c>
      <c r="CM53" s="689">
        <v>0</v>
      </c>
      <c r="CN53" s="692">
        <v>0</v>
      </c>
      <c r="CO53" s="689">
        <v>0</v>
      </c>
      <c r="CP53" s="692">
        <v>0</v>
      </c>
      <c r="CQ53" s="689">
        <v>0</v>
      </c>
      <c r="CR53" s="690">
        <v>0</v>
      </c>
      <c r="CS53" s="689">
        <v>0</v>
      </c>
      <c r="CT53" s="690">
        <v>0</v>
      </c>
      <c r="CU53" s="691">
        <v>0</v>
      </c>
      <c r="CV53" s="690">
        <v>0</v>
      </c>
    </row>
    <row r="54" spans="1:100">
      <c r="A54" s="457">
        <v>52</v>
      </c>
      <c r="B54" s="577">
        <v>0</v>
      </c>
      <c r="C54" s="577">
        <v>0</v>
      </c>
      <c r="D54" s="577">
        <v>0</v>
      </c>
      <c r="E54" s="577">
        <v>0</v>
      </c>
      <c r="F54" s="577">
        <f t="shared" si="19"/>
        <v>1.2500000000000001E-2</v>
      </c>
      <c r="G54" s="577">
        <v>0.02</v>
      </c>
      <c r="H54" s="577">
        <v>0</v>
      </c>
      <c r="I54" s="577">
        <v>0</v>
      </c>
      <c r="J54" s="577">
        <v>0</v>
      </c>
      <c r="K54" s="577">
        <v>0</v>
      </c>
      <c r="L54" s="577">
        <v>0</v>
      </c>
      <c r="M54" s="577">
        <v>0</v>
      </c>
      <c r="N54" s="577">
        <v>0</v>
      </c>
      <c r="O54" s="577">
        <v>0</v>
      </c>
      <c r="P54" s="577">
        <v>0</v>
      </c>
      <c r="Q54" s="577">
        <v>0</v>
      </c>
      <c r="R54" s="577">
        <v>0</v>
      </c>
      <c r="S54" s="577">
        <v>0</v>
      </c>
      <c r="T54" s="577">
        <v>0.02</v>
      </c>
      <c r="U54" s="577">
        <v>0</v>
      </c>
      <c r="V54" s="577">
        <v>0</v>
      </c>
      <c r="W54" s="592">
        <v>0</v>
      </c>
      <c r="X54" s="685">
        <v>0</v>
      </c>
      <c r="Y54" s="685">
        <v>0</v>
      </c>
      <c r="Z54" s="685">
        <v>0</v>
      </c>
      <c r="AA54" s="685">
        <v>0</v>
      </c>
      <c r="AB54" s="685">
        <v>0</v>
      </c>
      <c r="AC54" s="685">
        <v>0</v>
      </c>
      <c r="AD54" s="685">
        <v>0</v>
      </c>
      <c r="AE54" s="910">
        <v>0</v>
      </c>
      <c r="AF54" s="911">
        <v>0</v>
      </c>
      <c r="AG54" s="912">
        <v>0</v>
      </c>
      <c r="AH54" s="685">
        <v>0</v>
      </c>
      <c r="AI54" s="684">
        <v>0</v>
      </c>
      <c r="AJ54" s="682">
        <v>0</v>
      </c>
      <c r="AK54" s="684">
        <v>0</v>
      </c>
      <c r="AL54" s="686">
        <v>0</v>
      </c>
      <c r="AM54" s="682">
        <v>0</v>
      </c>
      <c r="AN54" s="682">
        <v>0</v>
      </c>
      <c r="AO54" s="686">
        <v>0</v>
      </c>
      <c r="AP54" s="687">
        <v>0</v>
      </c>
      <c r="AQ54" s="684">
        <f t="shared" si="17"/>
        <v>7.1428571428571426E-3</v>
      </c>
      <c r="AR54" s="682">
        <v>5.0000000000000001E-3</v>
      </c>
      <c r="AS54" s="684">
        <f t="shared" si="20"/>
        <v>1.2500000000000001E-2</v>
      </c>
      <c r="AT54" s="688">
        <v>1E-3</v>
      </c>
      <c r="AU54" s="682">
        <v>0</v>
      </c>
      <c r="AV54" s="684">
        <v>0</v>
      </c>
      <c r="AW54" s="689">
        <v>0</v>
      </c>
      <c r="AX54" s="690">
        <v>0</v>
      </c>
      <c r="AY54" s="689">
        <v>0</v>
      </c>
      <c r="AZ54" s="690">
        <v>0</v>
      </c>
      <c r="BA54" s="689">
        <v>0</v>
      </c>
      <c r="BB54" s="690">
        <v>0</v>
      </c>
      <c r="BC54" s="691">
        <v>0</v>
      </c>
      <c r="BD54" s="692">
        <v>0</v>
      </c>
      <c r="BE54" s="689">
        <v>0</v>
      </c>
      <c r="BF54" s="690">
        <v>0</v>
      </c>
      <c r="BG54" s="691">
        <v>0</v>
      </c>
      <c r="BH54" s="690">
        <v>0</v>
      </c>
      <c r="BI54" s="691">
        <v>0</v>
      </c>
      <c r="BJ54" s="690">
        <v>0</v>
      </c>
      <c r="BK54" s="691">
        <v>0</v>
      </c>
      <c r="BL54" s="690">
        <v>0</v>
      </c>
      <c r="BM54" s="691">
        <v>0</v>
      </c>
      <c r="BN54" s="690">
        <v>0</v>
      </c>
      <c r="BO54" s="691">
        <v>0</v>
      </c>
      <c r="BP54" s="690">
        <v>0</v>
      </c>
      <c r="BQ54" s="691">
        <v>0</v>
      </c>
      <c r="BR54" s="690">
        <v>0</v>
      </c>
      <c r="BS54" s="691">
        <v>0</v>
      </c>
      <c r="BT54" s="690">
        <v>0</v>
      </c>
      <c r="BU54" s="691">
        <v>0</v>
      </c>
      <c r="BV54" s="690">
        <v>0</v>
      </c>
      <c r="BW54" s="691">
        <v>0</v>
      </c>
      <c r="BX54" s="690">
        <v>0</v>
      </c>
      <c r="BY54" s="691">
        <v>0</v>
      </c>
      <c r="BZ54" s="690">
        <v>0</v>
      </c>
      <c r="CA54" s="691">
        <v>0</v>
      </c>
      <c r="CB54" s="690">
        <v>0</v>
      </c>
      <c r="CC54" s="689">
        <v>0</v>
      </c>
      <c r="CD54" s="692">
        <v>0</v>
      </c>
      <c r="CE54" s="689">
        <v>0</v>
      </c>
      <c r="CF54" s="692">
        <v>0</v>
      </c>
      <c r="CG54" s="689">
        <v>0</v>
      </c>
      <c r="CH54" s="692">
        <v>0</v>
      </c>
      <c r="CI54" s="689">
        <v>0</v>
      </c>
      <c r="CJ54" s="692">
        <v>0</v>
      </c>
      <c r="CK54" s="689">
        <v>0</v>
      </c>
      <c r="CL54" s="692">
        <v>0</v>
      </c>
      <c r="CM54" s="689">
        <v>0</v>
      </c>
      <c r="CN54" s="692">
        <v>0</v>
      </c>
      <c r="CO54" s="689">
        <v>0</v>
      </c>
      <c r="CP54" s="692">
        <v>0</v>
      </c>
      <c r="CQ54" s="689">
        <v>0</v>
      </c>
      <c r="CR54" s="690">
        <v>0</v>
      </c>
      <c r="CS54" s="689">
        <v>0</v>
      </c>
      <c r="CT54" s="690">
        <v>0</v>
      </c>
      <c r="CU54" s="691">
        <v>0</v>
      </c>
      <c r="CV54" s="690">
        <v>0</v>
      </c>
    </row>
    <row r="55" spans="1:100">
      <c r="A55" s="457">
        <v>53</v>
      </c>
      <c r="B55" s="577">
        <v>0</v>
      </c>
      <c r="C55" s="577">
        <v>0</v>
      </c>
      <c r="D55" s="577">
        <v>0</v>
      </c>
      <c r="E55" s="577">
        <v>0</v>
      </c>
      <c r="F55" s="577">
        <f t="shared" si="19"/>
        <v>1.2500000000000001E-2</v>
      </c>
      <c r="G55" s="577">
        <v>0.02</v>
      </c>
      <c r="H55" s="577">
        <v>0</v>
      </c>
      <c r="I55" s="577">
        <v>0</v>
      </c>
      <c r="J55" s="577">
        <v>0</v>
      </c>
      <c r="K55" s="577">
        <v>0</v>
      </c>
      <c r="L55" s="577">
        <v>0</v>
      </c>
      <c r="M55" s="577">
        <v>0</v>
      </c>
      <c r="N55" s="577">
        <v>0</v>
      </c>
      <c r="O55" s="577">
        <v>0</v>
      </c>
      <c r="P55" s="577">
        <v>0</v>
      </c>
      <c r="Q55" s="577">
        <v>0</v>
      </c>
      <c r="R55" s="577">
        <v>0</v>
      </c>
      <c r="S55" s="577">
        <v>0</v>
      </c>
      <c r="T55" s="577">
        <v>0.02</v>
      </c>
      <c r="U55" s="577">
        <v>0</v>
      </c>
      <c r="V55" s="577">
        <v>0</v>
      </c>
      <c r="W55" s="592">
        <v>0</v>
      </c>
      <c r="X55" s="685">
        <v>0</v>
      </c>
      <c r="Y55" s="685">
        <v>0</v>
      </c>
      <c r="Z55" s="685">
        <v>0</v>
      </c>
      <c r="AA55" s="685">
        <v>0</v>
      </c>
      <c r="AB55" s="685">
        <v>0</v>
      </c>
      <c r="AC55" s="685">
        <v>0</v>
      </c>
      <c r="AD55" s="685">
        <v>0</v>
      </c>
      <c r="AE55" s="910">
        <v>0</v>
      </c>
      <c r="AF55" s="911">
        <v>0</v>
      </c>
      <c r="AG55" s="912">
        <v>0</v>
      </c>
      <c r="AH55" s="685">
        <v>0</v>
      </c>
      <c r="AI55" s="684">
        <v>0</v>
      </c>
      <c r="AJ55" s="682">
        <v>0</v>
      </c>
      <c r="AK55" s="684">
        <v>0</v>
      </c>
      <c r="AL55" s="686">
        <v>0</v>
      </c>
      <c r="AM55" s="682">
        <v>0</v>
      </c>
      <c r="AN55" s="682">
        <v>0</v>
      </c>
      <c r="AO55" s="686">
        <v>0</v>
      </c>
      <c r="AP55" s="687">
        <v>0</v>
      </c>
      <c r="AQ55" s="684">
        <f t="shared" si="17"/>
        <v>7.1428571428571426E-3</v>
      </c>
      <c r="AR55" s="682">
        <v>5.0000000000000001E-3</v>
      </c>
      <c r="AS55" s="684">
        <f t="shared" si="20"/>
        <v>1.2500000000000001E-2</v>
      </c>
      <c r="AT55" s="688">
        <v>1E-3</v>
      </c>
      <c r="AU55" s="682">
        <v>0</v>
      </c>
      <c r="AV55" s="684">
        <v>0</v>
      </c>
      <c r="AW55" s="689">
        <v>0</v>
      </c>
      <c r="AX55" s="690">
        <v>0</v>
      </c>
      <c r="AY55" s="689">
        <v>0</v>
      </c>
      <c r="AZ55" s="690">
        <v>0</v>
      </c>
      <c r="BA55" s="689">
        <v>0</v>
      </c>
      <c r="BB55" s="690">
        <v>0</v>
      </c>
      <c r="BC55" s="691">
        <v>0</v>
      </c>
      <c r="BD55" s="692">
        <v>0</v>
      </c>
      <c r="BE55" s="689">
        <v>0</v>
      </c>
      <c r="BF55" s="690">
        <v>0</v>
      </c>
      <c r="BG55" s="691">
        <v>0</v>
      </c>
      <c r="BH55" s="690">
        <v>0</v>
      </c>
      <c r="BI55" s="691">
        <v>0</v>
      </c>
      <c r="BJ55" s="690">
        <v>0</v>
      </c>
      <c r="BK55" s="691">
        <v>0</v>
      </c>
      <c r="BL55" s="690">
        <v>0</v>
      </c>
      <c r="BM55" s="691">
        <v>0</v>
      </c>
      <c r="BN55" s="690">
        <v>0</v>
      </c>
      <c r="BO55" s="691">
        <v>0</v>
      </c>
      <c r="BP55" s="690">
        <v>0</v>
      </c>
      <c r="BQ55" s="691">
        <v>0</v>
      </c>
      <c r="BR55" s="690">
        <v>0</v>
      </c>
      <c r="BS55" s="691">
        <v>0</v>
      </c>
      <c r="BT55" s="690">
        <v>0</v>
      </c>
      <c r="BU55" s="691">
        <v>0</v>
      </c>
      <c r="BV55" s="690">
        <v>0</v>
      </c>
      <c r="BW55" s="691">
        <v>0</v>
      </c>
      <c r="BX55" s="690">
        <v>0</v>
      </c>
      <c r="BY55" s="691">
        <v>0</v>
      </c>
      <c r="BZ55" s="690">
        <v>0</v>
      </c>
      <c r="CA55" s="691">
        <v>0</v>
      </c>
      <c r="CB55" s="690">
        <v>0</v>
      </c>
      <c r="CC55" s="689">
        <v>0</v>
      </c>
      <c r="CD55" s="692">
        <v>0</v>
      </c>
      <c r="CE55" s="689">
        <v>0</v>
      </c>
      <c r="CF55" s="692">
        <v>0</v>
      </c>
      <c r="CG55" s="689">
        <v>0</v>
      </c>
      <c r="CH55" s="692">
        <v>0</v>
      </c>
      <c r="CI55" s="689">
        <v>0</v>
      </c>
      <c r="CJ55" s="692">
        <v>0</v>
      </c>
      <c r="CK55" s="689">
        <v>0</v>
      </c>
      <c r="CL55" s="692">
        <v>0</v>
      </c>
      <c r="CM55" s="689">
        <v>0</v>
      </c>
      <c r="CN55" s="692">
        <v>0</v>
      </c>
      <c r="CO55" s="689">
        <v>0</v>
      </c>
      <c r="CP55" s="692">
        <v>0</v>
      </c>
      <c r="CQ55" s="689">
        <v>0</v>
      </c>
      <c r="CR55" s="690">
        <v>0</v>
      </c>
      <c r="CS55" s="689">
        <v>0</v>
      </c>
      <c r="CT55" s="690">
        <v>0</v>
      </c>
      <c r="CU55" s="691">
        <v>0</v>
      </c>
      <c r="CV55" s="690">
        <v>0</v>
      </c>
    </row>
    <row r="56" spans="1:100">
      <c r="A56" s="457">
        <v>54</v>
      </c>
      <c r="B56" s="577">
        <v>0</v>
      </c>
      <c r="C56" s="577">
        <v>0</v>
      </c>
      <c r="D56" s="577">
        <v>0</v>
      </c>
      <c r="E56" s="577">
        <v>0</v>
      </c>
      <c r="F56" s="577">
        <f t="shared" si="19"/>
        <v>1.2500000000000001E-2</v>
      </c>
      <c r="G56" s="577">
        <v>0.02</v>
      </c>
      <c r="H56" s="577">
        <v>0</v>
      </c>
      <c r="I56" s="577">
        <v>0</v>
      </c>
      <c r="J56" s="577">
        <v>0</v>
      </c>
      <c r="K56" s="577">
        <v>0</v>
      </c>
      <c r="L56" s="577">
        <v>0</v>
      </c>
      <c r="M56" s="577">
        <v>0</v>
      </c>
      <c r="N56" s="577">
        <v>0</v>
      </c>
      <c r="O56" s="577">
        <v>0</v>
      </c>
      <c r="P56" s="577">
        <v>0</v>
      </c>
      <c r="Q56" s="577">
        <v>0</v>
      </c>
      <c r="R56" s="577">
        <v>0</v>
      </c>
      <c r="S56" s="577">
        <v>0</v>
      </c>
      <c r="T56" s="577">
        <v>0.02</v>
      </c>
      <c r="U56" s="577">
        <v>0</v>
      </c>
      <c r="V56" s="577">
        <v>0</v>
      </c>
      <c r="W56" s="592">
        <v>0</v>
      </c>
      <c r="X56" s="685">
        <v>0</v>
      </c>
      <c r="Y56" s="685">
        <v>0</v>
      </c>
      <c r="Z56" s="685">
        <v>0</v>
      </c>
      <c r="AA56" s="685">
        <v>0</v>
      </c>
      <c r="AB56" s="685">
        <v>0</v>
      </c>
      <c r="AC56" s="685">
        <v>0</v>
      </c>
      <c r="AD56" s="685">
        <v>0</v>
      </c>
      <c r="AE56" s="910">
        <v>0</v>
      </c>
      <c r="AF56" s="911">
        <v>0</v>
      </c>
      <c r="AG56" s="912">
        <v>0</v>
      </c>
      <c r="AH56" s="685">
        <v>0</v>
      </c>
      <c r="AI56" s="684">
        <v>0</v>
      </c>
      <c r="AJ56" s="682">
        <v>0</v>
      </c>
      <c r="AK56" s="684">
        <v>0</v>
      </c>
      <c r="AL56" s="686">
        <v>0</v>
      </c>
      <c r="AM56" s="682">
        <v>0</v>
      </c>
      <c r="AN56" s="682">
        <v>0</v>
      </c>
      <c r="AO56" s="686">
        <v>0</v>
      </c>
      <c r="AP56" s="687">
        <v>0</v>
      </c>
      <c r="AQ56" s="684">
        <f t="shared" si="17"/>
        <v>7.1428571428571426E-3</v>
      </c>
      <c r="AR56" s="682">
        <v>5.0000000000000001E-3</v>
      </c>
      <c r="AS56" s="684">
        <f t="shared" si="20"/>
        <v>1.2500000000000001E-2</v>
      </c>
      <c r="AT56" s="688">
        <v>1E-3</v>
      </c>
      <c r="AU56" s="682">
        <v>0</v>
      </c>
      <c r="AV56" s="684">
        <v>0</v>
      </c>
      <c r="AW56" s="689">
        <v>0</v>
      </c>
      <c r="AX56" s="690">
        <v>0</v>
      </c>
      <c r="AY56" s="689">
        <v>0</v>
      </c>
      <c r="AZ56" s="690">
        <v>0</v>
      </c>
      <c r="BA56" s="689">
        <v>0</v>
      </c>
      <c r="BB56" s="690">
        <v>0</v>
      </c>
      <c r="BC56" s="691">
        <v>0</v>
      </c>
      <c r="BD56" s="692">
        <v>0</v>
      </c>
      <c r="BE56" s="689">
        <v>0</v>
      </c>
      <c r="BF56" s="690">
        <v>0</v>
      </c>
      <c r="BG56" s="691">
        <v>0</v>
      </c>
      <c r="BH56" s="690">
        <v>0</v>
      </c>
      <c r="BI56" s="691">
        <v>0</v>
      </c>
      <c r="BJ56" s="690">
        <v>0</v>
      </c>
      <c r="BK56" s="691">
        <v>0</v>
      </c>
      <c r="BL56" s="690">
        <v>0</v>
      </c>
      <c r="BM56" s="691">
        <v>0</v>
      </c>
      <c r="BN56" s="690">
        <v>0</v>
      </c>
      <c r="BO56" s="691">
        <v>0</v>
      </c>
      <c r="BP56" s="690">
        <v>0</v>
      </c>
      <c r="BQ56" s="691">
        <v>0</v>
      </c>
      <c r="BR56" s="690">
        <v>0</v>
      </c>
      <c r="BS56" s="691">
        <v>0</v>
      </c>
      <c r="BT56" s="690">
        <v>0</v>
      </c>
      <c r="BU56" s="691">
        <v>0</v>
      </c>
      <c r="BV56" s="690">
        <v>0</v>
      </c>
      <c r="BW56" s="691">
        <v>0</v>
      </c>
      <c r="BX56" s="690">
        <v>0</v>
      </c>
      <c r="BY56" s="691">
        <v>0</v>
      </c>
      <c r="BZ56" s="690">
        <v>0</v>
      </c>
      <c r="CA56" s="691">
        <v>0</v>
      </c>
      <c r="CB56" s="690">
        <v>0</v>
      </c>
      <c r="CC56" s="689">
        <v>0</v>
      </c>
      <c r="CD56" s="692">
        <v>0</v>
      </c>
      <c r="CE56" s="689">
        <v>0</v>
      </c>
      <c r="CF56" s="692">
        <v>0</v>
      </c>
      <c r="CG56" s="689">
        <v>0</v>
      </c>
      <c r="CH56" s="692">
        <v>0</v>
      </c>
      <c r="CI56" s="689">
        <v>0</v>
      </c>
      <c r="CJ56" s="692">
        <v>0</v>
      </c>
      <c r="CK56" s="689">
        <v>0</v>
      </c>
      <c r="CL56" s="692">
        <v>0</v>
      </c>
      <c r="CM56" s="689">
        <v>0</v>
      </c>
      <c r="CN56" s="692">
        <v>0</v>
      </c>
      <c r="CO56" s="689">
        <v>0</v>
      </c>
      <c r="CP56" s="692">
        <v>0</v>
      </c>
      <c r="CQ56" s="689">
        <v>0</v>
      </c>
      <c r="CR56" s="690">
        <v>0</v>
      </c>
      <c r="CS56" s="689">
        <v>0</v>
      </c>
      <c r="CT56" s="690">
        <v>0</v>
      </c>
      <c r="CU56" s="691">
        <v>0</v>
      </c>
      <c r="CV56" s="690">
        <v>0</v>
      </c>
    </row>
    <row r="57" spans="1:100">
      <c r="A57" s="457">
        <v>55</v>
      </c>
      <c r="B57" s="577">
        <v>0</v>
      </c>
      <c r="C57" s="577">
        <v>0</v>
      </c>
      <c r="D57" s="577">
        <v>0</v>
      </c>
      <c r="E57" s="577">
        <v>0</v>
      </c>
      <c r="F57" s="577">
        <f t="shared" si="19"/>
        <v>1.2500000000000001E-2</v>
      </c>
      <c r="G57" s="577">
        <v>0.02</v>
      </c>
      <c r="H57" s="577">
        <v>0</v>
      </c>
      <c r="I57" s="577">
        <v>0</v>
      </c>
      <c r="J57" s="577">
        <v>0</v>
      </c>
      <c r="K57" s="577">
        <v>0</v>
      </c>
      <c r="L57" s="577">
        <v>0</v>
      </c>
      <c r="M57" s="577">
        <v>0</v>
      </c>
      <c r="N57" s="577">
        <v>0</v>
      </c>
      <c r="O57" s="577">
        <v>0</v>
      </c>
      <c r="P57" s="577">
        <v>0</v>
      </c>
      <c r="Q57" s="577">
        <v>0</v>
      </c>
      <c r="R57" s="577">
        <v>0</v>
      </c>
      <c r="S57" s="577">
        <v>0</v>
      </c>
      <c r="T57" s="577">
        <v>0.02</v>
      </c>
      <c r="U57" s="577">
        <v>0</v>
      </c>
      <c r="V57" s="577">
        <v>0</v>
      </c>
      <c r="W57" s="592">
        <v>0</v>
      </c>
      <c r="X57" s="685">
        <v>0</v>
      </c>
      <c r="Y57" s="685">
        <v>0</v>
      </c>
      <c r="Z57" s="685">
        <v>0</v>
      </c>
      <c r="AA57" s="685">
        <v>0</v>
      </c>
      <c r="AB57" s="685">
        <v>0</v>
      </c>
      <c r="AC57" s="685">
        <v>0</v>
      </c>
      <c r="AD57" s="685">
        <v>0</v>
      </c>
      <c r="AE57" s="910">
        <v>0</v>
      </c>
      <c r="AF57" s="911">
        <v>0</v>
      </c>
      <c r="AG57" s="912">
        <v>0</v>
      </c>
      <c r="AH57" s="685">
        <v>0</v>
      </c>
      <c r="AI57" s="684">
        <v>0</v>
      </c>
      <c r="AJ57" s="682">
        <v>0</v>
      </c>
      <c r="AK57" s="684">
        <v>0</v>
      </c>
      <c r="AL57" s="686">
        <v>0</v>
      </c>
      <c r="AM57" s="682">
        <v>0</v>
      </c>
      <c r="AN57" s="682">
        <v>0</v>
      </c>
      <c r="AO57" s="686">
        <v>0</v>
      </c>
      <c r="AP57" s="687">
        <v>0</v>
      </c>
      <c r="AQ57" s="684">
        <f t="shared" si="17"/>
        <v>7.1428571428571426E-3</v>
      </c>
      <c r="AR57" s="682">
        <v>5.0000000000000001E-3</v>
      </c>
      <c r="AS57" s="684">
        <f t="shared" si="20"/>
        <v>1.2500000000000001E-2</v>
      </c>
      <c r="AT57" s="688">
        <v>1E-3</v>
      </c>
      <c r="AU57" s="682">
        <v>0</v>
      </c>
      <c r="AV57" s="684">
        <v>0</v>
      </c>
      <c r="AW57" s="689">
        <v>0</v>
      </c>
      <c r="AX57" s="690">
        <v>0</v>
      </c>
      <c r="AY57" s="689">
        <v>0</v>
      </c>
      <c r="AZ57" s="690">
        <v>0</v>
      </c>
      <c r="BA57" s="689">
        <v>0</v>
      </c>
      <c r="BB57" s="690">
        <v>0</v>
      </c>
      <c r="BC57" s="691">
        <v>0</v>
      </c>
      <c r="BD57" s="692">
        <v>0</v>
      </c>
      <c r="BE57" s="689">
        <v>0</v>
      </c>
      <c r="BF57" s="690">
        <v>0</v>
      </c>
      <c r="BG57" s="691">
        <v>0</v>
      </c>
      <c r="BH57" s="690">
        <v>0</v>
      </c>
      <c r="BI57" s="691">
        <v>0</v>
      </c>
      <c r="BJ57" s="690">
        <v>0</v>
      </c>
      <c r="BK57" s="691">
        <v>0</v>
      </c>
      <c r="BL57" s="690">
        <v>0</v>
      </c>
      <c r="BM57" s="691">
        <v>0</v>
      </c>
      <c r="BN57" s="690">
        <v>0</v>
      </c>
      <c r="BO57" s="691">
        <v>0</v>
      </c>
      <c r="BP57" s="690">
        <v>0</v>
      </c>
      <c r="BQ57" s="691">
        <v>0</v>
      </c>
      <c r="BR57" s="690">
        <v>0</v>
      </c>
      <c r="BS57" s="691">
        <v>0</v>
      </c>
      <c r="BT57" s="690">
        <v>0</v>
      </c>
      <c r="BU57" s="691">
        <v>0</v>
      </c>
      <c r="BV57" s="690">
        <v>0</v>
      </c>
      <c r="BW57" s="691">
        <v>0</v>
      </c>
      <c r="BX57" s="690">
        <v>0</v>
      </c>
      <c r="BY57" s="691">
        <v>0</v>
      </c>
      <c r="BZ57" s="690">
        <v>0</v>
      </c>
      <c r="CA57" s="691">
        <v>0</v>
      </c>
      <c r="CB57" s="690">
        <v>0</v>
      </c>
      <c r="CC57" s="689">
        <v>0</v>
      </c>
      <c r="CD57" s="692">
        <v>0</v>
      </c>
      <c r="CE57" s="689">
        <v>0</v>
      </c>
      <c r="CF57" s="692">
        <v>0</v>
      </c>
      <c r="CG57" s="689">
        <v>0</v>
      </c>
      <c r="CH57" s="692">
        <v>0</v>
      </c>
      <c r="CI57" s="689">
        <v>0</v>
      </c>
      <c r="CJ57" s="692">
        <v>0</v>
      </c>
      <c r="CK57" s="689">
        <v>0</v>
      </c>
      <c r="CL57" s="692">
        <v>0</v>
      </c>
      <c r="CM57" s="689">
        <v>0</v>
      </c>
      <c r="CN57" s="692">
        <v>0</v>
      </c>
      <c r="CO57" s="689">
        <v>0</v>
      </c>
      <c r="CP57" s="692">
        <v>0</v>
      </c>
      <c r="CQ57" s="689">
        <v>0</v>
      </c>
      <c r="CR57" s="690">
        <v>0</v>
      </c>
      <c r="CS57" s="689">
        <v>0</v>
      </c>
      <c r="CT57" s="690">
        <v>0</v>
      </c>
      <c r="CU57" s="691">
        <v>0</v>
      </c>
      <c r="CV57" s="690">
        <v>0</v>
      </c>
    </row>
    <row r="58" spans="1:100">
      <c r="A58" s="457">
        <v>56</v>
      </c>
      <c r="B58" s="577">
        <v>0</v>
      </c>
      <c r="C58" s="577">
        <v>0</v>
      </c>
      <c r="D58" s="577">
        <v>0</v>
      </c>
      <c r="E58" s="577">
        <v>0</v>
      </c>
      <c r="F58" s="577">
        <f t="shared" si="19"/>
        <v>1.2500000000000001E-2</v>
      </c>
      <c r="G58" s="577">
        <v>0.02</v>
      </c>
      <c r="H58" s="577">
        <v>0</v>
      </c>
      <c r="I58" s="577">
        <v>0</v>
      </c>
      <c r="J58" s="577">
        <v>0</v>
      </c>
      <c r="K58" s="577">
        <v>0</v>
      </c>
      <c r="L58" s="577">
        <v>0</v>
      </c>
      <c r="M58" s="577">
        <v>0</v>
      </c>
      <c r="N58" s="577">
        <v>0</v>
      </c>
      <c r="O58" s="577">
        <v>0</v>
      </c>
      <c r="P58" s="577">
        <v>0</v>
      </c>
      <c r="Q58" s="577">
        <v>0</v>
      </c>
      <c r="R58" s="577">
        <v>0</v>
      </c>
      <c r="S58" s="577">
        <v>0</v>
      </c>
      <c r="T58" s="577">
        <v>0.02</v>
      </c>
      <c r="U58" s="577">
        <v>0</v>
      </c>
      <c r="V58" s="577">
        <v>0</v>
      </c>
      <c r="W58" s="592">
        <v>0</v>
      </c>
      <c r="X58" s="685">
        <v>0</v>
      </c>
      <c r="Y58" s="685">
        <v>0</v>
      </c>
      <c r="Z58" s="685">
        <v>0</v>
      </c>
      <c r="AA58" s="685">
        <v>0</v>
      </c>
      <c r="AB58" s="685">
        <v>0</v>
      </c>
      <c r="AC58" s="685">
        <v>0</v>
      </c>
      <c r="AD58" s="685">
        <v>0</v>
      </c>
      <c r="AE58" s="910">
        <v>0</v>
      </c>
      <c r="AF58" s="911">
        <v>0</v>
      </c>
      <c r="AG58" s="912">
        <v>0</v>
      </c>
      <c r="AH58" s="685">
        <v>0</v>
      </c>
      <c r="AI58" s="684">
        <v>0</v>
      </c>
      <c r="AJ58" s="682">
        <v>0</v>
      </c>
      <c r="AK58" s="684">
        <v>0</v>
      </c>
      <c r="AL58" s="686">
        <v>0</v>
      </c>
      <c r="AM58" s="682">
        <v>0</v>
      </c>
      <c r="AN58" s="682">
        <v>0</v>
      </c>
      <c r="AO58" s="686">
        <v>0</v>
      </c>
      <c r="AP58" s="687">
        <v>0</v>
      </c>
      <c r="AQ58" s="684">
        <f t="shared" si="17"/>
        <v>7.1428571428571426E-3</v>
      </c>
      <c r="AR58" s="682">
        <v>5.0000000000000001E-3</v>
      </c>
      <c r="AS58" s="684">
        <f t="shared" si="20"/>
        <v>1.2500000000000001E-2</v>
      </c>
      <c r="AT58" s="688">
        <v>1E-3</v>
      </c>
      <c r="AU58" s="682">
        <v>0</v>
      </c>
      <c r="AV58" s="684">
        <v>0</v>
      </c>
      <c r="AW58" s="689">
        <v>0</v>
      </c>
      <c r="AX58" s="690">
        <v>0</v>
      </c>
      <c r="AY58" s="689">
        <v>0</v>
      </c>
      <c r="AZ58" s="690">
        <v>0</v>
      </c>
      <c r="BA58" s="689">
        <v>0</v>
      </c>
      <c r="BB58" s="690">
        <v>0</v>
      </c>
      <c r="BC58" s="691">
        <v>0</v>
      </c>
      <c r="BD58" s="692">
        <v>0</v>
      </c>
      <c r="BE58" s="689">
        <v>0</v>
      </c>
      <c r="BF58" s="690">
        <v>0</v>
      </c>
      <c r="BG58" s="691">
        <v>0</v>
      </c>
      <c r="BH58" s="690">
        <v>0</v>
      </c>
      <c r="BI58" s="691">
        <v>0</v>
      </c>
      <c r="BJ58" s="690">
        <v>0</v>
      </c>
      <c r="BK58" s="691">
        <v>0</v>
      </c>
      <c r="BL58" s="690">
        <v>0</v>
      </c>
      <c r="BM58" s="691">
        <v>0</v>
      </c>
      <c r="BN58" s="690">
        <v>0</v>
      </c>
      <c r="BO58" s="691">
        <v>0</v>
      </c>
      <c r="BP58" s="690">
        <v>0</v>
      </c>
      <c r="BQ58" s="691">
        <v>0</v>
      </c>
      <c r="BR58" s="690">
        <v>0</v>
      </c>
      <c r="BS58" s="691">
        <v>0</v>
      </c>
      <c r="BT58" s="690">
        <v>0</v>
      </c>
      <c r="BU58" s="691">
        <v>0</v>
      </c>
      <c r="BV58" s="690">
        <v>0</v>
      </c>
      <c r="BW58" s="691">
        <v>0</v>
      </c>
      <c r="BX58" s="690">
        <v>0</v>
      </c>
      <c r="BY58" s="691">
        <v>0</v>
      </c>
      <c r="BZ58" s="690">
        <v>0</v>
      </c>
      <c r="CA58" s="691">
        <v>0</v>
      </c>
      <c r="CB58" s="690">
        <v>0</v>
      </c>
      <c r="CC58" s="689">
        <v>0</v>
      </c>
      <c r="CD58" s="692">
        <v>0</v>
      </c>
      <c r="CE58" s="689">
        <v>0</v>
      </c>
      <c r="CF58" s="692">
        <v>0</v>
      </c>
      <c r="CG58" s="689">
        <v>0</v>
      </c>
      <c r="CH58" s="692">
        <v>0</v>
      </c>
      <c r="CI58" s="689">
        <v>0</v>
      </c>
      <c r="CJ58" s="692">
        <v>0</v>
      </c>
      <c r="CK58" s="689">
        <v>0</v>
      </c>
      <c r="CL58" s="692">
        <v>0</v>
      </c>
      <c r="CM58" s="689">
        <v>0</v>
      </c>
      <c r="CN58" s="692">
        <v>0</v>
      </c>
      <c r="CO58" s="689">
        <v>0</v>
      </c>
      <c r="CP58" s="692">
        <v>0</v>
      </c>
      <c r="CQ58" s="689">
        <v>0</v>
      </c>
      <c r="CR58" s="690">
        <v>0</v>
      </c>
      <c r="CS58" s="689">
        <v>0</v>
      </c>
      <c r="CT58" s="690">
        <v>0</v>
      </c>
      <c r="CU58" s="691">
        <v>0</v>
      </c>
      <c r="CV58" s="690">
        <v>0</v>
      </c>
    </row>
    <row r="59" spans="1:100">
      <c r="A59" s="457">
        <v>57</v>
      </c>
      <c r="B59" s="577">
        <v>0</v>
      </c>
      <c r="C59" s="577">
        <v>0</v>
      </c>
      <c r="D59" s="577">
        <v>0</v>
      </c>
      <c r="E59" s="577">
        <v>0</v>
      </c>
      <c r="F59" s="577">
        <f t="shared" si="19"/>
        <v>1.2500000000000001E-2</v>
      </c>
      <c r="G59" s="577">
        <v>0.02</v>
      </c>
      <c r="H59" s="577">
        <v>0</v>
      </c>
      <c r="I59" s="577">
        <v>0</v>
      </c>
      <c r="J59" s="577">
        <v>0</v>
      </c>
      <c r="K59" s="577">
        <v>0</v>
      </c>
      <c r="L59" s="577">
        <v>0</v>
      </c>
      <c r="M59" s="577">
        <v>0</v>
      </c>
      <c r="N59" s="577">
        <v>0</v>
      </c>
      <c r="O59" s="577">
        <v>0</v>
      </c>
      <c r="P59" s="577">
        <v>0</v>
      </c>
      <c r="Q59" s="577">
        <v>0</v>
      </c>
      <c r="R59" s="577">
        <v>0</v>
      </c>
      <c r="S59" s="577">
        <v>0</v>
      </c>
      <c r="T59" s="577">
        <v>0.02</v>
      </c>
      <c r="U59" s="577">
        <v>0</v>
      </c>
      <c r="V59" s="577">
        <v>0</v>
      </c>
      <c r="W59" s="592">
        <v>0</v>
      </c>
      <c r="X59" s="685">
        <v>0</v>
      </c>
      <c r="Y59" s="685">
        <v>0</v>
      </c>
      <c r="Z59" s="685">
        <v>0</v>
      </c>
      <c r="AA59" s="685">
        <v>0</v>
      </c>
      <c r="AB59" s="685">
        <v>0</v>
      </c>
      <c r="AC59" s="685">
        <v>0</v>
      </c>
      <c r="AD59" s="685">
        <v>0</v>
      </c>
      <c r="AE59" s="910">
        <v>0</v>
      </c>
      <c r="AF59" s="911">
        <v>0</v>
      </c>
      <c r="AG59" s="912">
        <v>0</v>
      </c>
      <c r="AH59" s="685">
        <v>0</v>
      </c>
      <c r="AI59" s="684">
        <v>0</v>
      </c>
      <c r="AJ59" s="682">
        <v>0</v>
      </c>
      <c r="AK59" s="684">
        <v>0</v>
      </c>
      <c r="AL59" s="686">
        <v>0</v>
      </c>
      <c r="AM59" s="682">
        <v>0</v>
      </c>
      <c r="AN59" s="682">
        <v>0</v>
      </c>
      <c r="AO59" s="686">
        <v>0</v>
      </c>
      <c r="AP59" s="687">
        <v>0</v>
      </c>
      <c r="AQ59" s="684">
        <f t="shared" si="17"/>
        <v>7.1428571428571426E-3</v>
      </c>
      <c r="AR59" s="682">
        <v>5.0000000000000001E-3</v>
      </c>
      <c r="AS59" s="684">
        <f t="shared" si="20"/>
        <v>1.2500000000000001E-2</v>
      </c>
      <c r="AT59" s="688">
        <v>1E-3</v>
      </c>
      <c r="AU59" s="682">
        <v>0</v>
      </c>
      <c r="AV59" s="684">
        <v>0</v>
      </c>
      <c r="AW59" s="689">
        <v>0</v>
      </c>
      <c r="AX59" s="690">
        <v>0</v>
      </c>
      <c r="AY59" s="689">
        <v>0</v>
      </c>
      <c r="AZ59" s="690">
        <v>0</v>
      </c>
      <c r="BA59" s="689">
        <v>0</v>
      </c>
      <c r="BB59" s="690">
        <v>0</v>
      </c>
      <c r="BC59" s="691">
        <v>0</v>
      </c>
      <c r="BD59" s="692">
        <v>0</v>
      </c>
      <c r="BE59" s="689">
        <v>0</v>
      </c>
      <c r="BF59" s="690">
        <v>0</v>
      </c>
      <c r="BG59" s="691">
        <v>0</v>
      </c>
      <c r="BH59" s="690">
        <v>0</v>
      </c>
      <c r="BI59" s="691">
        <v>0</v>
      </c>
      <c r="BJ59" s="690">
        <v>0</v>
      </c>
      <c r="BK59" s="691">
        <v>0</v>
      </c>
      <c r="BL59" s="690">
        <v>0</v>
      </c>
      <c r="BM59" s="691">
        <v>0</v>
      </c>
      <c r="BN59" s="690">
        <v>0</v>
      </c>
      <c r="BO59" s="691">
        <v>0</v>
      </c>
      <c r="BP59" s="690">
        <v>0</v>
      </c>
      <c r="BQ59" s="691">
        <v>0</v>
      </c>
      <c r="BR59" s="690">
        <v>0</v>
      </c>
      <c r="BS59" s="691">
        <v>0</v>
      </c>
      <c r="BT59" s="690">
        <v>0</v>
      </c>
      <c r="BU59" s="691">
        <v>0</v>
      </c>
      <c r="BV59" s="690">
        <v>0</v>
      </c>
      <c r="BW59" s="691">
        <v>0</v>
      </c>
      <c r="BX59" s="690">
        <v>0</v>
      </c>
      <c r="BY59" s="691">
        <v>0</v>
      </c>
      <c r="BZ59" s="690">
        <v>0</v>
      </c>
      <c r="CA59" s="691">
        <v>0</v>
      </c>
      <c r="CB59" s="690">
        <v>0</v>
      </c>
      <c r="CC59" s="689">
        <v>0</v>
      </c>
      <c r="CD59" s="692">
        <v>0</v>
      </c>
      <c r="CE59" s="689">
        <v>0</v>
      </c>
      <c r="CF59" s="692">
        <v>0</v>
      </c>
      <c r="CG59" s="689">
        <v>0</v>
      </c>
      <c r="CH59" s="692">
        <v>0</v>
      </c>
      <c r="CI59" s="689">
        <v>0</v>
      </c>
      <c r="CJ59" s="692">
        <v>0</v>
      </c>
      <c r="CK59" s="689">
        <v>0</v>
      </c>
      <c r="CL59" s="692">
        <v>0</v>
      </c>
      <c r="CM59" s="689">
        <v>0</v>
      </c>
      <c r="CN59" s="692">
        <v>0</v>
      </c>
      <c r="CO59" s="689">
        <v>0</v>
      </c>
      <c r="CP59" s="692">
        <v>0</v>
      </c>
      <c r="CQ59" s="689">
        <v>0</v>
      </c>
      <c r="CR59" s="690">
        <v>0</v>
      </c>
      <c r="CS59" s="689">
        <v>0</v>
      </c>
      <c r="CT59" s="690">
        <v>0</v>
      </c>
      <c r="CU59" s="691">
        <v>0</v>
      </c>
      <c r="CV59" s="690">
        <v>0</v>
      </c>
    </row>
    <row r="60" spans="1:100">
      <c r="A60" s="457">
        <v>58</v>
      </c>
      <c r="B60" s="577">
        <v>0</v>
      </c>
      <c r="C60" s="577">
        <v>0</v>
      </c>
      <c r="D60" s="577">
        <v>0</v>
      </c>
      <c r="E60" s="577">
        <v>0</v>
      </c>
      <c r="F60" s="577">
        <f t="shared" si="19"/>
        <v>1.2500000000000001E-2</v>
      </c>
      <c r="G60" s="577">
        <v>0.02</v>
      </c>
      <c r="H60" s="577">
        <v>0</v>
      </c>
      <c r="I60" s="577">
        <v>0</v>
      </c>
      <c r="J60" s="577">
        <v>0</v>
      </c>
      <c r="K60" s="577">
        <v>0</v>
      </c>
      <c r="L60" s="577">
        <v>0</v>
      </c>
      <c r="M60" s="577">
        <v>0</v>
      </c>
      <c r="N60" s="577">
        <v>0</v>
      </c>
      <c r="O60" s="577">
        <v>0</v>
      </c>
      <c r="P60" s="577">
        <v>0</v>
      </c>
      <c r="Q60" s="577">
        <v>0</v>
      </c>
      <c r="R60" s="577">
        <v>0</v>
      </c>
      <c r="S60" s="577">
        <v>0</v>
      </c>
      <c r="T60" s="577">
        <v>0.02</v>
      </c>
      <c r="U60" s="577">
        <v>0</v>
      </c>
      <c r="V60" s="577">
        <v>0</v>
      </c>
      <c r="W60" s="592">
        <v>0</v>
      </c>
      <c r="X60" s="685">
        <v>0</v>
      </c>
      <c r="Y60" s="685">
        <v>0</v>
      </c>
      <c r="Z60" s="685">
        <v>0</v>
      </c>
      <c r="AA60" s="685">
        <v>0</v>
      </c>
      <c r="AB60" s="685">
        <v>0</v>
      </c>
      <c r="AC60" s="685">
        <v>0</v>
      </c>
      <c r="AD60" s="685">
        <v>0</v>
      </c>
      <c r="AE60" s="910">
        <v>0</v>
      </c>
      <c r="AF60" s="911">
        <v>0</v>
      </c>
      <c r="AG60" s="912">
        <v>0</v>
      </c>
      <c r="AH60" s="685">
        <v>0</v>
      </c>
      <c r="AI60" s="684">
        <v>0</v>
      </c>
      <c r="AJ60" s="682">
        <v>0</v>
      </c>
      <c r="AK60" s="684">
        <v>0</v>
      </c>
      <c r="AL60" s="686">
        <v>0</v>
      </c>
      <c r="AM60" s="682">
        <v>0</v>
      </c>
      <c r="AN60" s="682">
        <v>0</v>
      </c>
      <c r="AO60" s="686">
        <v>0</v>
      </c>
      <c r="AP60" s="687">
        <v>0</v>
      </c>
      <c r="AQ60" s="684">
        <f t="shared" si="17"/>
        <v>7.1428571428571426E-3</v>
      </c>
      <c r="AR60" s="682">
        <v>5.0000000000000001E-3</v>
      </c>
      <c r="AS60" s="684">
        <f t="shared" si="20"/>
        <v>1.2500000000000001E-2</v>
      </c>
      <c r="AT60" s="688">
        <v>1E-3</v>
      </c>
      <c r="AU60" s="682">
        <v>0</v>
      </c>
      <c r="AV60" s="684">
        <v>0</v>
      </c>
      <c r="AW60" s="689">
        <v>0</v>
      </c>
      <c r="AX60" s="690">
        <v>0</v>
      </c>
      <c r="AY60" s="689">
        <v>0</v>
      </c>
      <c r="AZ60" s="690">
        <v>0</v>
      </c>
      <c r="BA60" s="689">
        <v>0</v>
      </c>
      <c r="BB60" s="690">
        <v>0</v>
      </c>
      <c r="BC60" s="691">
        <v>0</v>
      </c>
      <c r="BD60" s="692">
        <v>0</v>
      </c>
      <c r="BE60" s="689">
        <v>0</v>
      </c>
      <c r="BF60" s="690">
        <v>0</v>
      </c>
      <c r="BG60" s="691">
        <v>0</v>
      </c>
      <c r="BH60" s="690">
        <v>0</v>
      </c>
      <c r="BI60" s="691">
        <v>0</v>
      </c>
      <c r="BJ60" s="690">
        <v>0</v>
      </c>
      <c r="BK60" s="691">
        <v>0</v>
      </c>
      <c r="BL60" s="690">
        <v>0</v>
      </c>
      <c r="BM60" s="691">
        <v>0</v>
      </c>
      <c r="BN60" s="690">
        <v>0</v>
      </c>
      <c r="BO60" s="691">
        <v>0</v>
      </c>
      <c r="BP60" s="690">
        <v>0</v>
      </c>
      <c r="BQ60" s="691">
        <v>0</v>
      </c>
      <c r="BR60" s="690">
        <v>0</v>
      </c>
      <c r="BS60" s="691">
        <v>0</v>
      </c>
      <c r="BT60" s="690">
        <v>0</v>
      </c>
      <c r="BU60" s="691">
        <v>0</v>
      </c>
      <c r="BV60" s="690">
        <v>0</v>
      </c>
      <c r="BW60" s="691">
        <v>0</v>
      </c>
      <c r="BX60" s="690">
        <v>0</v>
      </c>
      <c r="BY60" s="691">
        <v>0</v>
      </c>
      <c r="BZ60" s="690">
        <v>0</v>
      </c>
      <c r="CA60" s="691">
        <v>0</v>
      </c>
      <c r="CB60" s="690">
        <v>0</v>
      </c>
      <c r="CC60" s="689">
        <v>0</v>
      </c>
      <c r="CD60" s="692">
        <v>0</v>
      </c>
      <c r="CE60" s="689">
        <v>0</v>
      </c>
      <c r="CF60" s="692">
        <v>0</v>
      </c>
      <c r="CG60" s="689">
        <v>0</v>
      </c>
      <c r="CH60" s="692">
        <v>0</v>
      </c>
      <c r="CI60" s="689">
        <v>0</v>
      </c>
      <c r="CJ60" s="692">
        <v>0</v>
      </c>
      <c r="CK60" s="689">
        <v>0</v>
      </c>
      <c r="CL60" s="692">
        <v>0</v>
      </c>
      <c r="CM60" s="689">
        <v>0</v>
      </c>
      <c r="CN60" s="692">
        <v>0</v>
      </c>
      <c r="CO60" s="689">
        <v>0</v>
      </c>
      <c r="CP60" s="692">
        <v>0</v>
      </c>
      <c r="CQ60" s="689">
        <v>0</v>
      </c>
      <c r="CR60" s="690">
        <v>0</v>
      </c>
      <c r="CS60" s="689">
        <v>0</v>
      </c>
      <c r="CT60" s="690">
        <v>0</v>
      </c>
      <c r="CU60" s="691">
        <v>0</v>
      </c>
      <c r="CV60" s="690">
        <v>0</v>
      </c>
    </row>
    <row r="61" spans="1:100">
      <c r="A61" s="457">
        <v>59</v>
      </c>
      <c r="B61" s="577">
        <v>0</v>
      </c>
      <c r="C61" s="577">
        <v>0</v>
      </c>
      <c r="D61" s="577">
        <v>0</v>
      </c>
      <c r="E61" s="577">
        <v>0</v>
      </c>
      <c r="F61" s="577">
        <f t="shared" si="19"/>
        <v>1.2500000000000001E-2</v>
      </c>
      <c r="G61" s="577">
        <v>0.02</v>
      </c>
      <c r="H61" s="577">
        <v>0</v>
      </c>
      <c r="I61" s="577">
        <v>0</v>
      </c>
      <c r="J61" s="577">
        <v>0</v>
      </c>
      <c r="K61" s="577">
        <v>0</v>
      </c>
      <c r="L61" s="577">
        <v>0</v>
      </c>
      <c r="M61" s="577">
        <v>0</v>
      </c>
      <c r="N61" s="577">
        <v>0</v>
      </c>
      <c r="O61" s="577">
        <v>0</v>
      </c>
      <c r="P61" s="577">
        <v>0</v>
      </c>
      <c r="Q61" s="577">
        <v>0</v>
      </c>
      <c r="R61" s="577">
        <v>0</v>
      </c>
      <c r="S61" s="577">
        <v>0</v>
      </c>
      <c r="T61" s="577">
        <v>0.02</v>
      </c>
      <c r="U61" s="577">
        <v>0</v>
      </c>
      <c r="V61" s="577">
        <v>0</v>
      </c>
      <c r="W61" s="592">
        <v>0</v>
      </c>
      <c r="X61" s="685">
        <v>0</v>
      </c>
      <c r="Y61" s="685">
        <v>0</v>
      </c>
      <c r="Z61" s="685">
        <v>0</v>
      </c>
      <c r="AA61" s="685">
        <v>0</v>
      </c>
      <c r="AB61" s="685">
        <v>0</v>
      </c>
      <c r="AC61" s="685">
        <v>0</v>
      </c>
      <c r="AD61" s="685">
        <v>0</v>
      </c>
      <c r="AE61" s="910">
        <v>0</v>
      </c>
      <c r="AF61" s="911">
        <v>0</v>
      </c>
      <c r="AG61" s="912">
        <v>0</v>
      </c>
      <c r="AH61" s="685">
        <v>0</v>
      </c>
      <c r="AI61" s="684">
        <v>0</v>
      </c>
      <c r="AJ61" s="682">
        <v>0</v>
      </c>
      <c r="AK61" s="684">
        <v>0</v>
      </c>
      <c r="AL61" s="686">
        <v>0</v>
      </c>
      <c r="AM61" s="682">
        <v>0</v>
      </c>
      <c r="AN61" s="682">
        <v>0</v>
      </c>
      <c r="AO61" s="686">
        <v>0</v>
      </c>
      <c r="AP61" s="687">
        <v>0</v>
      </c>
      <c r="AQ61" s="684">
        <f t="shared" si="17"/>
        <v>7.1428571428571426E-3</v>
      </c>
      <c r="AR61" s="682">
        <v>5.0000000000000001E-3</v>
      </c>
      <c r="AS61" s="684">
        <f t="shared" si="20"/>
        <v>1.2500000000000001E-2</v>
      </c>
      <c r="AT61" s="688">
        <v>1E-3</v>
      </c>
      <c r="AU61" s="682">
        <v>0</v>
      </c>
      <c r="AV61" s="684">
        <v>0</v>
      </c>
      <c r="AW61" s="689">
        <v>0</v>
      </c>
      <c r="AX61" s="690">
        <v>0</v>
      </c>
      <c r="AY61" s="689">
        <v>0</v>
      </c>
      <c r="AZ61" s="690">
        <v>0</v>
      </c>
      <c r="BA61" s="689">
        <v>0</v>
      </c>
      <c r="BB61" s="690">
        <v>0</v>
      </c>
      <c r="BC61" s="691">
        <v>0</v>
      </c>
      <c r="BD61" s="692">
        <v>0</v>
      </c>
      <c r="BE61" s="689">
        <v>0</v>
      </c>
      <c r="BF61" s="690">
        <v>0</v>
      </c>
      <c r="BG61" s="691">
        <v>0</v>
      </c>
      <c r="BH61" s="690">
        <v>0</v>
      </c>
      <c r="BI61" s="691">
        <v>0</v>
      </c>
      <c r="BJ61" s="690">
        <v>0</v>
      </c>
      <c r="BK61" s="691">
        <v>0</v>
      </c>
      <c r="BL61" s="690">
        <v>0</v>
      </c>
      <c r="BM61" s="691">
        <v>0</v>
      </c>
      <c r="BN61" s="690">
        <v>0</v>
      </c>
      <c r="BO61" s="691">
        <v>0</v>
      </c>
      <c r="BP61" s="690">
        <v>0</v>
      </c>
      <c r="BQ61" s="691">
        <v>0</v>
      </c>
      <c r="BR61" s="690">
        <v>0</v>
      </c>
      <c r="BS61" s="691">
        <v>0</v>
      </c>
      <c r="BT61" s="690">
        <v>0</v>
      </c>
      <c r="BU61" s="691">
        <v>0</v>
      </c>
      <c r="BV61" s="690">
        <v>0</v>
      </c>
      <c r="BW61" s="691">
        <v>0</v>
      </c>
      <c r="BX61" s="690">
        <v>0</v>
      </c>
      <c r="BY61" s="691">
        <v>0</v>
      </c>
      <c r="BZ61" s="690">
        <v>0</v>
      </c>
      <c r="CA61" s="691">
        <v>0</v>
      </c>
      <c r="CB61" s="690">
        <v>0</v>
      </c>
      <c r="CC61" s="689">
        <v>0</v>
      </c>
      <c r="CD61" s="692">
        <v>0</v>
      </c>
      <c r="CE61" s="689">
        <v>0</v>
      </c>
      <c r="CF61" s="692">
        <v>0</v>
      </c>
      <c r="CG61" s="689">
        <v>0</v>
      </c>
      <c r="CH61" s="692">
        <v>0</v>
      </c>
      <c r="CI61" s="689">
        <v>0</v>
      </c>
      <c r="CJ61" s="692">
        <v>0</v>
      </c>
      <c r="CK61" s="689">
        <v>0</v>
      </c>
      <c r="CL61" s="692">
        <v>0</v>
      </c>
      <c r="CM61" s="689">
        <v>0</v>
      </c>
      <c r="CN61" s="692">
        <v>0</v>
      </c>
      <c r="CO61" s="689">
        <v>0</v>
      </c>
      <c r="CP61" s="692">
        <v>0</v>
      </c>
      <c r="CQ61" s="689">
        <v>0</v>
      </c>
      <c r="CR61" s="690">
        <v>0</v>
      </c>
      <c r="CS61" s="689">
        <v>0</v>
      </c>
      <c r="CT61" s="690">
        <v>0</v>
      </c>
      <c r="CU61" s="691">
        <v>0</v>
      </c>
      <c r="CV61" s="690">
        <v>0</v>
      </c>
    </row>
    <row r="62" spans="1:100">
      <c r="A62" s="457">
        <v>60</v>
      </c>
      <c r="B62" s="577">
        <v>0</v>
      </c>
      <c r="C62" s="577">
        <v>0</v>
      </c>
      <c r="D62" s="577">
        <v>0</v>
      </c>
      <c r="E62" s="577">
        <v>0</v>
      </c>
      <c r="F62" s="577">
        <f t="shared" si="19"/>
        <v>1.2500000000000001E-2</v>
      </c>
      <c r="G62" s="577">
        <v>0.02</v>
      </c>
      <c r="H62" s="577">
        <v>0</v>
      </c>
      <c r="I62" s="577">
        <v>0</v>
      </c>
      <c r="J62" s="577">
        <v>0</v>
      </c>
      <c r="K62" s="577">
        <v>0</v>
      </c>
      <c r="L62" s="577">
        <v>0</v>
      </c>
      <c r="M62" s="577">
        <v>0</v>
      </c>
      <c r="N62" s="577">
        <v>0</v>
      </c>
      <c r="O62" s="577">
        <v>0</v>
      </c>
      <c r="P62" s="577">
        <v>0</v>
      </c>
      <c r="Q62" s="577">
        <v>0</v>
      </c>
      <c r="R62" s="577">
        <v>0</v>
      </c>
      <c r="S62" s="577">
        <v>0</v>
      </c>
      <c r="T62" s="577">
        <v>0.02</v>
      </c>
      <c r="U62" s="577">
        <v>0</v>
      </c>
      <c r="V62" s="577">
        <v>0</v>
      </c>
      <c r="W62" s="592">
        <v>0</v>
      </c>
      <c r="X62" s="685">
        <v>0</v>
      </c>
      <c r="Y62" s="685">
        <v>0</v>
      </c>
      <c r="Z62" s="685">
        <v>0</v>
      </c>
      <c r="AA62" s="685">
        <v>0</v>
      </c>
      <c r="AB62" s="685">
        <v>0</v>
      </c>
      <c r="AC62" s="685">
        <v>0</v>
      </c>
      <c r="AD62" s="685">
        <v>0</v>
      </c>
      <c r="AE62" s="910">
        <v>0</v>
      </c>
      <c r="AF62" s="911">
        <v>0</v>
      </c>
      <c r="AG62" s="912">
        <v>0</v>
      </c>
      <c r="AH62" s="685">
        <v>0</v>
      </c>
      <c r="AI62" s="684">
        <v>0</v>
      </c>
      <c r="AJ62" s="682">
        <v>0</v>
      </c>
      <c r="AK62" s="684">
        <v>0</v>
      </c>
      <c r="AL62" s="686">
        <v>0</v>
      </c>
      <c r="AM62" s="682">
        <v>0</v>
      </c>
      <c r="AN62" s="682">
        <v>0</v>
      </c>
      <c r="AO62" s="686">
        <v>0</v>
      </c>
      <c r="AP62" s="687">
        <v>0</v>
      </c>
      <c r="AQ62" s="684">
        <f t="shared" si="17"/>
        <v>7.1428571428571426E-3</v>
      </c>
      <c r="AR62" s="682">
        <v>5.0000000000000001E-3</v>
      </c>
      <c r="AS62" s="684">
        <f t="shared" si="20"/>
        <v>1.2500000000000001E-2</v>
      </c>
      <c r="AT62" s="688">
        <v>1E-3</v>
      </c>
      <c r="AU62" s="682">
        <v>0</v>
      </c>
      <c r="AV62" s="684">
        <v>0</v>
      </c>
      <c r="AW62" s="689">
        <v>0</v>
      </c>
      <c r="AX62" s="690">
        <v>0</v>
      </c>
      <c r="AY62" s="689">
        <v>0</v>
      </c>
      <c r="AZ62" s="690">
        <v>0</v>
      </c>
      <c r="BA62" s="689">
        <v>0</v>
      </c>
      <c r="BB62" s="690">
        <v>0</v>
      </c>
      <c r="BC62" s="691">
        <v>0</v>
      </c>
      <c r="BD62" s="692">
        <v>0</v>
      </c>
      <c r="BE62" s="689">
        <v>0</v>
      </c>
      <c r="BF62" s="690">
        <v>0</v>
      </c>
      <c r="BG62" s="691">
        <v>0</v>
      </c>
      <c r="BH62" s="690">
        <v>0</v>
      </c>
      <c r="BI62" s="691">
        <v>0</v>
      </c>
      <c r="BJ62" s="690">
        <v>0</v>
      </c>
      <c r="BK62" s="691">
        <v>0</v>
      </c>
      <c r="BL62" s="690">
        <v>0</v>
      </c>
      <c r="BM62" s="691">
        <v>0</v>
      </c>
      <c r="BN62" s="690">
        <v>0</v>
      </c>
      <c r="BO62" s="691">
        <v>0</v>
      </c>
      <c r="BP62" s="690">
        <v>0</v>
      </c>
      <c r="BQ62" s="691">
        <v>0</v>
      </c>
      <c r="BR62" s="690">
        <v>0</v>
      </c>
      <c r="BS62" s="691">
        <v>0</v>
      </c>
      <c r="BT62" s="690">
        <v>0</v>
      </c>
      <c r="BU62" s="691">
        <v>0</v>
      </c>
      <c r="BV62" s="690">
        <v>0</v>
      </c>
      <c r="BW62" s="691">
        <v>0</v>
      </c>
      <c r="BX62" s="690">
        <v>0</v>
      </c>
      <c r="BY62" s="691">
        <v>0</v>
      </c>
      <c r="BZ62" s="690">
        <v>0</v>
      </c>
      <c r="CA62" s="691">
        <v>0</v>
      </c>
      <c r="CB62" s="690">
        <v>0</v>
      </c>
      <c r="CC62" s="689">
        <v>0</v>
      </c>
      <c r="CD62" s="692">
        <v>0</v>
      </c>
      <c r="CE62" s="689">
        <v>0</v>
      </c>
      <c r="CF62" s="692">
        <v>0</v>
      </c>
      <c r="CG62" s="689">
        <v>0</v>
      </c>
      <c r="CH62" s="692">
        <v>0</v>
      </c>
      <c r="CI62" s="689">
        <v>0</v>
      </c>
      <c r="CJ62" s="692">
        <v>0</v>
      </c>
      <c r="CK62" s="689">
        <v>0</v>
      </c>
      <c r="CL62" s="692">
        <v>0</v>
      </c>
      <c r="CM62" s="689">
        <v>0</v>
      </c>
      <c r="CN62" s="692">
        <v>0</v>
      </c>
      <c r="CO62" s="689">
        <v>0</v>
      </c>
      <c r="CP62" s="692">
        <v>0</v>
      </c>
      <c r="CQ62" s="689">
        <v>0</v>
      </c>
      <c r="CR62" s="690">
        <v>0</v>
      </c>
      <c r="CS62" s="689">
        <v>0</v>
      </c>
      <c r="CT62" s="690">
        <v>0</v>
      </c>
      <c r="CU62" s="691">
        <v>0</v>
      </c>
      <c r="CV62" s="690">
        <v>0</v>
      </c>
    </row>
    <row r="63" spans="1:100">
      <c r="A63" s="457">
        <v>61</v>
      </c>
      <c r="B63" s="577">
        <v>0</v>
      </c>
      <c r="C63" s="577">
        <v>0</v>
      </c>
      <c r="D63" s="577">
        <v>0</v>
      </c>
      <c r="E63" s="577">
        <v>0</v>
      </c>
      <c r="F63" s="577">
        <f t="shared" si="19"/>
        <v>1.2500000000000001E-2</v>
      </c>
      <c r="G63" s="577">
        <v>0.02</v>
      </c>
      <c r="H63" s="577">
        <v>0</v>
      </c>
      <c r="I63" s="577">
        <v>0</v>
      </c>
      <c r="J63" s="577">
        <v>0</v>
      </c>
      <c r="K63" s="577">
        <v>0</v>
      </c>
      <c r="L63" s="577">
        <v>0</v>
      </c>
      <c r="M63" s="577">
        <v>0</v>
      </c>
      <c r="N63" s="577">
        <v>0</v>
      </c>
      <c r="O63" s="577">
        <v>0</v>
      </c>
      <c r="P63" s="577">
        <v>0</v>
      </c>
      <c r="Q63" s="577">
        <v>0</v>
      </c>
      <c r="R63" s="577">
        <v>0</v>
      </c>
      <c r="S63" s="577">
        <v>0</v>
      </c>
      <c r="T63" s="577">
        <v>0.02</v>
      </c>
      <c r="U63" s="577">
        <v>0</v>
      </c>
      <c r="V63" s="577">
        <v>0</v>
      </c>
      <c r="W63" s="592">
        <v>0</v>
      </c>
      <c r="X63" s="685">
        <v>0</v>
      </c>
      <c r="Y63" s="685">
        <v>0</v>
      </c>
      <c r="Z63" s="685">
        <v>0</v>
      </c>
      <c r="AA63" s="685">
        <v>0</v>
      </c>
      <c r="AB63" s="685">
        <v>0</v>
      </c>
      <c r="AC63" s="685">
        <v>0</v>
      </c>
      <c r="AD63" s="685">
        <v>0</v>
      </c>
      <c r="AE63" s="910">
        <v>0</v>
      </c>
      <c r="AF63" s="911">
        <v>0</v>
      </c>
      <c r="AG63" s="912">
        <v>0</v>
      </c>
      <c r="AH63" s="685">
        <v>0</v>
      </c>
      <c r="AI63" s="684">
        <v>0</v>
      </c>
      <c r="AJ63" s="682">
        <v>0</v>
      </c>
      <c r="AK63" s="684">
        <v>0</v>
      </c>
      <c r="AL63" s="686">
        <v>0</v>
      </c>
      <c r="AM63" s="682">
        <v>0</v>
      </c>
      <c r="AN63" s="682">
        <v>0</v>
      </c>
      <c r="AO63" s="686">
        <v>0</v>
      </c>
      <c r="AP63" s="687">
        <v>0</v>
      </c>
      <c r="AQ63" s="684">
        <f t="shared" si="17"/>
        <v>7.1428571428571426E-3</v>
      </c>
      <c r="AR63" s="682">
        <v>5.0000000000000001E-3</v>
      </c>
      <c r="AS63" s="684">
        <f t="shared" si="20"/>
        <v>1.2500000000000001E-2</v>
      </c>
      <c r="AT63" s="688">
        <v>1E-3</v>
      </c>
      <c r="AU63" s="682">
        <v>0</v>
      </c>
      <c r="AV63" s="684">
        <v>0</v>
      </c>
      <c r="AW63" s="689">
        <v>0</v>
      </c>
      <c r="AX63" s="690">
        <v>0</v>
      </c>
      <c r="AY63" s="689">
        <v>0</v>
      </c>
      <c r="AZ63" s="690">
        <v>0</v>
      </c>
      <c r="BA63" s="689">
        <v>0</v>
      </c>
      <c r="BB63" s="690">
        <v>0</v>
      </c>
      <c r="BC63" s="691">
        <v>0</v>
      </c>
      <c r="BD63" s="692">
        <v>0</v>
      </c>
      <c r="BE63" s="689">
        <v>0</v>
      </c>
      <c r="BF63" s="690">
        <v>0</v>
      </c>
      <c r="BG63" s="691">
        <v>0</v>
      </c>
      <c r="BH63" s="690">
        <v>0</v>
      </c>
      <c r="BI63" s="691">
        <v>0</v>
      </c>
      <c r="BJ63" s="690">
        <v>0</v>
      </c>
      <c r="BK63" s="691">
        <v>0</v>
      </c>
      <c r="BL63" s="690">
        <v>0</v>
      </c>
      <c r="BM63" s="691">
        <v>0</v>
      </c>
      <c r="BN63" s="690">
        <v>0</v>
      </c>
      <c r="BO63" s="691">
        <v>0</v>
      </c>
      <c r="BP63" s="690">
        <v>0</v>
      </c>
      <c r="BQ63" s="691">
        <v>0</v>
      </c>
      <c r="BR63" s="690">
        <v>0</v>
      </c>
      <c r="BS63" s="691">
        <v>0</v>
      </c>
      <c r="BT63" s="690">
        <v>0</v>
      </c>
      <c r="BU63" s="691">
        <v>0</v>
      </c>
      <c r="BV63" s="690">
        <v>0</v>
      </c>
      <c r="BW63" s="691">
        <v>0</v>
      </c>
      <c r="BX63" s="690">
        <v>0</v>
      </c>
      <c r="BY63" s="691">
        <v>0</v>
      </c>
      <c r="BZ63" s="690">
        <v>0</v>
      </c>
      <c r="CA63" s="691">
        <v>0</v>
      </c>
      <c r="CB63" s="690">
        <v>0</v>
      </c>
      <c r="CC63" s="689">
        <v>0</v>
      </c>
      <c r="CD63" s="692">
        <v>0</v>
      </c>
      <c r="CE63" s="689">
        <v>0</v>
      </c>
      <c r="CF63" s="692">
        <v>0</v>
      </c>
      <c r="CG63" s="689">
        <v>0</v>
      </c>
      <c r="CH63" s="692">
        <v>0</v>
      </c>
      <c r="CI63" s="689">
        <v>0</v>
      </c>
      <c r="CJ63" s="692">
        <v>0</v>
      </c>
      <c r="CK63" s="689">
        <v>0</v>
      </c>
      <c r="CL63" s="692">
        <v>0</v>
      </c>
      <c r="CM63" s="689">
        <v>0</v>
      </c>
      <c r="CN63" s="692">
        <v>0</v>
      </c>
      <c r="CO63" s="689">
        <v>0</v>
      </c>
      <c r="CP63" s="692">
        <v>0</v>
      </c>
      <c r="CQ63" s="689">
        <v>0</v>
      </c>
      <c r="CR63" s="690">
        <v>0</v>
      </c>
      <c r="CS63" s="689">
        <v>0</v>
      </c>
      <c r="CT63" s="690">
        <v>0</v>
      </c>
      <c r="CU63" s="691">
        <v>0</v>
      </c>
      <c r="CV63" s="690">
        <v>0</v>
      </c>
    </row>
    <row r="64" spans="1:100">
      <c r="A64" s="457">
        <v>62</v>
      </c>
      <c r="B64" s="577">
        <v>0</v>
      </c>
      <c r="C64" s="577">
        <v>0</v>
      </c>
      <c r="D64" s="577">
        <v>0</v>
      </c>
      <c r="E64" s="577">
        <v>0</v>
      </c>
      <c r="F64" s="577">
        <f t="shared" si="19"/>
        <v>1.2500000000000001E-2</v>
      </c>
      <c r="G64" s="577">
        <v>0.02</v>
      </c>
      <c r="H64" s="577">
        <v>0</v>
      </c>
      <c r="I64" s="577">
        <v>0</v>
      </c>
      <c r="J64" s="577">
        <v>0</v>
      </c>
      <c r="K64" s="577">
        <v>0</v>
      </c>
      <c r="L64" s="577">
        <v>0</v>
      </c>
      <c r="M64" s="577">
        <v>0</v>
      </c>
      <c r="N64" s="577">
        <v>0</v>
      </c>
      <c r="O64" s="577">
        <v>0</v>
      </c>
      <c r="P64" s="577">
        <v>0</v>
      </c>
      <c r="Q64" s="577">
        <v>0</v>
      </c>
      <c r="R64" s="577">
        <v>0</v>
      </c>
      <c r="S64" s="577">
        <v>0</v>
      </c>
      <c r="T64" s="577">
        <v>0.02</v>
      </c>
      <c r="U64" s="577">
        <v>0</v>
      </c>
      <c r="V64" s="577">
        <v>0</v>
      </c>
      <c r="W64" s="592">
        <v>0</v>
      </c>
      <c r="X64" s="685">
        <v>0</v>
      </c>
      <c r="Y64" s="685">
        <v>0</v>
      </c>
      <c r="Z64" s="685">
        <v>0</v>
      </c>
      <c r="AA64" s="685">
        <v>0</v>
      </c>
      <c r="AB64" s="685">
        <v>0</v>
      </c>
      <c r="AC64" s="685">
        <v>0</v>
      </c>
      <c r="AD64" s="685">
        <v>0</v>
      </c>
      <c r="AE64" s="910">
        <v>0</v>
      </c>
      <c r="AF64" s="911">
        <v>0</v>
      </c>
      <c r="AG64" s="912">
        <v>0</v>
      </c>
      <c r="AH64" s="685">
        <v>0</v>
      </c>
      <c r="AI64" s="684">
        <v>0</v>
      </c>
      <c r="AJ64" s="682">
        <v>0</v>
      </c>
      <c r="AK64" s="684">
        <v>0</v>
      </c>
      <c r="AL64" s="686">
        <v>0</v>
      </c>
      <c r="AM64" s="682">
        <v>0</v>
      </c>
      <c r="AN64" s="682">
        <v>0</v>
      </c>
      <c r="AO64" s="686">
        <v>0</v>
      </c>
      <c r="AP64" s="687">
        <v>0</v>
      </c>
      <c r="AQ64" s="684">
        <f t="shared" si="17"/>
        <v>7.1428571428571426E-3</v>
      </c>
      <c r="AR64" s="682">
        <v>5.0000000000000001E-3</v>
      </c>
      <c r="AS64" s="684">
        <f t="shared" si="20"/>
        <v>1.2500000000000001E-2</v>
      </c>
      <c r="AT64" s="688">
        <v>1E-3</v>
      </c>
      <c r="AU64" s="682">
        <v>0</v>
      </c>
      <c r="AV64" s="684">
        <v>0</v>
      </c>
      <c r="AW64" s="689">
        <v>0</v>
      </c>
      <c r="AX64" s="690">
        <v>0</v>
      </c>
      <c r="AY64" s="689">
        <v>0</v>
      </c>
      <c r="AZ64" s="690">
        <v>0</v>
      </c>
      <c r="BA64" s="689">
        <v>0</v>
      </c>
      <c r="BB64" s="690">
        <v>0</v>
      </c>
      <c r="BC64" s="691">
        <v>0</v>
      </c>
      <c r="BD64" s="692">
        <v>0</v>
      </c>
      <c r="BE64" s="689">
        <v>0</v>
      </c>
      <c r="BF64" s="690">
        <v>0</v>
      </c>
      <c r="BG64" s="691">
        <v>0</v>
      </c>
      <c r="BH64" s="690">
        <v>0</v>
      </c>
      <c r="BI64" s="691">
        <v>0</v>
      </c>
      <c r="BJ64" s="690">
        <v>0</v>
      </c>
      <c r="BK64" s="691">
        <v>0</v>
      </c>
      <c r="BL64" s="690">
        <v>0</v>
      </c>
      <c r="BM64" s="691">
        <v>0</v>
      </c>
      <c r="BN64" s="690">
        <v>0</v>
      </c>
      <c r="BO64" s="691">
        <v>0</v>
      </c>
      <c r="BP64" s="690">
        <v>0</v>
      </c>
      <c r="BQ64" s="691">
        <v>0</v>
      </c>
      <c r="BR64" s="690">
        <v>0</v>
      </c>
      <c r="BS64" s="691">
        <v>0</v>
      </c>
      <c r="BT64" s="690">
        <v>0</v>
      </c>
      <c r="BU64" s="691">
        <v>0</v>
      </c>
      <c r="BV64" s="690">
        <v>0</v>
      </c>
      <c r="BW64" s="691">
        <v>0</v>
      </c>
      <c r="BX64" s="690">
        <v>0</v>
      </c>
      <c r="BY64" s="691">
        <v>0</v>
      </c>
      <c r="BZ64" s="690">
        <v>0</v>
      </c>
      <c r="CA64" s="691">
        <v>0</v>
      </c>
      <c r="CB64" s="690">
        <v>0</v>
      </c>
      <c r="CC64" s="689">
        <v>0</v>
      </c>
      <c r="CD64" s="692">
        <v>0</v>
      </c>
      <c r="CE64" s="689">
        <v>0</v>
      </c>
      <c r="CF64" s="692">
        <v>0</v>
      </c>
      <c r="CG64" s="689">
        <v>0</v>
      </c>
      <c r="CH64" s="692">
        <v>0</v>
      </c>
      <c r="CI64" s="689">
        <v>0</v>
      </c>
      <c r="CJ64" s="692">
        <v>0</v>
      </c>
      <c r="CK64" s="689">
        <v>0</v>
      </c>
      <c r="CL64" s="692">
        <v>0</v>
      </c>
      <c r="CM64" s="689">
        <v>0</v>
      </c>
      <c r="CN64" s="692">
        <v>0</v>
      </c>
      <c r="CO64" s="689">
        <v>0</v>
      </c>
      <c r="CP64" s="692">
        <v>0</v>
      </c>
      <c r="CQ64" s="689">
        <v>0</v>
      </c>
      <c r="CR64" s="690">
        <v>0</v>
      </c>
      <c r="CS64" s="689">
        <v>0</v>
      </c>
      <c r="CT64" s="690">
        <v>0</v>
      </c>
      <c r="CU64" s="691">
        <v>0</v>
      </c>
      <c r="CV64" s="690">
        <v>0</v>
      </c>
    </row>
    <row r="65" spans="1:100">
      <c r="A65" s="457">
        <v>63</v>
      </c>
      <c r="B65" s="577">
        <v>0</v>
      </c>
      <c r="C65" s="577">
        <v>0</v>
      </c>
      <c r="D65" s="577">
        <v>0</v>
      </c>
      <c r="E65" s="577">
        <v>0</v>
      </c>
      <c r="F65" s="577">
        <f t="shared" si="19"/>
        <v>1.2500000000000001E-2</v>
      </c>
      <c r="G65" s="577">
        <v>0.02</v>
      </c>
      <c r="H65" s="577">
        <v>0</v>
      </c>
      <c r="I65" s="577">
        <v>0</v>
      </c>
      <c r="J65" s="577">
        <v>0</v>
      </c>
      <c r="K65" s="577">
        <v>0</v>
      </c>
      <c r="L65" s="577">
        <v>0</v>
      </c>
      <c r="M65" s="577">
        <v>0</v>
      </c>
      <c r="N65" s="577">
        <v>0</v>
      </c>
      <c r="O65" s="577">
        <v>0</v>
      </c>
      <c r="P65" s="577">
        <v>0</v>
      </c>
      <c r="Q65" s="577">
        <v>0</v>
      </c>
      <c r="R65" s="577">
        <v>0</v>
      </c>
      <c r="S65" s="577">
        <v>0</v>
      </c>
      <c r="T65" s="577">
        <v>0.02</v>
      </c>
      <c r="U65" s="577">
        <v>0</v>
      </c>
      <c r="V65" s="577">
        <v>0</v>
      </c>
      <c r="W65" s="592">
        <v>0</v>
      </c>
      <c r="X65" s="685">
        <v>0</v>
      </c>
      <c r="Y65" s="685">
        <v>0</v>
      </c>
      <c r="Z65" s="685">
        <v>0</v>
      </c>
      <c r="AA65" s="685">
        <v>0</v>
      </c>
      <c r="AB65" s="685">
        <v>0</v>
      </c>
      <c r="AC65" s="685">
        <v>0</v>
      </c>
      <c r="AD65" s="685">
        <v>0</v>
      </c>
      <c r="AE65" s="910">
        <v>0</v>
      </c>
      <c r="AF65" s="911">
        <v>0</v>
      </c>
      <c r="AG65" s="912">
        <v>0</v>
      </c>
      <c r="AH65" s="685">
        <v>0</v>
      </c>
      <c r="AI65" s="684">
        <v>0</v>
      </c>
      <c r="AJ65" s="682">
        <v>0</v>
      </c>
      <c r="AK65" s="684">
        <v>0</v>
      </c>
      <c r="AL65" s="686">
        <v>0</v>
      </c>
      <c r="AM65" s="682">
        <v>0</v>
      </c>
      <c r="AN65" s="682">
        <v>0</v>
      </c>
      <c r="AO65" s="686">
        <v>0</v>
      </c>
      <c r="AP65" s="687">
        <v>0</v>
      </c>
      <c r="AQ65" s="684">
        <f t="shared" si="17"/>
        <v>7.1428571428571426E-3</v>
      </c>
      <c r="AR65" s="682">
        <v>5.0000000000000001E-3</v>
      </c>
      <c r="AS65" s="684">
        <f t="shared" si="20"/>
        <v>1.2500000000000001E-2</v>
      </c>
      <c r="AT65" s="688">
        <v>1E-3</v>
      </c>
      <c r="AU65" s="682">
        <v>0</v>
      </c>
      <c r="AV65" s="684">
        <v>0</v>
      </c>
      <c r="AW65" s="689">
        <v>0</v>
      </c>
      <c r="AX65" s="690">
        <v>0</v>
      </c>
      <c r="AY65" s="689">
        <v>0</v>
      </c>
      <c r="AZ65" s="690">
        <v>0</v>
      </c>
      <c r="BA65" s="689">
        <v>0</v>
      </c>
      <c r="BB65" s="690">
        <v>0</v>
      </c>
      <c r="BC65" s="691">
        <v>0</v>
      </c>
      <c r="BD65" s="692">
        <v>0</v>
      </c>
      <c r="BE65" s="689">
        <v>0</v>
      </c>
      <c r="BF65" s="690">
        <v>0</v>
      </c>
      <c r="BG65" s="691">
        <v>0</v>
      </c>
      <c r="BH65" s="690">
        <v>0</v>
      </c>
      <c r="BI65" s="691">
        <v>0</v>
      </c>
      <c r="BJ65" s="690">
        <v>0</v>
      </c>
      <c r="BK65" s="691">
        <v>0</v>
      </c>
      <c r="BL65" s="690">
        <v>0</v>
      </c>
      <c r="BM65" s="691">
        <v>0</v>
      </c>
      <c r="BN65" s="690">
        <v>0</v>
      </c>
      <c r="BO65" s="691">
        <v>0</v>
      </c>
      <c r="BP65" s="690">
        <v>0</v>
      </c>
      <c r="BQ65" s="691">
        <v>0</v>
      </c>
      <c r="BR65" s="690">
        <v>0</v>
      </c>
      <c r="BS65" s="691">
        <v>0</v>
      </c>
      <c r="BT65" s="690">
        <v>0</v>
      </c>
      <c r="BU65" s="691">
        <v>0</v>
      </c>
      <c r="BV65" s="690">
        <v>0</v>
      </c>
      <c r="BW65" s="691">
        <v>0</v>
      </c>
      <c r="BX65" s="690">
        <v>0</v>
      </c>
      <c r="BY65" s="691">
        <v>0</v>
      </c>
      <c r="BZ65" s="690">
        <v>0</v>
      </c>
      <c r="CA65" s="691">
        <v>0</v>
      </c>
      <c r="CB65" s="690">
        <v>0</v>
      </c>
      <c r="CC65" s="689">
        <v>0</v>
      </c>
      <c r="CD65" s="692">
        <v>0</v>
      </c>
      <c r="CE65" s="689">
        <v>0</v>
      </c>
      <c r="CF65" s="692">
        <v>0</v>
      </c>
      <c r="CG65" s="689">
        <v>0</v>
      </c>
      <c r="CH65" s="692">
        <v>0</v>
      </c>
      <c r="CI65" s="689">
        <v>0</v>
      </c>
      <c r="CJ65" s="692">
        <v>0</v>
      </c>
      <c r="CK65" s="689">
        <v>0</v>
      </c>
      <c r="CL65" s="692">
        <v>0</v>
      </c>
      <c r="CM65" s="689">
        <v>0</v>
      </c>
      <c r="CN65" s="692">
        <v>0</v>
      </c>
      <c r="CO65" s="689">
        <v>0</v>
      </c>
      <c r="CP65" s="692">
        <v>0</v>
      </c>
      <c r="CQ65" s="689">
        <v>0</v>
      </c>
      <c r="CR65" s="690">
        <v>0</v>
      </c>
      <c r="CS65" s="689">
        <v>0</v>
      </c>
      <c r="CT65" s="690">
        <v>0</v>
      </c>
      <c r="CU65" s="691">
        <v>0</v>
      </c>
      <c r="CV65" s="690">
        <v>0</v>
      </c>
    </row>
    <row r="66" spans="1:100">
      <c r="A66" s="457">
        <v>64</v>
      </c>
      <c r="B66" s="577">
        <v>0</v>
      </c>
      <c r="C66" s="577">
        <v>0</v>
      </c>
      <c r="D66" s="577">
        <v>0</v>
      </c>
      <c r="E66" s="577">
        <v>0</v>
      </c>
      <c r="F66" s="577">
        <f t="shared" ref="F66:F81" si="21">1/80</f>
        <v>1.2500000000000001E-2</v>
      </c>
      <c r="G66" s="577">
        <v>0.02</v>
      </c>
      <c r="H66" s="577">
        <v>0</v>
      </c>
      <c r="I66" s="577">
        <v>0</v>
      </c>
      <c r="J66" s="577">
        <v>0</v>
      </c>
      <c r="K66" s="577">
        <v>0</v>
      </c>
      <c r="L66" s="577">
        <v>0</v>
      </c>
      <c r="M66" s="577">
        <v>0</v>
      </c>
      <c r="N66" s="577">
        <v>0</v>
      </c>
      <c r="O66" s="577">
        <v>0</v>
      </c>
      <c r="P66" s="577">
        <v>0</v>
      </c>
      <c r="Q66" s="577">
        <v>0</v>
      </c>
      <c r="R66" s="577">
        <v>0</v>
      </c>
      <c r="S66" s="577">
        <v>0</v>
      </c>
      <c r="T66" s="577">
        <v>0.02</v>
      </c>
      <c r="U66" s="577">
        <v>0</v>
      </c>
      <c r="V66" s="577">
        <v>0</v>
      </c>
      <c r="W66" s="592">
        <v>0</v>
      </c>
      <c r="X66" s="685">
        <v>0</v>
      </c>
      <c r="Y66" s="685">
        <v>0</v>
      </c>
      <c r="Z66" s="685">
        <v>0</v>
      </c>
      <c r="AA66" s="685">
        <v>0</v>
      </c>
      <c r="AB66" s="685">
        <v>0</v>
      </c>
      <c r="AC66" s="685">
        <v>0</v>
      </c>
      <c r="AD66" s="685">
        <v>0</v>
      </c>
      <c r="AE66" s="910">
        <v>0</v>
      </c>
      <c r="AF66" s="911">
        <v>0</v>
      </c>
      <c r="AG66" s="912">
        <v>0</v>
      </c>
      <c r="AH66" s="685">
        <v>0</v>
      </c>
      <c r="AI66" s="684">
        <v>0</v>
      </c>
      <c r="AJ66" s="682">
        <v>0</v>
      </c>
      <c r="AK66" s="684">
        <v>0</v>
      </c>
      <c r="AL66" s="686">
        <v>0</v>
      </c>
      <c r="AM66" s="682">
        <v>0</v>
      </c>
      <c r="AN66" s="682">
        <v>0</v>
      </c>
      <c r="AO66" s="686">
        <v>0</v>
      </c>
      <c r="AP66" s="687">
        <v>0</v>
      </c>
      <c r="AQ66" s="684">
        <f t="shared" si="17"/>
        <v>7.1428571428571426E-3</v>
      </c>
      <c r="AR66" s="682">
        <v>5.0000000000000001E-3</v>
      </c>
      <c r="AS66" s="684">
        <f t="shared" ref="AS66:AS81" si="22">1/80</f>
        <v>1.2500000000000001E-2</v>
      </c>
      <c r="AT66" s="688">
        <v>1E-3</v>
      </c>
      <c r="AU66" s="682">
        <v>0</v>
      </c>
      <c r="AV66" s="684">
        <v>0</v>
      </c>
      <c r="AW66" s="689">
        <v>0</v>
      </c>
      <c r="AX66" s="690">
        <v>0</v>
      </c>
      <c r="AY66" s="689">
        <v>0</v>
      </c>
      <c r="AZ66" s="690">
        <v>0</v>
      </c>
      <c r="BA66" s="689">
        <v>0</v>
      </c>
      <c r="BB66" s="690">
        <v>0</v>
      </c>
      <c r="BC66" s="691">
        <v>0</v>
      </c>
      <c r="BD66" s="692">
        <v>0</v>
      </c>
      <c r="BE66" s="689">
        <v>0</v>
      </c>
      <c r="BF66" s="690">
        <v>0</v>
      </c>
      <c r="BG66" s="691">
        <v>0</v>
      </c>
      <c r="BH66" s="690">
        <v>0</v>
      </c>
      <c r="BI66" s="691">
        <v>0</v>
      </c>
      <c r="BJ66" s="690">
        <v>0</v>
      </c>
      <c r="BK66" s="691">
        <v>0</v>
      </c>
      <c r="BL66" s="690">
        <v>0</v>
      </c>
      <c r="BM66" s="691">
        <v>0</v>
      </c>
      <c r="BN66" s="690">
        <v>0</v>
      </c>
      <c r="BO66" s="691">
        <v>0</v>
      </c>
      <c r="BP66" s="690">
        <v>0</v>
      </c>
      <c r="BQ66" s="691">
        <v>0</v>
      </c>
      <c r="BR66" s="690">
        <v>0</v>
      </c>
      <c r="BS66" s="691">
        <v>0</v>
      </c>
      <c r="BT66" s="690">
        <v>0</v>
      </c>
      <c r="BU66" s="691">
        <v>0</v>
      </c>
      <c r="BV66" s="690">
        <v>0</v>
      </c>
      <c r="BW66" s="691">
        <v>0</v>
      </c>
      <c r="BX66" s="690">
        <v>0</v>
      </c>
      <c r="BY66" s="691">
        <v>0</v>
      </c>
      <c r="BZ66" s="690">
        <v>0</v>
      </c>
      <c r="CA66" s="691">
        <v>0</v>
      </c>
      <c r="CB66" s="690">
        <v>0</v>
      </c>
      <c r="CC66" s="689">
        <v>0</v>
      </c>
      <c r="CD66" s="692">
        <v>0</v>
      </c>
      <c r="CE66" s="689">
        <v>0</v>
      </c>
      <c r="CF66" s="692">
        <v>0</v>
      </c>
      <c r="CG66" s="689">
        <v>0</v>
      </c>
      <c r="CH66" s="692">
        <v>0</v>
      </c>
      <c r="CI66" s="689">
        <v>0</v>
      </c>
      <c r="CJ66" s="692">
        <v>0</v>
      </c>
      <c r="CK66" s="689">
        <v>0</v>
      </c>
      <c r="CL66" s="692">
        <v>0</v>
      </c>
      <c r="CM66" s="689">
        <v>0</v>
      </c>
      <c r="CN66" s="692">
        <v>0</v>
      </c>
      <c r="CO66" s="689">
        <v>0</v>
      </c>
      <c r="CP66" s="692">
        <v>0</v>
      </c>
      <c r="CQ66" s="689">
        <v>0</v>
      </c>
      <c r="CR66" s="690">
        <v>0</v>
      </c>
      <c r="CS66" s="689">
        <v>0</v>
      </c>
      <c r="CT66" s="690">
        <v>0</v>
      </c>
      <c r="CU66" s="691">
        <v>0</v>
      </c>
      <c r="CV66" s="690">
        <v>0</v>
      </c>
    </row>
    <row r="67" spans="1:100">
      <c r="A67" s="457">
        <v>65</v>
      </c>
      <c r="B67" s="577">
        <v>0</v>
      </c>
      <c r="C67" s="577">
        <v>0</v>
      </c>
      <c r="D67" s="577">
        <v>0</v>
      </c>
      <c r="E67" s="577">
        <v>0</v>
      </c>
      <c r="F67" s="577">
        <f t="shared" si="21"/>
        <v>1.2500000000000001E-2</v>
      </c>
      <c r="G67" s="577">
        <v>0.02</v>
      </c>
      <c r="H67" s="577">
        <v>0</v>
      </c>
      <c r="I67" s="577">
        <v>0</v>
      </c>
      <c r="J67" s="577">
        <v>0</v>
      </c>
      <c r="K67" s="577">
        <v>0</v>
      </c>
      <c r="L67" s="577">
        <v>0</v>
      </c>
      <c r="M67" s="577">
        <v>0</v>
      </c>
      <c r="N67" s="577">
        <v>0</v>
      </c>
      <c r="O67" s="577">
        <v>0</v>
      </c>
      <c r="P67" s="577">
        <v>0</v>
      </c>
      <c r="Q67" s="577">
        <v>0</v>
      </c>
      <c r="R67" s="577">
        <v>0</v>
      </c>
      <c r="S67" s="577">
        <v>0</v>
      </c>
      <c r="T67" s="577">
        <v>0.02</v>
      </c>
      <c r="U67" s="577">
        <v>0</v>
      </c>
      <c r="V67" s="577">
        <v>0</v>
      </c>
      <c r="W67" s="592">
        <v>0</v>
      </c>
      <c r="X67" s="685">
        <v>0</v>
      </c>
      <c r="Y67" s="685">
        <v>0</v>
      </c>
      <c r="Z67" s="685">
        <v>0</v>
      </c>
      <c r="AA67" s="685">
        <v>0</v>
      </c>
      <c r="AB67" s="685">
        <v>0</v>
      </c>
      <c r="AC67" s="685">
        <v>0</v>
      </c>
      <c r="AD67" s="685">
        <v>0</v>
      </c>
      <c r="AE67" s="910">
        <v>0</v>
      </c>
      <c r="AF67" s="911">
        <v>0</v>
      </c>
      <c r="AG67" s="912">
        <v>0</v>
      </c>
      <c r="AH67" s="685">
        <v>0</v>
      </c>
      <c r="AI67" s="684">
        <v>0</v>
      </c>
      <c r="AJ67" s="682">
        <v>0</v>
      </c>
      <c r="AK67" s="684">
        <v>0</v>
      </c>
      <c r="AL67" s="686">
        <v>0</v>
      </c>
      <c r="AM67" s="682">
        <v>0</v>
      </c>
      <c r="AN67" s="682">
        <v>0</v>
      </c>
      <c r="AO67" s="686">
        <v>0</v>
      </c>
      <c r="AP67" s="687">
        <v>0</v>
      </c>
      <c r="AQ67" s="684">
        <f t="shared" si="17"/>
        <v>7.1428571428571426E-3</v>
      </c>
      <c r="AR67" s="682">
        <v>5.0000000000000001E-3</v>
      </c>
      <c r="AS67" s="684">
        <f t="shared" si="22"/>
        <v>1.2500000000000001E-2</v>
      </c>
      <c r="AT67" s="688">
        <v>1E-3</v>
      </c>
      <c r="AU67" s="682">
        <v>0</v>
      </c>
      <c r="AV67" s="684">
        <v>0</v>
      </c>
      <c r="AW67" s="689">
        <v>0</v>
      </c>
      <c r="AX67" s="690">
        <v>0</v>
      </c>
      <c r="AY67" s="689">
        <v>0</v>
      </c>
      <c r="AZ67" s="690">
        <v>0</v>
      </c>
      <c r="BA67" s="689">
        <v>0</v>
      </c>
      <c r="BB67" s="690">
        <v>0</v>
      </c>
      <c r="BC67" s="691">
        <v>0</v>
      </c>
      <c r="BD67" s="692">
        <v>0</v>
      </c>
      <c r="BE67" s="689">
        <v>0</v>
      </c>
      <c r="BF67" s="690">
        <v>0</v>
      </c>
      <c r="BG67" s="691">
        <v>0</v>
      </c>
      <c r="BH67" s="690">
        <v>0</v>
      </c>
      <c r="BI67" s="691">
        <v>0</v>
      </c>
      <c r="BJ67" s="690">
        <v>0</v>
      </c>
      <c r="BK67" s="691">
        <v>0</v>
      </c>
      <c r="BL67" s="690">
        <v>0</v>
      </c>
      <c r="BM67" s="691">
        <v>0</v>
      </c>
      <c r="BN67" s="690">
        <v>0</v>
      </c>
      <c r="BO67" s="691">
        <v>0</v>
      </c>
      <c r="BP67" s="690">
        <v>0</v>
      </c>
      <c r="BQ67" s="691">
        <v>0</v>
      </c>
      <c r="BR67" s="690">
        <v>0</v>
      </c>
      <c r="BS67" s="691">
        <v>0</v>
      </c>
      <c r="BT67" s="690">
        <v>0</v>
      </c>
      <c r="BU67" s="691">
        <v>0</v>
      </c>
      <c r="BV67" s="690">
        <v>0</v>
      </c>
      <c r="BW67" s="691">
        <v>0</v>
      </c>
      <c r="BX67" s="690">
        <v>0</v>
      </c>
      <c r="BY67" s="691">
        <v>0</v>
      </c>
      <c r="BZ67" s="690">
        <v>0</v>
      </c>
      <c r="CA67" s="691">
        <v>0</v>
      </c>
      <c r="CB67" s="690">
        <v>0</v>
      </c>
      <c r="CC67" s="689">
        <v>0</v>
      </c>
      <c r="CD67" s="692">
        <v>0</v>
      </c>
      <c r="CE67" s="689">
        <v>0</v>
      </c>
      <c r="CF67" s="692">
        <v>0</v>
      </c>
      <c r="CG67" s="689">
        <v>0</v>
      </c>
      <c r="CH67" s="692">
        <v>0</v>
      </c>
      <c r="CI67" s="689">
        <v>0</v>
      </c>
      <c r="CJ67" s="692">
        <v>0</v>
      </c>
      <c r="CK67" s="689">
        <v>0</v>
      </c>
      <c r="CL67" s="692">
        <v>0</v>
      </c>
      <c r="CM67" s="689">
        <v>0</v>
      </c>
      <c r="CN67" s="692">
        <v>0</v>
      </c>
      <c r="CO67" s="689">
        <v>0</v>
      </c>
      <c r="CP67" s="692">
        <v>0</v>
      </c>
      <c r="CQ67" s="689">
        <v>0</v>
      </c>
      <c r="CR67" s="690">
        <v>0</v>
      </c>
      <c r="CS67" s="689">
        <v>0</v>
      </c>
      <c r="CT67" s="690">
        <v>0</v>
      </c>
      <c r="CU67" s="691">
        <v>0</v>
      </c>
      <c r="CV67" s="690">
        <v>0</v>
      </c>
    </row>
    <row r="68" spans="1:100">
      <c r="A68" s="457">
        <v>66</v>
      </c>
      <c r="B68" s="577">
        <v>0</v>
      </c>
      <c r="C68" s="577">
        <v>0</v>
      </c>
      <c r="D68" s="577">
        <v>0</v>
      </c>
      <c r="E68" s="577">
        <v>0</v>
      </c>
      <c r="F68" s="577">
        <f t="shared" si="21"/>
        <v>1.2500000000000001E-2</v>
      </c>
      <c r="G68" s="577">
        <v>0.02</v>
      </c>
      <c r="H68" s="577">
        <v>0</v>
      </c>
      <c r="I68" s="577">
        <v>0</v>
      </c>
      <c r="J68" s="577">
        <v>0</v>
      </c>
      <c r="K68" s="577">
        <v>0</v>
      </c>
      <c r="L68" s="577">
        <v>0</v>
      </c>
      <c r="M68" s="577">
        <v>0</v>
      </c>
      <c r="N68" s="577">
        <v>0</v>
      </c>
      <c r="O68" s="577">
        <v>0</v>
      </c>
      <c r="P68" s="577">
        <v>0</v>
      </c>
      <c r="Q68" s="577">
        <v>0</v>
      </c>
      <c r="R68" s="577">
        <v>0</v>
      </c>
      <c r="S68" s="577">
        <v>0</v>
      </c>
      <c r="T68" s="577">
        <v>0.02</v>
      </c>
      <c r="U68" s="577">
        <v>0</v>
      </c>
      <c r="V68" s="577">
        <v>0</v>
      </c>
      <c r="W68" s="592">
        <v>0</v>
      </c>
      <c r="X68" s="685">
        <v>0</v>
      </c>
      <c r="Y68" s="685">
        <v>0</v>
      </c>
      <c r="Z68" s="685">
        <v>0</v>
      </c>
      <c r="AA68" s="685">
        <v>0</v>
      </c>
      <c r="AB68" s="685">
        <v>0</v>
      </c>
      <c r="AC68" s="685">
        <v>0</v>
      </c>
      <c r="AD68" s="685">
        <v>0</v>
      </c>
      <c r="AE68" s="910">
        <v>0</v>
      </c>
      <c r="AF68" s="911">
        <v>0</v>
      </c>
      <c r="AG68" s="912">
        <v>0</v>
      </c>
      <c r="AH68" s="685">
        <v>0</v>
      </c>
      <c r="AI68" s="684">
        <v>0</v>
      </c>
      <c r="AJ68" s="682">
        <v>0</v>
      </c>
      <c r="AK68" s="684">
        <v>0</v>
      </c>
      <c r="AL68" s="686">
        <v>0</v>
      </c>
      <c r="AM68" s="682">
        <v>0</v>
      </c>
      <c r="AN68" s="682">
        <v>0</v>
      </c>
      <c r="AO68" s="686">
        <v>0</v>
      </c>
      <c r="AP68" s="687">
        <v>0</v>
      </c>
      <c r="AQ68" s="684">
        <f t="shared" ref="AQ68:AQ131" si="23">1/140</f>
        <v>7.1428571428571426E-3</v>
      </c>
      <c r="AR68" s="682">
        <v>5.0000000000000001E-3</v>
      </c>
      <c r="AS68" s="684">
        <f t="shared" si="22"/>
        <v>1.2500000000000001E-2</v>
      </c>
      <c r="AT68" s="688">
        <v>1E-3</v>
      </c>
      <c r="AU68" s="682">
        <v>0</v>
      </c>
      <c r="AV68" s="684">
        <v>0</v>
      </c>
      <c r="AW68" s="689">
        <v>0</v>
      </c>
      <c r="AX68" s="690">
        <v>0</v>
      </c>
      <c r="AY68" s="689">
        <v>0</v>
      </c>
      <c r="AZ68" s="690">
        <v>0</v>
      </c>
      <c r="BA68" s="689">
        <v>0</v>
      </c>
      <c r="BB68" s="690">
        <v>0</v>
      </c>
      <c r="BC68" s="691">
        <v>0</v>
      </c>
      <c r="BD68" s="692">
        <v>0</v>
      </c>
      <c r="BE68" s="689">
        <v>0</v>
      </c>
      <c r="BF68" s="690">
        <v>0</v>
      </c>
      <c r="BG68" s="691">
        <v>0</v>
      </c>
      <c r="BH68" s="690">
        <v>0</v>
      </c>
      <c r="BI68" s="691">
        <v>0</v>
      </c>
      <c r="BJ68" s="690">
        <v>0</v>
      </c>
      <c r="BK68" s="691">
        <v>0</v>
      </c>
      <c r="BL68" s="690">
        <v>0</v>
      </c>
      <c r="BM68" s="691">
        <v>0</v>
      </c>
      <c r="BN68" s="690">
        <v>0</v>
      </c>
      <c r="BO68" s="691">
        <v>0</v>
      </c>
      <c r="BP68" s="690">
        <v>0</v>
      </c>
      <c r="BQ68" s="691">
        <v>0</v>
      </c>
      <c r="BR68" s="690">
        <v>0</v>
      </c>
      <c r="BS68" s="691">
        <v>0</v>
      </c>
      <c r="BT68" s="690">
        <v>0</v>
      </c>
      <c r="BU68" s="691">
        <v>0</v>
      </c>
      <c r="BV68" s="690">
        <v>0</v>
      </c>
      <c r="BW68" s="691">
        <v>0</v>
      </c>
      <c r="BX68" s="690">
        <v>0</v>
      </c>
      <c r="BY68" s="691">
        <v>0</v>
      </c>
      <c r="BZ68" s="690">
        <v>0</v>
      </c>
      <c r="CA68" s="691">
        <v>0</v>
      </c>
      <c r="CB68" s="690">
        <v>0</v>
      </c>
      <c r="CC68" s="689">
        <v>0</v>
      </c>
      <c r="CD68" s="692">
        <v>0</v>
      </c>
      <c r="CE68" s="689">
        <v>0</v>
      </c>
      <c r="CF68" s="692">
        <v>0</v>
      </c>
      <c r="CG68" s="689">
        <v>0</v>
      </c>
      <c r="CH68" s="692">
        <v>0</v>
      </c>
      <c r="CI68" s="689">
        <v>0</v>
      </c>
      <c r="CJ68" s="692">
        <v>0</v>
      </c>
      <c r="CK68" s="689">
        <v>0</v>
      </c>
      <c r="CL68" s="692">
        <v>0</v>
      </c>
      <c r="CM68" s="689">
        <v>0</v>
      </c>
      <c r="CN68" s="692">
        <v>0</v>
      </c>
      <c r="CO68" s="689">
        <v>0</v>
      </c>
      <c r="CP68" s="692">
        <v>0</v>
      </c>
      <c r="CQ68" s="689">
        <v>0</v>
      </c>
      <c r="CR68" s="690">
        <v>0</v>
      </c>
      <c r="CS68" s="689">
        <v>0</v>
      </c>
      <c r="CT68" s="690">
        <v>0</v>
      </c>
      <c r="CU68" s="691">
        <v>0</v>
      </c>
      <c r="CV68" s="690">
        <v>0</v>
      </c>
    </row>
    <row r="69" spans="1:100">
      <c r="A69" s="457">
        <v>67</v>
      </c>
      <c r="B69" s="577">
        <v>0</v>
      </c>
      <c r="C69" s="577">
        <v>0</v>
      </c>
      <c r="D69" s="577">
        <v>0</v>
      </c>
      <c r="E69" s="577">
        <v>0</v>
      </c>
      <c r="F69" s="577">
        <f t="shared" si="21"/>
        <v>1.2500000000000001E-2</v>
      </c>
      <c r="G69" s="577">
        <v>0.02</v>
      </c>
      <c r="H69" s="577">
        <v>0</v>
      </c>
      <c r="I69" s="577">
        <v>0</v>
      </c>
      <c r="J69" s="577">
        <v>0</v>
      </c>
      <c r="K69" s="577">
        <v>0</v>
      </c>
      <c r="L69" s="577">
        <v>0</v>
      </c>
      <c r="M69" s="577">
        <v>0</v>
      </c>
      <c r="N69" s="577">
        <v>0</v>
      </c>
      <c r="O69" s="577">
        <v>0</v>
      </c>
      <c r="P69" s="577">
        <v>0</v>
      </c>
      <c r="Q69" s="577">
        <v>0</v>
      </c>
      <c r="R69" s="577">
        <v>0</v>
      </c>
      <c r="S69" s="577">
        <v>0</v>
      </c>
      <c r="T69" s="577">
        <v>0.02</v>
      </c>
      <c r="U69" s="577">
        <v>0</v>
      </c>
      <c r="V69" s="577">
        <v>0</v>
      </c>
      <c r="W69" s="592">
        <v>0</v>
      </c>
      <c r="X69" s="685">
        <v>0</v>
      </c>
      <c r="Y69" s="685">
        <v>0</v>
      </c>
      <c r="Z69" s="685">
        <v>0</v>
      </c>
      <c r="AA69" s="685">
        <v>0</v>
      </c>
      <c r="AB69" s="685">
        <v>0</v>
      </c>
      <c r="AC69" s="685">
        <v>0</v>
      </c>
      <c r="AD69" s="685">
        <v>0</v>
      </c>
      <c r="AE69" s="910">
        <v>0</v>
      </c>
      <c r="AF69" s="911">
        <v>0</v>
      </c>
      <c r="AG69" s="912">
        <v>0</v>
      </c>
      <c r="AH69" s="685">
        <v>0</v>
      </c>
      <c r="AI69" s="684">
        <v>0</v>
      </c>
      <c r="AJ69" s="682">
        <v>0</v>
      </c>
      <c r="AK69" s="684">
        <v>0</v>
      </c>
      <c r="AL69" s="686">
        <v>0</v>
      </c>
      <c r="AM69" s="682">
        <v>0</v>
      </c>
      <c r="AN69" s="682">
        <v>0</v>
      </c>
      <c r="AO69" s="686">
        <v>0</v>
      </c>
      <c r="AP69" s="687">
        <v>0</v>
      </c>
      <c r="AQ69" s="684">
        <f t="shared" si="23"/>
        <v>7.1428571428571426E-3</v>
      </c>
      <c r="AR69" s="682">
        <v>5.0000000000000001E-3</v>
      </c>
      <c r="AS69" s="684">
        <f t="shared" si="22"/>
        <v>1.2500000000000001E-2</v>
      </c>
      <c r="AT69" s="688">
        <v>1E-3</v>
      </c>
      <c r="AU69" s="682">
        <v>0</v>
      </c>
      <c r="AV69" s="684">
        <v>0</v>
      </c>
      <c r="AW69" s="689">
        <v>0</v>
      </c>
      <c r="AX69" s="690">
        <v>0</v>
      </c>
      <c r="AY69" s="689">
        <v>0</v>
      </c>
      <c r="AZ69" s="690">
        <v>0</v>
      </c>
      <c r="BA69" s="689">
        <v>0</v>
      </c>
      <c r="BB69" s="690">
        <v>0</v>
      </c>
      <c r="BC69" s="691">
        <v>0</v>
      </c>
      <c r="BD69" s="692">
        <v>0</v>
      </c>
      <c r="BE69" s="689">
        <v>0</v>
      </c>
      <c r="BF69" s="690">
        <v>0</v>
      </c>
      <c r="BG69" s="691">
        <v>0</v>
      </c>
      <c r="BH69" s="690">
        <v>0</v>
      </c>
      <c r="BI69" s="691">
        <v>0</v>
      </c>
      <c r="BJ69" s="690">
        <v>0</v>
      </c>
      <c r="BK69" s="691">
        <v>0</v>
      </c>
      <c r="BL69" s="690">
        <v>0</v>
      </c>
      <c r="BM69" s="691">
        <v>0</v>
      </c>
      <c r="BN69" s="690">
        <v>0</v>
      </c>
      <c r="BO69" s="691">
        <v>0</v>
      </c>
      <c r="BP69" s="690">
        <v>0</v>
      </c>
      <c r="BQ69" s="691">
        <v>0</v>
      </c>
      <c r="BR69" s="690">
        <v>0</v>
      </c>
      <c r="BS69" s="691">
        <v>0</v>
      </c>
      <c r="BT69" s="690">
        <v>0</v>
      </c>
      <c r="BU69" s="691">
        <v>0</v>
      </c>
      <c r="BV69" s="690">
        <v>0</v>
      </c>
      <c r="BW69" s="691">
        <v>0</v>
      </c>
      <c r="BX69" s="690">
        <v>0</v>
      </c>
      <c r="BY69" s="691">
        <v>0</v>
      </c>
      <c r="BZ69" s="690">
        <v>0</v>
      </c>
      <c r="CA69" s="691">
        <v>0</v>
      </c>
      <c r="CB69" s="690">
        <v>0</v>
      </c>
      <c r="CC69" s="689">
        <v>0</v>
      </c>
      <c r="CD69" s="692">
        <v>0</v>
      </c>
      <c r="CE69" s="689">
        <v>0</v>
      </c>
      <c r="CF69" s="692">
        <v>0</v>
      </c>
      <c r="CG69" s="689">
        <v>0</v>
      </c>
      <c r="CH69" s="692">
        <v>0</v>
      </c>
      <c r="CI69" s="689">
        <v>0</v>
      </c>
      <c r="CJ69" s="692">
        <v>0</v>
      </c>
      <c r="CK69" s="689">
        <v>0</v>
      </c>
      <c r="CL69" s="692">
        <v>0</v>
      </c>
      <c r="CM69" s="689">
        <v>0</v>
      </c>
      <c r="CN69" s="692">
        <v>0</v>
      </c>
      <c r="CO69" s="689">
        <v>0</v>
      </c>
      <c r="CP69" s="692">
        <v>0</v>
      </c>
      <c r="CQ69" s="689">
        <v>0</v>
      </c>
      <c r="CR69" s="690">
        <v>0</v>
      </c>
      <c r="CS69" s="689">
        <v>0</v>
      </c>
      <c r="CT69" s="690">
        <v>0</v>
      </c>
      <c r="CU69" s="691">
        <v>0</v>
      </c>
      <c r="CV69" s="690">
        <v>0</v>
      </c>
    </row>
    <row r="70" spans="1:100">
      <c r="A70" s="457">
        <v>68</v>
      </c>
      <c r="B70" s="577">
        <v>0</v>
      </c>
      <c r="C70" s="577">
        <v>0</v>
      </c>
      <c r="D70" s="577">
        <v>0</v>
      </c>
      <c r="E70" s="577">
        <v>0</v>
      </c>
      <c r="F70" s="577">
        <f t="shared" si="21"/>
        <v>1.2500000000000001E-2</v>
      </c>
      <c r="G70" s="577">
        <v>0.02</v>
      </c>
      <c r="H70" s="577">
        <v>0</v>
      </c>
      <c r="I70" s="577">
        <v>0</v>
      </c>
      <c r="J70" s="577">
        <v>0</v>
      </c>
      <c r="K70" s="577">
        <v>0</v>
      </c>
      <c r="L70" s="577">
        <v>0</v>
      </c>
      <c r="M70" s="577">
        <v>0</v>
      </c>
      <c r="N70" s="577">
        <v>0</v>
      </c>
      <c r="O70" s="577">
        <v>0</v>
      </c>
      <c r="P70" s="577">
        <v>0</v>
      </c>
      <c r="Q70" s="577">
        <v>0</v>
      </c>
      <c r="R70" s="577">
        <v>0</v>
      </c>
      <c r="S70" s="577">
        <v>0</v>
      </c>
      <c r="T70" s="577">
        <v>0.02</v>
      </c>
      <c r="U70" s="577">
        <v>0</v>
      </c>
      <c r="V70" s="577">
        <v>0</v>
      </c>
      <c r="W70" s="592">
        <v>0</v>
      </c>
      <c r="X70" s="685">
        <v>0</v>
      </c>
      <c r="Y70" s="685">
        <v>0</v>
      </c>
      <c r="Z70" s="685">
        <v>0</v>
      </c>
      <c r="AA70" s="685">
        <v>0</v>
      </c>
      <c r="AB70" s="685">
        <v>0</v>
      </c>
      <c r="AC70" s="685">
        <v>0</v>
      </c>
      <c r="AD70" s="685">
        <v>0</v>
      </c>
      <c r="AE70" s="910">
        <v>0</v>
      </c>
      <c r="AF70" s="911">
        <v>0</v>
      </c>
      <c r="AG70" s="912">
        <v>0</v>
      </c>
      <c r="AH70" s="685">
        <v>0</v>
      </c>
      <c r="AI70" s="684">
        <v>0</v>
      </c>
      <c r="AJ70" s="682">
        <v>0</v>
      </c>
      <c r="AK70" s="684">
        <v>0</v>
      </c>
      <c r="AL70" s="686">
        <v>0</v>
      </c>
      <c r="AM70" s="682">
        <v>0</v>
      </c>
      <c r="AN70" s="682">
        <v>0</v>
      </c>
      <c r="AO70" s="686">
        <v>0</v>
      </c>
      <c r="AP70" s="687">
        <v>0</v>
      </c>
      <c r="AQ70" s="684">
        <f t="shared" si="23"/>
        <v>7.1428571428571426E-3</v>
      </c>
      <c r="AR70" s="682">
        <v>5.0000000000000001E-3</v>
      </c>
      <c r="AS70" s="684">
        <f t="shared" si="22"/>
        <v>1.2500000000000001E-2</v>
      </c>
      <c r="AT70" s="688">
        <v>1E-3</v>
      </c>
      <c r="AU70" s="682">
        <v>0</v>
      </c>
      <c r="AV70" s="684">
        <v>0</v>
      </c>
      <c r="AW70" s="689">
        <v>0</v>
      </c>
      <c r="AX70" s="690">
        <v>0</v>
      </c>
      <c r="AY70" s="689">
        <v>0</v>
      </c>
      <c r="AZ70" s="690">
        <v>0</v>
      </c>
      <c r="BA70" s="689">
        <v>0</v>
      </c>
      <c r="BB70" s="690">
        <v>0</v>
      </c>
      <c r="BC70" s="691">
        <v>0</v>
      </c>
      <c r="BD70" s="692">
        <v>0</v>
      </c>
      <c r="BE70" s="689">
        <v>0</v>
      </c>
      <c r="BF70" s="690">
        <v>0</v>
      </c>
      <c r="BG70" s="691">
        <v>0</v>
      </c>
      <c r="BH70" s="690">
        <v>0</v>
      </c>
      <c r="BI70" s="691">
        <v>0</v>
      </c>
      <c r="BJ70" s="690">
        <v>0</v>
      </c>
      <c r="BK70" s="691">
        <v>0</v>
      </c>
      <c r="BL70" s="690">
        <v>0</v>
      </c>
      <c r="BM70" s="691">
        <v>0</v>
      </c>
      <c r="BN70" s="690">
        <v>0</v>
      </c>
      <c r="BO70" s="691">
        <v>0</v>
      </c>
      <c r="BP70" s="690">
        <v>0</v>
      </c>
      <c r="BQ70" s="691">
        <v>0</v>
      </c>
      <c r="BR70" s="690">
        <v>0</v>
      </c>
      <c r="BS70" s="691">
        <v>0</v>
      </c>
      <c r="BT70" s="690">
        <v>0</v>
      </c>
      <c r="BU70" s="691">
        <v>0</v>
      </c>
      <c r="BV70" s="690">
        <v>0</v>
      </c>
      <c r="BW70" s="691">
        <v>0</v>
      </c>
      <c r="BX70" s="690">
        <v>0</v>
      </c>
      <c r="BY70" s="691">
        <v>0</v>
      </c>
      <c r="BZ70" s="690">
        <v>0</v>
      </c>
      <c r="CA70" s="691">
        <v>0</v>
      </c>
      <c r="CB70" s="690">
        <v>0</v>
      </c>
      <c r="CC70" s="689">
        <v>0</v>
      </c>
      <c r="CD70" s="692">
        <v>0</v>
      </c>
      <c r="CE70" s="689">
        <v>0</v>
      </c>
      <c r="CF70" s="692">
        <v>0</v>
      </c>
      <c r="CG70" s="689">
        <v>0</v>
      </c>
      <c r="CH70" s="692">
        <v>0</v>
      </c>
      <c r="CI70" s="689">
        <v>0</v>
      </c>
      <c r="CJ70" s="692">
        <v>0</v>
      </c>
      <c r="CK70" s="689">
        <v>0</v>
      </c>
      <c r="CL70" s="692">
        <v>0</v>
      </c>
      <c r="CM70" s="689">
        <v>0</v>
      </c>
      <c r="CN70" s="692">
        <v>0</v>
      </c>
      <c r="CO70" s="689">
        <v>0</v>
      </c>
      <c r="CP70" s="692">
        <v>0</v>
      </c>
      <c r="CQ70" s="689">
        <v>0</v>
      </c>
      <c r="CR70" s="690">
        <v>0</v>
      </c>
      <c r="CS70" s="689">
        <v>0</v>
      </c>
      <c r="CT70" s="690">
        <v>0</v>
      </c>
      <c r="CU70" s="691">
        <v>0</v>
      </c>
      <c r="CV70" s="690">
        <v>0</v>
      </c>
    </row>
    <row r="71" spans="1:100">
      <c r="A71" s="457">
        <v>69</v>
      </c>
      <c r="B71" s="577">
        <v>0</v>
      </c>
      <c r="C71" s="577">
        <v>0</v>
      </c>
      <c r="D71" s="577">
        <v>0</v>
      </c>
      <c r="E71" s="577">
        <v>0</v>
      </c>
      <c r="F71" s="577">
        <f t="shared" si="21"/>
        <v>1.2500000000000001E-2</v>
      </c>
      <c r="G71" s="577">
        <v>0.02</v>
      </c>
      <c r="H71" s="577">
        <v>0</v>
      </c>
      <c r="I71" s="577">
        <v>0</v>
      </c>
      <c r="J71" s="577">
        <v>0</v>
      </c>
      <c r="K71" s="577">
        <v>0</v>
      </c>
      <c r="L71" s="577">
        <v>0</v>
      </c>
      <c r="M71" s="577">
        <v>0</v>
      </c>
      <c r="N71" s="577">
        <v>0</v>
      </c>
      <c r="O71" s="577">
        <v>0</v>
      </c>
      <c r="P71" s="577">
        <v>0</v>
      </c>
      <c r="Q71" s="577">
        <v>0</v>
      </c>
      <c r="R71" s="577">
        <v>0</v>
      </c>
      <c r="S71" s="577">
        <v>0</v>
      </c>
      <c r="T71" s="577">
        <v>0.02</v>
      </c>
      <c r="U71" s="577">
        <v>0</v>
      </c>
      <c r="V71" s="577">
        <v>0</v>
      </c>
      <c r="W71" s="592">
        <v>0</v>
      </c>
      <c r="X71" s="685">
        <v>0</v>
      </c>
      <c r="Y71" s="685">
        <v>0</v>
      </c>
      <c r="Z71" s="685">
        <v>0</v>
      </c>
      <c r="AA71" s="685">
        <v>0</v>
      </c>
      <c r="AB71" s="685">
        <v>0</v>
      </c>
      <c r="AC71" s="685">
        <v>0</v>
      </c>
      <c r="AD71" s="685">
        <v>0</v>
      </c>
      <c r="AE71" s="910">
        <v>0</v>
      </c>
      <c r="AF71" s="911">
        <v>0</v>
      </c>
      <c r="AG71" s="912">
        <v>0</v>
      </c>
      <c r="AH71" s="685">
        <v>0</v>
      </c>
      <c r="AI71" s="684">
        <v>0</v>
      </c>
      <c r="AJ71" s="682">
        <v>0</v>
      </c>
      <c r="AK71" s="684">
        <v>0</v>
      </c>
      <c r="AL71" s="686">
        <v>0</v>
      </c>
      <c r="AM71" s="682">
        <v>0</v>
      </c>
      <c r="AN71" s="682">
        <v>0</v>
      </c>
      <c r="AO71" s="686">
        <v>0</v>
      </c>
      <c r="AP71" s="687">
        <v>0</v>
      </c>
      <c r="AQ71" s="684">
        <f t="shared" si="23"/>
        <v>7.1428571428571426E-3</v>
      </c>
      <c r="AR71" s="682">
        <v>5.0000000000000001E-3</v>
      </c>
      <c r="AS71" s="684">
        <f t="shared" si="22"/>
        <v>1.2500000000000001E-2</v>
      </c>
      <c r="AT71" s="688">
        <v>1E-3</v>
      </c>
      <c r="AU71" s="682">
        <v>0</v>
      </c>
      <c r="AV71" s="684">
        <v>0</v>
      </c>
      <c r="AW71" s="689">
        <v>0</v>
      </c>
      <c r="AX71" s="690">
        <v>0</v>
      </c>
      <c r="AY71" s="689">
        <v>0</v>
      </c>
      <c r="AZ71" s="690">
        <v>0</v>
      </c>
      <c r="BA71" s="689">
        <v>0</v>
      </c>
      <c r="BB71" s="690">
        <v>0</v>
      </c>
      <c r="BC71" s="691">
        <v>0</v>
      </c>
      <c r="BD71" s="692">
        <v>0</v>
      </c>
      <c r="BE71" s="689">
        <v>0</v>
      </c>
      <c r="BF71" s="690">
        <v>0</v>
      </c>
      <c r="BG71" s="691">
        <v>0</v>
      </c>
      <c r="BH71" s="690">
        <v>0</v>
      </c>
      <c r="BI71" s="691">
        <v>0</v>
      </c>
      <c r="BJ71" s="690">
        <v>0</v>
      </c>
      <c r="BK71" s="691">
        <v>0</v>
      </c>
      <c r="BL71" s="690">
        <v>0</v>
      </c>
      <c r="BM71" s="691">
        <v>0</v>
      </c>
      <c r="BN71" s="690">
        <v>0</v>
      </c>
      <c r="BO71" s="691">
        <v>0</v>
      </c>
      <c r="BP71" s="690">
        <v>0</v>
      </c>
      <c r="BQ71" s="691">
        <v>0</v>
      </c>
      <c r="BR71" s="690">
        <v>0</v>
      </c>
      <c r="BS71" s="691">
        <v>0</v>
      </c>
      <c r="BT71" s="690">
        <v>0</v>
      </c>
      <c r="BU71" s="691">
        <v>0</v>
      </c>
      <c r="BV71" s="690">
        <v>0</v>
      </c>
      <c r="BW71" s="691">
        <v>0</v>
      </c>
      <c r="BX71" s="690">
        <v>0</v>
      </c>
      <c r="BY71" s="691">
        <v>0</v>
      </c>
      <c r="BZ71" s="690">
        <v>0</v>
      </c>
      <c r="CA71" s="691">
        <v>0</v>
      </c>
      <c r="CB71" s="690">
        <v>0</v>
      </c>
      <c r="CC71" s="689">
        <v>0</v>
      </c>
      <c r="CD71" s="692">
        <v>0</v>
      </c>
      <c r="CE71" s="689">
        <v>0</v>
      </c>
      <c r="CF71" s="692">
        <v>0</v>
      </c>
      <c r="CG71" s="689">
        <v>0</v>
      </c>
      <c r="CH71" s="692">
        <v>0</v>
      </c>
      <c r="CI71" s="689">
        <v>0</v>
      </c>
      <c r="CJ71" s="692">
        <v>0</v>
      </c>
      <c r="CK71" s="689">
        <v>0</v>
      </c>
      <c r="CL71" s="692">
        <v>0</v>
      </c>
      <c r="CM71" s="689">
        <v>0</v>
      </c>
      <c r="CN71" s="692">
        <v>0</v>
      </c>
      <c r="CO71" s="689">
        <v>0</v>
      </c>
      <c r="CP71" s="692">
        <v>0</v>
      </c>
      <c r="CQ71" s="689">
        <v>0</v>
      </c>
      <c r="CR71" s="690">
        <v>0</v>
      </c>
      <c r="CS71" s="689">
        <v>0</v>
      </c>
      <c r="CT71" s="690">
        <v>0</v>
      </c>
      <c r="CU71" s="691">
        <v>0</v>
      </c>
      <c r="CV71" s="690">
        <v>0</v>
      </c>
    </row>
    <row r="72" spans="1:100">
      <c r="A72" s="457">
        <v>70</v>
      </c>
      <c r="B72" s="577">
        <v>0</v>
      </c>
      <c r="C72" s="577">
        <v>0</v>
      </c>
      <c r="D72" s="577">
        <v>0</v>
      </c>
      <c r="E72" s="577">
        <v>0</v>
      </c>
      <c r="F72" s="577">
        <f t="shared" si="21"/>
        <v>1.2500000000000001E-2</v>
      </c>
      <c r="G72" s="577">
        <v>0.02</v>
      </c>
      <c r="H72" s="577">
        <v>0</v>
      </c>
      <c r="I72" s="577">
        <v>0</v>
      </c>
      <c r="J72" s="577">
        <v>0</v>
      </c>
      <c r="K72" s="577">
        <v>0</v>
      </c>
      <c r="L72" s="577">
        <v>0</v>
      </c>
      <c r="M72" s="577">
        <v>0</v>
      </c>
      <c r="N72" s="577">
        <v>0</v>
      </c>
      <c r="O72" s="577">
        <v>0</v>
      </c>
      <c r="P72" s="577">
        <v>0</v>
      </c>
      <c r="Q72" s="577">
        <v>0</v>
      </c>
      <c r="R72" s="577">
        <v>0</v>
      </c>
      <c r="S72" s="577">
        <v>0</v>
      </c>
      <c r="T72" s="577">
        <v>0.02</v>
      </c>
      <c r="U72" s="577">
        <v>0</v>
      </c>
      <c r="V72" s="577">
        <v>0</v>
      </c>
      <c r="W72" s="592">
        <v>0</v>
      </c>
      <c r="X72" s="685">
        <v>0</v>
      </c>
      <c r="Y72" s="685">
        <v>0</v>
      </c>
      <c r="Z72" s="685">
        <v>0</v>
      </c>
      <c r="AA72" s="685">
        <v>0</v>
      </c>
      <c r="AB72" s="685">
        <v>0</v>
      </c>
      <c r="AC72" s="685">
        <v>0</v>
      </c>
      <c r="AD72" s="685">
        <v>0</v>
      </c>
      <c r="AE72" s="910">
        <v>0</v>
      </c>
      <c r="AF72" s="911">
        <v>0</v>
      </c>
      <c r="AG72" s="912">
        <v>0</v>
      </c>
      <c r="AH72" s="685">
        <v>0</v>
      </c>
      <c r="AI72" s="684">
        <v>0</v>
      </c>
      <c r="AJ72" s="682">
        <v>0</v>
      </c>
      <c r="AK72" s="684">
        <v>0</v>
      </c>
      <c r="AL72" s="686">
        <v>0</v>
      </c>
      <c r="AM72" s="682">
        <v>0</v>
      </c>
      <c r="AN72" s="682">
        <v>0</v>
      </c>
      <c r="AO72" s="686">
        <v>0</v>
      </c>
      <c r="AP72" s="687">
        <v>0</v>
      </c>
      <c r="AQ72" s="684">
        <f t="shared" si="23"/>
        <v>7.1428571428571426E-3</v>
      </c>
      <c r="AR72" s="682">
        <v>5.0000000000000001E-3</v>
      </c>
      <c r="AS72" s="684">
        <f t="shared" si="22"/>
        <v>1.2500000000000001E-2</v>
      </c>
      <c r="AT72" s="688">
        <v>1E-3</v>
      </c>
      <c r="AU72" s="682">
        <v>0</v>
      </c>
      <c r="AV72" s="684">
        <v>0</v>
      </c>
      <c r="AW72" s="689">
        <v>0</v>
      </c>
      <c r="AX72" s="690">
        <v>0</v>
      </c>
      <c r="AY72" s="689">
        <v>0</v>
      </c>
      <c r="AZ72" s="690">
        <v>0</v>
      </c>
      <c r="BA72" s="689">
        <v>0</v>
      </c>
      <c r="BB72" s="690">
        <v>0</v>
      </c>
      <c r="BC72" s="691">
        <v>0</v>
      </c>
      <c r="BD72" s="692">
        <v>0</v>
      </c>
      <c r="BE72" s="689">
        <v>0</v>
      </c>
      <c r="BF72" s="690">
        <v>0</v>
      </c>
      <c r="BG72" s="691">
        <v>0</v>
      </c>
      <c r="BH72" s="690">
        <v>0</v>
      </c>
      <c r="BI72" s="691">
        <v>0</v>
      </c>
      <c r="BJ72" s="690">
        <v>0</v>
      </c>
      <c r="BK72" s="691">
        <v>0</v>
      </c>
      <c r="BL72" s="690">
        <v>0</v>
      </c>
      <c r="BM72" s="691">
        <v>0</v>
      </c>
      <c r="BN72" s="690">
        <v>0</v>
      </c>
      <c r="BO72" s="691">
        <v>0</v>
      </c>
      <c r="BP72" s="690">
        <v>0</v>
      </c>
      <c r="BQ72" s="691">
        <v>0</v>
      </c>
      <c r="BR72" s="690">
        <v>0</v>
      </c>
      <c r="BS72" s="691">
        <v>0</v>
      </c>
      <c r="BT72" s="690">
        <v>0</v>
      </c>
      <c r="BU72" s="691">
        <v>0</v>
      </c>
      <c r="BV72" s="690">
        <v>0</v>
      </c>
      <c r="BW72" s="691">
        <v>0</v>
      </c>
      <c r="BX72" s="690">
        <v>0</v>
      </c>
      <c r="BY72" s="691">
        <v>0</v>
      </c>
      <c r="BZ72" s="690">
        <v>0</v>
      </c>
      <c r="CA72" s="691">
        <v>0</v>
      </c>
      <c r="CB72" s="690">
        <v>0</v>
      </c>
      <c r="CC72" s="689">
        <v>0</v>
      </c>
      <c r="CD72" s="692">
        <v>0</v>
      </c>
      <c r="CE72" s="689">
        <v>0</v>
      </c>
      <c r="CF72" s="692">
        <v>0</v>
      </c>
      <c r="CG72" s="689">
        <v>0</v>
      </c>
      <c r="CH72" s="692">
        <v>0</v>
      </c>
      <c r="CI72" s="689">
        <v>0</v>
      </c>
      <c r="CJ72" s="692">
        <v>0</v>
      </c>
      <c r="CK72" s="689">
        <v>0</v>
      </c>
      <c r="CL72" s="692">
        <v>0</v>
      </c>
      <c r="CM72" s="689">
        <v>0</v>
      </c>
      <c r="CN72" s="692">
        <v>0</v>
      </c>
      <c r="CO72" s="689">
        <v>0</v>
      </c>
      <c r="CP72" s="692">
        <v>0</v>
      </c>
      <c r="CQ72" s="689">
        <v>0</v>
      </c>
      <c r="CR72" s="690">
        <v>0</v>
      </c>
      <c r="CS72" s="689">
        <v>0</v>
      </c>
      <c r="CT72" s="690">
        <v>0</v>
      </c>
      <c r="CU72" s="691">
        <v>0</v>
      </c>
      <c r="CV72" s="690">
        <v>0</v>
      </c>
    </row>
    <row r="73" spans="1:100">
      <c r="A73" s="457">
        <v>71</v>
      </c>
      <c r="B73" s="577">
        <v>0</v>
      </c>
      <c r="C73" s="577">
        <v>0</v>
      </c>
      <c r="D73" s="577">
        <v>0</v>
      </c>
      <c r="E73" s="577">
        <v>0</v>
      </c>
      <c r="F73" s="577">
        <f t="shared" si="21"/>
        <v>1.2500000000000001E-2</v>
      </c>
      <c r="G73" s="577">
        <v>0.02</v>
      </c>
      <c r="H73" s="577">
        <v>0</v>
      </c>
      <c r="I73" s="577">
        <v>0</v>
      </c>
      <c r="J73" s="577">
        <v>0</v>
      </c>
      <c r="K73" s="577">
        <v>0</v>
      </c>
      <c r="L73" s="577">
        <v>0</v>
      </c>
      <c r="M73" s="577">
        <v>0</v>
      </c>
      <c r="N73" s="577">
        <v>0</v>
      </c>
      <c r="O73" s="577">
        <v>0</v>
      </c>
      <c r="P73" s="577">
        <v>0</v>
      </c>
      <c r="Q73" s="577">
        <v>0</v>
      </c>
      <c r="R73" s="577">
        <v>0</v>
      </c>
      <c r="S73" s="577">
        <v>0</v>
      </c>
      <c r="T73" s="577">
        <v>0.02</v>
      </c>
      <c r="U73" s="577">
        <v>0</v>
      </c>
      <c r="V73" s="577">
        <v>0</v>
      </c>
      <c r="W73" s="592">
        <v>0</v>
      </c>
      <c r="X73" s="685">
        <v>0</v>
      </c>
      <c r="Y73" s="685">
        <v>0</v>
      </c>
      <c r="Z73" s="685">
        <v>0</v>
      </c>
      <c r="AA73" s="685">
        <v>0</v>
      </c>
      <c r="AB73" s="685">
        <v>0</v>
      </c>
      <c r="AC73" s="685">
        <v>0</v>
      </c>
      <c r="AD73" s="685">
        <v>0</v>
      </c>
      <c r="AE73" s="910">
        <v>0</v>
      </c>
      <c r="AF73" s="911">
        <v>0</v>
      </c>
      <c r="AG73" s="912">
        <v>0</v>
      </c>
      <c r="AH73" s="685">
        <v>0</v>
      </c>
      <c r="AI73" s="684">
        <v>0</v>
      </c>
      <c r="AJ73" s="682">
        <v>0</v>
      </c>
      <c r="AK73" s="684">
        <v>0</v>
      </c>
      <c r="AL73" s="686">
        <v>0</v>
      </c>
      <c r="AM73" s="682">
        <v>0</v>
      </c>
      <c r="AN73" s="682">
        <v>0</v>
      </c>
      <c r="AO73" s="686">
        <v>0</v>
      </c>
      <c r="AP73" s="687">
        <v>0</v>
      </c>
      <c r="AQ73" s="684">
        <f t="shared" si="23"/>
        <v>7.1428571428571426E-3</v>
      </c>
      <c r="AR73" s="682">
        <v>5.0000000000000001E-3</v>
      </c>
      <c r="AS73" s="684">
        <f t="shared" si="22"/>
        <v>1.2500000000000001E-2</v>
      </c>
      <c r="AT73" s="688">
        <v>1E-3</v>
      </c>
      <c r="AU73" s="682">
        <v>0</v>
      </c>
      <c r="AV73" s="684">
        <v>0</v>
      </c>
      <c r="AW73" s="689">
        <v>0</v>
      </c>
      <c r="AX73" s="690">
        <v>0</v>
      </c>
      <c r="AY73" s="689">
        <v>0</v>
      </c>
      <c r="AZ73" s="690">
        <v>0</v>
      </c>
      <c r="BA73" s="689">
        <v>0</v>
      </c>
      <c r="BB73" s="690">
        <v>0</v>
      </c>
      <c r="BC73" s="691">
        <v>0</v>
      </c>
      <c r="BD73" s="692">
        <v>0</v>
      </c>
      <c r="BE73" s="689">
        <v>0</v>
      </c>
      <c r="BF73" s="690">
        <v>0</v>
      </c>
      <c r="BG73" s="691">
        <v>0</v>
      </c>
      <c r="BH73" s="690">
        <v>0</v>
      </c>
      <c r="BI73" s="691">
        <v>0</v>
      </c>
      <c r="BJ73" s="690">
        <v>0</v>
      </c>
      <c r="BK73" s="691">
        <v>0</v>
      </c>
      <c r="BL73" s="690">
        <v>0</v>
      </c>
      <c r="BM73" s="691">
        <v>0</v>
      </c>
      <c r="BN73" s="690">
        <v>0</v>
      </c>
      <c r="BO73" s="691">
        <v>0</v>
      </c>
      <c r="BP73" s="690">
        <v>0</v>
      </c>
      <c r="BQ73" s="691">
        <v>0</v>
      </c>
      <c r="BR73" s="690">
        <v>0</v>
      </c>
      <c r="BS73" s="691">
        <v>0</v>
      </c>
      <c r="BT73" s="690">
        <v>0</v>
      </c>
      <c r="BU73" s="691">
        <v>0</v>
      </c>
      <c r="BV73" s="690">
        <v>0</v>
      </c>
      <c r="BW73" s="691">
        <v>0</v>
      </c>
      <c r="BX73" s="690">
        <v>0</v>
      </c>
      <c r="BY73" s="691">
        <v>0</v>
      </c>
      <c r="BZ73" s="690">
        <v>0</v>
      </c>
      <c r="CA73" s="691">
        <v>0</v>
      </c>
      <c r="CB73" s="690">
        <v>0</v>
      </c>
      <c r="CC73" s="689">
        <v>0</v>
      </c>
      <c r="CD73" s="692">
        <v>0</v>
      </c>
      <c r="CE73" s="689">
        <v>0</v>
      </c>
      <c r="CF73" s="692">
        <v>0</v>
      </c>
      <c r="CG73" s="689">
        <v>0</v>
      </c>
      <c r="CH73" s="692">
        <v>0</v>
      </c>
      <c r="CI73" s="689">
        <v>0</v>
      </c>
      <c r="CJ73" s="692">
        <v>0</v>
      </c>
      <c r="CK73" s="689">
        <v>0</v>
      </c>
      <c r="CL73" s="692">
        <v>0</v>
      </c>
      <c r="CM73" s="689">
        <v>0</v>
      </c>
      <c r="CN73" s="692">
        <v>0</v>
      </c>
      <c r="CO73" s="689">
        <v>0</v>
      </c>
      <c r="CP73" s="692">
        <v>0</v>
      </c>
      <c r="CQ73" s="689">
        <v>0</v>
      </c>
      <c r="CR73" s="690">
        <v>0</v>
      </c>
      <c r="CS73" s="689">
        <v>0</v>
      </c>
      <c r="CT73" s="690">
        <v>0</v>
      </c>
      <c r="CU73" s="691">
        <v>0</v>
      </c>
      <c r="CV73" s="690">
        <v>0</v>
      </c>
    </row>
    <row r="74" spans="1:100">
      <c r="A74" s="457">
        <v>72</v>
      </c>
      <c r="B74" s="577">
        <v>0</v>
      </c>
      <c r="C74" s="577">
        <v>0</v>
      </c>
      <c r="D74" s="577">
        <v>0</v>
      </c>
      <c r="E74" s="577">
        <v>0</v>
      </c>
      <c r="F74" s="577">
        <f t="shared" si="21"/>
        <v>1.2500000000000001E-2</v>
      </c>
      <c r="G74" s="577">
        <v>0.02</v>
      </c>
      <c r="H74" s="577">
        <v>0</v>
      </c>
      <c r="I74" s="577">
        <v>0</v>
      </c>
      <c r="J74" s="577">
        <v>0</v>
      </c>
      <c r="K74" s="577">
        <v>0</v>
      </c>
      <c r="L74" s="577">
        <v>0</v>
      </c>
      <c r="M74" s="577">
        <v>0</v>
      </c>
      <c r="N74" s="577">
        <v>0</v>
      </c>
      <c r="O74" s="577">
        <v>0</v>
      </c>
      <c r="P74" s="577">
        <v>0</v>
      </c>
      <c r="Q74" s="577">
        <v>0</v>
      </c>
      <c r="R74" s="577">
        <v>0</v>
      </c>
      <c r="S74" s="577">
        <v>0</v>
      </c>
      <c r="T74" s="577">
        <v>0.02</v>
      </c>
      <c r="U74" s="577">
        <v>0</v>
      </c>
      <c r="V74" s="577">
        <v>0</v>
      </c>
      <c r="W74" s="592">
        <v>0</v>
      </c>
      <c r="X74" s="685">
        <v>0</v>
      </c>
      <c r="Y74" s="685">
        <v>0</v>
      </c>
      <c r="Z74" s="685">
        <v>0</v>
      </c>
      <c r="AA74" s="685">
        <v>0</v>
      </c>
      <c r="AB74" s="685">
        <v>0</v>
      </c>
      <c r="AC74" s="685">
        <v>0</v>
      </c>
      <c r="AD74" s="685">
        <v>0</v>
      </c>
      <c r="AE74" s="910">
        <v>0</v>
      </c>
      <c r="AF74" s="911">
        <v>0</v>
      </c>
      <c r="AG74" s="912">
        <v>0</v>
      </c>
      <c r="AH74" s="685">
        <v>0</v>
      </c>
      <c r="AI74" s="684">
        <v>0</v>
      </c>
      <c r="AJ74" s="682">
        <v>0</v>
      </c>
      <c r="AK74" s="684">
        <v>0</v>
      </c>
      <c r="AL74" s="686">
        <v>0</v>
      </c>
      <c r="AM74" s="682">
        <v>0</v>
      </c>
      <c r="AN74" s="682">
        <v>0</v>
      </c>
      <c r="AO74" s="686">
        <v>0</v>
      </c>
      <c r="AP74" s="687">
        <v>0</v>
      </c>
      <c r="AQ74" s="684">
        <f t="shared" si="23"/>
        <v>7.1428571428571426E-3</v>
      </c>
      <c r="AR74" s="682">
        <v>5.0000000000000001E-3</v>
      </c>
      <c r="AS74" s="684">
        <f t="shared" si="22"/>
        <v>1.2500000000000001E-2</v>
      </c>
      <c r="AT74" s="688">
        <v>1E-3</v>
      </c>
      <c r="AU74" s="682">
        <v>0</v>
      </c>
      <c r="AV74" s="684">
        <v>0</v>
      </c>
      <c r="AW74" s="689">
        <v>0</v>
      </c>
      <c r="AX74" s="690">
        <v>0</v>
      </c>
      <c r="AY74" s="689">
        <v>0</v>
      </c>
      <c r="AZ74" s="690">
        <v>0</v>
      </c>
      <c r="BA74" s="689">
        <v>0</v>
      </c>
      <c r="BB74" s="690">
        <v>0</v>
      </c>
      <c r="BC74" s="691">
        <v>0</v>
      </c>
      <c r="BD74" s="692">
        <v>0</v>
      </c>
      <c r="BE74" s="689">
        <v>0</v>
      </c>
      <c r="BF74" s="690">
        <v>0</v>
      </c>
      <c r="BG74" s="691">
        <v>0</v>
      </c>
      <c r="BH74" s="690">
        <v>0</v>
      </c>
      <c r="BI74" s="691">
        <v>0</v>
      </c>
      <c r="BJ74" s="690">
        <v>0</v>
      </c>
      <c r="BK74" s="691">
        <v>0</v>
      </c>
      <c r="BL74" s="690">
        <v>0</v>
      </c>
      <c r="BM74" s="691">
        <v>0</v>
      </c>
      <c r="BN74" s="690">
        <v>0</v>
      </c>
      <c r="BO74" s="691">
        <v>0</v>
      </c>
      <c r="BP74" s="690">
        <v>0</v>
      </c>
      <c r="BQ74" s="691">
        <v>0</v>
      </c>
      <c r="BR74" s="690">
        <v>0</v>
      </c>
      <c r="BS74" s="691">
        <v>0</v>
      </c>
      <c r="BT74" s="690">
        <v>0</v>
      </c>
      <c r="BU74" s="691">
        <v>0</v>
      </c>
      <c r="BV74" s="690">
        <v>0</v>
      </c>
      <c r="BW74" s="691">
        <v>0</v>
      </c>
      <c r="BX74" s="690">
        <v>0</v>
      </c>
      <c r="BY74" s="691">
        <v>0</v>
      </c>
      <c r="BZ74" s="690">
        <v>0</v>
      </c>
      <c r="CA74" s="691">
        <v>0</v>
      </c>
      <c r="CB74" s="690">
        <v>0</v>
      </c>
      <c r="CC74" s="689">
        <v>0</v>
      </c>
      <c r="CD74" s="692">
        <v>0</v>
      </c>
      <c r="CE74" s="689">
        <v>0</v>
      </c>
      <c r="CF74" s="692">
        <v>0</v>
      </c>
      <c r="CG74" s="689">
        <v>0</v>
      </c>
      <c r="CH74" s="692">
        <v>0</v>
      </c>
      <c r="CI74" s="689">
        <v>0</v>
      </c>
      <c r="CJ74" s="692">
        <v>0</v>
      </c>
      <c r="CK74" s="689">
        <v>0</v>
      </c>
      <c r="CL74" s="692">
        <v>0</v>
      </c>
      <c r="CM74" s="689">
        <v>0</v>
      </c>
      <c r="CN74" s="692">
        <v>0</v>
      </c>
      <c r="CO74" s="689">
        <v>0</v>
      </c>
      <c r="CP74" s="692">
        <v>0</v>
      </c>
      <c r="CQ74" s="689">
        <v>0</v>
      </c>
      <c r="CR74" s="690">
        <v>0</v>
      </c>
      <c r="CS74" s="689">
        <v>0</v>
      </c>
      <c r="CT74" s="690">
        <v>0</v>
      </c>
      <c r="CU74" s="691">
        <v>0</v>
      </c>
      <c r="CV74" s="690">
        <v>0</v>
      </c>
    </row>
    <row r="75" spans="1:100">
      <c r="A75" s="457">
        <v>73</v>
      </c>
      <c r="B75" s="577">
        <v>0</v>
      </c>
      <c r="C75" s="577">
        <v>0</v>
      </c>
      <c r="D75" s="577">
        <v>0</v>
      </c>
      <c r="E75" s="577">
        <v>0</v>
      </c>
      <c r="F75" s="577">
        <f t="shared" si="21"/>
        <v>1.2500000000000001E-2</v>
      </c>
      <c r="G75" s="577">
        <v>0.02</v>
      </c>
      <c r="H75" s="577">
        <v>0</v>
      </c>
      <c r="I75" s="577">
        <v>0</v>
      </c>
      <c r="J75" s="577">
        <v>0</v>
      </c>
      <c r="K75" s="577">
        <v>0</v>
      </c>
      <c r="L75" s="577">
        <v>0</v>
      </c>
      <c r="M75" s="577">
        <v>0</v>
      </c>
      <c r="N75" s="577">
        <v>0</v>
      </c>
      <c r="O75" s="577">
        <v>0</v>
      </c>
      <c r="P75" s="577">
        <v>0</v>
      </c>
      <c r="Q75" s="577">
        <v>0</v>
      </c>
      <c r="R75" s="577">
        <v>0</v>
      </c>
      <c r="S75" s="577">
        <v>0</v>
      </c>
      <c r="T75" s="577">
        <v>0.02</v>
      </c>
      <c r="U75" s="577">
        <v>0</v>
      </c>
      <c r="V75" s="577">
        <v>0</v>
      </c>
      <c r="W75" s="592">
        <v>0</v>
      </c>
      <c r="X75" s="685">
        <v>0</v>
      </c>
      <c r="Y75" s="685">
        <v>0</v>
      </c>
      <c r="Z75" s="685">
        <v>0</v>
      </c>
      <c r="AA75" s="685">
        <v>0</v>
      </c>
      <c r="AB75" s="685">
        <v>0</v>
      </c>
      <c r="AC75" s="685">
        <v>0</v>
      </c>
      <c r="AD75" s="685">
        <v>0</v>
      </c>
      <c r="AE75" s="910">
        <v>0</v>
      </c>
      <c r="AF75" s="911">
        <v>0</v>
      </c>
      <c r="AG75" s="912">
        <v>0</v>
      </c>
      <c r="AH75" s="685">
        <v>0</v>
      </c>
      <c r="AI75" s="684">
        <v>0</v>
      </c>
      <c r="AJ75" s="682">
        <v>0</v>
      </c>
      <c r="AK75" s="684">
        <v>0</v>
      </c>
      <c r="AL75" s="686">
        <v>0</v>
      </c>
      <c r="AM75" s="682">
        <v>0</v>
      </c>
      <c r="AN75" s="682">
        <v>0</v>
      </c>
      <c r="AO75" s="686">
        <v>0</v>
      </c>
      <c r="AP75" s="687">
        <v>0</v>
      </c>
      <c r="AQ75" s="684">
        <f t="shared" si="23"/>
        <v>7.1428571428571426E-3</v>
      </c>
      <c r="AR75" s="682">
        <v>5.0000000000000001E-3</v>
      </c>
      <c r="AS75" s="684">
        <f t="shared" si="22"/>
        <v>1.2500000000000001E-2</v>
      </c>
      <c r="AT75" s="688">
        <v>1E-3</v>
      </c>
      <c r="AU75" s="682">
        <v>0</v>
      </c>
      <c r="AV75" s="684">
        <v>0</v>
      </c>
      <c r="AW75" s="689">
        <v>0</v>
      </c>
      <c r="AX75" s="690">
        <v>0</v>
      </c>
      <c r="AY75" s="689">
        <v>0</v>
      </c>
      <c r="AZ75" s="690">
        <v>0</v>
      </c>
      <c r="BA75" s="689">
        <v>0</v>
      </c>
      <c r="BB75" s="690">
        <v>0</v>
      </c>
      <c r="BC75" s="691">
        <v>0</v>
      </c>
      <c r="BD75" s="692">
        <v>0</v>
      </c>
      <c r="BE75" s="689">
        <v>0</v>
      </c>
      <c r="BF75" s="690">
        <v>0</v>
      </c>
      <c r="BG75" s="691">
        <v>0</v>
      </c>
      <c r="BH75" s="690">
        <v>0</v>
      </c>
      <c r="BI75" s="691">
        <v>0</v>
      </c>
      <c r="BJ75" s="690">
        <v>0</v>
      </c>
      <c r="BK75" s="691">
        <v>0</v>
      </c>
      <c r="BL75" s="690">
        <v>0</v>
      </c>
      <c r="BM75" s="691">
        <v>0</v>
      </c>
      <c r="BN75" s="690">
        <v>0</v>
      </c>
      <c r="BO75" s="691">
        <v>0</v>
      </c>
      <c r="BP75" s="690">
        <v>0</v>
      </c>
      <c r="BQ75" s="691">
        <v>0</v>
      </c>
      <c r="BR75" s="690">
        <v>0</v>
      </c>
      <c r="BS75" s="691">
        <v>0</v>
      </c>
      <c r="BT75" s="690">
        <v>0</v>
      </c>
      <c r="BU75" s="691">
        <v>0</v>
      </c>
      <c r="BV75" s="690">
        <v>0</v>
      </c>
      <c r="BW75" s="691">
        <v>0</v>
      </c>
      <c r="BX75" s="690">
        <v>0</v>
      </c>
      <c r="BY75" s="691">
        <v>0</v>
      </c>
      <c r="BZ75" s="690">
        <v>0</v>
      </c>
      <c r="CA75" s="691">
        <v>0</v>
      </c>
      <c r="CB75" s="690">
        <v>0</v>
      </c>
      <c r="CC75" s="689">
        <v>0</v>
      </c>
      <c r="CD75" s="692">
        <v>0</v>
      </c>
      <c r="CE75" s="689">
        <v>0</v>
      </c>
      <c r="CF75" s="692">
        <v>0</v>
      </c>
      <c r="CG75" s="689">
        <v>0</v>
      </c>
      <c r="CH75" s="692">
        <v>0</v>
      </c>
      <c r="CI75" s="689">
        <v>0</v>
      </c>
      <c r="CJ75" s="692">
        <v>0</v>
      </c>
      <c r="CK75" s="689">
        <v>0</v>
      </c>
      <c r="CL75" s="692">
        <v>0</v>
      </c>
      <c r="CM75" s="689">
        <v>0</v>
      </c>
      <c r="CN75" s="692">
        <v>0</v>
      </c>
      <c r="CO75" s="689">
        <v>0</v>
      </c>
      <c r="CP75" s="692">
        <v>0</v>
      </c>
      <c r="CQ75" s="689">
        <v>0</v>
      </c>
      <c r="CR75" s="690">
        <v>0</v>
      </c>
      <c r="CS75" s="689">
        <v>0</v>
      </c>
      <c r="CT75" s="690">
        <v>0</v>
      </c>
      <c r="CU75" s="691">
        <v>0</v>
      </c>
      <c r="CV75" s="690">
        <v>0</v>
      </c>
    </row>
    <row r="76" spans="1:100">
      <c r="A76" s="457">
        <v>74</v>
      </c>
      <c r="B76" s="577">
        <v>0</v>
      </c>
      <c r="C76" s="577">
        <v>0</v>
      </c>
      <c r="D76" s="577">
        <v>0</v>
      </c>
      <c r="E76" s="577">
        <v>0</v>
      </c>
      <c r="F76" s="577">
        <f t="shared" si="21"/>
        <v>1.2500000000000001E-2</v>
      </c>
      <c r="G76" s="577">
        <v>0.02</v>
      </c>
      <c r="H76" s="577">
        <v>0</v>
      </c>
      <c r="I76" s="577">
        <v>0</v>
      </c>
      <c r="J76" s="577">
        <v>0</v>
      </c>
      <c r="K76" s="577">
        <v>0</v>
      </c>
      <c r="L76" s="577">
        <v>0</v>
      </c>
      <c r="M76" s="577">
        <v>0</v>
      </c>
      <c r="N76" s="577">
        <v>0</v>
      </c>
      <c r="O76" s="577">
        <v>0</v>
      </c>
      <c r="P76" s="577">
        <v>0</v>
      </c>
      <c r="Q76" s="577">
        <v>0</v>
      </c>
      <c r="R76" s="577">
        <v>0</v>
      </c>
      <c r="S76" s="577">
        <v>0</v>
      </c>
      <c r="T76" s="577">
        <v>0.02</v>
      </c>
      <c r="U76" s="577">
        <v>0</v>
      </c>
      <c r="V76" s="577">
        <v>0</v>
      </c>
      <c r="W76" s="592">
        <v>0</v>
      </c>
      <c r="X76" s="685">
        <v>0</v>
      </c>
      <c r="Y76" s="685">
        <v>0</v>
      </c>
      <c r="Z76" s="685">
        <v>0</v>
      </c>
      <c r="AA76" s="685">
        <v>0</v>
      </c>
      <c r="AB76" s="685">
        <v>0</v>
      </c>
      <c r="AC76" s="685">
        <v>0</v>
      </c>
      <c r="AD76" s="685">
        <v>0</v>
      </c>
      <c r="AE76" s="910">
        <v>0</v>
      </c>
      <c r="AF76" s="911">
        <v>0</v>
      </c>
      <c r="AG76" s="912">
        <v>0</v>
      </c>
      <c r="AH76" s="685">
        <v>0</v>
      </c>
      <c r="AI76" s="684">
        <v>0</v>
      </c>
      <c r="AJ76" s="682">
        <v>0</v>
      </c>
      <c r="AK76" s="684">
        <v>0</v>
      </c>
      <c r="AL76" s="686">
        <v>0</v>
      </c>
      <c r="AM76" s="682">
        <v>0</v>
      </c>
      <c r="AN76" s="682">
        <v>0</v>
      </c>
      <c r="AO76" s="686">
        <v>0</v>
      </c>
      <c r="AP76" s="687">
        <v>0</v>
      </c>
      <c r="AQ76" s="684">
        <f t="shared" si="23"/>
        <v>7.1428571428571426E-3</v>
      </c>
      <c r="AR76" s="682">
        <v>5.0000000000000001E-3</v>
      </c>
      <c r="AS76" s="684">
        <f t="shared" si="22"/>
        <v>1.2500000000000001E-2</v>
      </c>
      <c r="AT76" s="688">
        <v>1E-3</v>
      </c>
      <c r="AU76" s="682">
        <v>0</v>
      </c>
      <c r="AV76" s="684">
        <v>0</v>
      </c>
      <c r="AW76" s="689">
        <v>0</v>
      </c>
      <c r="AX76" s="690">
        <v>0</v>
      </c>
      <c r="AY76" s="689">
        <v>0</v>
      </c>
      <c r="AZ76" s="690">
        <v>0</v>
      </c>
      <c r="BA76" s="689">
        <v>0</v>
      </c>
      <c r="BB76" s="690">
        <v>0</v>
      </c>
      <c r="BC76" s="691">
        <v>0</v>
      </c>
      <c r="BD76" s="692">
        <v>0</v>
      </c>
      <c r="BE76" s="689">
        <v>0</v>
      </c>
      <c r="BF76" s="690">
        <v>0</v>
      </c>
      <c r="BG76" s="691">
        <v>0</v>
      </c>
      <c r="BH76" s="690">
        <v>0</v>
      </c>
      <c r="BI76" s="691">
        <v>0</v>
      </c>
      <c r="BJ76" s="690">
        <v>0</v>
      </c>
      <c r="BK76" s="691">
        <v>0</v>
      </c>
      <c r="BL76" s="690">
        <v>0</v>
      </c>
      <c r="BM76" s="691">
        <v>0</v>
      </c>
      <c r="BN76" s="690">
        <v>0</v>
      </c>
      <c r="BO76" s="691">
        <v>0</v>
      </c>
      <c r="BP76" s="690">
        <v>0</v>
      </c>
      <c r="BQ76" s="691">
        <v>0</v>
      </c>
      <c r="BR76" s="690">
        <v>0</v>
      </c>
      <c r="BS76" s="691">
        <v>0</v>
      </c>
      <c r="BT76" s="690">
        <v>0</v>
      </c>
      <c r="BU76" s="691">
        <v>0</v>
      </c>
      <c r="BV76" s="690">
        <v>0</v>
      </c>
      <c r="BW76" s="691">
        <v>0</v>
      </c>
      <c r="BX76" s="690">
        <v>0</v>
      </c>
      <c r="BY76" s="691">
        <v>0</v>
      </c>
      <c r="BZ76" s="690">
        <v>0</v>
      </c>
      <c r="CA76" s="691">
        <v>0</v>
      </c>
      <c r="CB76" s="690">
        <v>0</v>
      </c>
      <c r="CC76" s="689">
        <v>0</v>
      </c>
      <c r="CD76" s="692">
        <v>0</v>
      </c>
      <c r="CE76" s="689">
        <v>0</v>
      </c>
      <c r="CF76" s="692">
        <v>0</v>
      </c>
      <c r="CG76" s="689">
        <v>0</v>
      </c>
      <c r="CH76" s="692">
        <v>0</v>
      </c>
      <c r="CI76" s="689">
        <v>0</v>
      </c>
      <c r="CJ76" s="692">
        <v>0</v>
      </c>
      <c r="CK76" s="689">
        <v>0</v>
      </c>
      <c r="CL76" s="692">
        <v>0</v>
      </c>
      <c r="CM76" s="689">
        <v>0</v>
      </c>
      <c r="CN76" s="692">
        <v>0</v>
      </c>
      <c r="CO76" s="689">
        <v>0</v>
      </c>
      <c r="CP76" s="692">
        <v>0</v>
      </c>
      <c r="CQ76" s="689">
        <v>0</v>
      </c>
      <c r="CR76" s="690">
        <v>0</v>
      </c>
      <c r="CS76" s="689">
        <v>0</v>
      </c>
      <c r="CT76" s="690">
        <v>0</v>
      </c>
      <c r="CU76" s="691">
        <v>0</v>
      </c>
      <c r="CV76" s="690">
        <v>0</v>
      </c>
    </row>
    <row r="77" spans="1:100">
      <c r="A77" s="457">
        <v>75</v>
      </c>
      <c r="B77" s="577">
        <v>0</v>
      </c>
      <c r="C77" s="577">
        <v>0</v>
      </c>
      <c r="D77" s="577">
        <v>0</v>
      </c>
      <c r="E77" s="577">
        <v>0</v>
      </c>
      <c r="F77" s="577">
        <f t="shared" si="21"/>
        <v>1.2500000000000001E-2</v>
      </c>
      <c r="G77" s="577">
        <v>0.02</v>
      </c>
      <c r="H77" s="577">
        <v>0</v>
      </c>
      <c r="I77" s="577">
        <v>0</v>
      </c>
      <c r="J77" s="577">
        <v>0</v>
      </c>
      <c r="K77" s="577">
        <v>0</v>
      </c>
      <c r="L77" s="577">
        <v>0</v>
      </c>
      <c r="M77" s="577">
        <v>0</v>
      </c>
      <c r="N77" s="577">
        <v>0</v>
      </c>
      <c r="O77" s="577">
        <v>0</v>
      </c>
      <c r="P77" s="577">
        <v>0</v>
      </c>
      <c r="Q77" s="577">
        <v>0</v>
      </c>
      <c r="R77" s="577">
        <v>0</v>
      </c>
      <c r="S77" s="577">
        <v>0</v>
      </c>
      <c r="T77" s="577">
        <v>0.02</v>
      </c>
      <c r="U77" s="577">
        <v>0</v>
      </c>
      <c r="V77" s="577">
        <v>0</v>
      </c>
      <c r="W77" s="592">
        <v>0</v>
      </c>
      <c r="X77" s="685">
        <v>0</v>
      </c>
      <c r="Y77" s="685">
        <v>0</v>
      </c>
      <c r="Z77" s="685">
        <v>0</v>
      </c>
      <c r="AA77" s="685">
        <v>0</v>
      </c>
      <c r="AB77" s="685">
        <v>0</v>
      </c>
      <c r="AC77" s="685">
        <v>0</v>
      </c>
      <c r="AD77" s="685">
        <v>0</v>
      </c>
      <c r="AE77" s="910">
        <v>0</v>
      </c>
      <c r="AF77" s="911">
        <v>0</v>
      </c>
      <c r="AG77" s="912">
        <v>0</v>
      </c>
      <c r="AH77" s="685">
        <v>0</v>
      </c>
      <c r="AI77" s="684">
        <v>0</v>
      </c>
      <c r="AJ77" s="682">
        <v>0</v>
      </c>
      <c r="AK77" s="684">
        <v>0</v>
      </c>
      <c r="AL77" s="686">
        <v>0</v>
      </c>
      <c r="AM77" s="682">
        <v>0</v>
      </c>
      <c r="AN77" s="682">
        <v>0</v>
      </c>
      <c r="AO77" s="686">
        <v>0</v>
      </c>
      <c r="AP77" s="687">
        <v>0</v>
      </c>
      <c r="AQ77" s="684">
        <f t="shared" si="23"/>
        <v>7.1428571428571426E-3</v>
      </c>
      <c r="AR77" s="682">
        <v>5.0000000000000001E-3</v>
      </c>
      <c r="AS77" s="684">
        <f t="shared" si="22"/>
        <v>1.2500000000000001E-2</v>
      </c>
      <c r="AT77" s="688">
        <v>1E-3</v>
      </c>
      <c r="AU77" s="682">
        <v>0</v>
      </c>
      <c r="AV77" s="684">
        <v>0</v>
      </c>
      <c r="AW77" s="689">
        <v>0</v>
      </c>
      <c r="AX77" s="690">
        <v>0</v>
      </c>
      <c r="AY77" s="689">
        <v>0</v>
      </c>
      <c r="AZ77" s="690">
        <v>0</v>
      </c>
      <c r="BA77" s="689">
        <v>0</v>
      </c>
      <c r="BB77" s="690">
        <v>0</v>
      </c>
      <c r="BC77" s="691">
        <v>0</v>
      </c>
      <c r="BD77" s="692">
        <v>0</v>
      </c>
      <c r="BE77" s="689">
        <v>0</v>
      </c>
      <c r="BF77" s="690">
        <v>0</v>
      </c>
      <c r="BG77" s="691">
        <v>0</v>
      </c>
      <c r="BH77" s="690">
        <v>0</v>
      </c>
      <c r="BI77" s="691">
        <v>0</v>
      </c>
      <c r="BJ77" s="690">
        <v>0</v>
      </c>
      <c r="BK77" s="691">
        <v>0</v>
      </c>
      <c r="BL77" s="690">
        <v>0</v>
      </c>
      <c r="BM77" s="691">
        <v>0</v>
      </c>
      <c r="BN77" s="690">
        <v>0</v>
      </c>
      <c r="BO77" s="691">
        <v>0</v>
      </c>
      <c r="BP77" s="690">
        <v>0</v>
      </c>
      <c r="BQ77" s="691">
        <v>0</v>
      </c>
      <c r="BR77" s="690">
        <v>0</v>
      </c>
      <c r="BS77" s="691">
        <v>0</v>
      </c>
      <c r="BT77" s="690">
        <v>0</v>
      </c>
      <c r="BU77" s="691">
        <v>0</v>
      </c>
      <c r="BV77" s="690">
        <v>0</v>
      </c>
      <c r="BW77" s="691">
        <v>0</v>
      </c>
      <c r="BX77" s="690">
        <v>0</v>
      </c>
      <c r="BY77" s="691">
        <v>0</v>
      </c>
      <c r="BZ77" s="690">
        <v>0</v>
      </c>
      <c r="CA77" s="691">
        <v>0</v>
      </c>
      <c r="CB77" s="690">
        <v>0</v>
      </c>
      <c r="CC77" s="689">
        <v>0</v>
      </c>
      <c r="CD77" s="692">
        <v>0</v>
      </c>
      <c r="CE77" s="689">
        <v>0</v>
      </c>
      <c r="CF77" s="692">
        <v>0</v>
      </c>
      <c r="CG77" s="689">
        <v>0</v>
      </c>
      <c r="CH77" s="692">
        <v>0</v>
      </c>
      <c r="CI77" s="689">
        <v>0</v>
      </c>
      <c r="CJ77" s="692">
        <v>0</v>
      </c>
      <c r="CK77" s="689">
        <v>0</v>
      </c>
      <c r="CL77" s="692">
        <v>0</v>
      </c>
      <c r="CM77" s="689">
        <v>0</v>
      </c>
      <c r="CN77" s="692">
        <v>0</v>
      </c>
      <c r="CO77" s="689">
        <v>0</v>
      </c>
      <c r="CP77" s="692">
        <v>0</v>
      </c>
      <c r="CQ77" s="689">
        <v>0</v>
      </c>
      <c r="CR77" s="690">
        <v>0</v>
      </c>
      <c r="CS77" s="689">
        <v>0</v>
      </c>
      <c r="CT77" s="690">
        <v>0</v>
      </c>
      <c r="CU77" s="691">
        <v>0</v>
      </c>
      <c r="CV77" s="690">
        <v>0</v>
      </c>
    </row>
    <row r="78" spans="1:100">
      <c r="A78" s="457">
        <v>76</v>
      </c>
      <c r="B78" s="577">
        <v>0</v>
      </c>
      <c r="C78" s="577">
        <v>0</v>
      </c>
      <c r="D78" s="577">
        <v>0</v>
      </c>
      <c r="E78" s="577">
        <v>0</v>
      </c>
      <c r="F78" s="577">
        <f t="shared" si="21"/>
        <v>1.2500000000000001E-2</v>
      </c>
      <c r="G78" s="577">
        <v>0.02</v>
      </c>
      <c r="H78" s="577">
        <v>0</v>
      </c>
      <c r="I78" s="577">
        <v>0</v>
      </c>
      <c r="J78" s="577">
        <v>0</v>
      </c>
      <c r="K78" s="577">
        <v>0</v>
      </c>
      <c r="L78" s="577">
        <v>0</v>
      </c>
      <c r="M78" s="577">
        <v>0</v>
      </c>
      <c r="N78" s="577">
        <v>0</v>
      </c>
      <c r="O78" s="577">
        <v>0</v>
      </c>
      <c r="P78" s="577">
        <v>0</v>
      </c>
      <c r="Q78" s="577">
        <v>0</v>
      </c>
      <c r="R78" s="577">
        <v>0</v>
      </c>
      <c r="S78" s="577">
        <v>0</v>
      </c>
      <c r="T78" s="577">
        <v>0.02</v>
      </c>
      <c r="U78" s="577">
        <v>0</v>
      </c>
      <c r="V78" s="577">
        <v>0</v>
      </c>
      <c r="W78" s="592">
        <v>0</v>
      </c>
      <c r="X78" s="685">
        <v>0</v>
      </c>
      <c r="Y78" s="685">
        <v>0</v>
      </c>
      <c r="Z78" s="685">
        <v>0</v>
      </c>
      <c r="AA78" s="685">
        <v>0</v>
      </c>
      <c r="AB78" s="685">
        <v>0</v>
      </c>
      <c r="AC78" s="685">
        <v>0</v>
      </c>
      <c r="AD78" s="685">
        <v>0</v>
      </c>
      <c r="AE78" s="910">
        <v>0</v>
      </c>
      <c r="AF78" s="911">
        <v>0</v>
      </c>
      <c r="AG78" s="912">
        <v>0</v>
      </c>
      <c r="AH78" s="685">
        <v>0</v>
      </c>
      <c r="AI78" s="684">
        <v>0</v>
      </c>
      <c r="AJ78" s="682">
        <v>0</v>
      </c>
      <c r="AK78" s="684">
        <v>0</v>
      </c>
      <c r="AL78" s="686">
        <v>0</v>
      </c>
      <c r="AM78" s="682">
        <v>0</v>
      </c>
      <c r="AN78" s="682">
        <v>0</v>
      </c>
      <c r="AO78" s="686">
        <v>0</v>
      </c>
      <c r="AP78" s="687">
        <v>0</v>
      </c>
      <c r="AQ78" s="684">
        <f t="shared" si="23"/>
        <v>7.1428571428571426E-3</v>
      </c>
      <c r="AR78" s="682">
        <v>5.0000000000000001E-3</v>
      </c>
      <c r="AS78" s="684">
        <f t="shared" si="22"/>
        <v>1.2500000000000001E-2</v>
      </c>
      <c r="AT78" s="688">
        <v>1E-3</v>
      </c>
      <c r="AU78" s="682">
        <v>0</v>
      </c>
      <c r="AV78" s="684">
        <v>0</v>
      </c>
      <c r="AW78" s="689">
        <v>0</v>
      </c>
      <c r="AX78" s="690">
        <v>0</v>
      </c>
      <c r="AY78" s="689">
        <v>0</v>
      </c>
      <c r="AZ78" s="690">
        <v>0</v>
      </c>
      <c r="BA78" s="689">
        <v>0</v>
      </c>
      <c r="BB78" s="690">
        <v>0</v>
      </c>
      <c r="BC78" s="691">
        <v>0</v>
      </c>
      <c r="BD78" s="692">
        <v>0</v>
      </c>
      <c r="BE78" s="689">
        <v>0</v>
      </c>
      <c r="BF78" s="690">
        <v>0</v>
      </c>
      <c r="BG78" s="691">
        <v>0</v>
      </c>
      <c r="BH78" s="690">
        <v>0</v>
      </c>
      <c r="BI78" s="691">
        <v>0</v>
      </c>
      <c r="BJ78" s="690">
        <v>0</v>
      </c>
      <c r="BK78" s="691">
        <v>0</v>
      </c>
      <c r="BL78" s="690">
        <v>0</v>
      </c>
      <c r="BM78" s="691">
        <v>0</v>
      </c>
      <c r="BN78" s="690">
        <v>0</v>
      </c>
      <c r="BO78" s="691">
        <v>0</v>
      </c>
      <c r="BP78" s="690">
        <v>0</v>
      </c>
      <c r="BQ78" s="691">
        <v>0</v>
      </c>
      <c r="BR78" s="690">
        <v>0</v>
      </c>
      <c r="BS78" s="691">
        <v>0</v>
      </c>
      <c r="BT78" s="690">
        <v>0</v>
      </c>
      <c r="BU78" s="691">
        <v>0</v>
      </c>
      <c r="BV78" s="690">
        <v>0</v>
      </c>
      <c r="BW78" s="691">
        <v>0</v>
      </c>
      <c r="BX78" s="690">
        <v>0</v>
      </c>
      <c r="BY78" s="691">
        <v>0</v>
      </c>
      <c r="BZ78" s="690">
        <v>0</v>
      </c>
      <c r="CA78" s="691">
        <v>0</v>
      </c>
      <c r="CB78" s="690">
        <v>0</v>
      </c>
      <c r="CC78" s="689">
        <v>0</v>
      </c>
      <c r="CD78" s="692">
        <v>0</v>
      </c>
      <c r="CE78" s="689">
        <v>0</v>
      </c>
      <c r="CF78" s="692">
        <v>0</v>
      </c>
      <c r="CG78" s="689">
        <v>0</v>
      </c>
      <c r="CH78" s="692">
        <v>0</v>
      </c>
      <c r="CI78" s="689">
        <v>0</v>
      </c>
      <c r="CJ78" s="692">
        <v>0</v>
      </c>
      <c r="CK78" s="689">
        <v>0</v>
      </c>
      <c r="CL78" s="692">
        <v>0</v>
      </c>
      <c r="CM78" s="689">
        <v>0</v>
      </c>
      <c r="CN78" s="692">
        <v>0</v>
      </c>
      <c r="CO78" s="689">
        <v>0</v>
      </c>
      <c r="CP78" s="692">
        <v>0</v>
      </c>
      <c r="CQ78" s="689">
        <v>0</v>
      </c>
      <c r="CR78" s="690">
        <v>0</v>
      </c>
      <c r="CS78" s="689">
        <v>0</v>
      </c>
      <c r="CT78" s="690">
        <v>0</v>
      </c>
      <c r="CU78" s="691">
        <v>0</v>
      </c>
      <c r="CV78" s="690">
        <v>0</v>
      </c>
    </row>
    <row r="79" spans="1:100">
      <c r="A79" s="457">
        <v>77</v>
      </c>
      <c r="B79" s="577">
        <v>0</v>
      </c>
      <c r="C79" s="577">
        <v>0</v>
      </c>
      <c r="D79" s="577">
        <v>0</v>
      </c>
      <c r="E79" s="577">
        <v>0</v>
      </c>
      <c r="F79" s="577">
        <f t="shared" si="21"/>
        <v>1.2500000000000001E-2</v>
      </c>
      <c r="G79" s="577">
        <v>0.02</v>
      </c>
      <c r="H79" s="577">
        <v>0</v>
      </c>
      <c r="I79" s="577">
        <v>0</v>
      </c>
      <c r="J79" s="577">
        <v>0</v>
      </c>
      <c r="K79" s="577">
        <v>0</v>
      </c>
      <c r="L79" s="577">
        <v>0</v>
      </c>
      <c r="M79" s="577">
        <v>0</v>
      </c>
      <c r="N79" s="577">
        <v>0</v>
      </c>
      <c r="O79" s="577">
        <v>0</v>
      </c>
      <c r="P79" s="577">
        <v>0</v>
      </c>
      <c r="Q79" s="577">
        <v>0</v>
      </c>
      <c r="R79" s="577">
        <v>0</v>
      </c>
      <c r="S79" s="577">
        <v>0</v>
      </c>
      <c r="T79" s="577">
        <v>0.02</v>
      </c>
      <c r="U79" s="577">
        <v>0</v>
      </c>
      <c r="V79" s="577">
        <v>0</v>
      </c>
      <c r="W79" s="592">
        <v>0</v>
      </c>
      <c r="X79" s="685">
        <v>0</v>
      </c>
      <c r="Y79" s="685">
        <v>0</v>
      </c>
      <c r="Z79" s="685">
        <v>0</v>
      </c>
      <c r="AA79" s="685">
        <v>0</v>
      </c>
      <c r="AB79" s="685">
        <v>0</v>
      </c>
      <c r="AC79" s="685">
        <v>0</v>
      </c>
      <c r="AD79" s="685">
        <v>0</v>
      </c>
      <c r="AE79" s="910">
        <v>0</v>
      </c>
      <c r="AF79" s="911">
        <v>0</v>
      </c>
      <c r="AG79" s="912">
        <v>0</v>
      </c>
      <c r="AH79" s="685">
        <v>0</v>
      </c>
      <c r="AI79" s="684">
        <v>0</v>
      </c>
      <c r="AJ79" s="682">
        <v>0</v>
      </c>
      <c r="AK79" s="684">
        <v>0</v>
      </c>
      <c r="AL79" s="686">
        <v>0</v>
      </c>
      <c r="AM79" s="682">
        <v>0</v>
      </c>
      <c r="AN79" s="682">
        <v>0</v>
      </c>
      <c r="AO79" s="686">
        <v>0</v>
      </c>
      <c r="AP79" s="687">
        <v>0</v>
      </c>
      <c r="AQ79" s="684">
        <f t="shared" si="23"/>
        <v>7.1428571428571426E-3</v>
      </c>
      <c r="AR79" s="682">
        <v>5.0000000000000001E-3</v>
      </c>
      <c r="AS79" s="684">
        <f t="shared" si="22"/>
        <v>1.2500000000000001E-2</v>
      </c>
      <c r="AT79" s="688">
        <v>1E-3</v>
      </c>
      <c r="AU79" s="682">
        <v>0</v>
      </c>
      <c r="AV79" s="684">
        <v>0</v>
      </c>
      <c r="AW79" s="689">
        <v>0</v>
      </c>
      <c r="AX79" s="690">
        <v>0</v>
      </c>
      <c r="AY79" s="689">
        <v>0</v>
      </c>
      <c r="AZ79" s="690">
        <v>0</v>
      </c>
      <c r="BA79" s="689">
        <v>0</v>
      </c>
      <c r="BB79" s="690">
        <v>0</v>
      </c>
      <c r="BC79" s="691">
        <v>0</v>
      </c>
      <c r="BD79" s="692">
        <v>0</v>
      </c>
      <c r="BE79" s="689">
        <v>0</v>
      </c>
      <c r="BF79" s="690">
        <v>0</v>
      </c>
      <c r="BG79" s="691">
        <v>0</v>
      </c>
      <c r="BH79" s="690">
        <v>0</v>
      </c>
      <c r="BI79" s="691">
        <v>0</v>
      </c>
      <c r="BJ79" s="690">
        <v>0</v>
      </c>
      <c r="BK79" s="691">
        <v>0</v>
      </c>
      <c r="BL79" s="690">
        <v>0</v>
      </c>
      <c r="BM79" s="691">
        <v>0</v>
      </c>
      <c r="BN79" s="690">
        <v>0</v>
      </c>
      <c r="BO79" s="691">
        <v>0</v>
      </c>
      <c r="BP79" s="690">
        <v>0</v>
      </c>
      <c r="BQ79" s="691">
        <v>0</v>
      </c>
      <c r="BR79" s="690">
        <v>0</v>
      </c>
      <c r="BS79" s="691">
        <v>0</v>
      </c>
      <c r="BT79" s="690">
        <v>0</v>
      </c>
      <c r="BU79" s="691">
        <v>0</v>
      </c>
      <c r="BV79" s="690">
        <v>0</v>
      </c>
      <c r="BW79" s="691">
        <v>0</v>
      </c>
      <c r="BX79" s="690">
        <v>0</v>
      </c>
      <c r="BY79" s="691">
        <v>0</v>
      </c>
      <c r="BZ79" s="690">
        <v>0</v>
      </c>
      <c r="CA79" s="691">
        <v>0</v>
      </c>
      <c r="CB79" s="690">
        <v>0</v>
      </c>
      <c r="CC79" s="689">
        <v>0</v>
      </c>
      <c r="CD79" s="692">
        <v>0</v>
      </c>
      <c r="CE79" s="689">
        <v>0</v>
      </c>
      <c r="CF79" s="692">
        <v>0</v>
      </c>
      <c r="CG79" s="689">
        <v>0</v>
      </c>
      <c r="CH79" s="692">
        <v>0</v>
      </c>
      <c r="CI79" s="689">
        <v>0</v>
      </c>
      <c r="CJ79" s="692">
        <v>0</v>
      </c>
      <c r="CK79" s="689">
        <v>0</v>
      </c>
      <c r="CL79" s="692">
        <v>0</v>
      </c>
      <c r="CM79" s="689">
        <v>0</v>
      </c>
      <c r="CN79" s="692">
        <v>0</v>
      </c>
      <c r="CO79" s="689">
        <v>0</v>
      </c>
      <c r="CP79" s="692">
        <v>0</v>
      </c>
      <c r="CQ79" s="689">
        <v>0</v>
      </c>
      <c r="CR79" s="690">
        <v>0</v>
      </c>
      <c r="CS79" s="689">
        <v>0</v>
      </c>
      <c r="CT79" s="690">
        <v>0</v>
      </c>
      <c r="CU79" s="691">
        <v>0</v>
      </c>
      <c r="CV79" s="690">
        <v>0</v>
      </c>
    </row>
    <row r="80" spans="1:100">
      <c r="A80" s="457">
        <v>78</v>
      </c>
      <c r="B80" s="577">
        <v>0</v>
      </c>
      <c r="C80" s="577">
        <v>0</v>
      </c>
      <c r="D80" s="577">
        <v>0</v>
      </c>
      <c r="E80" s="577">
        <v>0</v>
      </c>
      <c r="F80" s="577">
        <f t="shared" si="21"/>
        <v>1.2500000000000001E-2</v>
      </c>
      <c r="G80" s="577">
        <v>0.02</v>
      </c>
      <c r="H80" s="577">
        <v>0</v>
      </c>
      <c r="I80" s="577">
        <v>0</v>
      </c>
      <c r="J80" s="577">
        <v>0</v>
      </c>
      <c r="K80" s="577">
        <v>0</v>
      </c>
      <c r="L80" s="577">
        <v>0</v>
      </c>
      <c r="M80" s="577">
        <v>0</v>
      </c>
      <c r="N80" s="577">
        <v>0</v>
      </c>
      <c r="O80" s="577">
        <v>0</v>
      </c>
      <c r="P80" s="577">
        <v>0</v>
      </c>
      <c r="Q80" s="577">
        <v>0</v>
      </c>
      <c r="R80" s="577">
        <v>0</v>
      </c>
      <c r="S80" s="577">
        <v>0</v>
      </c>
      <c r="T80" s="577">
        <v>0.02</v>
      </c>
      <c r="U80" s="577">
        <v>0</v>
      </c>
      <c r="V80" s="577">
        <v>0</v>
      </c>
      <c r="W80" s="592">
        <v>0</v>
      </c>
      <c r="X80" s="685">
        <v>0</v>
      </c>
      <c r="Y80" s="685">
        <v>0</v>
      </c>
      <c r="Z80" s="685">
        <v>0</v>
      </c>
      <c r="AA80" s="685">
        <v>0</v>
      </c>
      <c r="AB80" s="685">
        <v>0</v>
      </c>
      <c r="AC80" s="685">
        <v>0</v>
      </c>
      <c r="AD80" s="685">
        <v>0</v>
      </c>
      <c r="AE80" s="910">
        <v>0</v>
      </c>
      <c r="AF80" s="911">
        <v>0</v>
      </c>
      <c r="AG80" s="912">
        <v>0</v>
      </c>
      <c r="AH80" s="685">
        <v>0</v>
      </c>
      <c r="AI80" s="684">
        <v>0</v>
      </c>
      <c r="AJ80" s="682">
        <v>0</v>
      </c>
      <c r="AK80" s="684">
        <v>0</v>
      </c>
      <c r="AL80" s="686">
        <v>0</v>
      </c>
      <c r="AM80" s="682">
        <v>0</v>
      </c>
      <c r="AN80" s="682">
        <v>0</v>
      </c>
      <c r="AO80" s="686">
        <v>0</v>
      </c>
      <c r="AP80" s="687">
        <v>0</v>
      </c>
      <c r="AQ80" s="684">
        <f t="shared" si="23"/>
        <v>7.1428571428571426E-3</v>
      </c>
      <c r="AR80" s="682">
        <v>5.0000000000000001E-3</v>
      </c>
      <c r="AS80" s="684">
        <f t="shared" si="22"/>
        <v>1.2500000000000001E-2</v>
      </c>
      <c r="AT80" s="688">
        <v>1E-3</v>
      </c>
      <c r="AU80" s="682">
        <v>0</v>
      </c>
      <c r="AV80" s="684">
        <v>0</v>
      </c>
      <c r="AW80" s="689">
        <v>0</v>
      </c>
      <c r="AX80" s="690">
        <v>0</v>
      </c>
      <c r="AY80" s="689">
        <v>0</v>
      </c>
      <c r="AZ80" s="690">
        <v>0</v>
      </c>
      <c r="BA80" s="689">
        <v>0</v>
      </c>
      <c r="BB80" s="690">
        <v>0</v>
      </c>
      <c r="BC80" s="691">
        <v>0</v>
      </c>
      <c r="BD80" s="692">
        <v>0</v>
      </c>
      <c r="BE80" s="689">
        <v>0</v>
      </c>
      <c r="BF80" s="690">
        <v>0</v>
      </c>
      <c r="BG80" s="691">
        <v>0</v>
      </c>
      <c r="BH80" s="690">
        <v>0</v>
      </c>
      <c r="BI80" s="691">
        <v>0</v>
      </c>
      <c r="BJ80" s="690">
        <v>0</v>
      </c>
      <c r="BK80" s="691">
        <v>0</v>
      </c>
      <c r="BL80" s="690">
        <v>0</v>
      </c>
      <c r="BM80" s="691">
        <v>0</v>
      </c>
      <c r="BN80" s="690">
        <v>0</v>
      </c>
      <c r="BO80" s="691">
        <v>0</v>
      </c>
      <c r="BP80" s="690">
        <v>0</v>
      </c>
      <c r="BQ80" s="691">
        <v>0</v>
      </c>
      <c r="BR80" s="690">
        <v>0</v>
      </c>
      <c r="BS80" s="691">
        <v>0</v>
      </c>
      <c r="BT80" s="690">
        <v>0</v>
      </c>
      <c r="BU80" s="691">
        <v>0</v>
      </c>
      <c r="BV80" s="690">
        <v>0</v>
      </c>
      <c r="BW80" s="691">
        <v>0</v>
      </c>
      <c r="BX80" s="690">
        <v>0</v>
      </c>
      <c r="BY80" s="691">
        <v>0</v>
      </c>
      <c r="BZ80" s="690">
        <v>0</v>
      </c>
      <c r="CA80" s="691">
        <v>0</v>
      </c>
      <c r="CB80" s="690">
        <v>0</v>
      </c>
      <c r="CC80" s="689">
        <v>0</v>
      </c>
      <c r="CD80" s="692">
        <v>0</v>
      </c>
      <c r="CE80" s="689">
        <v>0</v>
      </c>
      <c r="CF80" s="692">
        <v>0</v>
      </c>
      <c r="CG80" s="689">
        <v>0</v>
      </c>
      <c r="CH80" s="692">
        <v>0</v>
      </c>
      <c r="CI80" s="689">
        <v>0</v>
      </c>
      <c r="CJ80" s="692">
        <v>0</v>
      </c>
      <c r="CK80" s="689">
        <v>0</v>
      </c>
      <c r="CL80" s="692">
        <v>0</v>
      </c>
      <c r="CM80" s="689">
        <v>0</v>
      </c>
      <c r="CN80" s="692">
        <v>0</v>
      </c>
      <c r="CO80" s="689">
        <v>0</v>
      </c>
      <c r="CP80" s="692">
        <v>0</v>
      </c>
      <c r="CQ80" s="689">
        <v>0</v>
      </c>
      <c r="CR80" s="690">
        <v>0</v>
      </c>
      <c r="CS80" s="689">
        <v>0</v>
      </c>
      <c r="CT80" s="690">
        <v>0</v>
      </c>
      <c r="CU80" s="691">
        <v>0</v>
      </c>
      <c r="CV80" s="690">
        <v>0</v>
      </c>
    </row>
    <row r="81" spans="1:100">
      <c r="A81" s="457">
        <v>79</v>
      </c>
      <c r="B81" s="577">
        <v>0</v>
      </c>
      <c r="C81" s="577">
        <v>0</v>
      </c>
      <c r="D81" s="577">
        <v>0</v>
      </c>
      <c r="E81" s="577">
        <v>0</v>
      </c>
      <c r="F81" s="577">
        <f t="shared" si="21"/>
        <v>1.2500000000000001E-2</v>
      </c>
      <c r="G81" s="577">
        <v>0.02</v>
      </c>
      <c r="H81" s="577">
        <v>0</v>
      </c>
      <c r="I81" s="577">
        <v>0</v>
      </c>
      <c r="J81" s="577">
        <v>0</v>
      </c>
      <c r="K81" s="577">
        <v>0</v>
      </c>
      <c r="L81" s="577">
        <v>0</v>
      </c>
      <c r="M81" s="577">
        <v>0</v>
      </c>
      <c r="N81" s="577">
        <v>0</v>
      </c>
      <c r="O81" s="577">
        <v>0</v>
      </c>
      <c r="P81" s="577">
        <v>0</v>
      </c>
      <c r="Q81" s="577">
        <v>0</v>
      </c>
      <c r="R81" s="577">
        <v>0</v>
      </c>
      <c r="S81" s="577">
        <v>0</v>
      </c>
      <c r="T81" s="577">
        <v>0.02</v>
      </c>
      <c r="U81" s="577">
        <v>0</v>
      </c>
      <c r="V81" s="577">
        <v>0</v>
      </c>
      <c r="W81" s="592">
        <v>0</v>
      </c>
      <c r="X81" s="685">
        <v>0</v>
      </c>
      <c r="Y81" s="685">
        <v>0</v>
      </c>
      <c r="Z81" s="685">
        <v>0</v>
      </c>
      <c r="AA81" s="685">
        <v>0</v>
      </c>
      <c r="AB81" s="685">
        <v>0</v>
      </c>
      <c r="AC81" s="685">
        <v>0</v>
      </c>
      <c r="AD81" s="685">
        <v>0</v>
      </c>
      <c r="AE81" s="910">
        <v>0</v>
      </c>
      <c r="AF81" s="911">
        <v>0</v>
      </c>
      <c r="AG81" s="912">
        <v>0</v>
      </c>
      <c r="AH81" s="685">
        <v>0</v>
      </c>
      <c r="AI81" s="684">
        <v>0</v>
      </c>
      <c r="AJ81" s="682">
        <v>0</v>
      </c>
      <c r="AK81" s="684">
        <v>0</v>
      </c>
      <c r="AL81" s="686">
        <v>0</v>
      </c>
      <c r="AM81" s="682">
        <v>0</v>
      </c>
      <c r="AN81" s="682">
        <v>0</v>
      </c>
      <c r="AO81" s="686">
        <v>0</v>
      </c>
      <c r="AP81" s="687">
        <v>0</v>
      </c>
      <c r="AQ81" s="684">
        <f t="shared" si="23"/>
        <v>7.1428571428571426E-3</v>
      </c>
      <c r="AR81" s="682">
        <v>8.3333199999957586E-4</v>
      </c>
      <c r="AS81" s="684">
        <f t="shared" si="22"/>
        <v>1.2500000000000001E-2</v>
      </c>
      <c r="AT81" s="688">
        <v>1E-3</v>
      </c>
      <c r="AU81" s="682">
        <v>0</v>
      </c>
      <c r="AV81" s="684">
        <v>0</v>
      </c>
      <c r="AW81" s="689">
        <v>0</v>
      </c>
      <c r="AX81" s="690">
        <v>0</v>
      </c>
      <c r="AY81" s="689">
        <v>0</v>
      </c>
      <c r="AZ81" s="690">
        <v>0</v>
      </c>
      <c r="BA81" s="689">
        <v>0</v>
      </c>
      <c r="BB81" s="690">
        <v>0</v>
      </c>
      <c r="BC81" s="691">
        <v>0</v>
      </c>
      <c r="BD81" s="692">
        <v>0</v>
      </c>
      <c r="BE81" s="689">
        <v>0</v>
      </c>
      <c r="BF81" s="690">
        <v>0</v>
      </c>
      <c r="BG81" s="691">
        <v>0</v>
      </c>
      <c r="BH81" s="690">
        <v>0</v>
      </c>
      <c r="BI81" s="691">
        <v>0</v>
      </c>
      <c r="BJ81" s="690">
        <v>0</v>
      </c>
      <c r="BK81" s="691">
        <v>0</v>
      </c>
      <c r="BL81" s="690">
        <v>0</v>
      </c>
      <c r="BM81" s="691">
        <v>0</v>
      </c>
      <c r="BN81" s="690">
        <v>0</v>
      </c>
      <c r="BO81" s="691">
        <v>0</v>
      </c>
      <c r="BP81" s="690">
        <v>0</v>
      </c>
      <c r="BQ81" s="691">
        <v>0</v>
      </c>
      <c r="BR81" s="690">
        <v>0</v>
      </c>
      <c r="BS81" s="691">
        <v>0</v>
      </c>
      <c r="BT81" s="690">
        <v>0</v>
      </c>
      <c r="BU81" s="691">
        <v>0</v>
      </c>
      <c r="BV81" s="690">
        <v>0</v>
      </c>
      <c r="BW81" s="691">
        <v>0</v>
      </c>
      <c r="BX81" s="690">
        <v>0</v>
      </c>
      <c r="BY81" s="691">
        <v>0</v>
      </c>
      <c r="BZ81" s="690">
        <v>0</v>
      </c>
      <c r="CA81" s="691">
        <v>0</v>
      </c>
      <c r="CB81" s="690">
        <v>0</v>
      </c>
      <c r="CC81" s="689">
        <v>0</v>
      </c>
      <c r="CD81" s="692">
        <v>0</v>
      </c>
      <c r="CE81" s="689">
        <v>0</v>
      </c>
      <c r="CF81" s="692">
        <v>0</v>
      </c>
      <c r="CG81" s="689">
        <v>0</v>
      </c>
      <c r="CH81" s="692">
        <v>0</v>
      </c>
      <c r="CI81" s="689">
        <v>0</v>
      </c>
      <c r="CJ81" s="692">
        <v>0</v>
      </c>
      <c r="CK81" s="689">
        <v>0</v>
      </c>
      <c r="CL81" s="692">
        <v>0</v>
      </c>
      <c r="CM81" s="689">
        <v>0</v>
      </c>
      <c r="CN81" s="692">
        <v>0</v>
      </c>
      <c r="CO81" s="689">
        <v>0</v>
      </c>
      <c r="CP81" s="692">
        <v>0</v>
      </c>
      <c r="CQ81" s="689">
        <v>0</v>
      </c>
      <c r="CR81" s="690">
        <v>0</v>
      </c>
      <c r="CS81" s="689">
        <v>0</v>
      </c>
      <c r="CT81" s="690">
        <v>0</v>
      </c>
      <c r="CU81" s="691">
        <v>0</v>
      </c>
      <c r="CV81" s="690">
        <v>0</v>
      </c>
    </row>
    <row r="82" spans="1:100">
      <c r="A82" s="457">
        <v>80</v>
      </c>
      <c r="B82" s="577">
        <v>0</v>
      </c>
      <c r="C82" s="577">
        <v>0</v>
      </c>
      <c r="D82" s="577">
        <v>0</v>
      </c>
      <c r="E82" s="577">
        <v>0</v>
      </c>
      <c r="F82" s="577">
        <v>0</v>
      </c>
      <c r="G82" s="577">
        <v>0</v>
      </c>
      <c r="H82" s="577">
        <v>0</v>
      </c>
      <c r="I82" s="577">
        <v>0</v>
      </c>
      <c r="J82" s="577">
        <v>0</v>
      </c>
      <c r="K82" s="577">
        <v>0</v>
      </c>
      <c r="L82" s="577">
        <v>0</v>
      </c>
      <c r="M82" s="577">
        <v>0</v>
      </c>
      <c r="N82" s="577">
        <v>0</v>
      </c>
      <c r="O82" s="577">
        <v>0</v>
      </c>
      <c r="P82" s="577">
        <v>0</v>
      </c>
      <c r="Q82" s="577">
        <v>0</v>
      </c>
      <c r="R82" s="577">
        <v>0</v>
      </c>
      <c r="S82" s="577">
        <v>0</v>
      </c>
      <c r="T82" s="577">
        <v>0</v>
      </c>
      <c r="U82" s="577">
        <v>0</v>
      </c>
      <c r="V82" s="577">
        <v>0</v>
      </c>
      <c r="W82" s="592">
        <v>0</v>
      </c>
      <c r="X82" s="685">
        <v>0</v>
      </c>
      <c r="Y82" s="685">
        <v>0</v>
      </c>
      <c r="Z82" s="685">
        <v>0</v>
      </c>
      <c r="AA82" s="685">
        <v>0</v>
      </c>
      <c r="AB82" s="685">
        <v>0</v>
      </c>
      <c r="AC82" s="685">
        <v>0</v>
      </c>
      <c r="AD82" s="685">
        <v>0</v>
      </c>
      <c r="AE82" s="910">
        <v>0</v>
      </c>
      <c r="AF82" s="911">
        <v>0</v>
      </c>
      <c r="AG82" s="912">
        <v>0</v>
      </c>
      <c r="AH82" s="685">
        <v>0</v>
      </c>
      <c r="AI82" s="684">
        <v>0</v>
      </c>
      <c r="AJ82" s="682">
        <v>0</v>
      </c>
      <c r="AK82" s="684">
        <v>0</v>
      </c>
      <c r="AL82" s="686">
        <v>0</v>
      </c>
      <c r="AM82" s="682">
        <v>0</v>
      </c>
      <c r="AN82" s="682">
        <v>0</v>
      </c>
      <c r="AO82" s="686">
        <v>0</v>
      </c>
      <c r="AP82" s="687">
        <v>0.02</v>
      </c>
      <c r="AQ82" s="684">
        <f t="shared" si="23"/>
        <v>7.1428571428571426E-3</v>
      </c>
      <c r="AR82" s="682">
        <v>0</v>
      </c>
      <c r="AS82" s="684">
        <v>0</v>
      </c>
      <c r="AT82" s="688">
        <v>2E-3</v>
      </c>
      <c r="AU82" s="682">
        <v>0</v>
      </c>
      <c r="AV82" s="684">
        <v>0</v>
      </c>
      <c r="AW82" s="689">
        <v>0</v>
      </c>
      <c r="AX82" s="690">
        <v>0</v>
      </c>
      <c r="AY82" s="689">
        <v>0</v>
      </c>
      <c r="AZ82" s="690">
        <v>0</v>
      </c>
      <c r="BA82" s="689">
        <v>0</v>
      </c>
      <c r="BB82" s="690">
        <v>0</v>
      </c>
      <c r="BC82" s="691">
        <v>0</v>
      </c>
      <c r="BD82" s="692">
        <v>0</v>
      </c>
      <c r="BE82" s="689">
        <v>0</v>
      </c>
      <c r="BF82" s="690">
        <v>0</v>
      </c>
      <c r="BG82" s="691">
        <v>0</v>
      </c>
      <c r="BH82" s="690">
        <v>0</v>
      </c>
      <c r="BI82" s="691">
        <v>0</v>
      </c>
      <c r="BJ82" s="690">
        <v>0</v>
      </c>
      <c r="BK82" s="691">
        <v>0</v>
      </c>
      <c r="BL82" s="690">
        <v>0</v>
      </c>
      <c r="BM82" s="691">
        <v>0</v>
      </c>
      <c r="BN82" s="690">
        <v>0</v>
      </c>
      <c r="BO82" s="691">
        <v>0</v>
      </c>
      <c r="BP82" s="690">
        <v>0</v>
      </c>
      <c r="BQ82" s="691">
        <v>0</v>
      </c>
      <c r="BR82" s="690">
        <v>0</v>
      </c>
      <c r="BS82" s="691">
        <v>0</v>
      </c>
      <c r="BT82" s="690">
        <v>0</v>
      </c>
      <c r="BU82" s="691">
        <v>0</v>
      </c>
      <c r="BV82" s="690">
        <v>0</v>
      </c>
      <c r="BW82" s="691">
        <v>0</v>
      </c>
      <c r="BX82" s="690">
        <v>0</v>
      </c>
      <c r="BY82" s="691">
        <v>0</v>
      </c>
      <c r="BZ82" s="690">
        <v>0</v>
      </c>
      <c r="CA82" s="691">
        <v>0</v>
      </c>
      <c r="CB82" s="690">
        <v>0</v>
      </c>
      <c r="CC82" s="689">
        <v>0</v>
      </c>
      <c r="CD82" s="692">
        <v>0</v>
      </c>
      <c r="CE82" s="689">
        <v>0</v>
      </c>
      <c r="CF82" s="692">
        <v>0</v>
      </c>
      <c r="CG82" s="689">
        <v>0</v>
      </c>
      <c r="CH82" s="692">
        <v>0</v>
      </c>
      <c r="CI82" s="689">
        <v>0</v>
      </c>
      <c r="CJ82" s="692">
        <v>0</v>
      </c>
      <c r="CK82" s="689">
        <v>0</v>
      </c>
      <c r="CL82" s="692">
        <v>0</v>
      </c>
      <c r="CM82" s="689">
        <v>0</v>
      </c>
      <c r="CN82" s="692">
        <v>0</v>
      </c>
      <c r="CO82" s="689">
        <v>0</v>
      </c>
      <c r="CP82" s="692">
        <v>0</v>
      </c>
      <c r="CQ82" s="689">
        <v>0</v>
      </c>
      <c r="CR82" s="690">
        <v>0</v>
      </c>
      <c r="CS82" s="689">
        <v>0</v>
      </c>
      <c r="CT82" s="690">
        <v>0</v>
      </c>
      <c r="CU82" s="691">
        <v>0</v>
      </c>
      <c r="CV82" s="690">
        <v>0</v>
      </c>
    </row>
    <row r="83" spans="1:100">
      <c r="A83" s="457">
        <v>81</v>
      </c>
      <c r="B83" s="577">
        <v>0</v>
      </c>
      <c r="C83" s="577">
        <v>0</v>
      </c>
      <c r="D83" s="577">
        <v>0</v>
      </c>
      <c r="E83" s="577">
        <v>0</v>
      </c>
      <c r="F83" s="577">
        <v>0</v>
      </c>
      <c r="G83" s="577">
        <v>0</v>
      </c>
      <c r="H83" s="577">
        <v>0</v>
      </c>
      <c r="I83" s="577">
        <v>0</v>
      </c>
      <c r="J83" s="577">
        <v>0</v>
      </c>
      <c r="K83" s="577">
        <v>0</v>
      </c>
      <c r="L83" s="577">
        <v>0</v>
      </c>
      <c r="M83" s="577">
        <v>0</v>
      </c>
      <c r="N83" s="577">
        <v>0</v>
      </c>
      <c r="O83" s="577">
        <v>0</v>
      </c>
      <c r="P83" s="577">
        <v>0</v>
      </c>
      <c r="Q83" s="577">
        <v>0</v>
      </c>
      <c r="R83" s="577">
        <v>0</v>
      </c>
      <c r="S83" s="577">
        <v>0</v>
      </c>
      <c r="T83" s="577">
        <v>0</v>
      </c>
      <c r="U83" s="577">
        <v>0</v>
      </c>
      <c r="V83" s="577">
        <v>0</v>
      </c>
      <c r="W83" s="592">
        <v>0</v>
      </c>
      <c r="X83" s="685">
        <v>0</v>
      </c>
      <c r="Y83" s="685">
        <v>0</v>
      </c>
      <c r="Z83" s="685">
        <v>0</v>
      </c>
      <c r="AA83" s="685">
        <v>0</v>
      </c>
      <c r="AB83" s="685">
        <v>0</v>
      </c>
      <c r="AC83" s="685">
        <v>0</v>
      </c>
      <c r="AD83" s="685">
        <v>0</v>
      </c>
      <c r="AE83" s="910">
        <v>0</v>
      </c>
      <c r="AF83" s="911">
        <v>0</v>
      </c>
      <c r="AG83" s="912">
        <v>0</v>
      </c>
      <c r="AH83" s="685">
        <v>0</v>
      </c>
      <c r="AI83" s="684">
        <v>0</v>
      </c>
      <c r="AJ83" s="682">
        <v>0</v>
      </c>
      <c r="AK83" s="684">
        <v>0</v>
      </c>
      <c r="AL83" s="686">
        <v>0</v>
      </c>
      <c r="AM83" s="682">
        <v>0</v>
      </c>
      <c r="AN83" s="682">
        <v>0</v>
      </c>
      <c r="AO83" s="686">
        <v>0</v>
      </c>
      <c r="AP83" s="687">
        <v>0.02</v>
      </c>
      <c r="AQ83" s="684">
        <f t="shared" si="23"/>
        <v>7.1428571428571426E-3</v>
      </c>
      <c r="AR83" s="682">
        <v>0</v>
      </c>
      <c r="AS83" s="684">
        <v>0</v>
      </c>
      <c r="AT83" s="688">
        <v>2E-3</v>
      </c>
      <c r="AU83" s="682">
        <v>0</v>
      </c>
      <c r="AV83" s="684">
        <v>0</v>
      </c>
      <c r="AW83" s="689">
        <v>0</v>
      </c>
      <c r="AX83" s="690">
        <v>0</v>
      </c>
      <c r="AY83" s="689">
        <v>0</v>
      </c>
      <c r="AZ83" s="690">
        <v>0</v>
      </c>
      <c r="BA83" s="689">
        <v>0</v>
      </c>
      <c r="BB83" s="690">
        <v>0</v>
      </c>
      <c r="BC83" s="691">
        <v>0</v>
      </c>
      <c r="BD83" s="692">
        <v>0</v>
      </c>
      <c r="BE83" s="689">
        <v>0</v>
      </c>
      <c r="BF83" s="690">
        <v>0</v>
      </c>
      <c r="BG83" s="691">
        <v>0</v>
      </c>
      <c r="BH83" s="690">
        <v>0</v>
      </c>
      <c r="BI83" s="691">
        <v>0</v>
      </c>
      <c r="BJ83" s="690">
        <v>0</v>
      </c>
      <c r="BK83" s="691">
        <v>0</v>
      </c>
      <c r="BL83" s="690">
        <v>0</v>
      </c>
      <c r="BM83" s="691">
        <v>0</v>
      </c>
      <c r="BN83" s="690">
        <v>0</v>
      </c>
      <c r="BO83" s="691">
        <v>0</v>
      </c>
      <c r="BP83" s="690">
        <v>0</v>
      </c>
      <c r="BQ83" s="691">
        <v>0</v>
      </c>
      <c r="BR83" s="690">
        <v>0</v>
      </c>
      <c r="BS83" s="691">
        <v>0</v>
      </c>
      <c r="BT83" s="690">
        <v>0</v>
      </c>
      <c r="BU83" s="691">
        <v>0</v>
      </c>
      <c r="BV83" s="690">
        <v>0</v>
      </c>
      <c r="BW83" s="691">
        <v>0</v>
      </c>
      <c r="BX83" s="690">
        <v>0</v>
      </c>
      <c r="BY83" s="691">
        <v>0</v>
      </c>
      <c r="BZ83" s="690">
        <v>0</v>
      </c>
      <c r="CA83" s="691">
        <v>0</v>
      </c>
      <c r="CB83" s="690">
        <v>0</v>
      </c>
      <c r="CC83" s="689">
        <v>0</v>
      </c>
      <c r="CD83" s="692">
        <v>0</v>
      </c>
      <c r="CE83" s="689">
        <v>0</v>
      </c>
      <c r="CF83" s="692">
        <v>0</v>
      </c>
      <c r="CG83" s="689">
        <v>0</v>
      </c>
      <c r="CH83" s="692">
        <v>0</v>
      </c>
      <c r="CI83" s="689">
        <v>0</v>
      </c>
      <c r="CJ83" s="692">
        <v>0</v>
      </c>
      <c r="CK83" s="689">
        <v>0</v>
      </c>
      <c r="CL83" s="692">
        <v>0</v>
      </c>
      <c r="CM83" s="689">
        <v>0</v>
      </c>
      <c r="CN83" s="692">
        <v>0</v>
      </c>
      <c r="CO83" s="689">
        <v>0</v>
      </c>
      <c r="CP83" s="692">
        <v>0</v>
      </c>
      <c r="CQ83" s="689">
        <v>0</v>
      </c>
      <c r="CR83" s="690">
        <v>0</v>
      </c>
      <c r="CS83" s="689">
        <v>0</v>
      </c>
      <c r="CT83" s="690">
        <v>0</v>
      </c>
      <c r="CU83" s="691">
        <v>0</v>
      </c>
      <c r="CV83" s="690">
        <v>0</v>
      </c>
    </row>
    <row r="84" spans="1:100">
      <c r="A84" s="457">
        <v>82</v>
      </c>
      <c r="B84" s="577">
        <v>0</v>
      </c>
      <c r="C84" s="577">
        <v>0</v>
      </c>
      <c r="D84" s="577">
        <v>0</v>
      </c>
      <c r="E84" s="577">
        <v>0</v>
      </c>
      <c r="F84" s="577">
        <v>0</v>
      </c>
      <c r="G84" s="577">
        <v>0</v>
      </c>
      <c r="H84" s="577">
        <v>0</v>
      </c>
      <c r="I84" s="577">
        <v>0</v>
      </c>
      <c r="J84" s="577">
        <v>0</v>
      </c>
      <c r="K84" s="577">
        <v>0</v>
      </c>
      <c r="L84" s="577">
        <v>0</v>
      </c>
      <c r="M84" s="577">
        <v>0</v>
      </c>
      <c r="N84" s="577">
        <v>0</v>
      </c>
      <c r="O84" s="577">
        <v>0</v>
      </c>
      <c r="P84" s="577">
        <v>0</v>
      </c>
      <c r="Q84" s="577">
        <v>0</v>
      </c>
      <c r="R84" s="577">
        <v>0</v>
      </c>
      <c r="S84" s="577">
        <v>0</v>
      </c>
      <c r="T84" s="577">
        <v>0</v>
      </c>
      <c r="U84" s="577">
        <v>0</v>
      </c>
      <c r="V84" s="577">
        <v>0</v>
      </c>
      <c r="W84" s="592">
        <v>0</v>
      </c>
      <c r="X84" s="685">
        <v>0</v>
      </c>
      <c r="Y84" s="685">
        <v>0</v>
      </c>
      <c r="Z84" s="685">
        <v>0</v>
      </c>
      <c r="AA84" s="685">
        <v>0</v>
      </c>
      <c r="AB84" s="685">
        <v>0</v>
      </c>
      <c r="AC84" s="685">
        <v>0</v>
      </c>
      <c r="AD84" s="685">
        <v>0</v>
      </c>
      <c r="AE84" s="910">
        <v>0</v>
      </c>
      <c r="AF84" s="911">
        <v>0</v>
      </c>
      <c r="AG84" s="912">
        <v>0</v>
      </c>
      <c r="AH84" s="685">
        <v>0</v>
      </c>
      <c r="AI84" s="684">
        <v>0</v>
      </c>
      <c r="AJ84" s="682">
        <v>0</v>
      </c>
      <c r="AK84" s="684">
        <v>0</v>
      </c>
      <c r="AL84" s="686">
        <v>0</v>
      </c>
      <c r="AM84" s="682">
        <v>0</v>
      </c>
      <c r="AN84" s="682">
        <v>0</v>
      </c>
      <c r="AO84" s="686">
        <v>0</v>
      </c>
      <c r="AP84" s="687">
        <v>0.02</v>
      </c>
      <c r="AQ84" s="684">
        <f t="shared" si="23"/>
        <v>7.1428571428571426E-3</v>
      </c>
      <c r="AR84" s="682">
        <v>0</v>
      </c>
      <c r="AS84" s="684">
        <v>0</v>
      </c>
      <c r="AT84" s="688">
        <v>2E-3</v>
      </c>
      <c r="AU84" s="682">
        <v>0</v>
      </c>
      <c r="AV84" s="684">
        <v>0</v>
      </c>
      <c r="AW84" s="689">
        <v>0</v>
      </c>
      <c r="AX84" s="690">
        <v>0</v>
      </c>
      <c r="AY84" s="689">
        <v>0</v>
      </c>
      <c r="AZ84" s="690">
        <v>0</v>
      </c>
      <c r="BA84" s="689">
        <v>0</v>
      </c>
      <c r="BB84" s="690">
        <v>0</v>
      </c>
      <c r="BC84" s="691">
        <v>0</v>
      </c>
      <c r="BD84" s="692">
        <v>0</v>
      </c>
      <c r="BE84" s="689">
        <v>0</v>
      </c>
      <c r="BF84" s="690">
        <v>0</v>
      </c>
      <c r="BG84" s="691">
        <v>0</v>
      </c>
      <c r="BH84" s="690">
        <v>0</v>
      </c>
      <c r="BI84" s="691">
        <v>0</v>
      </c>
      <c r="BJ84" s="690">
        <v>0</v>
      </c>
      <c r="BK84" s="691">
        <v>0</v>
      </c>
      <c r="BL84" s="690">
        <v>0</v>
      </c>
      <c r="BM84" s="691">
        <v>0</v>
      </c>
      <c r="BN84" s="690">
        <v>0</v>
      </c>
      <c r="BO84" s="691">
        <v>0</v>
      </c>
      <c r="BP84" s="690">
        <v>0</v>
      </c>
      <c r="BQ84" s="691">
        <v>0</v>
      </c>
      <c r="BR84" s="690">
        <v>0</v>
      </c>
      <c r="BS84" s="691">
        <v>0</v>
      </c>
      <c r="BT84" s="690">
        <v>0</v>
      </c>
      <c r="BU84" s="691">
        <v>0</v>
      </c>
      <c r="BV84" s="690">
        <v>0</v>
      </c>
      <c r="BW84" s="691">
        <v>0</v>
      </c>
      <c r="BX84" s="690">
        <v>0</v>
      </c>
      <c r="BY84" s="691">
        <v>0</v>
      </c>
      <c r="BZ84" s="690">
        <v>0</v>
      </c>
      <c r="CA84" s="691">
        <v>0</v>
      </c>
      <c r="CB84" s="690">
        <v>0</v>
      </c>
      <c r="CC84" s="689">
        <v>0</v>
      </c>
      <c r="CD84" s="692">
        <v>0</v>
      </c>
      <c r="CE84" s="689">
        <v>0</v>
      </c>
      <c r="CF84" s="692">
        <v>0</v>
      </c>
      <c r="CG84" s="689">
        <v>0</v>
      </c>
      <c r="CH84" s="692">
        <v>0</v>
      </c>
      <c r="CI84" s="689">
        <v>0</v>
      </c>
      <c r="CJ84" s="692">
        <v>0</v>
      </c>
      <c r="CK84" s="689">
        <v>0</v>
      </c>
      <c r="CL84" s="692">
        <v>0</v>
      </c>
      <c r="CM84" s="689">
        <v>0</v>
      </c>
      <c r="CN84" s="692">
        <v>0</v>
      </c>
      <c r="CO84" s="689">
        <v>0</v>
      </c>
      <c r="CP84" s="692">
        <v>0</v>
      </c>
      <c r="CQ84" s="689">
        <v>0</v>
      </c>
      <c r="CR84" s="690">
        <v>0</v>
      </c>
      <c r="CS84" s="689">
        <v>0</v>
      </c>
      <c r="CT84" s="690">
        <v>0</v>
      </c>
      <c r="CU84" s="691">
        <v>0</v>
      </c>
      <c r="CV84" s="690">
        <v>0</v>
      </c>
    </row>
    <row r="85" spans="1:100">
      <c r="A85" s="457">
        <v>83</v>
      </c>
      <c r="B85" s="577">
        <v>0</v>
      </c>
      <c r="C85" s="577">
        <v>0</v>
      </c>
      <c r="D85" s="577">
        <v>0</v>
      </c>
      <c r="E85" s="577">
        <v>0</v>
      </c>
      <c r="F85" s="577">
        <v>0</v>
      </c>
      <c r="G85" s="577">
        <v>0</v>
      </c>
      <c r="H85" s="577">
        <v>0</v>
      </c>
      <c r="I85" s="577">
        <v>0</v>
      </c>
      <c r="J85" s="577">
        <v>0</v>
      </c>
      <c r="K85" s="577">
        <v>0</v>
      </c>
      <c r="L85" s="577">
        <v>0</v>
      </c>
      <c r="M85" s="577">
        <v>0</v>
      </c>
      <c r="N85" s="577">
        <v>0</v>
      </c>
      <c r="O85" s="577">
        <v>0</v>
      </c>
      <c r="P85" s="577">
        <v>0</v>
      </c>
      <c r="Q85" s="577">
        <v>0</v>
      </c>
      <c r="R85" s="577">
        <v>0</v>
      </c>
      <c r="S85" s="577">
        <v>0</v>
      </c>
      <c r="T85" s="577">
        <v>0</v>
      </c>
      <c r="U85" s="577">
        <v>0</v>
      </c>
      <c r="V85" s="577">
        <v>0</v>
      </c>
      <c r="W85" s="592">
        <v>0</v>
      </c>
      <c r="X85" s="685">
        <v>0</v>
      </c>
      <c r="Y85" s="685">
        <v>0</v>
      </c>
      <c r="Z85" s="685">
        <v>0</v>
      </c>
      <c r="AA85" s="685">
        <v>0</v>
      </c>
      <c r="AB85" s="685">
        <v>0</v>
      </c>
      <c r="AC85" s="685">
        <v>0</v>
      </c>
      <c r="AD85" s="685">
        <v>0</v>
      </c>
      <c r="AE85" s="910">
        <v>0</v>
      </c>
      <c r="AF85" s="911">
        <v>0</v>
      </c>
      <c r="AG85" s="912">
        <v>0</v>
      </c>
      <c r="AH85" s="685">
        <v>0</v>
      </c>
      <c r="AI85" s="684">
        <v>0</v>
      </c>
      <c r="AJ85" s="682">
        <v>0</v>
      </c>
      <c r="AK85" s="684">
        <v>0</v>
      </c>
      <c r="AL85" s="686">
        <v>0</v>
      </c>
      <c r="AM85" s="682">
        <v>0</v>
      </c>
      <c r="AN85" s="682">
        <v>0</v>
      </c>
      <c r="AO85" s="686">
        <v>0</v>
      </c>
      <c r="AP85" s="687">
        <v>0.02</v>
      </c>
      <c r="AQ85" s="684">
        <f t="shared" si="23"/>
        <v>7.1428571428571426E-3</v>
      </c>
      <c r="AR85" s="682">
        <v>0</v>
      </c>
      <c r="AS85" s="684">
        <v>0</v>
      </c>
      <c r="AT85" s="688">
        <v>2E-3</v>
      </c>
      <c r="AU85" s="682">
        <v>0</v>
      </c>
      <c r="AV85" s="684">
        <v>0</v>
      </c>
      <c r="AW85" s="689">
        <v>0</v>
      </c>
      <c r="AX85" s="690">
        <v>0</v>
      </c>
      <c r="AY85" s="689">
        <v>0</v>
      </c>
      <c r="AZ85" s="690">
        <v>0</v>
      </c>
      <c r="BA85" s="689">
        <v>0</v>
      </c>
      <c r="BB85" s="690">
        <v>0</v>
      </c>
      <c r="BC85" s="691">
        <v>0</v>
      </c>
      <c r="BD85" s="692">
        <v>0</v>
      </c>
      <c r="BE85" s="689">
        <v>0</v>
      </c>
      <c r="BF85" s="690">
        <v>0</v>
      </c>
      <c r="BG85" s="691">
        <v>0</v>
      </c>
      <c r="BH85" s="690">
        <v>0</v>
      </c>
      <c r="BI85" s="691">
        <v>0</v>
      </c>
      <c r="BJ85" s="690">
        <v>0</v>
      </c>
      <c r="BK85" s="691">
        <v>0</v>
      </c>
      <c r="BL85" s="690">
        <v>0</v>
      </c>
      <c r="BM85" s="691">
        <v>0</v>
      </c>
      <c r="BN85" s="690">
        <v>0</v>
      </c>
      <c r="BO85" s="691">
        <v>0</v>
      </c>
      <c r="BP85" s="690">
        <v>0</v>
      </c>
      <c r="BQ85" s="691">
        <v>0</v>
      </c>
      <c r="BR85" s="690">
        <v>0</v>
      </c>
      <c r="BS85" s="691">
        <v>0</v>
      </c>
      <c r="BT85" s="690">
        <v>0</v>
      </c>
      <c r="BU85" s="691">
        <v>0</v>
      </c>
      <c r="BV85" s="690">
        <v>0</v>
      </c>
      <c r="BW85" s="691">
        <v>0</v>
      </c>
      <c r="BX85" s="690">
        <v>0</v>
      </c>
      <c r="BY85" s="691">
        <v>0</v>
      </c>
      <c r="BZ85" s="690">
        <v>0</v>
      </c>
      <c r="CA85" s="691">
        <v>0</v>
      </c>
      <c r="CB85" s="690">
        <v>0</v>
      </c>
      <c r="CC85" s="689">
        <v>0</v>
      </c>
      <c r="CD85" s="692">
        <v>0</v>
      </c>
      <c r="CE85" s="689">
        <v>0</v>
      </c>
      <c r="CF85" s="692">
        <v>0</v>
      </c>
      <c r="CG85" s="689">
        <v>0</v>
      </c>
      <c r="CH85" s="692">
        <v>0</v>
      </c>
      <c r="CI85" s="689">
        <v>0</v>
      </c>
      <c r="CJ85" s="692">
        <v>0</v>
      </c>
      <c r="CK85" s="689">
        <v>0</v>
      </c>
      <c r="CL85" s="692">
        <v>0</v>
      </c>
      <c r="CM85" s="689">
        <v>0</v>
      </c>
      <c r="CN85" s="692">
        <v>0</v>
      </c>
      <c r="CO85" s="689">
        <v>0</v>
      </c>
      <c r="CP85" s="692">
        <v>0</v>
      </c>
      <c r="CQ85" s="689">
        <v>0</v>
      </c>
      <c r="CR85" s="690">
        <v>0</v>
      </c>
      <c r="CS85" s="689">
        <v>0</v>
      </c>
      <c r="CT85" s="690">
        <v>0</v>
      </c>
      <c r="CU85" s="691">
        <v>0</v>
      </c>
      <c r="CV85" s="690">
        <v>0</v>
      </c>
    </row>
    <row r="86" spans="1:100">
      <c r="A86" s="457">
        <v>84</v>
      </c>
      <c r="B86" s="577">
        <v>0</v>
      </c>
      <c r="C86" s="577">
        <v>0</v>
      </c>
      <c r="D86" s="577">
        <v>0</v>
      </c>
      <c r="E86" s="577">
        <v>0</v>
      </c>
      <c r="F86" s="577">
        <v>0</v>
      </c>
      <c r="G86" s="577">
        <v>0</v>
      </c>
      <c r="H86" s="577">
        <v>0</v>
      </c>
      <c r="I86" s="577">
        <v>0</v>
      </c>
      <c r="J86" s="577">
        <v>0</v>
      </c>
      <c r="K86" s="577">
        <v>0</v>
      </c>
      <c r="L86" s="577">
        <v>0</v>
      </c>
      <c r="M86" s="577">
        <v>0</v>
      </c>
      <c r="N86" s="577">
        <v>0</v>
      </c>
      <c r="O86" s="577">
        <v>0</v>
      </c>
      <c r="P86" s="577">
        <v>0</v>
      </c>
      <c r="Q86" s="577">
        <v>0</v>
      </c>
      <c r="R86" s="577">
        <v>0</v>
      </c>
      <c r="S86" s="577">
        <v>0</v>
      </c>
      <c r="T86" s="577">
        <v>0</v>
      </c>
      <c r="U86" s="577">
        <v>0</v>
      </c>
      <c r="V86" s="577">
        <v>0</v>
      </c>
      <c r="W86" s="592">
        <v>0</v>
      </c>
      <c r="X86" s="685">
        <v>0</v>
      </c>
      <c r="Y86" s="685">
        <v>0</v>
      </c>
      <c r="Z86" s="685">
        <v>0</v>
      </c>
      <c r="AA86" s="685">
        <v>0</v>
      </c>
      <c r="AB86" s="685">
        <v>0</v>
      </c>
      <c r="AC86" s="685">
        <v>0</v>
      </c>
      <c r="AD86" s="685">
        <v>0</v>
      </c>
      <c r="AE86" s="910">
        <v>0</v>
      </c>
      <c r="AF86" s="911">
        <v>0</v>
      </c>
      <c r="AG86" s="912">
        <v>0</v>
      </c>
      <c r="AH86" s="685">
        <v>0</v>
      </c>
      <c r="AI86" s="684">
        <v>0</v>
      </c>
      <c r="AJ86" s="682">
        <v>0</v>
      </c>
      <c r="AK86" s="684">
        <v>0</v>
      </c>
      <c r="AL86" s="686">
        <v>0</v>
      </c>
      <c r="AM86" s="682">
        <v>0</v>
      </c>
      <c r="AN86" s="682">
        <v>0</v>
      </c>
      <c r="AO86" s="686">
        <v>0</v>
      </c>
      <c r="AP86" s="687">
        <v>0.02</v>
      </c>
      <c r="AQ86" s="684">
        <f t="shared" si="23"/>
        <v>7.1428571428571426E-3</v>
      </c>
      <c r="AR86" s="682">
        <v>0</v>
      </c>
      <c r="AS86" s="684">
        <v>0</v>
      </c>
      <c r="AT86" s="688">
        <v>2E-3</v>
      </c>
      <c r="AU86" s="682">
        <v>0</v>
      </c>
      <c r="AV86" s="684">
        <v>0</v>
      </c>
      <c r="AW86" s="689">
        <v>0</v>
      </c>
      <c r="AX86" s="690">
        <v>0</v>
      </c>
      <c r="AY86" s="689">
        <v>0</v>
      </c>
      <c r="AZ86" s="690">
        <v>0</v>
      </c>
      <c r="BA86" s="689">
        <v>0</v>
      </c>
      <c r="BB86" s="690">
        <v>0</v>
      </c>
      <c r="BC86" s="691">
        <v>0</v>
      </c>
      <c r="BD86" s="692">
        <v>0</v>
      </c>
      <c r="BE86" s="689">
        <v>0</v>
      </c>
      <c r="BF86" s="690">
        <v>0</v>
      </c>
      <c r="BG86" s="691">
        <v>0</v>
      </c>
      <c r="BH86" s="690">
        <v>0</v>
      </c>
      <c r="BI86" s="691">
        <v>0</v>
      </c>
      <c r="BJ86" s="690">
        <v>0</v>
      </c>
      <c r="BK86" s="691">
        <v>0</v>
      </c>
      <c r="BL86" s="690">
        <v>0</v>
      </c>
      <c r="BM86" s="691">
        <v>0</v>
      </c>
      <c r="BN86" s="690">
        <v>0</v>
      </c>
      <c r="BO86" s="691">
        <v>0</v>
      </c>
      <c r="BP86" s="690">
        <v>0</v>
      </c>
      <c r="BQ86" s="691">
        <v>0</v>
      </c>
      <c r="BR86" s="690">
        <v>0</v>
      </c>
      <c r="BS86" s="691">
        <v>0</v>
      </c>
      <c r="BT86" s="690">
        <v>0</v>
      </c>
      <c r="BU86" s="691">
        <v>0</v>
      </c>
      <c r="BV86" s="690">
        <v>0</v>
      </c>
      <c r="BW86" s="691">
        <v>0</v>
      </c>
      <c r="BX86" s="690">
        <v>0</v>
      </c>
      <c r="BY86" s="691">
        <v>0</v>
      </c>
      <c r="BZ86" s="690">
        <v>0</v>
      </c>
      <c r="CA86" s="691">
        <v>0</v>
      </c>
      <c r="CB86" s="690">
        <v>0</v>
      </c>
      <c r="CC86" s="689">
        <v>0</v>
      </c>
      <c r="CD86" s="692">
        <v>0</v>
      </c>
      <c r="CE86" s="689">
        <v>0</v>
      </c>
      <c r="CF86" s="692">
        <v>0</v>
      </c>
      <c r="CG86" s="689">
        <v>0</v>
      </c>
      <c r="CH86" s="692">
        <v>0</v>
      </c>
      <c r="CI86" s="689">
        <v>0</v>
      </c>
      <c r="CJ86" s="692">
        <v>0</v>
      </c>
      <c r="CK86" s="689">
        <v>0</v>
      </c>
      <c r="CL86" s="692">
        <v>0</v>
      </c>
      <c r="CM86" s="689">
        <v>0</v>
      </c>
      <c r="CN86" s="692">
        <v>0</v>
      </c>
      <c r="CO86" s="689">
        <v>0</v>
      </c>
      <c r="CP86" s="692">
        <v>0</v>
      </c>
      <c r="CQ86" s="689">
        <v>0</v>
      </c>
      <c r="CR86" s="690">
        <v>0</v>
      </c>
      <c r="CS86" s="689">
        <v>0</v>
      </c>
      <c r="CT86" s="690">
        <v>0</v>
      </c>
      <c r="CU86" s="691">
        <v>0</v>
      </c>
      <c r="CV86" s="690">
        <v>0</v>
      </c>
    </row>
    <row r="87" spans="1:100">
      <c r="A87" s="457">
        <v>85</v>
      </c>
      <c r="B87" s="577">
        <v>0</v>
      </c>
      <c r="C87" s="577">
        <v>0</v>
      </c>
      <c r="D87" s="577">
        <v>0</v>
      </c>
      <c r="E87" s="577">
        <v>0</v>
      </c>
      <c r="F87" s="577">
        <v>0</v>
      </c>
      <c r="G87" s="577">
        <v>0</v>
      </c>
      <c r="H87" s="577">
        <v>0</v>
      </c>
      <c r="I87" s="577">
        <v>0</v>
      </c>
      <c r="J87" s="577">
        <v>0</v>
      </c>
      <c r="K87" s="577">
        <v>0</v>
      </c>
      <c r="L87" s="577">
        <v>0</v>
      </c>
      <c r="M87" s="577">
        <v>0</v>
      </c>
      <c r="N87" s="577">
        <v>0</v>
      </c>
      <c r="O87" s="577">
        <v>0</v>
      </c>
      <c r="P87" s="577">
        <v>0</v>
      </c>
      <c r="Q87" s="577">
        <v>0</v>
      </c>
      <c r="R87" s="577">
        <v>0</v>
      </c>
      <c r="S87" s="577">
        <v>0</v>
      </c>
      <c r="T87" s="577">
        <v>0</v>
      </c>
      <c r="U87" s="577">
        <v>0</v>
      </c>
      <c r="V87" s="577">
        <v>0</v>
      </c>
      <c r="W87" s="592">
        <v>0</v>
      </c>
      <c r="X87" s="685">
        <v>0</v>
      </c>
      <c r="Y87" s="685">
        <v>0</v>
      </c>
      <c r="Z87" s="685">
        <v>0</v>
      </c>
      <c r="AA87" s="685">
        <v>0</v>
      </c>
      <c r="AB87" s="685">
        <v>0</v>
      </c>
      <c r="AC87" s="685">
        <v>0</v>
      </c>
      <c r="AD87" s="685">
        <v>0</v>
      </c>
      <c r="AE87" s="910">
        <v>0</v>
      </c>
      <c r="AF87" s="911">
        <v>0</v>
      </c>
      <c r="AG87" s="912">
        <v>0</v>
      </c>
      <c r="AH87" s="685">
        <v>0</v>
      </c>
      <c r="AI87" s="684">
        <v>0</v>
      </c>
      <c r="AJ87" s="682">
        <v>0</v>
      </c>
      <c r="AK87" s="684">
        <v>0</v>
      </c>
      <c r="AL87" s="686">
        <v>0</v>
      </c>
      <c r="AM87" s="682">
        <v>0</v>
      </c>
      <c r="AN87" s="682">
        <v>0</v>
      </c>
      <c r="AO87" s="686">
        <v>0</v>
      </c>
      <c r="AP87" s="687">
        <v>0.02</v>
      </c>
      <c r="AQ87" s="684">
        <f t="shared" si="23"/>
        <v>7.1428571428571426E-3</v>
      </c>
      <c r="AR87" s="682">
        <v>0</v>
      </c>
      <c r="AS87" s="684">
        <v>0</v>
      </c>
      <c r="AT87" s="688">
        <v>2E-3</v>
      </c>
      <c r="AU87" s="682">
        <v>0</v>
      </c>
      <c r="AV87" s="684">
        <v>0</v>
      </c>
      <c r="AW87" s="689">
        <v>0</v>
      </c>
      <c r="AX87" s="690">
        <v>0</v>
      </c>
      <c r="AY87" s="689">
        <v>0</v>
      </c>
      <c r="AZ87" s="690">
        <v>0</v>
      </c>
      <c r="BA87" s="689">
        <v>0</v>
      </c>
      <c r="BB87" s="690">
        <v>0</v>
      </c>
      <c r="BC87" s="691">
        <v>0</v>
      </c>
      <c r="BD87" s="692">
        <v>0</v>
      </c>
      <c r="BE87" s="689">
        <v>0</v>
      </c>
      <c r="BF87" s="690">
        <v>0</v>
      </c>
      <c r="BG87" s="691">
        <v>0</v>
      </c>
      <c r="BH87" s="690">
        <v>0</v>
      </c>
      <c r="BI87" s="691">
        <v>0</v>
      </c>
      <c r="BJ87" s="690">
        <v>0</v>
      </c>
      <c r="BK87" s="691">
        <v>0</v>
      </c>
      <c r="BL87" s="690">
        <v>0</v>
      </c>
      <c r="BM87" s="691">
        <v>0</v>
      </c>
      <c r="BN87" s="690">
        <v>0</v>
      </c>
      <c r="BO87" s="691">
        <v>0</v>
      </c>
      <c r="BP87" s="690">
        <v>0</v>
      </c>
      <c r="BQ87" s="691">
        <v>0</v>
      </c>
      <c r="BR87" s="690">
        <v>0</v>
      </c>
      <c r="BS87" s="691">
        <v>0</v>
      </c>
      <c r="BT87" s="690">
        <v>0</v>
      </c>
      <c r="BU87" s="691">
        <v>0</v>
      </c>
      <c r="BV87" s="690">
        <v>0</v>
      </c>
      <c r="BW87" s="691">
        <v>0</v>
      </c>
      <c r="BX87" s="690">
        <v>0</v>
      </c>
      <c r="BY87" s="691">
        <v>0</v>
      </c>
      <c r="BZ87" s="690">
        <v>0</v>
      </c>
      <c r="CA87" s="691">
        <v>0</v>
      </c>
      <c r="CB87" s="690">
        <v>0</v>
      </c>
      <c r="CC87" s="689">
        <v>0</v>
      </c>
      <c r="CD87" s="692">
        <v>0</v>
      </c>
      <c r="CE87" s="689">
        <v>0</v>
      </c>
      <c r="CF87" s="692">
        <v>0</v>
      </c>
      <c r="CG87" s="689">
        <v>0</v>
      </c>
      <c r="CH87" s="692">
        <v>0</v>
      </c>
      <c r="CI87" s="689">
        <v>0</v>
      </c>
      <c r="CJ87" s="692">
        <v>0</v>
      </c>
      <c r="CK87" s="689">
        <v>0</v>
      </c>
      <c r="CL87" s="692">
        <v>0</v>
      </c>
      <c r="CM87" s="689">
        <v>0</v>
      </c>
      <c r="CN87" s="692">
        <v>0</v>
      </c>
      <c r="CO87" s="689">
        <v>0</v>
      </c>
      <c r="CP87" s="692">
        <v>0</v>
      </c>
      <c r="CQ87" s="689">
        <v>0</v>
      </c>
      <c r="CR87" s="690">
        <v>0</v>
      </c>
      <c r="CS87" s="689">
        <v>0</v>
      </c>
      <c r="CT87" s="690">
        <v>0</v>
      </c>
      <c r="CU87" s="691">
        <v>0</v>
      </c>
      <c r="CV87" s="690">
        <v>0</v>
      </c>
    </row>
    <row r="88" spans="1:100">
      <c r="A88" s="457">
        <v>86</v>
      </c>
      <c r="B88" s="577">
        <v>0</v>
      </c>
      <c r="C88" s="577">
        <v>0</v>
      </c>
      <c r="D88" s="577">
        <v>0</v>
      </c>
      <c r="E88" s="577">
        <v>0</v>
      </c>
      <c r="F88" s="577">
        <v>0</v>
      </c>
      <c r="G88" s="577">
        <v>0</v>
      </c>
      <c r="H88" s="577">
        <v>0</v>
      </c>
      <c r="I88" s="577">
        <v>0</v>
      </c>
      <c r="J88" s="577">
        <v>0</v>
      </c>
      <c r="K88" s="577">
        <v>0</v>
      </c>
      <c r="L88" s="577">
        <v>0</v>
      </c>
      <c r="M88" s="577">
        <v>0</v>
      </c>
      <c r="N88" s="577">
        <v>0</v>
      </c>
      <c r="O88" s="577">
        <v>0</v>
      </c>
      <c r="P88" s="577">
        <v>0</v>
      </c>
      <c r="Q88" s="577">
        <v>0</v>
      </c>
      <c r="R88" s="577">
        <v>0</v>
      </c>
      <c r="S88" s="577">
        <v>0</v>
      </c>
      <c r="T88" s="577">
        <v>0</v>
      </c>
      <c r="U88" s="577">
        <v>0</v>
      </c>
      <c r="V88" s="577">
        <v>0</v>
      </c>
      <c r="W88" s="592">
        <v>0</v>
      </c>
      <c r="X88" s="685">
        <v>0</v>
      </c>
      <c r="Y88" s="685">
        <v>0</v>
      </c>
      <c r="Z88" s="685">
        <v>0</v>
      </c>
      <c r="AA88" s="685">
        <v>0</v>
      </c>
      <c r="AB88" s="685">
        <v>0</v>
      </c>
      <c r="AC88" s="685">
        <v>0</v>
      </c>
      <c r="AD88" s="685">
        <v>0</v>
      </c>
      <c r="AE88" s="910">
        <v>0</v>
      </c>
      <c r="AF88" s="911">
        <v>0</v>
      </c>
      <c r="AG88" s="912">
        <v>0</v>
      </c>
      <c r="AH88" s="685">
        <v>0</v>
      </c>
      <c r="AI88" s="684">
        <v>0</v>
      </c>
      <c r="AJ88" s="682">
        <v>0</v>
      </c>
      <c r="AK88" s="684">
        <v>0</v>
      </c>
      <c r="AL88" s="686">
        <v>0</v>
      </c>
      <c r="AM88" s="682">
        <v>0</v>
      </c>
      <c r="AN88" s="682">
        <v>0</v>
      </c>
      <c r="AO88" s="686">
        <v>0</v>
      </c>
      <c r="AP88" s="687">
        <v>0.02</v>
      </c>
      <c r="AQ88" s="684">
        <f t="shared" si="23"/>
        <v>7.1428571428571426E-3</v>
      </c>
      <c r="AR88" s="682">
        <v>0</v>
      </c>
      <c r="AS88" s="684">
        <v>0</v>
      </c>
      <c r="AT88" s="688">
        <v>2E-3</v>
      </c>
      <c r="AU88" s="682">
        <v>0</v>
      </c>
      <c r="AV88" s="684">
        <v>0</v>
      </c>
      <c r="AW88" s="689">
        <v>0</v>
      </c>
      <c r="AX88" s="690">
        <v>0</v>
      </c>
      <c r="AY88" s="689">
        <v>0</v>
      </c>
      <c r="AZ88" s="690">
        <v>0</v>
      </c>
      <c r="BA88" s="689">
        <v>0</v>
      </c>
      <c r="BB88" s="690">
        <v>0</v>
      </c>
      <c r="BC88" s="691">
        <v>0</v>
      </c>
      <c r="BD88" s="692">
        <v>0</v>
      </c>
      <c r="BE88" s="689">
        <v>0</v>
      </c>
      <c r="BF88" s="690">
        <v>0</v>
      </c>
      <c r="BG88" s="691">
        <v>0</v>
      </c>
      <c r="BH88" s="690">
        <v>0</v>
      </c>
      <c r="BI88" s="691">
        <v>0</v>
      </c>
      <c r="BJ88" s="690">
        <v>0</v>
      </c>
      <c r="BK88" s="691">
        <v>0</v>
      </c>
      <c r="BL88" s="690">
        <v>0</v>
      </c>
      <c r="BM88" s="691">
        <v>0</v>
      </c>
      <c r="BN88" s="690">
        <v>0</v>
      </c>
      <c r="BO88" s="691">
        <v>0</v>
      </c>
      <c r="BP88" s="690">
        <v>0</v>
      </c>
      <c r="BQ88" s="691">
        <v>0</v>
      </c>
      <c r="BR88" s="690">
        <v>0</v>
      </c>
      <c r="BS88" s="691">
        <v>0</v>
      </c>
      <c r="BT88" s="690">
        <v>0</v>
      </c>
      <c r="BU88" s="691">
        <v>0</v>
      </c>
      <c r="BV88" s="690">
        <v>0</v>
      </c>
      <c r="BW88" s="691">
        <v>0</v>
      </c>
      <c r="BX88" s="690">
        <v>0</v>
      </c>
      <c r="BY88" s="691">
        <v>0</v>
      </c>
      <c r="BZ88" s="690">
        <v>0</v>
      </c>
      <c r="CA88" s="691">
        <v>0</v>
      </c>
      <c r="CB88" s="690">
        <v>0</v>
      </c>
      <c r="CC88" s="689">
        <v>0</v>
      </c>
      <c r="CD88" s="692">
        <v>0</v>
      </c>
      <c r="CE88" s="689">
        <v>0</v>
      </c>
      <c r="CF88" s="692">
        <v>0</v>
      </c>
      <c r="CG88" s="689">
        <v>0</v>
      </c>
      <c r="CH88" s="692">
        <v>0</v>
      </c>
      <c r="CI88" s="689">
        <v>0</v>
      </c>
      <c r="CJ88" s="692">
        <v>0</v>
      </c>
      <c r="CK88" s="689">
        <v>0</v>
      </c>
      <c r="CL88" s="692">
        <v>0</v>
      </c>
      <c r="CM88" s="689">
        <v>0</v>
      </c>
      <c r="CN88" s="692">
        <v>0</v>
      </c>
      <c r="CO88" s="689">
        <v>0</v>
      </c>
      <c r="CP88" s="692">
        <v>0</v>
      </c>
      <c r="CQ88" s="689">
        <v>0</v>
      </c>
      <c r="CR88" s="690">
        <v>0</v>
      </c>
      <c r="CS88" s="689">
        <v>0</v>
      </c>
      <c r="CT88" s="690">
        <v>0</v>
      </c>
      <c r="CU88" s="691">
        <v>0</v>
      </c>
      <c r="CV88" s="690">
        <v>0</v>
      </c>
    </row>
    <row r="89" spans="1:100">
      <c r="A89" s="457">
        <v>87</v>
      </c>
      <c r="B89" s="577">
        <v>0</v>
      </c>
      <c r="C89" s="577">
        <v>0</v>
      </c>
      <c r="D89" s="577">
        <v>0</v>
      </c>
      <c r="E89" s="577">
        <v>0</v>
      </c>
      <c r="F89" s="577">
        <v>0</v>
      </c>
      <c r="G89" s="577">
        <v>0</v>
      </c>
      <c r="H89" s="577">
        <v>0</v>
      </c>
      <c r="I89" s="577">
        <v>0</v>
      </c>
      <c r="J89" s="577">
        <v>0</v>
      </c>
      <c r="K89" s="577">
        <v>0</v>
      </c>
      <c r="L89" s="577">
        <v>0</v>
      </c>
      <c r="M89" s="577">
        <v>0</v>
      </c>
      <c r="N89" s="577">
        <v>0</v>
      </c>
      <c r="O89" s="577">
        <v>0</v>
      </c>
      <c r="P89" s="577">
        <v>0</v>
      </c>
      <c r="Q89" s="577">
        <v>0</v>
      </c>
      <c r="R89" s="577">
        <v>0</v>
      </c>
      <c r="S89" s="577">
        <v>0</v>
      </c>
      <c r="T89" s="577">
        <v>0</v>
      </c>
      <c r="U89" s="577">
        <v>0</v>
      </c>
      <c r="V89" s="577">
        <v>0</v>
      </c>
      <c r="W89" s="592">
        <v>0</v>
      </c>
      <c r="X89" s="685">
        <v>0</v>
      </c>
      <c r="Y89" s="685">
        <v>0</v>
      </c>
      <c r="Z89" s="685">
        <v>0</v>
      </c>
      <c r="AA89" s="685">
        <v>0</v>
      </c>
      <c r="AB89" s="685">
        <v>0</v>
      </c>
      <c r="AC89" s="685">
        <v>0</v>
      </c>
      <c r="AD89" s="685">
        <v>0</v>
      </c>
      <c r="AE89" s="910">
        <v>0</v>
      </c>
      <c r="AF89" s="911">
        <v>0</v>
      </c>
      <c r="AG89" s="912">
        <v>0</v>
      </c>
      <c r="AH89" s="685">
        <v>0</v>
      </c>
      <c r="AI89" s="684">
        <v>0</v>
      </c>
      <c r="AJ89" s="682">
        <v>0</v>
      </c>
      <c r="AK89" s="684">
        <v>0</v>
      </c>
      <c r="AL89" s="686">
        <v>0</v>
      </c>
      <c r="AM89" s="682">
        <v>0</v>
      </c>
      <c r="AN89" s="682">
        <v>0</v>
      </c>
      <c r="AO89" s="686">
        <v>0</v>
      </c>
      <c r="AP89" s="687">
        <v>0.02</v>
      </c>
      <c r="AQ89" s="684">
        <f t="shared" si="23"/>
        <v>7.1428571428571426E-3</v>
      </c>
      <c r="AR89" s="682">
        <v>0</v>
      </c>
      <c r="AS89" s="684">
        <v>0</v>
      </c>
      <c r="AT89" s="688">
        <v>2E-3</v>
      </c>
      <c r="AU89" s="682">
        <v>0</v>
      </c>
      <c r="AV89" s="684">
        <v>0</v>
      </c>
      <c r="AW89" s="689">
        <v>0</v>
      </c>
      <c r="AX89" s="690">
        <v>0</v>
      </c>
      <c r="AY89" s="689">
        <v>0</v>
      </c>
      <c r="AZ89" s="690">
        <v>0</v>
      </c>
      <c r="BA89" s="689">
        <v>0</v>
      </c>
      <c r="BB89" s="690">
        <v>0</v>
      </c>
      <c r="BC89" s="691">
        <v>0</v>
      </c>
      <c r="BD89" s="692">
        <v>0</v>
      </c>
      <c r="BE89" s="689">
        <v>0</v>
      </c>
      <c r="BF89" s="690">
        <v>0</v>
      </c>
      <c r="BG89" s="691">
        <v>0</v>
      </c>
      <c r="BH89" s="690">
        <v>0</v>
      </c>
      <c r="BI89" s="691">
        <v>0</v>
      </c>
      <c r="BJ89" s="690">
        <v>0</v>
      </c>
      <c r="BK89" s="691">
        <v>0</v>
      </c>
      <c r="BL89" s="690">
        <v>0</v>
      </c>
      <c r="BM89" s="691">
        <v>0</v>
      </c>
      <c r="BN89" s="690">
        <v>0</v>
      </c>
      <c r="BO89" s="691">
        <v>0</v>
      </c>
      <c r="BP89" s="690">
        <v>0</v>
      </c>
      <c r="BQ89" s="691">
        <v>0</v>
      </c>
      <c r="BR89" s="690">
        <v>0</v>
      </c>
      <c r="BS89" s="691">
        <v>0</v>
      </c>
      <c r="BT89" s="690">
        <v>0</v>
      </c>
      <c r="BU89" s="691">
        <v>0</v>
      </c>
      <c r="BV89" s="690">
        <v>0</v>
      </c>
      <c r="BW89" s="691">
        <v>0</v>
      </c>
      <c r="BX89" s="690">
        <v>0</v>
      </c>
      <c r="BY89" s="691">
        <v>0</v>
      </c>
      <c r="BZ89" s="690">
        <v>0</v>
      </c>
      <c r="CA89" s="691">
        <v>0</v>
      </c>
      <c r="CB89" s="690">
        <v>0</v>
      </c>
      <c r="CC89" s="689">
        <v>0</v>
      </c>
      <c r="CD89" s="692">
        <v>0</v>
      </c>
      <c r="CE89" s="689">
        <v>0</v>
      </c>
      <c r="CF89" s="692">
        <v>0</v>
      </c>
      <c r="CG89" s="689">
        <v>0</v>
      </c>
      <c r="CH89" s="692">
        <v>0</v>
      </c>
      <c r="CI89" s="689">
        <v>0</v>
      </c>
      <c r="CJ89" s="692">
        <v>0</v>
      </c>
      <c r="CK89" s="689">
        <v>0</v>
      </c>
      <c r="CL89" s="692">
        <v>0</v>
      </c>
      <c r="CM89" s="689">
        <v>0</v>
      </c>
      <c r="CN89" s="692">
        <v>0</v>
      </c>
      <c r="CO89" s="689">
        <v>0</v>
      </c>
      <c r="CP89" s="692">
        <v>0</v>
      </c>
      <c r="CQ89" s="689">
        <v>0</v>
      </c>
      <c r="CR89" s="690">
        <v>0</v>
      </c>
      <c r="CS89" s="689">
        <v>0</v>
      </c>
      <c r="CT89" s="690">
        <v>0</v>
      </c>
      <c r="CU89" s="691">
        <v>0</v>
      </c>
      <c r="CV89" s="690">
        <v>0</v>
      </c>
    </row>
    <row r="90" spans="1:100">
      <c r="A90" s="457">
        <v>88</v>
      </c>
      <c r="B90" s="577">
        <v>0</v>
      </c>
      <c r="C90" s="577">
        <v>0</v>
      </c>
      <c r="D90" s="577">
        <v>0</v>
      </c>
      <c r="E90" s="577">
        <v>0</v>
      </c>
      <c r="F90" s="577">
        <v>0</v>
      </c>
      <c r="G90" s="577">
        <v>0</v>
      </c>
      <c r="H90" s="577">
        <v>0</v>
      </c>
      <c r="I90" s="577">
        <v>0</v>
      </c>
      <c r="J90" s="577">
        <v>0</v>
      </c>
      <c r="K90" s="577">
        <v>0</v>
      </c>
      <c r="L90" s="577">
        <v>0</v>
      </c>
      <c r="M90" s="577">
        <v>0</v>
      </c>
      <c r="N90" s="577">
        <v>0</v>
      </c>
      <c r="O90" s="577">
        <v>0</v>
      </c>
      <c r="P90" s="577">
        <v>0</v>
      </c>
      <c r="Q90" s="577">
        <v>0</v>
      </c>
      <c r="R90" s="577">
        <v>0</v>
      </c>
      <c r="S90" s="577">
        <v>0</v>
      </c>
      <c r="T90" s="577">
        <v>0</v>
      </c>
      <c r="U90" s="577">
        <v>0</v>
      </c>
      <c r="V90" s="577">
        <v>0</v>
      </c>
      <c r="W90" s="592">
        <v>0</v>
      </c>
      <c r="X90" s="685">
        <v>0</v>
      </c>
      <c r="Y90" s="685">
        <v>0</v>
      </c>
      <c r="Z90" s="685">
        <v>0</v>
      </c>
      <c r="AA90" s="685">
        <v>0</v>
      </c>
      <c r="AB90" s="685">
        <v>0</v>
      </c>
      <c r="AC90" s="685">
        <v>0</v>
      </c>
      <c r="AD90" s="685">
        <v>0</v>
      </c>
      <c r="AE90" s="910">
        <v>0</v>
      </c>
      <c r="AF90" s="911">
        <v>0</v>
      </c>
      <c r="AG90" s="912">
        <v>0</v>
      </c>
      <c r="AH90" s="685">
        <v>0</v>
      </c>
      <c r="AI90" s="684">
        <v>0</v>
      </c>
      <c r="AJ90" s="682">
        <v>0</v>
      </c>
      <c r="AK90" s="684">
        <v>0</v>
      </c>
      <c r="AL90" s="686">
        <v>0</v>
      </c>
      <c r="AM90" s="682">
        <v>0</v>
      </c>
      <c r="AN90" s="682">
        <v>0</v>
      </c>
      <c r="AO90" s="686">
        <v>0</v>
      </c>
      <c r="AP90" s="687">
        <v>0.02</v>
      </c>
      <c r="AQ90" s="684">
        <f t="shared" si="23"/>
        <v>7.1428571428571426E-3</v>
      </c>
      <c r="AR90" s="682">
        <v>0</v>
      </c>
      <c r="AS90" s="684">
        <v>0</v>
      </c>
      <c r="AT90" s="688">
        <v>2E-3</v>
      </c>
      <c r="AU90" s="682">
        <v>0</v>
      </c>
      <c r="AV90" s="684">
        <v>0</v>
      </c>
      <c r="AW90" s="689">
        <v>0</v>
      </c>
      <c r="AX90" s="690">
        <v>0</v>
      </c>
      <c r="AY90" s="689">
        <v>0</v>
      </c>
      <c r="AZ90" s="690">
        <v>0</v>
      </c>
      <c r="BA90" s="689">
        <v>0</v>
      </c>
      <c r="BB90" s="690">
        <v>0</v>
      </c>
      <c r="BC90" s="691">
        <v>0</v>
      </c>
      <c r="BD90" s="692">
        <v>0</v>
      </c>
      <c r="BE90" s="689">
        <v>0</v>
      </c>
      <c r="BF90" s="690">
        <v>0</v>
      </c>
      <c r="BG90" s="691">
        <v>0</v>
      </c>
      <c r="BH90" s="690">
        <v>0</v>
      </c>
      <c r="BI90" s="691">
        <v>0</v>
      </c>
      <c r="BJ90" s="690">
        <v>0</v>
      </c>
      <c r="BK90" s="691">
        <v>0</v>
      </c>
      <c r="BL90" s="690">
        <v>0</v>
      </c>
      <c r="BM90" s="691">
        <v>0</v>
      </c>
      <c r="BN90" s="690">
        <v>0</v>
      </c>
      <c r="BO90" s="691">
        <v>0</v>
      </c>
      <c r="BP90" s="690">
        <v>0</v>
      </c>
      <c r="BQ90" s="691">
        <v>0</v>
      </c>
      <c r="BR90" s="690">
        <v>0</v>
      </c>
      <c r="BS90" s="691">
        <v>0</v>
      </c>
      <c r="BT90" s="690">
        <v>0</v>
      </c>
      <c r="BU90" s="691">
        <v>0</v>
      </c>
      <c r="BV90" s="690">
        <v>0</v>
      </c>
      <c r="BW90" s="691">
        <v>0</v>
      </c>
      <c r="BX90" s="690">
        <v>0</v>
      </c>
      <c r="BY90" s="691">
        <v>0</v>
      </c>
      <c r="BZ90" s="690">
        <v>0</v>
      </c>
      <c r="CA90" s="691">
        <v>0</v>
      </c>
      <c r="CB90" s="690">
        <v>0</v>
      </c>
      <c r="CC90" s="689">
        <v>0</v>
      </c>
      <c r="CD90" s="692">
        <v>0</v>
      </c>
      <c r="CE90" s="689">
        <v>0</v>
      </c>
      <c r="CF90" s="692">
        <v>0</v>
      </c>
      <c r="CG90" s="689">
        <v>0</v>
      </c>
      <c r="CH90" s="692">
        <v>0</v>
      </c>
      <c r="CI90" s="689">
        <v>0</v>
      </c>
      <c r="CJ90" s="692">
        <v>0</v>
      </c>
      <c r="CK90" s="689">
        <v>0</v>
      </c>
      <c r="CL90" s="692">
        <v>0</v>
      </c>
      <c r="CM90" s="689">
        <v>0</v>
      </c>
      <c r="CN90" s="692">
        <v>0</v>
      </c>
      <c r="CO90" s="689">
        <v>0</v>
      </c>
      <c r="CP90" s="692">
        <v>0</v>
      </c>
      <c r="CQ90" s="689">
        <v>0</v>
      </c>
      <c r="CR90" s="690">
        <v>0</v>
      </c>
      <c r="CS90" s="689">
        <v>0</v>
      </c>
      <c r="CT90" s="690">
        <v>0</v>
      </c>
      <c r="CU90" s="691">
        <v>0</v>
      </c>
      <c r="CV90" s="690">
        <v>0</v>
      </c>
    </row>
    <row r="91" spans="1:100">
      <c r="A91" s="457">
        <v>89</v>
      </c>
      <c r="B91" s="577">
        <v>0</v>
      </c>
      <c r="C91" s="577">
        <v>0</v>
      </c>
      <c r="D91" s="577">
        <v>0</v>
      </c>
      <c r="E91" s="577">
        <v>0</v>
      </c>
      <c r="F91" s="577">
        <v>0</v>
      </c>
      <c r="G91" s="577">
        <v>0</v>
      </c>
      <c r="H91" s="577">
        <v>0</v>
      </c>
      <c r="I91" s="577">
        <v>0</v>
      </c>
      <c r="J91" s="577">
        <v>0</v>
      </c>
      <c r="K91" s="577">
        <v>0</v>
      </c>
      <c r="L91" s="577">
        <v>0</v>
      </c>
      <c r="M91" s="577">
        <v>0</v>
      </c>
      <c r="N91" s="577">
        <v>0</v>
      </c>
      <c r="O91" s="577">
        <v>0</v>
      </c>
      <c r="P91" s="577">
        <v>0</v>
      </c>
      <c r="Q91" s="577">
        <v>0</v>
      </c>
      <c r="R91" s="577">
        <v>0</v>
      </c>
      <c r="S91" s="577">
        <v>0</v>
      </c>
      <c r="T91" s="577">
        <v>0</v>
      </c>
      <c r="U91" s="577">
        <v>0</v>
      </c>
      <c r="V91" s="577">
        <v>0</v>
      </c>
      <c r="W91" s="592">
        <v>0</v>
      </c>
      <c r="X91" s="685">
        <v>0</v>
      </c>
      <c r="Y91" s="685">
        <v>0</v>
      </c>
      <c r="Z91" s="685">
        <v>0</v>
      </c>
      <c r="AA91" s="685">
        <v>0</v>
      </c>
      <c r="AB91" s="685">
        <v>0</v>
      </c>
      <c r="AC91" s="685">
        <v>0</v>
      </c>
      <c r="AD91" s="685">
        <v>0</v>
      </c>
      <c r="AE91" s="910">
        <v>0</v>
      </c>
      <c r="AF91" s="911">
        <v>0</v>
      </c>
      <c r="AG91" s="912">
        <v>0</v>
      </c>
      <c r="AH91" s="685">
        <v>0</v>
      </c>
      <c r="AI91" s="684">
        <v>0</v>
      </c>
      <c r="AJ91" s="682">
        <v>0</v>
      </c>
      <c r="AK91" s="684">
        <v>0</v>
      </c>
      <c r="AL91" s="686">
        <v>0</v>
      </c>
      <c r="AM91" s="682">
        <v>0</v>
      </c>
      <c r="AN91" s="682">
        <v>0</v>
      </c>
      <c r="AO91" s="686">
        <v>0</v>
      </c>
      <c r="AP91" s="687">
        <v>0.02</v>
      </c>
      <c r="AQ91" s="684">
        <f t="shared" si="23"/>
        <v>7.1428571428571426E-3</v>
      </c>
      <c r="AR91" s="682">
        <v>0</v>
      </c>
      <c r="AS91" s="684">
        <v>0</v>
      </c>
      <c r="AT91" s="688">
        <v>2E-3</v>
      </c>
      <c r="AU91" s="682">
        <v>0</v>
      </c>
      <c r="AV91" s="684">
        <v>0</v>
      </c>
      <c r="AW91" s="689">
        <v>0</v>
      </c>
      <c r="AX91" s="690">
        <v>0</v>
      </c>
      <c r="AY91" s="689">
        <v>0</v>
      </c>
      <c r="AZ91" s="690">
        <v>0</v>
      </c>
      <c r="BA91" s="689">
        <v>0</v>
      </c>
      <c r="BB91" s="690">
        <v>0</v>
      </c>
      <c r="BC91" s="691">
        <v>0</v>
      </c>
      <c r="BD91" s="692">
        <v>0</v>
      </c>
      <c r="BE91" s="689">
        <v>0</v>
      </c>
      <c r="BF91" s="690">
        <v>0</v>
      </c>
      <c r="BG91" s="691">
        <v>0</v>
      </c>
      <c r="BH91" s="690">
        <v>0</v>
      </c>
      <c r="BI91" s="691">
        <v>0</v>
      </c>
      <c r="BJ91" s="690">
        <v>0</v>
      </c>
      <c r="BK91" s="691">
        <v>0</v>
      </c>
      <c r="BL91" s="690">
        <v>0</v>
      </c>
      <c r="BM91" s="691">
        <v>0</v>
      </c>
      <c r="BN91" s="690">
        <v>0</v>
      </c>
      <c r="BO91" s="691">
        <v>0</v>
      </c>
      <c r="BP91" s="690">
        <v>0</v>
      </c>
      <c r="BQ91" s="691">
        <v>0</v>
      </c>
      <c r="BR91" s="690">
        <v>0</v>
      </c>
      <c r="BS91" s="691">
        <v>0</v>
      </c>
      <c r="BT91" s="690">
        <v>0</v>
      </c>
      <c r="BU91" s="691">
        <v>0</v>
      </c>
      <c r="BV91" s="690">
        <v>0</v>
      </c>
      <c r="BW91" s="691">
        <v>0</v>
      </c>
      <c r="BX91" s="690">
        <v>0</v>
      </c>
      <c r="BY91" s="691">
        <v>0</v>
      </c>
      <c r="BZ91" s="690">
        <v>0</v>
      </c>
      <c r="CA91" s="691">
        <v>0</v>
      </c>
      <c r="CB91" s="690">
        <v>0</v>
      </c>
      <c r="CC91" s="689">
        <v>0</v>
      </c>
      <c r="CD91" s="692">
        <v>0</v>
      </c>
      <c r="CE91" s="689">
        <v>0</v>
      </c>
      <c r="CF91" s="692">
        <v>0</v>
      </c>
      <c r="CG91" s="689">
        <v>0</v>
      </c>
      <c r="CH91" s="692">
        <v>0</v>
      </c>
      <c r="CI91" s="689">
        <v>0</v>
      </c>
      <c r="CJ91" s="692">
        <v>0</v>
      </c>
      <c r="CK91" s="689">
        <v>0</v>
      </c>
      <c r="CL91" s="692">
        <v>0</v>
      </c>
      <c r="CM91" s="689">
        <v>0</v>
      </c>
      <c r="CN91" s="692">
        <v>0</v>
      </c>
      <c r="CO91" s="689">
        <v>0</v>
      </c>
      <c r="CP91" s="692">
        <v>0</v>
      </c>
      <c r="CQ91" s="689">
        <v>0</v>
      </c>
      <c r="CR91" s="690">
        <v>0</v>
      </c>
      <c r="CS91" s="689">
        <v>0</v>
      </c>
      <c r="CT91" s="690">
        <v>0</v>
      </c>
      <c r="CU91" s="691">
        <v>0</v>
      </c>
      <c r="CV91" s="690">
        <v>0</v>
      </c>
    </row>
    <row r="92" spans="1:100">
      <c r="A92" s="457">
        <v>90</v>
      </c>
      <c r="B92" s="577">
        <v>0</v>
      </c>
      <c r="C92" s="577">
        <v>0</v>
      </c>
      <c r="D92" s="577">
        <v>0</v>
      </c>
      <c r="E92" s="577">
        <v>0</v>
      </c>
      <c r="F92" s="577">
        <v>0</v>
      </c>
      <c r="G92" s="577">
        <v>0</v>
      </c>
      <c r="H92" s="577">
        <v>0</v>
      </c>
      <c r="I92" s="577">
        <v>0</v>
      </c>
      <c r="J92" s="577">
        <v>0</v>
      </c>
      <c r="K92" s="577">
        <v>0</v>
      </c>
      <c r="L92" s="577">
        <v>0</v>
      </c>
      <c r="M92" s="577">
        <v>0</v>
      </c>
      <c r="N92" s="577">
        <v>0</v>
      </c>
      <c r="O92" s="577">
        <v>0</v>
      </c>
      <c r="P92" s="577">
        <v>0</v>
      </c>
      <c r="Q92" s="577">
        <v>0</v>
      </c>
      <c r="R92" s="577">
        <v>0</v>
      </c>
      <c r="S92" s="577">
        <v>0</v>
      </c>
      <c r="T92" s="577">
        <v>0</v>
      </c>
      <c r="U92" s="577">
        <v>0</v>
      </c>
      <c r="V92" s="577">
        <v>0</v>
      </c>
      <c r="W92" s="592">
        <v>0</v>
      </c>
      <c r="X92" s="685">
        <v>0</v>
      </c>
      <c r="Y92" s="685">
        <v>0</v>
      </c>
      <c r="Z92" s="685">
        <v>0</v>
      </c>
      <c r="AA92" s="685">
        <v>0</v>
      </c>
      <c r="AB92" s="685">
        <v>0</v>
      </c>
      <c r="AC92" s="685">
        <v>0</v>
      </c>
      <c r="AD92" s="685">
        <v>0</v>
      </c>
      <c r="AE92" s="910">
        <v>0</v>
      </c>
      <c r="AF92" s="911">
        <v>0</v>
      </c>
      <c r="AG92" s="912">
        <v>0</v>
      </c>
      <c r="AH92" s="685">
        <v>0</v>
      </c>
      <c r="AI92" s="684">
        <v>0</v>
      </c>
      <c r="AJ92" s="682">
        <v>0</v>
      </c>
      <c r="AK92" s="684">
        <v>0</v>
      </c>
      <c r="AL92" s="686">
        <v>0</v>
      </c>
      <c r="AM92" s="682">
        <v>0</v>
      </c>
      <c r="AN92" s="682">
        <v>0</v>
      </c>
      <c r="AO92" s="686">
        <v>0</v>
      </c>
      <c r="AP92" s="687">
        <v>0.02</v>
      </c>
      <c r="AQ92" s="684">
        <f t="shared" si="23"/>
        <v>7.1428571428571426E-3</v>
      </c>
      <c r="AR92" s="682">
        <v>0</v>
      </c>
      <c r="AS92" s="684">
        <v>0</v>
      </c>
      <c r="AT92" s="688">
        <v>2E-3</v>
      </c>
      <c r="AU92" s="682">
        <v>0</v>
      </c>
      <c r="AV92" s="684">
        <v>0</v>
      </c>
      <c r="AW92" s="689">
        <v>0</v>
      </c>
      <c r="AX92" s="690">
        <v>0</v>
      </c>
      <c r="AY92" s="689">
        <v>0</v>
      </c>
      <c r="AZ92" s="690">
        <v>0</v>
      </c>
      <c r="BA92" s="689">
        <v>0</v>
      </c>
      <c r="BB92" s="690">
        <v>0</v>
      </c>
      <c r="BC92" s="691">
        <v>0</v>
      </c>
      <c r="BD92" s="692">
        <v>0</v>
      </c>
      <c r="BE92" s="689">
        <v>0</v>
      </c>
      <c r="BF92" s="690">
        <v>0</v>
      </c>
      <c r="BG92" s="691">
        <v>0</v>
      </c>
      <c r="BH92" s="690">
        <v>0</v>
      </c>
      <c r="BI92" s="691">
        <v>0</v>
      </c>
      <c r="BJ92" s="690">
        <v>0</v>
      </c>
      <c r="BK92" s="691">
        <v>0</v>
      </c>
      <c r="BL92" s="690">
        <v>0</v>
      </c>
      <c r="BM92" s="691">
        <v>0</v>
      </c>
      <c r="BN92" s="690">
        <v>0</v>
      </c>
      <c r="BO92" s="691">
        <v>0</v>
      </c>
      <c r="BP92" s="690">
        <v>0</v>
      </c>
      <c r="BQ92" s="691">
        <v>0</v>
      </c>
      <c r="BR92" s="690">
        <v>0</v>
      </c>
      <c r="BS92" s="691">
        <v>0</v>
      </c>
      <c r="BT92" s="690">
        <v>0</v>
      </c>
      <c r="BU92" s="691">
        <v>0</v>
      </c>
      <c r="BV92" s="690">
        <v>0</v>
      </c>
      <c r="BW92" s="691">
        <v>0</v>
      </c>
      <c r="BX92" s="690">
        <v>0</v>
      </c>
      <c r="BY92" s="691">
        <v>0</v>
      </c>
      <c r="BZ92" s="690">
        <v>0</v>
      </c>
      <c r="CA92" s="691">
        <v>0</v>
      </c>
      <c r="CB92" s="690">
        <v>0</v>
      </c>
      <c r="CC92" s="689">
        <v>0</v>
      </c>
      <c r="CD92" s="692">
        <v>0</v>
      </c>
      <c r="CE92" s="689">
        <v>0</v>
      </c>
      <c r="CF92" s="692">
        <v>0</v>
      </c>
      <c r="CG92" s="689">
        <v>0</v>
      </c>
      <c r="CH92" s="692">
        <v>0</v>
      </c>
      <c r="CI92" s="689">
        <v>0</v>
      </c>
      <c r="CJ92" s="692">
        <v>0</v>
      </c>
      <c r="CK92" s="689">
        <v>0</v>
      </c>
      <c r="CL92" s="692">
        <v>0</v>
      </c>
      <c r="CM92" s="689">
        <v>0</v>
      </c>
      <c r="CN92" s="692">
        <v>0</v>
      </c>
      <c r="CO92" s="689">
        <v>0</v>
      </c>
      <c r="CP92" s="692">
        <v>0</v>
      </c>
      <c r="CQ92" s="689">
        <v>0</v>
      </c>
      <c r="CR92" s="690">
        <v>0</v>
      </c>
      <c r="CS92" s="689">
        <v>0</v>
      </c>
      <c r="CT92" s="690">
        <v>0</v>
      </c>
      <c r="CU92" s="691">
        <v>0</v>
      </c>
      <c r="CV92" s="690">
        <v>0</v>
      </c>
    </row>
    <row r="93" spans="1:100">
      <c r="A93" s="457">
        <v>91</v>
      </c>
      <c r="B93" s="577">
        <v>0</v>
      </c>
      <c r="C93" s="577">
        <v>0</v>
      </c>
      <c r="D93" s="577">
        <v>0</v>
      </c>
      <c r="E93" s="577">
        <v>0</v>
      </c>
      <c r="F93" s="577">
        <v>0</v>
      </c>
      <c r="G93" s="577">
        <v>0</v>
      </c>
      <c r="H93" s="577">
        <v>0</v>
      </c>
      <c r="I93" s="577">
        <v>0</v>
      </c>
      <c r="J93" s="577">
        <v>0</v>
      </c>
      <c r="K93" s="577">
        <v>0</v>
      </c>
      <c r="L93" s="577">
        <v>0</v>
      </c>
      <c r="M93" s="577">
        <v>0</v>
      </c>
      <c r="N93" s="577">
        <v>0</v>
      </c>
      <c r="O93" s="577">
        <v>0</v>
      </c>
      <c r="P93" s="577">
        <v>0</v>
      </c>
      <c r="Q93" s="577">
        <v>0</v>
      </c>
      <c r="R93" s="577">
        <v>0</v>
      </c>
      <c r="S93" s="577">
        <v>0</v>
      </c>
      <c r="T93" s="577">
        <v>0</v>
      </c>
      <c r="U93" s="577">
        <v>0</v>
      </c>
      <c r="V93" s="577">
        <v>0</v>
      </c>
      <c r="W93" s="592">
        <v>0</v>
      </c>
      <c r="X93" s="685">
        <v>0</v>
      </c>
      <c r="Y93" s="685">
        <v>0</v>
      </c>
      <c r="Z93" s="685">
        <v>0</v>
      </c>
      <c r="AA93" s="685">
        <v>0</v>
      </c>
      <c r="AB93" s="685">
        <v>0</v>
      </c>
      <c r="AC93" s="685">
        <v>0</v>
      </c>
      <c r="AD93" s="685">
        <v>0</v>
      </c>
      <c r="AE93" s="910">
        <v>0</v>
      </c>
      <c r="AF93" s="911">
        <v>0</v>
      </c>
      <c r="AG93" s="912">
        <v>0</v>
      </c>
      <c r="AH93" s="685">
        <v>0</v>
      </c>
      <c r="AI93" s="684">
        <v>0</v>
      </c>
      <c r="AJ93" s="682">
        <v>0</v>
      </c>
      <c r="AK93" s="684">
        <v>0</v>
      </c>
      <c r="AL93" s="686">
        <v>0</v>
      </c>
      <c r="AM93" s="682">
        <v>0</v>
      </c>
      <c r="AN93" s="682">
        <v>0</v>
      </c>
      <c r="AO93" s="686">
        <v>0</v>
      </c>
      <c r="AP93" s="687">
        <v>0.02</v>
      </c>
      <c r="AQ93" s="684">
        <f t="shared" si="23"/>
        <v>7.1428571428571426E-3</v>
      </c>
      <c r="AR93" s="682">
        <v>0</v>
      </c>
      <c r="AS93" s="684">
        <v>0</v>
      </c>
      <c r="AT93" s="688">
        <v>2E-3</v>
      </c>
      <c r="AU93" s="682">
        <v>0</v>
      </c>
      <c r="AV93" s="684">
        <v>0</v>
      </c>
      <c r="AW93" s="689">
        <v>0</v>
      </c>
      <c r="AX93" s="690">
        <v>0</v>
      </c>
      <c r="AY93" s="689">
        <v>0</v>
      </c>
      <c r="AZ93" s="690">
        <v>0</v>
      </c>
      <c r="BA93" s="689">
        <v>0</v>
      </c>
      <c r="BB93" s="690">
        <v>0</v>
      </c>
      <c r="BC93" s="691">
        <v>0</v>
      </c>
      <c r="BD93" s="692">
        <v>0</v>
      </c>
      <c r="BE93" s="689">
        <v>0</v>
      </c>
      <c r="BF93" s="690">
        <v>0</v>
      </c>
      <c r="BG93" s="691">
        <v>0</v>
      </c>
      <c r="BH93" s="690">
        <v>0</v>
      </c>
      <c r="BI93" s="691">
        <v>0</v>
      </c>
      <c r="BJ93" s="690">
        <v>0</v>
      </c>
      <c r="BK93" s="691">
        <v>0</v>
      </c>
      <c r="BL93" s="690">
        <v>0</v>
      </c>
      <c r="BM93" s="691">
        <v>0</v>
      </c>
      <c r="BN93" s="690">
        <v>0</v>
      </c>
      <c r="BO93" s="691">
        <v>0</v>
      </c>
      <c r="BP93" s="690">
        <v>0</v>
      </c>
      <c r="BQ93" s="691">
        <v>0</v>
      </c>
      <c r="BR93" s="690">
        <v>0</v>
      </c>
      <c r="BS93" s="691">
        <v>0</v>
      </c>
      <c r="BT93" s="690">
        <v>0</v>
      </c>
      <c r="BU93" s="691">
        <v>0</v>
      </c>
      <c r="BV93" s="690">
        <v>0</v>
      </c>
      <c r="BW93" s="691">
        <v>0</v>
      </c>
      <c r="BX93" s="690">
        <v>0</v>
      </c>
      <c r="BY93" s="691">
        <v>0</v>
      </c>
      <c r="BZ93" s="690">
        <v>0</v>
      </c>
      <c r="CA93" s="691">
        <v>0</v>
      </c>
      <c r="CB93" s="690">
        <v>0</v>
      </c>
      <c r="CC93" s="689">
        <v>0</v>
      </c>
      <c r="CD93" s="692">
        <v>0</v>
      </c>
      <c r="CE93" s="689">
        <v>0</v>
      </c>
      <c r="CF93" s="692">
        <v>0</v>
      </c>
      <c r="CG93" s="689">
        <v>0</v>
      </c>
      <c r="CH93" s="692">
        <v>0</v>
      </c>
      <c r="CI93" s="689">
        <v>0</v>
      </c>
      <c r="CJ93" s="692">
        <v>0</v>
      </c>
      <c r="CK93" s="689">
        <v>0</v>
      </c>
      <c r="CL93" s="692">
        <v>0</v>
      </c>
      <c r="CM93" s="689">
        <v>0</v>
      </c>
      <c r="CN93" s="692">
        <v>0</v>
      </c>
      <c r="CO93" s="689">
        <v>0</v>
      </c>
      <c r="CP93" s="692">
        <v>0</v>
      </c>
      <c r="CQ93" s="689">
        <v>0</v>
      </c>
      <c r="CR93" s="690">
        <v>0</v>
      </c>
      <c r="CS93" s="689">
        <v>0</v>
      </c>
      <c r="CT93" s="690">
        <v>0</v>
      </c>
      <c r="CU93" s="691">
        <v>0</v>
      </c>
      <c r="CV93" s="690">
        <v>0</v>
      </c>
    </row>
    <row r="94" spans="1:100">
      <c r="A94" s="457">
        <v>92</v>
      </c>
      <c r="B94" s="577">
        <v>0</v>
      </c>
      <c r="C94" s="577">
        <v>0</v>
      </c>
      <c r="D94" s="577">
        <v>0</v>
      </c>
      <c r="E94" s="577">
        <v>0</v>
      </c>
      <c r="F94" s="577">
        <v>0</v>
      </c>
      <c r="G94" s="577">
        <v>0</v>
      </c>
      <c r="H94" s="577">
        <v>0</v>
      </c>
      <c r="I94" s="577">
        <v>0</v>
      </c>
      <c r="J94" s="577">
        <v>0</v>
      </c>
      <c r="K94" s="577">
        <v>0</v>
      </c>
      <c r="L94" s="577">
        <v>0</v>
      </c>
      <c r="M94" s="577">
        <v>0</v>
      </c>
      <c r="N94" s="577">
        <v>0</v>
      </c>
      <c r="O94" s="577">
        <v>0</v>
      </c>
      <c r="P94" s="577">
        <v>0</v>
      </c>
      <c r="Q94" s="577">
        <v>0</v>
      </c>
      <c r="R94" s="577">
        <v>0</v>
      </c>
      <c r="S94" s="577">
        <v>0</v>
      </c>
      <c r="T94" s="577">
        <v>0</v>
      </c>
      <c r="U94" s="577">
        <v>0</v>
      </c>
      <c r="V94" s="577">
        <v>0</v>
      </c>
      <c r="W94" s="592">
        <v>0</v>
      </c>
      <c r="X94" s="685">
        <v>0</v>
      </c>
      <c r="Y94" s="685">
        <v>0</v>
      </c>
      <c r="Z94" s="685">
        <v>0</v>
      </c>
      <c r="AA94" s="685">
        <v>0</v>
      </c>
      <c r="AB94" s="685">
        <v>0</v>
      </c>
      <c r="AC94" s="685">
        <v>0</v>
      </c>
      <c r="AD94" s="685">
        <v>0</v>
      </c>
      <c r="AE94" s="910">
        <v>0</v>
      </c>
      <c r="AF94" s="911">
        <v>0</v>
      </c>
      <c r="AG94" s="912">
        <v>0</v>
      </c>
      <c r="AH94" s="685">
        <v>0</v>
      </c>
      <c r="AI94" s="684">
        <v>0</v>
      </c>
      <c r="AJ94" s="682">
        <v>0</v>
      </c>
      <c r="AK94" s="684">
        <v>0</v>
      </c>
      <c r="AL94" s="686">
        <v>0</v>
      </c>
      <c r="AM94" s="682">
        <v>0</v>
      </c>
      <c r="AN94" s="682">
        <v>0</v>
      </c>
      <c r="AO94" s="686">
        <v>0</v>
      </c>
      <c r="AP94" s="687">
        <v>0.02</v>
      </c>
      <c r="AQ94" s="684">
        <f t="shared" si="23"/>
        <v>7.1428571428571426E-3</v>
      </c>
      <c r="AR94" s="682">
        <v>0</v>
      </c>
      <c r="AS94" s="684">
        <v>0</v>
      </c>
      <c r="AT94" s="688">
        <v>2E-3</v>
      </c>
      <c r="AU94" s="682">
        <v>0</v>
      </c>
      <c r="AV94" s="684">
        <v>0</v>
      </c>
      <c r="AW94" s="689">
        <v>0</v>
      </c>
      <c r="AX94" s="690">
        <v>0</v>
      </c>
      <c r="AY94" s="689">
        <v>0</v>
      </c>
      <c r="AZ94" s="690">
        <v>0</v>
      </c>
      <c r="BA94" s="689">
        <v>0</v>
      </c>
      <c r="BB94" s="690">
        <v>0</v>
      </c>
      <c r="BC94" s="691">
        <v>0</v>
      </c>
      <c r="BD94" s="692">
        <v>0</v>
      </c>
      <c r="BE94" s="689">
        <v>0</v>
      </c>
      <c r="BF94" s="690">
        <v>0</v>
      </c>
      <c r="BG94" s="691">
        <v>0</v>
      </c>
      <c r="BH94" s="690">
        <v>0</v>
      </c>
      <c r="BI94" s="691">
        <v>0</v>
      </c>
      <c r="BJ94" s="690">
        <v>0</v>
      </c>
      <c r="BK94" s="691">
        <v>0</v>
      </c>
      <c r="BL94" s="690">
        <v>0</v>
      </c>
      <c r="BM94" s="691">
        <v>0</v>
      </c>
      <c r="BN94" s="690">
        <v>0</v>
      </c>
      <c r="BO94" s="691">
        <v>0</v>
      </c>
      <c r="BP94" s="690">
        <v>0</v>
      </c>
      <c r="BQ94" s="691">
        <v>0</v>
      </c>
      <c r="BR94" s="690">
        <v>0</v>
      </c>
      <c r="BS94" s="691">
        <v>0</v>
      </c>
      <c r="BT94" s="690">
        <v>0</v>
      </c>
      <c r="BU94" s="691">
        <v>0</v>
      </c>
      <c r="BV94" s="690">
        <v>0</v>
      </c>
      <c r="BW94" s="691">
        <v>0</v>
      </c>
      <c r="BX94" s="690">
        <v>0</v>
      </c>
      <c r="BY94" s="691">
        <v>0</v>
      </c>
      <c r="BZ94" s="690">
        <v>0</v>
      </c>
      <c r="CA94" s="691">
        <v>0</v>
      </c>
      <c r="CB94" s="690">
        <v>0</v>
      </c>
      <c r="CC94" s="689">
        <v>0</v>
      </c>
      <c r="CD94" s="692">
        <v>0</v>
      </c>
      <c r="CE94" s="689">
        <v>0</v>
      </c>
      <c r="CF94" s="692">
        <v>0</v>
      </c>
      <c r="CG94" s="689">
        <v>0</v>
      </c>
      <c r="CH94" s="692">
        <v>0</v>
      </c>
      <c r="CI94" s="689">
        <v>0</v>
      </c>
      <c r="CJ94" s="692">
        <v>0</v>
      </c>
      <c r="CK94" s="689">
        <v>0</v>
      </c>
      <c r="CL94" s="692">
        <v>0</v>
      </c>
      <c r="CM94" s="689">
        <v>0</v>
      </c>
      <c r="CN94" s="692">
        <v>0</v>
      </c>
      <c r="CO94" s="689">
        <v>0</v>
      </c>
      <c r="CP94" s="692">
        <v>0</v>
      </c>
      <c r="CQ94" s="689">
        <v>0</v>
      </c>
      <c r="CR94" s="690">
        <v>0</v>
      </c>
      <c r="CS94" s="689">
        <v>0</v>
      </c>
      <c r="CT94" s="690">
        <v>0</v>
      </c>
      <c r="CU94" s="691">
        <v>0</v>
      </c>
      <c r="CV94" s="690">
        <v>0</v>
      </c>
    </row>
    <row r="95" spans="1:100">
      <c r="A95" s="457">
        <v>93</v>
      </c>
      <c r="B95" s="577">
        <v>0</v>
      </c>
      <c r="C95" s="577">
        <v>0</v>
      </c>
      <c r="D95" s="577">
        <v>0</v>
      </c>
      <c r="E95" s="577">
        <v>0</v>
      </c>
      <c r="F95" s="577">
        <v>0</v>
      </c>
      <c r="G95" s="577">
        <v>0</v>
      </c>
      <c r="H95" s="577">
        <v>0</v>
      </c>
      <c r="I95" s="577">
        <v>0</v>
      </c>
      <c r="J95" s="577">
        <v>0</v>
      </c>
      <c r="K95" s="577">
        <v>0</v>
      </c>
      <c r="L95" s="577">
        <v>0</v>
      </c>
      <c r="M95" s="577">
        <v>0</v>
      </c>
      <c r="N95" s="577">
        <v>0</v>
      </c>
      <c r="O95" s="577">
        <v>0</v>
      </c>
      <c r="P95" s="577">
        <v>0</v>
      </c>
      <c r="Q95" s="577">
        <v>0</v>
      </c>
      <c r="R95" s="577">
        <v>0</v>
      </c>
      <c r="S95" s="577">
        <v>0</v>
      </c>
      <c r="T95" s="577">
        <v>0</v>
      </c>
      <c r="U95" s="577">
        <v>0</v>
      </c>
      <c r="V95" s="577">
        <v>0</v>
      </c>
      <c r="W95" s="592">
        <v>0</v>
      </c>
      <c r="X95" s="685">
        <v>0</v>
      </c>
      <c r="Y95" s="685">
        <v>0</v>
      </c>
      <c r="Z95" s="685">
        <v>0</v>
      </c>
      <c r="AA95" s="685">
        <v>0</v>
      </c>
      <c r="AB95" s="685">
        <v>0</v>
      </c>
      <c r="AC95" s="685">
        <v>0</v>
      </c>
      <c r="AD95" s="685">
        <v>0</v>
      </c>
      <c r="AE95" s="910">
        <v>0</v>
      </c>
      <c r="AF95" s="911">
        <v>0</v>
      </c>
      <c r="AG95" s="912">
        <v>0</v>
      </c>
      <c r="AH95" s="685">
        <v>0</v>
      </c>
      <c r="AI95" s="684">
        <v>0</v>
      </c>
      <c r="AJ95" s="682">
        <v>0</v>
      </c>
      <c r="AK95" s="684">
        <v>0</v>
      </c>
      <c r="AL95" s="686">
        <v>0</v>
      </c>
      <c r="AM95" s="682">
        <v>0</v>
      </c>
      <c r="AN95" s="682">
        <v>0</v>
      </c>
      <c r="AO95" s="686">
        <v>0</v>
      </c>
      <c r="AP95" s="687">
        <v>0.02</v>
      </c>
      <c r="AQ95" s="684">
        <f t="shared" si="23"/>
        <v>7.1428571428571426E-3</v>
      </c>
      <c r="AR95" s="682">
        <v>0</v>
      </c>
      <c r="AS95" s="684">
        <v>0</v>
      </c>
      <c r="AT95" s="688">
        <v>2E-3</v>
      </c>
      <c r="AU95" s="682">
        <v>0</v>
      </c>
      <c r="AV95" s="684">
        <v>0</v>
      </c>
      <c r="AW95" s="689">
        <v>0</v>
      </c>
      <c r="AX95" s="690">
        <v>0</v>
      </c>
      <c r="AY95" s="689">
        <v>0</v>
      </c>
      <c r="AZ95" s="690">
        <v>0</v>
      </c>
      <c r="BA95" s="689">
        <v>0</v>
      </c>
      <c r="BB95" s="690">
        <v>0</v>
      </c>
      <c r="BC95" s="691">
        <v>0</v>
      </c>
      <c r="BD95" s="692">
        <v>0</v>
      </c>
      <c r="BE95" s="689">
        <v>0</v>
      </c>
      <c r="BF95" s="690">
        <v>0</v>
      </c>
      <c r="BG95" s="691">
        <v>0</v>
      </c>
      <c r="BH95" s="690">
        <v>0</v>
      </c>
      <c r="BI95" s="691">
        <v>0</v>
      </c>
      <c r="BJ95" s="690">
        <v>0</v>
      </c>
      <c r="BK95" s="691">
        <v>0</v>
      </c>
      <c r="BL95" s="690">
        <v>0</v>
      </c>
      <c r="BM95" s="691">
        <v>0</v>
      </c>
      <c r="BN95" s="690">
        <v>0</v>
      </c>
      <c r="BO95" s="691">
        <v>0</v>
      </c>
      <c r="BP95" s="690">
        <v>0</v>
      </c>
      <c r="BQ95" s="691">
        <v>0</v>
      </c>
      <c r="BR95" s="690">
        <v>0</v>
      </c>
      <c r="BS95" s="691">
        <v>0</v>
      </c>
      <c r="BT95" s="690">
        <v>0</v>
      </c>
      <c r="BU95" s="691">
        <v>0</v>
      </c>
      <c r="BV95" s="690">
        <v>0</v>
      </c>
      <c r="BW95" s="691">
        <v>0</v>
      </c>
      <c r="BX95" s="690">
        <v>0</v>
      </c>
      <c r="BY95" s="691">
        <v>0</v>
      </c>
      <c r="BZ95" s="690">
        <v>0</v>
      </c>
      <c r="CA95" s="691">
        <v>0</v>
      </c>
      <c r="CB95" s="690">
        <v>0</v>
      </c>
      <c r="CC95" s="689">
        <v>0</v>
      </c>
      <c r="CD95" s="692">
        <v>0</v>
      </c>
      <c r="CE95" s="689">
        <v>0</v>
      </c>
      <c r="CF95" s="692">
        <v>0</v>
      </c>
      <c r="CG95" s="689">
        <v>0</v>
      </c>
      <c r="CH95" s="692">
        <v>0</v>
      </c>
      <c r="CI95" s="689">
        <v>0</v>
      </c>
      <c r="CJ95" s="692">
        <v>0</v>
      </c>
      <c r="CK95" s="689">
        <v>0</v>
      </c>
      <c r="CL95" s="692">
        <v>0</v>
      </c>
      <c r="CM95" s="689">
        <v>0</v>
      </c>
      <c r="CN95" s="692">
        <v>0</v>
      </c>
      <c r="CO95" s="689">
        <v>0</v>
      </c>
      <c r="CP95" s="692">
        <v>0</v>
      </c>
      <c r="CQ95" s="689">
        <v>0</v>
      </c>
      <c r="CR95" s="690">
        <v>0</v>
      </c>
      <c r="CS95" s="689">
        <v>0</v>
      </c>
      <c r="CT95" s="690">
        <v>0</v>
      </c>
      <c r="CU95" s="691">
        <v>0</v>
      </c>
      <c r="CV95" s="690">
        <v>0</v>
      </c>
    </row>
    <row r="96" spans="1:100">
      <c r="A96" s="457">
        <v>94</v>
      </c>
      <c r="B96" s="577">
        <v>0</v>
      </c>
      <c r="C96" s="577">
        <v>0</v>
      </c>
      <c r="D96" s="577">
        <v>0</v>
      </c>
      <c r="E96" s="577">
        <v>0</v>
      </c>
      <c r="F96" s="577">
        <v>0</v>
      </c>
      <c r="G96" s="577">
        <v>0</v>
      </c>
      <c r="H96" s="577">
        <v>0</v>
      </c>
      <c r="I96" s="577">
        <v>0</v>
      </c>
      <c r="J96" s="577">
        <v>0</v>
      </c>
      <c r="K96" s="577">
        <v>0</v>
      </c>
      <c r="L96" s="577">
        <v>0</v>
      </c>
      <c r="M96" s="577">
        <v>0</v>
      </c>
      <c r="N96" s="577">
        <v>0</v>
      </c>
      <c r="O96" s="577">
        <v>0</v>
      </c>
      <c r="P96" s="577">
        <v>0</v>
      </c>
      <c r="Q96" s="577">
        <v>0</v>
      </c>
      <c r="R96" s="577">
        <v>0</v>
      </c>
      <c r="S96" s="577">
        <v>0</v>
      </c>
      <c r="T96" s="577">
        <v>0</v>
      </c>
      <c r="U96" s="577">
        <v>0</v>
      </c>
      <c r="V96" s="577">
        <v>0</v>
      </c>
      <c r="W96" s="592">
        <v>0</v>
      </c>
      <c r="X96" s="685">
        <v>0</v>
      </c>
      <c r="Y96" s="685">
        <v>0</v>
      </c>
      <c r="Z96" s="685">
        <v>0</v>
      </c>
      <c r="AA96" s="685">
        <v>0</v>
      </c>
      <c r="AB96" s="685">
        <v>0</v>
      </c>
      <c r="AC96" s="685">
        <v>0</v>
      </c>
      <c r="AD96" s="685">
        <v>0</v>
      </c>
      <c r="AE96" s="910">
        <v>0</v>
      </c>
      <c r="AF96" s="911">
        <v>0</v>
      </c>
      <c r="AG96" s="912">
        <v>0</v>
      </c>
      <c r="AH96" s="685">
        <v>0</v>
      </c>
      <c r="AI96" s="684">
        <v>0</v>
      </c>
      <c r="AJ96" s="682">
        <v>0</v>
      </c>
      <c r="AK96" s="684">
        <v>0</v>
      </c>
      <c r="AL96" s="686">
        <v>0</v>
      </c>
      <c r="AM96" s="682">
        <v>0</v>
      </c>
      <c r="AN96" s="682">
        <v>0</v>
      </c>
      <c r="AO96" s="686">
        <v>0</v>
      </c>
      <c r="AP96" s="687">
        <v>0.02</v>
      </c>
      <c r="AQ96" s="684">
        <f t="shared" si="23"/>
        <v>7.1428571428571426E-3</v>
      </c>
      <c r="AR96" s="682">
        <v>0</v>
      </c>
      <c r="AS96" s="684">
        <v>0</v>
      </c>
      <c r="AT96" s="688">
        <v>2E-3</v>
      </c>
      <c r="AU96" s="682">
        <v>0</v>
      </c>
      <c r="AV96" s="684">
        <v>0</v>
      </c>
      <c r="AW96" s="689">
        <v>0</v>
      </c>
      <c r="AX96" s="690">
        <v>0</v>
      </c>
      <c r="AY96" s="689">
        <v>0</v>
      </c>
      <c r="AZ96" s="690">
        <v>0</v>
      </c>
      <c r="BA96" s="689">
        <v>0</v>
      </c>
      <c r="BB96" s="690">
        <v>0</v>
      </c>
      <c r="BC96" s="691">
        <v>0</v>
      </c>
      <c r="BD96" s="692">
        <v>0</v>
      </c>
      <c r="BE96" s="689">
        <v>0</v>
      </c>
      <c r="BF96" s="690">
        <v>0</v>
      </c>
      <c r="BG96" s="691">
        <v>0</v>
      </c>
      <c r="BH96" s="690">
        <v>0</v>
      </c>
      <c r="BI96" s="691">
        <v>0</v>
      </c>
      <c r="BJ96" s="690">
        <v>0</v>
      </c>
      <c r="BK96" s="691">
        <v>0</v>
      </c>
      <c r="BL96" s="690">
        <v>0</v>
      </c>
      <c r="BM96" s="691">
        <v>0</v>
      </c>
      <c r="BN96" s="690">
        <v>0</v>
      </c>
      <c r="BO96" s="691">
        <v>0</v>
      </c>
      <c r="BP96" s="690">
        <v>0</v>
      </c>
      <c r="BQ96" s="691">
        <v>0</v>
      </c>
      <c r="BR96" s="690">
        <v>0</v>
      </c>
      <c r="BS96" s="691">
        <v>0</v>
      </c>
      <c r="BT96" s="690">
        <v>0</v>
      </c>
      <c r="BU96" s="691">
        <v>0</v>
      </c>
      <c r="BV96" s="690">
        <v>0</v>
      </c>
      <c r="BW96" s="691">
        <v>0</v>
      </c>
      <c r="BX96" s="690">
        <v>0</v>
      </c>
      <c r="BY96" s="691">
        <v>0</v>
      </c>
      <c r="BZ96" s="690">
        <v>0</v>
      </c>
      <c r="CA96" s="691">
        <v>0</v>
      </c>
      <c r="CB96" s="690">
        <v>0</v>
      </c>
      <c r="CC96" s="689">
        <v>0</v>
      </c>
      <c r="CD96" s="692">
        <v>0</v>
      </c>
      <c r="CE96" s="689">
        <v>0</v>
      </c>
      <c r="CF96" s="692">
        <v>0</v>
      </c>
      <c r="CG96" s="689">
        <v>0</v>
      </c>
      <c r="CH96" s="692">
        <v>0</v>
      </c>
      <c r="CI96" s="689">
        <v>0</v>
      </c>
      <c r="CJ96" s="692">
        <v>0</v>
      </c>
      <c r="CK96" s="689">
        <v>0</v>
      </c>
      <c r="CL96" s="692">
        <v>0</v>
      </c>
      <c r="CM96" s="689">
        <v>0</v>
      </c>
      <c r="CN96" s="692">
        <v>0</v>
      </c>
      <c r="CO96" s="689">
        <v>0</v>
      </c>
      <c r="CP96" s="692">
        <v>0</v>
      </c>
      <c r="CQ96" s="689">
        <v>0</v>
      </c>
      <c r="CR96" s="690">
        <v>0</v>
      </c>
      <c r="CS96" s="689">
        <v>0</v>
      </c>
      <c r="CT96" s="690">
        <v>0</v>
      </c>
      <c r="CU96" s="691">
        <v>0</v>
      </c>
      <c r="CV96" s="690">
        <v>0</v>
      </c>
    </row>
    <row r="97" spans="1:100">
      <c r="A97" s="457">
        <v>95</v>
      </c>
      <c r="B97" s="577">
        <v>0</v>
      </c>
      <c r="C97" s="577">
        <v>0</v>
      </c>
      <c r="D97" s="577">
        <v>0</v>
      </c>
      <c r="E97" s="577">
        <v>0</v>
      </c>
      <c r="F97" s="577">
        <v>0</v>
      </c>
      <c r="G97" s="577">
        <v>0</v>
      </c>
      <c r="H97" s="577">
        <v>0</v>
      </c>
      <c r="I97" s="577">
        <v>0</v>
      </c>
      <c r="J97" s="577">
        <v>0</v>
      </c>
      <c r="K97" s="577">
        <v>0</v>
      </c>
      <c r="L97" s="577">
        <v>0</v>
      </c>
      <c r="M97" s="577">
        <v>0</v>
      </c>
      <c r="N97" s="577">
        <v>0</v>
      </c>
      <c r="O97" s="577">
        <v>0</v>
      </c>
      <c r="P97" s="577">
        <v>0</v>
      </c>
      <c r="Q97" s="577">
        <v>0</v>
      </c>
      <c r="R97" s="577">
        <v>0</v>
      </c>
      <c r="S97" s="577">
        <v>0</v>
      </c>
      <c r="T97" s="577">
        <v>0</v>
      </c>
      <c r="U97" s="577">
        <v>0</v>
      </c>
      <c r="V97" s="577">
        <v>0</v>
      </c>
      <c r="W97" s="592">
        <v>0</v>
      </c>
      <c r="X97" s="685">
        <v>0</v>
      </c>
      <c r="Y97" s="685">
        <v>0</v>
      </c>
      <c r="Z97" s="685">
        <v>0</v>
      </c>
      <c r="AA97" s="685">
        <v>0</v>
      </c>
      <c r="AB97" s="685">
        <v>0</v>
      </c>
      <c r="AC97" s="685">
        <v>0</v>
      </c>
      <c r="AD97" s="685">
        <v>0</v>
      </c>
      <c r="AE97" s="910">
        <v>0</v>
      </c>
      <c r="AF97" s="911">
        <v>0</v>
      </c>
      <c r="AG97" s="912">
        <v>0</v>
      </c>
      <c r="AH97" s="685">
        <v>0</v>
      </c>
      <c r="AI97" s="684">
        <v>0</v>
      </c>
      <c r="AJ97" s="682">
        <v>0</v>
      </c>
      <c r="AK97" s="684">
        <v>0</v>
      </c>
      <c r="AL97" s="686">
        <v>0</v>
      </c>
      <c r="AM97" s="682">
        <v>0</v>
      </c>
      <c r="AN97" s="682">
        <v>0</v>
      </c>
      <c r="AO97" s="686">
        <v>0</v>
      </c>
      <c r="AP97" s="687">
        <v>0.02</v>
      </c>
      <c r="AQ97" s="684">
        <f t="shared" si="23"/>
        <v>7.1428571428571426E-3</v>
      </c>
      <c r="AR97" s="682">
        <v>0</v>
      </c>
      <c r="AS97" s="684">
        <v>0</v>
      </c>
      <c r="AT97" s="688">
        <v>2E-3</v>
      </c>
      <c r="AU97" s="682">
        <v>0</v>
      </c>
      <c r="AV97" s="684">
        <v>0</v>
      </c>
      <c r="AW97" s="689">
        <v>0</v>
      </c>
      <c r="AX97" s="690">
        <v>0</v>
      </c>
      <c r="AY97" s="689">
        <v>0</v>
      </c>
      <c r="AZ97" s="690">
        <v>0</v>
      </c>
      <c r="BA97" s="689">
        <v>0</v>
      </c>
      <c r="BB97" s="690">
        <v>0</v>
      </c>
      <c r="BC97" s="691">
        <v>0</v>
      </c>
      <c r="BD97" s="692">
        <v>0</v>
      </c>
      <c r="BE97" s="689">
        <v>0</v>
      </c>
      <c r="BF97" s="690">
        <v>0</v>
      </c>
      <c r="BG97" s="691">
        <v>0</v>
      </c>
      <c r="BH97" s="690">
        <v>0</v>
      </c>
      <c r="BI97" s="691">
        <v>0</v>
      </c>
      <c r="BJ97" s="690">
        <v>0</v>
      </c>
      <c r="BK97" s="691">
        <v>0</v>
      </c>
      <c r="BL97" s="690">
        <v>0</v>
      </c>
      <c r="BM97" s="691">
        <v>0</v>
      </c>
      <c r="BN97" s="690">
        <v>0</v>
      </c>
      <c r="BO97" s="691">
        <v>0</v>
      </c>
      <c r="BP97" s="690">
        <v>0</v>
      </c>
      <c r="BQ97" s="691">
        <v>0</v>
      </c>
      <c r="BR97" s="690">
        <v>0</v>
      </c>
      <c r="BS97" s="691">
        <v>0</v>
      </c>
      <c r="BT97" s="690">
        <v>0</v>
      </c>
      <c r="BU97" s="691">
        <v>0</v>
      </c>
      <c r="BV97" s="690">
        <v>0</v>
      </c>
      <c r="BW97" s="691">
        <v>0</v>
      </c>
      <c r="BX97" s="690">
        <v>0</v>
      </c>
      <c r="BY97" s="691">
        <v>0</v>
      </c>
      <c r="BZ97" s="690">
        <v>0</v>
      </c>
      <c r="CA97" s="691">
        <v>0</v>
      </c>
      <c r="CB97" s="690">
        <v>0</v>
      </c>
      <c r="CC97" s="689">
        <v>0</v>
      </c>
      <c r="CD97" s="692">
        <v>0</v>
      </c>
      <c r="CE97" s="689">
        <v>0</v>
      </c>
      <c r="CF97" s="692">
        <v>0</v>
      </c>
      <c r="CG97" s="689">
        <v>0</v>
      </c>
      <c r="CH97" s="692">
        <v>0</v>
      </c>
      <c r="CI97" s="689">
        <v>0</v>
      </c>
      <c r="CJ97" s="692">
        <v>0</v>
      </c>
      <c r="CK97" s="689">
        <v>0</v>
      </c>
      <c r="CL97" s="692">
        <v>0</v>
      </c>
      <c r="CM97" s="689">
        <v>0</v>
      </c>
      <c r="CN97" s="692">
        <v>0</v>
      </c>
      <c r="CO97" s="689">
        <v>0</v>
      </c>
      <c r="CP97" s="692">
        <v>0</v>
      </c>
      <c r="CQ97" s="689">
        <v>0</v>
      </c>
      <c r="CR97" s="690">
        <v>0</v>
      </c>
      <c r="CS97" s="689">
        <v>0</v>
      </c>
      <c r="CT97" s="690">
        <v>0</v>
      </c>
      <c r="CU97" s="691">
        <v>0</v>
      </c>
      <c r="CV97" s="690">
        <v>0</v>
      </c>
    </row>
    <row r="98" spans="1:100">
      <c r="A98" s="457">
        <v>96</v>
      </c>
      <c r="B98" s="577">
        <v>0</v>
      </c>
      <c r="C98" s="577">
        <v>0</v>
      </c>
      <c r="D98" s="577">
        <v>0</v>
      </c>
      <c r="E98" s="577">
        <v>0</v>
      </c>
      <c r="F98" s="577">
        <v>0</v>
      </c>
      <c r="G98" s="577">
        <v>0</v>
      </c>
      <c r="H98" s="577">
        <v>0</v>
      </c>
      <c r="I98" s="577">
        <v>0</v>
      </c>
      <c r="J98" s="577">
        <v>0</v>
      </c>
      <c r="K98" s="577">
        <v>0</v>
      </c>
      <c r="L98" s="577">
        <v>0</v>
      </c>
      <c r="M98" s="577">
        <v>0</v>
      </c>
      <c r="N98" s="577">
        <v>0</v>
      </c>
      <c r="O98" s="577">
        <v>0</v>
      </c>
      <c r="P98" s="577">
        <v>0</v>
      </c>
      <c r="Q98" s="577">
        <v>0</v>
      </c>
      <c r="R98" s="577">
        <v>0</v>
      </c>
      <c r="S98" s="577">
        <v>0</v>
      </c>
      <c r="T98" s="577">
        <v>0</v>
      </c>
      <c r="U98" s="577">
        <v>0</v>
      </c>
      <c r="V98" s="577">
        <v>0</v>
      </c>
      <c r="W98" s="592">
        <v>0</v>
      </c>
      <c r="X98" s="685">
        <v>0</v>
      </c>
      <c r="Y98" s="685">
        <v>0</v>
      </c>
      <c r="Z98" s="685">
        <v>0</v>
      </c>
      <c r="AA98" s="685">
        <v>0</v>
      </c>
      <c r="AB98" s="685">
        <v>0</v>
      </c>
      <c r="AC98" s="685">
        <v>0</v>
      </c>
      <c r="AD98" s="685">
        <v>0</v>
      </c>
      <c r="AE98" s="910">
        <v>0</v>
      </c>
      <c r="AF98" s="911">
        <v>0</v>
      </c>
      <c r="AG98" s="912">
        <v>0</v>
      </c>
      <c r="AH98" s="685">
        <v>0</v>
      </c>
      <c r="AI98" s="684">
        <v>0</v>
      </c>
      <c r="AJ98" s="682">
        <v>0</v>
      </c>
      <c r="AK98" s="684">
        <v>0</v>
      </c>
      <c r="AL98" s="686">
        <v>0</v>
      </c>
      <c r="AM98" s="682">
        <v>0</v>
      </c>
      <c r="AN98" s="682">
        <v>0</v>
      </c>
      <c r="AO98" s="686">
        <v>0</v>
      </c>
      <c r="AP98" s="687">
        <v>0.02</v>
      </c>
      <c r="AQ98" s="684">
        <f t="shared" si="23"/>
        <v>7.1428571428571426E-3</v>
      </c>
      <c r="AR98" s="682">
        <v>0</v>
      </c>
      <c r="AS98" s="684">
        <v>0</v>
      </c>
      <c r="AT98" s="688">
        <v>2E-3</v>
      </c>
      <c r="AU98" s="682">
        <v>0</v>
      </c>
      <c r="AV98" s="684">
        <v>0</v>
      </c>
      <c r="AW98" s="689">
        <v>0</v>
      </c>
      <c r="AX98" s="690">
        <v>0</v>
      </c>
      <c r="AY98" s="689">
        <v>0</v>
      </c>
      <c r="AZ98" s="690">
        <v>0</v>
      </c>
      <c r="BA98" s="689">
        <v>0</v>
      </c>
      <c r="BB98" s="690">
        <v>0</v>
      </c>
      <c r="BC98" s="691">
        <v>0</v>
      </c>
      <c r="BD98" s="692">
        <v>0</v>
      </c>
      <c r="BE98" s="689">
        <v>0</v>
      </c>
      <c r="BF98" s="690">
        <v>0</v>
      </c>
      <c r="BG98" s="691">
        <v>0</v>
      </c>
      <c r="BH98" s="690">
        <v>0</v>
      </c>
      <c r="BI98" s="691">
        <v>0</v>
      </c>
      <c r="BJ98" s="690">
        <v>0</v>
      </c>
      <c r="BK98" s="691">
        <v>0</v>
      </c>
      <c r="BL98" s="690">
        <v>0</v>
      </c>
      <c r="BM98" s="691">
        <v>0</v>
      </c>
      <c r="BN98" s="690">
        <v>0</v>
      </c>
      <c r="BO98" s="691">
        <v>0</v>
      </c>
      <c r="BP98" s="690">
        <v>0</v>
      </c>
      <c r="BQ98" s="691">
        <v>0</v>
      </c>
      <c r="BR98" s="690">
        <v>0</v>
      </c>
      <c r="BS98" s="691">
        <v>0</v>
      </c>
      <c r="BT98" s="690">
        <v>0</v>
      </c>
      <c r="BU98" s="691">
        <v>0</v>
      </c>
      <c r="BV98" s="690">
        <v>0</v>
      </c>
      <c r="BW98" s="691">
        <v>0</v>
      </c>
      <c r="BX98" s="690">
        <v>0</v>
      </c>
      <c r="BY98" s="691">
        <v>0</v>
      </c>
      <c r="BZ98" s="690">
        <v>0</v>
      </c>
      <c r="CA98" s="691">
        <v>0</v>
      </c>
      <c r="CB98" s="690">
        <v>0</v>
      </c>
      <c r="CC98" s="689">
        <v>0</v>
      </c>
      <c r="CD98" s="692">
        <v>0</v>
      </c>
      <c r="CE98" s="689">
        <v>0</v>
      </c>
      <c r="CF98" s="692">
        <v>0</v>
      </c>
      <c r="CG98" s="689">
        <v>0</v>
      </c>
      <c r="CH98" s="692">
        <v>0</v>
      </c>
      <c r="CI98" s="689">
        <v>0</v>
      </c>
      <c r="CJ98" s="692">
        <v>0</v>
      </c>
      <c r="CK98" s="689">
        <v>0</v>
      </c>
      <c r="CL98" s="692">
        <v>0</v>
      </c>
      <c r="CM98" s="689">
        <v>0</v>
      </c>
      <c r="CN98" s="692">
        <v>0</v>
      </c>
      <c r="CO98" s="689">
        <v>0</v>
      </c>
      <c r="CP98" s="692">
        <v>0</v>
      </c>
      <c r="CQ98" s="689">
        <v>0</v>
      </c>
      <c r="CR98" s="690">
        <v>0</v>
      </c>
      <c r="CS98" s="689">
        <v>0</v>
      </c>
      <c r="CT98" s="690">
        <v>0</v>
      </c>
      <c r="CU98" s="691">
        <v>0</v>
      </c>
      <c r="CV98" s="690">
        <v>0</v>
      </c>
    </row>
    <row r="99" spans="1:100">
      <c r="A99" s="457">
        <v>97</v>
      </c>
      <c r="B99" s="577">
        <v>0</v>
      </c>
      <c r="C99" s="577">
        <v>0</v>
      </c>
      <c r="D99" s="577">
        <v>0</v>
      </c>
      <c r="E99" s="577">
        <v>0</v>
      </c>
      <c r="F99" s="577">
        <v>0</v>
      </c>
      <c r="G99" s="577">
        <v>0</v>
      </c>
      <c r="H99" s="577">
        <v>0</v>
      </c>
      <c r="I99" s="577">
        <v>0</v>
      </c>
      <c r="J99" s="577">
        <v>0</v>
      </c>
      <c r="K99" s="577">
        <v>0</v>
      </c>
      <c r="L99" s="577">
        <v>0</v>
      </c>
      <c r="M99" s="577">
        <v>0</v>
      </c>
      <c r="N99" s="577">
        <v>0</v>
      </c>
      <c r="O99" s="577">
        <v>0</v>
      </c>
      <c r="P99" s="577">
        <v>0</v>
      </c>
      <c r="Q99" s="577">
        <v>0</v>
      </c>
      <c r="R99" s="577">
        <v>0</v>
      </c>
      <c r="S99" s="577">
        <v>0</v>
      </c>
      <c r="T99" s="577">
        <v>0</v>
      </c>
      <c r="U99" s="577">
        <v>0</v>
      </c>
      <c r="V99" s="577">
        <v>0</v>
      </c>
      <c r="W99" s="592">
        <v>0</v>
      </c>
      <c r="X99" s="685">
        <v>0</v>
      </c>
      <c r="Y99" s="685">
        <v>0</v>
      </c>
      <c r="Z99" s="685">
        <v>0</v>
      </c>
      <c r="AA99" s="685">
        <v>0</v>
      </c>
      <c r="AB99" s="685">
        <v>0</v>
      </c>
      <c r="AC99" s="685">
        <v>0</v>
      </c>
      <c r="AD99" s="685">
        <v>0</v>
      </c>
      <c r="AE99" s="910">
        <v>0</v>
      </c>
      <c r="AF99" s="911">
        <v>0</v>
      </c>
      <c r="AG99" s="912">
        <v>0</v>
      </c>
      <c r="AH99" s="685">
        <v>0</v>
      </c>
      <c r="AI99" s="684">
        <v>0</v>
      </c>
      <c r="AJ99" s="682">
        <v>0</v>
      </c>
      <c r="AK99" s="684">
        <v>0</v>
      </c>
      <c r="AL99" s="686">
        <v>0</v>
      </c>
      <c r="AM99" s="682">
        <v>0</v>
      </c>
      <c r="AN99" s="682">
        <v>0</v>
      </c>
      <c r="AO99" s="686">
        <v>0</v>
      </c>
      <c r="AP99" s="687">
        <v>0.02</v>
      </c>
      <c r="AQ99" s="684">
        <f t="shared" si="23"/>
        <v>7.1428571428571426E-3</v>
      </c>
      <c r="AR99" s="682">
        <v>0</v>
      </c>
      <c r="AS99" s="684">
        <v>0</v>
      </c>
      <c r="AT99" s="688">
        <v>2E-3</v>
      </c>
      <c r="AU99" s="682">
        <v>0</v>
      </c>
      <c r="AV99" s="684">
        <v>0</v>
      </c>
      <c r="AW99" s="689">
        <v>0</v>
      </c>
      <c r="AX99" s="690">
        <v>0</v>
      </c>
      <c r="AY99" s="689">
        <v>0</v>
      </c>
      <c r="AZ99" s="690">
        <v>0</v>
      </c>
      <c r="BA99" s="689">
        <v>0</v>
      </c>
      <c r="BB99" s="690">
        <v>0</v>
      </c>
      <c r="BC99" s="691">
        <v>0</v>
      </c>
      <c r="BD99" s="692">
        <v>0</v>
      </c>
      <c r="BE99" s="689">
        <v>0</v>
      </c>
      <c r="BF99" s="690">
        <v>0</v>
      </c>
      <c r="BG99" s="691">
        <v>0</v>
      </c>
      <c r="BH99" s="690">
        <v>0</v>
      </c>
      <c r="BI99" s="691">
        <v>0</v>
      </c>
      <c r="BJ99" s="690">
        <v>0</v>
      </c>
      <c r="BK99" s="691">
        <v>0</v>
      </c>
      <c r="BL99" s="690">
        <v>0</v>
      </c>
      <c r="BM99" s="691">
        <v>0</v>
      </c>
      <c r="BN99" s="690">
        <v>0</v>
      </c>
      <c r="BO99" s="691">
        <v>0</v>
      </c>
      <c r="BP99" s="690">
        <v>0</v>
      </c>
      <c r="BQ99" s="691">
        <v>0</v>
      </c>
      <c r="BR99" s="690">
        <v>0</v>
      </c>
      <c r="BS99" s="691">
        <v>0</v>
      </c>
      <c r="BT99" s="690">
        <v>0</v>
      </c>
      <c r="BU99" s="691">
        <v>0</v>
      </c>
      <c r="BV99" s="690">
        <v>0</v>
      </c>
      <c r="BW99" s="691">
        <v>0</v>
      </c>
      <c r="BX99" s="690">
        <v>0</v>
      </c>
      <c r="BY99" s="691">
        <v>0</v>
      </c>
      <c r="BZ99" s="690">
        <v>0</v>
      </c>
      <c r="CA99" s="691">
        <v>0</v>
      </c>
      <c r="CB99" s="690">
        <v>0</v>
      </c>
      <c r="CC99" s="689">
        <v>0</v>
      </c>
      <c r="CD99" s="692">
        <v>0</v>
      </c>
      <c r="CE99" s="689">
        <v>0</v>
      </c>
      <c r="CF99" s="692">
        <v>0</v>
      </c>
      <c r="CG99" s="689">
        <v>0</v>
      </c>
      <c r="CH99" s="692">
        <v>0</v>
      </c>
      <c r="CI99" s="689">
        <v>0</v>
      </c>
      <c r="CJ99" s="692">
        <v>0</v>
      </c>
      <c r="CK99" s="689">
        <v>0</v>
      </c>
      <c r="CL99" s="692">
        <v>0</v>
      </c>
      <c r="CM99" s="689">
        <v>0</v>
      </c>
      <c r="CN99" s="692">
        <v>0</v>
      </c>
      <c r="CO99" s="689">
        <v>0</v>
      </c>
      <c r="CP99" s="692">
        <v>0</v>
      </c>
      <c r="CQ99" s="689">
        <v>0</v>
      </c>
      <c r="CR99" s="690">
        <v>0</v>
      </c>
      <c r="CS99" s="689">
        <v>0</v>
      </c>
      <c r="CT99" s="690">
        <v>0</v>
      </c>
      <c r="CU99" s="691">
        <v>0</v>
      </c>
      <c r="CV99" s="690">
        <v>0</v>
      </c>
    </row>
    <row r="100" spans="1:100">
      <c r="A100" s="457">
        <v>98</v>
      </c>
      <c r="B100" s="577">
        <v>0</v>
      </c>
      <c r="C100" s="577">
        <v>0</v>
      </c>
      <c r="D100" s="577">
        <v>0</v>
      </c>
      <c r="E100" s="577">
        <v>0</v>
      </c>
      <c r="F100" s="577">
        <v>0</v>
      </c>
      <c r="G100" s="577">
        <v>0</v>
      </c>
      <c r="H100" s="577">
        <v>0</v>
      </c>
      <c r="I100" s="577">
        <v>0</v>
      </c>
      <c r="J100" s="577">
        <v>0</v>
      </c>
      <c r="K100" s="577">
        <v>0</v>
      </c>
      <c r="L100" s="577">
        <v>0</v>
      </c>
      <c r="M100" s="577">
        <v>0</v>
      </c>
      <c r="N100" s="577">
        <v>0</v>
      </c>
      <c r="O100" s="577">
        <v>0</v>
      </c>
      <c r="P100" s="577">
        <v>0</v>
      </c>
      <c r="Q100" s="577">
        <v>0</v>
      </c>
      <c r="R100" s="577">
        <v>0</v>
      </c>
      <c r="S100" s="577">
        <v>0</v>
      </c>
      <c r="T100" s="577">
        <v>0</v>
      </c>
      <c r="U100" s="577">
        <v>0</v>
      </c>
      <c r="V100" s="577">
        <v>0</v>
      </c>
      <c r="W100" s="592">
        <v>0</v>
      </c>
      <c r="X100" s="685">
        <v>0</v>
      </c>
      <c r="Y100" s="685">
        <v>0</v>
      </c>
      <c r="Z100" s="685">
        <v>0</v>
      </c>
      <c r="AA100" s="685">
        <v>0</v>
      </c>
      <c r="AB100" s="685">
        <v>0</v>
      </c>
      <c r="AC100" s="685">
        <v>0</v>
      </c>
      <c r="AD100" s="685">
        <v>0</v>
      </c>
      <c r="AE100" s="910">
        <v>0</v>
      </c>
      <c r="AF100" s="911">
        <v>0</v>
      </c>
      <c r="AG100" s="912">
        <v>0</v>
      </c>
      <c r="AH100" s="685">
        <v>0</v>
      </c>
      <c r="AI100" s="684">
        <v>0</v>
      </c>
      <c r="AJ100" s="682">
        <v>0</v>
      </c>
      <c r="AK100" s="684">
        <v>0</v>
      </c>
      <c r="AL100" s="686">
        <v>0</v>
      </c>
      <c r="AM100" s="682">
        <v>0</v>
      </c>
      <c r="AN100" s="682">
        <v>0</v>
      </c>
      <c r="AO100" s="686">
        <v>0</v>
      </c>
      <c r="AP100" s="687">
        <v>0.02</v>
      </c>
      <c r="AQ100" s="684">
        <f t="shared" si="23"/>
        <v>7.1428571428571426E-3</v>
      </c>
      <c r="AR100" s="682">
        <v>0</v>
      </c>
      <c r="AS100" s="684">
        <v>0</v>
      </c>
      <c r="AT100" s="688">
        <v>2E-3</v>
      </c>
      <c r="AU100" s="682">
        <v>0</v>
      </c>
      <c r="AV100" s="684">
        <v>0</v>
      </c>
      <c r="AW100" s="689">
        <v>0</v>
      </c>
      <c r="AX100" s="690">
        <v>0</v>
      </c>
      <c r="AY100" s="689">
        <v>0</v>
      </c>
      <c r="AZ100" s="690">
        <v>0</v>
      </c>
      <c r="BA100" s="689">
        <v>0</v>
      </c>
      <c r="BB100" s="690">
        <v>0</v>
      </c>
      <c r="BC100" s="691">
        <v>0</v>
      </c>
      <c r="BD100" s="692">
        <v>0</v>
      </c>
      <c r="BE100" s="689">
        <v>0</v>
      </c>
      <c r="BF100" s="690">
        <v>0</v>
      </c>
      <c r="BG100" s="691">
        <v>0</v>
      </c>
      <c r="BH100" s="690">
        <v>0</v>
      </c>
      <c r="BI100" s="691">
        <v>0</v>
      </c>
      <c r="BJ100" s="690">
        <v>0</v>
      </c>
      <c r="BK100" s="691">
        <v>0</v>
      </c>
      <c r="BL100" s="690">
        <v>0</v>
      </c>
      <c r="BM100" s="691">
        <v>0</v>
      </c>
      <c r="BN100" s="690">
        <v>0</v>
      </c>
      <c r="BO100" s="691">
        <v>0</v>
      </c>
      <c r="BP100" s="690">
        <v>0</v>
      </c>
      <c r="BQ100" s="691">
        <v>0</v>
      </c>
      <c r="BR100" s="690">
        <v>0</v>
      </c>
      <c r="BS100" s="691">
        <v>0</v>
      </c>
      <c r="BT100" s="690">
        <v>0</v>
      </c>
      <c r="BU100" s="691">
        <v>0</v>
      </c>
      <c r="BV100" s="690">
        <v>0</v>
      </c>
      <c r="BW100" s="691">
        <v>0</v>
      </c>
      <c r="BX100" s="690">
        <v>0</v>
      </c>
      <c r="BY100" s="691">
        <v>0</v>
      </c>
      <c r="BZ100" s="690">
        <v>0</v>
      </c>
      <c r="CA100" s="691">
        <v>0</v>
      </c>
      <c r="CB100" s="690">
        <v>0</v>
      </c>
      <c r="CC100" s="689">
        <v>0</v>
      </c>
      <c r="CD100" s="692">
        <v>0</v>
      </c>
      <c r="CE100" s="689">
        <v>0</v>
      </c>
      <c r="CF100" s="692">
        <v>0</v>
      </c>
      <c r="CG100" s="689">
        <v>0</v>
      </c>
      <c r="CH100" s="692">
        <v>0</v>
      </c>
      <c r="CI100" s="689">
        <v>0</v>
      </c>
      <c r="CJ100" s="692">
        <v>0</v>
      </c>
      <c r="CK100" s="689">
        <v>0</v>
      </c>
      <c r="CL100" s="692">
        <v>0</v>
      </c>
      <c r="CM100" s="689">
        <v>0</v>
      </c>
      <c r="CN100" s="692">
        <v>0</v>
      </c>
      <c r="CO100" s="689">
        <v>0</v>
      </c>
      <c r="CP100" s="692">
        <v>0</v>
      </c>
      <c r="CQ100" s="689">
        <v>0</v>
      </c>
      <c r="CR100" s="690">
        <v>0</v>
      </c>
      <c r="CS100" s="689">
        <v>0</v>
      </c>
      <c r="CT100" s="690">
        <v>0</v>
      </c>
      <c r="CU100" s="691">
        <v>0</v>
      </c>
      <c r="CV100" s="690">
        <v>0</v>
      </c>
    </row>
    <row r="101" spans="1:100">
      <c r="A101" s="457">
        <v>99</v>
      </c>
      <c r="B101" s="577">
        <v>0</v>
      </c>
      <c r="C101" s="577">
        <v>0</v>
      </c>
      <c r="D101" s="577">
        <v>0</v>
      </c>
      <c r="E101" s="577">
        <v>0</v>
      </c>
      <c r="F101" s="577">
        <v>0</v>
      </c>
      <c r="G101" s="577">
        <v>0</v>
      </c>
      <c r="H101" s="577">
        <v>0</v>
      </c>
      <c r="I101" s="577">
        <v>0</v>
      </c>
      <c r="J101" s="577">
        <v>0</v>
      </c>
      <c r="K101" s="577">
        <v>0</v>
      </c>
      <c r="L101" s="577">
        <v>0</v>
      </c>
      <c r="M101" s="577">
        <v>0</v>
      </c>
      <c r="N101" s="577">
        <v>0</v>
      </c>
      <c r="O101" s="577">
        <v>0</v>
      </c>
      <c r="P101" s="577">
        <v>0</v>
      </c>
      <c r="Q101" s="577">
        <v>0</v>
      </c>
      <c r="R101" s="577">
        <v>0</v>
      </c>
      <c r="S101" s="577">
        <v>0</v>
      </c>
      <c r="T101" s="577">
        <v>0</v>
      </c>
      <c r="U101" s="577">
        <v>0</v>
      </c>
      <c r="V101" s="577">
        <v>0</v>
      </c>
      <c r="W101" s="592">
        <v>0</v>
      </c>
      <c r="X101" s="685">
        <v>0</v>
      </c>
      <c r="Y101" s="685">
        <v>0</v>
      </c>
      <c r="Z101" s="685">
        <v>0</v>
      </c>
      <c r="AA101" s="685">
        <v>0</v>
      </c>
      <c r="AB101" s="685">
        <v>0</v>
      </c>
      <c r="AC101" s="685">
        <v>0</v>
      </c>
      <c r="AD101" s="685">
        <v>0</v>
      </c>
      <c r="AE101" s="910">
        <v>0</v>
      </c>
      <c r="AF101" s="911">
        <v>0</v>
      </c>
      <c r="AG101" s="912">
        <v>0</v>
      </c>
      <c r="AH101" s="685">
        <v>0</v>
      </c>
      <c r="AI101" s="684">
        <v>0</v>
      </c>
      <c r="AJ101" s="682">
        <v>0</v>
      </c>
      <c r="AK101" s="684">
        <v>0</v>
      </c>
      <c r="AL101" s="686">
        <v>0</v>
      </c>
      <c r="AM101" s="682">
        <v>0</v>
      </c>
      <c r="AN101" s="682">
        <v>0</v>
      </c>
      <c r="AO101" s="686">
        <v>0</v>
      </c>
      <c r="AP101" s="687">
        <v>0.02</v>
      </c>
      <c r="AQ101" s="684">
        <f t="shared" si="23"/>
        <v>7.1428571428571426E-3</v>
      </c>
      <c r="AR101" s="682">
        <v>0</v>
      </c>
      <c r="AS101" s="684">
        <v>0</v>
      </c>
      <c r="AT101" s="688">
        <v>2E-3</v>
      </c>
      <c r="AU101" s="682">
        <v>0</v>
      </c>
      <c r="AV101" s="684">
        <v>0</v>
      </c>
      <c r="AW101" s="689">
        <v>0</v>
      </c>
      <c r="AX101" s="690">
        <v>0</v>
      </c>
      <c r="AY101" s="689">
        <v>0</v>
      </c>
      <c r="AZ101" s="690">
        <v>0</v>
      </c>
      <c r="BA101" s="689">
        <v>0</v>
      </c>
      <c r="BB101" s="690">
        <v>0</v>
      </c>
      <c r="BC101" s="691">
        <v>0</v>
      </c>
      <c r="BD101" s="692">
        <v>0</v>
      </c>
      <c r="BE101" s="689">
        <v>0</v>
      </c>
      <c r="BF101" s="690">
        <v>0</v>
      </c>
      <c r="BG101" s="691">
        <v>0</v>
      </c>
      <c r="BH101" s="690">
        <v>0</v>
      </c>
      <c r="BI101" s="691">
        <v>0</v>
      </c>
      <c r="BJ101" s="690">
        <v>0</v>
      </c>
      <c r="BK101" s="691">
        <v>0</v>
      </c>
      <c r="BL101" s="690">
        <v>0</v>
      </c>
      <c r="BM101" s="691">
        <v>0</v>
      </c>
      <c r="BN101" s="690">
        <v>0</v>
      </c>
      <c r="BO101" s="691">
        <v>0</v>
      </c>
      <c r="BP101" s="690">
        <v>0</v>
      </c>
      <c r="BQ101" s="691">
        <v>0</v>
      </c>
      <c r="BR101" s="690">
        <v>0</v>
      </c>
      <c r="BS101" s="691">
        <v>0</v>
      </c>
      <c r="BT101" s="690">
        <v>0</v>
      </c>
      <c r="BU101" s="691">
        <v>0</v>
      </c>
      <c r="BV101" s="690">
        <v>0</v>
      </c>
      <c r="BW101" s="691">
        <v>0</v>
      </c>
      <c r="BX101" s="690">
        <v>0</v>
      </c>
      <c r="BY101" s="691">
        <v>0</v>
      </c>
      <c r="BZ101" s="690">
        <v>0</v>
      </c>
      <c r="CA101" s="691">
        <v>0</v>
      </c>
      <c r="CB101" s="690">
        <v>0</v>
      </c>
      <c r="CC101" s="689">
        <v>0</v>
      </c>
      <c r="CD101" s="692">
        <v>0</v>
      </c>
      <c r="CE101" s="689">
        <v>0</v>
      </c>
      <c r="CF101" s="692">
        <v>0</v>
      </c>
      <c r="CG101" s="689">
        <v>0</v>
      </c>
      <c r="CH101" s="692">
        <v>0</v>
      </c>
      <c r="CI101" s="689">
        <v>0</v>
      </c>
      <c r="CJ101" s="692">
        <v>0</v>
      </c>
      <c r="CK101" s="689">
        <v>0</v>
      </c>
      <c r="CL101" s="692">
        <v>0</v>
      </c>
      <c r="CM101" s="689">
        <v>0</v>
      </c>
      <c r="CN101" s="692">
        <v>0</v>
      </c>
      <c r="CO101" s="689">
        <v>0</v>
      </c>
      <c r="CP101" s="692">
        <v>0</v>
      </c>
      <c r="CQ101" s="689">
        <v>0</v>
      </c>
      <c r="CR101" s="690">
        <v>0</v>
      </c>
      <c r="CS101" s="689">
        <v>0</v>
      </c>
      <c r="CT101" s="690">
        <v>0</v>
      </c>
      <c r="CU101" s="691">
        <v>0</v>
      </c>
      <c r="CV101" s="690">
        <v>0</v>
      </c>
    </row>
    <row r="102" spans="1:100">
      <c r="A102" s="457">
        <v>100</v>
      </c>
      <c r="B102" s="577">
        <v>0</v>
      </c>
      <c r="C102" s="577">
        <v>0</v>
      </c>
      <c r="D102" s="577">
        <v>0</v>
      </c>
      <c r="E102" s="577">
        <v>0</v>
      </c>
      <c r="F102" s="577">
        <v>0</v>
      </c>
      <c r="G102" s="577">
        <v>0</v>
      </c>
      <c r="H102" s="577">
        <v>0</v>
      </c>
      <c r="I102" s="577">
        <v>0</v>
      </c>
      <c r="J102" s="577">
        <v>0</v>
      </c>
      <c r="K102" s="577">
        <v>0</v>
      </c>
      <c r="L102" s="577">
        <v>0</v>
      </c>
      <c r="M102" s="577">
        <v>0</v>
      </c>
      <c r="N102" s="577">
        <v>0</v>
      </c>
      <c r="O102" s="577">
        <v>0</v>
      </c>
      <c r="P102" s="577">
        <v>0</v>
      </c>
      <c r="Q102" s="577">
        <v>0</v>
      </c>
      <c r="R102" s="577">
        <v>0</v>
      </c>
      <c r="S102" s="577">
        <v>0</v>
      </c>
      <c r="T102" s="577">
        <v>0</v>
      </c>
      <c r="U102" s="577">
        <v>0</v>
      </c>
      <c r="V102" s="577">
        <v>0</v>
      </c>
      <c r="W102" s="592">
        <v>0</v>
      </c>
      <c r="X102" s="685">
        <v>0</v>
      </c>
      <c r="Y102" s="685">
        <v>0</v>
      </c>
      <c r="Z102" s="685">
        <v>0</v>
      </c>
      <c r="AA102" s="685">
        <v>0</v>
      </c>
      <c r="AB102" s="685">
        <v>0</v>
      </c>
      <c r="AC102" s="685">
        <v>0</v>
      </c>
      <c r="AD102" s="685">
        <v>0</v>
      </c>
      <c r="AE102" s="910">
        <v>0</v>
      </c>
      <c r="AF102" s="911">
        <v>0</v>
      </c>
      <c r="AG102" s="912">
        <v>0</v>
      </c>
      <c r="AH102" s="685">
        <v>0</v>
      </c>
      <c r="AI102" s="684">
        <v>0</v>
      </c>
      <c r="AJ102" s="682">
        <v>0</v>
      </c>
      <c r="AK102" s="684">
        <v>0</v>
      </c>
      <c r="AL102" s="686">
        <v>0</v>
      </c>
      <c r="AM102" s="682">
        <v>0</v>
      </c>
      <c r="AN102" s="682">
        <v>0</v>
      </c>
      <c r="AO102" s="686">
        <v>0</v>
      </c>
      <c r="AP102" s="687">
        <v>0.02</v>
      </c>
      <c r="AQ102" s="684">
        <f t="shared" si="23"/>
        <v>7.1428571428571426E-3</v>
      </c>
      <c r="AR102" s="682">
        <v>0</v>
      </c>
      <c r="AS102" s="684">
        <v>0</v>
      </c>
      <c r="AT102" s="688">
        <v>2E-3</v>
      </c>
      <c r="AU102" s="682">
        <v>0</v>
      </c>
      <c r="AV102" s="684">
        <v>0</v>
      </c>
      <c r="AW102" s="689">
        <v>0</v>
      </c>
      <c r="AX102" s="690">
        <v>0</v>
      </c>
      <c r="AY102" s="689">
        <v>0</v>
      </c>
      <c r="AZ102" s="690">
        <v>0</v>
      </c>
      <c r="BA102" s="689">
        <v>0</v>
      </c>
      <c r="BB102" s="690">
        <v>0</v>
      </c>
      <c r="BC102" s="691">
        <v>0</v>
      </c>
      <c r="BD102" s="692">
        <v>0</v>
      </c>
      <c r="BE102" s="689">
        <v>0</v>
      </c>
      <c r="BF102" s="690">
        <v>0</v>
      </c>
      <c r="BG102" s="691">
        <v>0</v>
      </c>
      <c r="BH102" s="690">
        <v>0</v>
      </c>
      <c r="BI102" s="691">
        <v>0</v>
      </c>
      <c r="BJ102" s="690">
        <v>0</v>
      </c>
      <c r="BK102" s="691">
        <v>0</v>
      </c>
      <c r="BL102" s="690">
        <v>0</v>
      </c>
      <c r="BM102" s="691">
        <v>0</v>
      </c>
      <c r="BN102" s="690">
        <v>0</v>
      </c>
      <c r="BO102" s="691">
        <v>0</v>
      </c>
      <c r="BP102" s="690">
        <v>0</v>
      </c>
      <c r="BQ102" s="691">
        <v>0</v>
      </c>
      <c r="BR102" s="690">
        <v>0</v>
      </c>
      <c r="BS102" s="691">
        <v>0</v>
      </c>
      <c r="BT102" s="690">
        <v>0</v>
      </c>
      <c r="BU102" s="691">
        <v>0</v>
      </c>
      <c r="BV102" s="690">
        <v>0</v>
      </c>
      <c r="BW102" s="691">
        <v>0</v>
      </c>
      <c r="BX102" s="690">
        <v>0</v>
      </c>
      <c r="BY102" s="691">
        <v>0</v>
      </c>
      <c r="BZ102" s="690">
        <v>0</v>
      </c>
      <c r="CA102" s="691">
        <v>0</v>
      </c>
      <c r="CB102" s="690">
        <v>0</v>
      </c>
      <c r="CC102" s="689">
        <v>0</v>
      </c>
      <c r="CD102" s="692">
        <v>0</v>
      </c>
      <c r="CE102" s="689">
        <v>0</v>
      </c>
      <c r="CF102" s="692">
        <v>0</v>
      </c>
      <c r="CG102" s="689">
        <v>0</v>
      </c>
      <c r="CH102" s="692">
        <v>0</v>
      </c>
      <c r="CI102" s="689">
        <v>0</v>
      </c>
      <c r="CJ102" s="692">
        <v>0</v>
      </c>
      <c r="CK102" s="689">
        <v>0</v>
      </c>
      <c r="CL102" s="692">
        <v>0</v>
      </c>
      <c r="CM102" s="689">
        <v>0</v>
      </c>
      <c r="CN102" s="692">
        <v>0</v>
      </c>
      <c r="CO102" s="689">
        <v>0</v>
      </c>
      <c r="CP102" s="692">
        <v>0</v>
      </c>
      <c r="CQ102" s="689">
        <v>0</v>
      </c>
      <c r="CR102" s="690">
        <v>0</v>
      </c>
      <c r="CS102" s="689">
        <v>0</v>
      </c>
      <c r="CT102" s="690">
        <v>0</v>
      </c>
      <c r="CU102" s="691">
        <v>0</v>
      </c>
      <c r="CV102" s="690">
        <v>0</v>
      </c>
    </row>
    <row r="103" spans="1:100">
      <c r="A103" s="457">
        <v>101</v>
      </c>
      <c r="B103" s="577">
        <v>0</v>
      </c>
      <c r="C103" s="577">
        <v>0</v>
      </c>
      <c r="D103" s="577">
        <v>0</v>
      </c>
      <c r="E103" s="577">
        <v>0</v>
      </c>
      <c r="F103" s="577">
        <v>0</v>
      </c>
      <c r="G103" s="577">
        <v>0</v>
      </c>
      <c r="H103" s="577">
        <v>0</v>
      </c>
      <c r="I103" s="577">
        <v>0</v>
      </c>
      <c r="J103" s="577">
        <v>0</v>
      </c>
      <c r="K103" s="577">
        <v>0</v>
      </c>
      <c r="L103" s="577">
        <v>0</v>
      </c>
      <c r="M103" s="577">
        <v>0</v>
      </c>
      <c r="N103" s="577">
        <v>0</v>
      </c>
      <c r="O103" s="577">
        <v>0</v>
      </c>
      <c r="P103" s="577">
        <v>0</v>
      </c>
      <c r="Q103" s="577">
        <v>0</v>
      </c>
      <c r="R103" s="577">
        <v>0</v>
      </c>
      <c r="S103" s="577">
        <v>0</v>
      </c>
      <c r="T103" s="577">
        <v>0</v>
      </c>
      <c r="U103" s="577">
        <v>0</v>
      </c>
      <c r="V103" s="577">
        <v>0</v>
      </c>
      <c r="W103" s="592">
        <v>0</v>
      </c>
      <c r="X103" s="685">
        <v>0</v>
      </c>
      <c r="Y103" s="685">
        <v>0</v>
      </c>
      <c r="Z103" s="685">
        <v>0</v>
      </c>
      <c r="AA103" s="685">
        <v>0</v>
      </c>
      <c r="AB103" s="685">
        <v>0</v>
      </c>
      <c r="AC103" s="685">
        <v>0</v>
      </c>
      <c r="AD103" s="685">
        <v>0</v>
      </c>
      <c r="AE103" s="910">
        <v>0</v>
      </c>
      <c r="AF103" s="911">
        <v>0</v>
      </c>
      <c r="AG103" s="912">
        <v>0</v>
      </c>
      <c r="AH103" s="685">
        <v>0</v>
      </c>
      <c r="AI103" s="684">
        <v>0</v>
      </c>
      <c r="AJ103" s="682">
        <v>0</v>
      </c>
      <c r="AK103" s="684">
        <v>0</v>
      </c>
      <c r="AL103" s="686">
        <v>0</v>
      </c>
      <c r="AM103" s="682">
        <v>0</v>
      </c>
      <c r="AN103" s="682">
        <v>0</v>
      </c>
      <c r="AO103" s="686">
        <v>0</v>
      </c>
      <c r="AP103" s="687">
        <v>2E-3</v>
      </c>
      <c r="AQ103" s="684">
        <f t="shared" si="23"/>
        <v>7.1428571428571426E-3</v>
      </c>
      <c r="AR103" s="682">
        <v>0</v>
      </c>
      <c r="AS103" s="684">
        <v>0</v>
      </c>
      <c r="AT103" s="688">
        <v>2E-3</v>
      </c>
      <c r="AU103" s="682">
        <v>0</v>
      </c>
      <c r="AV103" s="684">
        <v>0</v>
      </c>
      <c r="AW103" s="689">
        <v>0</v>
      </c>
      <c r="AX103" s="690">
        <v>0</v>
      </c>
      <c r="AY103" s="689">
        <v>0</v>
      </c>
      <c r="AZ103" s="690">
        <v>0</v>
      </c>
      <c r="BA103" s="689">
        <v>0</v>
      </c>
      <c r="BB103" s="690">
        <v>0</v>
      </c>
      <c r="BC103" s="691">
        <v>0</v>
      </c>
      <c r="BD103" s="692">
        <v>0</v>
      </c>
      <c r="BE103" s="689">
        <v>0</v>
      </c>
      <c r="BF103" s="690">
        <v>0</v>
      </c>
      <c r="BG103" s="691">
        <v>0</v>
      </c>
      <c r="BH103" s="690">
        <v>0</v>
      </c>
      <c r="BI103" s="691">
        <v>0</v>
      </c>
      <c r="BJ103" s="690">
        <v>0</v>
      </c>
      <c r="BK103" s="691">
        <v>0</v>
      </c>
      <c r="BL103" s="690">
        <v>0</v>
      </c>
      <c r="BM103" s="691">
        <v>0</v>
      </c>
      <c r="BN103" s="690">
        <v>0</v>
      </c>
      <c r="BO103" s="691">
        <v>0</v>
      </c>
      <c r="BP103" s="690">
        <v>0</v>
      </c>
      <c r="BQ103" s="691">
        <v>0</v>
      </c>
      <c r="BR103" s="690">
        <v>0</v>
      </c>
      <c r="BS103" s="691">
        <v>0</v>
      </c>
      <c r="BT103" s="690">
        <v>0</v>
      </c>
      <c r="BU103" s="691">
        <v>0</v>
      </c>
      <c r="BV103" s="690">
        <v>0</v>
      </c>
      <c r="BW103" s="691">
        <v>0</v>
      </c>
      <c r="BX103" s="690">
        <v>0</v>
      </c>
      <c r="BY103" s="691">
        <v>0</v>
      </c>
      <c r="BZ103" s="690">
        <v>0</v>
      </c>
      <c r="CA103" s="691">
        <v>0</v>
      </c>
      <c r="CB103" s="690">
        <v>0</v>
      </c>
      <c r="CC103" s="689">
        <v>0</v>
      </c>
      <c r="CD103" s="692">
        <v>0</v>
      </c>
      <c r="CE103" s="689">
        <v>0</v>
      </c>
      <c r="CF103" s="692">
        <v>0</v>
      </c>
      <c r="CG103" s="689">
        <v>0</v>
      </c>
      <c r="CH103" s="692">
        <v>0</v>
      </c>
      <c r="CI103" s="689">
        <v>0</v>
      </c>
      <c r="CJ103" s="692">
        <v>0</v>
      </c>
      <c r="CK103" s="689">
        <v>0</v>
      </c>
      <c r="CL103" s="692">
        <v>0</v>
      </c>
      <c r="CM103" s="689">
        <v>0</v>
      </c>
      <c r="CN103" s="692">
        <v>0</v>
      </c>
      <c r="CO103" s="689">
        <v>0</v>
      </c>
      <c r="CP103" s="692">
        <v>0</v>
      </c>
      <c r="CQ103" s="689">
        <v>0</v>
      </c>
      <c r="CR103" s="690">
        <v>0</v>
      </c>
      <c r="CS103" s="689">
        <v>0</v>
      </c>
      <c r="CT103" s="690">
        <v>0</v>
      </c>
      <c r="CU103" s="691">
        <v>0</v>
      </c>
      <c r="CV103" s="690">
        <v>0</v>
      </c>
    </row>
    <row r="104" spans="1:100">
      <c r="A104" s="457">
        <v>102</v>
      </c>
      <c r="B104" s="577">
        <v>0</v>
      </c>
      <c r="C104" s="577">
        <v>0</v>
      </c>
      <c r="D104" s="577">
        <v>0</v>
      </c>
      <c r="E104" s="577">
        <v>0</v>
      </c>
      <c r="F104" s="577">
        <v>0</v>
      </c>
      <c r="G104" s="577">
        <v>0</v>
      </c>
      <c r="H104" s="577">
        <v>0</v>
      </c>
      <c r="I104" s="577">
        <v>0</v>
      </c>
      <c r="J104" s="577">
        <v>0</v>
      </c>
      <c r="K104" s="577">
        <v>0</v>
      </c>
      <c r="L104" s="577">
        <v>0</v>
      </c>
      <c r="M104" s="577">
        <v>0</v>
      </c>
      <c r="N104" s="577">
        <v>0</v>
      </c>
      <c r="O104" s="577">
        <v>0</v>
      </c>
      <c r="P104" s="577">
        <v>0</v>
      </c>
      <c r="Q104" s="577">
        <v>0</v>
      </c>
      <c r="R104" s="577">
        <v>0</v>
      </c>
      <c r="S104" s="577">
        <v>0</v>
      </c>
      <c r="T104" s="577">
        <v>0</v>
      </c>
      <c r="U104" s="577">
        <v>0</v>
      </c>
      <c r="V104" s="577">
        <v>0</v>
      </c>
      <c r="W104" s="592">
        <v>0</v>
      </c>
      <c r="X104" s="685">
        <v>0</v>
      </c>
      <c r="Y104" s="685">
        <v>0</v>
      </c>
      <c r="Z104" s="685">
        <v>0</v>
      </c>
      <c r="AA104" s="685">
        <v>0</v>
      </c>
      <c r="AB104" s="685">
        <v>0</v>
      </c>
      <c r="AC104" s="685">
        <v>0</v>
      </c>
      <c r="AD104" s="685">
        <v>0</v>
      </c>
      <c r="AE104" s="910">
        <v>0</v>
      </c>
      <c r="AF104" s="911">
        <v>0</v>
      </c>
      <c r="AG104" s="912">
        <v>0</v>
      </c>
      <c r="AH104" s="685">
        <v>0</v>
      </c>
      <c r="AI104" s="684">
        <v>0</v>
      </c>
      <c r="AJ104" s="682">
        <v>0</v>
      </c>
      <c r="AK104" s="684">
        <v>0</v>
      </c>
      <c r="AL104" s="686">
        <v>0</v>
      </c>
      <c r="AM104" s="682">
        <v>0</v>
      </c>
      <c r="AN104" s="682">
        <v>0</v>
      </c>
      <c r="AO104" s="686">
        <v>0</v>
      </c>
      <c r="AP104" s="687">
        <v>2E-3</v>
      </c>
      <c r="AQ104" s="684">
        <f t="shared" si="23"/>
        <v>7.1428571428571426E-3</v>
      </c>
      <c r="AR104" s="682">
        <v>0</v>
      </c>
      <c r="AS104" s="684">
        <v>0</v>
      </c>
      <c r="AT104" s="688">
        <v>2E-3</v>
      </c>
      <c r="AU104" s="682">
        <v>0</v>
      </c>
      <c r="AV104" s="684">
        <v>0</v>
      </c>
      <c r="AW104" s="689">
        <v>0</v>
      </c>
      <c r="AX104" s="690">
        <v>0</v>
      </c>
      <c r="AY104" s="689">
        <v>0</v>
      </c>
      <c r="AZ104" s="690">
        <v>0</v>
      </c>
      <c r="BA104" s="689">
        <v>0</v>
      </c>
      <c r="BB104" s="690">
        <v>0</v>
      </c>
      <c r="BC104" s="691">
        <v>0</v>
      </c>
      <c r="BD104" s="692">
        <v>0</v>
      </c>
      <c r="BE104" s="689">
        <v>0</v>
      </c>
      <c r="BF104" s="690">
        <v>0</v>
      </c>
      <c r="BG104" s="691">
        <v>0</v>
      </c>
      <c r="BH104" s="690">
        <v>0</v>
      </c>
      <c r="BI104" s="691">
        <v>0</v>
      </c>
      <c r="BJ104" s="690">
        <v>0</v>
      </c>
      <c r="BK104" s="691">
        <v>0</v>
      </c>
      <c r="BL104" s="690">
        <v>0</v>
      </c>
      <c r="BM104" s="691">
        <v>0</v>
      </c>
      <c r="BN104" s="690">
        <v>0</v>
      </c>
      <c r="BO104" s="691">
        <v>0</v>
      </c>
      <c r="BP104" s="690">
        <v>0</v>
      </c>
      <c r="BQ104" s="691">
        <v>0</v>
      </c>
      <c r="BR104" s="690">
        <v>0</v>
      </c>
      <c r="BS104" s="691">
        <v>0</v>
      </c>
      <c r="BT104" s="690">
        <v>0</v>
      </c>
      <c r="BU104" s="691">
        <v>0</v>
      </c>
      <c r="BV104" s="690">
        <v>0</v>
      </c>
      <c r="BW104" s="691">
        <v>0</v>
      </c>
      <c r="BX104" s="690">
        <v>0</v>
      </c>
      <c r="BY104" s="691">
        <v>0</v>
      </c>
      <c r="BZ104" s="690">
        <v>0</v>
      </c>
      <c r="CA104" s="691">
        <v>0</v>
      </c>
      <c r="CB104" s="690">
        <v>0</v>
      </c>
      <c r="CC104" s="689">
        <v>0</v>
      </c>
      <c r="CD104" s="692">
        <v>0</v>
      </c>
      <c r="CE104" s="689">
        <v>0</v>
      </c>
      <c r="CF104" s="692">
        <v>0</v>
      </c>
      <c r="CG104" s="689">
        <v>0</v>
      </c>
      <c r="CH104" s="692">
        <v>0</v>
      </c>
      <c r="CI104" s="689">
        <v>0</v>
      </c>
      <c r="CJ104" s="692">
        <v>0</v>
      </c>
      <c r="CK104" s="689">
        <v>0</v>
      </c>
      <c r="CL104" s="692">
        <v>0</v>
      </c>
      <c r="CM104" s="689">
        <v>0</v>
      </c>
      <c r="CN104" s="692">
        <v>0</v>
      </c>
      <c r="CO104" s="689">
        <v>0</v>
      </c>
      <c r="CP104" s="692">
        <v>0</v>
      </c>
      <c r="CQ104" s="689">
        <v>0</v>
      </c>
      <c r="CR104" s="690">
        <v>0</v>
      </c>
      <c r="CS104" s="689">
        <v>0</v>
      </c>
      <c r="CT104" s="690">
        <v>0</v>
      </c>
      <c r="CU104" s="691">
        <v>0</v>
      </c>
      <c r="CV104" s="690">
        <v>0</v>
      </c>
    </row>
    <row r="105" spans="1:100">
      <c r="A105" s="457">
        <v>103</v>
      </c>
      <c r="B105" s="577">
        <v>0</v>
      </c>
      <c r="C105" s="577">
        <v>0</v>
      </c>
      <c r="D105" s="577">
        <v>0</v>
      </c>
      <c r="E105" s="577">
        <v>0</v>
      </c>
      <c r="F105" s="577">
        <v>0</v>
      </c>
      <c r="G105" s="577">
        <v>0</v>
      </c>
      <c r="H105" s="577">
        <v>0</v>
      </c>
      <c r="I105" s="577">
        <v>0</v>
      </c>
      <c r="J105" s="577">
        <v>0</v>
      </c>
      <c r="K105" s="577">
        <v>0</v>
      </c>
      <c r="L105" s="577">
        <v>0</v>
      </c>
      <c r="M105" s="577">
        <v>0</v>
      </c>
      <c r="N105" s="577">
        <v>0</v>
      </c>
      <c r="O105" s="577">
        <v>0</v>
      </c>
      <c r="P105" s="577">
        <v>0</v>
      </c>
      <c r="Q105" s="577">
        <v>0</v>
      </c>
      <c r="R105" s="577">
        <v>0</v>
      </c>
      <c r="S105" s="577">
        <v>0</v>
      </c>
      <c r="T105" s="577">
        <v>0</v>
      </c>
      <c r="U105" s="577">
        <v>0</v>
      </c>
      <c r="V105" s="577">
        <v>0</v>
      </c>
      <c r="W105" s="592">
        <v>0</v>
      </c>
      <c r="X105" s="685">
        <v>0</v>
      </c>
      <c r="Y105" s="685">
        <v>0</v>
      </c>
      <c r="Z105" s="685">
        <v>0</v>
      </c>
      <c r="AA105" s="685">
        <v>0</v>
      </c>
      <c r="AB105" s="685">
        <v>0</v>
      </c>
      <c r="AC105" s="685">
        <v>0</v>
      </c>
      <c r="AD105" s="685">
        <v>0</v>
      </c>
      <c r="AE105" s="910">
        <v>0</v>
      </c>
      <c r="AF105" s="911">
        <v>0</v>
      </c>
      <c r="AG105" s="912">
        <v>0</v>
      </c>
      <c r="AH105" s="685">
        <v>0</v>
      </c>
      <c r="AI105" s="684">
        <v>0</v>
      </c>
      <c r="AJ105" s="682">
        <v>0</v>
      </c>
      <c r="AK105" s="684">
        <v>0</v>
      </c>
      <c r="AL105" s="686">
        <v>0</v>
      </c>
      <c r="AM105" s="682">
        <v>0</v>
      </c>
      <c r="AN105" s="682">
        <v>0</v>
      </c>
      <c r="AO105" s="686">
        <v>0</v>
      </c>
      <c r="AP105" s="687">
        <v>2E-3</v>
      </c>
      <c r="AQ105" s="684">
        <f t="shared" si="23"/>
        <v>7.1428571428571426E-3</v>
      </c>
      <c r="AR105" s="682">
        <v>0</v>
      </c>
      <c r="AS105" s="684">
        <v>0</v>
      </c>
      <c r="AT105" s="688">
        <v>2E-3</v>
      </c>
      <c r="AU105" s="682">
        <v>0</v>
      </c>
      <c r="AV105" s="684">
        <v>0</v>
      </c>
      <c r="AW105" s="689">
        <v>0</v>
      </c>
      <c r="AX105" s="690">
        <v>0</v>
      </c>
      <c r="AY105" s="689">
        <v>0</v>
      </c>
      <c r="AZ105" s="690">
        <v>0</v>
      </c>
      <c r="BA105" s="689">
        <v>0</v>
      </c>
      <c r="BB105" s="690">
        <v>0</v>
      </c>
      <c r="BC105" s="691">
        <v>0</v>
      </c>
      <c r="BD105" s="692">
        <v>0</v>
      </c>
      <c r="BE105" s="689">
        <v>0</v>
      </c>
      <c r="BF105" s="690">
        <v>0</v>
      </c>
      <c r="BG105" s="691">
        <v>0</v>
      </c>
      <c r="BH105" s="690">
        <v>0</v>
      </c>
      <c r="BI105" s="691">
        <v>0</v>
      </c>
      <c r="BJ105" s="690">
        <v>0</v>
      </c>
      <c r="BK105" s="691">
        <v>0</v>
      </c>
      <c r="BL105" s="690">
        <v>0</v>
      </c>
      <c r="BM105" s="691">
        <v>0</v>
      </c>
      <c r="BN105" s="690">
        <v>0</v>
      </c>
      <c r="BO105" s="691">
        <v>0</v>
      </c>
      <c r="BP105" s="690">
        <v>0</v>
      </c>
      <c r="BQ105" s="691">
        <v>0</v>
      </c>
      <c r="BR105" s="690">
        <v>0</v>
      </c>
      <c r="BS105" s="691">
        <v>0</v>
      </c>
      <c r="BT105" s="690">
        <v>0</v>
      </c>
      <c r="BU105" s="691">
        <v>0</v>
      </c>
      <c r="BV105" s="690">
        <v>0</v>
      </c>
      <c r="BW105" s="691">
        <v>0</v>
      </c>
      <c r="BX105" s="690">
        <v>0</v>
      </c>
      <c r="BY105" s="691">
        <v>0</v>
      </c>
      <c r="BZ105" s="690">
        <v>0</v>
      </c>
      <c r="CA105" s="691">
        <v>0</v>
      </c>
      <c r="CB105" s="690">
        <v>0</v>
      </c>
      <c r="CC105" s="689">
        <v>0</v>
      </c>
      <c r="CD105" s="692">
        <v>0</v>
      </c>
      <c r="CE105" s="689">
        <v>0</v>
      </c>
      <c r="CF105" s="692">
        <v>0</v>
      </c>
      <c r="CG105" s="689">
        <v>0</v>
      </c>
      <c r="CH105" s="692">
        <v>0</v>
      </c>
      <c r="CI105" s="689">
        <v>0</v>
      </c>
      <c r="CJ105" s="692">
        <v>0</v>
      </c>
      <c r="CK105" s="689">
        <v>0</v>
      </c>
      <c r="CL105" s="692">
        <v>0</v>
      </c>
      <c r="CM105" s="689">
        <v>0</v>
      </c>
      <c r="CN105" s="692">
        <v>0</v>
      </c>
      <c r="CO105" s="689">
        <v>0</v>
      </c>
      <c r="CP105" s="692">
        <v>0</v>
      </c>
      <c r="CQ105" s="689">
        <v>0</v>
      </c>
      <c r="CR105" s="690">
        <v>0</v>
      </c>
      <c r="CS105" s="689">
        <v>0</v>
      </c>
      <c r="CT105" s="690">
        <v>0</v>
      </c>
      <c r="CU105" s="691">
        <v>0</v>
      </c>
      <c r="CV105" s="690">
        <v>0</v>
      </c>
    </row>
    <row r="106" spans="1:100">
      <c r="A106" s="457">
        <v>104</v>
      </c>
      <c r="B106" s="577">
        <v>0</v>
      </c>
      <c r="C106" s="577">
        <v>0</v>
      </c>
      <c r="D106" s="577">
        <v>0</v>
      </c>
      <c r="E106" s="577">
        <v>0</v>
      </c>
      <c r="F106" s="577">
        <v>0</v>
      </c>
      <c r="G106" s="577">
        <v>0</v>
      </c>
      <c r="H106" s="577">
        <v>0</v>
      </c>
      <c r="I106" s="577">
        <v>0</v>
      </c>
      <c r="J106" s="577">
        <v>0</v>
      </c>
      <c r="K106" s="577">
        <v>0</v>
      </c>
      <c r="L106" s="577">
        <v>0</v>
      </c>
      <c r="M106" s="577">
        <v>0</v>
      </c>
      <c r="N106" s="577">
        <v>0</v>
      </c>
      <c r="O106" s="577">
        <v>0</v>
      </c>
      <c r="P106" s="577">
        <v>0</v>
      </c>
      <c r="Q106" s="577">
        <v>0</v>
      </c>
      <c r="R106" s="577">
        <v>0</v>
      </c>
      <c r="S106" s="577">
        <v>0</v>
      </c>
      <c r="T106" s="577">
        <v>0</v>
      </c>
      <c r="U106" s="577">
        <v>0</v>
      </c>
      <c r="V106" s="577">
        <v>0</v>
      </c>
      <c r="W106" s="592">
        <v>0</v>
      </c>
      <c r="X106" s="685">
        <v>0</v>
      </c>
      <c r="Y106" s="685">
        <v>0</v>
      </c>
      <c r="Z106" s="685">
        <v>0</v>
      </c>
      <c r="AA106" s="685">
        <v>0</v>
      </c>
      <c r="AB106" s="685">
        <v>0</v>
      </c>
      <c r="AC106" s="685">
        <v>0</v>
      </c>
      <c r="AD106" s="685">
        <v>0</v>
      </c>
      <c r="AE106" s="910">
        <v>0</v>
      </c>
      <c r="AF106" s="911">
        <v>0</v>
      </c>
      <c r="AG106" s="912">
        <v>0</v>
      </c>
      <c r="AH106" s="685">
        <v>0</v>
      </c>
      <c r="AI106" s="684">
        <v>0</v>
      </c>
      <c r="AJ106" s="682">
        <v>0</v>
      </c>
      <c r="AK106" s="684">
        <v>0</v>
      </c>
      <c r="AL106" s="686">
        <v>0</v>
      </c>
      <c r="AM106" s="682">
        <v>0</v>
      </c>
      <c r="AN106" s="682">
        <v>0</v>
      </c>
      <c r="AO106" s="686">
        <v>0</v>
      </c>
      <c r="AP106" s="687">
        <v>2E-3</v>
      </c>
      <c r="AQ106" s="684">
        <f t="shared" si="23"/>
        <v>7.1428571428571426E-3</v>
      </c>
      <c r="AR106" s="682">
        <v>0</v>
      </c>
      <c r="AS106" s="684">
        <v>0</v>
      </c>
      <c r="AT106" s="688">
        <v>2E-3</v>
      </c>
      <c r="AU106" s="682">
        <v>0</v>
      </c>
      <c r="AV106" s="684">
        <v>0</v>
      </c>
      <c r="AW106" s="689">
        <v>0</v>
      </c>
      <c r="AX106" s="690">
        <v>0</v>
      </c>
      <c r="AY106" s="689">
        <v>0</v>
      </c>
      <c r="AZ106" s="690">
        <v>0</v>
      </c>
      <c r="BA106" s="689">
        <v>0</v>
      </c>
      <c r="BB106" s="690">
        <v>0</v>
      </c>
      <c r="BC106" s="691">
        <v>0</v>
      </c>
      <c r="BD106" s="692">
        <v>0</v>
      </c>
      <c r="BE106" s="689">
        <v>0</v>
      </c>
      <c r="BF106" s="690">
        <v>0</v>
      </c>
      <c r="BG106" s="691">
        <v>0</v>
      </c>
      <c r="BH106" s="690">
        <v>0</v>
      </c>
      <c r="BI106" s="691">
        <v>0</v>
      </c>
      <c r="BJ106" s="690">
        <v>0</v>
      </c>
      <c r="BK106" s="691">
        <v>0</v>
      </c>
      <c r="BL106" s="690">
        <v>0</v>
      </c>
      <c r="BM106" s="691">
        <v>0</v>
      </c>
      <c r="BN106" s="690">
        <v>0</v>
      </c>
      <c r="BO106" s="691">
        <v>0</v>
      </c>
      <c r="BP106" s="690">
        <v>0</v>
      </c>
      <c r="BQ106" s="691">
        <v>0</v>
      </c>
      <c r="BR106" s="690">
        <v>0</v>
      </c>
      <c r="BS106" s="691">
        <v>0</v>
      </c>
      <c r="BT106" s="690">
        <v>0</v>
      </c>
      <c r="BU106" s="691">
        <v>0</v>
      </c>
      <c r="BV106" s="690">
        <v>0</v>
      </c>
      <c r="BW106" s="691">
        <v>0</v>
      </c>
      <c r="BX106" s="690">
        <v>0</v>
      </c>
      <c r="BY106" s="691">
        <v>0</v>
      </c>
      <c r="BZ106" s="690">
        <v>0</v>
      </c>
      <c r="CA106" s="691">
        <v>0</v>
      </c>
      <c r="CB106" s="690">
        <v>0</v>
      </c>
      <c r="CC106" s="689">
        <v>0</v>
      </c>
      <c r="CD106" s="692">
        <v>0</v>
      </c>
      <c r="CE106" s="689">
        <v>0</v>
      </c>
      <c r="CF106" s="692">
        <v>0</v>
      </c>
      <c r="CG106" s="689">
        <v>0</v>
      </c>
      <c r="CH106" s="692">
        <v>0</v>
      </c>
      <c r="CI106" s="689">
        <v>0</v>
      </c>
      <c r="CJ106" s="692">
        <v>0</v>
      </c>
      <c r="CK106" s="689">
        <v>0</v>
      </c>
      <c r="CL106" s="692">
        <v>0</v>
      </c>
      <c r="CM106" s="689">
        <v>0</v>
      </c>
      <c r="CN106" s="692">
        <v>0</v>
      </c>
      <c r="CO106" s="689">
        <v>0</v>
      </c>
      <c r="CP106" s="692">
        <v>0</v>
      </c>
      <c r="CQ106" s="689">
        <v>0</v>
      </c>
      <c r="CR106" s="690">
        <v>0</v>
      </c>
      <c r="CS106" s="689">
        <v>0</v>
      </c>
      <c r="CT106" s="690">
        <v>0</v>
      </c>
      <c r="CU106" s="691">
        <v>0</v>
      </c>
      <c r="CV106" s="690">
        <v>0</v>
      </c>
    </row>
    <row r="107" spans="1:100">
      <c r="A107" s="457">
        <v>105</v>
      </c>
      <c r="B107" s="577">
        <v>0</v>
      </c>
      <c r="C107" s="577">
        <v>0</v>
      </c>
      <c r="D107" s="577">
        <v>0</v>
      </c>
      <c r="E107" s="577">
        <v>0</v>
      </c>
      <c r="F107" s="577">
        <v>0</v>
      </c>
      <c r="G107" s="577">
        <v>0</v>
      </c>
      <c r="H107" s="577">
        <v>0</v>
      </c>
      <c r="I107" s="577">
        <v>0</v>
      </c>
      <c r="J107" s="577">
        <v>0</v>
      </c>
      <c r="K107" s="577">
        <v>0</v>
      </c>
      <c r="L107" s="577">
        <v>0</v>
      </c>
      <c r="M107" s="577">
        <v>0</v>
      </c>
      <c r="N107" s="577">
        <v>0</v>
      </c>
      <c r="O107" s="577">
        <v>0</v>
      </c>
      <c r="P107" s="577">
        <v>0</v>
      </c>
      <c r="Q107" s="577">
        <v>0</v>
      </c>
      <c r="R107" s="577">
        <v>0</v>
      </c>
      <c r="S107" s="577">
        <v>0</v>
      </c>
      <c r="T107" s="577">
        <v>0</v>
      </c>
      <c r="U107" s="577">
        <v>0</v>
      </c>
      <c r="V107" s="577">
        <v>0</v>
      </c>
      <c r="W107" s="592">
        <v>0</v>
      </c>
      <c r="X107" s="685">
        <v>0</v>
      </c>
      <c r="Y107" s="685">
        <v>0</v>
      </c>
      <c r="Z107" s="685">
        <v>0</v>
      </c>
      <c r="AA107" s="685">
        <v>0</v>
      </c>
      <c r="AB107" s="685">
        <v>0</v>
      </c>
      <c r="AC107" s="685">
        <v>0</v>
      </c>
      <c r="AD107" s="685">
        <v>0</v>
      </c>
      <c r="AE107" s="910">
        <v>0</v>
      </c>
      <c r="AF107" s="911">
        <v>0</v>
      </c>
      <c r="AG107" s="912">
        <v>0</v>
      </c>
      <c r="AH107" s="685">
        <v>0</v>
      </c>
      <c r="AI107" s="684">
        <v>0</v>
      </c>
      <c r="AJ107" s="682">
        <v>0</v>
      </c>
      <c r="AK107" s="684">
        <v>0</v>
      </c>
      <c r="AL107" s="686">
        <v>0</v>
      </c>
      <c r="AM107" s="682">
        <v>0</v>
      </c>
      <c r="AN107" s="682">
        <v>0</v>
      </c>
      <c r="AO107" s="686">
        <v>0</v>
      </c>
      <c r="AP107" s="687">
        <v>2E-3</v>
      </c>
      <c r="AQ107" s="684">
        <f t="shared" si="23"/>
        <v>7.1428571428571426E-3</v>
      </c>
      <c r="AR107" s="682">
        <v>0</v>
      </c>
      <c r="AS107" s="684">
        <v>0</v>
      </c>
      <c r="AT107" s="688">
        <v>2E-3</v>
      </c>
      <c r="AU107" s="682">
        <v>0</v>
      </c>
      <c r="AV107" s="684">
        <v>0</v>
      </c>
      <c r="AW107" s="689">
        <v>0</v>
      </c>
      <c r="AX107" s="690">
        <v>0</v>
      </c>
      <c r="AY107" s="689">
        <v>0</v>
      </c>
      <c r="AZ107" s="690">
        <v>0</v>
      </c>
      <c r="BA107" s="689">
        <v>0</v>
      </c>
      <c r="BB107" s="690">
        <v>0</v>
      </c>
      <c r="BC107" s="691">
        <v>0</v>
      </c>
      <c r="BD107" s="692">
        <v>0</v>
      </c>
      <c r="BE107" s="689">
        <v>0</v>
      </c>
      <c r="BF107" s="690">
        <v>0</v>
      </c>
      <c r="BG107" s="691">
        <v>0</v>
      </c>
      <c r="BH107" s="690">
        <v>0</v>
      </c>
      <c r="BI107" s="691">
        <v>0</v>
      </c>
      <c r="BJ107" s="690">
        <v>0</v>
      </c>
      <c r="BK107" s="691">
        <v>0</v>
      </c>
      <c r="BL107" s="690">
        <v>0</v>
      </c>
      <c r="BM107" s="691">
        <v>0</v>
      </c>
      <c r="BN107" s="690">
        <v>0</v>
      </c>
      <c r="BO107" s="691">
        <v>0</v>
      </c>
      <c r="BP107" s="690">
        <v>0</v>
      </c>
      <c r="BQ107" s="691">
        <v>0</v>
      </c>
      <c r="BR107" s="690">
        <v>0</v>
      </c>
      <c r="BS107" s="691">
        <v>0</v>
      </c>
      <c r="BT107" s="690">
        <v>0</v>
      </c>
      <c r="BU107" s="691">
        <v>0</v>
      </c>
      <c r="BV107" s="690">
        <v>0</v>
      </c>
      <c r="BW107" s="691">
        <v>0</v>
      </c>
      <c r="BX107" s="690">
        <v>0</v>
      </c>
      <c r="BY107" s="691">
        <v>0</v>
      </c>
      <c r="BZ107" s="690">
        <v>0</v>
      </c>
      <c r="CA107" s="691">
        <v>0</v>
      </c>
      <c r="CB107" s="690">
        <v>0</v>
      </c>
      <c r="CC107" s="689">
        <v>0</v>
      </c>
      <c r="CD107" s="692">
        <v>0</v>
      </c>
      <c r="CE107" s="689">
        <v>0</v>
      </c>
      <c r="CF107" s="692">
        <v>0</v>
      </c>
      <c r="CG107" s="689">
        <v>0</v>
      </c>
      <c r="CH107" s="692">
        <v>0</v>
      </c>
      <c r="CI107" s="689">
        <v>0</v>
      </c>
      <c r="CJ107" s="692">
        <v>0</v>
      </c>
      <c r="CK107" s="689">
        <v>0</v>
      </c>
      <c r="CL107" s="692">
        <v>0</v>
      </c>
      <c r="CM107" s="689">
        <v>0</v>
      </c>
      <c r="CN107" s="692">
        <v>0</v>
      </c>
      <c r="CO107" s="689">
        <v>0</v>
      </c>
      <c r="CP107" s="692">
        <v>0</v>
      </c>
      <c r="CQ107" s="689">
        <v>0</v>
      </c>
      <c r="CR107" s="690">
        <v>0</v>
      </c>
      <c r="CS107" s="689">
        <v>0</v>
      </c>
      <c r="CT107" s="690">
        <v>0</v>
      </c>
      <c r="CU107" s="691">
        <v>0</v>
      </c>
      <c r="CV107" s="690">
        <v>0</v>
      </c>
    </row>
    <row r="108" spans="1:100">
      <c r="A108" s="457">
        <v>106</v>
      </c>
      <c r="B108" s="577">
        <v>0</v>
      </c>
      <c r="C108" s="577">
        <v>0</v>
      </c>
      <c r="D108" s="577">
        <v>0</v>
      </c>
      <c r="E108" s="577">
        <v>0</v>
      </c>
      <c r="F108" s="577">
        <v>0</v>
      </c>
      <c r="G108" s="577">
        <v>0</v>
      </c>
      <c r="H108" s="577">
        <v>0</v>
      </c>
      <c r="I108" s="577">
        <v>0</v>
      </c>
      <c r="J108" s="577">
        <v>0</v>
      </c>
      <c r="K108" s="577">
        <v>0</v>
      </c>
      <c r="L108" s="577">
        <v>0</v>
      </c>
      <c r="M108" s="577">
        <v>0</v>
      </c>
      <c r="N108" s="577">
        <v>0</v>
      </c>
      <c r="O108" s="577">
        <v>0</v>
      </c>
      <c r="P108" s="577">
        <v>0</v>
      </c>
      <c r="Q108" s="577">
        <v>0</v>
      </c>
      <c r="R108" s="577">
        <v>0</v>
      </c>
      <c r="S108" s="577">
        <v>0</v>
      </c>
      <c r="T108" s="577">
        <v>0</v>
      </c>
      <c r="U108" s="577">
        <v>0</v>
      </c>
      <c r="V108" s="577">
        <v>0</v>
      </c>
      <c r="W108" s="592">
        <v>0</v>
      </c>
      <c r="X108" s="685">
        <v>0</v>
      </c>
      <c r="Y108" s="685">
        <v>0</v>
      </c>
      <c r="Z108" s="685">
        <v>0</v>
      </c>
      <c r="AA108" s="685">
        <v>0</v>
      </c>
      <c r="AB108" s="685">
        <v>0</v>
      </c>
      <c r="AC108" s="685">
        <v>0</v>
      </c>
      <c r="AD108" s="685">
        <v>0</v>
      </c>
      <c r="AE108" s="910">
        <v>0</v>
      </c>
      <c r="AF108" s="911">
        <v>0</v>
      </c>
      <c r="AG108" s="912">
        <v>0</v>
      </c>
      <c r="AH108" s="685">
        <v>0</v>
      </c>
      <c r="AI108" s="684">
        <v>0</v>
      </c>
      <c r="AJ108" s="682">
        <v>0</v>
      </c>
      <c r="AK108" s="684">
        <v>0</v>
      </c>
      <c r="AL108" s="686">
        <v>0</v>
      </c>
      <c r="AM108" s="682">
        <v>0</v>
      </c>
      <c r="AN108" s="682">
        <v>0</v>
      </c>
      <c r="AO108" s="686">
        <v>0</v>
      </c>
      <c r="AP108" s="687">
        <v>2E-3</v>
      </c>
      <c r="AQ108" s="684">
        <f t="shared" si="23"/>
        <v>7.1428571428571426E-3</v>
      </c>
      <c r="AR108" s="682">
        <v>0</v>
      </c>
      <c r="AS108" s="684">
        <v>0</v>
      </c>
      <c r="AT108" s="688">
        <v>2E-3</v>
      </c>
      <c r="AU108" s="682">
        <v>0</v>
      </c>
      <c r="AV108" s="684">
        <v>0</v>
      </c>
      <c r="AW108" s="689">
        <v>0</v>
      </c>
      <c r="AX108" s="690">
        <v>0</v>
      </c>
      <c r="AY108" s="689">
        <v>0</v>
      </c>
      <c r="AZ108" s="690">
        <v>0</v>
      </c>
      <c r="BA108" s="689">
        <v>0</v>
      </c>
      <c r="BB108" s="690">
        <v>0</v>
      </c>
      <c r="BC108" s="691">
        <v>0</v>
      </c>
      <c r="BD108" s="692">
        <v>0</v>
      </c>
      <c r="BE108" s="689">
        <v>0</v>
      </c>
      <c r="BF108" s="690">
        <v>0</v>
      </c>
      <c r="BG108" s="691">
        <v>0</v>
      </c>
      <c r="BH108" s="690">
        <v>0</v>
      </c>
      <c r="BI108" s="691">
        <v>0</v>
      </c>
      <c r="BJ108" s="690">
        <v>0</v>
      </c>
      <c r="BK108" s="691">
        <v>0</v>
      </c>
      <c r="BL108" s="690">
        <v>0</v>
      </c>
      <c r="BM108" s="691">
        <v>0</v>
      </c>
      <c r="BN108" s="690">
        <v>0</v>
      </c>
      <c r="BO108" s="691">
        <v>0</v>
      </c>
      <c r="BP108" s="690">
        <v>0</v>
      </c>
      <c r="BQ108" s="691">
        <v>0</v>
      </c>
      <c r="BR108" s="690">
        <v>0</v>
      </c>
      <c r="BS108" s="691">
        <v>0</v>
      </c>
      <c r="BT108" s="690">
        <v>0</v>
      </c>
      <c r="BU108" s="691">
        <v>0</v>
      </c>
      <c r="BV108" s="690">
        <v>0</v>
      </c>
      <c r="BW108" s="691">
        <v>0</v>
      </c>
      <c r="BX108" s="690">
        <v>0</v>
      </c>
      <c r="BY108" s="691">
        <v>0</v>
      </c>
      <c r="BZ108" s="690">
        <v>0</v>
      </c>
      <c r="CA108" s="691">
        <v>0</v>
      </c>
      <c r="CB108" s="690">
        <v>0</v>
      </c>
      <c r="CC108" s="689">
        <v>0</v>
      </c>
      <c r="CD108" s="692">
        <v>0</v>
      </c>
      <c r="CE108" s="689">
        <v>0</v>
      </c>
      <c r="CF108" s="692">
        <v>0</v>
      </c>
      <c r="CG108" s="689">
        <v>0</v>
      </c>
      <c r="CH108" s="692">
        <v>0</v>
      </c>
      <c r="CI108" s="689">
        <v>0</v>
      </c>
      <c r="CJ108" s="692">
        <v>0</v>
      </c>
      <c r="CK108" s="689">
        <v>0</v>
      </c>
      <c r="CL108" s="692">
        <v>0</v>
      </c>
      <c r="CM108" s="689">
        <v>0</v>
      </c>
      <c r="CN108" s="692">
        <v>0</v>
      </c>
      <c r="CO108" s="689">
        <v>0</v>
      </c>
      <c r="CP108" s="692">
        <v>0</v>
      </c>
      <c r="CQ108" s="689">
        <v>0</v>
      </c>
      <c r="CR108" s="690">
        <v>0</v>
      </c>
      <c r="CS108" s="689">
        <v>0</v>
      </c>
      <c r="CT108" s="690">
        <v>0</v>
      </c>
      <c r="CU108" s="691">
        <v>0</v>
      </c>
      <c r="CV108" s="690">
        <v>0</v>
      </c>
    </row>
    <row r="109" spans="1:100">
      <c r="A109" s="457">
        <v>107</v>
      </c>
      <c r="B109" s="577">
        <v>0</v>
      </c>
      <c r="C109" s="577">
        <v>0</v>
      </c>
      <c r="D109" s="577">
        <v>0</v>
      </c>
      <c r="E109" s="577">
        <v>0</v>
      </c>
      <c r="F109" s="577">
        <v>0</v>
      </c>
      <c r="G109" s="577">
        <v>0</v>
      </c>
      <c r="H109" s="577">
        <v>0</v>
      </c>
      <c r="I109" s="577">
        <v>0</v>
      </c>
      <c r="J109" s="577">
        <v>0</v>
      </c>
      <c r="K109" s="577">
        <v>0</v>
      </c>
      <c r="L109" s="577">
        <v>0</v>
      </c>
      <c r="M109" s="577">
        <v>0</v>
      </c>
      <c r="N109" s="577">
        <v>0</v>
      </c>
      <c r="O109" s="577">
        <v>0</v>
      </c>
      <c r="P109" s="577">
        <v>0</v>
      </c>
      <c r="Q109" s="577">
        <v>0</v>
      </c>
      <c r="R109" s="577">
        <v>0</v>
      </c>
      <c r="S109" s="577">
        <v>0</v>
      </c>
      <c r="T109" s="577">
        <v>0</v>
      </c>
      <c r="U109" s="577">
        <v>0</v>
      </c>
      <c r="V109" s="577">
        <v>0</v>
      </c>
      <c r="W109" s="592">
        <v>0</v>
      </c>
      <c r="X109" s="685">
        <v>0</v>
      </c>
      <c r="Y109" s="685">
        <v>0</v>
      </c>
      <c r="Z109" s="685">
        <v>0</v>
      </c>
      <c r="AA109" s="685">
        <v>0</v>
      </c>
      <c r="AB109" s="685">
        <v>0</v>
      </c>
      <c r="AC109" s="685">
        <v>0</v>
      </c>
      <c r="AD109" s="685">
        <v>0</v>
      </c>
      <c r="AE109" s="910">
        <v>0</v>
      </c>
      <c r="AF109" s="911">
        <v>0</v>
      </c>
      <c r="AG109" s="912">
        <v>0</v>
      </c>
      <c r="AH109" s="685">
        <v>0</v>
      </c>
      <c r="AI109" s="684">
        <v>0</v>
      </c>
      <c r="AJ109" s="682">
        <v>0</v>
      </c>
      <c r="AK109" s="684">
        <v>0</v>
      </c>
      <c r="AL109" s="686">
        <v>0</v>
      </c>
      <c r="AM109" s="682">
        <v>0</v>
      </c>
      <c r="AN109" s="682">
        <v>0</v>
      </c>
      <c r="AO109" s="686">
        <v>0</v>
      </c>
      <c r="AP109" s="687">
        <v>2E-3</v>
      </c>
      <c r="AQ109" s="684">
        <f t="shared" si="23"/>
        <v>7.1428571428571426E-3</v>
      </c>
      <c r="AR109" s="682">
        <v>0</v>
      </c>
      <c r="AS109" s="684">
        <v>0</v>
      </c>
      <c r="AT109" s="688">
        <v>2E-3</v>
      </c>
      <c r="AU109" s="682">
        <v>0</v>
      </c>
      <c r="AV109" s="684">
        <v>0</v>
      </c>
      <c r="AW109" s="689">
        <v>0</v>
      </c>
      <c r="AX109" s="690">
        <v>0</v>
      </c>
      <c r="AY109" s="689">
        <v>0</v>
      </c>
      <c r="AZ109" s="690">
        <v>0</v>
      </c>
      <c r="BA109" s="689">
        <v>0</v>
      </c>
      <c r="BB109" s="690">
        <v>0</v>
      </c>
      <c r="BC109" s="691">
        <v>0</v>
      </c>
      <c r="BD109" s="692">
        <v>0</v>
      </c>
      <c r="BE109" s="689">
        <v>0</v>
      </c>
      <c r="BF109" s="690">
        <v>0</v>
      </c>
      <c r="BG109" s="691">
        <v>0</v>
      </c>
      <c r="BH109" s="690">
        <v>0</v>
      </c>
      <c r="BI109" s="691">
        <v>0</v>
      </c>
      <c r="BJ109" s="690">
        <v>0</v>
      </c>
      <c r="BK109" s="691">
        <v>0</v>
      </c>
      <c r="BL109" s="690">
        <v>0</v>
      </c>
      <c r="BM109" s="691">
        <v>0</v>
      </c>
      <c r="BN109" s="690">
        <v>0</v>
      </c>
      <c r="BO109" s="691">
        <v>0</v>
      </c>
      <c r="BP109" s="690">
        <v>0</v>
      </c>
      <c r="BQ109" s="691">
        <v>0</v>
      </c>
      <c r="BR109" s="690">
        <v>0</v>
      </c>
      <c r="BS109" s="691">
        <v>0</v>
      </c>
      <c r="BT109" s="690">
        <v>0</v>
      </c>
      <c r="BU109" s="691">
        <v>0</v>
      </c>
      <c r="BV109" s="690">
        <v>0</v>
      </c>
      <c r="BW109" s="691">
        <v>0</v>
      </c>
      <c r="BX109" s="690">
        <v>0</v>
      </c>
      <c r="BY109" s="691">
        <v>0</v>
      </c>
      <c r="BZ109" s="690">
        <v>0</v>
      </c>
      <c r="CA109" s="691">
        <v>0</v>
      </c>
      <c r="CB109" s="690">
        <v>0</v>
      </c>
      <c r="CC109" s="689">
        <v>0</v>
      </c>
      <c r="CD109" s="692">
        <v>0</v>
      </c>
      <c r="CE109" s="689">
        <v>0</v>
      </c>
      <c r="CF109" s="692">
        <v>0</v>
      </c>
      <c r="CG109" s="689">
        <v>0</v>
      </c>
      <c r="CH109" s="692">
        <v>0</v>
      </c>
      <c r="CI109" s="689">
        <v>0</v>
      </c>
      <c r="CJ109" s="692">
        <v>0</v>
      </c>
      <c r="CK109" s="689">
        <v>0</v>
      </c>
      <c r="CL109" s="692">
        <v>0</v>
      </c>
      <c r="CM109" s="689">
        <v>0</v>
      </c>
      <c r="CN109" s="692">
        <v>0</v>
      </c>
      <c r="CO109" s="689">
        <v>0</v>
      </c>
      <c r="CP109" s="692">
        <v>0</v>
      </c>
      <c r="CQ109" s="689">
        <v>0</v>
      </c>
      <c r="CR109" s="690">
        <v>0</v>
      </c>
      <c r="CS109" s="689">
        <v>0</v>
      </c>
      <c r="CT109" s="690">
        <v>0</v>
      </c>
      <c r="CU109" s="691">
        <v>0</v>
      </c>
      <c r="CV109" s="690">
        <v>0</v>
      </c>
    </row>
    <row r="110" spans="1:100">
      <c r="A110" s="457">
        <v>108</v>
      </c>
      <c r="B110" s="577">
        <v>0</v>
      </c>
      <c r="C110" s="577">
        <v>0</v>
      </c>
      <c r="D110" s="577">
        <v>0</v>
      </c>
      <c r="E110" s="577">
        <v>0</v>
      </c>
      <c r="F110" s="577">
        <v>0</v>
      </c>
      <c r="G110" s="577">
        <v>0</v>
      </c>
      <c r="H110" s="577">
        <v>0</v>
      </c>
      <c r="I110" s="577">
        <v>0</v>
      </c>
      <c r="J110" s="577">
        <v>0</v>
      </c>
      <c r="K110" s="577">
        <v>0</v>
      </c>
      <c r="L110" s="577">
        <v>0</v>
      </c>
      <c r="M110" s="577">
        <v>0</v>
      </c>
      <c r="N110" s="577">
        <v>0</v>
      </c>
      <c r="O110" s="577">
        <v>0</v>
      </c>
      <c r="P110" s="577">
        <v>0</v>
      </c>
      <c r="Q110" s="577">
        <v>0</v>
      </c>
      <c r="R110" s="577">
        <v>0</v>
      </c>
      <c r="S110" s="577">
        <v>0</v>
      </c>
      <c r="T110" s="577">
        <v>0</v>
      </c>
      <c r="U110" s="577">
        <v>0</v>
      </c>
      <c r="V110" s="577">
        <v>0</v>
      </c>
      <c r="W110" s="592">
        <v>0</v>
      </c>
      <c r="X110" s="685">
        <v>0</v>
      </c>
      <c r="Y110" s="685">
        <v>0</v>
      </c>
      <c r="Z110" s="685">
        <v>0</v>
      </c>
      <c r="AA110" s="685">
        <v>0</v>
      </c>
      <c r="AB110" s="685">
        <v>0</v>
      </c>
      <c r="AC110" s="685">
        <v>0</v>
      </c>
      <c r="AD110" s="685">
        <v>0</v>
      </c>
      <c r="AE110" s="910">
        <v>0</v>
      </c>
      <c r="AF110" s="911">
        <v>0</v>
      </c>
      <c r="AG110" s="912">
        <v>0</v>
      </c>
      <c r="AH110" s="685">
        <v>0</v>
      </c>
      <c r="AI110" s="684">
        <v>0</v>
      </c>
      <c r="AJ110" s="682">
        <v>0</v>
      </c>
      <c r="AK110" s="684">
        <v>0</v>
      </c>
      <c r="AL110" s="686">
        <v>0</v>
      </c>
      <c r="AM110" s="682">
        <v>0</v>
      </c>
      <c r="AN110" s="682">
        <v>0</v>
      </c>
      <c r="AO110" s="686">
        <v>0</v>
      </c>
      <c r="AP110" s="687">
        <v>2E-3</v>
      </c>
      <c r="AQ110" s="684">
        <f t="shared" si="23"/>
        <v>7.1428571428571426E-3</v>
      </c>
      <c r="AR110" s="682">
        <v>0</v>
      </c>
      <c r="AS110" s="684">
        <v>0</v>
      </c>
      <c r="AT110" s="688">
        <v>2E-3</v>
      </c>
      <c r="AU110" s="682">
        <v>0</v>
      </c>
      <c r="AV110" s="684">
        <v>0</v>
      </c>
      <c r="AW110" s="689">
        <v>0</v>
      </c>
      <c r="AX110" s="690">
        <v>0</v>
      </c>
      <c r="AY110" s="689">
        <v>0</v>
      </c>
      <c r="AZ110" s="690">
        <v>0</v>
      </c>
      <c r="BA110" s="689">
        <v>0</v>
      </c>
      <c r="BB110" s="690">
        <v>0</v>
      </c>
      <c r="BC110" s="691">
        <v>0</v>
      </c>
      <c r="BD110" s="692">
        <v>0</v>
      </c>
      <c r="BE110" s="689">
        <v>0</v>
      </c>
      <c r="BF110" s="690">
        <v>0</v>
      </c>
      <c r="BG110" s="691">
        <v>0</v>
      </c>
      <c r="BH110" s="690">
        <v>0</v>
      </c>
      <c r="BI110" s="691">
        <v>0</v>
      </c>
      <c r="BJ110" s="690">
        <v>0</v>
      </c>
      <c r="BK110" s="691">
        <v>0</v>
      </c>
      <c r="BL110" s="690">
        <v>0</v>
      </c>
      <c r="BM110" s="691">
        <v>0</v>
      </c>
      <c r="BN110" s="690">
        <v>0</v>
      </c>
      <c r="BO110" s="691">
        <v>0</v>
      </c>
      <c r="BP110" s="690">
        <v>0</v>
      </c>
      <c r="BQ110" s="691">
        <v>0</v>
      </c>
      <c r="BR110" s="690">
        <v>0</v>
      </c>
      <c r="BS110" s="691">
        <v>0</v>
      </c>
      <c r="BT110" s="690">
        <v>0</v>
      </c>
      <c r="BU110" s="691">
        <v>0</v>
      </c>
      <c r="BV110" s="690">
        <v>0</v>
      </c>
      <c r="BW110" s="691">
        <v>0</v>
      </c>
      <c r="BX110" s="690">
        <v>0</v>
      </c>
      <c r="BY110" s="691">
        <v>0</v>
      </c>
      <c r="BZ110" s="690">
        <v>0</v>
      </c>
      <c r="CA110" s="691">
        <v>0</v>
      </c>
      <c r="CB110" s="690">
        <v>0</v>
      </c>
      <c r="CC110" s="689">
        <v>0</v>
      </c>
      <c r="CD110" s="692">
        <v>0</v>
      </c>
      <c r="CE110" s="689">
        <v>0</v>
      </c>
      <c r="CF110" s="692">
        <v>0</v>
      </c>
      <c r="CG110" s="689">
        <v>0</v>
      </c>
      <c r="CH110" s="692">
        <v>0</v>
      </c>
      <c r="CI110" s="689">
        <v>0</v>
      </c>
      <c r="CJ110" s="692">
        <v>0</v>
      </c>
      <c r="CK110" s="689">
        <v>0</v>
      </c>
      <c r="CL110" s="692">
        <v>0</v>
      </c>
      <c r="CM110" s="689">
        <v>0</v>
      </c>
      <c r="CN110" s="692">
        <v>0</v>
      </c>
      <c r="CO110" s="689">
        <v>0</v>
      </c>
      <c r="CP110" s="692">
        <v>0</v>
      </c>
      <c r="CQ110" s="689">
        <v>0</v>
      </c>
      <c r="CR110" s="690">
        <v>0</v>
      </c>
      <c r="CS110" s="689">
        <v>0</v>
      </c>
      <c r="CT110" s="690">
        <v>0</v>
      </c>
      <c r="CU110" s="691">
        <v>0</v>
      </c>
      <c r="CV110" s="690">
        <v>0</v>
      </c>
    </row>
    <row r="111" spans="1:100">
      <c r="A111" s="457">
        <v>109</v>
      </c>
      <c r="B111" s="577">
        <v>0</v>
      </c>
      <c r="C111" s="577">
        <v>0</v>
      </c>
      <c r="D111" s="577">
        <v>0</v>
      </c>
      <c r="E111" s="577">
        <v>0</v>
      </c>
      <c r="F111" s="577">
        <v>0</v>
      </c>
      <c r="G111" s="577">
        <v>0</v>
      </c>
      <c r="H111" s="577">
        <v>0</v>
      </c>
      <c r="I111" s="577">
        <v>0</v>
      </c>
      <c r="J111" s="577">
        <v>0</v>
      </c>
      <c r="K111" s="577">
        <v>0</v>
      </c>
      <c r="L111" s="577">
        <v>0</v>
      </c>
      <c r="M111" s="577">
        <v>0</v>
      </c>
      <c r="N111" s="577">
        <v>0</v>
      </c>
      <c r="O111" s="577">
        <v>0</v>
      </c>
      <c r="P111" s="577">
        <v>0</v>
      </c>
      <c r="Q111" s="577">
        <v>0</v>
      </c>
      <c r="R111" s="577">
        <v>0</v>
      </c>
      <c r="S111" s="577">
        <v>0</v>
      </c>
      <c r="T111" s="577">
        <v>0</v>
      </c>
      <c r="U111" s="577">
        <v>0</v>
      </c>
      <c r="V111" s="577">
        <v>0</v>
      </c>
      <c r="W111" s="592">
        <v>0</v>
      </c>
      <c r="X111" s="685">
        <v>0</v>
      </c>
      <c r="Y111" s="685">
        <v>0</v>
      </c>
      <c r="Z111" s="685">
        <v>0</v>
      </c>
      <c r="AA111" s="685">
        <v>0</v>
      </c>
      <c r="AB111" s="685">
        <v>0</v>
      </c>
      <c r="AC111" s="685">
        <v>0</v>
      </c>
      <c r="AD111" s="685">
        <v>0</v>
      </c>
      <c r="AE111" s="910">
        <v>0</v>
      </c>
      <c r="AF111" s="911">
        <v>0</v>
      </c>
      <c r="AG111" s="912">
        <v>0</v>
      </c>
      <c r="AH111" s="685">
        <v>0</v>
      </c>
      <c r="AI111" s="684">
        <v>0</v>
      </c>
      <c r="AJ111" s="682">
        <v>0</v>
      </c>
      <c r="AK111" s="684">
        <v>0</v>
      </c>
      <c r="AL111" s="686">
        <v>0</v>
      </c>
      <c r="AM111" s="682">
        <v>0</v>
      </c>
      <c r="AN111" s="682">
        <v>0</v>
      </c>
      <c r="AO111" s="686">
        <v>0</v>
      </c>
      <c r="AP111" s="687">
        <v>2E-3</v>
      </c>
      <c r="AQ111" s="684">
        <f t="shared" si="23"/>
        <v>7.1428571428571426E-3</v>
      </c>
      <c r="AR111" s="682">
        <v>0</v>
      </c>
      <c r="AS111" s="684">
        <v>0</v>
      </c>
      <c r="AT111" s="688">
        <v>2E-3</v>
      </c>
      <c r="AU111" s="682">
        <v>0</v>
      </c>
      <c r="AV111" s="684">
        <v>0</v>
      </c>
      <c r="AW111" s="689">
        <v>0</v>
      </c>
      <c r="AX111" s="690">
        <v>0</v>
      </c>
      <c r="AY111" s="689">
        <v>0</v>
      </c>
      <c r="AZ111" s="690">
        <v>0</v>
      </c>
      <c r="BA111" s="689">
        <v>0</v>
      </c>
      <c r="BB111" s="690">
        <v>0</v>
      </c>
      <c r="BC111" s="691">
        <v>0</v>
      </c>
      <c r="BD111" s="692">
        <v>0</v>
      </c>
      <c r="BE111" s="689">
        <v>0</v>
      </c>
      <c r="BF111" s="690">
        <v>0</v>
      </c>
      <c r="BG111" s="691">
        <v>0</v>
      </c>
      <c r="BH111" s="690">
        <v>0</v>
      </c>
      <c r="BI111" s="691">
        <v>0</v>
      </c>
      <c r="BJ111" s="690">
        <v>0</v>
      </c>
      <c r="BK111" s="691">
        <v>0</v>
      </c>
      <c r="BL111" s="690">
        <v>0</v>
      </c>
      <c r="BM111" s="691">
        <v>0</v>
      </c>
      <c r="BN111" s="690">
        <v>0</v>
      </c>
      <c r="BO111" s="691">
        <v>0</v>
      </c>
      <c r="BP111" s="690">
        <v>0</v>
      </c>
      <c r="BQ111" s="691">
        <v>0</v>
      </c>
      <c r="BR111" s="690">
        <v>0</v>
      </c>
      <c r="BS111" s="691">
        <v>0</v>
      </c>
      <c r="BT111" s="690">
        <v>0</v>
      </c>
      <c r="BU111" s="691">
        <v>0</v>
      </c>
      <c r="BV111" s="690">
        <v>0</v>
      </c>
      <c r="BW111" s="691">
        <v>0</v>
      </c>
      <c r="BX111" s="690">
        <v>0</v>
      </c>
      <c r="BY111" s="691">
        <v>0</v>
      </c>
      <c r="BZ111" s="690">
        <v>0</v>
      </c>
      <c r="CA111" s="691">
        <v>0</v>
      </c>
      <c r="CB111" s="690">
        <v>0</v>
      </c>
      <c r="CC111" s="689">
        <v>0</v>
      </c>
      <c r="CD111" s="692">
        <v>0</v>
      </c>
      <c r="CE111" s="689">
        <v>0</v>
      </c>
      <c r="CF111" s="692">
        <v>0</v>
      </c>
      <c r="CG111" s="689">
        <v>0</v>
      </c>
      <c r="CH111" s="692">
        <v>0</v>
      </c>
      <c r="CI111" s="689">
        <v>0</v>
      </c>
      <c r="CJ111" s="692">
        <v>0</v>
      </c>
      <c r="CK111" s="689">
        <v>0</v>
      </c>
      <c r="CL111" s="692">
        <v>0</v>
      </c>
      <c r="CM111" s="689">
        <v>0</v>
      </c>
      <c r="CN111" s="692">
        <v>0</v>
      </c>
      <c r="CO111" s="689">
        <v>0</v>
      </c>
      <c r="CP111" s="692">
        <v>0</v>
      </c>
      <c r="CQ111" s="689">
        <v>0</v>
      </c>
      <c r="CR111" s="690">
        <v>0</v>
      </c>
      <c r="CS111" s="689">
        <v>0</v>
      </c>
      <c r="CT111" s="690">
        <v>0</v>
      </c>
      <c r="CU111" s="691">
        <v>0</v>
      </c>
      <c r="CV111" s="690">
        <v>0</v>
      </c>
    </row>
    <row r="112" spans="1:100">
      <c r="A112" s="457">
        <v>110</v>
      </c>
      <c r="B112" s="577">
        <v>0</v>
      </c>
      <c r="C112" s="577">
        <v>0</v>
      </c>
      <c r="D112" s="577">
        <v>0</v>
      </c>
      <c r="E112" s="577">
        <v>0</v>
      </c>
      <c r="F112" s="577">
        <v>0</v>
      </c>
      <c r="G112" s="577">
        <v>0</v>
      </c>
      <c r="H112" s="577">
        <v>0</v>
      </c>
      <c r="I112" s="577">
        <v>0</v>
      </c>
      <c r="J112" s="577">
        <v>0</v>
      </c>
      <c r="K112" s="577">
        <v>0</v>
      </c>
      <c r="L112" s="577">
        <v>0</v>
      </c>
      <c r="M112" s="577">
        <v>0</v>
      </c>
      <c r="N112" s="577">
        <v>0</v>
      </c>
      <c r="O112" s="577">
        <v>0</v>
      </c>
      <c r="P112" s="577">
        <v>0</v>
      </c>
      <c r="Q112" s="577">
        <v>0</v>
      </c>
      <c r="R112" s="577">
        <v>0</v>
      </c>
      <c r="S112" s="577">
        <v>0</v>
      </c>
      <c r="T112" s="577">
        <v>0</v>
      </c>
      <c r="U112" s="577">
        <v>0</v>
      </c>
      <c r="V112" s="577">
        <v>0</v>
      </c>
      <c r="W112" s="592">
        <v>0</v>
      </c>
      <c r="X112" s="685">
        <v>0</v>
      </c>
      <c r="Y112" s="685">
        <v>0</v>
      </c>
      <c r="Z112" s="685">
        <v>0</v>
      </c>
      <c r="AA112" s="685">
        <v>0</v>
      </c>
      <c r="AB112" s="685">
        <v>0</v>
      </c>
      <c r="AC112" s="685">
        <v>0</v>
      </c>
      <c r="AD112" s="685">
        <v>0</v>
      </c>
      <c r="AE112" s="910">
        <v>0</v>
      </c>
      <c r="AF112" s="911">
        <v>0</v>
      </c>
      <c r="AG112" s="912">
        <v>0</v>
      </c>
      <c r="AH112" s="685">
        <v>0</v>
      </c>
      <c r="AI112" s="684">
        <v>0</v>
      </c>
      <c r="AJ112" s="682">
        <v>0</v>
      </c>
      <c r="AK112" s="684">
        <v>0</v>
      </c>
      <c r="AL112" s="686">
        <v>0</v>
      </c>
      <c r="AM112" s="682">
        <v>0</v>
      </c>
      <c r="AN112" s="682">
        <v>0</v>
      </c>
      <c r="AO112" s="686">
        <v>0</v>
      </c>
      <c r="AP112" s="687">
        <v>2E-3</v>
      </c>
      <c r="AQ112" s="684">
        <f t="shared" si="23"/>
        <v>7.1428571428571426E-3</v>
      </c>
      <c r="AR112" s="682">
        <v>0</v>
      </c>
      <c r="AS112" s="684">
        <v>0</v>
      </c>
      <c r="AT112" s="688">
        <v>2E-3</v>
      </c>
      <c r="AU112" s="682">
        <v>0</v>
      </c>
      <c r="AV112" s="684">
        <v>0</v>
      </c>
      <c r="AW112" s="689">
        <v>0</v>
      </c>
      <c r="AX112" s="690">
        <v>0</v>
      </c>
      <c r="AY112" s="689">
        <v>0</v>
      </c>
      <c r="AZ112" s="690">
        <v>0</v>
      </c>
      <c r="BA112" s="689">
        <v>0</v>
      </c>
      <c r="BB112" s="690">
        <v>0</v>
      </c>
      <c r="BC112" s="691">
        <v>0</v>
      </c>
      <c r="BD112" s="692">
        <v>0</v>
      </c>
      <c r="BE112" s="689">
        <v>0</v>
      </c>
      <c r="BF112" s="690">
        <v>0</v>
      </c>
      <c r="BG112" s="691">
        <v>0</v>
      </c>
      <c r="BH112" s="690">
        <v>0</v>
      </c>
      <c r="BI112" s="691">
        <v>0</v>
      </c>
      <c r="BJ112" s="690">
        <v>0</v>
      </c>
      <c r="BK112" s="691">
        <v>0</v>
      </c>
      <c r="BL112" s="690">
        <v>0</v>
      </c>
      <c r="BM112" s="691">
        <v>0</v>
      </c>
      <c r="BN112" s="690">
        <v>0</v>
      </c>
      <c r="BO112" s="691">
        <v>0</v>
      </c>
      <c r="BP112" s="690">
        <v>0</v>
      </c>
      <c r="BQ112" s="691">
        <v>0</v>
      </c>
      <c r="BR112" s="690">
        <v>0</v>
      </c>
      <c r="BS112" s="691">
        <v>0</v>
      </c>
      <c r="BT112" s="690">
        <v>0</v>
      </c>
      <c r="BU112" s="691">
        <v>0</v>
      </c>
      <c r="BV112" s="690">
        <v>0</v>
      </c>
      <c r="BW112" s="691">
        <v>0</v>
      </c>
      <c r="BX112" s="690">
        <v>0</v>
      </c>
      <c r="BY112" s="691">
        <v>0</v>
      </c>
      <c r="BZ112" s="690">
        <v>0</v>
      </c>
      <c r="CA112" s="691">
        <v>0</v>
      </c>
      <c r="CB112" s="690">
        <v>0</v>
      </c>
      <c r="CC112" s="689">
        <v>0</v>
      </c>
      <c r="CD112" s="692">
        <v>0</v>
      </c>
      <c r="CE112" s="689">
        <v>0</v>
      </c>
      <c r="CF112" s="692">
        <v>0</v>
      </c>
      <c r="CG112" s="689">
        <v>0</v>
      </c>
      <c r="CH112" s="692">
        <v>0</v>
      </c>
      <c r="CI112" s="689">
        <v>0</v>
      </c>
      <c r="CJ112" s="692">
        <v>0</v>
      </c>
      <c r="CK112" s="689">
        <v>0</v>
      </c>
      <c r="CL112" s="692">
        <v>0</v>
      </c>
      <c r="CM112" s="689">
        <v>0</v>
      </c>
      <c r="CN112" s="692">
        <v>0</v>
      </c>
      <c r="CO112" s="689">
        <v>0</v>
      </c>
      <c r="CP112" s="692">
        <v>0</v>
      </c>
      <c r="CQ112" s="689">
        <v>0</v>
      </c>
      <c r="CR112" s="690">
        <v>0</v>
      </c>
      <c r="CS112" s="689">
        <v>0</v>
      </c>
      <c r="CT112" s="690">
        <v>0</v>
      </c>
      <c r="CU112" s="691">
        <v>0</v>
      </c>
      <c r="CV112" s="690">
        <v>0</v>
      </c>
    </row>
    <row r="113" spans="1:100">
      <c r="A113" s="457">
        <v>111</v>
      </c>
      <c r="B113" s="577">
        <v>0</v>
      </c>
      <c r="C113" s="577">
        <v>0</v>
      </c>
      <c r="D113" s="577">
        <v>0</v>
      </c>
      <c r="E113" s="577">
        <v>0</v>
      </c>
      <c r="F113" s="577">
        <v>0</v>
      </c>
      <c r="G113" s="577">
        <v>0</v>
      </c>
      <c r="H113" s="577">
        <v>0</v>
      </c>
      <c r="I113" s="577">
        <v>0</v>
      </c>
      <c r="J113" s="577">
        <v>0</v>
      </c>
      <c r="K113" s="577">
        <v>0</v>
      </c>
      <c r="L113" s="577">
        <v>0</v>
      </c>
      <c r="M113" s="577">
        <v>0</v>
      </c>
      <c r="N113" s="577">
        <v>0</v>
      </c>
      <c r="O113" s="577">
        <v>0</v>
      </c>
      <c r="P113" s="577">
        <v>0</v>
      </c>
      <c r="Q113" s="577">
        <v>0</v>
      </c>
      <c r="R113" s="577">
        <v>0</v>
      </c>
      <c r="S113" s="577">
        <v>0</v>
      </c>
      <c r="T113" s="577">
        <v>0</v>
      </c>
      <c r="U113" s="577">
        <v>0</v>
      </c>
      <c r="V113" s="577">
        <v>0</v>
      </c>
      <c r="W113" s="592">
        <v>0</v>
      </c>
      <c r="X113" s="685">
        <v>0</v>
      </c>
      <c r="Y113" s="685">
        <v>0</v>
      </c>
      <c r="Z113" s="685">
        <v>0</v>
      </c>
      <c r="AA113" s="685">
        <v>0</v>
      </c>
      <c r="AB113" s="685">
        <v>0</v>
      </c>
      <c r="AC113" s="685">
        <v>0</v>
      </c>
      <c r="AD113" s="685">
        <v>0</v>
      </c>
      <c r="AE113" s="910">
        <v>0</v>
      </c>
      <c r="AF113" s="911">
        <v>0</v>
      </c>
      <c r="AG113" s="912">
        <v>0</v>
      </c>
      <c r="AH113" s="685">
        <v>0</v>
      </c>
      <c r="AI113" s="684">
        <v>0</v>
      </c>
      <c r="AJ113" s="682">
        <v>0</v>
      </c>
      <c r="AK113" s="684">
        <v>0</v>
      </c>
      <c r="AL113" s="686">
        <v>0</v>
      </c>
      <c r="AM113" s="682">
        <v>0</v>
      </c>
      <c r="AN113" s="682">
        <v>0</v>
      </c>
      <c r="AO113" s="686">
        <v>0</v>
      </c>
      <c r="AP113" s="687">
        <v>2E-3</v>
      </c>
      <c r="AQ113" s="684">
        <f t="shared" si="23"/>
        <v>7.1428571428571426E-3</v>
      </c>
      <c r="AR113" s="682">
        <v>0</v>
      </c>
      <c r="AS113" s="684">
        <v>0</v>
      </c>
      <c r="AT113" s="688">
        <v>2E-3</v>
      </c>
      <c r="AU113" s="682">
        <v>0</v>
      </c>
      <c r="AV113" s="684">
        <v>0</v>
      </c>
      <c r="AW113" s="689">
        <v>0</v>
      </c>
      <c r="AX113" s="690">
        <v>0</v>
      </c>
      <c r="AY113" s="689">
        <v>0</v>
      </c>
      <c r="AZ113" s="690">
        <v>0</v>
      </c>
      <c r="BA113" s="689">
        <v>0</v>
      </c>
      <c r="BB113" s="690">
        <v>0</v>
      </c>
      <c r="BC113" s="691">
        <v>0</v>
      </c>
      <c r="BD113" s="692">
        <v>0</v>
      </c>
      <c r="BE113" s="689">
        <v>0</v>
      </c>
      <c r="BF113" s="690">
        <v>0</v>
      </c>
      <c r="BG113" s="691">
        <v>0</v>
      </c>
      <c r="BH113" s="690">
        <v>0</v>
      </c>
      <c r="BI113" s="691">
        <v>0</v>
      </c>
      <c r="BJ113" s="690">
        <v>0</v>
      </c>
      <c r="BK113" s="691">
        <v>0</v>
      </c>
      <c r="BL113" s="690">
        <v>0</v>
      </c>
      <c r="BM113" s="691">
        <v>0</v>
      </c>
      <c r="BN113" s="690">
        <v>0</v>
      </c>
      <c r="BO113" s="691">
        <v>0</v>
      </c>
      <c r="BP113" s="690">
        <v>0</v>
      </c>
      <c r="BQ113" s="691">
        <v>0</v>
      </c>
      <c r="BR113" s="690">
        <v>0</v>
      </c>
      <c r="BS113" s="691">
        <v>0</v>
      </c>
      <c r="BT113" s="690">
        <v>0</v>
      </c>
      <c r="BU113" s="691">
        <v>0</v>
      </c>
      <c r="BV113" s="690">
        <v>0</v>
      </c>
      <c r="BW113" s="691">
        <v>0</v>
      </c>
      <c r="BX113" s="690">
        <v>0</v>
      </c>
      <c r="BY113" s="691">
        <v>0</v>
      </c>
      <c r="BZ113" s="690">
        <v>0</v>
      </c>
      <c r="CA113" s="691">
        <v>0</v>
      </c>
      <c r="CB113" s="690">
        <v>0</v>
      </c>
      <c r="CC113" s="689">
        <v>0</v>
      </c>
      <c r="CD113" s="692">
        <v>0</v>
      </c>
      <c r="CE113" s="689">
        <v>0</v>
      </c>
      <c r="CF113" s="692">
        <v>0</v>
      </c>
      <c r="CG113" s="689">
        <v>0</v>
      </c>
      <c r="CH113" s="692">
        <v>0</v>
      </c>
      <c r="CI113" s="689">
        <v>0</v>
      </c>
      <c r="CJ113" s="692">
        <v>0</v>
      </c>
      <c r="CK113" s="689">
        <v>0</v>
      </c>
      <c r="CL113" s="692">
        <v>0</v>
      </c>
      <c r="CM113" s="689">
        <v>0</v>
      </c>
      <c r="CN113" s="692">
        <v>0</v>
      </c>
      <c r="CO113" s="689">
        <v>0</v>
      </c>
      <c r="CP113" s="692">
        <v>0</v>
      </c>
      <c r="CQ113" s="689">
        <v>0</v>
      </c>
      <c r="CR113" s="690">
        <v>0</v>
      </c>
      <c r="CS113" s="689">
        <v>0</v>
      </c>
      <c r="CT113" s="690">
        <v>0</v>
      </c>
      <c r="CU113" s="691">
        <v>0</v>
      </c>
      <c r="CV113" s="690">
        <v>0</v>
      </c>
    </row>
    <row r="114" spans="1:100">
      <c r="A114" s="457">
        <v>112</v>
      </c>
      <c r="B114" s="577">
        <v>0</v>
      </c>
      <c r="C114" s="577">
        <v>0</v>
      </c>
      <c r="D114" s="577">
        <v>0</v>
      </c>
      <c r="E114" s="577">
        <v>0</v>
      </c>
      <c r="F114" s="577">
        <v>0</v>
      </c>
      <c r="G114" s="577">
        <v>0</v>
      </c>
      <c r="H114" s="577">
        <v>0</v>
      </c>
      <c r="I114" s="577">
        <v>0</v>
      </c>
      <c r="J114" s="577">
        <v>0</v>
      </c>
      <c r="K114" s="577">
        <v>0</v>
      </c>
      <c r="L114" s="577">
        <v>0</v>
      </c>
      <c r="M114" s="577">
        <v>0</v>
      </c>
      <c r="N114" s="577">
        <v>0</v>
      </c>
      <c r="O114" s="577">
        <v>0</v>
      </c>
      <c r="P114" s="577">
        <v>0</v>
      </c>
      <c r="Q114" s="577">
        <v>0</v>
      </c>
      <c r="R114" s="577">
        <v>0</v>
      </c>
      <c r="S114" s="577">
        <v>0</v>
      </c>
      <c r="T114" s="577">
        <v>0</v>
      </c>
      <c r="U114" s="577">
        <v>0</v>
      </c>
      <c r="V114" s="577">
        <v>0</v>
      </c>
      <c r="W114" s="592">
        <v>0</v>
      </c>
      <c r="X114" s="685">
        <v>0</v>
      </c>
      <c r="Y114" s="685">
        <v>0</v>
      </c>
      <c r="Z114" s="685">
        <v>0</v>
      </c>
      <c r="AA114" s="685">
        <v>0</v>
      </c>
      <c r="AB114" s="685">
        <v>0</v>
      </c>
      <c r="AC114" s="685">
        <v>0</v>
      </c>
      <c r="AD114" s="685">
        <v>0</v>
      </c>
      <c r="AE114" s="910">
        <v>0</v>
      </c>
      <c r="AF114" s="911">
        <v>0</v>
      </c>
      <c r="AG114" s="912">
        <v>0</v>
      </c>
      <c r="AH114" s="685">
        <v>0</v>
      </c>
      <c r="AI114" s="684">
        <v>0</v>
      </c>
      <c r="AJ114" s="682">
        <v>0</v>
      </c>
      <c r="AK114" s="684">
        <v>0</v>
      </c>
      <c r="AL114" s="686">
        <v>0</v>
      </c>
      <c r="AM114" s="682">
        <v>0</v>
      </c>
      <c r="AN114" s="682">
        <v>0</v>
      </c>
      <c r="AO114" s="686">
        <v>0</v>
      </c>
      <c r="AP114" s="687">
        <v>2E-3</v>
      </c>
      <c r="AQ114" s="684">
        <f t="shared" si="23"/>
        <v>7.1428571428571426E-3</v>
      </c>
      <c r="AR114" s="682">
        <v>0</v>
      </c>
      <c r="AS114" s="684">
        <v>0</v>
      </c>
      <c r="AT114" s="688">
        <v>2E-3</v>
      </c>
      <c r="AU114" s="682">
        <v>0</v>
      </c>
      <c r="AV114" s="684">
        <v>0</v>
      </c>
      <c r="AW114" s="689">
        <v>0</v>
      </c>
      <c r="AX114" s="690">
        <v>0</v>
      </c>
      <c r="AY114" s="689">
        <v>0</v>
      </c>
      <c r="AZ114" s="690">
        <v>0</v>
      </c>
      <c r="BA114" s="689">
        <v>0</v>
      </c>
      <c r="BB114" s="690">
        <v>0</v>
      </c>
      <c r="BC114" s="691">
        <v>0</v>
      </c>
      <c r="BD114" s="692">
        <v>0</v>
      </c>
      <c r="BE114" s="689">
        <v>0</v>
      </c>
      <c r="BF114" s="690">
        <v>0</v>
      </c>
      <c r="BG114" s="691">
        <v>0</v>
      </c>
      <c r="BH114" s="690">
        <v>0</v>
      </c>
      <c r="BI114" s="691">
        <v>0</v>
      </c>
      <c r="BJ114" s="690">
        <v>0</v>
      </c>
      <c r="BK114" s="691">
        <v>0</v>
      </c>
      <c r="BL114" s="690">
        <v>0</v>
      </c>
      <c r="BM114" s="691">
        <v>0</v>
      </c>
      <c r="BN114" s="690">
        <v>0</v>
      </c>
      <c r="BO114" s="691">
        <v>0</v>
      </c>
      <c r="BP114" s="690">
        <v>0</v>
      </c>
      <c r="BQ114" s="691">
        <v>0</v>
      </c>
      <c r="BR114" s="690">
        <v>0</v>
      </c>
      <c r="BS114" s="691">
        <v>0</v>
      </c>
      <c r="BT114" s="690">
        <v>0</v>
      </c>
      <c r="BU114" s="691">
        <v>0</v>
      </c>
      <c r="BV114" s="690">
        <v>0</v>
      </c>
      <c r="BW114" s="691">
        <v>0</v>
      </c>
      <c r="BX114" s="690">
        <v>0</v>
      </c>
      <c r="BY114" s="691">
        <v>0</v>
      </c>
      <c r="BZ114" s="690">
        <v>0</v>
      </c>
      <c r="CA114" s="691">
        <v>0</v>
      </c>
      <c r="CB114" s="690">
        <v>0</v>
      </c>
      <c r="CC114" s="689">
        <v>0</v>
      </c>
      <c r="CD114" s="692">
        <v>0</v>
      </c>
      <c r="CE114" s="689">
        <v>0</v>
      </c>
      <c r="CF114" s="692">
        <v>0</v>
      </c>
      <c r="CG114" s="689">
        <v>0</v>
      </c>
      <c r="CH114" s="692">
        <v>0</v>
      </c>
      <c r="CI114" s="689">
        <v>0</v>
      </c>
      <c r="CJ114" s="692">
        <v>0</v>
      </c>
      <c r="CK114" s="689">
        <v>0</v>
      </c>
      <c r="CL114" s="692">
        <v>0</v>
      </c>
      <c r="CM114" s="689">
        <v>0</v>
      </c>
      <c r="CN114" s="692">
        <v>0</v>
      </c>
      <c r="CO114" s="689">
        <v>0</v>
      </c>
      <c r="CP114" s="692">
        <v>0</v>
      </c>
      <c r="CQ114" s="689">
        <v>0</v>
      </c>
      <c r="CR114" s="690">
        <v>0</v>
      </c>
      <c r="CS114" s="689">
        <v>0</v>
      </c>
      <c r="CT114" s="690">
        <v>0</v>
      </c>
      <c r="CU114" s="691">
        <v>0</v>
      </c>
      <c r="CV114" s="690">
        <v>0</v>
      </c>
    </row>
    <row r="115" spans="1:100">
      <c r="A115" s="457">
        <v>113</v>
      </c>
      <c r="B115" s="577">
        <v>0</v>
      </c>
      <c r="C115" s="577">
        <v>0</v>
      </c>
      <c r="D115" s="577">
        <v>0</v>
      </c>
      <c r="E115" s="577">
        <v>0</v>
      </c>
      <c r="F115" s="577">
        <v>0</v>
      </c>
      <c r="G115" s="577">
        <v>0</v>
      </c>
      <c r="H115" s="577">
        <v>0</v>
      </c>
      <c r="I115" s="577">
        <v>0</v>
      </c>
      <c r="J115" s="577">
        <v>0</v>
      </c>
      <c r="K115" s="577">
        <v>0</v>
      </c>
      <c r="L115" s="577">
        <v>0</v>
      </c>
      <c r="M115" s="577">
        <v>0</v>
      </c>
      <c r="N115" s="577">
        <v>0</v>
      </c>
      <c r="O115" s="577">
        <v>0</v>
      </c>
      <c r="P115" s="577">
        <v>0</v>
      </c>
      <c r="Q115" s="577">
        <v>0</v>
      </c>
      <c r="R115" s="577">
        <v>0</v>
      </c>
      <c r="S115" s="577">
        <v>0</v>
      </c>
      <c r="T115" s="577">
        <v>0</v>
      </c>
      <c r="U115" s="577">
        <v>0</v>
      </c>
      <c r="V115" s="577">
        <v>0</v>
      </c>
      <c r="W115" s="592">
        <v>0</v>
      </c>
      <c r="X115" s="685">
        <v>0</v>
      </c>
      <c r="Y115" s="685">
        <v>0</v>
      </c>
      <c r="Z115" s="685">
        <v>0</v>
      </c>
      <c r="AA115" s="685">
        <v>0</v>
      </c>
      <c r="AB115" s="685">
        <v>0</v>
      </c>
      <c r="AC115" s="685">
        <v>0</v>
      </c>
      <c r="AD115" s="685">
        <v>0</v>
      </c>
      <c r="AE115" s="910">
        <v>0</v>
      </c>
      <c r="AF115" s="911">
        <v>0</v>
      </c>
      <c r="AG115" s="912">
        <v>0</v>
      </c>
      <c r="AH115" s="685">
        <v>0</v>
      </c>
      <c r="AI115" s="684">
        <v>0</v>
      </c>
      <c r="AJ115" s="682">
        <v>0</v>
      </c>
      <c r="AK115" s="684">
        <v>0</v>
      </c>
      <c r="AL115" s="686">
        <v>0</v>
      </c>
      <c r="AM115" s="682">
        <v>0</v>
      </c>
      <c r="AN115" s="682">
        <v>0</v>
      </c>
      <c r="AO115" s="686">
        <v>0</v>
      </c>
      <c r="AP115" s="687">
        <v>2E-3</v>
      </c>
      <c r="AQ115" s="684">
        <f t="shared" si="23"/>
        <v>7.1428571428571426E-3</v>
      </c>
      <c r="AR115" s="682">
        <v>0</v>
      </c>
      <c r="AS115" s="684">
        <v>0</v>
      </c>
      <c r="AT115" s="688">
        <v>2E-3</v>
      </c>
      <c r="AU115" s="682">
        <v>0</v>
      </c>
      <c r="AV115" s="684">
        <v>0</v>
      </c>
      <c r="AW115" s="689">
        <v>0</v>
      </c>
      <c r="AX115" s="690">
        <v>0</v>
      </c>
      <c r="AY115" s="689">
        <v>0</v>
      </c>
      <c r="AZ115" s="690">
        <v>0</v>
      </c>
      <c r="BA115" s="689">
        <v>0</v>
      </c>
      <c r="BB115" s="690">
        <v>0</v>
      </c>
      <c r="BC115" s="691">
        <v>0</v>
      </c>
      <c r="BD115" s="692">
        <v>0</v>
      </c>
      <c r="BE115" s="689">
        <v>0</v>
      </c>
      <c r="BF115" s="690">
        <v>0</v>
      </c>
      <c r="BG115" s="691">
        <v>0</v>
      </c>
      <c r="BH115" s="690">
        <v>0</v>
      </c>
      <c r="BI115" s="691">
        <v>0</v>
      </c>
      <c r="BJ115" s="690">
        <v>0</v>
      </c>
      <c r="BK115" s="691">
        <v>0</v>
      </c>
      <c r="BL115" s="690">
        <v>0</v>
      </c>
      <c r="BM115" s="691">
        <v>0</v>
      </c>
      <c r="BN115" s="690">
        <v>0</v>
      </c>
      <c r="BO115" s="691">
        <v>0</v>
      </c>
      <c r="BP115" s="690">
        <v>0</v>
      </c>
      <c r="BQ115" s="691">
        <v>0</v>
      </c>
      <c r="BR115" s="690">
        <v>0</v>
      </c>
      <c r="BS115" s="691">
        <v>0</v>
      </c>
      <c r="BT115" s="690">
        <v>0</v>
      </c>
      <c r="BU115" s="691">
        <v>0</v>
      </c>
      <c r="BV115" s="690">
        <v>0</v>
      </c>
      <c r="BW115" s="691">
        <v>0</v>
      </c>
      <c r="BX115" s="690">
        <v>0</v>
      </c>
      <c r="BY115" s="691">
        <v>0</v>
      </c>
      <c r="BZ115" s="690">
        <v>0</v>
      </c>
      <c r="CA115" s="691">
        <v>0</v>
      </c>
      <c r="CB115" s="690">
        <v>0</v>
      </c>
      <c r="CC115" s="689">
        <v>0</v>
      </c>
      <c r="CD115" s="692">
        <v>0</v>
      </c>
      <c r="CE115" s="689">
        <v>0</v>
      </c>
      <c r="CF115" s="692">
        <v>0</v>
      </c>
      <c r="CG115" s="689">
        <v>0</v>
      </c>
      <c r="CH115" s="692">
        <v>0</v>
      </c>
      <c r="CI115" s="689">
        <v>0</v>
      </c>
      <c r="CJ115" s="692">
        <v>0</v>
      </c>
      <c r="CK115" s="689">
        <v>0</v>
      </c>
      <c r="CL115" s="692">
        <v>0</v>
      </c>
      <c r="CM115" s="689">
        <v>0</v>
      </c>
      <c r="CN115" s="692">
        <v>0</v>
      </c>
      <c r="CO115" s="689">
        <v>0</v>
      </c>
      <c r="CP115" s="692">
        <v>0</v>
      </c>
      <c r="CQ115" s="689">
        <v>0</v>
      </c>
      <c r="CR115" s="690">
        <v>0</v>
      </c>
      <c r="CS115" s="689">
        <v>0</v>
      </c>
      <c r="CT115" s="690">
        <v>0</v>
      </c>
      <c r="CU115" s="691">
        <v>0</v>
      </c>
      <c r="CV115" s="690">
        <v>0</v>
      </c>
    </row>
    <row r="116" spans="1:100">
      <c r="A116" s="457">
        <v>114</v>
      </c>
      <c r="B116" s="577">
        <v>0</v>
      </c>
      <c r="C116" s="577">
        <v>0</v>
      </c>
      <c r="D116" s="577">
        <v>0</v>
      </c>
      <c r="E116" s="577">
        <v>0</v>
      </c>
      <c r="F116" s="577">
        <v>0</v>
      </c>
      <c r="G116" s="577">
        <v>0</v>
      </c>
      <c r="H116" s="577">
        <v>0</v>
      </c>
      <c r="I116" s="577">
        <v>0</v>
      </c>
      <c r="J116" s="577">
        <v>0</v>
      </c>
      <c r="K116" s="577">
        <v>0</v>
      </c>
      <c r="L116" s="577">
        <v>0</v>
      </c>
      <c r="M116" s="577">
        <v>0</v>
      </c>
      <c r="N116" s="577">
        <v>0</v>
      </c>
      <c r="O116" s="577">
        <v>0</v>
      </c>
      <c r="P116" s="577">
        <v>0</v>
      </c>
      <c r="Q116" s="577">
        <v>0</v>
      </c>
      <c r="R116" s="577">
        <v>0</v>
      </c>
      <c r="S116" s="577">
        <v>0</v>
      </c>
      <c r="T116" s="577">
        <v>0</v>
      </c>
      <c r="U116" s="577">
        <v>0</v>
      </c>
      <c r="V116" s="577">
        <v>0</v>
      </c>
      <c r="W116" s="592">
        <v>0</v>
      </c>
      <c r="X116" s="685">
        <v>0</v>
      </c>
      <c r="Y116" s="685">
        <v>0</v>
      </c>
      <c r="Z116" s="685">
        <v>0</v>
      </c>
      <c r="AA116" s="685">
        <v>0</v>
      </c>
      <c r="AB116" s="685">
        <v>0</v>
      </c>
      <c r="AC116" s="685">
        <v>0</v>
      </c>
      <c r="AD116" s="685">
        <v>0</v>
      </c>
      <c r="AE116" s="910">
        <v>0</v>
      </c>
      <c r="AF116" s="911">
        <v>0</v>
      </c>
      <c r="AG116" s="912">
        <v>0</v>
      </c>
      <c r="AH116" s="685">
        <v>0</v>
      </c>
      <c r="AI116" s="684">
        <v>0</v>
      </c>
      <c r="AJ116" s="682">
        <v>0</v>
      </c>
      <c r="AK116" s="684">
        <v>0</v>
      </c>
      <c r="AL116" s="686">
        <v>0</v>
      </c>
      <c r="AM116" s="682">
        <v>0</v>
      </c>
      <c r="AN116" s="682">
        <v>0</v>
      </c>
      <c r="AO116" s="686">
        <v>0</v>
      </c>
      <c r="AP116" s="687">
        <v>2E-3</v>
      </c>
      <c r="AQ116" s="684">
        <f t="shared" si="23"/>
        <v>7.1428571428571426E-3</v>
      </c>
      <c r="AR116" s="682">
        <v>0</v>
      </c>
      <c r="AS116" s="684">
        <v>0</v>
      </c>
      <c r="AT116" s="688">
        <v>2E-3</v>
      </c>
      <c r="AU116" s="682">
        <v>0</v>
      </c>
      <c r="AV116" s="684">
        <v>0</v>
      </c>
      <c r="AW116" s="689">
        <v>0</v>
      </c>
      <c r="AX116" s="690">
        <v>0</v>
      </c>
      <c r="AY116" s="689">
        <v>0</v>
      </c>
      <c r="AZ116" s="690">
        <v>0</v>
      </c>
      <c r="BA116" s="689">
        <v>0</v>
      </c>
      <c r="BB116" s="690">
        <v>0</v>
      </c>
      <c r="BC116" s="691">
        <v>0</v>
      </c>
      <c r="BD116" s="692">
        <v>0</v>
      </c>
      <c r="BE116" s="689">
        <v>0</v>
      </c>
      <c r="BF116" s="690">
        <v>0</v>
      </c>
      <c r="BG116" s="691">
        <v>0</v>
      </c>
      <c r="BH116" s="690">
        <v>0</v>
      </c>
      <c r="BI116" s="691">
        <v>0</v>
      </c>
      <c r="BJ116" s="690">
        <v>0</v>
      </c>
      <c r="BK116" s="691">
        <v>0</v>
      </c>
      <c r="BL116" s="690">
        <v>0</v>
      </c>
      <c r="BM116" s="691">
        <v>0</v>
      </c>
      <c r="BN116" s="690">
        <v>0</v>
      </c>
      <c r="BO116" s="691">
        <v>0</v>
      </c>
      <c r="BP116" s="690">
        <v>0</v>
      </c>
      <c r="BQ116" s="691">
        <v>0</v>
      </c>
      <c r="BR116" s="690">
        <v>0</v>
      </c>
      <c r="BS116" s="691">
        <v>0</v>
      </c>
      <c r="BT116" s="690">
        <v>0</v>
      </c>
      <c r="BU116" s="691">
        <v>0</v>
      </c>
      <c r="BV116" s="690">
        <v>0</v>
      </c>
      <c r="BW116" s="691">
        <v>0</v>
      </c>
      <c r="BX116" s="690">
        <v>0</v>
      </c>
      <c r="BY116" s="691">
        <v>0</v>
      </c>
      <c r="BZ116" s="690">
        <v>0</v>
      </c>
      <c r="CA116" s="691">
        <v>0</v>
      </c>
      <c r="CB116" s="690">
        <v>0</v>
      </c>
      <c r="CC116" s="689">
        <v>0</v>
      </c>
      <c r="CD116" s="692">
        <v>0</v>
      </c>
      <c r="CE116" s="689">
        <v>0</v>
      </c>
      <c r="CF116" s="692">
        <v>0</v>
      </c>
      <c r="CG116" s="689">
        <v>0</v>
      </c>
      <c r="CH116" s="692">
        <v>0</v>
      </c>
      <c r="CI116" s="689">
        <v>0</v>
      </c>
      <c r="CJ116" s="692">
        <v>0</v>
      </c>
      <c r="CK116" s="689">
        <v>0</v>
      </c>
      <c r="CL116" s="692">
        <v>0</v>
      </c>
      <c r="CM116" s="689">
        <v>0</v>
      </c>
      <c r="CN116" s="692">
        <v>0</v>
      </c>
      <c r="CO116" s="689">
        <v>0</v>
      </c>
      <c r="CP116" s="692">
        <v>0</v>
      </c>
      <c r="CQ116" s="689">
        <v>0</v>
      </c>
      <c r="CR116" s="690">
        <v>0</v>
      </c>
      <c r="CS116" s="689">
        <v>0</v>
      </c>
      <c r="CT116" s="690">
        <v>0</v>
      </c>
      <c r="CU116" s="691">
        <v>0</v>
      </c>
      <c r="CV116" s="690">
        <v>0</v>
      </c>
    </row>
    <row r="117" spans="1:100">
      <c r="A117" s="457">
        <v>115</v>
      </c>
      <c r="B117" s="577">
        <v>0</v>
      </c>
      <c r="C117" s="577">
        <v>0</v>
      </c>
      <c r="D117" s="577">
        <v>0</v>
      </c>
      <c r="E117" s="577">
        <v>0</v>
      </c>
      <c r="F117" s="577">
        <v>0</v>
      </c>
      <c r="G117" s="577">
        <v>0</v>
      </c>
      <c r="H117" s="577">
        <v>0</v>
      </c>
      <c r="I117" s="577">
        <v>0</v>
      </c>
      <c r="J117" s="577">
        <v>0</v>
      </c>
      <c r="K117" s="577">
        <v>0</v>
      </c>
      <c r="L117" s="577">
        <v>0</v>
      </c>
      <c r="M117" s="577">
        <v>0</v>
      </c>
      <c r="N117" s="577">
        <v>0</v>
      </c>
      <c r="O117" s="577">
        <v>0</v>
      </c>
      <c r="P117" s="577">
        <v>0</v>
      </c>
      <c r="Q117" s="577">
        <v>0</v>
      </c>
      <c r="R117" s="577">
        <v>0</v>
      </c>
      <c r="S117" s="577">
        <v>0</v>
      </c>
      <c r="T117" s="577">
        <v>0</v>
      </c>
      <c r="U117" s="577">
        <v>0</v>
      </c>
      <c r="V117" s="577">
        <v>0</v>
      </c>
      <c r="W117" s="592">
        <v>0</v>
      </c>
      <c r="X117" s="685">
        <v>0</v>
      </c>
      <c r="Y117" s="685">
        <v>0</v>
      </c>
      <c r="Z117" s="685">
        <v>0</v>
      </c>
      <c r="AA117" s="685">
        <v>0</v>
      </c>
      <c r="AB117" s="685">
        <v>0</v>
      </c>
      <c r="AC117" s="685">
        <v>0</v>
      </c>
      <c r="AD117" s="685">
        <v>0</v>
      </c>
      <c r="AE117" s="910">
        <v>0</v>
      </c>
      <c r="AF117" s="911">
        <v>0</v>
      </c>
      <c r="AG117" s="912">
        <v>0</v>
      </c>
      <c r="AH117" s="685">
        <v>0</v>
      </c>
      <c r="AI117" s="684">
        <v>0</v>
      </c>
      <c r="AJ117" s="682">
        <v>0</v>
      </c>
      <c r="AK117" s="684">
        <v>0</v>
      </c>
      <c r="AL117" s="686">
        <v>0</v>
      </c>
      <c r="AM117" s="682">
        <v>0</v>
      </c>
      <c r="AN117" s="682">
        <v>0</v>
      </c>
      <c r="AO117" s="686">
        <v>0</v>
      </c>
      <c r="AP117" s="687">
        <v>2E-3</v>
      </c>
      <c r="AQ117" s="684">
        <f t="shared" si="23"/>
        <v>7.1428571428571426E-3</v>
      </c>
      <c r="AR117" s="682">
        <v>0</v>
      </c>
      <c r="AS117" s="684">
        <v>0</v>
      </c>
      <c r="AT117" s="688">
        <v>2E-3</v>
      </c>
      <c r="AU117" s="682">
        <v>0</v>
      </c>
      <c r="AV117" s="684">
        <v>0</v>
      </c>
      <c r="AW117" s="689">
        <v>0</v>
      </c>
      <c r="AX117" s="690">
        <v>0</v>
      </c>
      <c r="AY117" s="689">
        <v>0</v>
      </c>
      <c r="AZ117" s="690">
        <v>0</v>
      </c>
      <c r="BA117" s="689">
        <v>0</v>
      </c>
      <c r="BB117" s="690">
        <v>0</v>
      </c>
      <c r="BC117" s="691">
        <v>0</v>
      </c>
      <c r="BD117" s="692">
        <v>0</v>
      </c>
      <c r="BE117" s="689">
        <v>0</v>
      </c>
      <c r="BF117" s="690">
        <v>0</v>
      </c>
      <c r="BG117" s="691">
        <v>0</v>
      </c>
      <c r="BH117" s="690">
        <v>0</v>
      </c>
      <c r="BI117" s="691">
        <v>0</v>
      </c>
      <c r="BJ117" s="690">
        <v>0</v>
      </c>
      <c r="BK117" s="691">
        <v>0</v>
      </c>
      <c r="BL117" s="690">
        <v>0</v>
      </c>
      <c r="BM117" s="691">
        <v>0</v>
      </c>
      <c r="BN117" s="690">
        <v>0</v>
      </c>
      <c r="BO117" s="691">
        <v>0</v>
      </c>
      <c r="BP117" s="690">
        <v>0</v>
      </c>
      <c r="BQ117" s="691">
        <v>0</v>
      </c>
      <c r="BR117" s="690">
        <v>0</v>
      </c>
      <c r="BS117" s="691">
        <v>0</v>
      </c>
      <c r="BT117" s="690">
        <v>0</v>
      </c>
      <c r="BU117" s="691">
        <v>0</v>
      </c>
      <c r="BV117" s="690">
        <v>0</v>
      </c>
      <c r="BW117" s="691">
        <v>0</v>
      </c>
      <c r="BX117" s="690">
        <v>0</v>
      </c>
      <c r="BY117" s="691">
        <v>0</v>
      </c>
      <c r="BZ117" s="690">
        <v>0</v>
      </c>
      <c r="CA117" s="691">
        <v>0</v>
      </c>
      <c r="CB117" s="690">
        <v>0</v>
      </c>
      <c r="CC117" s="689">
        <v>0</v>
      </c>
      <c r="CD117" s="692">
        <v>0</v>
      </c>
      <c r="CE117" s="689">
        <v>0</v>
      </c>
      <c r="CF117" s="692">
        <v>0</v>
      </c>
      <c r="CG117" s="689">
        <v>0</v>
      </c>
      <c r="CH117" s="692">
        <v>0</v>
      </c>
      <c r="CI117" s="689">
        <v>0</v>
      </c>
      <c r="CJ117" s="692">
        <v>0</v>
      </c>
      <c r="CK117" s="689">
        <v>0</v>
      </c>
      <c r="CL117" s="692">
        <v>0</v>
      </c>
      <c r="CM117" s="689">
        <v>0</v>
      </c>
      <c r="CN117" s="692">
        <v>0</v>
      </c>
      <c r="CO117" s="689">
        <v>0</v>
      </c>
      <c r="CP117" s="692">
        <v>0</v>
      </c>
      <c r="CQ117" s="689">
        <v>0</v>
      </c>
      <c r="CR117" s="690">
        <v>0</v>
      </c>
      <c r="CS117" s="689">
        <v>0</v>
      </c>
      <c r="CT117" s="690">
        <v>0</v>
      </c>
      <c r="CU117" s="691">
        <v>0</v>
      </c>
      <c r="CV117" s="690">
        <v>0</v>
      </c>
    </row>
    <row r="118" spans="1:100">
      <c r="A118" s="457">
        <v>116</v>
      </c>
      <c r="B118" s="577">
        <v>0</v>
      </c>
      <c r="C118" s="577">
        <v>0</v>
      </c>
      <c r="D118" s="577">
        <v>0</v>
      </c>
      <c r="E118" s="577">
        <v>0</v>
      </c>
      <c r="F118" s="577">
        <v>0</v>
      </c>
      <c r="G118" s="577">
        <v>0</v>
      </c>
      <c r="H118" s="577">
        <v>0</v>
      </c>
      <c r="I118" s="577">
        <v>0</v>
      </c>
      <c r="J118" s="577">
        <v>0</v>
      </c>
      <c r="K118" s="577">
        <v>0</v>
      </c>
      <c r="L118" s="577">
        <v>0</v>
      </c>
      <c r="M118" s="577">
        <v>0</v>
      </c>
      <c r="N118" s="577">
        <v>0</v>
      </c>
      <c r="O118" s="577">
        <v>0</v>
      </c>
      <c r="P118" s="577">
        <v>0</v>
      </c>
      <c r="Q118" s="577">
        <v>0</v>
      </c>
      <c r="R118" s="577">
        <v>0</v>
      </c>
      <c r="S118" s="577">
        <v>0</v>
      </c>
      <c r="T118" s="577">
        <v>0</v>
      </c>
      <c r="U118" s="577">
        <v>0</v>
      </c>
      <c r="V118" s="577">
        <v>0</v>
      </c>
      <c r="W118" s="592">
        <v>0</v>
      </c>
      <c r="X118" s="685">
        <v>0</v>
      </c>
      <c r="Y118" s="685">
        <v>0</v>
      </c>
      <c r="Z118" s="685">
        <v>0</v>
      </c>
      <c r="AA118" s="685">
        <v>0</v>
      </c>
      <c r="AB118" s="685">
        <v>0</v>
      </c>
      <c r="AC118" s="685">
        <v>0</v>
      </c>
      <c r="AD118" s="685">
        <v>0</v>
      </c>
      <c r="AE118" s="910">
        <v>0</v>
      </c>
      <c r="AF118" s="911">
        <v>0</v>
      </c>
      <c r="AG118" s="912">
        <v>0</v>
      </c>
      <c r="AH118" s="685">
        <v>0</v>
      </c>
      <c r="AI118" s="684">
        <v>0</v>
      </c>
      <c r="AJ118" s="682">
        <v>0</v>
      </c>
      <c r="AK118" s="684">
        <v>0</v>
      </c>
      <c r="AL118" s="686">
        <v>0</v>
      </c>
      <c r="AM118" s="682">
        <v>0</v>
      </c>
      <c r="AN118" s="682">
        <v>0</v>
      </c>
      <c r="AO118" s="686">
        <v>0</v>
      </c>
      <c r="AP118" s="687">
        <v>2E-3</v>
      </c>
      <c r="AQ118" s="684">
        <f t="shared" si="23"/>
        <v>7.1428571428571426E-3</v>
      </c>
      <c r="AR118" s="682">
        <v>0</v>
      </c>
      <c r="AS118" s="684">
        <v>0</v>
      </c>
      <c r="AT118" s="688">
        <v>2E-3</v>
      </c>
      <c r="AU118" s="682">
        <v>0</v>
      </c>
      <c r="AV118" s="684">
        <v>0</v>
      </c>
      <c r="AW118" s="689">
        <v>0</v>
      </c>
      <c r="AX118" s="690">
        <v>0</v>
      </c>
      <c r="AY118" s="689">
        <v>0</v>
      </c>
      <c r="AZ118" s="690">
        <v>0</v>
      </c>
      <c r="BA118" s="689">
        <v>0</v>
      </c>
      <c r="BB118" s="690">
        <v>0</v>
      </c>
      <c r="BC118" s="691">
        <v>0</v>
      </c>
      <c r="BD118" s="692">
        <v>0</v>
      </c>
      <c r="BE118" s="689">
        <v>0</v>
      </c>
      <c r="BF118" s="690">
        <v>0</v>
      </c>
      <c r="BG118" s="691">
        <v>0</v>
      </c>
      <c r="BH118" s="690">
        <v>0</v>
      </c>
      <c r="BI118" s="691">
        <v>0</v>
      </c>
      <c r="BJ118" s="690">
        <v>0</v>
      </c>
      <c r="BK118" s="691">
        <v>0</v>
      </c>
      <c r="BL118" s="690">
        <v>0</v>
      </c>
      <c r="BM118" s="691">
        <v>0</v>
      </c>
      <c r="BN118" s="690">
        <v>0</v>
      </c>
      <c r="BO118" s="691">
        <v>0</v>
      </c>
      <c r="BP118" s="690">
        <v>0</v>
      </c>
      <c r="BQ118" s="691">
        <v>0</v>
      </c>
      <c r="BR118" s="690">
        <v>0</v>
      </c>
      <c r="BS118" s="691">
        <v>0</v>
      </c>
      <c r="BT118" s="690">
        <v>0</v>
      </c>
      <c r="BU118" s="691">
        <v>0</v>
      </c>
      <c r="BV118" s="690">
        <v>0</v>
      </c>
      <c r="BW118" s="691">
        <v>0</v>
      </c>
      <c r="BX118" s="690">
        <v>0</v>
      </c>
      <c r="BY118" s="691">
        <v>0</v>
      </c>
      <c r="BZ118" s="690">
        <v>0</v>
      </c>
      <c r="CA118" s="691">
        <v>0</v>
      </c>
      <c r="CB118" s="690">
        <v>0</v>
      </c>
      <c r="CC118" s="689">
        <v>0</v>
      </c>
      <c r="CD118" s="692">
        <v>0</v>
      </c>
      <c r="CE118" s="689">
        <v>0</v>
      </c>
      <c r="CF118" s="692">
        <v>0</v>
      </c>
      <c r="CG118" s="689">
        <v>0</v>
      </c>
      <c r="CH118" s="692">
        <v>0</v>
      </c>
      <c r="CI118" s="689">
        <v>0</v>
      </c>
      <c r="CJ118" s="692">
        <v>0</v>
      </c>
      <c r="CK118" s="689">
        <v>0</v>
      </c>
      <c r="CL118" s="692">
        <v>0</v>
      </c>
      <c r="CM118" s="689">
        <v>0</v>
      </c>
      <c r="CN118" s="692">
        <v>0</v>
      </c>
      <c r="CO118" s="689">
        <v>0</v>
      </c>
      <c r="CP118" s="692">
        <v>0</v>
      </c>
      <c r="CQ118" s="689">
        <v>0</v>
      </c>
      <c r="CR118" s="690">
        <v>0</v>
      </c>
      <c r="CS118" s="689">
        <v>0</v>
      </c>
      <c r="CT118" s="690">
        <v>0</v>
      </c>
      <c r="CU118" s="691">
        <v>0</v>
      </c>
      <c r="CV118" s="690">
        <v>0</v>
      </c>
    </row>
    <row r="119" spans="1:100">
      <c r="A119" s="457">
        <v>117</v>
      </c>
      <c r="B119" s="577">
        <v>0</v>
      </c>
      <c r="C119" s="577">
        <v>0</v>
      </c>
      <c r="D119" s="577">
        <v>0</v>
      </c>
      <c r="E119" s="577">
        <v>0</v>
      </c>
      <c r="F119" s="577">
        <v>0</v>
      </c>
      <c r="G119" s="577">
        <v>0</v>
      </c>
      <c r="H119" s="577">
        <v>0</v>
      </c>
      <c r="I119" s="577">
        <v>0</v>
      </c>
      <c r="J119" s="577">
        <v>0</v>
      </c>
      <c r="K119" s="577">
        <v>0</v>
      </c>
      <c r="L119" s="577">
        <v>0</v>
      </c>
      <c r="M119" s="577">
        <v>0</v>
      </c>
      <c r="N119" s="577">
        <v>0</v>
      </c>
      <c r="O119" s="577">
        <v>0</v>
      </c>
      <c r="P119" s="577">
        <v>0</v>
      </c>
      <c r="Q119" s="577">
        <v>0</v>
      </c>
      <c r="R119" s="577">
        <v>0</v>
      </c>
      <c r="S119" s="577">
        <v>0</v>
      </c>
      <c r="T119" s="577">
        <v>0</v>
      </c>
      <c r="U119" s="577">
        <v>0</v>
      </c>
      <c r="V119" s="577">
        <v>0</v>
      </c>
      <c r="W119" s="592">
        <v>0</v>
      </c>
      <c r="X119" s="685">
        <v>0</v>
      </c>
      <c r="Y119" s="685">
        <v>0</v>
      </c>
      <c r="Z119" s="685">
        <v>0</v>
      </c>
      <c r="AA119" s="685">
        <v>0</v>
      </c>
      <c r="AB119" s="685">
        <v>0</v>
      </c>
      <c r="AC119" s="685">
        <v>0</v>
      </c>
      <c r="AD119" s="685">
        <v>0</v>
      </c>
      <c r="AE119" s="910">
        <v>0</v>
      </c>
      <c r="AF119" s="911">
        <v>0</v>
      </c>
      <c r="AG119" s="912">
        <v>0</v>
      </c>
      <c r="AH119" s="685">
        <v>0</v>
      </c>
      <c r="AI119" s="684">
        <v>0</v>
      </c>
      <c r="AJ119" s="682">
        <v>0</v>
      </c>
      <c r="AK119" s="684">
        <v>0</v>
      </c>
      <c r="AL119" s="686">
        <v>0</v>
      </c>
      <c r="AM119" s="682">
        <v>0</v>
      </c>
      <c r="AN119" s="682">
        <v>0</v>
      </c>
      <c r="AO119" s="686">
        <v>0</v>
      </c>
      <c r="AP119" s="687">
        <v>2E-3</v>
      </c>
      <c r="AQ119" s="684">
        <f t="shared" si="23"/>
        <v>7.1428571428571426E-3</v>
      </c>
      <c r="AR119" s="682">
        <v>0</v>
      </c>
      <c r="AS119" s="684">
        <v>0</v>
      </c>
      <c r="AT119" s="688">
        <v>0</v>
      </c>
      <c r="AU119" s="682">
        <v>0</v>
      </c>
      <c r="AV119" s="684">
        <v>0</v>
      </c>
      <c r="AW119" s="689">
        <v>0</v>
      </c>
      <c r="AX119" s="690">
        <v>0</v>
      </c>
      <c r="AY119" s="689">
        <v>0</v>
      </c>
      <c r="AZ119" s="690">
        <v>0</v>
      </c>
      <c r="BA119" s="689">
        <v>0</v>
      </c>
      <c r="BB119" s="690">
        <v>0</v>
      </c>
      <c r="BC119" s="691">
        <v>0</v>
      </c>
      <c r="BD119" s="692">
        <v>0</v>
      </c>
      <c r="BE119" s="689">
        <v>0</v>
      </c>
      <c r="BF119" s="690">
        <v>0</v>
      </c>
      <c r="BG119" s="691">
        <v>0</v>
      </c>
      <c r="BH119" s="690">
        <v>0</v>
      </c>
      <c r="BI119" s="691">
        <v>0</v>
      </c>
      <c r="BJ119" s="690">
        <v>0</v>
      </c>
      <c r="BK119" s="691">
        <v>0</v>
      </c>
      <c r="BL119" s="690">
        <v>0</v>
      </c>
      <c r="BM119" s="691">
        <v>0</v>
      </c>
      <c r="BN119" s="690">
        <v>0</v>
      </c>
      <c r="BO119" s="691">
        <v>0</v>
      </c>
      <c r="BP119" s="690">
        <v>0</v>
      </c>
      <c r="BQ119" s="691">
        <v>0</v>
      </c>
      <c r="BR119" s="690">
        <v>0</v>
      </c>
      <c r="BS119" s="691">
        <v>0</v>
      </c>
      <c r="BT119" s="690">
        <v>0</v>
      </c>
      <c r="BU119" s="691">
        <v>0</v>
      </c>
      <c r="BV119" s="690">
        <v>0</v>
      </c>
      <c r="BW119" s="691">
        <v>0</v>
      </c>
      <c r="BX119" s="690">
        <v>0</v>
      </c>
      <c r="BY119" s="691">
        <v>0</v>
      </c>
      <c r="BZ119" s="690">
        <v>0</v>
      </c>
      <c r="CA119" s="691">
        <v>0</v>
      </c>
      <c r="CB119" s="690">
        <v>0</v>
      </c>
      <c r="CC119" s="689">
        <v>0</v>
      </c>
      <c r="CD119" s="692">
        <v>0</v>
      </c>
      <c r="CE119" s="689">
        <v>0</v>
      </c>
      <c r="CF119" s="692">
        <v>0</v>
      </c>
      <c r="CG119" s="689">
        <v>0</v>
      </c>
      <c r="CH119" s="692">
        <v>0</v>
      </c>
      <c r="CI119" s="689">
        <v>0</v>
      </c>
      <c r="CJ119" s="692">
        <v>0</v>
      </c>
      <c r="CK119" s="689">
        <v>0</v>
      </c>
      <c r="CL119" s="692">
        <v>0</v>
      </c>
      <c r="CM119" s="689">
        <v>0</v>
      </c>
      <c r="CN119" s="692">
        <v>0</v>
      </c>
      <c r="CO119" s="689">
        <v>0</v>
      </c>
      <c r="CP119" s="692">
        <v>0</v>
      </c>
      <c r="CQ119" s="689">
        <v>0</v>
      </c>
      <c r="CR119" s="690">
        <v>0</v>
      </c>
      <c r="CS119" s="689">
        <v>0</v>
      </c>
      <c r="CT119" s="690">
        <v>0</v>
      </c>
      <c r="CU119" s="691">
        <v>0</v>
      </c>
      <c r="CV119" s="690">
        <v>0</v>
      </c>
    </row>
    <row r="120" spans="1:100">
      <c r="A120" s="457">
        <v>118</v>
      </c>
      <c r="B120" s="577">
        <v>0</v>
      </c>
      <c r="C120" s="577">
        <v>0</v>
      </c>
      <c r="D120" s="577">
        <v>0</v>
      </c>
      <c r="E120" s="577">
        <v>0</v>
      </c>
      <c r="F120" s="577">
        <v>0</v>
      </c>
      <c r="G120" s="577">
        <v>0</v>
      </c>
      <c r="H120" s="577">
        <v>0</v>
      </c>
      <c r="I120" s="577">
        <v>0</v>
      </c>
      <c r="J120" s="577">
        <v>0</v>
      </c>
      <c r="K120" s="577">
        <v>0</v>
      </c>
      <c r="L120" s="577">
        <v>0</v>
      </c>
      <c r="M120" s="577">
        <v>0</v>
      </c>
      <c r="N120" s="577">
        <v>0</v>
      </c>
      <c r="O120" s="577">
        <v>0</v>
      </c>
      <c r="P120" s="577">
        <v>0</v>
      </c>
      <c r="Q120" s="577">
        <v>0</v>
      </c>
      <c r="R120" s="577">
        <v>0</v>
      </c>
      <c r="S120" s="577">
        <v>0</v>
      </c>
      <c r="T120" s="577">
        <v>0</v>
      </c>
      <c r="U120" s="577">
        <v>0</v>
      </c>
      <c r="V120" s="577">
        <v>0</v>
      </c>
      <c r="W120" s="592">
        <v>0</v>
      </c>
      <c r="X120" s="685">
        <v>0</v>
      </c>
      <c r="Y120" s="685">
        <v>0</v>
      </c>
      <c r="Z120" s="685">
        <v>0</v>
      </c>
      <c r="AA120" s="685">
        <v>0</v>
      </c>
      <c r="AB120" s="685">
        <v>0</v>
      </c>
      <c r="AC120" s="685">
        <v>0</v>
      </c>
      <c r="AD120" s="685">
        <v>0</v>
      </c>
      <c r="AE120" s="910">
        <v>0</v>
      </c>
      <c r="AF120" s="911">
        <v>0</v>
      </c>
      <c r="AG120" s="912">
        <v>0</v>
      </c>
      <c r="AH120" s="685">
        <v>0</v>
      </c>
      <c r="AI120" s="684">
        <v>0</v>
      </c>
      <c r="AJ120" s="682">
        <v>0</v>
      </c>
      <c r="AK120" s="684">
        <v>0</v>
      </c>
      <c r="AL120" s="686">
        <v>0</v>
      </c>
      <c r="AM120" s="682">
        <v>0</v>
      </c>
      <c r="AN120" s="682">
        <v>0</v>
      </c>
      <c r="AO120" s="686">
        <v>0</v>
      </c>
      <c r="AP120" s="687">
        <v>2E-3</v>
      </c>
      <c r="AQ120" s="684">
        <f t="shared" si="23"/>
        <v>7.1428571428571426E-3</v>
      </c>
      <c r="AR120" s="682">
        <v>0</v>
      </c>
      <c r="AS120" s="684">
        <v>0</v>
      </c>
      <c r="AT120" s="688">
        <v>0</v>
      </c>
      <c r="AU120" s="682">
        <v>0</v>
      </c>
      <c r="AV120" s="684">
        <v>0</v>
      </c>
      <c r="AW120" s="689">
        <v>0</v>
      </c>
      <c r="AX120" s="690">
        <v>0</v>
      </c>
      <c r="AY120" s="689">
        <v>0</v>
      </c>
      <c r="AZ120" s="690">
        <v>0</v>
      </c>
      <c r="BA120" s="689">
        <v>0</v>
      </c>
      <c r="BB120" s="690">
        <v>0</v>
      </c>
      <c r="BC120" s="691">
        <v>0</v>
      </c>
      <c r="BD120" s="692">
        <v>0</v>
      </c>
      <c r="BE120" s="689">
        <v>0</v>
      </c>
      <c r="BF120" s="690">
        <v>0</v>
      </c>
      <c r="BG120" s="691">
        <v>0</v>
      </c>
      <c r="BH120" s="690">
        <v>0</v>
      </c>
      <c r="BI120" s="691">
        <v>0</v>
      </c>
      <c r="BJ120" s="690">
        <v>0</v>
      </c>
      <c r="BK120" s="691">
        <v>0</v>
      </c>
      <c r="BL120" s="690">
        <v>0</v>
      </c>
      <c r="BM120" s="691">
        <v>0</v>
      </c>
      <c r="BN120" s="690">
        <v>0</v>
      </c>
      <c r="BO120" s="691">
        <v>0</v>
      </c>
      <c r="BP120" s="690">
        <v>0</v>
      </c>
      <c r="BQ120" s="691">
        <v>0</v>
      </c>
      <c r="BR120" s="690">
        <v>0</v>
      </c>
      <c r="BS120" s="691">
        <v>0</v>
      </c>
      <c r="BT120" s="690">
        <v>0</v>
      </c>
      <c r="BU120" s="691">
        <v>0</v>
      </c>
      <c r="BV120" s="690">
        <v>0</v>
      </c>
      <c r="BW120" s="691">
        <v>0</v>
      </c>
      <c r="BX120" s="690">
        <v>0</v>
      </c>
      <c r="BY120" s="691">
        <v>0</v>
      </c>
      <c r="BZ120" s="690">
        <v>0</v>
      </c>
      <c r="CA120" s="691">
        <v>0</v>
      </c>
      <c r="CB120" s="690">
        <v>0</v>
      </c>
      <c r="CC120" s="689">
        <v>0</v>
      </c>
      <c r="CD120" s="692">
        <v>0</v>
      </c>
      <c r="CE120" s="689">
        <v>0</v>
      </c>
      <c r="CF120" s="692">
        <v>0</v>
      </c>
      <c r="CG120" s="689">
        <v>0</v>
      </c>
      <c r="CH120" s="692">
        <v>0</v>
      </c>
      <c r="CI120" s="689">
        <v>0</v>
      </c>
      <c r="CJ120" s="692">
        <v>0</v>
      </c>
      <c r="CK120" s="689">
        <v>0</v>
      </c>
      <c r="CL120" s="692">
        <v>0</v>
      </c>
      <c r="CM120" s="689">
        <v>0</v>
      </c>
      <c r="CN120" s="692">
        <v>0</v>
      </c>
      <c r="CO120" s="689">
        <v>0</v>
      </c>
      <c r="CP120" s="692">
        <v>0</v>
      </c>
      <c r="CQ120" s="689">
        <v>0</v>
      </c>
      <c r="CR120" s="690">
        <v>0</v>
      </c>
      <c r="CS120" s="689">
        <v>0</v>
      </c>
      <c r="CT120" s="690">
        <v>0</v>
      </c>
      <c r="CU120" s="691">
        <v>0</v>
      </c>
      <c r="CV120" s="690">
        <v>0</v>
      </c>
    </row>
    <row r="121" spans="1:100">
      <c r="A121" s="457">
        <v>119</v>
      </c>
      <c r="B121" s="577">
        <v>0</v>
      </c>
      <c r="C121" s="577">
        <v>0</v>
      </c>
      <c r="D121" s="577">
        <v>0</v>
      </c>
      <c r="E121" s="577">
        <v>0</v>
      </c>
      <c r="F121" s="577">
        <v>0</v>
      </c>
      <c r="G121" s="577">
        <v>0</v>
      </c>
      <c r="H121" s="577">
        <v>0</v>
      </c>
      <c r="I121" s="577">
        <v>0</v>
      </c>
      <c r="J121" s="577">
        <v>0</v>
      </c>
      <c r="K121" s="577">
        <v>0</v>
      </c>
      <c r="L121" s="577">
        <v>0</v>
      </c>
      <c r="M121" s="577">
        <v>0</v>
      </c>
      <c r="N121" s="577">
        <v>0</v>
      </c>
      <c r="O121" s="577">
        <v>0</v>
      </c>
      <c r="P121" s="577">
        <v>0</v>
      </c>
      <c r="Q121" s="577">
        <v>0</v>
      </c>
      <c r="R121" s="577">
        <v>0</v>
      </c>
      <c r="S121" s="577">
        <v>0</v>
      </c>
      <c r="T121" s="577">
        <v>0</v>
      </c>
      <c r="U121" s="577">
        <v>0</v>
      </c>
      <c r="V121" s="577">
        <v>0</v>
      </c>
      <c r="W121" s="592">
        <v>0</v>
      </c>
      <c r="X121" s="685">
        <v>0</v>
      </c>
      <c r="Y121" s="685">
        <v>0</v>
      </c>
      <c r="Z121" s="685">
        <v>0</v>
      </c>
      <c r="AA121" s="685">
        <v>0</v>
      </c>
      <c r="AB121" s="685">
        <v>0</v>
      </c>
      <c r="AC121" s="685">
        <v>0</v>
      </c>
      <c r="AD121" s="685">
        <v>0</v>
      </c>
      <c r="AE121" s="910">
        <v>0</v>
      </c>
      <c r="AF121" s="911">
        <v>0</v>
      </c>
      <c r="AG121" s="912">
        <v>0</v>
      </c>
      <c r="AH121" s="685">
        <v>0</v>
      </c>
      <c r="AI121" s="684">
        <v>0</v>
      </c>
      <c r="AJ121" s="682">
        <v>0</v>
      </c>
      <c r="AK121" s="684">
        <v>0</v>
      </c>
      <c r="AL121" s="686">
        <v>0</v>
      </c>
      <c r="AM121" s="682">
        <v>0</v>
      </c>
      <c r="AN121" s="682">
        <v>0</v>
      </c>
      <c r="AO121" s="686">
        <v>0</v>
      </c>
      <c r="AP121" s="687">
        <v>2E-3</v>
      </c>
      <c r="AQ121" s="684">
        <f t="shared" si="23"/>
        <v>7.1428571428571426E-3</v>
      </c>
      <c r="AR121" s="682">
        <v>0</v>
      </c>
      <c r="AS121" s="684">
        <v>0</v>
      </c>
      <c r="AT121" s="688">
        <v>0</v>
      </c>
      <c r="AU121" s="682">
        <v>0</v>
      </c>
      <c r="AV121" s="684">
        <v>0</v>
      </c>
      <c r="AW121" s="689">
        <v>0</v>
      </c>
      <c r="AX121" s="690">
        <v>0</v>
      </c>
      <c r="AY121" s="689">
        <v>0</v>
      </c>
      <c r="AZ121" s="690">
        <v>0</v>
      </c>
      <c r="BA121" s="689">
        <v>0</v>
      </c>
      <c r="BB121" s="690">
        <v>0</v>
      </c>
      <c r="BC121" s="691">
        <v>0</v>
      </c>
      <c r="BD121" s="692">
        <v>0</v>
      </c>
      <c r="BE121" s="689">
        <v>0</v>
      </c>
      <c r="BF121" s="690">
        <v>0</v>
      </c>
      <c r="BG121" s="691">
        <v>0</v>
      </c>
      <c r="BH121" s="690">
        <v>0</v>
      </c>
      <c r="BI121" s="691">
        <v>0</v>
      </c>
      <c r="BJ121" s="690">
        <v>0</v>
      </c>
      <c r="BK121" s="691">
        <v>0</v>
      </c>
      <c r="BL121" s="690">
        <v>0</v>
      </c>
      <c r="BM121" s="691">
        <v>0</v>
      </c>
      <c r="BN121" s="690">
        <v>0</v>
      </c>
      <c r="BO121" s="691">
        <v>0</v>
      </c>
      <c r="BP121" s="690">
        <v>0</v>
      </c>
      <c r="BQ121" s="691">
        <v>0</v>
      </c>
      <c r="BR121" s="690">
        <v>0</v>
      </c>
      <c r="BS121" s="691">
        <v>0</v>
      </c>
      <c r="BT121" s="690">
        <v>0</v>
      </c>
      <c r="BU121" s="691">
        <v>0</v>
      </c>
      <c r="BV121" s="690">
        <v>0</v>
      </c>
      <c r="BW121" s="691">
        <v>0</v>
      </c>
      <c r="BX121" s="690">
        <v>0</v>
      </c>
      <c r="BY121" s="691">
        <v>0</v>
      </c>
      <c r="BZ121" s="690">
        <v>0</v>
      </c>
      <c r="CA121" s="691">
        <v>0</v>
      </c>
      <c r="CB121" s="690">
        <v>0</v>
      </c>
      <c r="CC121" s="689">
        <v>0</v>
      </c>
      <c r="CD121" s="692">
        <v>0</v>
      </c>
      <c r="CE121" s="689">
        <v>0</v>
      </c>
      <c r="CF121" s="692">
        <v>0</v>
      </c>
      <c r="CG121" s="689">
        <v>0</v>
      </c>
      <c r="CH121" s="692">
        <v>0</v>
      </c>
      <c r="CI121" s="689">
        <v>0</v>
      </c>
      <c r="CJ121" s="692">
        <v>0</v>
      </c>
      <c r="CK121" s="689">
        <v>0</v>
      </c>
      <c r="CL121" s="692">
        <v>0</v>
      </c>
      <c r="CM121" s="689">
        <v>0</v>
      </c>
      <c r="CN121" s="692">
        <v>0</v>
      </c>
      <c r="CO121" s="689">
        <v>0</v>
      </c>
      <c r="CP121" s="692">
        <v>0</v>
      </c>
      <c r="CQ121" s="689">
        <v>0</v>
      </c>
      <c r="CR121" s="690">
        <v>0</v>
      </c>
      <c r="CS121" s="689">
        <v>0</v>
      </c>
      <c r="CT121" s="690">
        <v>0</v>
      </c>
      <c r="CU121" s="691">
        <v>0</v>
      </c>
      <c r="CV121" s="690">
        <v>0</v>
      </c>
    </row>
    <row r="122" spans="1:100">
      <c r="A122" s="457">
        <v>120</v>
      </c>
      <c r="B122" s="577">
        <v>0</v>
      </c>
      <c r="C122" s="577">
        <v>0</v>
      </c>
      <c r="D122" s="577">
        <v>0</v>
      </c>
      <c r="E122" s="577">
        <v>0</v>
      </c>
      <c r="F122" s="577">
        <v>0</v>
      </c>
      <c r="G122" s="577">
        <v>0</v>
      </c>
      <c r="H122" s="577">
        <v>0</v>
      </c>
      <c r="I122" s="577">
        <v>0</v>
      </c>
      <c r="J122" s="577">
        <v>0</v>
      </c>
      <c r="K122" s="577">
        <v>0</v>
      </c>
      <c r="L122" s="577">
        <v>0</v>
      </c>
      <c r="M122" s="577">
        <v>0</v>
      </c>
      <c r="N122" s="577">
        <v>0</v>
      </c>
      <c r="O122" s="577">
        <v>0</v>
      </c>
      <c r="P122" s="577">
        <v>0</v>
      </c>
      <c r="Q122" s="577">
        <v>0</v>
      </c>
      <c r="R122" s="577">
        <v>0</v>
      </c>
      <c r="S122" s="577">
        <v>0</v>
      </c>
      <c r="T122" s="577">
        <v>0</v>
      </c>
      <c r="U122" s="577">
        <v>0</v>
      </c>
      <c r="V122" s="577">
        <v>0</v>
      </c>
      <c r="W122" s="592">
        <v>0</v>
      </c>
      <c r="X122" s="685">
        <v>0</v>
      </c>
      <c r="Y122" s="685">
        <v>0</v>
      </c>
      <c r="Z122" s="685">
        <v>0</v>
      </c>
      <c r="AA122" s="685">
        <v>0</v>
      </c>
      <c r="AB122" s="685">
        <v>0</v>
      </c>
      <c r="AC122" s="685">
        <v>0</v>
      </c>
      <c r="AD122" s="685">
        <v>0</v>
      </c>
      <c r="AE122" s="910">
        <v>0</v>
      </c>
      <c r="AF122" s="911">
        <v>0</v>
      </c>
      <c r="AG122" s="912">
        <v>0</v>
      </c>
      <c r="AH122" s="685">
        <v>0</v>
      </c>
      <c r="AI122" s="684">
        <v>0</v>
      </c>
      <c r="AJ122" s="682">
        <v>0</v>
      </c>
      <c r="AK122" s="684">
        <v>0</v>
      </c>
      <c r="AL122" s="686">
        <v>0</v>
      </c>
      <c r="AM122" s="682">
        <v>0</v>
      </c>
      <c r="AN122" s="682">
        <v>0</v>
      </c>
      <c r="AO122" s="686">
        <v>0</v>
      </c>
      <c r="AP122" s="687">
        <v>2E-3</v>
      </c>
      <c r="AQ122" s="684">
        <f t="shared" si="23"/>
        <v>7.1428571428571426E-3</v>
      </c>
      <c r="AR122" s="682">
        <v>0</v>
      </c>
      <c r="AS122" s="684">
        <v>0</v>
      </c>
      <c r="AT122" s="688">
        <v>0</v>
      </c>
      <c r="AU122" s="682">
        <v>0</v>
      </c>
      <c r="AV122" s="684">
        <v>0</v>
      </c>
      <c r="AW122" s="689">
        <v>0</v>
      </c>
      <c r="AX122" s="690">
        <v>0</v>
      </c>
      <c r="AY122" s="689">
        <v>0</v>
      </c>
      <c r="AZ122" s="690">
        <v>0</v>
      </c>
      <c r="BA122" s="689">
        <v>0</v>
      </c>
      <c r="BB122" s="690">
        <v>0</v>
      </c>
      <c r="BC122" s="691">
        <v>0</v>
      </c>
      <c r="BD122" s="692">
        <v>0</v>
      </c>
      <c r="BE122" s="689">
        <v>0</v>
      </c>
      <c r="BF122" s="690">
        <v>0</v>
      </c>
      <c r="BG122" s="691">
        <v>0</v>
      </c>
      <c r="BH122" s="690">
        <v>0</v>
      </c>
      <c r="BI122" s="691">
        <v>0</v>
      </c>
      <c r="BJ122" s="690">
        <v>0</v>
      </c>
      <c r="BK122" s="691">
        <v>0</v>
      </c>
      <c r="BL122" s="690">
        <v>0</v>
      </c>
      <c r="BM122" s="691">
        <v>0</v>
      </c>
      <c r="BN122" s="690">
        <v>0</v>
      </c>
      <c r="BO122" s="691">
        <v>0</v>
      </c>
      <c r="BP122" s="690">
        <v>0</v>
      </c>
      <c r="BQ122" s="691">
        <v>0</v>
      </c>
      <c r="BR122" s="690">
        <v>0</v>
      </c>
      <c r="BS122" s="691">
        <v>0</v>
      </c>
      <c r="BT122" s="690">
        <v>0</v>
      </c>
      <c r="BU122" s="691">
        <v>0</v>
      </c>
      <c r="BV122" s="690">
        <v>0</v>
      </c>
      <c r="BW122" s="691">
        <v>0</v>
      </c>
      <c r="BX122" s="690">
        <v>0</v>
      </c>
      <c r="BY122" s="691">
        <v>0</v>
      </c>
      <c r="BZ122" s="690">
        <v>0</v>
      </c>
      <c r="CA122" s="691">
        <v>0</v>
      </c>
      <c r="CB122" s="690">
        <v>0</v>
      </c>
      <c r="CC122" s="689">
        <v>0</v>
      </c>
      <c r="CD122" s="692">
        <v>0</v>
      </c>
      <c r="CE122" s="689">
        <v>0</v>
      </c>
      <c r="CF122" s="692">
        <v>0</v>
      </c>
      <c r="CG122" s="689">
        <v>0</v>
      </c>
      <c r="CH122" s="692">
        <v>0</v>
      </c>
      <c r="CI122" s="689">
        <v>0</v>
      </c>
      <c r="CJ122" s="692">
        <v>0</v>
      </c>
      <c r="CK122" s="689">
        <v>0</v>
      </c>
      <c r="CL122" s="692">
        <v>0</v>
      </c>
      <c r="CM122" s="689">
        <v>0</v>
      </c>
      <c r="CN122" s="692">
        <v>0</v>
      </c>
      <c r="CO122" s="689">
        <v>0</v>
      </c>
      <c r="CP122" s="692">
        <v>0</v>
      </c>
      <c r="CQ122" s="689">
        <v>0</v>
      </c>
      <c r="CR122" s="690">
        <v>0</v>
      </c>
      <c r="CS122" s="689">
        <v>0</v>
      </c>
      <c r="CT122" s="690">
        <v>0</v>
      </c>
      <c r="CU122" s="691">
        <v>0</v>
      </c>
      <c r="CV122" s="690">
        <v>0</v>
      </c>
    </row>
    <row r="123" spans="1:100">
      <c r="A123" s="457">
        <v>121</v>
      </c>
      <c r="B123" s="577">
        <v>0</v>
      </c>
      <c r="C123" s="577">
        <v>0</v>
      </c>
      <c r="D123" s="577">
        <v>0</v>
      </c>
      <c r="E123" s="577">
        <v>0</v>
      </c>
      <c r="F123" s="577">
        <v>0</v>
      </c>
      <c r="G123" s="577">
        <v>0</v>
      </c>
      <c r="H123" s="577">
        <v>0</v>
      </c>
      <c r="I123" s="577">
        <v>0</v>
      </c>
      <c r="J123" s="577">
        <v>0</v>
      </c>
      <c r="K123" s="577">
        <v>0</v>
      </c>
      <c r="L123" s="577">
        <v>0</v>
      </c>
      <c r="M123" s="577">
        <v>0</v>
      </c>
      <c r="N123" s="577">
        <v>0</v>
      </c>
      <c r="O123" s="577">
        <v>0</v>
      </c>
      <c r="P123" s="577">
        <v>0</v>
      </c>
      <c r="Q123" s="577">
        <v>0</v>
      </c>
      <c r="R123" s="577">
        <v>0</v>
      </c>
      <c r="S123" s="577">
        <v>0</v>
      </c>
      <c r="T123" s="577">
        <v>0</v>
      </c>
      <c r="U123" s="577">
        <v>0</v>
      </c>
      <c r="V123" s="577">
        <v>0</v>
      </c>
      <c r="W123" s="592">
        <v>0</v>
      </c>
      <c r="X123" s="685">
        <v>0</v>
      </c>
      <c r="Y123" s="685">
        <v>0</v>
      </c>
      <c r="Z123" s="685">
        <v>0</v>
      </c>
      <c r="AA123" s="685">
        <v>0</v>
      </c>
      <c r="AB123" s="685">
        <v>0</v>
      </c>
      <c r="AC123" s="685">
        <v>0</v>
      </c>
      <c r="AD123" s="685">
        <v>0</v>
      </c>
      <c r="AE123" s="910">
        <v>0</v>
      </c>
      <c r="AF123" s="911">
        <v>0</v>
      </c>
      <c r="AG123" s="912">
        <v>0</v>
      </c>
      <c r="AH123" s="685">
        <v>0</v>
      </c>
      <c r="AI123" s="684">
        <v>0</v>
      </c>
      <c r="AJ123" s="682">
        <v>0</v>
      </c>
      <c r="AK123" s="684">
        <v>0</v>
      </c>
      <c r="AL123" s="686">
        <v>0</v>
      </c>
      <c r="AM123" s="682">
        <v>0</v>
      </c>
      <c r="AN123" s="682">
        <v>0</v>
      </c>
      <c r="AO123" s="686">
        <v>0</v>
      </c>
      <c r="AP123" s="687">
        <v>2E-3</v>
      </c>
      <c r="AQ123" s="684">
        <f t="shared" si="23"/>
        <v>7.1428571428571426E-3</v>
      </c>
      <c r="AR123" s="682">
        <v>0</v>
      </c>
      <c r="AS123" s="684">
        <v>0</v>
      </c>
      <c r="AT123" s="688">
        <v>0</v>
      </c>
      <c r="AU123" s="682">
        <v>0</v>
      </c>
      <c r="AV123" s="684">
        <v>0</v>
      </c>
      <c r="AW123" s="689">
        <v>0</v>
      </c>
      <c r="AX123" s="690">
        <v>0</v>
      </c>
      <c r="AY123" s="689">
        <v>0</v>
      </c>
      <c r="AZ123" s="690">
        <v>0</v>
      </c>
      <c r="BA123" s="689">
        <v>0</v>
      </c>
      <c r="BB123" s="690">
        <v>0</v>
      </c>
      <c r="BC123" s="691">
        <v>0</v>
      </c>
      <c r="BD123" s="692">
        <v>0</v>
      </c>
      <c r="BE123" s="689">
        <v>0</v>
      </c>
      <c r="BF123" s="690">
        <v>0</v>
      </c>
      <c r="BG123" s="691">
        <v>0</v>
      </c>
      <c r="BH123" s="690">
        <v>0</v>
      </c>
      <c r="BI123" s="691">
        <v>0</v>
      </c>
      <c r="BJ123" s="690">
        <v>0</v>
      </c>
      <c r="BK123" s="691">
        <v>0</v>
      </c>
      <c r="BL123" s="690">
        <v>0</v>
      </c>
      <c r="BM123" s="691">
        <v>0</v>
      </c>
      <c r="BN123" s="690">
        <v>0</v>
      </c>
      <c r="BO123" s="691">
        <v>0</v>
      </c>
      <c r="BP123" s="690">
        <v>0</v>
      </c>
      <c r="BQ123" s="691">
        <v>0</v>
      </c>
      <c r="BR123" s="690">
        <v>0</v>
      </c>
      <c r="BS123" s="691">
        <v>0</v>
      </c>
      <c r="BT123" s="690">
        <v>0</v>
      </c>
      <c r="BU123" s="691">
        <v>0</v>
      </c>
      <c r="BV123" s="690">
        <v>0</v>
      </c>
      <c r="BW123" s="691">
        <v>0</v>
      </c>
      <c r="BX123" s="690">
        <v>0</v>
      </c>
      <c r="BY123" s="691">
        <v>0</v>
      </c>
      <c r="BZ123" s="690">
        <v>0</v>
      </c>
      <c r="CA123" s="691">
        <v>0</v>
      </c>
      <c r="CB123" s="690">
        <v>0</v>
      </c>
      <c r="CC123" s="689">
        <v>0</v>
      </c>
      <c r="CD123" s="692">
        <v>0</v>
      </c>
      <c r="CE123" s="689">
        <v>0</v>
      </c>
      <c r="CF123" s="692">
        <v>0</v>
      </c>
      <c r="CG123" s="689">
        <v>0</v>
      </c>
      <c r="CH123" s="692">
        <v>0</v>
      </c>
      <c r="CI123" s="689">
        <v>0</v>
      </c>
      <c r="CJ123" s="692">
        <v>0</v>
      </c>
      <c r="CK123" s="689">
        <v>0</v>
      </c>
      <c r="CL123" s="692">
        <v>0</v>
      </c>
      <c r="CM123" s="689">
        <v>0</v>
      </c>
      <c r="CN123" s="692">
        <v>0</v>
      </c>
      <c r="CO123" s="689">
        <v>0</v>
      </c>
      <c r="CP123" s="692">
        <v>0</v>
      </c>
      <c r="CQ123" s="689">
        <v>0</v>
      </c>
      <c r="CR123" s="690">
        <v>0</v>
      </c>
      <c r="CS123" s="689">
        <v>0</v>
      </c>
      <c r="CT123" s="690">
        <v>0</v>
      </c>
      <c r="CU123" s="691">
        <v>0</v>
      </c>
      <c r="CV123" s="690">
        <v>0</v>
      </c>
    </row>
    <row r="124" spans="1:100">
      <c r="A124" s="457">
        <v>122</v>
      </c>
      <c r="B124" s="577">
        <v>0</v>
      </c>
      <c r="C124" s="577">
        <v>0</v>
      </c>
      <c r="D124" s="577">
        <v>0</v>
      </c>
      <c r="E124" s="577">
        <v>0</v>
      </c>
      <c r="F124" s="577">
        <v>0</v>
      </c>
      <c r="G124" s="577">
        <v>0</v>
      </c>
      <c r="H124" s="577">
        <v>0</v>
      </c>
      <c r="I124" s="577">
        <v>0</v>
      </c>
      <c r="J124" s="577">
        <v>0</v>
      </c>
      <c r="K124" s="577">
        <v>0</v>
      </c>
      <c r="L124" s="577">
        <v>0</v>
      </c>
      <c r="M124" s="577">
        <v>0</v>
      </c>
      <c r="N124" s="577">
        <v>0</v>
      </c>
      <c r="O124" s="577">
        <v>0</v>
      </c>
      <c r="P124" s="577">
        <v>0</v>
      </c>
      <c r="Q124" s="577">
        <v>0</v>
      </c>
      <c r="R124" s="577">
        <v>0</v>
      </c>
      <c r="S124" s="577">
        <v>0</v>
      </c>
      <c r="T124" s="577">
        <v>0</v>
      </c>
      <c r="U124" s="577">
        <v>0</v>
      </c>
      <c r="V124" s="577">
        <v>0</v>
      </c>
      <c r="W124" s="592">
        <v>0</v>
      </c>
      <c r="X124" s="685">
        <v>0</v>
      </c>
      <c r="Y124" s="685">
        <v>0</v>
      </c>
      <c r="Z124" s="685">
        <v>0</v>
      </c>
      <c r="AA124" s="685">
        <v>0</v>
      </c>
      <c r="AB124" s="685">
        <v>0</v>
      </c>
      <c r="AC124" s="685">
        <v>0</v>
      </c>
      <c r="AD124" s="685">
        <v>0</v>
      </c>
      <c r="AE124" s="910">
        <v>0</v>
      </c>
      <c r="AF124" s="911">
        <v>0</v>
      </c>
      <c r="AG124" s="912">
        <v>0</v>
      </c>
      <c r="AH124" s="685">
        <v>0</v>
      </c>
      <c r="AI124" s="684">
        <v>0</v>
      </c>
      <c r="AJ124" s="682">
        <v>0</v>
      </c>
      <c r="AK124" s="684">
        <v>0</v>
      </c>
      <c r="AL124" s="686">
        <v>0</v>
      </c>
      <c r="AM124" s="682">
        <v>0</v>
      </c>
      <c r="AN124" s="682">
        <v>0</v>
      </c>
      <c r="AO124" s="686">
        <v>0</v>
      </c>
      <c r="AP124" s="687">
        <v>2E-3</v>
      </c>
      <c r="AQ124" s="684">
        <f t="shared" si="23"/>
        <v>7.1428571428571426E-3</v>
      </c>
      <c r="AR124" s="682">
        <v>0</v>
      </c>
      <c r="AS124" s="684">
        <v>0</v>
      </c>
      <c r="AT124" s="688">
        <v>0</v>
      </c>
      <c r="AU124" s="682">
        <v>0</v>
      </c>
      <c r="AV124" s="684">
        <v>0</v>
      </c>
      <c r="AW124" s="689">
        <v>0</v>
      </c>
      <c r="AX124" s="690">
        <v>0</v>
      </c>
      <c r="AY124" s="689">
        <v>0</v>
      </c>
      <c r="AZ124" s="690">
        <v>0</v>
      </c>
      <c r="BA124" s="689">
        <v>0</v>
      </c>
      <c r="BB124" s="690">
        <v>0</v>
      </c>
      <c r="BC124" s="691">
        <v>0</v>
      </c>
      <c r="BD124" s="692">
        <v>0</v>
      </c>
      <c r="BE124" s="689">
        <v>0</v>
      </c>
      <c r="BF124" s="690">
        <v>0</v>
      </c>
      <c r="BG124" s="691">
        <v>0</v>
      </c>
      <c r="BH124" s="690">
        <v>0</v>
      </c>
      <c r="BI124" s="691">
        <v>0</v>
      </c>
      <c r="BJ124" s="690">
        <v>0</v>
      </c>
      <c r="BK124" s="691">
        <v>0</v>
      </c>
      <c r="BL124" s="690">
        <v>0</v>
      </c>
      <c r="BM124" s="691">
        <v>0</v>
      </c>
      <c r="BN124" s="690">
        <v>0</v>
      </c>
      <c r="BO124" s="691">
        <v>0</v>
      </c>
      <c r="BP124" s="690">
        <v>0</v>
      </c>
      <c r="BQ124" s="691">
        <v>0</v>
      </c>
      <c r="BR124" s="690">
        <v>0</v>
      </c>
      <c r="BS124" s="691">
        <v>0</v>
      </c>
      <c r="BT124" s="690">
        <v>0</v>
      </c>
      <c r="BU124" s="691">
        <v>0</v>
      </c>
      <c r="BV124" s="690">
        <v>0</v>
      </c>
      <c r="BW124" s="691">
        <v>0</v>
      </c>
      <c r="BX124" s="690">
        <v>0</v>
      </c>
      <c r="BY124" s="691">
        <v>0</v>
      </c>
      <c r="BZ124" s="690">
        <v>0</v>
      </c>
      <c r="CA124" s="691">
        <v>0</v>
      </c>
      <c r="CB124" s="690">
        <v>0</v>
      </c>
      <c r="CC124" s="689">
        <v>0</v>
      </c>
      <c r="CD124" s="692">
        <v>0</v>
      </c>
      <c r="CE124" s="689">
        <v>0</v>
      </c>
      <c r="CF124" s="692">
        <v>0</v>
      </c>
      <c r="CG124" s="689">
        <v>0</v>
      </c>
      <c r="CH124" s="692">
        <v>0</v>
      </c>
      <c r="CI124" s="689">
        <v>0</v>
      </c>
      <c r="CJ124" s="692">
        <v>0</v>
      </c>
      <c r="CK124" s="689">
        <v>0</v>
      </c>
      <c r="CL124" s="692">
        <v>0</v>
      </c>
      <c r="CM124" s="689">
        <v>0</v>
      </c>
      <c r="CN124" s="692">
        <v>0</v>
      </c>
      <c r="CO124" s="689">
        <v>0</v>
      </c>
      <c r="CP124" s="692">
        <v>0</v>
      </c>
      <c r="CQ124" s="689">
        <v>0</v>
      </c>
      <c r="CR124" s="690">
        <v>0</v>
      </c>
      <c r="CS124" s="689">
        <v>0</v>
      </c>
      <c r="CT124" s="690">
        <v>0</v>
      </c>
      <c r="CU124" s="691">
        <v>0</v>
      </c>
      <c r="CV124" s="690">
        <v>0</v>
      </c>
    </row>
    <row r="125" spans="1:100">
      <c r="A125" s="457">
        <v>123</v>
      </c>
      <c r="B125" s="577">
        <v>0</v>
      </c>
      <c r="C125" s="577">
        <v>0</v>
      </c>
      <c r="D125" s="577">
        <v>0</v>
      </c>
      <c r="E125" s="577">
        <v>0</v>
      </c>
      <c r="F125" s="577">
        <v>0</v>
      </c>
      <c r="G125" s="577">
        <v>0</v>
      </c>
      <c r="H125" s="577">
        <v>0</v>
      </c>
      <c r="I125" s="577">
        <v>0</v>
      </c>
      <c r="J125" s="577">
        <v>0</v>
      </c>
      <c r="K125" s="577">
        <v>0</v>
      </c>
      <c r="L125" s="577">
        <v>0</v>
      </c>
      <c r="M125" s="577">
        <v>0</v>
      </c>
      <c r="N125" s="577">
        <v>0</v>
      </c>
      <c r="O125" s="577">
        <v>0</v>
      </c>
      <c r="P125" s="577">
        <v>0</v>
      </c>
      <c r="Q125" s="577">
        <v>0</v>
      </c>
      <c r="R125" s="577">
        <v>0</v>
      </c>
      <c r="S125" s="577">
        <v>0</v>
      </c>
      <c r="T125" s="577">
        <v>0</v>
      </c>
      <c r="U125" s="577">
        <v>0</v>
      </c>
      <c r="V125" s="577">
        <v>0</v>
      </c>
      <c r="W125" s="592">
        <v>0</v>
      </c>
      <c r="X125" s="685">
        <v>0</v>
      </c>
      <c r="Y125" s="685">
        <v>0</v>
      </c>
      <c r="Z125" s="685">
        <v>0</v>
      </c>
      <c r="AA125" s="685">
        <v>0</v>
      </c>
      <c r="AB125" s="685">
        <v>0</v>
      </c>
      <c r="AC125" s="685">
        <v>0</v>
      </c>
      <c r="AD125" s="685">
        <v>0</v>
      </c>
      <c r="AE125" s="910">
        <v>0</v>
      </c>
      <c r="AF125" s="911">
        <v>0</v>
      </c>
      <c r="AG125" s="912">
        <v>0</v>
      </c>
      <c r="AH125" s="685">
        <v>0</v>
      </c>
      <c r="AI125" s="684">
        <v>0</v>
      </c>
      <c r="AJ125" s="682">
        <v>0</v>
      </c>
      <c r="AK125" s="684">
        <v>0</v>
      </c>
      <c r="AL125" s="686">
        <v>0</v>
      </c>
      <c r="AM125" s="682">
        <v>0</v>
      </c>
      <c r="AN125" s="682">
        <v>0</v>
      </c>
      <c r="AO125" s="686">
        <v>0</v>
      </c>
      <c r="AP125" s="687">
        <v>2E-3</v>
      </c>
      <c r="AQ125" s="684">
        <f t="shared" si="23"/>
        <v>7.1428571428571426E-3</v>
      </c>
      <c r="AR125" s="682">
        <v>0</v>
      </c>
      <c r="AS125" s="684">
        <v>0</v>
      </c>
      <c r="AT125" s="688">
        <v>0</v>
      </c>
      <c r="AU125" s="682">
        <v>0</v>
      </c>
      <c r="AV125" s="684">
        <v>0</v>
      </c>
      <c r="AW125" s="689">
        <v>0</v>
      </c>
      <c r="AX125" s="690">
        <v>0</v>
      </c>
      <c r="AY125" s="689">
        <v>0</v>
      </c>
      <c r="AZ125" s="690">
        <v>0</v>
      </c>
      <c r="BA125" s="689">
        <v>0</v>
      </c>
      <c r="BB125" s="690">
        <v>0</v>
      </c>
      <c r="BC125" s="691">
        <v>0</v>
      </c>
      <c r="BD125" s="692">
        <v>0</v>
      </c>
      <c r="BE125" s="689">
        <v>0</v>
      </c>
      <c r="BF125" s="690">
        <v>0</v>
      </c>
      <c r="BG125" s="691">
        <v>0</v>
      </c>
      <c r="BH125" s="690">
        <v>0</v>
      </c>
      <c r="BI125" s="691">
        <v>0</v>
      </c>
      <c r="BJ125" s="690">
        <v>0</v>
      </c>
      <c r="BK125" s="691">
        <v>0</v>
      </c>
      <c r="BL125" s="690">
        <v>0</v>
      </c>
      <c r="BM125" s="691">
        <v>0</v>
      </c>
      <c r="BN125" s="690">
        <v>0</v>
      </c>
      <c r="BO125" s="691">
        <v>0</v>
      </c>
      <c r="BP125" s="690">
        <v>0</v>
      </c>
      <c r="BQ125" s="691">
        <v>0</v>
      </c>
      <c r="BR125" s="690">
        <v>0</v>
      </c>
      <c r="BS125" s="691">
        <v>0</v>
      </c>
      <c r="BT125" s="690">
        <v>0</v>
      </c>
      <c r="BU125" s="691">
        <v>0</v>
      </c>
      <c r="BV125" s="690">
        <v>0</v>
      </c>
      <c r="BW125" s="691">
        <v>0</v>
      </c>
      <c r="BX125" s="690">
        <v>0</v>
      </c>
      <c r="BY125" s="691">
        <v>0</v>
      </c>
      <c r="BZ125" s="690">
        <v>0</v>
      </c>
      <c r="CA125" s="691">
        <v>0</v>
      </c>
      <c r="CB125" s="690">
        <v>0</v>
      </c>
      <c r="CC125" s="689">
        <v>0</v>
      </c>
      <c r="CD125" s="692">
        <v>0</v>
      </c>
      <c r="CE125" s="689">
        <v>0</v>
      </c>
      <c r="CF125" s="692">
        <v>0</v>
      </c>
      <c r="CG125" s="689">
        <v>0</v>
      </c>
      <c r="CH125" s="692">
        <v>0</v>
      </c>
      <c r="CI125" s="689">
        <v>0</v>
      </c>
      <c r="CJ125" s="692">
        <v>0</v>
      </c>
      <c r="CK125" s="689">
        <v>0</v>
      </c>
      <c r="CL125" s="692">
        <v>0</v>
      </c>
      <c r="CM125" s="689">
        <v>0</v>
      </c>
      <c r="CN125" s="692">
        <v>0</v>
      </c>
      <c r="CO125" s="689">
        <v>0</v>
      </c>
      <c r="CP125" s="692">
        <v>0</v>
      </c>
      <c r="CQ125" s="689">
        <v>0</v>
      </c>
      <c r="CR125" s="690">
        <v>0</v>
      </c>
      <c r="CS125" s="689">
        <v>0</v>
      </c>
      <c r="CT125" s="690">
        <v>0</v>
      </c>
      <c r="CU125" s="691">
        <v>0</v>
      </c>
      <c r="CV125" s="690">
        <v>0</v>
      </c>
    </row>
    <row r="126" spans="1:100">
      <c r="A126" s="457">
        <v>124</v>
      </c>
      <c r="B126" s="577">
        <v>0</v>
      </c>
      <c r="C126" s="577">
        <v>0</v>
      </c>
      <c r="D126" s="577">
        <v>0</v>
      </c>
      <c r="E126" s="577">
        <v>0</v>
      </c>
      <c r="F126" s="577">
        <v>0</v>
      </c>
      <c r="G126" s="577">
        <v>0</v>
      </c>
      <c r="H126" s="577">
        <v>0</v>
      </c>
      <c r="I126" s="577">
        <v>0</v>
      </c>
      <c r="J126" s="577">
        <v>0</v>
      </c>
      <c r="K126" s="577">
        <v>0</v>
      </c>
      <c r="L126" s="577">
        <v>0</v>
      </c>
      <c r="M126" s="577">
        <v>0</v>
      </c>
      <c r="N126" s="577">
        <v>0</v>
      </c>
      <c r="O126" s="577">
        <v>0</v>
      </c>
      <c r="P126" s="577">
        <v>0</v>
      </c>
      <c r="Q126" s="577">
        <v>0</v>
      </c>
      <c r="R126" s="577">
        <v>0</v>
      </c>
      <c r="S126" s="577">
        <v>0</v>
      </c>
      <c r="T126" s="577">
        <v>0</v>
      </c>
      <c r="U126" s="577">
        <v>0</v>
      </c>
      <c r="V126" s="577">
        <v>0</v>
      </c>
      <c r="W126" s="592">
        <v>0</v>
      </c>
      <c r="X126" s="685">
        <v>0</v>
      </c>
      <c r="Y126" s="685">
        <v>0</v>
      </c>
      <c r="Z126" s="685">
        <v>0</v>
      </c>
      <c r="AA126" s="685">
        <v>0</v>
      </c>
      <c r="AB126" s="685">
        <v>0</v>
      </c>
      <c r="AC126" s="685">
        <v>0</v>
      </c>
      <c r="AD126" s="685">
        <v>0</v>
      </c>
      <c r="AE126" s="910">
        <v>0</v>
      </c>
      <c r="AF126" s="911">
        <v>0</v>
      </c>
      <c r="AG126" s="912">
        <v>0</v>
      </c>
      <c r="AH126" s="685">
        <v>0</v>
      </c>
      <c r="AI126" s="684">
        <v>0</v>
      </c>
      <c r="AJ126" s="682">
        <v>0</v>
      </c>
      <c r="AK126" s="684">
        <v>0</v>
      </c>
      <c r="AL126" s="686">
        <v>0</v>
      </c>
      <c r="AM126" s="682">
        <v>0</v>
      </c>
      <c r="AN126" s="682">
        <v>0</v>
      </c>
      <c r="AO126" s="686">
        <v>0</v>
      </c>
      <c r="AP126" s="687">
        <v>2E-3</v>
      </c>
      <c r="AQ126" s="684">
        <f t="shared" si="23"/>
        <v>7.1428571428571426E-3</v>
      </c>
      <c r="AR126" s="682">
        <v>0</v>
      </c>
      <c r="AS126" s="684">
        <v>0</v>
      </c>
      <c r="AT126" s="688">
        <v>0</v>
      </c>
      <c r="AU126" s="682">
        <v>0</v>
      </c>
      <c r="AV126" s="684">
        <v>0</v>
      </c>
      <c r="AW126" s="689">
        <v>0</v>
      </c>
      <c r="AX126" s="690">
        <v>0</v>
      </c>
      <c r="AY126" s="689">
        <v>0</v>
      </c>
      <c r="AZ126" s="690">
        <v>0</v>
      </c>
      <c r="BA126" s="689">
        <v>0</v>
      </c>
      <c r="BB126" s="690">
        <v>0</v>
      </c>
      <c r="BC126" s="691">
        <v>0</v>
      </c>
      <c r="BD126" s="692">
        <v>0</v>
      </c>
      <c r="BE126" s="689">
        <v>0</v>
      </c>
      <c r="BF126" s="690">
        <v>0</v>
      </c>
      <c r="BG126" s="691">
        <v>0</v>
      </c>
      <c r="BH126" s="690">
        <v>0</v>
      </c>
      <c r="BI126" s="691">
        <v>0</v>
      </c>
      <c r="BJ126" s="690">
        <v>0</v>
      </c>
      <c r="BK126" s="691">
        <v>0</v>
      </c>
      <c r="BL126" s="690">
        <v>0</v>
      </c>
      <c r="BM126" s="691">
        <v>0</v>
      </c>
      <c r="BN126" s="690">
        <v>0</v>
      </c>
      <c r="BO126" s="691">
        <v>0</v>
      </c>
      <c r="BP126" s="690">
        <v>0</v>
      </c>
      <c r="BQ126" s="691">
        <v>0</v>
      </c>
      <c r="BR126" s="690">
        <v>0</v>
      </c>
      <c r="BS126" s="691">
        <v>0</v>
      </c>
      <c r="BT126" s="690">
        <v>0</v>
      </c>
      <c r="BU126" s="691">
        <v>0</v>
      </c>
      <c r="BV126" s="690">
        <v>0</v>
      </c>
      <c r="BW126" s="691">
        <v>0</v>
      </c>
      <c r="BX126" s="690">
        <v>0</v>
      </c>
      <c r="BY126" s="691">
        <v>0</v>
      </c>
      <c r="BZ126" s="690">
        <v>0</v>
      </c>
      <c r="CA126" s="691">
        <v>0</v>
      </c>
      <c r="CB126" s="690">
        <v>0</v>
      </c>
      <c r="CC126" s="689">
        <v>0</v>
      </c>
      <c r="CD126" s="692">
        <v>0</v>
      </c>
      <c r="CE126" s="689">
        <v>0</v>
      </c>
      <c r="CF126" s="692">
        <v>0</v>
      </c>
      <c r="CG126" s="689">
        <v>0</v>
      </c>
      <c r="CH126" s="692">
        <v>0</v>
      </c>
      <c r="CI126" s="689">
        <v>0</v>
      </c>
      <c r="CJ126" s="692">
        <v>0</v>
      </c>
      <c r="CK126" s="689">
        <v>0</v>
      </c>
      <c r="CL126" s="692">
        <v>0</v>
      </c>
      <c r="CM126" s="689">
        <v>0</v>
      </c>
      <c r="CN126" s="692">
        <v>0</v>
      </c>
      <c r="CO126" s="689">
        <v>0</v>
      </c>
      <c r="CP126" s="692">
        <v>0</v>
      </c>
      <c r="CQ126" s="689">
        <v>0</v>
      </c>
      <c r="CR126" s="690">
        <v>0</v>
      </c>
      <c r="CS126" s="689">
        <v>0</v>
      </c>
      <c r="CT126" s="690">
        <v>0</v>
      </c>
      <c r="CU126" s="691">
        <v>0</v>
      </c>
      <c r="CV126" s="690">
        <v>0</v>
      </c>
    </row>
    <row r="127" spans="1:100">
      <c r="A127" s="457">
        <v>125</v>
      </c>
      <c r="B127" s="577">
        <v>0</v>
      </c>
      <c r="C127" s="577">
        <v>0</v>
      </c>
      <c r="D127" s="577">
        <v>0</v>
      </c>
      <c r="E127" s="577">
        <v>0</v>
      </c>
      <c r="F127" s="577">
        <v>0</v>
      </c>
      <c r="G127" s="577">
        <v>0</v>
      </c>
      <c r="H127" s="577">
        <v>0</v>
      </c>
      <c r="I127" s="577">
        <v>0</v>
      </c>
      <c r="J127" s="577">
        <v>0</v>
      </c>
      <c r="K127" s="577">
        <v>0</v>
      </c>
      <c r="L127" s="577">
        <v>0</v>
      </c>
      <c r="M127" s="577">
        <v>0</v>
      </c>
      <c r="N127" s="577">
        <v>0</v>
      </c>
      <c r="O127" s="577">
        <v>0</v>
      </c>
      <c r="P127" s="577">
        <v>0</v>
      </c>
      <c r="Q127" s="577">
        <v>0</v>
      </c>
      <c r="R127" s="577">
        <v>0</v>
      </c>
      <c r="S127" s="577">
        <v>0</v>
      </c>
      <c r="T127" s="577">
        <v>0</v>
      </c>
      <c r="U127" s="577">
        <v>0</v>
      </c>
      <c r="V127" s="577">
        <v>0</v>
      </c>
      <c r="W127" s="592">
        <v>0</v>
      </c>
      <c r="X127" s="685">
        <v>0</v>
      </c>
      <c r="Y127" s="685">
        <v>0</v>
      </c>
      <c r="Z127" s="685">
        <v>0</v>
      </c>
      <c r="AA127" s="685">
        <v>0</v>
      </c>
      <c r="AB127" s="685">
        <v>0</v>
      </c>
      <c r="AC127" s="685">
        <v>0</v>
      </c>
      <c r="AD127" s="685">
        <v>0</v>
      </c>
      <c r="AE127" s="910">
        <v>0</v>
      </c>
      <c r="AF127" s="911">
        <v>0</v>
      </c>
      <c r="AG127" s="912">
        <v>0</v>
      </c>
      <c r="AH127" s="685">
        <v>0</v>
      </c>
      <c r="AI127" s="684">
        <v>0</v>
      </c>
      <c r="AJ127" s="682">
        <v>0</v>
      </c>
      <c r="AK127" s="684">
        <v>0</v>
      </c>
      <c r="AL127" s="686">
        <v>0</v>
      </c>
      <c r="AM127" s="682">
        <v>0</v>
      </c>
      <c r="AN127" s="682">
        <v>0</v>
      </c>
      <c r="AO127" s="686">
        <v>0</v>
      </c>
      <c r="AP127" s="687">
        <v>2E-3</v>
      </c>
      <c r="AQ127" s="684">
        <f t="shared" si="23"/>
        <v>7.1428571428571426E-3</v>
      </c>
      <c r="AR127" s="682">
        <v>0</v>
      </c>
      <c r="AS127" s="684">
        <v>0</v>
      </c>
      <c r="AT127" s="688">
        <v>0</v>
      </c>
      <c r="AU127" s="682">
        <v>0</v>
      </c>
      <c r="AV127" s="684">
        <v>0</v>
      </c>
      <c r="AW127" s="689">
        <v>0</v>
      </c>
      <c r="AX127" s="690">
        <v>0</v>
      </c>
      <c r="AY127" s="689">
        <v>0</v>
      </c>
      <c r="AZ127" s="690">
        <v>0</v>
      </c>
      <c r="BA127" s="689">
        <v>0</v>
      </c>
      <c r="BB127" s="690">
        <v>0</v>
      </c>
      <c r="BC127" s="691">
        <v>0</v>
      </c>
      <c r="BD127" s="692">
        <v>0</v>
      </c>
      <c r="BE127" s="689">
        <v>0</v>
      </c>
      <c r="BF127" s="690">
        <v>0</v>
      </c>
      <c r="BG127" s="691">
        <v>0</v>
      </c>
      <c r="BH127" s="690">
        <v>0</v>
      </c>
      <c r="BI127" s="691">
        <v>0</v>
      </c>
      <c r="BJ127" s="690">
        <v>0</v>
      </c>
      <c r="BK127" s="691">
        <v>0</v>
      </c>
      <c r="BL127" s="690">
        <v>0</v>
      </c>
      <c r="BM127" s="691">
        <v>0</v>
      </c>
      <c r="BN127" s="690">
        <v>0</v>
      </c>
      <c r="BO127" s="691">
        <v>0</v>
      </c>
      <c r="BP127" s="690">
        <v>0</v>
      </c>
      <c r="BQ127" s="691">
        <v>0</v>
      </c>
      <c r="BR127" s="690">
        <v>0</v>
      </c>
      <c r="BS127" s="691">
        <v>0</v>
      </c>
      <c r="BT127" s="690">
        <v>0</v>
      </c>
      <c r="BU127" s="691">
        <v>0</v>
      </c>
      <c r="BV127" s="690">
        <v>0</v>
      </c>
      <c r="BW127" s="691">
        <v>0</v>
      </c>
      <c r="BX127" s="690">
        <v>0</v>
      </c>
      <c r="BY127" s="691">
        <v>0</v>
      </c>
      <c r="BZ127" s="690">
        <v>0</v>
      </c>
      <c r="CA127" s="691">
        <v>0</v>
      </c>
      <c r="CB127" s="690">
        <v>0</v>
      </c>
      <c r="CC127" s="689">
        <v>0</v>
      </c>
      <c r="CD127" s="692">
        <v>0</v>
      </c>
      <c r="CE127" s="689">
        <v>0</v>
      </c>
      <c r="CF127" s="692">
        <v>0</v>
      </c>
      <c r="CG127" s="689">
        <v>0</v>
      </c>
      <c r="CH127" s="692">
        <v>0</v>
      </c>
      <c r="CI127" s="689">
        <v>0</v>
      </c>
      <c r="CJ127" s="692">
        <v>0</v>
      </c>
      <c r="CK127" s="689">
        <v>0</v>
      </c>
      <c r="CL127" s="692">
        <v>0</v>
      </c>
      <c r="CM127" s="689">
        <v>0</v>
      </c>
      <c r="CN127" s="692">
        <v>0</v>
      </c>
      <c r="CO127" s="689">
        <v>0</v>
      </c>
      <c r="CP127" s="692">
        <v>0</v>
      </c>
      <c r="CQ127" s="689">
        <v>0</v>
      </c>
      <c r="CR127" s="690">
        <v>0</v>
      </c>
      <c r="CS127" s="689">
        <v>0</v>
      </c>
      <c r="CT127" s="690">
        <v>0</v>
      </c>
      <c r="CU127" s="691">
        <v>0</v>
      </c>
      <c r="CV127" s="690">
        <v>0</v>
      </c>
    </row>
    <row r="128" spans="1:100">
      <c r="A128" s="457">
        <v>126</v>
      </c>
      <c r="B128" s="577">
        <v>0</v>
      </c>
      <c r="C128" s="577">
        <v>0</v>
      </c>
      <c r="D128" s="577">
        <v>0</v>
      </c>
      <c r="E128" s="577">
        <v>0</v>
      </c>
      <c r="F128" s="577">
        <v>0</v>
      </c>
      <c r="G128" s="577">
        <v>0</v>
      </c>
      <c r="H128" s="577">
        <v>0</v>
      </c>
      <c r="I128" s="577">
        <v>0</v>
      </c>
      <c r="J128" s="577">
        <v>0</v>
      </c>
      <c r="K128" s="577">
        <v>0</v>
      </c>
      <c r="L128" s="577">
        <v>0</v>
      </c>
      <c r="M128" s="577">
        <v>0</v>
      </c>
      <c r="N128" s="577">
        <v>0</v>
      </c>
      <c r="O128" s="577">
        <v>0</v>
      </c>
      <c r="P128" s="577">
        <v>0</v>
      </c>
      <c r="Q128" s="577">
        <v>0</v>
      </c>
      <c r="R128" s="577">
        <v>0</v>
      </c>
      <c r="S128" s="577">
        <v>0</v>
      </c>
      <c r="T128" s="577">
        <v>0</v>
      </c>
      <c r="U128" s="577">
        <v>0</v>
      </c>
      <c r="V128" s="577">
        <v>0</v>
      </c>
      <c r="W128" s="592">
        <v>0</v>
      </c>
      <c r="X128" s="685">
        <v>0</v>
      </c>
      <c r="Y128" s="685">
        <v>0</v>
      </c>
      <c r="Z128" s="685">
        <v>0</v>
      </c>
      <c r="AA128" s="685">
        <v>0</v>
      </c>
      <c r="AB128" s="685">
        <v>0</v>
      </c>
      <c r="AC128" s="685">
        <v>0</v>
      </c>
      <c r="AD128" s="685">
        <v>0</v>
      </c>
      <c r="AE128" s="910">
        <v>0</v>
      </c>
      <c r="AF128" s="911">
        <v>0</v>
      </c>
      <c r="AG128" s="912">
        <v>0</v>
      </c>
      <c r="AH128" s="685">
        <v>0</v>
      </c>
      <c r="AI128" s="684">
        <v>0</v>
      </c>
      <c r="AJ128" s="682">
        <v>0</v>
      </c>
      <c r="AK128" s="684">
        <v>0</v>
      </c>
      <c r="AL128" s="686">
        <v>0</v>
      </c>
      <c r="AM128" s="682">
        <v>0</v>
      </c>
      <c r="AN128" s="682">
        <v>0</v>
      </c>
      <c r="AO128" s="686">
        <v>0</v>
      </c>
      <c r="AP128" s="687">
        <v>2E-3</v>
      </c>
      <c r="AQ128" s="684">
        <f t="shared" si="23"/>
        <v>7.1428571428571426E-3</v>
      </c>
      <c r="AR128" s="682">
        <v>0</v>
      </c>
      <c r="AS128" s="684">
        <v>0</v>
      </c>
      <c r="AT128" s="688">
        <v>0</v>
      </c>
      <c r="AU128" s="682">
        <v>0</v>
      </c>
      <c r="AV128" s="684">
        <v>0</v>
      </c>
      <c r="AW128" s="689">
        <v>0</v>
      </c>
      <c r="AX128" s="690">
        <v>0</v>
      </c>
      <c r="AY128" s="689">
        <v>0</v>
      </c>
      <c r="AZ128" s="690">
        <v>0</v>
      </c>
      <c r="BA128" s="689">
        <v>0</v>
      </c>
      <c r="BB128" s="690">
        <v>0</v>
      </c>
      <c r="BC128" s="691">
        <v>0</v>
      </c>
      <c r="BD128" s="692">
        <v>0</v>
      </c>
      <c r="BE128" s="689">
        <v>0</v>
      </c>
      <c r="BF128" s="690">
        <v>0</v>
      </c>
      <c r="BG128" s="691">
        <v>0</v>
      </c>
      <c r="BH128" s="690">
        <v>0</v>
      </c>
      <c r="BI128" s="691">
        <v>0</v>
      </c>
      <c r="BJ128" s="690">
        <v>0</v>
      </c>
      <c r="BK128" s="691">
        <v>0</v>
      </c>
      <c r="BL128" s="690">
        <v>0</v>
      </c>
      <c r="BM128" s="691">
        <v>0</v>
      </c>
      <c r="BN128" s="690">
        <v>0</v>
      </c>
      <c r="BO128" s="691">
        <v>0</v>
      </c>
      <c r="BP128" s="690">
        <v>0</v>
      </c>
      <c r="BQ128" s="691">
        <v>0</v>
      </c>
      <c r="BR128" s="690">
        <v>0</v>
      </c>
      <c r="BS128" s="691">
        <v>0</v>
      </c>
      <c r="BT128" s="690">
        <v>0</v>
      </c>
      <c r="BU128" s="691">
        <v>0</v>
      </c>
      <c r="BV128" s="690">
        <v>0</v>
      </c>
      <c r="BW128" s="691">
        <v>0</v>
      </c>
      <c r="BX128" s="690">
        <v>0</v>
      </c>
      <c r="BY128" s="691">
        <v>0</v>
      </c>
      <c r="BZ128" s="690">
        <v>0</v>
      </c>
      <c r="CA128" s="691">
        <v>0</v>
      </c>
      <c r="CB128" s="690">
        <v>0</v>
      </c>
      <c r="CC128" s="689">
        <v>0</v>
      </c>
      <c r="CD128" s="692">
        <v>0</v>
      </c>
      <c r="CE128" s="689">
        <v>0</v>
      </c>
      <c r="CF128" s="692">
        <v>0</v>
      </c>
      <c r="CG128" s="689">
        <v>0</v>
      </c>
      <c r="CH128" s="692">
        <v>0</v>
      </c>
      <c r="CI128" s="689">
        <v>0</v>
      </c>
      <c r="CJ128" s="692">
        <v>0</v>
      </c>
      <c r="CK128" s="689">
        <v>0</v>
      </c>
      <c r="CL128" s="692">
        <v>0</v>
      </c>
      <c r="CM128" s="689">
        <v>0</v>
      </c>
      <c r="CN128" s="692">
        <v>0</v>
      </c>
      <c r="CO128" s="689">
        <v>0</v>
      </c>
      <c r="CP128" s="692">
        <v>0</v>
      </c>
      <c r="CQ128" s="689">
        <v>0</v>
      </c>
      <c r="CR128" s="690">
        <v>0</v>
      </c>
      <c r="CS128" s="689">
        <v>0</v>
      </c>
      <c r="CT128" s="690">
        <v>0</v>
      </c>
      <c r="CU128" s="691">
        <v>0</v>
      </c>
      <c r="CV128" s="690">
        <v>0</v>
      </c>
    </row>
    <row r="129" spans="1:100">
      <c r="A129" s="457">
        <v>127</v>
      </c>
      <c r="B129" s="577">
        <v>0</v>
      </c>
      <c r="C129" s="577">
        <v>0</v>
      </c>
      <c r="D129" s="577">
        <v>0</v>
      </c>
      <c r="E129" s="577">
        <v>0</v>
      </c>
      <c r="F129" s="577">
        <v>0</v>
      </c>
      <c r="G129" s="577">
        <v>0</v>
      </c>
      <c r="H129" s="577">
        <v>0</v>
      </c>
      <c r="I129" s="577">
        <v>0</v>
      </c>
      <c r="J129" s="577">
        <v>0</v>
      </c>
      <c r="K129" s="577">
        <v>0</v>
      </c>
      <c r="L129" s="577">
        <v>0</v>
      </c>
      <c r="M129" s="577">
        <v>0</v>
      </c>
      <c r="N129" s="577">
        <v>0</v>
      </c>
      <c r="O129" s="577">
        <v>0</v>
      </c>
      <c r="P129" s="577">
        <v>0</v>
      </c>
      <c r="Q129" s="577">
        <v>0</v>
      </c>
      <c r="R129" s="577">
        <v>0</v>
      </c>
      <c r="S129" s="577">
        <v>0</v>
      </c>
      <c r="T129" s="577">
        <v>0</v>
      </c>
      <c r="U129" s="577">
        <v>0</v>
      </c>
      <c r="V129" s="577">
        <v>0</v>
      </c>
      <c r="W129" s="592">
        <v>0</v>
      </c>
      <c r="X129" s="685">
        <v>0</v>
      </c>
      <c r="Y129" s="685">
        <v>0</v>
      </c>
      <c r="Z129" s="685">
        <v>0</v>
      </c>
      <c r="AA129" s="685">
        <v>0</v>
      </c>
      <c r="AB129" s="685">
        <v>0</v>
      </c>
      <c r="AC129" s="685">
        <v>0</v>
      </c>
      <c r="AD129" s="685">
        <v>0</v>
      </c>
      <c r="AE129" s="910">
        <v>0</v>
      </c>
      <c r="AF129" s="911">
        <v>0</v>
      </c>
      <c r="AG129" s="912">
        <v>0</v>
      </c>
      <c r="AH129" s="685">
        <v>0</v>
      </c>
      <c r="AI129" s="684">
        <v>0</v>
      </c>
      <c r="AJ129" s="682">
        <v>0</v>
      </c>
      <c r="AK129" s="684">
        <v>0</v>
      </c>
      <c r="AL129" s="686">
        <v>0</v>
      </c>
      <c r="AM129" s="682">
        <v>0</v>
      </c>
      <c r="AN129" s="682">
        <v>0</v>
      </c>
      <c r="AO129" s="686">
        <v>0</v>
      </c>
      <c r="AP129" s="687">
        <v>2E-3</v>
      </c>
      <c r="AQ129" s="684">
        <f t="shared" si="23"/>
        <v>7.1428571428571426E-3</v>
      </c>
      <c r="AR129" s="682">
        <v>0</v>
      </c>
      <c r="AS129" s="684">
        <v>0</v>
      </c>
      <c r="AT129" s="688">
        <v>0</v>
      </c>
      <c r="AU129" s="682">
        <v>0</v>
      </c>
      <c r="AV129" s="684">
        <v>0</v>
      </c>
      <c r="AW129" s="689">
        <v>0</v>
      </c>
      <c r="AX129" s="690">
        <v>0</v>
      </c>
      <c r="AY129" s="689">
        <v>0</v>
      </c>
      <c r="AZ129" s="690">
        <v>0</v>
      </c>
      <c r="BA129" s="689">
        <v>0</v>
      </c>
      <c r="BB129" s="690">
        <v>0</v>
      </c>
      <c r="BC129" s="691">
        <v>0</v>
      </c>
      <c r="BD129" s="692">
        <v>0</v>
      </c>
      <c r="BE129" s="689">
        <v>0</v>
      </c>
      <c r="BF129" s="690">
        <v>0</v>
      </c>
      <c r="BG129" s="691">
        <v>0</v>
      </c>
      <c r="BH129" s="690">
        <v>0</v>
      </c>
      <c r="BI129" s="691">
        <v>0</v>
      </c>
      <c r="BJ129" s="690">
        <v>0</v>
      </c>
      <c r="BK129" s="691">
        <v>0</v>
      </c>
      <c r="BL129" s="690">
        <v>0</v>
      </c>
      <c r="BM129" s="691">
        <v>0</v>
      </c>
      <c r="BN129" s="690">
        <v>0</v>
      </c>
      <c r="BO129" s="691">
        <v>0</v>
      </c>
      <c r="BP129" s="690">
        <v>0</v>
      </c>
      <c r="BQ129" s="691">
        <v>0</v>
      </c>
      <c r="BR129" s="690">
        <v>0</v>
      </c>
      <c r="BS129" s="691">
        <v>0</v>
      </c>
      <c r="BT129" s="690">
        <v>0</v>
      </c>
      <c r="BU129" s="691">
        <v>0</v>
      </c>
      <c r="BV129" s="690">
        <v>0</v>
      </c>
      <c r="BW129" s="691">
        <v>0</v>
      </c>
      <c r="BX129" s="690">
        <v>0</v>
      </c>
      <c r="BY129" s="691">
        <v>0</v>
      </c>
      <c r="BZ129" s="690">
        <v>0</v>
      </c>
      <c r="CA129" s="691">
        <v>0</v>
      </c>
      <c r="CB129" s="690">
        <v>0</v>
      </c>
      <c r="CC129" s="689">
        <v>0</v>
      </c>
      <c r="CD129" s="692">
        <v>0</v>
      </c>
      <c r="CE129" s="689">
        <v>0</v>
      </c>
      <c r="CF129" s="692">
        <v>0</v>
      </c>
      <c r="CG129" s="689">
        <v>0</v>
      </c>
      <c r="CH129" s="692">
        <v>0</v>
      </c>
      <c r="CI129" s="689">
        <v>0</v>
      </c>
      <c r="CJ129" s="692">
        <v>0</v>
      </c>
      <c r="CK129" s="689">
        <v>0</v>
      </c>
      <c r="CL129" s="692">
        <v>0</v>
      </c>
      <c r="CM129" s="689">
        <v>0</v>
      </c>
      <c r="CN129" s="692">
        <v>0</v>
      </c>
      <c r="CO129" s="689">
        <v>0</v>
      </c>
      <c r="CP129" s="692">
        <v>0</v>
      </c>
      <c r="CQ129" s="689">
        <v>0</v>
      </c>
      <c r="CR129" s="690">
        <v>0</v>
      </c>
      <c r="CS129" s="689">
        <v>0</v>
      </c>
      <c r="CT129" s="690">
        <v>0</v>
      </c>
      <c r="CU129" s="691">
        <v>0</v>
      </c>
      <c r="CV129" s="690">
        <v>0</v>
      </c>
    </row>
    <row r="130" spans="1:100">
      <c r="A130" s="457">
        <v>128</v>
      </c>
      <c r="B130" s="577">
        <v>0</v>
      </c>
      <c r="C130" s="577">
        <v>0</v>
      </c>
      <c r="D130" s="577">
        <v>0</v>
      </c>
      <c r="E130" s="577">
        <v>0</v>
      </c>
      <c r="F130" s="577">
        <v>0</v>
      </c>
      <c r="G130" s="577">
        <v>0</v>
      </c>
      <c r="H130" s="577">
        <v>0</v>
      </c>
      <c r="I130" s="577">
        <v>0</v>
      </c>
      <c r="J130" s="577">
        <v>0</v>
      </c>
      <c r="K130" s="577">
        <v>0</v>
      </c>
      <c r="L130" s="577">
        <v>0</v>
      </c>
      <c r="M130" s="577">
        <v>0</v>
      </c>
      <c r="N130" s="577">
        <v>0</v>
      </c>
      <c r="O130" s="577">
        <v>0</v>
      </c>
      <c r="P130" s="577">
        <v>0</v>
      </c>
      <c r="Q130" s="577">
        <v>0</v>
      </c>
      <c r="R130" s="577">
        <v>0</v>
      </c>
      <c r="S130" s="577">
        <v>0</v>
      </c>
      <c r="T130" s="577">
        <v>0</v>
      </c>
      <c r="U130" s="577">
        <v>0</v>
      </c>
      <c r="V130" s="577">
        <v>0</v>
      </c>
      <c r="W130" s="592">
        <v>0</v>
      </c>
      <c r="X130" s="685">
        <v>0</v>
      </c>
      <c r="Y130" s="685">
        <v>0</v>
      </c>
      <c r="Z130" s="685">
        <v>0</v>
      </c>
      <c r="AA130" s="685">
        <v>0</v>
      </c>
      <c r="AB130" s="685">
        <v>0</v>
      </c>
      <c r="AC130" s="685">
        <v>0</v>
      </c>
      <c r="AD130" s="685">
        <v>0</v>
      </c>
      <c r="AE130" s="910">
        <v>0</v>
      </c>
      <c r="AF130" s="911">
        <v>0</v>
      </c>
      <c r="AG130" s="912">
        <v>0</v>
      </c>
      <c r="AH130" s="685">
        <v>0</v>
      </c>
      <c r="AI130" s="684">
        <v>0</v>
      </c>
      <c r="AJ130" s="682">
        <v>0</v>
      </c>
      <c r="AK130" s="684">
        <v>0</v>
      </c>
      <c r="AL130" s="686">
        <v>0</v>
      </c>
      <c r="AM130" s="682">
        <v>0</v>
      </c>
      <c r="AN130" s="682">
        <v>0</v>
      </c>
      <c r="AO130" s="686">
        <v>0</v>
      </c>
      <c r="AP130" s="687">
        <v>2E-3</v>
      </c>
      <c r="AQ130" s="684">
        <f t="shared" si="23"/>
        <v>7.1428571428571426E-3</v>
      </c>
      <c r="AR130" s="682">
        <v>0</v>
      </c>
      <c r="AS130" s="684">
        <v>0</v>
      </c>
      <c r="AT130" s="688">
        <v>0</v>
      </c>
      <c r="AU130" s="682">
        <v>0</v>
      </c>
      <c r="AV130" s="684">
        <v>0</v>
      </c>
      <c r="AW130" s="689">
        <v>0</v>
      </c>
      <c r="AX130" s="690">
        <v>0</v>
      </c>
      <c r="AY130" s="689">
        <v>0</v>
      </c>
      <c r="AZ130" s="690">
        <v>0</v>
      </c>
      <c r="BA130" s="689">
        <v>0</v>
      </c>
      <c r="BB130" s="690">
        <v>0</v>
      </c>
      <c r="BC130" s="691">
        <v>0</v>
      </c>
      <c r="BD130" s="692">
        <v>0</v>
      </c>
      <c r="BE130" s="689">
        <v>0</v>
      </c>
      <c r="BF130" s="690">
        <v>0</v>
      </c>
      <c r="BG130" s="691">
        <v>0</v>
      </c>
      <c r="BH130" s="690">
        <v>0</v>
      </c>
      <c r="BI130" s="691">
        <v>0</v>
      </c>
      <c r="BJ130" s="690">
        <v>0</v>
      </c>
      <c r="BK130" s="691">
        <v>0</v>
      </c>
      <c r="BL130" s="690">
        <v>0</v>
      </c>
      <c r="BM130" s="691">
        <v>0</v>
      </c>
      <c r="BN130" s="690">
        <v>0</v>
      </c>
      <c r="BO130" s="691">
        <v>0</v>
      </c>
      <c r="BP130" s="690">
        <v>0</v>
      </c>
      <c r="BQ130" s="691">
        <v>0</v>
      </c>
      <c r="BR130" s="690">
        <v>0</v>
      </c>
      <c r="BS130" s="691">
        <v>0</v>
      </c>
      <c r="BT130" s="690">
        <v>0</v>
      </c>
      <c r="BU130" s="691">
        <v>0</v>
      </c>
      <c r="BV130" s="690">
        <v>0</v>
      </c>
      <c r="BW130" s="691">
        <v>0</v>
      </c>
      <c r="BX130" s="690">
        <v>0</v>
      </c>
      <c r="BY130" s="691">
        <v>0</v>
      </c>
      <c r="BZ130" s="690">
        <v>0</v>
      </c>
      <c r="CA130" s="691">
        <v>0</v>
      </c>
      <c r="CB130" s="690">
        <v>0</v>
      </c>
      <c r="CC130" s="689">
        <v>0</v>
      </c>
      <c r="CD130" s="692">
        <v>0</v>
      </c>
      <c r="CE130" s="689">
        <v>0</v>
      </c>
      <c r="CF130" s="692">
        <v>0</v>
      </c>
      <c r="CG130" s="689">
        <v>0</v>
      </c>
      <c r="CH130" s="692">
        <v>0</v>
      </c>
      <c r="CI130" s="689">
        <v>0</v>
      </c>
      <c r="CJ130" s="692">
        <v>0</v>
      </c>
      <c r="CK130" s="689">
        <v>0</v>
      </c>
      <c r="CL130" s="692">
        <v>0</v>
      </c>
      <c r="CM130" s="689">
        <v>0</v>
      </c>
      <c r="CN130" s="692">
        <v>0</v>
      </c>
      <c r="CO130" s="689">
        <v>0</v>
      </c>
      <c r="CP130" s="692">
        <v>0</v>
      </c>
      <c r="CQ130" s="689">
        <v>0</v>
      </c>
      <c r="CR130" s="690">
        <v>0</v>
      </c>
      <c r="CS130" s="689">
        <v>0</v>
      </c>
      <c r="CT130" s="690">
        <v>0</v>
      </c>
      <c r="CU130" s="691">
        <v>0</v>
      </c>
      <c r="CV130" s="690">
        <v>0</v>
      </c>
    </row>
    <row r="131" spans="1:100">
      <c r="A131" s="457">
        <v>129</v>
      </c>
      <c r="B131" s="577">
        <v>0</v>
      </c>
      <c r="C131" s="577">
        <v>0</v>
      </c>
      <c r="D131" s="577">
        <v>0</v>
      </c>
      <c r="E131" s="577">
        <v>0</v>
      </c>
      <c r="F131" s="577">
        <v>0</v>
      </c>
      <c r="G131" s="577">
        <v>0</v>
      </c>
      <c r="H131" s="577">
        <v>0</v>
      </c>
      <c r="I131" s="577">
        <v>0</v>
      </c>
      <c r="J131" s="577">
        <v>0</v>
      </c>
      <c r="K131" s="577">
        <v>0</v>
      </c>
      <c r="L131" s="577">
        <v>0</v>
      </c>
      <c r="M131" s="577">
        <v>0</v>
      </c>
      <c r="N131" s="577">
        <v>0</v>
      </c>
      <c r="O131" s="577">
        <v>0</v>
      </c>
      <c r="P131" s="577">
        <v>0</v>
      </c>
      <c r="Q131" s="577">
        <v>0</v>
      </c>
      <c r="R131" s="577">
        <v>0</v>
      </c>
      <c r="S131" s="577">
        <v>0</v>
      </c>
      <c r="T131" s="577">
        <v>0</v>
      </c>
      <c r="U131" s="577">
        <v>0</v>
      </c>
      <c r="V131" s="577">
        <v>0</v>
      </c>
      <c r="W131" s="592">
        <v>0</v>
      </c>
      <c r="X131" s="685">
        <v>0</v>
      </c>
      <c r="Y131" s="685">
        <v>0</v>
      </c>
      <c r="Z131" s="685">
        <v>0</v>
      </c>
      <c r="AA131" s="685">
        <v>0</v>
      </c>
      <c r="AB131" s="685">
        <v>0</v>
      </c>
      <c r="AC131" s="685">
        <v>0</v>
      </c>
      <c r="AD131" s="685">
        <v>0</v>
      </c>
      <c r="AE131" s="910">
        <v>0</v>
      </c>
      <c r="AF131" s="911">
        <v>0</v>
      </c>
      <c r="AG131" s="912">
        <v>0</v>
      </c>
      <c r="AH131" s="685">
        <v>0</v>
      </c>
      <c r="AI131" s="684">
        <v>0</v>
      </c>
      <c r="AJ131" s="682">
        <v>0</v>
      </c>
      <c r="AK131" s="684">
        <v>0</v>
      </c>
      <c r="AL131" s="686">
        <v>0</v>
      </c>
      <c r="AM131" s="682">
        <v>0</v>
      </c>
      <c r="AN131" s="682">
        <v>0</v>
      </c>
      <c r="AO131" s="686">
        <v>0</v>
      </c>
      <c r="AP131" s="687">
        <v>2E-3</v>
      </c>
      <c r="AQ131" s="684">
        <f t="shared" si="23"/>
        <v>7.1428571428571426E-3</v>
      </c>
      <c r="AR131" s="682">
        <v>0</v>
      </c>
      <c r="AS131" s="684">
        <v>0</v>
      </c>
      <c r="AT131" s="688">
        <v>0</v>
      </c>
      <c r="AU131" s="682">
        <v>0</v>
      </c>
      <c r="AV131" s="684">
        <v>0</v>
      </c>
      <c r="AW131" s="689">
        <v>0</v>
      </c>
      <c r="AX131" s="690">
        <v>0</v>
      </c>
      <c r="AY131" s="689">
        <v>0</v>
      </c>
      <c r="AZ131" s="690">
        <v>0</v>
      </c>
      <c r="BA131" s="689">
        <v>0</v>
      </c>
      <c r="BB131" s="690">
        <v>0</v>
      </c>
      <c r="BC131" s="691">
        <v>0</v>
      </c>
      <c r="BD131" s="692">
        <v>0</v>
      </c>
      <c r="BE131" s="689">
        <v>0</v>
      </c>
      <c r="BF131" s="690">
        <v>0</v>
      </c>
      <c r="BG131" s="691">
        <v>0</v>
      </c>
      <c r="BH131" s="690">
        <v>0</v>
      </c>
      <c r="BI131" s="691">
        <v>0</v>
      </c>
      <c r="BJ131" s="690">
        <v>0</v>
      </c>
      <c r="BK131" s="691">
        <v>0</v>
      </c>
      <c r="BL131" s="690">
        <v>0</v>
      </c>
      <c r="BM131" s="691">
        <v>0</v>
      </c>
      <c r="BN131" s="690">
        <v>0</v>
      </c>
      <c r="BO131" s="691">
        <v>0</v>
      </c>
      <c r="BP131" s="690">
        <v>0</v>
      </c>
      <c r="BQ131" s="691">
        <v>0</v>
      </c>
      <c r="BR131" s="690">
        <v>0</v>
      </c>
      <c r="BS131" s="691">
        <v>0</v>
      </c>
      <c r="BT131" s="690">
        <v>0</v>
      </c>
      <c r="BU131" s="691">
        <v>0</v>
      </c>
      <c r="BV131" s="690">
        <v>0</v>
      </c>
      <c r="BW131" s="691">
        <v>0</v>
      </c>
      <c r="BX131" s="690">
        <v>0</v>
      </c>
      <c r="BY131" s="691">
        <v>0</v>
      </c>
      <c r="BZ131" s="690">
        <v>0</v>
      </c>
      <c r="CA131" s="691">
        <v>0</v>
      </c>
      <c r="CB131" s="690">
        <v>0</v>
      </c>
      <c r="CC131" s="689">
        <v>0</v>
      </c>
      <c r="CD131" s="692">
        <v>0</v>
      </c>
      <c r="CE131" s="689">
        <v>0</v>
      </c>
      <c r="CF131" s="692">
        <v>0</v>
      </c>
      <c r="CG131" s="689">
        <v>0</v>
      </c>
      <c r="CH131" s="692">
        <v>0</v>
      </c>
      <c r="CI131" s="689">
        <v>0</v>
      </c>
      <c r="CJ131" s="692">
        <v>0</v>
      </c>
      <c r="CK131" s="689">
        <v>0</v>
      </c>
      <c r="CL131" s="692">
        <v>0</v>
      </c>
      <c r="CM131" s="689">
        <v>0</v>
      </c>
      <c r="CN131" s="692">
        <v>0</v>
      </c>
      <c r="CO131" s="689">
        <v>0</v>
      </c>
      <c r="CP131" s="692">
        <v>0</v>
      </c>
      <c r="CQ131" s="689">
        <v>0</v>
      </c>
      <c r="CR131" s="690">
        <v>0</v>
      </c>
      <c r="CS131" s="689">
        <v>0</v>
      </c>
      <c r="CT131" s="690">
        <v>0</v>
      </c>
      <c r="CU131" s="691">
        <v>0</v>
      </c>
      <c r="CV131" s="690">
        <v>0</v>
      </c>
    </row>
    <row r="132" spans="1:100">
      <c r="A132" s="457">
        <v>130</v>
      </c>
      <c r="B132" s="577">
        <v>0</v>
      </c>
      <c r="C132" s="577">
        <v>0</v>
      </c>
      <c r="D132" s="577">
        <v>0</v>
      </c>
      <c r="E132" s="577">
        <v>0</v>
      </c>
      <c r="F132" s="577">
        <v>0</v>
      </c>
      <c r="G132" s="577">
        <v>0</v>
      </c>
      <c r="H132" s="577">
        <v>0</v>
      </c>
      <c r="I132" s="577">
        <v>0</v>
      </c>
      <c r="J132" s="577">
        <v>0</v>
      </c>
      <c r="K132" s="577">
        <v>0</v>
      </c>
      <c r="L132" s="577">
        <v>0</v>
      </c>
      <c r="M132" s="577">
        <v>0</v>
      </c>
      <c r="N132" s="577">
        <v>0</v>
      </c>
      <c r="O132" s="577">
        <v>0</v>
      </c>
      <c r="P132" s="577">
        <v>0</v>
      </c>
      <c r="Q132" s="577">
        <v>0</v>
      </c>
      <c r="R132" s="577">
        <v>0</v>
      </c>
      <c r="S132" s="577">
        <v>0</v>
      </c>
      <c r="T132" s="577">
        <v>0</v>
      </c>
      <c r="U132" s="577">
        <v>0</v>
      </c>
      <c r="V132" s="577">
        <v>0</v>
      </c>
      <c r="W132" s="592">
        <v>0</v>
      </c>
      <c r="X132" s="685">
        <v>0</v>
      </c>
      <c r="Y132" s="685">
        <v>0</v>
      </c>
      <c r="Z132" s="685">
        <v>0</v>
      </c>
      <c r="AA132" s="685">
        <v>0</v>
      </c>
      <c r="AB132" s="685">
        <v>0</v>
      </c>
      <c r="AC132" s="685">
        <v>0</v>
      </c>
      <c r="AD132" s="685">
        <v>0</v>
      </c>
      <c r="AE132" s="910">
        <v>0</v>
      </c>
      <c r="AF132" s="911">
        <v>0</v>
      </c>
      <c r="AG132" s="912">
        <v>0</v>
      </c>
      <c r="AH132" s="685">
        <v>0</v>
      </c>
      <c r="AI132" s="684">
        <v>0</v>
      </c>
      <c r="AJ132" s="682">
        <v>0</v>
      </c>
      <c r="AK132" s="684">
        <v>0</v>
      </c>
      <c r="AL132" s="686">
        <v>0</v>
      </c>
      <c r="AM132" s="682">
        <v>0</v>
      </c>
      <c r="AN132" s="682">
        <v>0</v>
      </c>
      <c r="AO132" s="686">
        <v>0</v>
      </c>
      <c r="AP132" s="687">
        <v>2E-3</v>
      </c>
      <c r="AQ132" s="684">
        <f t="shared" ref="AQ132:AQ141" si="24">1/140</f>
        <v>7.1428571428571426E-3</v>
      </c>
      <c r="AR132" s="682">
        <v>0</v>
      </c>
      <c r="AS132" s="684">
        <v>0</v>
      </c>
      <c r="AT132" s="688">
        <v>0</v>
      </c>
      <c r="AU132" s="682">
        <v>0</v>
      </c>
      <c r="AV132" s="684">
        <v>0</v>
      </c>
      <c r="AW132" s="689">
        <v>0</v>
      </c>
      <c r="AX132" s="690">
        <v>0</v>
      </c>
      <c r="AY132" s="689">
        <v>0</v>
      </c>
      <c r="AZ132" s="690">
        <v>0</v>
      </c>
      <c r="BA132" s="689">
        <v>0</v>
      </c>
      <c r="BB132" s="690">
        <v>0</v>
      </c>
      <c r="BC132" s="691">
        <v>0</v>
      </c>
      <c r="BD132" s="692">
        <v>0</v>
      </c>
      <c r="BE132" s="689">
        <v>0</v>
      </c>
      <c r="BF132" s="690">
        <v>0</v>
      </c>
      <c r="BG132" s="691">
        <v>0</v>
      </c>
      <c r="BH132" s="690">
        <v>0</v>
      </c>
      <c r="BI132" s="691">
        <v>0</v>
      </c>
      <c r="BJ132" s="690">
        <v>0</v>
      </c>
      <c r="BK132" s="691">
        <v>0</v>
      </c>
      <c r="BL132" s="690">
        <v>0</v>
      </c>
      <c r="BM132" s="691">
        <v>0</v>
      </c>
      <c r="BN132" s="690">
        <v>0</v>
      </c>
      <c r="BO132" s="691">
        <v>0</v>
      </c>
      <c r="BP132" s="690">
        <v>0</v>
      </c>
      <c r="BQ132" s="691">
        <v>0</v>
      </c>
      <c r="BR132" s="690">
        <v>0</v>
      </c>
      <c r="BS132" s="691">
        <v>0</v>
      </c>
      <c r="BT132" s="690">
        <v>0</v>
      </c>
      <c r="BU132" s="691">
        <v>0</v>
      </c>
      <c r="BV132" s="690">
        <v>0</v>
      </c>
      <c r="BW132" s="691">
        <v>0</v>
      </c>
      <c r="BX132" s="690">
        <v>0</v>
      </c>
      <c r="BY132" s="691">
        <v>0</v>
      </c>
      <c r="BZ132" s="690">
        <v>0</v>
      </c>
      <c r="CA132" s="691">
        <v>0</v>
      </c>
      <c r="CB132" s="690">
        <v>0</v>
      </c>
      <c r="CC132" s="689">
        <v>0</v>
      </c>
      <c r="CD132" s="692">
        <v>0</v>
      </c>
      <c r="CE132" s="689">
        <v>0</v>
      </c>
      <c r="CF132" s="692">
        <v>0</v>
      </c>
      <c r="CG132" s="689">
        <v>0</v>
      </c>
      <c r="CH132" s="692">
        <v>0</v>
      </c>
      <c r="CI132" s="689">
        <v>0</v>
      </c>
      <c r="CJ132" s="692">
        <v>0</v>
      </c>
      <c r="CK132" s="689">
        <v>0</v>
      </c>
      <c r="CL132" s="692">
        <v>0</v>
      </c>
      <c r="CM132" s="689">
        <v>0</v>
      </c>
      <c r="CN132" s="692">
        <v>0</v>
      </c>
      <c r="CO132" s="689">
        <v>0</v>
      </c>
      <c r="CP132" s="692">
        <v>0</v>
      </c>
      <c r="CQ132" s="689">
        <v>0</v>
      </c>
      <c r="CR132" s="690">
        <v>0</v>
      </c>
      <c r="CS132" s="689">
        <v>0</v>
      </c>
      <c r="CT132" s="690">
        <v>0</v>
      </c>
      <c r="CU132" s="691">
        <v>0</v>
      </c>
      <c r="CV132" s="690">
        <v>0</v>
      </c>
    </row>
    <row r="133" spans="1:100">
      <c r="A133" s="457">
        <v>131</v>
      </c>
      <c r="B133" s="577">
        <v>0</v>
      </c>
      <c r="C133" s="577">
        <v>0</v>
      </c>
      <c r="D133" s="577">
        <v>0</v>
      </c>
      <c r="E133" s="577">
        <v>0</v>
      </c>
      <c r="F133" s="577">
        <v>0</v>
      </c>
      <c r="G133" s="577">
        <v>0</v>
      </c>
      <c r="H133" s="577">
        <v>0</v>
      </c>
      <c r="I133" s="577">
        <v>0</v>
      </c>
      <c r="J133" s="577">
        <v>0</v>
      </c>
      <c r="K133" s="577">
        <v>0</v>
      </c>
      <c r="L133" s="577">
        <v>0</v>
      </c>
      <c r="M133" s="577">
        <v>0</v>
      </c>
      <c r="N133" s="577">
        <v>0</v>
      </c>
      <c r="O133" s="577">
        <v>0</v>
      </c>
      <c r="P133" s="577">
        <v>0</v>
      </c>
      <c r="Q133" s="577">
        <v>0</v>
      </c>
      <c r="R133" s="577">
        <v>0</v>
      </c>
      <c r="S133" s="577">
        <v>0</v>
      </c>
      <c r="T133" s="577">
        <v>0</v>
      </c>
      <c r="U133" s="577">
        <v>0</v>
      </c>
      <c r="V133" s="577">
        <v>0</v>
      </c>
      <c r="W133" s="592">
        <v>0</v>
      </c>
      <c r="X133" s="685">
        <v>0</v>
      </c>
      <c r="Y133" s="685">
        <v>0</v>
      </c>
      <c r="Z133" s="685">
        <v>0</v>
      </c>
      <c r="AA133" s="685">
        <v>0</v>
      </c>
      <c r="AB133" s="685">
        <v>0</v>
      </c>
      <c r="AC133" s="685">
        <v>0</v>
      </c>
      <c r="AD133" s="685">
        <v>0</v>
      </c>
      <c r="AE133" s="910">
        <v>0</v>
      </c>
      <c r="AF133" s="911">
        <v>0</v>
      </c>
      <c r="AG133" s="912">
        <v>0</v>
      </c>
      <c r="AH133" s="685">
        <v>0</v>
      </c>
      <c r="AI133" s="684">
        <v>0</v>
      </c>
      <c r="AJ133" s="682">
        <v>0</v>
      </c>
      <c r="AK133" s="684">
        <v>0</v>
      </c>
      <c r="AL133" s="686">
        <v>0</v>
      </c>
      <c r="AM133" s="682">
        <v>0</v>
      </c>
      <c r="AN133" s="682">
        <v>0</v>
      </c>
      <c r="AO133" s="686">
        <v>0</v>
      </c>
      <c r="AP133" s="687">
        <v>2E-3</v>
      </c>
      <c r="AQ133" s="684">
        <f t="shared" si="24"/>
        <v>7.1428571428571426E-3</v>
      </c>
      <c r="AR133" s="682">
        <v>0</v>
      </c>
      <c r="AS133" s="684">
        <v>0</v>
      </c>
      <c r="AT133" s="688">
        <v>0</v>
      </c>
      <c r="AU133" s="682">
        <v>0</v>
      </c>
      <c r="AV133" s="684">
        <v>0</v>
      </c>
      <c r="AW133" s="689">
        <v>0</v>
      </c>
      <c r="AX133" s="690">
        <v>0</v>
      </c>
      <c r="AY133" s="689">
        <v>0</v>
      </c>
      <c r="AZ133" s="690">
        <v>0</v>
      </c>
      <c r="BA133" s="689">
        <v>0</v>
      </c>
      <c r="BB133" s="690">
        <v>0</v>
      </c>
      <c r="BC133" s="691">
        <v>0</v>
      </c>
      <c r="BD133" s="692">
        <v>0</v>
      </c>
      <c r="BE133" s="689">
        <v>0</v>
      </c>
      <c r="BF133" s="690">
        <v>0</v>
      </c>
      <c r="BG133" s="691">
        <v>0</v>
      </c>
      <c r="BH133" s="690">
        <v>0</v>
      </c>
      <c r="BI133" s="691">
        <v>0</v>
      </c>
      <c r="BJ133" s="690">
        <v>0</v>
      </c>
      <c r="BK133" s="691">
        <v>0</v>
      </c>
      <c r="BL133" s="690">
        <v>0</v>
      </c>
      <c r="BM133" s="691">
        <v>0</v>
      </c>
      <c r="BN133" s="690">
        <v>0</v>
      </c>
      <c r="BO133" s="691">
        <v>0</v>
      </c>
      <c r="BP133" s="690">
        <v>0</v>
      </c>
      <c r="BQ133" s="691">
        <v>0</v>
      </c>
      <c r="BR133" s="690">
        <v>0</v>
      </c>
      <c r="BS133" s="691">
        <v>0</v>
      </c>
      <c r="BT133" s="690">
        <v>0</v>
      </c>
      <c r="BU133" s="691">
        <v>0</v>
      </c>
      <c r="BV133" s="690">
        <v>0</v>
      </c>
      <c r="BW133" s="691">
        <v>0</v>
      </c>
      <c r="BX133" s="690">
        <v>0</v>
      </c>
      <c r="BY133" s="691">
        <v>0</v>
      </c>
      <c r="BZ133" s="690">
        <v>0</v>
      </c>
      <c r="CA133" s="691">
        <v>0</v>
      </c>
      <c r="CB133" s="690">
        <v>0</v>
      </c>
      <c r="CC133" s="689">
        <v>0</v>
      </c>
      <c r="CD133" s="692">
        <v>0</v>
      </c>
      <c r="CE133" s="689">
        <v>0</v>
      </c>
      <c r="CF133" s="692">
        <v>0</v>
      </c>
      <c r="CG133" s="689">
        <v>0</v>
      </c>
      <c r="CH133" s="692">
        <v>0</v>
      </c>
      <c r="CI133" s="689">
        <v>0</v>
      </c>
      <c r="CJ133" s="692">
        <v>0</v>
      </c>
      <c r="CK133" s="689">
        <v>0</v>
      </c>
      <c r="CL133" s="692">
        <v>0</v>
      </c>
      <c r="CM133" s="689">
        <v>0</v>
      </c>
      <c r="CN133" s="692">
        <v>0</v>
      </c>
      <c r="CO133" s="689">
        <v>0</v>
      </c>
      <c r="CP133" s="692">
        <v>0</v>
      </c>
      <c r="CQ133" s="689">
        <v>0</v>
      </c>
      <c r="CR133" s="690">
        <v>0</v>
      </c>
      <c r="CS133" s="689">
        <v>0</v>
      </c>
      <c r="CT133" s="690">
        <v>0</v>
      </c>
      <c r="CU133" s="691">
        <v>0</v>
      </c>
      <c r="CV133" s="690">
        <v>0</v>
      </c>
    </row>
    <row r="134" spans="1:100">
      <c r="A134" s="457">
        <v>132</v>
      </c>
      <c r="B134" s="577">
        <v>0</v>
      </c>
      <c r="C134" s="577">
        <v>0</v>
      </c>
      <c r="D134" s="577">
        <v>0</v>
      </c>
      <c r="E134" s="577">
        <v>0</v>
      </c>
      <c r="F134" s="577">
        <v>0</v>
      </c>
      <c r="G134" s="577">
        <v>0</v>
      </c>
      <c r="H134" s="577">
        <v>0</v>
      </c>
      <c r="I134" s="577">
        <v>0</v>
      </c>
      <c r="J134" s="577">
        <v>0</v>
      </c>
      <c r="K134" s="577">
        <v>0</v>
      </c>
      <c r="L134" s="577">
        <v>0</v>
      </c>
      <c r="M134" s="577">
        <v>0</v>
      </c>
      <c r="N134" s="577">
        <v>0</v>
      </c>
      <c r="O134" s="577">
        <v>0</v>
      </c>
      <c r="P134" s="577">
        <v>0</v>
      </c>
      <c r="Q134" s="577">
        <v>0</v>
      </c>
      <c r="R134" s="577">
        <v>0</v>
      </c>
      <c r="S134" s="577">
        <v>0</v>
      </c>
      <c r="T134" s="577">
        <v>0</v>
      </c>
      <c r="U134" s="577">
        <v>0</v>
      </c>
      <c r="V134" s="577">
        <v>0</v>
      </c>
      <c r="W134" s="592">
        <v>0</v>
      </c>
      <c r="X134" s="685">
        <v>0</v>
      </c>
      <c r="Y134" s="685">
        <v>0</v>
      </c>
      <c r="Z134" s="685">
        <v>0</v>
      </c>
      <c r="AA134" s="685">
        <v>0</v>
      </c>
      <c r="AB134" s="685">
        <v>0</v>
      </c>
      <c r="AC134" s="685">
        <v>0</v>
      </c>
      <c r="AD134" s="685">
        <v>0</v>
      </c>
      <c r="AE134" s="910">
        <v>0</v>
      </c>
      <c r="AF134" s="911">
        <v>0</v>
      </c>
      <c r="AG134" s="912">
        <v>0</v>
      </c>
      <c r="AH134" s="685">
        <v>0</v>
      </c>
      <c r="AI134" s="684">
        <v>0</v>
      </c>
      <c r="AJ134" s="682">
        <v>0</v>
      </c>
      <c r="AK134" s="684">
        <v>0</v>
      </c>
      <c r="AL134" s="686">
        <v>0</v>
      </c>
      <c r="AM134" s="682">
        <v>0</v>
      </c>
      <c r="AN134" s="682">
        <v>0</v>
      </c>
      <c r="AO134" s="686">
        <v>0</v>
      </c>
      <c r="AP134" s="687">
        <v>2E-3</v>
      </c>
      <c r="AQ134" s="684">
        <f t="shared" si="24"/>
        <v>7.1428571428571426E-3</v>
      </c>
      <c r="AR134" s="682">
        <v>0</v>
      </c>
      <c r="AS134" s="684">
        <v>0</v>
      </c>
      <c r="AT134" s="688">
        <v>0</v>
      </c>
      <c r="AU134" s="682">
        <v>0</v>
      </c>
      <c r="AV134" s="684">
        <v>0</v>
      </c>
      <c r="AW134" s="689">
        <v>0</v>
      </c>
      <c r="AX134" s="690">
        <v>0</v>
      </c>
      <c r="AY134" s="689">
        <v>0</v>
      </c>
      <c r="AZ134" s="690">
        <v>0</v>
      </c>
      <c r="BA134" s="689">
        <v>0</v>
      </c>
      <c r="BB134" s="690">
        <v>0</v>
      </c>
      <c r="BC134" s="691">
        <v>0</v>
      </c>
      <c r="BD134" s="692">
        <v>0</v>
      </c>
      <c r="BE134" s="689">
        <v>0</v>
      </c>
      <c r="BF134" s="690">
        <v>0</v>
      </c>
      <c r="BG134" s="691">
        <v>0</v>
      </c>
      <c r="BH134" s="690">
        <v>0</v>
      </c>
      <c r="BI134" s="691">
        <v>0</v>
      </c>
      <c r="BJ134" s="690">
        <v>0</v>
      </c>
      <c r="BK134" s="691">
        <v>0</v>
      </c>
      <c r="BL134" s="690">
        <v>0</v>
      </c>
      <c r="BM134" s="691">
        <v>0</v>
      </c>
      <c r="BN134" s="690">
        <v>0</v>
      </c>
      <c r="BO134" s="691">
        <v>0</v>
      </c>
      <c r="BP134" s="690">
        <v>0</v>
      </c>
      <c r="BQ134" s="691">
        <v>0</v>
      </c>
      <c r="BR134" s="690">
        <v>0</v>
      </c>
      <c r="BS134" s="691">
        <v>0</v>
      </c>
      <c r="BT134" s="690">
        <v>0</v>
      </c>
      <c r="BU134" s="691">
        <v>0</v>
      </c>
      <c r="BV134" s="690">
        <v>0</v>
      </c>
      <c r="BW134" s="691">
        <v>0</v>
      </c>
      <c r="BX134" s="690">
        <v>0</v>
      </c>
      <c r="BY134" s="691">
        <v>0</v>
      </c>
      <c r="BZ134" s="690">
        <v>0</v>
      </c>
      <c r="CA134" s="691">
        <v>0</v>
      </c>
      <c r="CB134" s="690">
        <v>0</v>
      </c>
      <c r="CC134" s="689">
        <v>0</v>
      </c>
      <c r="CD134" s="692">
        <v>0</v>
      </c>
      <c r="CE134" s="689">
        <v>0</v>
      </c>
      <c r="CF134" s="692">
        <v>0</v>
      </c>
      <c r="CG134" s="689">
        <v>0</v>
      </c>
      <c r="CH134" s="692">
        <v>0</v>
      </c>
      <c r="CI134" s="689">
        <v>0</v>
      </c>
      <c r="CJ134" s="692">
        <v>0</v>
      </c>
      <c r="CK134" s="689">
        <v>0</v>
      </c>
      <c r="CL134" s="692">
        <v>0</v>
      </c>
      <c r="CM134" s="689">
        <v>0</v>
      </c>
      <c r="CN134" s="692">
        <v>0</v>
      </c>
      <c r="CO134" s="689">
        <v>0</v>
      </c>
      <c r="CP134" s="692">
        <v>0</v>
      </c>
      <c r="CQ134" s="689">
        <v>0</v>
      </c>
      <c r="CR134" s="690">
        <v>0</v>
      </c>
      <c r="CS134" s="689">
        <v>0</v>
      </c>
      <c r="CT134" s="690">
        <v>0</v>
      </c>
      <c r="CU134" s="691">
        <v>0</v>
      </c>
      <c r="CV134" s="690">
        <v>0</v>
      </c>
    </row>
    <row r="135" spans="1:100">
      <c r="A135" s="457">
        <v>133</v>
      </c>
      <c r="B135" s="577">
        <v>0</v>
      </c>
      <c r="C135" s="577">
        <v>0</v>
      </c>
      <c r="D135" s="577">
        <v>0</v>
      </c>
      <c r="E135" s="577">
        <v>0</v>
      </c>
      <c r="F135" s="577">
        <v>0</v>
      </c>
      <c r="G135" s="577">
        <v>0</v>
      </c>
      <c r="H135" s="577">
        <v>0</v>
      </c>
      <c r="I135" s="577">
        <v>0</v>
      </c>
      <c r="J135" s="577">
        <v>0</v>
      </c>
      <c r="K135" s="577">
        <v>0</v>
      </c>
      <c r="L135" s="577">
        <v>0</v>
      </c>
      <c r="M135" s="577">
        <v>0</v>
      </c>
      <c r="N135" s="577">
        <v>0</v>
      </c>
      <c r="O135" s="577">
        <v>0</v>
      </c>
      <c r="P135" s="577">
        <v>0</v>
      </c>
      <c r="Q135" s="577">
        <v>0</v>
      </c>
      <c r="R135" s="577">
        <v>0</v>
      </c>
      <c r="S135" s="577">
        <v>0</v>
      </c>
      <c r="T135" s="577">
        <v>0</v>
      </c>
      <c r="U135" s="577">
        <v>0</v>
      </c>
      <c r="V135" s="577">
        <v>0</v>
      </c>
      <c r="W135" s="592">
        <v>0</v>
      </c>
      <c r="X135" s="685">
        <v>0</v>
      </c>
      <c r="Y135" s="685">
        <v>0</v>
      </c>
      <c r="Z135" s="685">
        <v>0</v>
      </c>
      <c r="AA135" s="685">
        <v>0</v>
      </c>
      <c r="AB135" s="685">
        <v>0</v>
      </c>
      <c r="AC135" s="685">
        <v>0</v>
      </c>
      <c r="AD135" s="685">
        <v>0</v>
      </c>
      <c r="AE135" s="910">
        <v>0</v>
      </c>
      <c r="AF135" s="911">
        <v>0</v>
      </c>
      <c r="AG135" s="912">
        <v>0</v>
      </c>
      <c r="AH135" s="685">
        <v>0</v>
      </c>
      <c r="AI135" s="684">
        <v>0</v>
      </c>
      <c r="AJ135" s="682">
        <v>0</v>
      </c>
      <c r="AK135" s="684">
        <v>0</v>
      </c>
      <c r="AL135" s="686">
        <v>0</v>
      </c>
      <c r="AM135" s="682">
        <v>0</v>
      </c>
      <c r="AN135" s="682">
        <v>0</v>
      </c>
      <c r="AO135" s="686">
        <v>0</v>
      </c>
      <c r="AP135" s="687">
        <v>2E-3</v>
      </c>
      <c r="AQ135" s="684">
        <f t="shared" si="24"/>
        <v>7.1428571428571426E-3</v>
      </c>
      <c r="AR135" s="682">
        <v>0</v>
      </c>
      <c r="AS135" s="684">
        <v>0</v>
      </c>
      <c r="AT135" s="688">
        <v>0</v>
      </c>
      <c r="AU135" s="682">
        <v>0</v>
      </c>
      <c r="AV135" s="684">
        <v>0</v>
      </c>
      <c r="AW135" s="689">
        <v>0</v>
      </c>
      <c r="AX135" s="690">
        <v>0</v>
      </c>
      <c r="AY135" s="689">
        <v>0</v>
      </c>
      <c r="AZ135" s="690">
        <v>0</v>
      </c>
      <c r="BA135" s="689">
        <v>0</v>
      </c>
      <c r="BB135" s="690">
        <v>0</v>
      </c>
      <c r="BC135" s="691">
        <v>0</v>
      </c>
      <c r="BD135" s="692">
        <v>0</v>
      </c>
      <c r="BE135" s="689">
        <v>0</v>
      </c>
      <c r="BF135" s="690">
        <v>0</v>
      </c>
      <c r="BG135" s="691">
        <v>0</v>
      </c>
      <c r="BH135" s="690">
        <v>0</v>
      </c>
      <c r="BI135" s="691">
        <v>0</v>
      </c>
      <c r="BJ135" s="690">
        <v>0</v>
      </c>
      <c r="BK135" s="691">
        <v>0</v>
      </c>
      <c r="BL135" s="690">
        <v>0</v>
      </c>
      <c r="BM135" s="691">
        <v>0</v>
      </c>
      <c r="BN135" s="690">
        <v>0</v>
      </c>
      <c r="BO135" s="691">
        <v>0</v>
      </c>
      <c r="BP135" s="690">
        <v>0</v>
      </c>
      <c r="BQ135" s="691">
        <v>0</v>
      </c>
      <c r="BR135" s="690">
        <v>0</v>
      </c>
      <c r="BS135" s="691">
        <v>0</v>
      </c>
      <c r="BT135" s="690">
        <v>0</v>
      </c>
      <c r="BU135" s="691">
        <v>0</v>
      </c>
      <c r="BV135" s="690">
        <v>0</v>
      </c>
      <c r="BW135" s="691">
        <v>0</v>
      </c>
      <c r="BX135" s="690">
        <v>0</v>
      </c>
      <c r="BY135" s="691">
        <v>0</v>
      </c>
      <c r="BZ135" s="690">
        <v>0</v>
      </c>
      <c r="CA135" s="691">
        <v>0</v>
      </c>
      <c r="CB135" s="690">
        <v>0</v>
      </c>
      <c r="CC135" s="689">
        <v>0</v>
      </c>
      <c r="CD135" s="692">
        <v>0</v>
      </c>
      <c r="CE135" s="689">
        <v>0</v>
      </c>
      <c r="CF135" s="692">
        <v>0</v>
      </c>
      <c r="CG135" s="689">
        <v>0</v>
      </c>
      <c r="CH135" s="692">
        <v>0</v>
      </c>
      <c r="CI135" s="689">
        <v>0</v>
      </c>
      <c r="CJ135" s="692">
        <v>0</v>
      </c>
      <c r="CK135" s="689">
        <v>0</v>
      </c>
      <c r="CL135" s="692">
        <v>0</v>
      </c>
      <c r="CM135" s="689">
        <v>0</v>
      </c>
      <c r="CN135" s="692">
        <v>0</v>
      </c>
      <c r="CO135" s="689">
        <v>0</v>
      </c>
      <c r="CP135" s="692">
        <v>0</v>
      </c>
      <c r="CQ135" s="689">
        <v>0</v>
      </c>
      <c r="CR135" s="690">
        <v>0</v>
      </c>
      <c r="CS135" s="689">
        <v>0</v>
      </c>
      <c r="CT135" s="690">
        <v>0</v>
      </c>
      <c r="CU135" s="691">
        <v>0</v>
      </c>
      <c r="CV135" s="690">
        <v>0</v>
      </c>
    </row>
    <row r="136" spans="1:100">
      <c r="A136" s="457">
        <v>134</v>
      </c>
      <c r="B136" s="577">
        <v>0</v>
      </c>
      <c r="C136" s="577">
        <v>0</v>
      </c>
      <c r="D136" s="577">
        <v>0</v>
      </c>
      <c r="E136" s="577">
        <v>0</v>
      </c>
      <c r="F136" s="577">
        <v>0</v>
      </c>
      <c r="G136" s="577">
        <v>0</v>
      </c>
      <c r="H136" s="577">
        <v>0</v>
      </c>
      <c r="I136" s="577">
        <v>0</v>
      </c>
      <c r="J136" s="577">
        <v>0</v>
      </c>
      <c r="K136" s="577">
        <v>0</v>
      </c>
      <c r="L136" s="577">
        <v>0</v>
      </c>
      <c r="M136" s="577">
        <v>0</v>
      </c>
      <c r="N136" s="577">
        <v>0</v>
      </c>
      <c r="O136" s="577">
        <v>0</v>
      </c>
      <c r="P136" s="577">
        <v>0</v>
      </c>
      <c r="Q136" s="577">
        <v>0</v>
      </c>
      <c r="R136" s="577">
        <v>0</v>
      </c>
      <c r="S136" s="577">
        <v>0</v>
      </c>
      <c r="T136" s="577">
        <v>0</v>
      </c>
      <c r="U136" s="577">
        <v>0</v>
      </c>
      <c r="V136" s="577">
        <v>0</v>
      </c>
      <c r="W136" s="592">
        <v>0</v>
      </c>
      <c r="X136" s="685">
        <v>0</v>
      </c>
      <c r="Y136" s="685">
        <v>0</v>
      </c>
      <c r="Z136" s="685">
        <v>0</v>
      </c>
      <c r="AA136" s="685">
        <v>0</v>
      </c>
      <c r="AB136" s="685">
        <v>0</v>
      </c>
      <c r="AC136" s="685">
        <v>0</v>
      </c>
      <c r="AD136" s="685">
        <v>0</v>
      </c>
      <c r="AE136" s="910">
        <v>0</v>
      </c>
      <c r="AF136" s="911">
        <v>0</v>
      </c>
      <c r="AG136" s="912">
        <v>0</v>
      </c>
      <c r="AH136" s="685">
        <v>0</v>
      </c>
      <c r="AI136" s="684">
        <v>0</v>
      </c>
      <c r="AJ136" s="682">
        <v>0</v>
      </c>
      <c r="AK136" s="684">
        <v>0</v>
      </c>
      <c r="AL136" s="686">
        <v>0</v>
      </c>
      <c r="AM136" s="682">
        <v>0</v>
      </c>
      <c r="AN136" s="682">
        <v>0</v>
      </c>
      <c r="AO136" s="686">
        <v>0</v>
      </c>
      <c r="AP136" s="687">
        <v>2E-3</v>
      </c>
      <c r="AQ136" s="684">
        <f t="shared" si="24"/>
        <v>7.1428571428571426E-3</v>
      </c>
      <c r="AR136" s="682">
        <v>0</v>
      </c>
      <c r="AS136" s="684">
        <v>0</v>
      </c>
      <c r="AT136" s="688">
        <v>0</v>
      </c>
      <c r="AU136" s="682">
        <v>0</v>
      </c>
      <c r="AV136" s="684">
        <v>0</v>
      </c>
      <c r="AW136" s="689">
        <v>0</v>
      </c>
      <c r="AX136" s="690">
        <v>0</v>
      </c>
      <c r="AY136" s="689">
        <v>0</v>
      </c>
      <c r="AZ136" s="690">
        <v>0</v>
      </c>
      <c r="BA136" s="689">
        <v>0</v>
      </c>
      <c r="BB136" s="690">
        <v>0</v>
      </c>
      <c r="BC136" s="691">
        <v>0</v>
      </c>
      <c r="BD136" s="692">
        <v>0</v>
      </c>
      <c r="BE136" s="689">
        <v>0</v>
      </c>
      <c r="BF136" s="690">
        <v>0</v>
      </c>
      <c r="BG136" s="691">
        <v>0</v>
      </c>
      <c r="BH136" s="690">
        <v>0</v>
      </c>
      <c r="BI136" s="691">
        <v>0</v>
      </c>
      <c r="BJ136" s="690">
        <v>0</v>
      </c>
      <c r="BK136" s="691">
        <v>0</v>
      </c>
      <c r="BL136" s="690">
        <v>0</v>
      </c>
      <c r="BM136" s="691">
        <v>0</v>
      </c>
      <c r="BN136" s="690">
        <v>0</v>
      </c>
      <c r="BO136" s="691">
        <v>0</v>
      </c>
      <c r="BP136" s="690">
        <v>0</v>
      </c>
      <c r="BQ136" s="691">
        <v>0</v>
      </c>
      <c r="BR136" s="690">
        <v>0</v>
      </c>
      <c r="BS136" s="691">
        <v>0</v>
      </c>
      <c r="BT136" s="690">
        <v>0</v>
      </c>
      <c r="BU136" s="691">
        <v>0</v>
      </c>
      <c r="BV136" s="690">
        <v>0</v>
      </c>
      <c r="BW136" s="691">
        <v>0</v>
      </c>
      <c r="BX136" s="690">
        <v>0</v>
      </c>
      <c r="BY136" s="691">
        <v>0</v>
      </c>
      <c r="BZ136" s="690">
        <v>0</v>
      </c>
      <c r="CA136" s="691">
        <v>0</v>
      </c>
      <c r="CB136" s="690">
        <v>0</v>
      </c>
      <c r="CC136" s="689">
        <v>0</v>
      </c>
      <c r="CD136" s="692">
        <v>0</v>
      </c>
      <c r="CE136" s="689">
        <v>0</v>
      </c>
      <c r="CF136" s="692">
        <v>0</v>
      </c>
      <c r="CG136" s="689">
        <v>0</v>
      </c>
      <c r="CH136" s="692">
        <v>0</v>
      </c>
      <c r="CI136" s="689">
        <v>0</v>
      </c>
      <c r="CJ136" s="692">
        <v>0</v>
      </c>
      <c r="CK136" s="689">
        <v>0</v>
      </c>
      <c r="CL136" s="692">
        <v>0</v>
      </c>
      <c r="CM136" s="689">
        <v>0</v>
      </c>
      <c r="CN136" s="692">
        <v>0</v>
      </c>
      <c r="CO136" s="689">
        <v>0</v>
      </c>
      <c r="CP136" s="692">
        <v>0</v>
      </c>
      <c r="CQ136" s="689">
        <v>0</v>
      </c>
      <c r="CR136" s="690">
        <v>0</v>
      </c>
      <c r="CS136" s="689">
        <v>0</v>
      </c>
      <c r="CT136" s="690">
        <v>0</v>
      </c>
      <c r="CU136" s="691">
        <v>0</v>
      </c>
      <c r="CV136" s="690">
        <v>0</v>
      </c>
    </row>
    <row r="137" spans="1:100">
      <c r="A137" s="457">
        <v>135</v>
      </c>
      <c r="B137" s="577">
        <v>0</v>
      </c>
      <c r="C137" s="577">
        <v>0</v>
      </c>
      <c r="D137" s="577">
        <v>0</v>
      </c>
      <c r="E137" s="577">
        <v>0</v>
      </c>
      <c r="F137" s="577">
        <v>0</v>
      </c>
      <c r="G137" s="577">
        <v>0</v>
      </c>
      <c r="H137" s="577">
        <v>0</v>
      </c>
      <c r="I137" s="577">
        <v>0</v>
      </c>
      <c r="J137" s="577">
        <v>0</v>
      </c>
      <c r="K137" s="577">
        <v>0</v>
      </c>
      <c r="L137" s="577">
        <v>0</v>
      </c>
      <c r="M137" s="577">
        <v>0</v>
      </c>
      <c r="N137" s="577">
        <v>0</v>
      </c>
      <c r="O137" s="577">
        <v>0</v>
      </c>
      <c r="P137" s="577">
        <v>0</v>
      </c>
      <c r="Q137" s="577">
        <v>0</v>
      </c>
      <c r="R137" s="577">
        <v>0</v>
      </c>
      <c r="S137" s="577">
        <v>0</v>
      </c>
      <c r="T137" s="577">
        <v>0</v>
      </c>
      <c r="U137" s="577">
        <v>0</v>
      </c>
      <c r="V137" s="577">
        <v>0</v>
      </c>
      <c r="W137" s="592">
        <v>0</v>
      </c>
      <c r="X137" s="685">
        <v>0</v>
      </c>
      <c r="Y137" s="685">
        <v>0</v>
      </c>
      <c r="Z137" s="685">
        <v>0</v>
      </c>
      <c r="AA137" s="685">
        <v>0</v>
      </c>
      <c r="AB137" s="685">
        <v>0</v>
      </c>
      <c r="AC137" s="685">
        <v>0</v>
      </c>
      <c r="AD137" s="685">
        <v>0</v>
      </c>
      <c r="AE137" s="910">
        <v>0</v>
      </c>
      <c r="AF137" s="911">
        <v>0</v>
      </c>
      <c r="AG137" s="912">
        <v>0</v>
      </c>
      <c r="AH137" s="685">
        <v>0</v>
      </c>
      <c r="AI137" s="684">
        <v>0</v>
      </c>
      <c r="AJ137" s="682">
        <v>0</v>
      </c>
      <c r="AK137" s="684">
        <v>0</v>
      </c>
      <c r="AL137" s="686">
        <v>0</v>
      </c>
      <c r="AM137" s="682">
        <v>0</v>
      </c>
      <c r="AN137" s="682">
        <v>0</v>
      </c>
      <c r="AO137" s="686">
        <v>0</v>
      </c>
      <c r="AP137" s="687">
        <v>2E-3</v>
      </c>
      <c r="AQ137" s="684">
        <f t="shared" si="24"/>
        <v>7.1428571428571426E-3</v>
      </c>
      <c r="AR137" s="682">
        <v>0</v>
      </c>
      <c r="AS137" s="684">
        <v>0</v>
      </c>
      <c r="AT137" s="688">
        <v>0</v>
      </c>
      <c r="AU137" s="682">
        <v>0</v>
      </c>
      <c r="AV137" s="684">
        <v>0</v>
      </c>
      <c r="AW137" s="689">
        <v>0</v>
      </c>
      <c r="AX137" s="690">
        <v>0</v>
      </c>
      <c r="AY137" s="689">
        <v>0</v>
      </c>
      <c r="AZ137" s="690">
        <v>0</v>
      </c>
      <c r="BA137" s="689">
        <v>0</v>
      </c>
      <c r="BB137" s="690">
        <v>0</v>
      </c>
      <c r="BC137" s="691">
        <v>0</v>
      </c>
      <c r="BD137" s="692">
        <v>0</v>
      </c>
      <c r="BE137" s="689">
        <v>0</v>
      </c>
      <c r="BF137" s="690">
        <v>0</v>
      </c>
      <c r="BG137" s="691">
        <v>0</v>
      </c>
      <c r="BH137" s="690">
        <v>0</v>
      </c>
      <c r="BI137" s="691">
        <v>0</v>
      </c>
      <c r="BJ137" s="690">
        <v>0</v>
      </c>
      <c r="BK137" s="691">
        <v>0</v>
      </c>
      <c r="BL137" s="690">
        <v>0</v>
      </c>
      <c r="BM137" s="691">
        <v>0</v>
      </c>
      <c r="BN137" s="690">
        <v>0</v>
      </c>
      <c r="BO137" s="691">
        <v>0</v>
      </c>
      <c r="BP137" s="690">
        <v>0</v>
      </c>
      <c r="BQ137" s="691">
        <v>0</v>
      </c>
      <c r="BR137" s="690">
        <v>0</v>
      </c>
      <c r="BS137" s="691">
        <v>0</v>
      </c>
      <c r="BT137" s="690">
        <v>0</v>
      </c>
      <c r="BU137" s="691">
        <v>0</v>
      </c>
      <c r="BV137" s="690">
        <v>0</v>
      </c>
      <c r="BW137" s="691">
        <v>0</v>
      </c>
      <c r="BX137" s="690">
        <v>0</v>
      </c>
      <c r="BY137" s="691">
        <v>0</v>
      </c>
      <c r="BZ137" s="690">
        <v>0</v>
      </c>
      <c r="CA137" s="691">
        <v>0</v>
      </c>
      <c r="CB137" s="690">
        <v>0</v>
      </c>
      <c r="CC137" s="689">
        <v>0</v>
      </c>
      <c r="CD137" s="692">
        <v>0</v>
      </c>
      <c r="CE137" s="689">
        <v>0</v>
      </c>
      <c r="CF137" s="692">
        <v>0</v>
      </c>
      <c r="CG137" s="689">
        <v>0</v>
      </c>
      <c r="CH137" s="692">
        <v>0</v>
      </c>
      <c r="CI137" s="689">
        <v>0</v>
      </c>
      <c r="CJ137" s="692">
        <v>0</v>
      </c>
      <c r="CK137" s="689">
        <v>0</v>
      </c>
      <c r="CL137" s="692">
        <v>0</v>
      </c>
      <c r="CM137" s="689">
        <v>0</v>
      </c>
      <c r="CN137" s="692">
        <v>0</v>
      </c>
      <c r="CO137" s="689">
        <v>0</v>
      </c>
      <c r="CP137" s="692">
        <v>0</v>
      </c>
      <c r="CQ137" s="689">
        <v>0</v>
      </c>
      <c r="CR137" s="690">
        <v>0</v>
      </c>
      <c r="CS137" s="689">
        <v>0</v>
      </c>
      <c r="CT137" s="690">
        <v>0</v>
      </c>
      <c r="CU137" s="691">
        <v>0</v>
      </c>
      <c r="CV137" s="690">
        <v>0</v>
      </c>
    </row>
    <row r="138" spans="1:100">
      <c r="A138" s="457">
        <v>136</v>
      </c>
      <c r="B138" s="577">
        <v>0</v>
      </c>
      <c r="C138" s="577">
        <v>0</v>
      </c>
      <c r="D138" s="577">
        <v>0</v>
      </c>
      <c r="E138" s="577">
        <v>0</v>
      </c>
      <c r="F138" s="577">
        <v>0</v>
      </c>
      <c r="G138" s="577">
        <v>0</v>
      </c>
      <c r="H138" s="577">
        <v>0</v>
      </c>
      <c r="I138" s="577">
        <v>0</v>
      </c>
      <c r="J138" s="577">
        <v>0</v>
      </c>
      <c r="K138" s="577">
        <v>0</v>
      </c>
      <c r="L138" s="577">
        <v>0</v>
      </c>
      <c r="M138" s="577">
        <v>0</v>
      </c>
      <c r="N138" s="577">
        <v>0</v>
      </c>
      <c r="O138" s="577">
        <v>0</v>
      </c>
      <c r="P138" s="577">
        <v>0</v>
      </c>
      <c r="Q138" s="577">
        <v>0</v>
      </c>
      <c r="R138" s="577">
        <v>0</v>
      </c>
      <c r="S138" s="577">
        <v>0</v>
      </c>
      <c r="T138" s="577">
        <v>0</v>
      </c>
      <c r="U138" s="577">
        <v>0</v>
      </c>
      <c r="V138" s="577">
        <v>0</v>
      </c>
      <c r="W138" s="592">
        <v>0</v>
      </c>
      <c r="X138" s="685">
        <v>0</v>
      </c>
      <c r="Y138" s="685">
        <v>0</v>
      </c>
      <c r="Z138" s="685">
        <v>0</v>
      </c>
      <c r="AA138" s="685">
        <v>0</v>
      </c>
      <c r="AB138" s="685">
        <v>0</v>
      </c>
      <c r="AC138" s="685">
        <v>0</v>
      </c>
      <c r="AD138" s="685">
        <v>0</v>
      </c>
      <c r="AE138" s="910">
        <v>0</v>
      </c>
      <c r="AF138" s="911">
        <v>0</v>
      </c>
      <c r="AG138" s="912">
        <v>0</v>
      </c>
      <c r="AH138" s="685">
        <v>0</v>
      </c>
      <c r="AI138" s="684">
        <v>0</v>
      </c>
      <c r="AJ138" s="682">
        <v>0</v>
      </c>
      <c r="AK138" s="684">
        <v>0</v>
      </c>
      <c r="AL138" s="686">
        <v>0</v>
      </c>
      <c r="AM138" s="682">
        <v>0</v>
      </c>
      <c r="AN138" s="682">
        <v>0</v>
      </c>
      <c r="AO138" s="686">
        <v>0</v>
      </c>
      <c r="AP138" s="687">
        <v>2E-3</v>
      </c>
      <c r="AQ138" s="684">
        <f t="shared" si="24"/>
        <v>7.1428571428571426E-3</v>
      </c>
      <c r="AR138" s="682">
        <v>0</v>
      </c>
      <c r="AS138" s="684">
        <v>0</v>
      </c>
      <c r="AT138" s="688">
        <v>0</v>
      </c>
      <c r="AU138" s="682">
        <v>0</v>
      </c>
      <c r="AV138" s="684">
        <v>0</v>
      </c>
      <c r="AW138" s="689">
        <v>0</v>
      </c>
      <c r="AX138" s="690">
        <v>0</v>
      </c>
      <c r="AY138" s="689">
        <v>0</v>
      </c>
      <c r="AZ138" s="690">
        <v>0</v>
      </c>
      <c r="BA138" s="689">
        <v>0</v>
      </c>
      <c r="BB138" s="690">
        <v>0</v>
      </c>
      <c r="BC138" s="691">
        <v>0</v>
      </c>
      <c r="BD138" s="692">
        <v>0</v>
      </c>
      <c r="BE138" s="689">
        <v>0</v>
      </c>
      <c r="BF138" s="690">
        <v>0</v>
      </c>
      <c r="BG138" s="691">
        <v>0</v>
      </c>
      <c r="BH138" s="690">
        <v>0</v>
      </c>
      <c r="BI138" s="691">
        <v>0</v>
      </c>
      <c r="BJ138" s="690">
        <v>0</v>
      </c>
      <c r="BK138" s="691">
        <v>0</v>
      </c>
      <c r="BL138" s="690">
        <v>0</v>
      </c>
      <c r="BM138" s="691">
        <v>0</v>
      </c>
      <c r="BN138" s="690">
        <v>0</v>
      </c>
      <c r="BO138" s="691">
        <v>0</v>
      </c>
      <c r="BP138" s="690">
        <v>0</v>
      </c>
      <c r="BQ138" s="691">
        <v>0</v>
      </c>
      <c r="BR138" s="690">
        <v>0</v>
      </c>
      <c r="BS138" s="691">
        <v>0</v>
      </c>
      <c r="BT138" s="690">
        <v>0</v>
      </c>
      <c r="BU138" s="691">
        <v>0</v>
      </c>
      <c r="BV138" s="690">
        <v>0</v>
      </c>
      <c r="BW138" s="691">
        <v>0</v>
      </c>
      <c r="BX138" s="690">
        <v>0</v>
      </c>
      <c r="BY138" s="691">
        <v>0</v>
      </c>
      <c r="BZ138" s="690">
        <v>0</v>
      </c>
      <c r="CA138" s="691">
        <v>0</v>
      </c>
      <c r="CB138" s="690">
        <v>0</v>
      </c>
      <c r="CC138" s="689">
        <v>0</v>
      </c>
      <c r="CD138" s="692">
        <v>0</v>
      </c>
      <c r="CE138" s="689">
        <v>0</v>
      </c>
      <c r="CF138" s="692">
        <v>0</v>
      </c>
      <c r="CG138" s="689">
        <v>0</v>
      </c>
      <c r="CH138" s="692">
        <v>0</v>
      </c>
      <c r="CI138" s="689">
        <v>0</v>
      </c>
      <c r="CJ138" s="692">
        <v>0</v>
      </c>
      <c r="CK138" s="689">
        <v>0</v>
      </c>
      <c r="CL138" s="692">
        <v>0</v>
      </c>
      <c r="CM138" s="689">
        <v>0</v>
      </c>
      <c r="CN138" s="692">
        <v>0</v>
      </c>
      <c r="CO138" s="689">
        <v>0</v>
      </c>
      <c r="CP138" s="692">
        <v>0</v>
      </c>
      <c r="CQ138" s="689">
        <v>0</v>
      </c>
      <c r="CR138" s="690">
        <v>0</v>
      </c>
      <c r="CS138" s="689">
        <v>0</v>
      </c>
      <c r="CT138" s="690">
        <v>0</v>
      </c>
      <c r="CU138" s="691">
        <v>0</v>
      </c>
      <c r="CV138" s="690">
        <v>0</v>
      </c>
    </row>
    <row r="139" spans="1:100">
      <c r="A139" s="457">
        <v>137</v>
      </c>
      <c r="B139" s="577">
        <v>0</v>
      </c>
      <c r="C139" s="577">
        <v>0</v>
      </c>
      <c r="D139" s="577">
        <v>0</v>
      </c>
      <c r="E139" s="577">
        <v>0</v>
      </c>
      <c r="F139" s="577">
        <v>0</v>
      </c>
      <c r="G139" s="577">
        <v>0</v>
      </c>
      <c r="H139" s="577">
        <v>0</v>
      </c>
      <c r="I139" s="577">
        <v>0</v>
      </c>
      <c r="J139" s="577">
        <v>0</v>
      </c>
      <c r="K139" s="577">
        <v>0</v>
      </c>
      <c r="L139" s="577">
        <v>0</v>
      </c>
      <c r="M139" s="577">
        <v>0</v>
      </c>
      <c r="N139" s="577">
        <v>0</v>
      </c>
      <c r="O139" s="577">
        <v>0</v>
      </c>
      <c r="P139" s="577">
        <v>0</v>
      </c>
      <c r="Q139" s="577">
        <v>0</v>
      </c>
      <c r="R139" s="577">
        <v>0</v>
      </c>
      <c r="S139" s="577">
        <v>0</v>
      </c>
      <c r="T139" s="577">
        <v>0</v>
      </c>
      <c r="U139" s="577">
        <v>0</v>
      </c>
      <c r="V139" s="577">
        <v>0</v>
      </c>
      <c r="W139" s="592">
        <v>0</v>
      </c>
      <c r="X139" s="685">
        <v>0</v>
      </c>
      <c r="Y139" s="685">
        <v>0</v>
      </c>
      <c r="Z139" s="685">
        <v>0</v>
      </c>
      <c r="AA139" s="685">
        <v>0</v>
      </c>
      <c r="AB139" s="685">
        <v>0</v>
      </c>
      <c r="AC139" s="685">
        <v>0</v>
      </c>
      <c r="AD139" s="685">
        <v>0</v>
      </c>
      <c r="AE139" s="910">
        <v>0</v>
      </c>
      <c r="AF139" s="911">
        <v>0</v>
      </c>
      <c r="AG139" s="912">
        <v>0</v>
      </c>
      <c r="AH139" s="685">
        <v>0</v>
      </c>
      <c r="AI139" s="684">
        <v>0</v>
      </c>
      <c r="AJ139" s="682">
        <v>0</v>
      </c>
      <c r="AK139" s="684">
        <v>0</v>
      </c>
      <c r="AL139" s="686">
        <v>0</v>
      </c>
      <c r="AM139" s="682">
        <v>0</v>
      </c>
      <c r="AN139" s="682">
        <v>0</v>
      </c>
      <c r="AO139" s="686">
        <v>0</v>
      </c>
      <c r="AP139" s="687">
        <v>2E-3</v>
      </c>
      <c r="AQ139" s="684">
        <f t="shared" si="24"/>
        <v>7.1428571428571426E-3</v>
      </c>
      <c r="AR139" s="682">
        <v>0</v>
      </c>
      <c r="AS139" s="684">
        <v>0</v>
      </c>
      <c r="AT139" s="688">
        <v>0</v>
      </c>
      <c r="AU139" s="682">
        <v>0</v>
      </c>
      <c r="AV139" s="684">
        <v>0</v>
      </c>
      <c r="AW139" s="689">
        <v>0</v>
      </c>
      <c r="AX139" s="690">
        <v>0</v>
      </c>
      <c r="AY139" s="689">
        <v>0</v>
      </c>
      <c r="AZ139" s="690">
        <v>0</v>
      </c>
      <c r="BA139" s="689">
        <v>0</v>
      </c>
      <c r="BB139" s="690">
        <v>0</v>
      </c>
      <c r="BC139" s="691">
        <v>0</v>
      </c>
      <c r="BD139" s="692">
        <v>0</v>
      </c>
      <c r="BE139" s="689">
        <v>0</v>
      </c>
      <c r="BF139" s="690">
        <v>0</v>
      </c>
      <c r="BG139" s="691">
        <v>0</v>
      </c>
      <c r="BH139" s="690">
        <v>0</v>
      </c>
      <c r="BI139" s="691">
        <v>0</v>
      </c>
      <c r="BJ139" s="690">
        <v>0</v>
      </c>
      <c r="BK139" s="691">
        <v>0</v>
      </c>
      <c r="BL139" s="690">
        <v>0</v>
      </c>
      <c r="BM139" s="691">
        <v>0</v>
      </c>
      <c r="BN139" s="690">
        <v>0</v>
      </c>
      <c r="BO139" s="691">
        <v>0</v>
      </c>
      <c r="BP139" s="690">
        <v>0</v>
      </c>
      <c r="BQ139" s="691">
        <v>0</v>
      </c>
      <c r="BR139" s="690">
        <v>0</v>
      </c>
      <c r="BS139" s="691">
        <v>0</v>
      </c>
      <c r="BT139" s="690">
        <v>0</v>
      </c>
      <c r="BU139" s="691">
        <v>0</v>
      </c>
      <c r="BV139" s="690">
        <v>0</v>
      </c>
      <c r="BW139" s="691">
        <v>0</v>
      </c>
      <c r="BX139" s="690">
        <v>0</v>
      </c>
      <c r="BY139" s="691">
        <v>0</v>
      </c>
      <c r="BZ139" s="690">
        <v>0</v>
      </c>
      <c r="CA139" s="691">
        <v>0</v>
      </c>
      <c r="CB139" s="690">
        <v>0</v>
      </c>
      <c r="CC139" s="689">
        <v>0</v>
      </c>
      <c r="CD139" s="692">
        <v>0</v>
      </c>
      <c r="CE139" s="689">
        <v>0</v>
      </c>
      <c r="CF139" s="692">
        <v>0</v>
      </c>
      <c r="CG139" s="689">
        <v>0</v>
      </c>
      <c r="CH139" s="692">
        <v>0</v>
      </c>
      <c r="CI139" s="689">
        <v>0</v>
      </c>
      <c r="CJ139" s="692">
        <v>0</v>
      </c>
      <c r="CK139" s="689">
        <v>0</v>
      </c>
      <c r="CL139" s="692">
        <v>0</v>
      </c>
      <c r="CM139" s="689">
        <v>0</v>
      </c>
      <c r="CN139" s="692">
        <v>0</v>
      </c>
      <c r="CO139" s="689">
        <v>0</v>
      </c>
      <c r="CP139" s="692">
        <v>0</v>
      </c>
      <c r="CQ139" s="689">
        <v>0</v>
      </c>
      <c r="CR139" s="690">
        <v>0</v>
      </c>
      <c r="CS139" s="689">
        <v>0</v>
      </c>
      <c r="CT139" s="690">
        <v>0</v>
      </c>
      <c r="CU139" s="691">
        <v>0</v>
      </c>
      <c r="CV139" s="690">
        <v>0</v>
      </c>
    </row>
    <row r="140" spans="1:100">
      <c r="A140" s="457">
        <v>138</v>
      </c>
      <c r="B140" s="577">
        <v>0</v>
      </c>
      <c r="C140" s="577">
        <v>0</v>
      </c>
      <c r="D140" s="577">
        <v>0</v>
      </c>
      <c r="E140" s="577">
        <v>0</v>
      </c>
      <c r="F140" s="577">
        <v>0</v>
      </c>
      <c r="G140" s="577">
        <v>0</v>
      </c>
      <c r="H140" s="577">
        <v>0</v>
      </c>
      <c r="I140" s="577">
        <v>0</v>
      </c>
      <c r="J140" s="577">
        <v>0</v>
      </c>
      <c r="K140" s="577">
        <v>0</v>
      </c>
      <c r="L140" s="577">
        <v>0</v>
      </c>
      <c r="M140" s="577">
        <v>0</v>
      </c>
      <c r="N140" s="577">
        <v>0</v>
      </c>
      <c r="O140" s="577">
        <v>0</v>
      </c>
      <c r="P140" s="577">
        <v>0</v>
      </c>
      <c r="Q140" s="577">
        <v>0</v>
      </c>
      <c r="R140" s="577">
        <v>0</v>
      </c>
      <c r="S140" s="577">
        <v>0</v>
      </c>
      <c r="T140" s="577">
        <v>0</v>
      </c>
      <c r="U140" s="577">
        <v>0</v>
      </c>
      <c r="V140" s="577">
        <v>0</v>
      </c>
      <c r="W140" s="592">
        <v>0</v>
      </c>
      <c r="X140" s="685">
        <v>0</v>
      </c>
      <c r="Y140" s="685">
        <v>0</v>
      </c>
      <c r="Z140" s="685">
        <v>0</v>
      </c>
      <c r="AA140" s="685">
        <v>0</v>
      </c>
      <c r="AB140" s="685">
        <v>0</v>
      </c>
      <c r="AC140" s="685">
        <v>0</v>
      </c>
      <c r="AD140" s="685">
        <v>0</v>
      </c>
      <c r="AE140" s="910">
        <v>0</v>
      </c>
      <c r="AF140" s="911">
        <v>0</v>
      </c>
      <c r="AG140" s="912">
        <v>0</v>
      </c>
      <c r="AH140" s="685">
        <v>0</v>
      </c>
      <c r="AI140" s="684">
        <v>0</v>
      </c>
      <c r="AJ140" s="682">
        <v>0</v>
      </c>
      <c r="AK140" s="684">
        <v>0</v>
      </c>
      <c r="AL140" s="686">
        <v>0</v>
      </c>
      <c r="AM140" s="682">
        <v>0</v>
      </c>
      <c r="AN140" s="682">
        <v>0</v>
      </c>
      <c r="AO140" s="686">
        <v>0</v>
      </c>
      <c r="AP140" s="687">
        <v>2E-3</v>
      </c>
      <c r="AQ140" s="684">
        <f t="shared" si="24"/>
        <v>7.1428571428571426E-3</v>
      </c>
      <c r="AR140" s="682">
        <v>0</v>
      </c>
      <c r="AS140" s="684">
        <v>0</v>
      </c>
      <c r="AT140" s="688">
        <v>0</v>
      </c>
      <c r="AU140" s="682">
        <v>0</v>
      </c>
      <c r="AV140" s="684">
        <v>0</v>
      </c>
      <c r="AW140" s="689">
        <v>0</v>
      </c>
      <c r="AX140" s="690">
        <v>0</v>
      </c>
      <c r="AY140" s="689">
        <v>0</v>
      </c>
      <c r="AZ140" s="690">
        <v>0</v>
      </c>
      <c r="BA140" s="689">
        <v>0</v>
      </c>
      <c r="BB140" s="690">
        <v>0</v>
      </c>
      <c r="BC140" s="691">
        <v>0</v>
      </c>
      <c r="BD140" s="692">
        <v>0</v>
      </c>
      <c r="BE140" s="689">
        <v>0</v>
      </c>
      <c r="BF140" s="690">
        <v>0</v>
      </c>
      <c r="BG140" s="691">
        <v>0</v>
      </c>
      <c r="BH140" s="690">
        <v>0</v>
      </c>
      <c r="BI140" s="691">
        <v>0</v>
      </c>
      <c r="BJ140" s="690">
        <v>0</v>
      </c>
      <c r="BK140" s="691">
        <v>0</v>
      </c>
      <c r="BL140" s="690">
        <v>0</v>
      </c>
      <c r="BM140" s="691">
        <v>0</v>
      </c>
      <c r="BN140" s="690">
        <v>0</v>
      </c>
      <c r="BO140" s="691">
        <v>0</v>
      </c>
      <c r="BP140" s="690">
        <v>0</v>
      </c>
      <c r="BQ140" s="691">
        <v>0</v>
      </c>
      <c r="BR140" s="690">
        <v>0</v>
      </c>
      <c r="BS140" s="691">
        <v>0</v>
      </c>
      <c r="BT140" s="690">
        <v>0</v>
      </c>
      <c r="BU140" s="691">
        <v>0</v>
      </c>
      <c r="BV140" s="690">
        <v>0</v>
      </c>
      <c r="BW140" s="691">
        <v>0</v>
      </c>
      <c r="BX140" s="690">
        <v>0</v>
      </c>
      <c r="BY140" s="691">
        <v>0</v>
      </c>
      <c r="BZ140" s="690">
        <v>0</v>
      </c>
      <c r="CA140" s="691">
        <v>0</v>
      </c>
      <c r="CB140" s="690">
        <v>0</v>
      </c>
      <c r="CC140" s="689">
        <v>0</v>
      </c>
      <c r="CD140" s="692">
        <v>0</v>
      </c>
      <c r="CE140" s="689">
        <v>0</v>
      </c>
      <c r="CF140" s="692">
        <v>0</v>
      </c>
      <c r="CG140" s="689">
        <v>0</v>
      </c>
      <c r="CH140" s="692">
        <v>0</v>
      </c>
      <c r="CI140" s="689">
        <v>0</v>
      </c>
      <c r="CJ140" s="692">
        <v>0</v>
      </c>
      <c r="CK140" s="689">
        <v>0</v>
      </c>
      <c r="CL140" s="692">
        <v>0</v>
      </c>
      <c r="CM140" s="689">
        <v>0</v>
      </c>
      <c r="CN140" s="692">
        <v>0</v>
      </c>
      <c r="CO140" s="689">
        <v>0</v>
      </c>
      <c r="CP140" s="692">
        <v>0</v>
      </c>
      <c r="CQ140" s="689">
        <v>0</v>
      </c>
      <c r="CR140" s="690">
        <v>0</v>
      </c>
      <c r="CS140" s="689">
        <v>0</v>
      </c>
      <c r="CT140" s="690">
        <v>0</v>
      </c>
      <c r="CU140" s="691">
        <v>0</v>
      </c>
      <c r="CV140" s="690">
        <v>0</v>
      </c>
    </row>
    <row r="141" spans="1:100">
      <c r="A141" s="457">
        <v>139</v>
      </c>
      <c r="B141" s="577">
        <v>0</v>
      </c>
      <c r="C141" s="577">
        <v>0</v>
      </c>
      <c r="D141" s="577">
        <v>0</v>
      </c>
      <c r="E141" s="577">
        <v>0</v>
      </c>
      <c r="F141" s="577">
        <v>0</v>
      </c>
      <c r="G141" s="577">
        <v>0</v>
      </c>
      <c r="H141" s="577">
        <v>0</v>
      </c>
      <c r="I141" s="577">
        <v>0</v>
      </c>
      <c r="J141" s="577">
        <v>0</v>
      </c>
      <c r="K141" s="577">
        <v>0</v>
      </c>
      <c r="L141" s="577">
        <v>0</v>
      </c>
      <c r="M141" s="577">
        <v>0</v>
      </c>
      <c r="N141" s="577">
        <v>0</v>
      </c>
      <c r="O141" s="577">
        <v>0</v>
      </c>
      <c r="P141" s="577">
        <v>0</v>
      </c>
      <c r="Q141" s="577">
        <v>0</v>
      </c>
      <c r="R141" s="577">
        <v>0</v>
      </c>
      <c r="S141" s="577">
        <v>0</v>
      </c>
      <c r="T141" s="577">
        <v>0</v>
      </c>
      <c r="U141" s="577">
        <v>0</v>
      </c>
      <c r="V141" s="577">
        <v>0</v>
      </c>
      <c r="W141" s="592">
        <v>0</v>
      </c>
      <c r="X141" s="685">
        <v>0</v>
      </c>
      <c r="Y141" s="685">
        <v>0</v>
      </c>
      <c r="Z141" s="685">
        <v>0</v>
      </c>
      <c r="AA141" s="685">
        <v>0</v>
      </c>
      <c r="AB141" s="685">
        <v>0</v>
      </c>
      <c r="AC141" s="685">
        <v>0</v>
      </c>
      <c r="AD141" s="685">
        <v>0</v>
      </c>
      <c r="AE141" s="910">
        <v>0</v>
      </c>
      <c r="AF141" s="911">
        <v>0</v>
      </c>
      <c r="AG141" s="912">
        <v>0</v>
      </c>
      <c r="AH141" s="685">
        <v>0</v>
      </c>
      <c r="AI141" s="684">
        <v>0</v>
      </c>
      <c r="AJ141" s="682">
        <v>0</v>
      </c>
      <c r="AK141" s="684">
        <v>0</v>
      </c>
      <c r="AL141" s="686">
        <v>0</v>
      </c>
      <c r="AM141" s="682">
        <v>0</v>
      </c>
      <c r="AN141" s="682">
        <v>0</v>
      </c>
      <c r="AO141" s="686">
        <v>0</v>
      </c>
      <c r="AP141" s="687">
        <v>2E-3</v>
      </c>
      <c r="AQ141" s="684">
        <f t="shared" si="24"/>
        <v>7.1428571428571426E-3</v>
      </c>
      <c r="AR141" s="682">
        <v>0</v>
      </c>
      <c r="AS141" s="684">
        <v>0</v>
      </c>
      <c r="AT141" s="688">
        <v>0</v>
      </c>
      <c r="AU141" s="682">
        <v>0</v>
      </c>
      <c r="AV141" s="684">
        <v>0</v>
      </c>
      <c r="AW141" s="689">
        <v>0</v>
      </c>
      <c r="AX141" s="690">
        <v>0</v>
      </c>
      <c r="AY141" s="689">
        <v>0</v>
      </c>
      <c r="AZ141" s="690">
        <v>0</v>
      </c>
      <c r="BA141" s="689">
        <v>0</v>
      </c>
      <c r="BB141" s="690">
        <v>0</v>
      </c>
      <c r="BC141" s="691">
        <v>0</v>
      </c>
      <c r="BD141" s="692">
        <v>0</v>
      </c>
      <c r="BE141" s="689">
        <v>0</v>
      </c>
      <c r="BF141" s="690">
        <v>0</v>
      </c>
      <c r="BG141" s="691">
        <v>0</v>
      </c>
      <c r="BH141" s="690">
        <v>0</v>
      </c>
      <c r="BI141" s="691">
        <v>0</v>
      </c>
      <c r="BJ141" s="690">
        <v>0</v>
      </c>
      <c r="BK141" s="691">
        <v>0</v>
      </c>
      <c r="BL141" s="690">
        <v>0</v>
      </c>
      <c r="BM141" s="691">
        <v>0</v>
      </c>
      <c r="BN141" s="690">
        <v>0</v>
      </c>
      <c r="BO141" s="691">
        <v>0</v>
      </c>
      <c r="BP141" s="690">
        <v>0</v>
      </c>
      <c r="BQ141" s="691">
        <v>0</v>
      </c>
      <c r="BR141" s="690">
        <v>0</v>
      </c>
      <c r="BS141" s="691">
        <v>0</v>
      </c>
      <c r="BT141" s="690">
        <v>0</v>
      </c>
      <c r="BU141" s="691">
        <v>0</v>
      </c>
      <c r="BV141" s="690">
        <v>0</v>
      </c>
      <c r="BW141" s="691">
        <v>0</v>
      </c>
      <c r="BX141" s="690">
        <v>0</v>
      </c>
      <c r="BY141" s="691">
        <v>0</v>
      </c>
      <c r="BZ141" s="690">
        <v>0</v>
      </c>
      <c r="CA141" s="691">
        <v>0</v>
      </c>
      <c r="CB141" s="690">
        <v>0</v>
      </c>
      <c r="CC141" s="689">
        <v>0</v>
      </c>
      <c r="CD141" s="692">
        <v>0</v>
      </c>
      <c r="CE141" s="689">
        <v>0</v>
      </c>
      <c r="CF141" s="692">
        <v>0</v>
      </c>
      <c r="CG141" s="689">
        <v>0</v>
      </c>
      <c r="CH141" s="692">
        <v>0</v>
      </c>
      <c r="CI141" s="689">
        <v>0</v>
      </c>
      <c r="CJ141" s="692">
        <v>0</v>
      </c>
      <c r="CK141" s="689">
        <v>0</v>
      </c>
      <c r="CL141" s="692">
        <v>0</v>
      </c>
      <c r="CM141" s="689">
        <v>0</v>
      </c>
      <c r="CN141" s="692">
        <v>0</v>
      </c>
      <c r="CO141" s="689">
        <v>0</v>
      </c>
      <c r="CP141" s="692">
        <v>0</v>
      </c>
      <c r="CQ141" s="689">
        <v>0</v>
      </c>
      <c r="CR141" s="690">
        <v>0</v>
      </c>
      <c r="CS141" s="689">
        <v>0</v>
      </c>
      <c r="CT141" s="690">
        <v>0</v>
      </c>
      <c r="CU141" s="691">
        <v>0</v>
      </c>
      <c r="CV141" s="690">
        <v>0</v>
      </c>
    </row>
    <row r="142" spans="1:100">
      <c r="A142" s="457">
        <v>140</v>
      </c>
      <c r="B142" s="577">
        <v>0</v>
      </c>
      <c r="C142" s="577">
        <v>0</v>
      </c>
      <c r="D142" s="577">
        <v>0</v>
      </c>
      <c r="E142" s="577">
        <v>0</v>
      </c>
      <c r="F142" s="577">
        <v>0</v>
      </c>
      <c r="G142" s="577">
        <v>0</v>
      </c>
      <c r="H142" s="577">
        <v>0</v>
      </c>
      <c r="I142" s="577">
        <v>0</v>
      </c>
      <c r="J142" s="577">
        <v>0</v>
      </c>
      <c r="K142" s="577">
        <v>0</v>
      </c>
      <c r="L142" s="577">
        <v>0</v>
      </c>
      <c r="M142" s="577">
        <v>0</v>
      </c>
      <c r="N142" s="577">
        <v>0</v>
      </c>
      <c r="O142" s="577">
        <v>0</v>
      </c>
      <c r="P142" s="577">
        <v>0</v>
      </c>
      <c r="Q142" s="577">
        <v>0</v>
      </c>
      <c r="R142" s="577">
        <v>0</v>
      </c>
      <c r="S142" s="577">
        <v>0</v>
      </c>
      <c r="T142" s="577">
        <v>0</v>
      </c>
      <c r="U142" s="577">
        <v>0</v>
      </c>
      <c r="V142" s="577">
        <v>0</v>
      </c>
      <c r="W142" s="592">
        <v>0</v>
      </c>
      <c r="X142" s="685">
        <v>0</v>
      </c>
      <c r="Y142" s="685">
        <v>0</v>
      </c>
      <c r="Z142" s="685">
        <v>0</v>
      </c>
      <c r="AA142" s="685">
        <v>0</v>
      </c>
      <c r="AB142" s="685">
        <v>0</v>
      </c>
      <c r="AC142" s="685">
        <v>0</v>
      </c>
      <c r="AD142" s="685">
        <v>0</v>
      </c>
      <c r="AE142" s="910">
        <v>0</v>
      </c>
      <c r="AF142" s="911">
        <v>0</v>
      </c>
      <c r="AG142" s="912">
        <v>0</v>
      </c>
      <c r="AH142" s="685">
        <v>0</v>
      </c>
      <c r="AI142" s="684">
        <v>0</v>
      </c>
      <c r="AJ142" s="682">
        <v>0</v>
      </c>
      <c r="AK142" s="684">
        <v>0</v>
      </c>
      <c r="AL142" s="686">
        <v>0</v>
      </c>
      <c r="AM142" s="682">
        <v>0</v>
      </c>
      <c r="AN142" s="682">
        <v>0</v>
      </c>
      <c r="AO142" s="686">
        <v>0</v>
      </c>
      <c r="AP142" s="687">
        <v>0</v>
      </c>
      <c r="AQ142" s="684">
        <v>0</v>
      </c>
      <c r="AR142" s="682">
        <v>0</v>
      </c>
      <c r="AS142" s="684">
        <v>0</v>
      </c>
      <c r="AT142" s="688">
        <v>0</v>
      </c>
      <c r="AU142" s="682">
        <v>0</v>
      </c>
      <c r="AV142" s="684">
        <v>0</v>
      </c>
      <c r="AW142" s="689">
        <v>0</v>
      </c>
      <c r="AX142" s="690">
        <v>0</v>
      </c>
      <c r="AY142" s="689">
        <v>0</v>
      </c>
      <c r="AZ142" s="690">
        <v>0</v>
      </c>
      <c r="BA142" s="689">
        <v>0</v>
      </c>
      <c r="BB142" s="690">
        <v>0</v>
      </c>
      <c r="BC142" s="691">
        <v>0</v>
      </c>
      <c r="BD142" s="692">
        <v>0</v>
      </c>
      <c r="BE142" s="689">
        <v>0</v>
      </c>
      <c r="BF142" s="690">
        <v>0</v>
      </c>
      <c r="BG142" s="691">
        <v>0</v>
      </c>
      <c r="BH142" s="690">
        <v>0</v>
      </c>
      <c r="BI142" s="691">
        <v>0</v>
      </c>
      <c r="BJ142" s="690">
        <v>0</v>
      </c>
      <c r="BK142" s="691">
        <v>0</v>
      </c>
      <c r="BL142" s="690">
        <v>0</v>
      </c>
      <c r="BM142" s="691">
        <v>0</v>
      </c>
      <c r="BN142" s="690">
        <v>0</v>
      </c>
      <c r="BO142" s="691">
        <v>0</v>
      </c>
      <c r="BP142" s="690">
        <v>0</v>
      </c>
      <c r="BQ142" s="691">
        <v>0</v>
      </c>
      <c r="BR142" s="690">
        <v>0</v>
      </c>
      <c r="BS142" s="691">
        <v>0</v>
      </c>
      <c r="BT142" s="690">
        <v>0</v>
      </c>
      <c r="BU142" s="691">
        <v>0</v>
      </c>
      <c r="BV142" s="690">
        <v>0</v>
      </c>
      <c r="BW142" s="691">
        <v>0</v>
      </c>
      <c r="BX142" s="690">
        <v>0</v>
      </c>
      <c r="BY142" s="691">
        <v>0</v>
      </c>
      <c r="BZ142" s="690">
        <v>0</v>
      </c>
      <c r="CA142" s="691">
        <v>0</v>
      </c>
      <c r="CB142" s="690">
        <v>0</v>
      </c>
      <c r="CC142" s="689">
        <v>0</v>
      </c>
      <c r="CD142" s="692">
        <v>0</v>
      </c>
      <c r="CE142" s="689">
        <v>0</v>
      </c>
      <c r="CF142" s="692">
        <v>0</v>
      </c>
      <c r="CG142" s="689">
        <v>0</v>
      </c>
      <c r="CH142" s="692">
        <v>0</v>
      </c>
      <c r="CI142" s="689">
        <v>0</v>
      </c>
      <c r="CJ142" s="692">
        <v>0</v>
      </c>
      <c r="CK142" s="689">
        <v>0</v>
      </c>
      <c r="CL142" s="692">
        <v>0</v>
      </c>
      <c r="CM142" s="689">
        <v>0</v>
      </c>
      <c r="CN142" s="692">
        <v>0</v>
      </c>
      <c r="CO142" s="689">
        <v>0</v>
      </c>
      <c r="CP142" s="692">
        <v>0</v>
      </c>
      <c r="CQ142" s="689">
        <v>0</v>
      </c>
      <c r="CR142" s="690">
        <v>0</v>
      </c>
      <c r="CS142" s="689">
        <v>0</v>
      </c>
      <c r="CT142" s="690">
        <v>0</v>
      </c>
      <c r="CU142" s="691">
        <v>0</v>
      </c>
      <c r="CV142" s="690">
        <v>0</v>
      </c>
    </row>
    <row r="143" spans="1:100">
      <c r="A143" s="457">
        <v>141</v>
      </c>
      <c r="B143" s="577">
        <v>0</v>
      </c>
      <c r="C143" s="577">
        <v>0</v>
      </c>
      <c r="D143" s="577">
        <v>0</v>
      </c>
      <c r="E143" s="577">
        <v>0</v>
      </c>
      <c r="F143" s="577">
        <v>0</v>
      </c>
      <c r="G143" s="577">
        <v>0</v>
      </c>
      <c r="H143" s="577">
        <v>0</v>
      </c>
      <c r="I143" s="577">
        <v>0</v>
      </c>
      <c r="J143" s="577">
        <v>0</v>
      </c>
      <c r="K143" s="577">
        <v>0</v>
      </c>
      <c r="L143" s="577">
        <v>0</v>
      </c>
      <c r="M143" s="577">
        <v>0</v>
      </c>
      <c r="N143" s="577">
        <v>0</v>
      </c>
      <c r="O143" s="577">
        <v>0</v>
      </c>
      <c r="P143" s="577">
        <v>0</v>
      </c>
      <c r="Q143" s="577">
        <v>0</v>
      </c>
      <c r="R143" s="577">
        <v>0</v>
      </c>
      <c r="S143" s="577">
        <v>0</v>
      </c>
      <c r="T143" s="577">
        <v>0</v>
      </c>
      <c r="U143" s="577">
        <v>0</v>
      </c>
      <c r="V143" s="577">
        <v>0</v>
      </c>
      <c r="W143" s="592">
        <v>0</v>
      </c>
      <c r="X143" s="685">
        <v>0</v>
      </c>
      <c r="Y143" s="685">
        <v>0</v>
      </c>
      <c r="Z143" s="685">
        <v>0</v>
      </c>
      <c r="AA143" s="685">
        <v>0</v>
      </c>
      <c r="AB143" s="685">
        <v>0</v>
      </c>
      <c r="AC143" s="685">
        <v>0</v>
      </c>
      <c r="AD143" s="685">
        <v>0</v>
      </c>
      <c r="AE143" s="910">
        <v>0</v>
      </c>
      <c r="AF143" s="911">
        <v>0</v>
      </c>
      <c r="AG143" s="912">
        <v>0</v>
      </c>
      <c r="AH143" s="685">
        <v>0</v>
      </c>
      <c r="AI143" s="684">
        <v>0</v>
      </c>
      <c r="AJ143" s="682">
        <v>0</v>
      </c>
      <c r="AK143" s="684">
        <v>0</v>
      </c>
      <c r="AL143" s="686">
        <v>0</v>
      </c>
      <c r="AM143" s="682">
        <v>0</v>
      </c>
      <c r="AN143" s="682">
        <v>0</v>
      </c>
      <c r="AO143" s="686">
        <v>0</v>
      </c>
      <c r="AP143" s="687">
        <v>0</v>
      </c>
      <c r="AQ143" s="684">
        <v>0</v>
      </c>
      <c r="AR143" s="682">
        <v>0</v>
      </c>
      <c r="AS143" s="684">
        <v>0</v>
      </c>
      <c r="AT143" s="688">
        <v>0</v>
      </c>
      <c r="AU143" s="682">
        <v>0</v>
      </c>
      <c r="AV143" s="684">
        <v>0</v>
      </c>
      <c r="AW143" s="689">
        <v>0</v>
      </c>
      <c r="AX143" s="690">
        <v>0</v>
      </c>
      <c r="AY143" s="689">
        <v>0</v>
      </c>
      <c r="AZ143" s="690">
        <v>0</v>
      </c>
      <c r="BA143" s="689">
        <v>0</v>
      </c>
      <c r="BB143" s="690">
        <v>0</v>
      </c>
      <c r="BC143" s="691">
        <v>0</v>
      </c>
      <c r="BD143" s="692">
        <v>0</v>
      </c>
      <c r="BE143" s="689">
        <v>0</v>
      </c>
      <c r="BF143" s="690">
        <v>0</v>
      </c>
      <c r="BG143" s="691">
        <v>0</v>
      </c>
      <c r="BH143" s="690">
        <v>0</v>
      </c>
      <c r="BI143" s="691">
        <v>0</v>
      </c>
      <c r="BJ143" s="690">
        <v>0</v>
      </c>
      <c r="BK143" s="691">
        <v>0</v>
      </c>
      <c r="BL143" s="690">
        <v>0</v>
      </c>
      <c r="BM143" s="691">
        <v>0</v>
      </c>
      <c r="BN143" s="690">
        <v>0</v>
      </c>
      <c r="BO143" s="691">
        <v>0</v>
      </c>
      <c r="BP143" s="690">
        <v>0</v>
      </c>
      <c r="BQ143" s="691">
        <v>0</v>
      </c>
      <c r="BR143" s="690">
        <v>0</v>
      </c>
      <c r="BS143" s="691">
        <v>0</v>
      </c>
      <c r="BT143" s="690">
        <v>0</v>
      </c>
      <c r="BU143" s="691">
        <v>0</v>
      </c>
      <c r="BV143" s="690">
        <v>0</v>
      </c>
      <c r="BW143" s="691">
        <v>0</v>
      </c>
      <c r="BX143" s="690">
        <v>0</v>
      </c>
      <c r="BY143" s="691">
        <v>0</v>
      </c>
      <c r="BZ143" s="690">
        <v>0</v>
      </c>
      <c r="CA143" s="691">
        <v>0</v>
      </c>
      <c r="CB143" s="690">
        <v>0</v>
      </c>
      <c r="CC143" s="689">
        <v>0</v>
      </c>
      <c r="CD143" s="692">
        <v>0</v>
      </c>
      <c r="CE143" s="689">
        <v>0</v>
      </c>
      <c r="CF143" s="692">
        <v>0</v>
      </c>
      <c r="CG143" s="689">
        <v>0</v>
      </c>
      <c r="CH143" s="692">
        <v>0</v>
      </c>
      <c r="CI143" s="689">
        <v>0</v>
      </c>
      <c r="CJ143" s="692">
        <v>0</v>
      </c>
      <c r="CK143" s="689">
        <v>0</v>
      </c>
      <c r="CL143" s="692">
        <v>0</v>
      </c>
      <c r="CM143" s="689">
        <v>0</v>
      </c>
      <c r="CN143" s="692">
        <v>0</v>
      </c>
      <c r="CO143" s="689">
        <v>0</v>
      </c>
      <c r="CP143" s="692">
        <v>0</v>
      </c>
      <c r="CQ143" s="689">
        <v>0</v>
      </c>
      <c r="CR143" s="690">
        <v>0</v>
      </c>
      <c r="CS143" s="689">
        <v>0</v>
      </c>
      <c r="CT143" s="690">
        <v>0</v>
      </c>
      <c r="CU143" s="691">
        <v>0</v>
      </c>
      <c r="CV143" s="690">
        <v>0</v>
      </c>
    </row>
    <row r="144" spans="1:100">
      <c r="A144" s="457">
        <v>142</v>
      </c>
      <c r="B144" s="577">
        <v>0</v>
      </c>
      <c r="C144" s="577">
        <v>0</v>
      </c>
      <c r="D144" s="577">
        <v>0</v>
      </c>
      <c r="E144" s="577">
        <v>0</v>
      </c>
      <c r="F144" s="577">
        <v>0</v>
      </c>
      <c r="G144" s="577">
        <v>0</v>
      </c>
      <c r="H144" s="577">
        <v>0</v>
      </c>
      <c r="I144" s="577">
        <v>0</v>
      </c>
      <c r="J144" s="577">
        <v>0</v>
      </c>
      <c r="K144" s="577">
        <v>0</v>
      </c>
      <c r="L144" s="577">
        <v>0</v>
      </c>
      <c r="M144" s="577">
        <v>0</v>
      </c>
      <c r="N144" s="577">
        <v>0</v>
      </c>
      <c r="O144" s="577">
        <v>0</v>
      </c>
      <c r="P144" s="577">
        <v>0</v>
      </c>
      <c r="Q144" s="577">
        <v>0</v>
      </c>
      <c r="R144" s="577">
        <v>0</v>
      </c>
      <c r="S144" s="577">
        <v>0</v>
      </c>
      <c r="T144" s="577">
        <v>0</v>
      </c>
      <c r="U144" s="577">
        <v>0</v>
      </c>
      <c r="V144" s="577">
        <v>0</v>
      </c>
      <c r="W144" s="592">
        <v>0</v>
      </c>
      <c r="X144" s="685">
        <v>0</v>
      </c>
      <c r="Y144" s="685">
        <v>0</v>
      </c>
      <c r="Z144" s="685">
        <v>0</v>
      </c>
      <c r="AA144" s="685">
        <v>0</v>
      </c>
      <c r="AB144" s="685">
        <v>0</v>
      </c>
      <c r="AC144" s="685">
        <v>0</v>
      </c>
      <c r="AD144" s="685">
        <v>0</v>
      </c>
      <c r="AE144" s="910">
        <v>0</v>
      </c>
      <c r="AF144" s="911">
        <v>0</v>
      </c>
      <c r="AG144" s="912">
        <v>0</v>
      </c>
      <c r="AH144" s="685">
        <v>0</v>
      </c>
      <c r="AI144" s="684">
        <v>0</v>
      </c>
      <c r="AJ144" s="682">
        <v>0</v>
      </c>
      <c r="AK144" s="684">
        <v>0</v>
      </c>
      <c r="AL144" s="686">
        <v>0</v>
      </c>
      <c r="AM144" s="682">
        <v>0</v>
      </c>
      <c r="AN144" s="682">
        <v>0</v>
      </c>
      <c r="AO144" s="686">
        <v>0</v>
      </c>
      <c r="AP144" s="687">
        <v>0</v>
      </c>
      <c r="AQ144" s="684">
        <v>0</v>
      </c>
      <c r="AR144" s="682">
        <v>0</v>
      </c>
      <c r="AS144" s="684">
        <v>0</v>
      </c>
      <c r="AT144" s="688">
        <v>0</v>
      </c>
      <c r="AU144" s="682">
        <v>0</v>
      </c>
      <c r="AV144" s="684">
        <v>0</v>
      </c>
      <c r="AW144" s="689">
        <v>0</v>
      </c>
      <c r="AX144" s="690">
        <v>0</v>
      </c>
      <c r="AY144" s="689">
        <v>0</v>
      </c>
      <c r="AZ144" s="690">
        <v>0</v>
      </c>
      <c r="BA144" s="689">
        <v>0</v>
      </c>
      <c r="BB144" s="690">
        <v>0</v>
      </c>
      <c r="BC144" s="691">
        <v>0</v>
      </c>
      <c r="BD144" s="692">
        <v>0</v>
      </c>
      <c r="BE144" s="689">
        <v>0</v>
      </c>
      <c r="BF144" s="690">
        <v>0</v>
      </c>
      <c r="BG144" s="691">
        <v>0</v>
      </c>
      <c r="BH144" s="690">
        <v>0</v>
      </c>
      <c r="BI144" s="691">
        <v>0</v>
      </c>
      <c r="BJ144" s="690">
        <v>0</v>
      </c>
      <c r="BK144" s="691">
        <v>0</v>
      </c>
      <c r="BL144" s="690">
        <v>0</v>
      </c>
      <c r="BM144" s="691">
        <v>0</v>
      </c>
      <c r="BN144" s="690">
        <v>0</v>
      </c>
      <c r="BO144" s="691">
        <v>0</v>
      </c>
      <c r="BP144" s="690">
        <v>0</v>
      </c>
      <c r="BQ144" s="691">
        <v>0</v>
      </c>
      <c r="BR144" s="690">
        <v>0</v>
      </c>
      <c r="BS144" s="691">
        <v>0</v>
      </c>
      <c r="BT144" s="690">
        <v>0</v>
      </c>
      <c r="BU144" s="691">
        <v>0</v>
      </c>
      <c r="BV144" s="690">
        <v>0</v>
      </c>
      <c r="BW144" s="691">
        <v>0</v>
      </c>
      <c r="BX144" s="690">
        <v>0</v>
      </c>
      <c r="BY144" s="691">
        <v>0</v>
      </c>
      <c r="BZ144" s="690">
        <v>0</v>
      </c>
      <c r="CA144" s="691">
        <v>0</v>
      </c>
      <c r="CB144" s="690">
        <v>0</v>
      </c>
      <c r="CC144" s="689">
        <v>0</v>
      </c>
      <c r="CD144" s="692">
        <v>0</v>
      </c>
      <c r="CE144" s="689">
        <v>0</v>
      </c>
      <c r="CF144" s="692">
        <v>0</v>
      </c>
      <c r="CG144" s="689">
        <v>0</v>
      </c>
      <c r="CH144" s="692">
        <v>0</v>
      </c>
      <c r="CI144" s="689">
        <v>0</v>
      </c>
      <c r="CJ144" s="692">
        <v>0</v>
      </c>
      <c r="CK144" s="689">
        <v>0</v>
      </c>
      <c r="CL144" s="692">
        <v>0</v>
      </c>
      <c r="CM144" s="689">
        <v>0</v>
      </c>
      <c r="CN144" s="692">
        <v>0</v>
      </c>
      <c r="CO144" s="689">
        <v>0</v>
      </c>
      <c r="CP144" s="692">
        <v>0</v>
      </c>
      <c r="CQ144" s="689">
        <v>0</v>
      </c>
      <c r="CR144" s="690">
        <v>0</v>
      </c>
      <c r="CS144" s="689">
        <v>0</v>
      </c>
      <c r="CT144" s="690">
        <v>0</v>
      </c>
      <c r="CU144" s="691">
        <v>0</v>
      </c>
      <c r="CV144" s="690">
        <v>0</v>
      </c>
    </row>
    <row r="145" spans="1:100">
      <c r="A145" s="457">
        <v>143</v>
      </c>
      <c r="B145" s="577">
        <v>0</v>
      </c>
      <c r="C145" s="577">
        <v>0</v>
      </c>
      <c r="D145" s="577">
        <v>0</v>
      </c>
      <c r="E145" s="577">
        <v>0</v>
      </c>
      <c r="F145" s="577">
        <v>0</v>
      </c>
      <c r="G145" s="577">
        <v>0</v>
      </c>
      <c r="H145" s="577">
        <v>0</v>
      </c>
      <c r="I145" s="577">
        <v>0</v>
      </c>
      <c r="J145" s="577">
        <v>0</v>
      </c>
      <c r="K145" s="577">
        <v>0</v>
      </c>
      <c r="L145" s="577">
        <v>0</v>
      </c>
      <c r="M145" s="577">
        <v>0</v>
      </c>
      <c r="N145" s="577">
        <v>0</v>
      </c>
      <c r="O145" s="577">
        <v>0</v>
      </c>
      <c r="P145" s="577">
        <v>0</v>
      </c>
      <c r="Q145" s="577">
        <v>0</v>
      </c>
      <c r="R145" s="577">
        <v>0</v>
      </c>
      <c r="S145" s="577">
        <v>0</v>
      </c>
      <c r="T145" s="577">
        <v>0</v>
      </c>
      <c r="U145" s="577">
        <v>0</v>
      </c>
      <c r="V145" s="577">
        <v>0</v>
      </c>
      <c r="W145" s="592">
        <v>0</v>
      </c>
      <c r="X145" s="685">
        <v>0</v>
      </c>
      <c r="Y145" s="685">
        <v>0</v>
      </c>
      <c r="Z145" s="685">
        <v>0</v>
      </c>
      <c r="AA145" s="685">
        <v>0</v>
      </c>
      <c r="AB145" s="685">
        <v>0</v>
      </c>
      <c r="AC145" s="685">
        <v>0</v>
      </c>
      <c r="AD145" s="685">
        <v>0</v>
      </c>
      <c r="AE145" s="910">
        <v>0</v>
      </c>
      <c r="AF145" s="911">
        <v>0</v>
      </c>
      <c r="AG145" s="912">
        <v>0</v>
      </c>
      <c r="AH145" s="685">
        <v>0</v>
      </c>
      <c r="AI145" s="684">
        <v>0</v>
      </c>
      <c r="AJ145" s="682">
        <v>0</v>
      </c>
      <c r="AK145" s="684">
        <v>0</v>
      </c>
      <c r="AL145" s="686">
        <v>0</v>
      </c>
      <c r="AM145" s="682">
        <v>0</v>
      </c>
      <c r="AN145" s="682">
        <v>0</v>
      </c>
      <c r="AO145" s="686">
        <v>0</v>
      </c>
      <c r="AP145" s="687">
        <v>0</v>
      </c>
      <c r="AQ145" s="684">
        <v>0</v>
      </c>
      <c r="AR145" s="682">
        <v>0</v>
      </c>
      <c r="AS145" s="684">
        <v>0</v>
      </c>
      <c r="AT145" s="688">
        <v>0</v>
      </c>
      <c r="AU145" s="682">
        <v>0</v>
      </c>
      <c r="AV145" s="684">
        <v>0</v>
      </c>
      <c r="AW145" s="689">
        <v>0</v>
      </c>
      <c r="AX145" s="690">
        <v>0</v>
      </c>
      <c r="AY145" s="689">
        <v>0</v>
      </c>
      <c r="AZ145" s="690">
        <v>0</v>
      </c>
      <c r="BA145" s="689">
        <v>0</v>
      </c>
      <c r="BB145" s="690">
        <v>0</v>
      </c>
      <c r="BC145" s="691">
        <v>0</v>
      </c>
      <c r="BD145" s="692">
        <v>0</v>
      </c>
      <c r="BE145" s="689">
        <v>0</v>
      </c>
      <c r="BF145" s="690">
        <v>0</v>
      </c>
      <c r="BG145" s="691">
        <v>0</v>
      </c>
      <c r="BH145" s="690">
        <v>0</v>
      </c>
      <c r="BI145" s="691">
        <v>0</v>
      </c>
      <c r="BJ145" s="690">
        <v>0</v>
      </c>
      <c r="BK145" s="691">
        <v>0</v>
      </c>
      <c r="BL145" s="690">
        <v>0</v>
      </c>
      <c r="BM145" s="691">
        <v>0</v>
      </c>
      <c r="BN145" s="690">
        <v>0</v>
      </c>
      <c r="BO145" s="691">
        <v>0</v>
      </c>
      <c r="BP145" s="690">
        <v>0</v>
      </c>
      <c r="BQ145" s="691">
        <v>0</v>
      </c>
      <c r="BR145" s="690">
        <v>0</v>
      </c>
      <c r="BS145" s="691">
        <v>0</v>
      </c>
      <c r="BT145" s="690">
        <v>0</v>
      </c>
      <c r="BU145" s="691">
        <v>0</v>
      </c>
      <c r="BV145" s="690">
        <v>0</v>
      </c>
      <c r="BW145" s="691">
        <v>0</v>
      </c>
      <c r="BX145" s="690">
        <v>0</v>
      </c>
      <c r="BY145" s="691">
        <v>0</v>
      </c>
      <c r="BZ145" s="690">
        <v>0</v>
      </c>
      <c r="CA145" s="691">
        <v>0</v>
      </c>
      <c r="CB145" s="690">
        <v>0</v>
      </c>
      <c r="CC145" s="689">
        <v>0</v>
      </c>
      <c r="CD145" s="692">
        <v>0</v>
      </c>
      <c r="CE145" s="689">
        <v>0</v>
      </c>
      <c r="CF145" s="692">
        <v>0</v>
      </c>
      <c r="CG145" s="689">
        <v>0</v>
      </c>
      <c r="CH145" s="692">
        <v>0</v>
      </c>
      <c r="CI145" s="689">
        <v>0</v>
      </c>
      <c r="CJ145" s="692">
        <v>0</v>
      </c>
      <c r="CK145" s="689">
        <v>0</v>
      </c>
      <c r="CL145" s="692">
        <v>0</v>
      </c>
      <c r="CM145" s="689">
        <v>0</v>
      </c>
      <c r="CN145" s="692">
        <v>0</v>
      </c>
      <c r="CO145" s="689">
        <v>0</v>
      </c>
      <c r="CP145" s="692">
        <v>0</v>
      </c>
      <c r="CQ145" s="689">
        <v>0</v>
      </c>
      <c r="CR145" s="690">
        <v>0</v>
      </c>
      <c r="CS145" s="689">
        <v>0</v>
      </c>
      <c r="CT145" s="690">
        <v>0</v>
      </c>
      <c r="CU145" s="691">
        <v>0</v>
      </c>
      <c r="CV145" s="690">
        <v>0</v>
      </c>
    </row>
    <row r="146" spans="1:100">
      <c r="A146" s="457">
        <v>144</v>
      </c>
      <c r="B146" s="577">
        <v>0</v>
      </c>
      <c r="C146" s="577">
        <v>0</v>
      </c>
      <c r="D146" s="577">
        <v>0</v>
      </c>
      <c r="E146" s="577">
        <v>0</v>
      </c>
      <c r="F146" s="577">
        <v>0</v>
      </c>
      <c r="G146" s="577">
        <v>0</v>
      </c>
      <c r="H146" s="577">
        <v>0</v>
      </c>
      <c r="I146" s="577">
        <v>0</v>
      </c>
      <c r="J146" s="577">
        <v>0</v>
      </c>
      <c r="K146" s="577">
        <v>0</v>
      </c>
      <c r="L146" s="577">
        <v>0</v>
      </c>
      <c r="M146" s="577">
        <v>0</v>
      </c>
      <c r="N146" s="577">
        <v>0</v>
      </c>
      <c r="O146" s="577">
        <v>0</v>
      </c>
      <c r="P146" s="577">
        <v>0</v>
      </c>
      <c r="Q146" s="577">
        <v>0</v>
      </c>
      <c r="R146" s="577">
        <v>0</v>
      </c>
      <c r="S146" s="577">
        <v>0</v>
      </c>
      <c r="T146" s="577">
        <v>0</v>
      </c>
      <c r="U146" s="577">
        <v>0</v>
      </c>
      <c r="V146" s="577">
        <v>0</v>
      </c>
      <c r="W146" s="592">
        <v>0</v>
      </c>
      <c r="X146" s="685">
        <v>0</v>
      </c>
      <c r="Y146" s="685">
        <v>0</v>
      </c>
      <c r="Z146" s="685">
        <v>0</v>
      </c>
      <c r="AA146" s="685">
        <v>0</v>
      </c>
      <c r="AB146" s="685">
        <v>0</v>
      </c>
      <c r="AC146" s="685">
        <v>0</v>
      </c>
      <c r="AD146" s="685">
        <v>0</v>
      </c>
      <c r="AE146" s="910">
        <v>0</v>
      </c>
      <c r="AF146" s="911">
        <v>0</v>
      </c>
      <c r="AG146" s="912">
        <v>0</v>
      </c>
      <c r="AH146" s="685">
        <v>0</v>
      </c>
      <c r="AI146" s="684">
        <v>0</v>
      </c>
      <c r="AJ146" s="682">
        <v>0</v>
      </c>
      <c r="AK146" s="684">
        <v>0</v>
      </c>
      <c r="AL146" s="686">
        <v>0</v>
      </c>
      <c r="AM146" s="682">
        <v>0</v>
      </c>
      <c r="AN146" s="682">
        <v>0</v>
      </c>
      <c r="AO146" s="686">
        <v>0</v>
      </c>
      <c r="AP146" s="687">
        <v>2E-3</v>
      </c>
      <c r="AQ146" s="684">
        <v>0</v>
      </c>
      <c r="AR146" s="682">
        <v>0</v>
      </c>
      <c r="AS146" s="684">
        <v>0</v>
      </c>
      <c r="AT146" s="688">
        <v>0</v>
      </c>
      <c r="AU146" s="682">
        <v>0</v>
      </c>
      <c r="AV146" s="684">
        <v>0</v>
      </c>
      <c r="AW146" s="689">
        <v>0</v>
      </c>
      <c r="AX146" s="690">
        <v>0</v>
      </c>
      <c r="AY146" s="689">
        <v>0</v>
      </c>
      <c r="AZ146" s="690">
        <v>0</v>
      </c>
      <c r="BA146" s="689">
        <v>0</v>
      </c>
      <c r="BB146" s="690">
        <v>0</v>
      </c>
      <c r="BC146" s="691">
        <v>0</v>
      </c>
      <c r="BD146" s="692">
        <v>0</v>
      </c>
      <c r="BE146" s="689">
        <v>0</v>
      </c>
      <c r="BF146" s="690">
        <v>0</v>
      </c>
      <c r="BG146" s="691">
        <v>0</v>
      </c>
      <c r="BH146" s="690">
        <v>0</v>
      </c>
      <c r="BI146" s="691">
        <v>0</v>
      </c>
      <c r="BJ146" s="690">
        <v>0</v>
      </c>
      <c r="BK146" s="691">
        <v>0</v>
      </c>
      <c r="BL146" s="690">
        <v>0</v>
      </c>
      <c r="BM146" s="691">
        <v>0</v>
      </c>
      <c r="BN146" s="690">
        <v>0</v>
      </c>
      <c r="BO146" s="691">
        <v>0</v>
      </c>
      <c r="BP146" s="690">
        <v>0</v>
      </c>
      <c r="BQ146" s="691">
        <v>0</v>
      </c>
      <c r="BR146" s="690">
        <v>0</v>
      </c>
      <c r="BS146" s="691">
        <v>0</v>
      </c>
      <c r="BT146" s="690">
        <v>0</v>
      </c>
      <c r="BU146" s="691">
        <v>0</v>
      </c>
      <c r="BV146" s="690">
        <v>0</v>
      </c>
      <c r="BW146" s="691">
        <v>0</v>
      </c>
      <c r="BX146" s="690">
        <v>0</v>
      </c>
      <c r="BY146" s="691">
        <v>0</v>
      </c>
      <c r="BZ146" s="690">
        <v>0</v>
      </c>
      <c r="CA146" s="691">
        <v>0</v>
      </c>
      <c r="CB146" s="690">
        <v>0</v>
      </c>
      <c r="CC146" s="689">
        <v>0</v>
      </c>
      <c r="CD146" s="692">
        <v>0</v>
      </c>
      <c r="CE146" s="689">
        <v>0</v>
      </c>
      <c r="CF146" s="692">
        <v>0</v>
      </c>
      <c r="CG146" s="689">
        <v>0</v>
      </c>
      <c r="CH146" s="692">
        <v>0</v>
      </c>
      <c r="CI146" s="689">
        <v>0</v>
      </c>
      <c r="CJ146" s="692">
        <v>0</v>
      </c>
      <c r="CK146" s="689">
        <v>0</v>
      </c>
      <c r="CL146" s="692">
        <v>0</v>
      </c>
      <c r="CM146" s="689">
        <v>0</v>
      </c>
      <c r="CN146" s="692">
        <v>0</v>
      </c>
      <c r="CO146" s="689">
        <v>0</v>
      </c>
      <c r="CP146" s="692">
        <v>0</v>
      </c>
      <c r="CQ146" s="689">
        <v>0</v>
      </c>
      <c r="CR146" s="690">
        <v>0</v>
      </c>
      <c r="CS146" s="689">
        <v>0</v>
      </c>
      <c r="CT146" s="690">
        <v>0</v>
      </c>
      <c r="CU146" s="691">
        <v>0</v>
      </c>
      <c r="CV146" s="690">
        <v>0</v>
      </c>
    </row>
    <row r="147" spans="1:100">
      <c r="A147" s="457">
        <v>145</v>
      </c>
      <c r="B147" s="577">
        <v>0</v>
      </c>
      <c r="C147" s="577">
        <v>0</v>
      </c>
      <c r="D147" s="577">
        <v>0</v>
      </c>
      <c r="E147" s="577">
        <v>0</v>
      </c>
      <c r="F147" s="577">
        <v>0</v>
      </c>
      <c r="G147" s="577">
        <v>0</v>
      </c>
      <c r="H147" s="577">
        <v>0</v>
      </c>
      <c r="I147" s="577">
        <v>0</v>
      </c>
      <c r="J147" s="577">
        <v>0</v>
      </c>
      <c r="K147" s="577">
        <v>0</v>
      </c>
      <c r="L147" s="577">
        <v>0</v>
      </c>
      <c r="M147" s="577">
        <v>0</v>
      </c>
      <c r="N147" s="577">
        <v>0</v>
      </c>
      <c r="O147" s="577">
        <v>0</v>
      </c>
      <c r="P147" s="577">
        <v>0</v>
      </c>
      <c r="Q147" s="577">
        <v>0</v>
      </c>
      <c r="R147" s="577">
        <v>0</v>
      </c>
      <c r="S147" s="577">
        <v>0</v>
      </c>
      <c r="T147" s="577">
        <v>0</v>
      </c>
      <c r="U147" s="577">
        <v>0</v>
      </c>
      <c r="V147" s="577">
        <v>0</v>
      </c>
      <c r="W147" s="592">
        <v>0</v>
      </c>
      <c r="X147" s="685">
        <v>0</v>
      </c>
      <c r="Y147" s="685">
        <v>0</v>
      </c>
      <c r="Z147" s="685">
        <v>0</v>
      </c>
      <c r="AA147" s="685">
        <v>0</v>
      </c>
      <c r="AB147" s="685">
        <v>0</v>
      </c>
      <c r="AC147" s="685">
        <v>0</v>
      </c>
      <c r="AD147" s="685">
        <v>0</v>
      </c>
      <c r="AE147" s="910">
        <v>0</v>
      </c>
      <c r="AF147" s="911">
        <v>0</v>
      </c>
      <c r="AG147" s="912">
        <v>0</v>
      </c>
      <c r="AH147" s="685">
        <v>0</v>
      </c>
      <c r="AI147" s="684">
        <v>0</v>
      </c>
      <c r="AJ147" s="682">
        <v>0</v>
      </c>
      <c r="AK147" s="684">
        <v>0</v>
      </c>
      <c r="AL147" s="686">
        <v>0</v>
      </c>
      <c r="AM147" s="682">
        <v>0</v>
      </c>
      <c r="AN147" s="682">
        <v>0</v>
      </c>
      <c r="AO147" s="686">
        <v>0</v>
      </c>
      <c r="AP147" s="687">
        <v>0</v>
      </c>
      <c r="AQ147" s="684">
        <v>0</v>
      </c>
      <c r="AR147" s="682">
        <v>0</v>
      </c>
      <c r="AS147" s="684">
        <v>0</v>
      </c>
      <c r="AT147" s="688">
        <v>0</v>
      </c>
      <c r="AU147" s="682">
        <v>0</v>
      </c>
      <c r="AV147" s="684">
        <v>0</v>
      </c>
      <c r="AW147" s="689">
        <v>0</v>
      </c>
      <c r="AX147" s="690">
        <v>0</v>
      </c>
      <c r="AY147" s="689">
        <v>0</v>
      </c>
      <c r="AZ147" s="690">
        <v>0</v>
      </c>
      <c r="BA147" s="689">
        <v>0</v>
      </c>
      <c r="BB147" s="690">
        <v>0</v>
      </c>
      <c r="BC147" s="691">
        <v>0</v>
      </c>
      <c r="BD147" s="692">
        <v>0</v>
      </c>
      <c r="BE147" s="689">
        <v>0</v>
      </c>
      <c r="BF147" s="690">
        <v>0</v>
      </c>
      <c r="BG147" s="691">
        <v>0</v>
      </c>
      <c r="BH147" s="690">
        <v>0</v>
      </c>
      <c r="BI147" s="691">
        <v>0</v>
      </c>
      <c r="BJ147" s="690">
        <v>0</v>
      </c>
      <c r="BK147" s="691">
        <v>0</v>
      </c>
      <c r="BL147" s="690">
        <v>0</v>
      </c>
      <c r="BM147" s="691">
        <v>0</v>
      </c>
      <c r="BN147" s="690">
        <v>0</v>
      </c>
      <c r="BO147" s="691">
        <v>0</v>
      </c>
      <c r="BP147" s="690">
        <v>0</v>
      </c>
      <c r="BQ147" s="691">
        <v>0</v>
      </c>
      <c r="BR147" s="690">
        <v>0</v>
      </c>
      <c r="BS147" s="691">
        <v>0</v>
      </c>
      <c r="BT147" s="690">
        <v>0</v>
      </c>
      <c r="BU147" s="691">
        <v>0</v>
      </c>
      <c r="BV147" s="690">
        <v>0</v>
      </c>
      <c r="BW147" s="691">
        <v>0</v>
      </c>
      <c r="BX147" s="690">
        <v>0</v>
      </c>
      <c r="BY147" s="691">
        <v>0</v>
      </c>
      <c r="BZ147" s="690">
        <v>0</v>
      </c>
      <c r="CA147" s="691">
        <v>0</v>
      </c>
      <c r="CB147" s="690">
        <v>0</v>
      </c>
      <c r="CC147" s="689">
        <v>0</v>
      </c>
      <c r="CD147" s="692">
        <v>0</v>
      </c>
      <c r="CE147" s="689">
        <v>0</v>
      </c>
      <c r="CF147" s="692">
        <v>0</v>
      </c>
      <c r="CG147" s="689">
        <v>0</v>
      </c>
      <c r="CH147" s="692">
        <v>0</v>
      </c>
      <c r="CI147" s="689">
        <v>0</v>
      </c>
      <c r="CJ147" s="692">
        <v>0</v>
      </c>
      <c r="CK147" s="689">
        <v>0</v>
      </c>
      <c r="CL147" s="692">
        <v>0</v>
      </c>
      <c r="CM147" s="689">
        <v>0</v>
      </c>
      <c r="CN147" s="692">
        <v>0</v>
      </c>
      <c r="CO147" s="689">
        <v>0</v>
      </c>
      <c r="CP147" s="692">
        <v>0</v>
      </c>
      <c r="CQ147" s="689">
        <v>0</v>
      </c>
      <c r="CR147" s="690">
        <v>0</v>
      </c>
      <c r="CS147" s="689">
        <v>0</v>
      </c>
      <c r="CT147" s="690">
        <v>0</v>
      </c>
      <c r="CU147" s="691">
        <v>0</v>
      </c>
      <c r="CV147" s="690">
        <v>0</v>
      </c>
    </row>
    <row r="148" spans="1:100">
      <c r="A148" s="457">
        <v>146</v>
      </c>
      <c r="B148" s="577">
        <v>0</v>
      </c>
      <c r="C148" s="577">
        <v>0</v>
      </c>
      <c r="D148" s="577">
        <v>0</v>
      </c>
      <c r="E148" s="577">
        <v>0</v>
      </c>
      <c r="F148" s="577">
        <v>0</v>
      </c>
      <c r="G148" s="577">
        <v>0</v>
      </c>
      <c r="H148" s="577">
        <v>0</v>
      </c>
      <c r="I148" s="577">
        <v>0</v>
      </c>
      <c r="J148" s="577">
        <v>0</v>
      </c>
      <c r="K148" s="577">
        <v>0</v>
      </c>
      <c r="L148" s="577">
        <v>0</v>
      </c>
      <c r="M148" s="577">
        <v>0</v>
      </c>
      <c r="N148" s="577">
        <v>0</v>
      </c>
      <c r="O148" s="577">
        <v>0</v>
      </c>
      <c r="P148" s="577">
        <v>0</v>
      </c>
      <c r="Q148" s="577">
        <v>0</v>
      </c>
      <c r="R148" s="577">
        <v>0</v>
      </c>
      <c r="S148" s="577">
        <v>0</v>
      </c>
      <c r="T148" s="577">
        <v>0</v>
      </c>
      <c r="U148" s="577">
        <v>0</v>
      </c>
      <c r="V148" s="577">
        <v>0</v>
      </c>
      <c r="W148" s="592">
        <v>0</v>
      </c>
      <c r="X148" s="685">
        <v>0</v>
      </c>
      <c r="Y148" s="685">
        <v>0</v>
      </c>
      <c r="Z148" s="685">
        <v>0</v>
      </c>
      <c r="AA148" s="685">
        <v>0</v>
      </c>
      <c r="AB148" s="685">
        <v>0</v>
      </c>
      <c r="AC148" s="685">
        <v>0</v>
      </c>
      <c r="AD148" s="685">
        <v>0</v>
      </c>
      <c r="AE148" s="910">
        <v>0</v>
      </c>
      <c r="AF148" s="911">
        <v>0</v>
      </c>
      <c r="AG148" s="912">
        <v>0</v>
      </c>
      <c r="AH148" s="685">
        <v>0</v>
      </c>
      <c r="AI148" s="684">
        <v>0</v>
      </c>
      <c r="AJ148" s="682">
        <v>0</v>
      </c>
      <c r="AK148" s="684">
        <v>0</v>
      </c>
      <c r="AL148" s="686">
        <v>0</v>
      </c>
      <c r="AM148" s="682">
        <v>0</v>
      </c>
      <c r="AN148" s="682">
        <v>0</v>
      </c>
      <c r="AO148" s="686">
        <v>0</v>
      </c>
      <c r="AP148" s="687">
        <v>0</v>
      </c>
      <c r="AQ148" s="684">
        <v>0</v>
      </c>
      <c r="AR148" s="682">
        <v>0</v>
      </c>
      <c r="AS148" s="684">
        <v>0</v>
      </c>
      <c r="AT148" s="688">
        <v>0</v>
      </c>
      <c r="AU148" s="682">
        <v>0</v>
      </c>
      <c r="AV148" s="684">
        <v>0</v>
      </c>
      <c r="AW148" s="689">
        <v>0</v>
      </c>
      <c r="AX148" s="690">
        <v>0</v>
      </c>
      <c r="AY148" s="689">
        <v>0</v>
      </c>
      <c r="AZ148" s="690">
        <v>0</v>
      </c>
      <c r="BA148" s="689">
        <v>0</v>
      </c>
      <c r="BB148" s="690">
        <v>0</v>
      </c>
      <c r="BC148" s="691">
        <v>0</v>
      </c>
      <c r="BD148" s="692">
        <v>0</v>
      </c>
      <c r="BE148" s="689">
        <v>0</v>
      </c>
      <c r="BF148" s="690">
        <v>0</v>
      </c>
      <c r="BG148" s="691">
        <v>0</v>
      </c>
      <c r="BH148" s="690">
        <v>0</v>
      </c>
      <c r="BI148" s="691">
        <v>0</v>
      </c>
      <c r="BJ148" s="690">
        <v>0</v>
      </c>
      <c r="BK148" s="691">
        <v>0</v>
      </c>
      <c r="BL148" s="690">
        <v>0</v>
      </c>
      <c r="BM148" s="691">
        <v>0</v>
      </c>
      <c r="BN148" s="690">
        <v>0</v>
      </c>
      <c r="BO148" s="691">
        <v>0</v>
      </c>
      <c r="BP148" s="690">
        <v>0</v>
      </c>
      <c r="BQ148" s="691">
        <v>0</v>
      </c>
      <c r="BR148" s="690">
        <v>0</v>
      </c>
      <c r="BS148" s="691">
        <v>0</v>
      </c>
      <c r="BT148" s="690">
        <v>0</v>
      </c>
      <c r="BU148" s="691">
        <v>0</v>
      </c>
      <c r="BV148" s="690">
        <v>0</v>
      </c>
      <c r="BW148" s="691">
        <v>0</v>
      </c>
      <c r="BX148" s="690">
        <v>0</v>
      </c>
      <c r="BY148" s="691">
        <v>0</v>
      </c>
      <c r="BZ148" s="690">
        <v>0</v>
      </c>
      <c r="CA148" s="691">
        <v>0</v>
      </c>
      <c r="CB148" s="690">
        <v>0</v>
      </c>
      <c r="CC148" s="689">
        <v>0</v>
      </c>
      <c r="CD148" s="692">
        <v>0</v>
      </c>
      <c r="CE148" s="689">
        <v>0</v>
      </c>
      <c r="CF148" s="692">
        <v>0</v>
      </c>
      <c r="CG148" s="689">
        <v>0</v>
      </c>
      <c r="CH148" s="692">
        <v>0</v>
      </c>
      <c r="CI148" s="689">
        <v>0</v>
      </c>
      <c r="CJ148" s="692">
        <v>0</v>
      </c>
      <c r="CK148" s="689">
        <v>0</v>
      </c>
      <c r="CL148" s="692">
        <v>0</v>
      </c>
      <c r="CM148" s="689">
        <v>0</v>
      </c>
      <c r="CN148" s="692">
        <v>0</v>
      </c>
      <c r="CO148" s="689">
        <v>0</v>
      </c>
      <c r="CP148" s="692">
        <v>0</v>
      </c>
      <c r="CQ148" s="689">
        <v>0</v>
      </c>
      <c r="CR148" s="690">
        <v>0</v>
      </c>
      <c r="CS148" s="689">
        <v>0</v>
      </c>
      <c r="CT148" s="690">
        <v>0</v>
      </c>
      <c r="CU148" s="691">
        <v>0</v>
      </c>
      <c r="CV148" s="690">
        <v>0</v>
      </c>
    </row>
    <row r="149" spans="1:100">
      <c r="A149" s="457">
        <v>147</v>
      </c>
      <c r="B149" s="577">
        <v>0</v>
      </c>
      <c r="C149" s="577">
        <v>0</v>
      </c>
      <c r="D149" s="577">
        <v>0</v>
      </c>
      <c r="E149" s="577">
        <v>0</v>
      </c>
      <c r="F149" s="577">
        <v>0</v>
      </c>
      <c r="G149" s="577">
        <v>0</v>
      </c>
      <c r="H149" s="577">
        <v>0</v>
      </c>
      <c r="I149" s="577">
        <v>0</v>
      </c>
      <c r="J149" s="577">
        <v>0</v>
      </c>
      <c r="K149" s="577">
        <v>0</v>
      </c>
      <c r="L149" s="577">
        <v>0</v>
      </c>
      <c r="M149" s="577">
        <v>0</v>
      </c>
      <c r="N149" s="577">
        <v>0</v>
      </c>
      <c r="O149" s="577">
        <v>0</v>
      </c>
      <c r="P149" s="577">
        <v>0</v>
      </c>
      <c r="Q149" s="577">
        <v>0</v>
      </c>
      <c r="R149" s="577">
        <v>0</v>
      </c>
      <c r="S149" s="577">
        <v>0</v>
      </c>
      <c r="T149" s="577">
        <v>0</v>
      </c>
      <c r="U149" s="577">
        <v>0</v>
      </c>
      <c r="V149" s="577">
        <v>0</v>
      </c>
      <c r="W149" s="592">
        <v>0</v>
      </c>
      <c r="X149" s="685">
        <v>0</v>
      </c>
      <c r="Y149" s="685">
        <v>0</v>
      </c>
      <c r="Z149" s="685">
        <v>0</v>
      </c>
      <c r="AA149" s="685">
        <v>0</v>
      </c>
      <c r="AB149" s="685">
        <v>0</v>
      </c>
      <c r="AC149" s="685">
        <v>0</v>
      </c>
      <c r="AD149" s="685">
        <v>0</v>
      </c>
      <c r="AE149" s="910">
        <v>0</v>
      </c>
      <c r="AF149" s="911">
        <v>0</v>
      </c>
      <c r="AG149" s="912">
        <v>0</v>
      </c>
      <c r="AH149" s="685">
        <v>0</v>
      </c>
      <c r="AI149" s="684">
        <v>0</v>
      </c>
      <c r="AJ149" s="682">
        <v>0</v>
      </c>
      <c r="AK149" s="684">
        <v>0</v>
      </c>
      <c r="AL149" s="686">
        <v>0</v>
      </c>
      <c r="AM149" s="682">
        <v>0</v>
      </c>
      <c r="AN149" s="682">
        <v>0</v>
      </c>
      <c r="AO149" s="686">
        <v>0</v>
      </c>
      <c r="AP149" s="687">
        <v>0</v>
      </c>
      <c r="AQ149" s="684">
        <v>0</v>
      </c>
      <c r="AR149" s="682">
        <v>0</v>
      </c>
      <c r="AS149" s="684">
        <v>0</v>
      </c>
      <c r="AT149" s="688">
        <v>0</v>
      </c>
      <c r="AU149" s="682">
        <v>0</v>
      </c>
      <c r="AV149" s="684">
        <v>0</v>
      </c>
      <c r="AW149" s="689">
        <v>0</v>
      </c>
      <c r="AX149" s="690">
        <v>0</v>
      </c>
      <c r="AY149" s="689">
        <v>0</v>
      </c>
      <c r="AZ149" s="690">
        <v>0</v>
      </c>
      <c r="BA149" s="689">
        <v>0</v>
      </c>
      <c r="BB149" s="690">
        <v>0</v>
      </c>
      <c r="BC149" s="691">
        <v>0</v>
      </c>
      <c r="BD149" s="692">
        <v>0</v>
      </c>
      <c r="BE149" s="689">
        <v>0</v>
      </c>
      <c r="BF149" s="690">
        <v>0</v>
      </c>
      <c r="BG149" s="691">
        <v>0</v>
      </c>
      <c r="BH149" s="690">
        <v>0</v>
      </c>
      <c r="BI149" s="691">
        <v>0</v>
      </c>
      <c r="BJ149" s="690">
        <v>0</v>
      </c>
      <c r="BK149" s="691">
        <v>0</v>
      </c>
      <c r="BL149" s="690">
        <v>0</v>
      </c>
      <c r="BM149" s="691">
        <v>0</v>
      </c>
      <c r="BN149" s="690">
        <v>0</v>
      </c>
      <c r="BO149" s="691">
        <v>0</v>
      </c>
      <c r="BP149" s="690">
        <v>0</v>
      </c>
      <c r="BQ149" s="691">
        <v>0</v>
      </c>
      <c r="BR149" s="690">
        <v>0</v>
      </c>
      <c r="BS149" s="691">
        <v>0</v>
      </c>
      <c r="BT149" s="690">
        <v>0</v>
      </c>
      <c r="BU149" s="691">
        <v>0</v>
      </c>
      <c r="BV149" s="690">
        <v>0</v>
      </c>
      <c r="BW149" s="691">
        <v>0</v>
      </c>
      <c r="BX149" s="690">
        <v>0</v>
      </c>
      <c r="BY149" s="691">
        <v>0</v>
      </c>
      <c r="BZ149" s="690">
        <v>0</v>
      </c>
      <c r="CA149" s="691">
        <v>0</v>
      </c>
      <c r="CB149" s="690">
        <v>0</v>
      </c>
      <c r="CC149" s="689">
        <v>0</v>
      </c>
      <c r="CD149" s="692">
        <v>0</v>
      </c>
      <c r="CE149" s="689">
        <v>0</v>
      </c>
      <c r="CF149" s="692">
        <v>0</v>
      </c>
      <c r="CG149" s="689">
        <v>0</v>
      </c>
      <c r="CH149" s="692">
        <v>0</v>
      </c>
      <c r="CI149" s="689">
        <v>0</v>
      </c>
      <c r="CJ149" s="692">
        <v>0</v>
      </c>
      <c r="CK149" s="689">
        <v>0</v>
      </c>
      <c r="CL149" s="692">
        <v>0</v>
      </c>
      <c r="CM149" s="689">
        <v>0</v>
      </c>
      <c r="CN149" s="692">
        <v>0</v>
      </c>
      <c r="CO149" s="689">
        <v>0</v>
      </c>
      <c r="CP149" s="692">
        <v>0</v>
      </c>
      <c r="CQ149" s="689">
        <v>0</v>
      </c>
      <c r="CR149" s="690">
        <v>0</v>
      </c>
      <c r="CS149" s="689">
        <v>0</v>
      </c>
      <c r="CT149" s="690">
        <v>0</v>
      </c>
      <c r="CU149" s="691">
        <v>0</v>
      </c>
      <c r="CV149" s="690">
        <v>0</v>
      </c>
    </row>
    <row r="150" spans="1:100">
      <c r="A150" s="457">
        <v>148</v>
      </c>
      <c r="B150" s="577">
        <v>0</v>
      </c>
      <c r="C150" s="577">
        <v>0</v>
      </c>
      <c r="D150" s="577">
        <v>0</v>
      </c>
      <c r="E150" s="577">
        <v>0</v>
      </c>
      <c r="F150" s="577">
        <v>0</v>
      </c>
      <c r="G150" s="577">
        <v>0</v>
      </c>
      <c r="H150" s="577">
        <v>0</v>
      </c>
      <c r="I150" s="577">
        <v>0</v>
      </c>
      <c r="J150" s="577">
        <v>0</v>
      </c>
      <c r="K150" s="577">
        <v>0</v>
      </c>
      <c r="L150" s="577">
        <v>0</v>
      </c>
      <c r="M150" s="577">
        <v>0</v>
      </c>
      <c r="N150" s="577">
        <v>0</v>
      </c>
      <c r="O150" s="577">
        <v>0</v>
      </c>
      <c r="P150" s="577">
        <v>0</v>
      </c>
      <c r="Q150" s="577">
        <v>0</v>
      </c>
      <c r="R150" s="577">
        <v>0</v>
      </c>
      <c r="S150" s="577">
        <v>0</v>
      </c>
      <c r="T150" s="577">
        <v>0</v>
      </c>
      <c r="U150" s="577">
        <v>0</v>
      </c>
      <c r="V150" s="577">
        <v>0</v>
      </c>
      <c r="W150" s="592">
        <v>0</v>
      </c>
      <c r="X150" s="685">
        <v>0</v>
      </c>
      <c r="Y150" s="685">
        <v>0</v>
      </c>
      <c r="Z150" s="685">
        <v>0</v>
      </c>
      <c r="AA150" s="685">
        <v>0</v>
      </c>
      <c r="AB150" s="685">
        <v>0</v>
      </c>
      <c r="AC150" s="685">
        <v>0</v>
      </c>
      <c r="AD150" s="685">
        <v>0</v>
      </c>
      <c r="AE150" s="910">
        <v>0</v>
      </c>
      <c r="AF150" s="911">
        <v>0</v>
      </c>
      <c r="AG150" s="912">
        <v>0</v>
      </c>
      <c r="AH150" s="685">
        <v>0</v>
      </c>
      <c r="AI150" s="684">
        <v>0</v>
      </c>
      <c r="AJ150" s="682">
        <v>0</v>
      </c>
      <c r="AK150" s="684">
        <v>0</v>
      </c>
      <c r="AL150" s="686">
        <v>0</v>
      </c>
      <c r="AM150" s="682">
        <v>0</v>
      </c>
      <c r="AN150" s="682">
        <v>0</v>
      </c>
      <c r="AO150" s="686">
        <v>0</v>
      </c>
      <c r="AP150" s="687">
        <v>0</v>
      </c>
      <c r="AQ150" s="684">
        <v>0</v>
      </c>
      <c r="AR150" s="682">
        <v>0</v>
      </c>
      <c r="AS150" s="684">
        <v>0</v>
      </c>
      <c r="AT150" s="688">
        <v>0</v>
      </c>
      <c r="AU150" s="682">
        <v>0</v>
      </c>
      <c r="AV150" s="684">
        <v>0</v>
      </c>
      <c r="AW150" s="689">
        <v>0</v>
      </c>
      <c r="AX150" s="690">
        <v>0</v>
      </c>
      <c r="AY150" s="689">
        <v>0</v>
      </c>
      <c r="AZ150" s="690">
        <v>0</v>
      </c>
      <c r="BA150" s="689">
        <v>0</v>
      </c>
      <c r="BB150" s="690">
        <v>0</v>
      </c>
      <c r="BC150" s="691">
        <v>0</v>
      </c>
      <c r="BD150" s="692">
        <v>0</v>
      </c>
      <c r="BE150" s="689">
        <v>0</v>
      </c>
      <c r="BF150" s="690">
        <v>0</v>
      </c>
      <c r="BG150" s="691">
        <v>0</v>
      </c>
      <c r="BH150" s="690">
        <v>0</v>
      </c>
      <c r="BI150" s="691">
        <v>0</v>
      </c>
      <c r="BJ150" s="690">
        <v>0</v>
      </c>
      <c r="BK150" s="691">
        <v>0</v>
      </c>
      <c r="BL150" s="690">
        <v>0</v>
      </c>
      <c r="BM150" s="691">
        <v>0</v>
      </c>
      <c r="BN150" s="690">
        <v>0</v>
      </c>
      <c r="BO150" s="691">
        <v>0</v>
      </c>
      <c r="BP150" s="690">
        <v>0</v>
      </c>
      <c r="BQ150" s="691">
        <v>0</v>
      </c>
      <c r="BR150" s="690">
        <v>0</v>
      </c>
      <c r="BS150" s="691">
        <v>0</v>
      </c>
      <c r="BT150" s="690">
        <v>0</v>
      </c>
      <c r="BU150" s="691">
        <v>0</v>
      </c>
      <c r="BV150" s="690">
        <v>0</v>
      </c>
      <c r="BW150" s="691">
        <v>0</v>
      </c>
      <c r="BX150" s="690">
        <v>0</v>
      </c>
      <c r="BY150" s="691">
        <v>0</v>
      </c>
      <c r="BZ150" s="690">
        <v>0</v>
      </c>
      <c r="CA150" s="691">
        <v>0</v>
      </c>
      <c r="CB150" s="690">
        <v>0</v>
      </c>
      <c r="CC150" s="689">
        <v>0</v>
      </c>
      <c r="CD150" s="692">
        <v>0</v>
      </c>
      <c r="CE150" s="689">
        <v>0</v>
      </c>
      <c r="CF150" s="692">
        <v>0</v>
      </c>
      <c r="CG150" s="689">
        <v>0</v>
      </c>
      <c r="CH150" s="692">
        <v>0</v>
      </c>
      <c r="CI150" s="689">
        <v>0</v>
      </c>
      <c r="CJ150" s="692">
        <v>0</v>
      </c>
      <c r="CK150" s="689">
        <v>0</v>
      </c>
      <c r="CL150" s="692">
        <v>0</v>
      </c>
      <c r="CM150" s="689">
        <v>0</v>
      </c>
      <c r="CN150" s="692">
        <v>0</v>
      </c>
      <c r="CO150" s="689">
        <v>0</v>
      </c>
      <c r="CP150" s="692">
        <v>0</v>
      </c>
      <c r="CQ150" s="689">
        <v>0</v>
      </c>
      <c r="CR150" s="690">
        <v>0</v>
      </c>
      <c r="CS150" s="689">
        <v>0</v>
      </c>
      <c r="CT150" s="690">
        <v>0</v>
      </c>
      <c r="CU150" s="691">
        <v>0</v>
      </c>
      <c r="CV150" s="690">
        <v>0</v>
      </c>
    </row>
    <row r="151" spans="1:100">
      <c r="A151" s="457">
        <v>149</v>
      </c>
      <c r="B151" s="577">
        <v>0</v>
      </c>
      <c r="C151" s="577">
        <v>0</v>
      </c>
      <c r="D151" s="577">
        <v>0</v>
      </c>
      <c r="E151" s="577">
        <v>0</v>
      </c>
      <c r="F151" s="577">
        <v>0</v>
      </c>
      <c r="G151" s="577">
        <v>0</v>
      </c>
      <c r="H151" s="577">
        <v>0</v>
      </c>
      <c r="I151" s="577">
        <v>0</v>
      </c>
      <c r="J151" s="577">
        <v>0</v>
      </c>
      <c r="K151" s="577">
        <v>0</v>
      </c>
      <c r="L151" s="577">
        <v>0</v>
      </c>
      <c r="M151" s="577">
        <v>0</v>
      </c>
      <c r="N151" s="577">
        <v>0</v>
      </c>
      <c r="O151" s="577">
        <v>0</v>
      </c>
      <c r="P151" s="577">
        <v>0</v>
      </c>
      <c r="Q151" s="577">
        <v>0</v>
      </c>
      <c r="R151" s="577">
        <v>0</v>
      </c>
      <c r="S151" s="577">
        <v>0</v>
      </c>
      <c r="T151" s="577">
        <v>0</v>
      </c>
      <c r="U151" s="577">
        <v>0</v>
      </c>
      <c r="V151" s="577">
        <v>0</v>
      </c>
      <c r="W151" s="592">
        <v>0</v>
      </c>
      <c r="X151" s="685">
        <v>0</v>
      </c>
      <c r="Y151" s="685">
        <v>0</v>
      </c>
      <c r="Z151" s="685">
        <v>0</v>
      </c>
      <c r="AA151" s="685">
        <v>0</v>
      </c>
      <c r="AB151" s="685">
        <v>0</v>
      </c>
      <c r="AC151" s="685">
        <v>0</v>
      </c>
      <c r="AD151" s="685">
        <v>0</v>
      </c>
      <c r="AE151" s="910">
        <v>0</v>
      </c>
      <c r="AF151" s="911">
        <v>0</v>
      </c>
      <c r="AG151" s="912">
        <v>0</v>
      </c>
      <c r="AH151" s="685">
        <v>0</v>
      </c>
      <c r="AI151" s="684">
        <v>0</v>
      </c>
      <c r="AJ151" s="682">
        <v>0</v>
      </c>
      <c r="AK151" s="684">
        <v>0</v>
      </c>
      <c r="AL151" s="686">
        <v>0</v>
      </c>
      <c r="AM151" s="682">
        <v>0</v>
      </c>
      <c r="AN151" s="682">
        <v>0</v>
      </c>
      <c r="AO151" s="686">
        <v>0</v>
      </c>
      <c r="AP151" s="687">
        <v>0</v>
      </c>
      <c r="AQ151" s="684">
        <v>0</v>
      </c>
      <c r="AR151" s="682">
        <v>0</v>
      </c>
      <c r="AS151" s="684">
        <v>0</v>
      </c>
      <c r="AT151" s="688">
        <v>0</v>
      </c>
      <c r="AU151" s="682">
        <v>0</v>
      </c>
      <c r="AV151" s="684">
        <v>0</v>
      </c>
      <c r="AW151" s="689">
        <v>0</v>
      </c>
      <c r="AX151" s="690">
        <v>0</v>
      </c>
      <c r="AY151" s="689">
        <v>0</v>
      </c>
      <c r="AZ151" s="690">
        <v>0</v>
      </c>
      <c r="BA151" s="689">
        <v>0</v>
      </c>
      <c r="BB151" s="690">
        <v>0</v>
      </c>
      <c r="BC151" s="691">
        <v>0</v>
      </c>
      <c r="BD151" s="692">
        <v>0</v>
      </c>
      <c r="BE151" s="689">
        <v>0</v>
      </c>
      <c r="BF151" s="690">
        <v>0</v>
      </c>
      <c r="BG151" s="691">
        <v>0</v>
      </c>
      <c r="BH151" s="690">
        <v>0</v>
      </c>
      <c r="BI151" s="691">
        <v>0</v>
      </c>
      <c r="BJ151" s="690">
        <v>0</v>
      </c>
      <c r="BK151" s="691">
        <v>0</v>
      </c>
      <c r="BL151" s="690">
        <v>0</v>
      </c>
      <c r="BM151" s="691">
        <v>0</v>
      </c>
      <c r="BN151" s="690">
        <v>0</v>
      </c>
      <c r="BO151" s="691">
        <v>0</v>
      </c>
      <c r="BP151" s="690">
        <v>0</v>
      </c>
      <c r="BQ151" s="691">
        <v>0</v>
      </c>
      <c r="BR151" s="690">
        <v>0</v>
      </c>
      <c r="BS151" s="691">
        <v>0</v>
      </c>
      <c r="BT151" s="690">
        <v>0</v>
      </c>
      <c r="BU151" s="691">
        <v>0</v>
      </c>
      <c r="BV151" s="690">
        <v>0</v>
      </c>
      <c r="BW151" s="691">
        <v>0</v>
      </c>
      <c r="BX151" s="690">
        <v>0</v>
      </c>
      <c r="BY151" s="691">
        <v>0</v>
      </c>
      <c r="BZ151" s="690">
        <v>0</v>
      </c>
      <c r="CA151" s="691">
        <v>0</v>
      </c>
      <c r="CB151" s="690">
        <v>0</v>
      </c>
      <c r="CC151" s="689">
        <v>0</v>
      </c>
      <c r="CD151" s="692">
        <v>0</v>
      </c>
      <c r="CE151" s="689">
        <v>0</v>
      </c>
      <c r="CF151" s="692">
        <v>0</v>
      </c>
      <c r="CG151" s="689">
        <v>0</v>
      </c>
      <c r="CH151" s="692">
        <v>0</v>
      </c>
      <c r="CI151" s="689">
        <v>0</v>
      </c>
      <c r="CJ151" s="692">
        <v>0</v>
      </c>
      <c r="CK151" s="689">
        <v>0</v>
      </c>
      <c r="CL151" s="692">
        <v>0</v>
      </c>
      <c r="CM151" s="689">
        <v>0</v>
      </c>
      <c r="CN151" s="692">
        <v>0</v>
      </c>
      <c r="CO151" s="689">
        <v>0</v>
      </c>
      <c r="CP151" s="692">
        <v>0</v>
      </c>
      <c r="CQ151" s="689">
        <v>0</v>
      </c>
      <c r="CR151" s="690">
        <v>0</v>
      </c>
      <c r="CS151" s="689">
        <v>0</v>
      </c>
      <c r="CT151" s="690">
        <v>0</v>
      </c>
      <c r="CU151" s="691">
        <v>0</v>
      </c>
      <c r="CV151" s="690">
        <v>0</v>
      </c>
    </row>
    <row r="152" spans="1:100">
      <c r="A152" s="457">
        <v>150</v>
      </c>
      <c r="B152" s="577">
        <v>0</v>
      </c>
      <c r="C152" s="577">
        <v>0</v>
      </c>
      <c r="D152" s="577">
        <v>0</v>
      </c>
      <c r="E152" s="577">
        <v>0</v>
      </c>
      <c r="F152" s="577">
        <v>0</v>
      </c>
      <c r="G152" s="577">
        <v>0</v>
      </c>
      <c r="H152" s="577">
        <v>0</v>
      </c>
      <c r="I152" s="577">
        <v>0</v>
      </c>
      <c r="J152" s="577">
        <v>0</v>
      </c>
      <c r="K152" s="577">
        <v>0</v>
      </c>
      <c r="L152" s="577">
        <v>0</v>
      </c>
      <c r="M152" s="577">
        <v>0</v>
      </c>
      <c r="N152" s="577">
        <v>0</v>
      </c>
      <c r="O152" s="577">
        <v>0</v>
      </c>
      <c r="P152" s="577">
        <v>0</v>
      </c>
      <c r="Q152" s="577">
        <v>0</v>
      </c>
      <c r="R152" s="577">
        <v>0</v>
      </c>
      <c r="S152" s="577">
        <v>0</v>
      </c>
      <c r="T152" s="577">
        <v>0</v>
      </c>
      <c r="U152" s="577">
        <v>0</v>
      </c>
      <c r="V152" s="577">
        <v>0</v>
      </c>
      <c r="W152" s="592">
        <v>0</v>
      </c>
      <c r="X152" s="685">
        <v>0</v>
      </c>
      <c r="Y152" s="685">
        <v>0</v>
      </c>
      <c r="Z152" s="685">
        <v>0</v>
      </c>
      <c r="AA152" s="685">
        <v>0</v>
      </c>
      <c r="AB152" s="685">
        <v>0</v>
      </c>
      <c r="AC152" s="685">
        <v>0</v>
      </c>
      <c r="AD152" s="685">
        <v>0</v>
      </c>
      <c r="AE152" s="910">
        <v>0</v>
      </c>
      <c r="AF152" s="911">
        <v>0</v>
      </c>
      <c r="AG152" s="912">
        <v>0</v>
      </c>
      <c r="AH152" s="685">
        <v>0</v>
      </c>
      <c r="AI152" s="684">
        <v>0</v>
      </c>
      <c r="AJ152" s="682">
        <v>0</v>
      </c>
      <c r="AK152" s="684">
        <v>0</v>
      </c>
      <c r="AL152" s="686">
        <v>0</v>
      </c>
      <c r="AM152" s="682">
        <v>0</v>
      </c>
      <c r="AN152" s="682">
        <v>0</v>
      </c>
      <c r="AO152" s="686">
        <v>0</v>
      </c>
      <c r="AP152" s="687">
        <v>0</v>
      </c>
      <c r="AQ152" s="684">
        <v>0</v>
      </c>
      <c r="AR152" s="682">
        <v>0</v>
      </c>
      <c r="AS152" s="684">
        <v>0</v>
      </c>
      <c r="AT152" s="688">
        <v>0</v>
      </c>
      <c r="AU152" s="682">
        <v>0</v>
      </c>
      <c r="AV152" s="684">
        <v>0</v>
      </c>
      <c r="AW152" s="689">
        <v>0</v>
      </c>
      <c r="AX152" s="690">
        <v>0</v>
      </c>
      <c r="AY152" s="689">
        <v>0</v>
      </c>
      <c r="AZ152" s="690">
        <v>0</v>
      </c>
      <c r="BA152" s="689">
        <v>0</v>
      </c>
      <c r="BB152" s="690">
        <v>0</v>
      </c>
      <c r="BC152" s="691">
        <v>0</v>
      </c>
      <c r="BD152" s="692">
        <v>0</v>
      </c>
      <c r="BE152" s="689">
        <v>0</v>
      </c>
      <c r="BF152" s="690">
        <v>0</v>
      </c>
      <c r="BG152" s="691">
        <v>0</v>
      </c>
      <c r="BH152" s="690">
        <v>0</v>
      </c>
      <c r="BI152" s="691">
        <v>0</v>
      </c>
      <c r="BJ152" s="690">
        <v>0</v>
      </c>
      <c r="BK152" s="691">
        <v>0</v>
      </c>
      <c r="BL152" s="690">
        <v>0</v>
      </c>
      <c r="BM152" s="691">
        <v>0</v>
      </c>
      <c r="BN152" s="690">
        <v>0</v>
      </c>
      <c r="BO152" s="691">
        <v>0</v>
      </c>
      <c r="BP152" s="690">
        <v>0</v>
      </c>
      <c r="BQ152" s="691">
        <v>0</v>
      </c>
      <c r="BR152" s="690">
        <v>0</v>
      </c>
      <c r="BS152" s="691">
        <v>0</v>
      </c>
      <c r="BT152" s="690">
        <v>0</v>
      </c>
      <c r="BU152" s="691">
        <v>0</v>
      </c>
      <c r="BV152" s="690">
        <v>0</v>
      </c>
      <c r="BW152" s="691">
        <v>0</v>
      </c>
      <c r="BX152" s="690">
        <v>0</v>
      </c>
      <c r="BY152" s="691">
        <v>0</v>
      </c>
      <c r="BZ152" s="690">
        <v>0</v>
      </c>
      <c r="CA152" s="691">
        <v>0</v>
      </c>
      <c r="CB152" s="690">
        <v>0</v>
      </c>
      <c r="CC152" s="689">
        <v>0</v>
      </c>
      <c r="CD152" s="692">
        <v>0</v>
      </c>
      <c r="CE152" s="689">
        <v>0</v>
      </c>
      <c r="CF152" s="692">
        <v>0</v>
      </c>
      <c r="CG152" s="689">
        <v>0</v>
      </c>
      <c r="CH152" s="692">
        <v>0</v>
      </c>
      <c r="CI152" s="689">
        <v>0</v>
      </c>
      <c r="CJ152" s="692">
        <v>0</v>
      </c>
      <c r="CK152" s="689">
        <v>0</v>
      </c>
      <c r="CL152" s="692">
        <v>0</v>
      </c>
      <c r="CM152" s="689">
        <v>0</v>
      </c>
      <c r="CN152" s="692">
        <v>0</v>
      </c>
      <c r="CO152" s="689">
        <v>0</v>
      </c>
      <c r="CP152" s="692">
        <v>0</v>
      </c>
      <c r="CQ152" s="689">
        <v>0</v>
      </c>
      <c r="CR152" s="690">
        <v>0</v>
      </c>
      <c r="CS152" s="689">
        <v>0</v>
      </c>
      <c r="CT152" s="690">
        <v>0</v>
      </c>
      <c r="CU152" s="691">
        <v>0</v>
      </c>
      <c r="CV152" s="690">
        <v>0</v>
      </c>
    </row>
    <row r="153" spans="1:100">
      <c r="A153" s="457">
        <v>151</v>
      </c>
      <c r="B153" s="577">
        <v>0</v>
      </c>
      <c r="C153" s="577">
        <v>0</v>
      </c>
      <c r="D153" s="577">
        <v>0</v>
      </c>
      <c r="E153" s="577">
        <v>0</v>
      </c>
      <c r="F153" s="577">
        <v>0</v>
      </c>
      <c r="G153" s="577">
        <v>0</v>
      </c>
      <c r="H153" s="577">
        <v>0</v>
      </c>
      <c r="I153" s="577">
        <v>0</v>
      </c>
      <c r="J153" s="577">
        <v>0</v>
      </c>
      <c r="K153" s="577">
        <v>0</v>
      </c>
      <c r="L153" s="577">
        <v>0</v>
      </c>
      <c r="M153" s="577">
        <v>0</v>
      </c>
      <c r="N153" s="577">
        <v>0</v>
      </c>
      <c r="O153" s="577">
        <v>0</v>
      </c>
      <c r="P153" s="577">
        <v>0</v>
      </c>
      <c r="Q153" s="577">
        <v>0</v>
      </c>
      <c r="R153" s="577">
        <v>0</v>
      </c>
      <c r="S153" s="577">
        <v>0</v>
      </c>
      <c r="T153" s="577">
        <v>0</v>
      </c>
      <c r="U153" s="577">
        <v>0</v>
      </c>
      <c r="V153" s="577">
        <v>0</v>
      </c>
      <c r="W153" s="592">
        <v>0</v>
      </c>
      <c r="X153" s="685">
        <v>0</v>
      </c>
      <c r="Y153" s="685">
        <v>0</v>
      </c>
      <c r="Z153" s="685">
        <v>0</v>
      </c>
      <c r="AA153" s="685">
        <v>0</v>
      </c>
      <c r="AB153" s="685">
        <v>0</v>
      </c>
      <c r="AC153" s="685">
        <v>0</v>
      </c>
      <c r="AD153" s="685">
        <v>0</v>
      </c>
      <c r="AE153" s="910">
        <v>0</v>
      </c>
      <c r="AF153" s="911">
        <v>0</v>
      </c>
      <c r="AG153" s="912">
        <v>0</v>
      </c>
      <c r="AH153" s="685">
        <v>0</v>
      </c>
      <c r="AI153" s="684">
        <v>0</v>
      </c>
      <c r="AJ153" s="682">
        <v>0</v>
      </c>
      <c r="AK153" s="684">
        <v>0</v>
      </c>
      <c r="AL153" s="686">
        <v>0</v>
      </c>
      <c r="AM153" s="682">
        <v>0</v>
      </c>
      <c r="AN153" s="682">
        <v>0</v>
      </c>
      <c r="AO153" s="686">
        <v>0</v>
      </c>
      <c r="AP153" s="687">
        <v>0</v>
      </c>
      <c r="AQ153" s="684">
        <v>0</v>
      </c>
      <c r="AR153" s="682">
        <v>0</v>
      </c>
      <c r="AS153" s="684">
        <v>0</v>
      </c>
      <c r="AT153" s="688">
        <v>0</v>
      </c>
      <c r="AU153" s="682">
        <v>0</v>
      </c>
      <c r="AV153" s="684">
        <v>0</v>
      </c>
      <c r="AW153" s="689">
        <v>0</v>
      </c>
      <c r="AX153" s="690">
        <v>0</v>
      </c>
      <c r="AY153" s="689">
        <v>0</v>
      </c>
      <c r="AZ153" s="690">
        <v>0</v>
      </c>
      <c r="BA153" s="689">
        <v>0</v>
      </c>
      <c r="BB153" s="690">
        <v>0</v>
      </c>
      <c r="BC153" s="691">
        <v>0</v>
      </c>
      <c r="BD153" s="692">
        <v>0</v>
      </c>
      <c r="BE153" s="689">
        <v>0</v>
      </c>
      <c r="BF153" s="690">
        <v>0</v>
      </c>
      <c r="BG153" s="691">
        <v>0</v>
      </c>
      <c r="BH153" s="690">
        <v>0</v>
      </c>
      <c r="BI153" s="691">
        <v>0</v>
      </c>
      <c r="BJ153" s="690">
        <v>0</v>
      </c>
      <c r="BK153" s="691">
        <v>0</v>
      </c>
      <c r="BL153" s="690">
        <v>0</v>
      </c>
      <c r="BM153" s="691">
        <v>0</v>
      </c>
      <c r="BN153" s="690">
        <v>0</v>
      </c>
      <c r="BO153" s="691">
        <v>0</v>
      </c>
      <c r="BP153" s="690">
        <v>0</v>
      </c>
      <c r="BQ153" s="691">
        <v>0</v>
      </c>
      <c r="BR153" s="690">
        <v>0</v>
      </c>
      <c r="BS153" s="691">
        <v>0</v>
      </c>
      <c r="BT153" s="690">
        <v>0</v>
      </c>
      <c r="BU153" s="691">
        <v>0</v>
      </c>
      <c r="BV153" s="690">
        <v>0</v>
      </c>
      <c r="BW153" s="691">
        <v>0</v>
      </c>
      <c r="BX153" s="690">
        <v>0</v>
      </c>
      <c r="BY153" s="691">
        <v>0</v>
      </c>
      <c r="BZ153" s="690">
        <v>0</v>
      </c>
      <c r="CA153" s="691">
        <v>0</v>
      </c>
      <c r="CB153" s="690">
        <v>0</v>
      </c>
      <c r="CC153" s="689">
        <v>0</v>
      </c>
      <c r="CD153" s="692">
        <v>0</v>
      </c>
      <c r="CE153" s="689">
        <v>0</v>
      </c>
      <c r="CF153" s="692">
        <v>0</v>
      </c>
      <c r="CG153" s="689">
        <v>0</v>
      </c>
      <c r="CH153" s="692">
        <v>0</v>
      </c>
      <c r="CI153" s="689">
        <v>0</v>
      </c>
      <c r="CJ153" s="692">
        <v>0</v>
      </c>
      <c r="CK153" s="689">
        <v>0</v>
      </c>
      <c r="CL153" s="692">
        <v>0</v>
      </c>
      <c r="CM153" s="689">
        <v>0</v>
      </c>
      <c r="CN153" s="692">
        <v>0</v>
      </c>
      <c r="CO153" s="689">
        <v>0</v>
      </c>
      <c r="CP153" s="692">
        <v>0</v>
      </c>
      <c r="CQ153" s="689">
        <v>0</v>
      </c>
      <c r="CR153" s="690">
        <v>0</v>
      </c>
      <c r="CS153" s="689">
        <v>0</v>
      </c>
      <c r="CT153" s="690">
        <v>0</v>
      </c>
      <c r="CU153" s="691">
        <v>0</v>
      </c>
      <c r="CV153" s="690">
        <v>0</v>
      </c>
    </row>
    <row r="154" spans="1:100">
      <c r="A154" s="457">
        <v>152</v>
      </c>
      <c r="B154" s="577">
        <v>0</v>
      </c>
      <c r="C154" s="577">
        <v>0</v>
      </c>
      <c r="D154" s="577">
        <v>0</v>
      </c>
      <c r="E154" s="577">
        <v>0</v>
      </c>
      <c r="F154" s="577">
        <v>0</v>
      </c>
      <c r="G154" s="577">
        <v>0</v>
      </c>
      <c r="H154" s="577">
        <v>0</v>
      </c>
      <c r="I154" s="577">
        <v>0</v>
      </c>
      <c r="J154" s="577">
        <v>0</v>
      </c>
      <c r="K154" s="577">
        <v>0</v>
      </c>
      <c r="L154" s="577">
        <v>0</v>
      </c>
      <c r="M154" s="577">
        <v>0</v>
      </c>
      <c r="N154" s="577">
        <v>0</v>
      </c>
      <c r="O154" s="577">
        <v>0</v>
      </c>
      <c r="P154" s="577">
        <v>0</v>
      </c>
      <c r="Q154" s="577">
        <v>0</v>
      </c>
      <c r="R154" s="577">
        <v>0</v>
      </c>
      <c r="S154" s="577">
        <v>0</v>
      </c>
      <c r="T154" s="577">
        <v>0</v>
      </c>
      <c r="U154" s="577">
        <v>0</v>
      </c>
      <c r="V154" s="577">
        <v>0</v>
      </c>
      <c r="W154" s="592">
        <v>0</v>
      </c>
      <c r="X154" s="685">
        <v>0</v>
      </c>
      <c r="Y154" s="685">
        <v>0</v>
      </c>
      <c r="Z154" s="685">
        <v>0</v>
      </c>
      <c r="AA154" s="685">
        <v>0</v>
      </c>
      <c r="AB154" s="685">
        <v>0</v>
      </c>
      <c r="AC154" s="685">
        <v>0</v>
      </c>
      <c r="AD154" s="685">
        <v>0</v>
      </c>
      <c r="AE154" s="910">
        <v>0</v>
      </c>
      <c r="AF154" s="911">
        <v>0</v>
      </c>
      <c r="AG154" s="912">
        <v>0</v>
      </c>
      <c r="AH154" s="685">
        <v>0</v>
      </c>
      <c r="AI154" s="684">
        <v>0</v>
      </c>
      <c r="AJ154" s="682">
        <v>0</v>
      </c>
      <c r="AK154" s="684">
        <v>0</v>
      </c>
      <c r="AL154" s="686">
        <v>0</v>
      </c>
      <c r="AM154" s="682">
        <v>0</v>
      </c>
      <c r="AN154" s="682">
        <v>0</v>
      </c>
      <c r="AO154" s="686">
        <v>0</v>
      </c>
      <c r="AP154" s="687">
        <v>0</v>
      </c>
      <c r="AQ154" s="684">
        <v>0</v>
      </c>
      <c r="AR154" s="682">
        <v>0</v>
      </c>
      <c r="AS154" s="684">
        <v>0</v>
      </c>
      <c r="AT154" s="688">
        <v>0</v>
      </c>
      <c r="AU154" s="682">
        <v>0</v>
      </c>
      <c r="AV154" s="684">
        <v>0</v>
      </c>
      <c r="AW154" s="689">
        <v>0</v>
      </c>
      <c r="AX154" s="690">
        <v>0</v>
      </c>
      <c r="AY154" s="689">
        <v>0</v>
      </c>
      <c r="AZ154" s="690">
        <v>0</v>
      </c>
      <c r="BA154" s="689">
        <v>0</v>
      </c>
      <c r="BB154" s="690">
        <v>0</v>
      </c>
      <c r="BC154" s="691">
        <v>0</v>
      </c>
      <c r="BD154" s="692">
        <v>0</v>
      </c>
      <c r="BE154" s="689">
        <v>0</v>
      </c>
      <c r="BF154" s="690">
        <v>0</v>
      </c>
      <c r="BG154" s="691">
        <v>0</v>
      </c>
      <c r="BH154" s="690">
        <v>0</v>
      </c>
      <c r="BI154" s="691">
        <v>0</v>
      </c>
      <c r="BJ154" s="690">
        <v>0</v>
      </c>
      <c r="BK154" s="691">
        <v>0</v>
      </c>
      <c r="BL154" s="690">
        <v>0</v>
      </c>
      <c r="BM154" s="691">
        <v>0</v>
      </c>
      <c r="BN154" s="690">
        <v>0</v>
      </c>
      <c r="BO154" s="691">
        <v>0</v>
      </c>
      <c r="BP154" s="690">
        <v>0</v>
      </c>
      <c r="BQ154" s="691">
        <v>0</v>
      </c>
      <c r="BR154" s="690">
        <v>0</v>
      </c>
      <c r="BS154" s="691">
        <v>0</v>
      </c>
      <c r="BT154" s="690">
        <v>0</v>
      </c>
      <c r="BU154" s="691">
        <v>0</v>
      </c>
      <c r="BV154" s="690">
        <v>0</v>
      </c>
      <c r="BW154" s="691">
        <v>0</v>
      </c>
      <c r="BX154" s="690">
        <v>0</v>
      </c>
      <c r="BY154" s="691">
        <v>0</v>
      </c>
      <c r="BZ154" s="690">
        <v>0</v>
      </c>
      <c r="CA154" s="691">
        <v>0</v>
      </c>
      <c r="CB154" s="690">
        <v>0</v>
      </c>
      <c r="CC154" s="689">
        <v>0</v>
      </c>
      <c r="CD154" s="692">
        <v>0</v>
      </c>
      <c r="CE154" s="689">
        <v>0</v>
      </c>
      <c r="CF154" s="692">
        <v>0</v>
      </c>
      <c r="CG154" s="689">
        <v>0</v>
      </c>
      <c r="CH154" s="692">
        <v>0</v>
      </c>
      <c r="CI154" s="689">
        <v>0</v>
      </c>
      <c r="CJ154" s="692">
        <v>0</v>
      </c>
      <c r="CK154" s="689">
        <v>0</v>
      </c>
      <c r="CL154" s="692">
        <v>0</v>
      </c>
      <c r="CM154" s="689">
        <v>0</v>
      </c>
      <c r="CN154" s="692">
        <v>0</v>
      </c>
      <c r="CO154" s="689">
        <v>0</v>
      </c>
      <c r="CP154" s="692">
        <v>0</v>
      </c>
      <c r="CQ154" s="689">
        <v>0</v>
      </c>
      <c r="CR154" s="690">
        <v>0</v>
      </c>
      <c r="CS154" s="689">
        <v>0</v>
      </c>
      <c r="CT154" s="690">
        <v>0</v>
      </c>
      <c r="CU154" s="691">
        <v>0</v>
      </c>
      <c r="CV154" s="690">
        <v>0</v>
      </c>
    </row>
    <row r="155" spans="1:100">
      <c r="A155" s="457">
        <v>153</v>
      </c>
      <c r="B155" s="577">
        <v>0</v>
      </c>
      <c r="C155" s="577">
        <v>0</v>
      </c>
      <c r="D155" s="577">
        <v>0</v>
      </c>
      <c r="E155" s="577">
        <v>0</v>
      </c>
      <c r="F155" s="577">
        <v>0</v>
      </c>
      <c r="G155" s="577">
        <v>0</v>
      </c>
      <c r="H155" s="577">
        <v>0</v>
      </c>
      <c r="I155" s="577">
        <v>0</v>
      </c>
      <c r="J155" s="577">
        <v>0</v>
      </c>
      <c r="K155" s="577">
        <v>0</v>
      </c>
      <c r="L155" s="577">
        <v>0</v>
      </c>
      <c r="M155" s="577">
        <v>0</v>
      </c>
      <c r="N155" s="577">
        <v>0</v>
      </c>
      <c r="O155" s="577">
        <v>0</v>
      </c>
      <c r="P155" s="577">
        <v>0</v>
      </c>
      <c r="Q155" s="577">
        <v>0</v>
      </c>
      <c r="R155" s="577">
        <v>0</v>
      </c>
      <c r="S155" s="577">
        <v>0</v>
      </c>
      <c r="T155" s="577">
        <v>0</v>
      </c>
      <c r="U155" s="577">
        <v>0</v>
      </c>
      <c r="V155" s="577">
        <v>0</v>
      </c>
      <c r="W155" s="592">
        <v>0</v>
      </c>
      <c r="X155" s="685">
        <v>0</v>
      </c>
      <c r="Y155" s="685">
        <v>0</v>
      </c>
      <c r="Z155" s="685">
        <v>0</v>
      </c>
      <c r="AA155" s="685">
        <v>0</v>
      </c>
      <c r="AB155" s="685">
        <v>0</v>
      </c>
      <c r="AC155" s="685">
        <v>0</v>
      </c>
      <c r="AD155" s="685">
        <v>0</v>
      </c>
      <c r="AE155" s="910">
        <v>0</v>
      </c>
      <c r="AF155" s="911">
        <v>0</v>
      </c>
      <c r="AG155" s="912">
        <v>0</v>
      </c>
      <c r="AH155" s="685">
        <v>0</v>
      </c>
      <c r="AI155" s="684">
        <v>0</v>
      </c>
      <c r="AJ155" s="682">
        <v>0</v>
      </c>
      <c r="AK155" s="684">
        <v>0</v>
      </c>
      <c r="AL155" s="686">
        <v>0</v>
      </c>
      <c r="AM155" s="682">
        <v>0</v>
      </c>
      <c r="AN155" s="682">
        <v>0</v>
      </c>
      <c r="AO155" s="686">
        <v>0</v>
      </c>
      <c r="AP155" s="687">
        <v>0</v>
      </c>
      <c r="AQ155" s="684">
        <v>0</v>
      </c>
      <c r="AR155" s="682">
        <v>0</v>
      </c>
      <c r="AS155" s="684">
        <v>0</v>
      </c>
      <c r="AT155" s="688">
        <v>0</v>
      </c>
      <c r="AU155" s="682">
        <v>0</v>
      </c>
      <c r="AV155" s="684">
        <v>0</v>
      </c>
      <c r="AW155" s="689">
        <v>0</v>
      </c>
      <c r="AX155" s="690">
        <v>0</v>
      </c>
      <c r="AY155" s="689">
        <v>0</v>
      </c>
      <c r="AZ155" s="690">
        <v>0</v>
      </c>
      <c r="BA155" s="689">
        <v>0</v>
      </c>
      <c r="BB155" s="690">
        <v>0</v>
      </c>
      <c r="BC155" s="691">
        <v>0</v>
      </c>
      <c r="BD155" s="692">
        <v>0</v>
      </c>
      <c r="BE155" s="689">
        <v>0</v>
      </c>
      <c r="BF155" s="690">
        <v>0</v>
      </c>
      <c r="BG155" s="691">
        <v>0</v>
      </c>
      <c r="BH155" s="690">
        <v>0</v>
      </c>
      <c r="BI155" s="691">
        <v>0</v>
      </c>
      <c r="BJ155" s="690">
        <v>0</v>
      </c>
      <c r="BK155" s="691">
        <v>0</v>
      </c>
      <c r="BL155" s="690">
        <v>0</v>
      </c>
      <c r="BM155" s="691">
        <v>0</v>
      </c>
      <c r="BN155" s="690">
        <v>0</v>
      </c>
      <c r="BO155" s="691">
        <v>0</v>
      </c>
      <c r="BP155" s="690">
        <v>0</v>
      </c>
      <c r="BQ155" s="691">
        <v>0</v>
      </c>
      <c r="BR155" s="690">
        <v>0</v>
      </c>
      <c r="BS155" s="691">
        <v>0</v>
      </c>
      <c r="BT155" s="690">
        <v>0</v>
      </c>
      <c r="BU155" s="691">
        <v>0</v>
      </c>
      <c r="BV155" s="690">
        <v>0</v>
      </c>
      <c r="BW155" s="691">
        <v>0</v>
      </c>
      <c r="BX155" s="690">
        <v>0</v>
      </c>
      <c r="BY155" s="691">
        <v>0</v>
      </c>
      <c r="BZ155" s="690">
        <v>0</v>
      </c>
      <c r="CA155" s="691">
        <v>0</v>
      </c>
      <c r="CB155" s="690">
        <v>0</v>
      </c>
      <c r="CC155" s="689">
        <v>0</v>
      </c>
      <c r="CD155" s="692">
        <v>0</v>
      </c>
      <c r="CE155" s="689">
        <v>0</v>
      </c>
      <c r="CF155" s="692">
        <v>0</v>
      </c>
      <c r="CG155" s="689">
        <v>0</v>
      </c>
      <c r="CH155" s="692">
        <v>0</v>
      </c>
      <c r="CI155" s="689">
        <v>0</v>
      </c>
      <c r="CJ155" s="692">
        <v>0</v>
      </c>
      <c r="CK155" s="689">
        <v>0</v>
      </c>
      <c r="CL155" s="692">
        <v>0</v>
      </c>
      <c r="CM155" s="689">
        <v>0</v>
      </c>
      <c r="CN155" s="692">
        <v>0</v>
      </c>
      <c r="CO155" s="689">
        <v>0</v>
      </c>
      <c r="CP155" s="692">
        <v>0</v>
      </c>
      <c r="CQ155" s="689">
        <v>0</v>
      </c>
      <c r="CR155" s="690">
        <v>0</v>
      </c>
      <c r="CS155" s="689">
        <v>0</v>
      </c>
      <c r="CT155" s="690">
        <v>0</v>
      </c>
      <c r="CU155" s="691">
        <v>0</v>
      </c>
      <c r="CV155" s="690">
        <v>0</v>
      </c>
    </row>
    <row r="156" spans="1:100">
      <c r="A156" s="457">
        <v>154</v>
      </c>
      <c r="B156" s="577">
        <v>0</v>
      </c>
      <c r="C156" s="577">
        <v>0</v>
      </c>
      <c r="D156" s="577">
        <v>0</v>
      </c>
      <c r="E156" s="577">
        <v>0</v>
      </c>
      <c r="F156" s="577">
        <v>0</v>
      </c>
      <c r="G156" s="577">
        <v>0</v>
      </c>
      <c r="H156" s="577">
        <v>0</v>
      </c>
      <c r="I156" s="577">
        <v>0</v>
      </c>
      <c r="J156" s="577">
        <v>0</v>
      </c>
      <c r="K156" s="577">
        <v>0</v>
      </c>
      <c r="L156" s="577">
        <v>0</v>
      </c>
      <c r="M156" s="577">
        <v>0</v>
      </c>
      <c r="N156" s="577">
        <v>0</v>
      </c>
      <c r="O156" s="577">
        <v>0</v>
      </c>
      <c r="P156" s="577">
        <v>0</v>
      </c>
      <c r="Q156" s="577">
        <v>0</v>
      </c>
      <c r="R156" s="577">
        <v>0</v>
      </c>
      <c r="S156" s="577">
        <v>0</v>
      </c>
      <c r="T156" s="577">
        <v>0</v>
      </c>
      <c r="U156" s="577">
        <v>0</v>
      </c>
      <c r="V156" s="577">
        <v>0</v>
      </c>
      <c r="W156" s="592">
        <v>0</v>
      </c>
      <c r="X156" s="685">
        <v>0</v>
      </c>
      <c r="Y156" s="685">
        <v>0</v>
      </c>
      <c r="Z156" s="685">
        <v>0</v>
      </c>
      <c r="AA156" s="685">
        <v>0</v>
      </c>
      <c r="AB156" s="685">
        <v>0</v>
      </c>
      <c r="AC156" s="685">
        <v>0</v>
      </c>
      <c r="AD156" s="685">
        <v>0</v>
      </c>
      <c r="AE156" s="910">
        <v>0</v>
      </c>
      <c r="AF156" s="911">
        <v>0</v>
      </c>
      <c r="AG156" s="912">
        <v>0</v>
      </c>
      <c r="AH156" s="685">
        <v>0</v>
      </c>
      <c r="AI156" s="684">
        <v>0</v>
      </c>
      <c r="AJ156" s="682">
        <v>0</v>
      </c>
      <c r="AK156" s="684">
        <v>0</v>
      </c>
      <c r="AL156" s="686">
        <v>0</v>
      </c>
      <c r="AM156" s="682">
        <v>0</v>
      </c>
      <c r="AN156" s="682">
        <v>0</v>
      </c>
      <c r="AO156" s="686">
        <v>0</v>
      </c>
      <c r="AP156" s="687">
        <v>0</v>
      </c>
      <c r="AQ156" s="684">
        <v>0</v>
      </c>
      <c r="AR156" s="682">
        <v>0</v>
      </c>
      <c r="AS156" s="684">
        <v>0</v>
      </c>
      <c r="AT156" s="688">
        <v>0</v>
      </c>
      <c r="AU156" s="682">
        <v>0</v>
      </c>
      <c r="AV156" s="684">
        <v>0</v>
      </c>
      <c r="AW156" s="689">
        <v>0</v>
      </c>
      <c r="AX156" s="690">
        <v>0</v>
      </c>
      <c r="AY156" s="689">
        <v>0</v>
      </c>
      <c r="AZ156" s="690">
        <v>0</v>
      </c>
      <c r="BA156" s="689">
        <v>0</v>
      </c>
      <c r="BB156" s="690">
        <v>0</v>
      </c>
      <c r="BC156" s="691">
        <v>0</v>
      </c>
      <c r="BD156" s="692">
        <v>0</v>
      </c>
      <c r="BE156" s="689">
        <v>0</v>
      </c>
      <c r="BF156" s="690">
        <v>0</v>
      </c>
      <c r="BG156" s="691">
        <v>0</v>
      </c>
      <c r="BH156" s="690">
        <v>0</v>
      </c>
      <c r="BI156" s="691">
        <v>0</v>
      </c>
      <c r="BJ156" s="690">
        <v>0</v>
      </c>
      <c r="BK156" s="691">
        <v>0</v>
      </c>
      <c r="BL156" s="690">
        <v>0</v>
      </c>
      <c r="BM156" s="691">
        <v>0</v>
      </c>
      <c r="BN156" s="690">
        <v>0</v>
      </c>
      <c r="BO156" s="691">
        <v>0</v>
      </c>
      <c r="BP156" s="690">
        <v>0</v>
      </c>
      <c r="BQ156" s="691">
        <v>0</v>
      </c>
      <c r="BR156" s="690">
        <v>0</v>
      </c>
      <c r="BS156" s="691">
        <v>0</v>
      </c>
      <c r="BT156" s="690">
        <v>0</v>
      </c>
      <c r="BU156" s="691">
        <v>0</v>
      </c>
      <c r="BV156" s="690">
        <v>0</v>
      </c>
      <c r="BW156" s="691">
        <v>0</v>
      </c>
      <c r="BX156" s="690">
        <v>0</v>
      </c>
      <c r="BY156" s="691">
        <v>0</v>
      </c>
      <c r="BZ156" s="690">
        <v>0</v>
      </c>
      <c r="CA156" s="691">
        <v>0</v>
      </c>
      <c r="CB156" s="690">
        <v>0</v>
      </c>
      <c r="CC156" s="689">
        <v>0</v>
      </c>
      <c r="CD156" s="692">
        <v>0</v>
      </c>
      <c r="CE156" s="689">
        <v>0</v>
      </c>
      <c r="CF156" s="692">
        <v>0</v>
      </c>
      <c r="CG156" s="689">
        <v>0</v>
      </c>
      <c r="CH156" s="692">
        <v>0</v>
      </c>
      <c r="CI156" s="689">
        <v>0</v>
      </c>
      <c r="CJ156" s="692">
        <v>0</v>
      </c>
      <c r="CK156" s="689">
        <v>0</v>
      </c>
      <c r="CL156" s="692">
        <v>0</v>
      </c>
      <c r="CM156" s="689">
        <v>0</v>
      </c>
      <c r="CN156" s="692">
        <v>0</v>
      </c>
      <c r="CO156" s="689">
        <v>0</v>
      </c>
      <c r="CP156" s="692">
        <v>0</v>
      </c>
      <c r="CQ156" s="689">
        <v>0</v>
      </c>
      <c r="CR156" s="690">
        <v>0</v>
      </c>
      <c r="CS156" s="689">
        <v>0</v>
      </c>
      <c r="CT156" s="690">
        <v>0</v>
      </c>
      <c r="CU156" s="691">
        <v>0</v>
      </c>
      <c r="CV156" s="690">
        <v>0</v>
      </c>
    </row>
    <row r="157" spans="1:100">
      <c r="A157" s="457">
        <v>155</v>
      </c>
      <c r="B157" s="577">
        <v>0</v>
      </c>
      <c r="C157" s="577">
        <v>0</v>
      </c>
      <c r="D157" s="577">
        <v>0</v>
      </c>
      <c r="E157" s="577">
        <v>0</v>
      </c>
      <c r="F157" s="577">
        <v>0</v>
      </c>
      <c r="G157" s="577">
        <v>0</v>
      </c>
      <c r="H157" s="577">
        <v>0</v>
      </c>
      <c r="I157" s="577">
        <v>0</v>
      </c>
      <c r="J157" s="577">
        <v>0</v>
      </c>
      <c r="K157" s="577">
        <v>0</v>
      </c>
      <c r="L157" s="577">
        <v>0</v>
      </c>
      <c r="M157" s="577">
        <v>0</v>
      </c>
      <c r="N157" s="577">
        <v>0</v>
      </c>
      <c r="O157" s="577">
        <v>0</v>
      </c>
      <c r="P157" s="577">
        <v>0</v>
      </c>
      <c r="Q157" s="577">
        <v>0</v>
      </c>
      <c r="R157" s="577">
        <v>0</v>
      </c>
      <c r="S157" s="577">
        <v>0</v>
      </c>
      <c r="T157" s="577">
        <v>0</v>
      </c>
      <c r="U157" s="577">
        <v>0</v>
      </c>
      <c r="V157" s="577">
        <v>0</v>
      </c>
      <c r="W157" s="592">
        <v>0</v>
      </c>
      <c r="X157" s="685">
        <v>0</v>
      </c>
      <c r="Y157" s="685">
        <v>0</v>
      </c>
      <c r="Z157" s="685">
        <v>0</v>
      </c>
      <c r="AA157" s="685">
        <v>0</v>
      </c>
      <c r="AB157" s="685">
        <v>0</v>
      </c>
      <c r="AC157" s="685">
        <v>0</v>
      </c>
      <c r="AD157" s="685">
        <v>0</v>
      </c>
      <c r="AE157" s="910">
        <v>0</v>
      </c>
      <c r="AF157" s="911">
        <v>0</v>
      </c>
      <c r="AG157" s="912">
        <v>0</v>
      </c>
      <c r="AH157" s="685">
        <v>0</v>
      </c>
      <c r="AI157" s="684">
        <v>0</v>
      </c>
      <c r="AJ157" s="682">
        <v>0</v>
      </c>
      <c r="AK157" s="684">
        <v>0</v>
      </c>
      <c r="AL157" s="686">
        <v>0</v>
      </c>
      <c r="AM157" s="682">
        <v>0</v>
      </c>
      <c r="AN157" s="682">
        <v>0</v>
      </c>
      <c r="AO157" s="686">
        <v>0</v>
      </c>
      <c r="AP157" s="687">
        <v>0</v>
      </c>
      <c r="AQ157" s="684">
        <v>0</v>
      </c>
      <c r="AR157" s="682">
        <v>0</v>
      </c>
      <c r="AS157" s="684">
        <v>0</v>
      </c>
      <c r="AT157" s="688">
        <v>0</v>
      </c>
      <c r="AU157" s="682">
        <v>0</v>
      </c>
      <c r="AV157" s="684">
        <v>0</v>
      </c>
      <c r="AW157" s="689">
        <v>0</v>
      </c>
      <c r="AX157" s="690">
        <v>0</v>
      </c>
      <c r="AY157" s="689">
        <v>0</v>
      </c>
      <c r="AZ157" s="690">
        <v>0</v>
      </c>
      <c r="BA157" s="689">
        <v>0</v>
      </c>
      <c r="BB157" s="690">
        <v>0</v>
      </c>
      <c r="BC157" s="691">
        <v>0</v>
      </c>
      <c r="BD157" s="692">
        <v>0</v>
      </c>
      <c r="BE157" s="689">
        <v>0</v>
      </c>
      <c r="BF157" s="690">
        <v>0</v>
      </c>
      <c r="BG157" s="691">
        <v>0</v>
      </c>
      <c r="BH157" s="690">
        <v>0</v>
      </c>
      <c r="BI157" s="691">
        <v>0</v>
      </c>
      <c r="BJ157" s="690">
        <v>0</v>
      </c>
      <c r="BK157" s="691">
        <v>0</v>
      </c>
      <c r="BL157" s="690">
        <v>0</v>
      </c>
      <c r="BM157" s="691">
        <v>0</v>
      </c>
      <c r="BN157" s="690">
        <v>0</v>
      </c>
      <c r="BO157" s="691">
        <v>0</v>
      </c>
      <c r="BP157" s="690">
        <v>0</v>
      </c>
      <c r="BQ157" s="691">
        <v>0</v>
      </c>
      <c r="BR157" s="690">
        <v>0</v>
      </c>
      <c r="BS157" s="691">
        <v>0</v>
      </c>
      <c r="BT157" s="690">
        <v>0</v>
      </c>
      <c r="BU157" s="691">
        <v>0</v>
      </c>
      <c r="BV157" s="690">
        <v>0</v>
      </c>
      <c r="BW157" s="691">
        <v>0</v>
      </c>
      <c r="BX157" s="690">
        <v>0</v>
      </c>
      <c r="BY157" s="691">
        <v>0</v>
      </c>
      <c r="BZ157" s="690">
        <v>0</v>
      </c>
      <c r="CA157" s="691">
        <v>0</v>
      </c>
      <c r="CB157" s="690">
        <v>0</v>
      </c>
      <c r="CC157" s="689">
        <v>0</v>
      </c>
      <c r="CD157" s="692">
        <v>0</v>
      </c>
      <c r="CE157" s="689">
        <v>0</v>
      </c>
      <c r="CF157" s="692">
        <v>0</v>
      </c>
      <c r="CG157" s="689">
        <v>0</v>
      </c>
      <c r="CH157" s="692">
        <v>0</v>
      </c>
      <c r="CI157" s="689">
        <v>0</v>
      </c>
      <c r="CJ157" s="692">
        <v>0</v>
      </c>
      <c r="CK157" s="689">
        <v>0</v>
      </c>
      <c r="CL157" s="692">
        <v>0</v>
      </c>
      <c r="CM157" s="689">
        <v>0</v>
      </c>
      <c r="CN157" s="692">
        <v>0</v>
      </c>
      <c r="CO157" s="689">
        <v>0</v>
      </c>
      <c r="CP157" s="692">
        <v>0</v>
      </c>
      <c r="CQ157" s="689">
        <v>0</v>
      </c>
      <c r="CR157" s="690">
        <v>0</v>
      </c>
      <c r="CS157" s="689">
        <v>0</v>
      </c>
      <c r="CT157" s="690">
        <v>0</v>
      </c>
      <c r="CU157" s="691">
        <v>0</v>
      </c>
      <c r="CV157" s="690">
        <v>0</v>
      </c>
    </row>
    <row r="158" spans="1:100">
      <c r="A158" s="457">
        <v>156</v>
      </c>
      <c r="B158" s="577">
        <v>0</v>
      </c>
      <c r="C158" s="577">
        <v>0</v>
      </c>
      <c r="D158" s="577">
        <v>0</v>
      </c>
      <c r="E158" s="577">
        <v>0</v>
      </c>
      <c r="F158" s="577">
        <v>0</v>
      </c>
      <c r="G158" s="577">
        <v>0</v>
      </c>
      <c r="H158" s="577">
        <v>0</v>
      </c>
      <c r="I158" s="577">
        <v>0</v>
      </c>
      <c r="J158" s="577">
        <v>0</v>
      </c>
      <c r="K158" s="577">
        <v>0</v>
      </c>
      <c r="L158" s="577">
        <v>0</v>
      </c>
      <c r="M158" s="577">
        <v>0</v>
      </c>
      <c r="N158" s="577">
        <v>0</v>
      </c>
      <c r="O158" s="577">
        <v>0</v>
      </c>
      <c r="P158" s="577">
        <v>0</v>
      </c>
      <c r="Q158" s="577">
        <v>0</v>
      </c>
      <c r="R158" s="577">
        <v>0</v>
      </c>
      <c r="S158" s="577">
        <v>0</v>
      </c>
      <c r="T158" s="577">
        <v>0</v>
      </c>
      <c r="U158" s="577">
        <v>0</v>
      </c>
      <c r="V158" s="577">
        <v>0</v>
      </c>
      <c r="W158" s="592">
        <v>0</v>
      </c>
      <c r="X158" s="685">
        <v>0</v>
      </c>
      <c r="Y158" s="685">
        <v>0</v>
      </c>
      <c r="Z158" s="685">
        <v>0</v>
      </c>
      <c r="AA158" s="685">
        <v>0</v>
      </c>
      <c r="AB158" s="685">
        <v>0</v>
      </c>
      <c r="AC158" s="685">
        <v>0</v>
      </c>
      <c r="AD158" s="685">
        <v>0</v>
      </c>
      <c r="AE158" s="910">
        <v>0</v>
      </c>
      <c r="AF158" s="911">
        <v>0</v>
      </c>
      <c r="AG158" s="912">
        <v>0</v>
      </c>
      <c r="AH158" s="685">
        <v>0</v>
      </c>
      <c r="AI158" s="684">
        <v>0</v>
      </c>
      <c r="AJ158" s="682">
        <v>0</v>
      </c>
      <c r="AK158" s="684">
        <v>0</v>
      </c>
      <c r="AL158" s="686">
        <v>0</v>
      </c>
      <c r="AM158" s="682">
        <v>0</v>
      </c>
      <c r="AN158" s="682">
        <v>0</v>
      </c>
      <c r="AO158" s="686">
        <v>0</v>
      </c>
      <c r="AP158" s="687">
        <v>0</v>
      </c>
      <c r="AQ158" s="684">
        <v>0</v>
      </c>
      <c r="AR158" s="682">
        <v>0</v>
      </c>
      <c r="AS158" s="684">
        <v>0</v>
      </c>
      <c r="AT158" s="688">
        <v>0</v>
      </c>
      <c r="AU158" s="682">
        <v>0</v>
      </c>
      <c r="AV158" s="684">
        <v>0</v>
      </c>
      <c r="AW158" s="689">
        <v>0</v>
      </c>
      <c r="AX158" s="690">
        <v>0</v>
      </c>
      <c r="AY158" s="689">
        <v>0</v>
      </c>
      <c r="AZ158" s="690">
        <v>0</v>
      </c>
      <c r="BA158" s="689">
        <v>0</v>
      </c>
      <c r="BB158" s="690">
        <v>0</v>
      </c>
      <c r="BC158" s="691">
        <v>0</v>
      </c>
      <c r="BD158" s="692">
        <v>0</v>
      </c>
      <c r="BE158" s="689">
        <v>0</v>
      </c>
      <c r="BF158" s="690">
        <v>0</v>
      </c>
      <c r="BG158" s="691">
        <v>0</v>
      </c>
      <c r="BH158" s="690">
        <v>0</v>
      </c>
      <c r="BI158" s="691">
        <v>0</v>
      </c>
      <c r="BJ158" s="690">
        <v>0</v>
      </c>
      <c r="BK158" s="691">
        <v>0</v>
      </c>
      <c r="BL158" s="690">
        <v>0</v>
      </c>
      <c r="BM158" s="691">
        <v>0</v>
      </c>
      <c r="BN158" s="690">
        <v>0</v>
      </c>
      <c r="BO158" s="691">
        <v>0</v>
      </c>
      <c r="BP158" s="690">
        <v>0</v>
      </c>
      <c r="BQ158" s="691">
        <v>0</v>
      </c>
      <c r="BR158" s="690">
        <v>0</v>
      </c>
      <c r="BS158" s="691">
        <v>0</v>
      </c>
      <c r="BT158" s="690">
        <v>0</v>
      </c>
      <c r="BU158" s="691">
        <v>0</v>
      </c>
      <c r="BV158" s="690">
        <v>0</v>
      </c>
      <c r="BW158" s="691">
        <v>0</v>
      </c>
      <c r="BX158" s="690">
        <v>0</v>
      </c>
      <c r="BY158" s="691">
        <v>0</v>
      </c>
      <c r="BZ158" s="690">
        <v>0</v>
      </c>
      <c r="CA158" s="691">
        <v>0</v>
      </c>
      <c r="CB158" s="690">
        <v>0</v>
      </c>
      <c r="CC158" s="689">
        <v>0</v>
      </c>
      <c r="CD158" s="692">
        <v>0</v>
      </c>
      <c r="CE158" s="689">
        <v>0</v>
      </c>
      <c r="CF158" s="692">
        <v>0</v>
      </c>
      <c r="CG158" s="689">
        <v>0</v>
      </c>
      <c r="CH158" s="692">
        <v>0</v>
      </c>
      <c r="CI158" s="689">
        <v>0</v>
      </c>
      <c r="CJ158" s="692">
        <v>0</v>
      </c>
      <c r="CK158" s="689">
        <v>0</v>
      </c>
      <c r="CL158" s="692">
        <v>0</v>
      </c>
      <c r="CM158" s="689">
        <v>0</v>
      </c>
      <c r="CN158" s="692">
        <v>0</v>
      </c>
      <c r="CO158" s="689">
        <v>0</v>
      </c>
      <c r="CP158" s="692">
        <v>0</v>
      </c>
      <c r="CQ158" s="689">
        <v>0</v>
      </c>
      <c r="CR158" s="690">
        <v>0</v>
      </c>
      <c r="CS158" s="689">
        <v>0</v>
      </c>
      <c r="CT158" s="690">
        <v>0</v>
      </c>
      <c r="CU158" s="691">
        <v>0</v>
      </c>
      <c r="CV158" s="690">
        <v>0</v>
      </c>
    </row>
    <row r="159" spans="1:100">
      <c r="A159" s="457">
        <v>157</v>
      </c>
      <c r="B159" s="577">
        <v>0</v>
      </c>
      <c r="C159" s="577">
        <v>0</v>
      </c>
      <c r="D159" s="577">
        <v>0</v>
      </c>
      <c r="E159" s="577">
        <v>0</v>
      </c>
      <c r="F159" s="577">
        <v>0</v>
      </c>
      <c r="G159" s="577">
        <v>0</v>
      </c>
      <c r="H159" s="577">
        <v>0</v>
      </c>
      <c r="I159" s="577">
        <v>0</v>
      </c>
      <c r="J159" s="577">
        <v>0</v>
      </c>
      <c r="K159" s="577">
        <v>0</v>
      </c>
      <c r="L159" s="577">
        <v>0</v>
      </c>
      <c r="M159" s="577">
        <v>0</v>
      </c>
      <c r="N159" s="577">
        <v>0</v>
      </c>
      <c r="O159" s="577">
        <v>0</v>
      </c>
      <c r="P159" s="577">
        <v>0</v>
      </c>
      <c r="Q159" s="577">
        <v>0</v>
      </c>
      <c r="R159" s="577">
        <v>0</v>
      </c>
      <c r="S159" s="577">
        <v>0</v>
      </c>
      <c r="T159" s="577">
        <v>0</v>
      </c>
      <c r="U159" s="577">
        <v>0</v>
      </c>
      <c r="V159" s="577">
        <v>0</v>
      </c>
      <c r="W159" s="592">
        <v>0</v>
      </c>
      <c r="X159" s="685">
        <v>0</v>
      </c>
      <c r="Y159" s="685">
        <v>0</v>
      </c>
      <c r="Z159" s="685">
        <v>0</v>
      </c>
      <c r="AA159" s="685">
        <v>0</v>
      </c>
      <c r="AB159" s="685">
        <v>0</v>
      </c>
      <c r="AC159" s="685">
        <v>0</v>
      </c>
      <c r="AD159" s="685">
        <v>0</v>
      </c>
      <c r="AE159" s="910">
        <v>0</v>
      </c>
      <c r="AF159" s="911">
        <v>0</v>
      </c>
      <c r="AG159" s="912">
        <v>0</v>
      </c>
      <c r="AH159" s="685">
        <v>0</v>
      </c>
      <c r="AI159" s="684">
        <v>0</v>
      </c>
      <c r="AJ159" s="682">
        <v>0</v>
      </c>
      <c r="AK159" s="684">
        <v>0</v>
      </c>
      <c r="AL159" s="686">
        <v>0</v>
      </c>
      <c r="AM159" s="682">
        <v>0</v>
      </c>
      <c r="AN159" s="682">
        <v>0</v>
      </c>
      <c r="AO159" s="686">
        <v>0</v>
      </c>
      <c r="AP159" s="687">
        <v>0</v>
      </c>
      <c r="AQ159" s="684">
        <v>0</v>
      </c>
      <c r="AR159" s="682">
        <v>0</v>
      </c>
      <c r="AS159" s="684">
        <v>0</v>
      </c>
      <c r="AT159" s="688">
        <v>0</v>
      </c>
      <c r="AU159" s="682">
        <v>0</v>
      </c>
      <c r="AV159" s="684">
        <v>0</v>
      </c>
      <c r="AW159" s="689">
        <v>0</v>
      </c>
      <c r="AX159" s="690">
        <v>0</v>
      </c>
      <c r="AY159" s="689">
        <v>0</v>
      </c>
      <c r="AZ159" s="690">
        <v>0</v>
      </c>
      <c r="BA159" s="689">
        <v>0</v>
      </c>
      <c r="BB159" s="690">
        <v>0</v>
      </c>
      <c r="BC159" s="691">
        <v>0</v>
      </c>
      <c r="BD159" s="692">
        <v>0</v>
      </c>
      <c r="BE159" s="689">
        <v>0</v>
      </c>
      <c r="BF159" s="690">
        <v>0</v>
      </c>
      <c r="BG159" s="691">
        <v>0</v>
      </c>
      <c r="BH159" s="690">
        <v>0</v>
      </c>
      <c r="BI159" s="691">
        <v>0</v>
      </c>
      <c r="BJ159" s="690">
        <v>0</v>
      </c>
      <c r="BK159" s="691">
        <v>0</v>
      </c>
      <c r="BL159" s="690">
        <v>0</v>
      </c>
      <c r="BM159" s="691">
        <v>0</v>
      </c>
      <c r="BN159" s="690">
        <v>0</v>
      </c>
      <c r="BO159" s="691">
        <v>0</v>
      </c>
      <c r="BP159" s="690">
        <v>0</v>
      </c>
      <c r="BQ159" s="691">
        <v>0</v>
      </c>
      <c r="BR159" s="690">
        <v>0</v>
      </c>
      <c r="BS159" s="691">
        <v>0</v>
      </c>
      <c r="BT159" s="690">
        <v>0</v>
      </c>
      <c r="BU159" s="691">
        <v>0</v>
      </c>
      <c r="BV159" s="690">
        <v>0</v>
      </c>
      <c r="BW159" s="691">
        <v>0</v>
      </c>
      <c r="BX159" s="690">
        <v>0</v>
      </c>
      <c r="BY159" s="691">
        <v>0</v>
      </c>
      <c r="BZ159" s="690">
        <v>0</v>
      </c>
      <c r="CA159" s="691">
        <v>0</v>
      </c>
      <c r="CB159" s="690">
        <v>0</v>
      </c>
      <c r="CC159" s="689">
        <v>0</v>
      </c>
      <c r="CD159" s="692">
        <v>0</v>
      </c>
      <c r="CE159" s="689">
        <v>0</v>
      </c>
      <c r="CF159" s="692">
        <v>0</v>
      </c>
      <c r="CG159" s="689">
        <v>0</v>
      </c>
      <c r="CH159" s="692">
        <v>0</v>
      </c>
      <c r="CI159" s="689">
        <v>0</v>
      </c>
      <c r="CJ159" s="692">
        <v>0</v>
      </c>
      <c r="CK159" s="689">
        <v>0</v>
      </c>
      <c r="CL159" s="692">
        <v>0</v>
      </c>
      <c r="CM159" s="689">
        <v>0</v>
      </c>
      <c r="CN159" s="692">
        <v>0</v>
      </c>
      <c r="CO159" s="689">
        <v>0</v>
      </c>
      <c r="CP159" s="692">
        <v>0</v>
      </c>
      <c r="CQ159" s="689">
        <v>0</v>
      </c>
      <c r="CR159" s="690">
        <v>0</v>
      </c>
      <c r="CS159" s="689">
        <v>0</v>
      </c>
      <c r="CT159" s="690">
        <v>0</v>
      </c>
      <c r="CU159" s="691">
        <v>0</v>
      </c>
      <c r="CV159" s="690">
        <v>0</v>
      </c>
    </row>
    <row r="160" spans="1:100">
      <c r="A160" s="457">
        <v>158</v>
      </c>
      <c r="B160" s="577">
        <v>0</v>
      </c>
      <c r="C160" s="577">
        <v>0</v>
      </c>
      <c r="D160" s="577">
        <v>0</v>
      </c>
      <c r="E160" s="577">
        <v>0</v>
      </c>
      <c r="F160" s="577">
        <v>0</v>
      </c>
      <c r="G160" s="577">
        <v>0</v>
      </c>
      <c r="H160" s="577">
        <v>0</v>
      </c>
      <c r="I160" s="577">
        <v>0</v>
      </c>
      <c r="J160" s="577">
        <v>0</v>
      </c>
      <c r="K160" s="577">
        <v>0</v>
      </c>
      <c r="L160" s="577">
        <v>0</v>
      </c>
      <c r="M160" s="577">
        <v>0</v>
      </c>
      <c r="N160" s="577">
        <v>0</v>
      </c>
      <c r="O160" s="577">
        <v>0</v>
      </c>
      <c r="P160" s="577">
        <v>0</v>
      </c>
      <c r="Q160" s="577">
        <v>0</v>
      </c>
      <c r="R160" s="577">
        <v>0</v>
      </c>
      <c r="S160" s="577">
        <v>0</v>
      </c>
      <c r="T160" s="577">
        <v>0</v>
      </c>
      <c r="U160" s="577">
        <v>0</v>
      </c>
      <c r="V160" s="577">
        <v>0</v>
      </c>
      <c r="W160" s="592">
        <v>0</v>
      </c>
      <c r="X160" s="685">
        <v>0</v>
      </c>
      <c r="Y160" s="685">
        <v>0</v>
      </c>
      <c r="Z160" s="685">
        <v>0</v>
      </c>
      <c r="AA160" s="685">
        <v>0</v>
      </c>
      <c r="AB160" s="685">
        <v>0</v>
      </c>
      <c r="AC160" s="685">
        <v>0</v>
      </c>
      <c r="AD160" s="685">
        <v>0</v>
      </c>
      <c r="AE160" s="910">
        <v>0</v>
      </c>
      <c r="AF160" s="911">
        <v>0</v>
      </c>
      <c r="AG160" s="912">
        <v>0</v>
      </c>
      <c r="AH160" s="685">
        <v>0</v>
      </c>
      <c r="AI160" s="684">
        <v>0</v>
      </c>
      <c r="AJ160" s="682">
        <v>0</v>
      </c>
      <c r="AK160" s="684">
        <v>0</v>
      </c>
      <c r="AL160" s="686">
        <v>0</v>
      </c>
      <c r="AM160" s="682">
        <v>0</v>
      </c>
      <c r="AN160" s="682">
        <v>0</v>
      </c>
      <c r="AO160" s="686">
        <v>0</v>
      </c>
      <c r="AP160" s="687">
        <v>0</v>
      </c>
      <c r="AQ160" s="684">
        <v>0</v>
      </c>
      <c r="AR160" s="682">
        <v>0</v>
      </c>
      <c r="AS160" s="684">
        <v>0</v>
      </c>
      <c r="AT160" s="688">
        <v>0</v>
      </c>
      <c r="AU160" s="682">
        <v>0</v>
      </c>
      <c r="AV160" s="684">
        <v>0</v>
      </c>
      <c r="AW160" s="689">
        <v>0</v>
      </c>
      <c r="AX160" s="690">
        <v>0</v>
      </c>
      <c r="AY160" s="689">
        <v>0</v>
      </c>
      <c r="AZ160" s="690">
        <v>0</v>
      </c>
      <c r="BA160" s="689">
        <v>0</v>
      </c>
      <c r="BB160" s="690">
        <v>0</v>
      </c>
      <c r="BC160" s="691">
        <v>0</v>
      </c>
      <c r="BD160" s="692">
        <v>0</v>
      </c>
      <c r="BE160" s="689">
        <v>0</v>
      </c>
      <c r="BF160" s="690">
        <v>0</v>
      </c>
      <c r="BG160" s="691">
        <v>0</v>
      </c>
      <c r="BH160" s="690">
        <v>0</v>
      </c>
      <c r="BI160" s="691">
        <v>0</v>
      </c>
      <c r="BJ160" s="690">
        <v>0</v>
      </c>
      <c r="BK160" s="691">
        <v>0</v>
      </c>
      <c r="BL160" s="690">
        <v>0</v>
      </c>
      <c r="BM160" s="691">
        <v>0</v>
      </c>
      <c r="BN160" s="690">
        <v>0</v>
      </c>
      <c r="BO160" s="691">
        <v>0</v>
      </c>
      <c r="BP160" s="690">
        <v>0</v>
      </c>
      <c r="BQ160" s="691">
        <v>0</v>
      </c>
      <c r="BR160" s="690">
        <v>0</v>
      </c>
      <c r="BS160" s="691">
        <v>0</v>
      </c>
      <c r="BT160" s="690">
        <v>0</v>
      </c>
      <c r="BU160" s="691">
        <v>0</v>
      </c>
      <c r="BV160" s="690">
        <v>0</v>
      </c>
      <c r="BW160" s="691">
        <v>0</v>
      </c>
      <c r="BX160" s="690">
        <v>0</v>
      </c>
      <c r="BY160" s="691">
        <v>0</v>
      </c>
      <c r="BZ160" s="690">
        <v>0</v>
      </c>
      <c r="CA160" s="691">
        <v>0</v>
      </c>
      <c r="CB160" s="690">
        <v>0</v>
      </c>
      <c r="CC160" s="689">
        <v>0</v>
      </c>
      <c r="CD160" s="692">
        <v>0</v>
      </c>
      <c r="CE160" s="689">
        <v>0</v>
      </c>
      <c r="CF160" s="692">
        <v>0</v>
      </c>
      <c r="CG160" s="689">
        <v>0</v>
      </c>
      <c r="CH160" s="692">
        <v>0</v>
      </c>
      <c r="CI160" s="689">
        <v>0</v>
      </c>
      <c r="CJ160" s="692">
        <v>0</v>
      </c>
      <c r="CK160" s="689">
        <v>0</v>
      </c>
      <c r="CL160" s="692">
        <v>0</v>
      </c>
      <c r="CM160" s="689">
        <v>0</v>
      </c>
      <c r="CN160" s="692">
        <v>0</v>
      </c>
      <c r="CO160" s="689">
        <v>0</v>
      </c>
      <c r="CP160" s="692">
        <v>0</v>
      </c>
      <c r="CQ160" s="689">
        <v>0</v>
      </c>
      <c r="CR160" s="690">
        <v>0</v>
      </c>
      <c r="CS160" s="689">
        <v>0</v>
      </c>
      <c r="CT160" s="690">
        <v>0</v>
      </c>
      <c r="CU160" s="691">
        <v>0</v>
      </c>
      <c r="CV160" s="690">
        <v>0</v>
      </c>
    </row>
    <row r="161" spans="1:100">
      <c r="A161" s="457">
        <v>159</v>
      </c>
      <c r="B161" s="577">
        <v>0</v>
      </c>
      <c r="C161" s="577">
        <v>0</v>
      </c>
      <c r="D161" s="577">
        <v>0</v>
      </c>
      <c r="E161" s="577">
        <v>0</v>
      </c>
      <c r="F161" s="577">
        <v>0</v>
      </c>
      <c r="G161" s="577">
        <v>0</v>
      </c>
      <c r="H161" s="577">
        <v>0</v>
      </c>
      <c r="I161" s="577">
        <v>0</v>
      </c>
      <c r="J161" s="577">
        <v>0</v>
      </c>
      <c r="K161" s="577">
        <v>0</v>
      </c>
      <c r="L161" s="577">
        <v>0</v>
      </c>
      <c r="M161" s="577">
        <v>0</v>
      </c>
      <c r="N161" s="577">
        <v>0</v>
      </c>
      <c r="O161" s="577">
        <v>0</v>
      </c>
      <c r="P161" s="577">
        <v>0</v>
      </c>
      <c r="Q161" s="577">
        <v>0</v>
      </c>
      <c r="R161" s="577">
        <v>0</v>
      </c>
      <c r="S161" s="577">
        <v>0</v>
      </c>
      <c r="T161" s="577">
        <v>0</v>
      </c>
      <c r="U161" s="577">
        <v>0</v>
      </c>
      <c r="V161" s="577">
        <v>0</v>
      </c>
      <c r="W161" s="592">
        <v>0</v>
      </c>
      <c r="X161" s="685">
        <v>0</v>
      </c>
      <c r="Y161" s="685">
        <v>0</v>
      </c>
      <c r="Z161" s="685">
        <v>0</v>
      </c>
      <c r="AA161" s="685">
        <v>0</v>
      </c>
      <c r="AB161" s="685">
        <v>0</v>
      </c>
      <c r="AC161" s="685">
        <v>0</v>
      </c>
      <c r="AD161" s="685">
        <v>0</v>
      </c>
      <c r="AE161" s="910">
        <v>0</v>
      </c>
      <c r="AF161" s="911">
        <v>0</v>
      </c>
      <c r="AG161" s="912">
        <v>0</v>
      </c>
      <c r="AH161" s="685">
        <v>0</v>
      </c>
      <c r="AI161" s="684">
        <v>0</v>
      </c>
      <c r="AJ161" s="682">
        <v>0</v>
      </c>
      <c r="AK161" s="684">
        <v>0</v>
      </c>
      <c r="AL161" s="686">
        <v>0</v>
      </c>
      <c r="AM161" s="682">
        <v>0</v>
      </c>
      <c r="AN161" s="682">
        <v>0</v>
      </c>
      <c r="AO161" s="686">
        <v>0</v>
      </c>
      <c r="AP161" s="687">
        <v>0</v>
      </c>
      <c r="AQ161" s="684">
        <v>0</v>
      </c>
      <c r="AR161" s="682">
        <v>0</v>
      </c>
      <c r="AS161" s="684">
        <v>0</v>
      </c>
      <c r="AT161" s="688">
        <v>0</v>
      </c>
      <c r="AU161" s="682">
        <v>0</v>
      </c>
      <c r="AV161" s="684">
        <v>0</v>
      </c>
      <c r="AW161" s="689">
        <v>0</v>
      </c>
      <c r="AX161" s="690">
        <v>0</v>
      </c>
      <c r="AY161" s="689">
        <v>0</v>
      </c>
      <c r="AZ161" s="690">
        <v>0</v>
      </c>
      <c r="BA161" s="689">
        <v>0</v>
      </c>
      <c r="BB161" s="690">
        <v>0</v>
      </c>
      <c r="BC161" s="691">
        <v>0</v>
      </c>
      <c r="BD161" s="692">
        <v>0</v>
      </c>
      <c r="BE161" s="689">
        <v>0</v>
      </c>
      <c r="BF161" s="690">
        <v>0</v>
      </c>
      <c r="BG161" s="691">
        <v>0</v>
      </c>
      <c r="BH161" s="690">
        <v>0</v>
      </c>
      <c r="BI161" s="691">
        <v>0</v>
      </c>
      <c r="BJ161" s="690">
        <v>0</v>
      </c>
      <c r="BK161" s="691">
        <v>0</v>
      </c>
      <c r="BL161" s="690">
        <v>0</v>
      </c>
      <c r="BM161" s="691">
        <v>0</v>
      </c>
      <c r="BN161" s="690">
        <v>0</v>
      </c>
      <c r="BO161" s="691">
        <v>0</v>
      </c>
      <c r="BP161" s="690">
        <v>0</v>
      </c>
      <c r="BQ161" s="691">
        <v>0</v>
      </c>
      <c r="BR161" s="690">
        <v>0</v>
      </c>
      <c r="BS161" s="691">
        <v>0</v>
      </c>
      <c r="BT161" s="690">
        <v>0</v>
      </c>
      <c r="BU161" s="691">
        <v>0</v>
      </c>
      <c r="BV161" s="690">
        <v>0</v>
      </c>
      <c r="BW161" s="691">
        <v>0</v>
      </c>
      <c r="BX161" s="690">
        <v>0</v>
      </c>
      <c r="BY161" s="691">
        <v>0</v>
      </c>
      <c r="BZ161" s="690">
        <v>0</v>
      </c>
      <c r="CA161" s="691">
        <v>0</v>
      </c>
      <c r="CB161" s="690">
        <v>0</v>
      </c>
      <c r="CC161" s="689">
        <v>0</v>
      </c>
      <c r="CD161" s="692">
        <v>0</v>
      </c>
      <c r="CE161" s="689">
        <v>0</v>
      </c>
      <c r="CF161" s="692">
        <v>0</v>
      </c>
      <c r="CG161" s="689">
        <v>0</v>
      </c>
      <c r="CH161" s="692">
        <v>0</v>
      </c>
      <c r="CI161" s="689">
        <v>0</v>
      </c>
      <c r="CJ161" s="692">
        <v>0</v>
      </c>
      <c r="CK161" s="689">
        <v>0</v>
      </c>
      <c r="CL161" s="692">
        <v>0</v>
      </c>
      <c r="CM161" s="689">
        <v>0</v>
      </c>
      <c r="CN161" s="692">
        <v>0</v>
      </c>
      <c r="CO161" s="689">
        <v>0</v>
      </c>
      <c r="CP161" s="692">
        <v>0</v>
      </c>
      <c r="CQ161" s="689">
        <v>0</v>
      </c>
      <c r="CR161" s="690">
        <v>0</v>
      </c>
      <c r="CS161" s="689">
        <v>0</v>
      </c>
      <c r="CT161" s="690">
        <v>0</v>
      </c>
      <c r="CU161" s="691">
        <v>0</v>
      </c>
      <c r="CV161" s="690">
        <v>0</v>
      </c>
    </row>
    <row r="162" spans="1:100">
      <c r="A162" s="457">
        <v>160</v>
      </c>
      <c r="B162" s="577">
        <v>0</v>
      </c>
      <c r="C162" s="577">
        <v>0</v>
      </c>
      <c r="D162" s="577">
        <v>0</v>
      </c>
      <c r="E162" s="577">
        <v>0</v>
      </c>
      <c r="F162" s="577">
        <v>0</v>
      </c>
      <c r="G162" s="577">
        <v>0</v>
      </c>
      <c r="H162" s="577">
        <v>0</v>
      </c>
      <c r="I162" s="577">
        <v>0</v>
      </c>
      <c r="J162" s="577">
        <v>0</v>
      </c>
      <c r="K162" s="577">
        <v>0</v>
      </c>
      <c r="L162" s="577">
        <v>0</v>
      </c>
      <c r="M162" s="577">
        <v>0</v>
      </c>
      <c r="N162" s="577">
        <v>0</v>
      </c>
      <c r="O162" s="577">
        <v>0</v>
      </c>
      <c r="P162" s="577">
        <v>0</v>
      </c>
      <c r="Q162" s="577">
        <v>0</v>
      </c>
      <c r="R162" s="577">
        <v>0</v>
      </c>
      <c r="S162" s="577">
        <v>0</v>
      </c>
      <c r="T162" s="577">
        <v>0</v>
      </c>
      <c r="U162" s="577">
        <v>0</v>
      </c>
      <c r="V162" s="577">
        <v>0</v>
      </c>
      <c r="W162" s="592">
        <v>0</v>
      </c>
      <c r="X162" s="685">
        <v>0</v>
      </c>
      <c r="Y162" s="685">
        <v>0</v>
      </c>
      <c r="Z162" s="685">
        <v>0</v>
      </c>
      <c r="AA162" s="685">
        <v>0</v>
      </c>
      <c r="AB162" s="685">
        <v>0</v>
      </c>
      <c r="AC162" s="685">
        <v>0</v>
      </c>
      <c r="AD162" s="685">
        <v>0</v>
      </c>
      <c r="AE162" s="910">
        <v>0</v>
      </c>
      <c r="AF162" s="911">
        <v>0</v>
      </c>
      <c r="AG162" s="912">
        <v>0</v>
      </c>
      <c r="AH162" s="685">
        <v>0</v>
      </c>
      <c r="AI162" s="684">
        <v>0</v>
      </c>
      <c r="AJ162" s="682">
        <v>0</v>
      </c>
      <c r="AK162" s="684">
        <v>0</v>
      </c>
      <c r="AL162" s="686">
        <v>0</v>
      </c>
      <c r="AM162" s="682">
        <v>0</v>
      </c>
      <c r="AN162" s="682">
        <v>0</v>
      </c>
      <c r="AO162" s="686">
        <v>0</v>
      </c>
      <c r="AP162" s="687">
        <v>0</v>
      </c>
      <c r="AQ162" s="684">
        <v>0</v>
      </c>
      <c r="AR162" s="682">
        <v>0</v>
      </c>
      <c r="AS162" s="684">
        <v>0</v>
      </c>
      <c r="AT162" s="688">
        <v>0</v>
      </c>
      <c r="AU162" s="682">
        <v>0</v>
      </c>
      <c r="AV162" s="684">
        <v>0</v>
      </c>
      <c r="AW162" s="689">
        <v>0</v>
      </c>
      <c r="AX162" s="690">
        <v>0</v>
      </c>
      <c r="AY162" s="689">
        <v>0</v>
      </c>
      <c r="AZ162" s="690">
        <v>0</v>
      </c>
      <c r="BA162" s="689">
        <v>0</v>
      </c>
      <c r="BB162" s="690">
        <v>0</v>
      </c>
      <c r="BC162" s="691">
        <v>0</v>
      </c>
      <c r="BD162" s="692">
        <v>0</v>
      </c>
      <c r="BE162" s="689">
        <v>0</v>
      </c>
      <c r="BF162" s="690">
        <v>0</v>
      </c>
      <c r="BG162" s="691">
        <v>0</v>
      </c>
      <c r="BH162" s="690">
        <v>0</v>
      </c>
      <c r="BI162" s="691">
        <v>0</v>
      </c>
      <c r="BJ162" s="690">
        <v>0</v>
      </c>
      <c r="BK162" s="691">
        <v>0</v>
      </c>
      <c r="BL162" s="690">
        <v>0</v>
      </c>
      <c r="BM162" s="691">
        <v>0</v>
      </c>
      <c r="BN162" s="690">
        <v>0</v>
      </c>
      <c r="BO162" s="691">
        <v>0</v>
      </c>
      <c r="BP162" s="690">
        <v>0</v>
      </c>
      <c r="BQ162" s="691">
        <v>0</v>
      </c>
      <c r="BR162" s="690">
        <v>0</v>
      </c>
      <c r="BS162" s="691">
        <v>0</v>
      </c>
      <c r="BT162" s="690">
        <v>0</v>
      </c>
      <c r="BU162" s="691">
        <v>0</v>
      </c>
      <c r="BV162" s="690">
        <v>0</v>
      </c>
      <c r="BW162" s="691">
        <v>0</v>
      </c>
      <c r="BX162" s="690">
        <v>0</v>
      </c>
      <c r="BY162" s="691">
        <v>0</v>
      </c>
      <c r="BZ162" s="690">
        <v>0</v>
      </c>
      <c r="CA162" s="691">
        <v>0</v>
      </c>
      <c r="CB162" s="690">
        <v>0</v>
      </c>
      <c r="CC162" s="689">
        <v>0</v>
      </c>
      <c r="CD162" s="692">
        <v>0</v>
      </c>
      <c r="CE162" s="689">
        <v>0</v>
      </c>
      <c r="CF162" s="692">
        <v>0</v>
      </c>
      <c r="CG162" s="689">
        <v>0</v>
      </c>
      <c r="CH162" s="692">
        <v>0</v>
      </c>
      <c r="CI162" s="689">
        <v>0</v>
      </c>
      <c r="CJ162" s="692">
        <v>0</v>
      </c>
      <c r="CK162" s="689">
        <v>0</v>
      </c>
      <c r="CL162" s="692">
        <v>0</v>
      </c>
      <c r="CM162" s="689">
        <v>0</v>
      </c>
      <c r="CN162" s="692">
        <v>0</v>
      </c>
      <c r="CO162" s="689">
        <v>0</v>
      </c>
      <c r="CP162" s="692">
        <v>0</v>
      </c>
      <c r="CQ162" s="689">
        <v>0</v>
      </c>
      <c r="CR162" s="690">
        <v>0</v>
      </c>
      <c r="CS162" s="689">
        <v>0</v>
      </c>
      <c r="CT162" s="690">
        <v>0</v>
      </c>
      <c r="CU162" s="691">
        <v>0</v>
      </c>
      <c r="CV162" s="690">
        <v>0</v>
      </c>
    </row>
    <row r="163" spans="1:100">
      <c r="A163" s="457">
        <v>161</v>
      </c>
      <c r="B163" s="577">
        <v>0</v>
      </c>
      <c r="C163" s="577">
        <v>0</v>
      </c>
      <c r="D163" s="577">
        <v>0</v>
      </c>
      <c r="E163" s="577">
        <v>0</v>
      </c>
      <c r="F163" s="577">
        <v>0</v>
      </c>
      <c r="G163" s="577">
        <v>0</v>
      </c>
      <c r="H163" s="577">
        <v>0</v>
      </c>
      <c r="I163" s="577">
        <v>0</v>
      </c>
      <c r="J163" s="577">
        <v>0</v>
      </c>
      <c r="K163" s="577">
        <v>0</v>
      </c>
      <c r="L163" s="577">
        <v>0</v>
      </c>
      <c r="M163" s="577">
        <v>0</v>
      </c>
      <c r="N163" s="577">
        <v>0</v>
      </c>
      <c r="O163" s="577">
        <v>0</v>
      </c>
      <c r="P163" s="577">
        <v>0</v>
      </c>
      <c r="Q163" s="577">
        <v>0</v>
      </c>
      <c r="R163" s="577">
        <v>0</v>
      </c>
      <c r="S163" s="577">
        <v>0</v>
      </c>
      <c r="T163" s="577">
        <v>0</v>
      </c>
      <c r="U163" s="577">
        <v>0</v>
      </c>
      <c r="V163" s="577">
        <v>0</v>
      </c>
      <c r="W163" s="592">
        <v>0</v>
      </c>
      <c r="X163" s="685">
        <v>0</v>
      </c>
      <c r="Y163" s="685">
        <v>0</v>
      </c>
      <c r="Z163" s="685">
        <v>0</v>
      </c>
      <c r="AA163" s="685">
        <v>0</v>
      </c>
      <c r="AB163" s="685">
        <v>0</v>
      </c>
      <c r="AC163" s="685">
        <v>0</v>
      </c>
      <c r="AD163" s="685">
        <v>0</v>
      </c>
      <c r="AE163" s="910">
        <v>0</v>
      </c>
      <c r="AF163" s="911">
        <v>0</v>
      </c>
      <c r="AG163" s="912">
        <v>0</v>
      </c>
      <c r="AH163" s="685">
        <v>0</v>
      </c>
      <c r="AI163" s="684">
        <v>0</v>
      </c>
      <c r="AJ163" s="682">
        <v>0</v>
      </c>
      <c r="AK163" s="684">
        <v>0</v>
      </c>
      <c r="AL163" s="686">
        <v>0</v>
      </c>
      <c r="AM163" s="682">
        <v>0</v>
      </c>
      <c r="AN163" s="682">
        <v>0</v>
      </c>
      <c r="AO163" s="686">
        <v>0</v>
      </c>
      <c r="AP163" s="687">
        <v>0</v>
      </c>
      <c r="AQ163" s="684">
        <v>0</v>
      </c>
      <c r="AR163" s="682">
        <v>0</v>
      </c>
      <c r="AS163" s="684">
        <v>0</v>
      </c>
      <c r="AT163" s="688">
        <v>0</v>
      </c>
      <c r="AU163" s="682">
        <v>0</v>
      </c>
      <c r="AV163" s="684">
        <v>0</v>
      </c>
      <c r="AW163" s="689">
        <v>0</v>
      </c>
      <c r="AX163" s="690">
        <v>0</v>
      </c>
      <c r="AY163" s="689">
        <v>0</v>
      </c>
      <c r="AZ163" s="690">
        <v>0</v>
      </c>
      <c r="BA163" s="689">
        <v>0</v>
      </c>
      <c r="BB163" s="690">
        <v>0</v>
      </c>
      <c r="BC163" s="691">
        <v>0</v>
      </c>
      <c r="BD163" s="692">
        <v>0</v>
      </c>
      <c r="BE163" s="689">
        <v>0</v>
      </c>
      <c r="BF163" s="690">
        <v>0</v>
      </c>
      <c r="BG163" s="691">
        <v>0</v>
      </c>
      <c r="BH163" s="690">
        <v>0</v>
      </c>
      <c r="BI163" s="691">
        <v>0</v>
      </c>
      <c r="BJ163" s="690">
        <v>0</v>
      </c>
      <c r="BK163" s="691">
        <v>0</v>
      </c>
      <c r="BL163" s="690">
        <v>0</v>
      </c>
      <c r="BM163" s="691">
        <v>0</v>
      </c>
      <c r="BN163" s="690">
        <v>0</v>
      </c>
      <c r="BO163" s="691">
        <v>0</v>
      </c>
      <c r="BP163" s="690">
        <v>0</v>
      </c>
      <c r="BQ163" s="691">
        <v>0</v>
      </c>
      <c r="BR163" s="690">
        <v>0</v>
      </c>
      <c r="BS163" s="691">
        <v>0</v>
      </c>
      <c r="BT163" s="690">
        <v>0</v>
      </c>
      <c r="BU163" s="691">
        <v>0</v>
      </c>
      <c r="BV163" s="690">
        <v>0</v>
      </c>
      <c r="BW163" s="691">
        <v>0</v>
      </c>
      <c r="BX163" s="690">
        <v>0</v>
      </c>
      <c r="BY163" s="691">
        <v>0</v>
      </c>
      <c r="BZ163" s="690">
        <v>0</v>
      </c>
      <c r="CA163" s="691">
        <v>0</v>
      </c>
      <c r="CB163" s="690">
        <v>0</v>
      </c>
      <c r="CC163" s="689">
        <v>0</v>
      </c>
      <c r="CD163" s="692">
        <v>0</v>
      </c>
      <c r="CE163" s="689">
        <v>0</v>
      </c>
      <c r="CF163" s="692">
        <v>0</v>
      </c>
      <c r="CG163" s="689">
        <v>0</v>
      </c>
      <c r="CH163" s="692">
        <v>0</v>
      </c>
      <c r="CI163" s="689">
        <v>0</v>
      </c>
      <c r="CJ163" s="692">
        <v>0</v>
      </c>
      <c r="CK163" s="689">
        <v>0</v>
      </c>
      <c r="CL163" s="692">
        <v>0</v>
      </c>
      <c r="CM163" s="689">
        <v>0</v>
      </c>
      <c r="CN163" s="692">
        <v>0</v>
      </c>
      <c r="CO163" s="689">
        <v>0</v>
      </c>
      <c r="CP163" s="692">
        <v>0</v>
      </c>
      <c r="CQ163" s="689">
        <v>0</v>
      </c>
      <c r="CR163" s="690">
        <v>0</v>
      </c>
      <c r="CS163" s="689">
        <v>0</v>
      </c>
      <c r="CT163" s="690">
        <v>0</v>
      </c>
      <c r="CU163" s="691">
        <v>0</v>
      </c>
      <c r="CV163" s="690">
        <v>0</v>
      </c>
    </row>
    <row r="164" spans="1:100">
      <c r="A164" s="457">
        <v>162</v>
      </c>
      <c r="B164" s="577">
        <v>0</v>
      </c>
      <c r="C164" s="577">
        <v>0</v>
      </c>
      <c r="D164" s="577">
        <v>0</v>
      </c>
      <c r="E164" s="577">
        <v>0</v>
      </c>
      <c r="F164" s="577">
        <v>0</v>
      </c>
      <c r="G164" s="577">
        <v>0</v>
      </c>
      <c r="H164" s="577">
        <v>0</v>
      </c>
      <c r="I164" s="577">
        <v>0</v>
      </c>
      <c r="J164" s="577">
        <v>0</v>
      </c>
      <c r="K164" s="577">
        <v>0</v>
      </c>
      <c r="L164" s="577">
        <v>0</v>
      </c>
      <c r="M164" s="577">
        <v>0</v>
      </c>
      <c r="N164" s="577">
        <v>0</v>
      </c>
      <c r="O164" s="577">
        <v>0</v>
      </c>
      <c r="P164" s="577">
        <v>0</v>
      </c>
      <c r="Q164" s="577">
        <v>0</v>
      </c>
      <c r="R164" s="577">
        <v>0</v>
      </c>
      <c r="S164" s="577">
        <v>0</v>
      </c>
      <c r="T164" s="577">
        <v>0</v>
      </c>
      <c r="U164" s="577">
        <v>0</v>
      </c>
      <c r="V164" s="577">
        <v>0</v>
      </c>
      <c r="W164" s="592">
        <v>0</v>
      </c>
      <c r="X164" s="685">
        <v>0</v>
      </c>
      <c r="Y164" s="685">
        <v>0</v>
      </c>
      <c r="Z164" s="685">
        <v>0</v>
      </c>
      <c r="AA164" s="685">
        <v>0</v>
      </c>
      <c r="AB164" s="685">
        <v>0</v>
      </c>
      <c r="AC164" s="685">
        <v>0</v>
      </c>
      <c r="AD164" s="685">
        <v>0</v>
      </c>
      <c r="AE164" s="910">
        <v>0</v>
      </c>
      <c r="AF164" s="911">
        <v>0</v>
      </c>
      <c r="AG164" s="912">
        <v>0</v>
      </c>
      <c r="AH164" s="685">
        <v>0</v>
      </c>
      <c r="AI164" s="684">
        <v>0</v>
      </c>
      <c r="AJ164" s="682">
        <v>0</v>
      </c>
      <c r="AK164" s="684">
        <v>0</v>
      </c>
      <c r="AL164" s="686">
        <v>0</v>
      </c>
      <c r="AM164" s="682">
        <v>0</v>
      </c>
      <c r="AN164" s="682">
        <v>0</v>
      </c>
      <c r="AO164" s="686">
        <v>0</v>
      </c>
      <c r="AP164" s="687">
        <v>0</v>
      </c>
      <c r="AQ164" s="684">
        <v>0</v>
      </c>
      <c r="AR164" s="682">
        <v>0</v>
      </c>
      <c r="AS164" s="684">
        <v>0</v>
      </c>
      <c r="AT164" s="688">
        <v>0</v>
      </c>
      <c r="AU164" s="682">
        <v>0</v>
      </c>
      <c r="AV164" s="684">
        <v>0</v>
      </c>
      <c r="AW164" s="689">
        <v>0</v>
      </c>
      <c r="AX164" s="690">
        <v>0</v>
      </c>
      <c r="AY164" s="689">
        <v>0</v>
      </c>
      <c r="AZ164" s="690">
        <v>0</v>
      </c>
      <c r="BA164" s="689">
        <v>0</v>
      </c>
      <c r="BB164" s="690">
        <v>0</v>
      </c>
      <c r="BC164" s="691">
        <v>0</v>
      </c>
      <c r="BD164" s="692">
        <v>0</v>
      </c>
      <c r="BE164" s="689">
        <v>0</v>
      </c>
      <c r="BF164" s="690">
        <v>0</v>
      </c>
      <c r="BG164" s="691">
        <v>0</v>
      </c>
      <c r="BH164" s="690">
        <v>0</v>
      </c>
      <c r="BI164" s="691">
        <v>0</v>
      </c>
      <c r="BJ164" s="690">
        <v>0</v>
      </c>
      <c r="BK164" s="691">
        <v>0</v>
      </c>
      <c r="BL164" s="690">
        <v>0</v>
      </c>
      <c r="BM164" s="691">
        <v>0</v>
      </c>
      <c r="BN164" s="690">
        <v>0</v>
      </c>
      <c r="BO164" s="691">
        <v>0</v>
      </c>
      <c r="BP164" s="690">
        <v>0</v>
      </c>
      <c r="BQ164" s="691">
        <v>0</v>
      </c>
      <c r="BR164" s="690">
        <v>0</v>
      </c>
      <c r="BS164" s="691">
        <v>0</v>
      </c>
      <c r="BT164" s="690">
        <v>0</v>
      </c>
      <c r="BU164" s="691">
        <v>0</v>
      </c>
      <c r="BV164" s="690">
        <v>0</v>
      </c>
      <c r="BW164" s="691">
        <v>0</v>
      </c>
      <c r="BX164" s="690">
        <v>0</v>
      </c>
      <c r="BY164" s="691">
        <v>0</v>
      </c>
      <c r="BZ164" s="690">
        <v>0</v>
      </c>
      <c r="CA164" s="691">
        <v>0</v>
      </c>
      <c r="CB164" s="690">
        <v>0</v>
      </c>
      <c r="CC164" s="689">
        <v>0</v>
      </c>
      <c r="CD164" s="692">
        <v>0</v>
      </c>
      <c r="CE164" s="689">
        <v>0</v>
      </c>
      <c r="CF164" s="692">
        <v>0</v>
      </c>
      <c r="CG164" s="689">
        <v>0</v>
      </c>
      <c r="CH164" s="692">
        <v>0</v>
      </c>
      <c r="CI164" s="689">
        <v>0</v>
      </c>
      <c r="CJ164" s="692">
        <v>0</v>
      </c>
      <c r="CK164" s="689">
        <v>0</v>
      </c>
      <c r="CL164" s="692">
        <v>0</v>
      </c>
      <c r="CM164" s="689">
        <v>0</v>
      </c>
      <c r="CN164" s="692">
        <v>0</v>
      </c>
      <c r="CO164" s="689">
        <v>0</v>
      </c>
      <c r="CP164" s="692">
        <v>0</v>
      </c>
      <c r="CQ164" s="689">
        <v>0</v>
      </c>
      <c r="CR164" s="690">
        <v>0</v>
      </c>
      <c r="CS164" s="689">
        <v>0</v>
      </c>
      <c r="CT164" s="690">
        <v>0</v>
      </c>
      <c r="CU164" s="691">
        <v>0</v>
      </c>
      <c r="CV164" s="690">
        <v>0</v>
      </c>
    </row>
    <row r="165" spans="1:100">
      <c r="A165" s="457">
        <v>163</v>
      </c>
      <c r="B165" s="577">
        <v>0</v>
      </c>
      <c r="C165" s="577">
        <v>0</v>
      </c>
      <c r="D165" s="577">
        <v>0</v>
      </c>
      <c r="E165" s="577">
        <v>0</v>
      </c>
      <c r="F165" s="577">
        <v>0</v>
      </c>
      <c r="G165" s="577">
        <v>0</v>
      </c>
      <c r="H165" s="577">
        <v>0</v>
      </c>
      <c r="I165" s="577">
        <v>0</v>
      </c>
      <c r="J165" s="577">
        <v>0</v>
      </c>
      <c r="K165" s="577">
        <v>0</v>
      </c>
      <c r="L165" s="577">
        <v>0</v>
      </c>
      <c r="M165" s="577">
        <v>0</v>
      </c>
      <c r="N165" s="577">
        <v>0</v>
      </c>
      <c r="O165" s="577">
        <v>0</v>
      </c>
      <c r="P165" s="577">
        <v>0</v>
      </c>
      <c r="Q165" s="577">
        <v>0</v>
      </c>
      <c r="R165" s="577">
        <v>0</v>
      </c>
      <c r="S165" s="577">
        <v>0</v>
      </c>
      <c r="T165" s="577">
        <v>0</v>
      </c>
      <c r="U165" s="577">
        <v>0</v>
      </c>
      <c r="V165" s="577">
        <v>0</v>
      </c>
      <c r="W165" s="592">
        <v>0</v>
      </c>
      <c r="X165" s="685">
        <v>0</v>
      </c>
      <c r="Y165" s="685">
        <v>0</v>
      </c>
      <c r="Z165" s="685">
        <v>0</v>
      </c>
      <c r="AA165" s="685">
        <v>0</v>
      </c>
      <c r="AB165" s="685">
        <v>0</v>
      </c>
      <c r="AC165" s="685">
        <v>0</v>
      </c>
      <c r="AD165" s="685">
        <v>0</v>
      </c>
      <c r="AE165" s="910">
        <v>0</v>
      </c>
      <c r="AF165" s="911">
        <v>0</v>
      </c>
      <c r="AG165" s="912">
        <v>0</v>
      </c>
      <c r="AH165" s="685">
        <v>0</v>
      </c>
      <c r="AI165" s="684">
        <v>0</v>
      </c>
      <c r="AJ165" s="682">
        <v>0</v>
      </c>
      <c r="AK165" s="684">
        <v>0</v>
      </c>
      <c r="AL165" s="686">
        <v>0</v>
      </c>
      <c r="AM165" s="682">
        <v>0</v>
      </c>
      <c r="AN165" s="682">
        <v>0</v>
      </c>
      <c r="AO165" s="686">
        <v>0</v>
      </c>
      <c r="AP165" s="687">
        <v>0</v>
      </c>
      <c r="AQ165" s="684">
        <v>0</v>
      </c>
      <c r="AR165" s="682">
        <v>0</v>
      </c>
      <c r="AS165" s="684">
        <v>0</v>
      </c>
      <c r="AT165" s="688">
        <v>0</v>
      </c>
      <c r="AU165" s="682">
        <v>0</v>
      </c>
      <c r="AV165" s="684">
        <v>0</v>
      </c>
      <c r="AW165" s="689">
        <v>0</v>
      </c>
      <c r="AX165" s="690">
        <v>0</v>
      </c>
      <c r="AY165" s="689">
        <v>0</v>
      </c>
      <c r="AZ165" s="690">
        <v>0</v>
      </c>
      <c r="BA165" s="689">
        <v>0</v>
      </c>
      <c r="BB165" s="690">
        <v>0</v>
      </c>
      <c r="BC165" s="691">
        <v>0</v>
      </c>
      <c r="BD165" s="692">
        <v>0</v>
      </c>
      <c r="BE165" s="689">
        <v>0</v>
      </c>
      <c r="BF165" s="690">
        <v>0</v>
      </c>
      <c r="BG165" s="691">
        <v>0</v>
      </c>
      <c r="BH165" s="690">
        <v>0</v>
      </c>
      <c r="BI165" s="691">
        <v>0</v>
      </c>
      <c r="BJ165" s="690">
        <v>0</v>
      </c>
      <c r="BK165" s="691">
        <v>0</v>
      </c>
      <c r="BL165" s="690">
        <v>0</v>
      </c>
      <c r="BM165" s="691">
        <v>0</v>
      </c>
      <c r="BN165" s="690">
        <v>0</v>
      </c>
      <c r="BO165" s="691">
        <v>0</v>
      </c>
      <c r="BP165" s="690">
        <v>0</v>
      </c>
      <c r="BQ165" s="691">
        <v>0</v>
      </c>
      <c r="BR165" s="690">
        <v>0</v>
      </c>
      <c r="BS165" s="691">
        <v>0</v>
      </c>
      <c r="BT165" s="690">
        <v>0</v>
      </c>
      <c r="BU165" s="691">
        <v>0</v>
      </c>
      <c r="BV165" s="690">
        <v>0</v>
      </c>
      <c r="BW165" s="691">
        <v>0</v>
      </c>
      <c r="BX165" s="690">
        <v>0</v>
      </c>
      <c r="BY165" s="691">
        <v>0</v>
      </c>
      <c r="BZ165" s="690">
        <v>0</v>
      </c>
      <c r="CA165" s="691">
        <v>0</v>
      </c>
      <c r="CB165" s="690">
        <v>0</v>
      </c>
      <c r="CC165" s="689">
        <v>0</v>
      </c>
      <c r="CD165" s="692">
        <v>0</v>
      </c>
      <c r="CE165" s="689">
        <v>0</v>
      </c>
      <c r="CF165" s="692">
        <v>0</v>
      </c>
      <c r="CG165" s="689">
        <v>0</v>
      </c>
      <c r="CH165" s="692">
        <v>0</v>
      </c>
      <c r="CI165" s="689">
        <v>0</v>
      </c>
      <c r="CJ165" s="692">
        <v>0</v>
      </c>
      <c r="CK165" s="689">
        <v>0</v>
      </c>
      <c r="CL165" s="692">
        <v>0</v>
      </c>
      <c r="CM165" s="689">
        <v>0</v>
      </c>
      <c r="CN165" s="692">
        <v>0</v>
      </c>
      <c r="CO165" s="689">
        <v>0</v>
      </c>
      <c r="CP165" s="692">
        <v>0</v>
      </c>
      <c r="CQ165" s="689">
        <v>0</v>
      </c>
      <c r="CR165" s="690">
        <v>0</v>
      </c>
      <c r="CS165" s="689">
        <v>0</v>
      </c>
      <c r="CT165" s="690">
        <v>0</v>
      </c>
      <c r="CU165" s="691">
        <v>0</v>
      </c>
      <c r="CV165" s="690">
        <v>0</v>
      </c>
    </row>
    <row r="166" spans="1:100">
      <c r="A166" s="457">
        <v>164</v>
      </c>
      <c r="B166" s="577">
        <v>0</v>
      </c>
      <c r="C166" s="577">
        <v>0</v>
      </c>
      <c r="D166" s="577">
        <v>0</v>
      </c>
      <c r="E166" s="577">
        <v>0</v>
      </c>
      <c r="F166" s="577">
        <v>0</v>
      </c>
      <c r="G166" s="577">
        <v>0</v>
      </c>
      <c r="H166" s="577">
        <v>0</v>
      </c>
      <c r="I166" s="577">
        <v>0</v>
      </c>
      <c r="J166" s="577">
        <v>0</v>
      </c>
      <c r="K166" s="577">
        <v>0</v>
      </c>
      <c r="L166" s="577">
        <v>0</v>
      </c>
      <c r="M166" s="577">
        <v>0</v>
      </c>
      <c r="N166" s="577">
        <v>0</v>
      </c>
      <c r="O166" s="577">
        <v>0</v>
      </c>
      <c r="P166" s="577">
        <v>0</v>
      </c>
      <c r="Q166" s="577">
        <v>0</v>
      </c>
      <c r="R166" s="577">
        <v>0</v>
      </c>
      <c r="S166" s="577">
        <v>0</v>
      </c>
      <c r="T166" s="577">
        <v>0</v>
      </c>
      <c r="U166" s="577">
        <v>0</v>
      </c>
      <c r="V166" s="577">
        <v>0</v>
      </c>
      <c r="W166" s="592">
        <v>0</v>
      </c>
      <c r="X166" s="685">
        <v>0</v>
      </c>
      <c r="Y166" s="685">
        <v>0</v>
      </c>
      <c r="Z166" s="685">
        <v>0</v>
      </c>
      <c r="AA166" s="685">
        <v>0</v>
      </c>
      <c r="AB166" s="685">
        <v>0</v>
      </c>
      <c r="AC166" s="685">
        <v>0</v>
      </c>
      <c r="AD166" s="685">
        <v>0</v>
      </c>
      <c r="AE166" s="910">
        <v>0</v>
      </c>
      <c r="AF166" s="911">
        <v>0</v>
      </c>
      <c r="AG166" s="912">
        <v>0</v>
      </c>
      <c r="AH166" s="685">
        <v>0</v>
      </c>
      <c r="AI166" s="684">
        <v>0</v>
      </c>
      <c r="AJ166" s="682">
        <v>0</v>
      </c>
      <c r="AK166" s="684">
        <v>0</v>
      </c>
      <c r="AL166" s="686">
        <v>0</v>
      </c>
      <c r="AM166" s="682">
        <v>0</v>
      </c>
      <c r="AN166" s="682">
        <v>0</v>
      </c>
      <c r="AO166" s="686">
        <v>0</v>
      </c>
      <c r="AP166" s="687">
        <v>0</v>
      </c>
      <c r="AQ166" s="684">
        <v>0</v>
      </c>
      <c r="AR166" s="682">
        <v>0</v>
      </c>
      <c r="AS166" s="684">
        <v>0</v>
      </c>
      <c r="AT166" s="688">
        <v>0</v>
      </c>
      <c r="AU166" s="682">
        <v>0</v>
      </c>
      <c r="AV166" s="684">
        <v>0</v>
      </c>
      <c r="AW166" s="689">
        <v>0</v>
      </c>
      <c r="AX166" s="690">
        <v>0</v>
      </c>
      <c r="AY166" s="689">
        <v>0</v>
      </c>
      <c r="AZ166" s="690">
        <v>0</v>
      </c>
      <c r="BA166" s="689">
        <v>0</v>
      </c>
      <c r="BB166" s="690">
        <v>0</v>
      </c>
      <c r="BC166" s="691">
        <v>0</v>
      </c>
      <c r="BD166" s="692">
        <v>0</v>
      </c>
      <c r="BE166" s="689">
        <v>0</v>
      </c>
      <c r="BF166" s="690">
        <v>0</v>
      </c>
      <c r="BG166" s="691">
        <v>0</v>
      </c>
      <c r="BH166" s="690">
        <v>0</v>
      </c>
      <c r="BI166" s="691">
        <v>0</v>
      </c>
      <c r="BJ166" s="690">
        <v>0</v>
      </c>
      <c r="BK166" s="691">
        <v>0</v>
      </c>
      <c r="BL166" s="690">
        <v>0</v>
      </c>
      <c r="BM166" s="691">
        <v>0</v>
      </c>
      <c r="BN166" s="690">
        <v>0</v>
      </c>
      <c r="BO166" s="691">
        <v>0</v>
      </c>
      <c r="BP166" s="690">
        <v>0</v>
      </c>
      <c r="BQ166" s="691">
        <v>0</v>
      </c>
      <c r="BR166" s="690">
        <v>0</v>
      </c>
      <c r="BS166" s="691">
        <v>0</v>
      </c>
      <c r="BT166" s="690">
        <v>0</v>
      </c>
      <c r="BU166" s="691">
        <v>0</v>
      </c>
      <c r="BV166" s="690">
        <v>0</v>
      </c>
      <c r="BW166" s="691">
        <v>0</v>
      </c>
      <c r="BX166" s="690">
        <v>0</v>
      </c>
      <c r="BY166" s="691">
        <v>0</v>
      </c>
      <c r="BZ166" s="690">
        <v>0</v>
      </c>
      <c r="CA166" s="691">
        <v>0</v>
      </c>
      <c r="CB166" s="690">
        <v>0</v>
      </c>
      <c r="CC166" s="689">
        <v>0</v>
      </c>
      <c r="CD166" s="692">
        <v>0</v>
      </c>
      <c r="CE166" s="689">
        <v>0</v>
      </c>
      <c r="CF166" s="692">
        <v>0</v>
      </c>
      <c r="CG166" s="689">
        <v>0</v>
      </c>
      <c r="CH166" s="692">
        <v>0</v>
      </c>
      <c r="CI166" s="689">
        <v>0</v>
      </c>
      <c r="CJ166" s="692">
        <v>0</v>
      </c>
      <c r="CK166" s="689">
        <v>0</v>
      </c>
      <c r="CL166" s="692">
        <v>0</v>
      </c>
      <c r="CM166" s="689">
        <v>0</v>
      </c>
      <c r="CN166" s="692">
        <v>0</v>
      </c>
      <c r="CO166" s="689">
        <v>0</v>
      </c>
      <c r="CP166" s="692">
        <v>0</v>
      </c>
      <c r="CQ166" s="689">
        <v>0</v>
      </c>
      <c r="CR166" s="690">
        <v>0</v>
      </c>
      <c r="CS166" s="689">
        <v>0</v>
      </c>
      <c r="CT166" s="690">
        <v>0</v>
      </c>
      <c r="CU166" s="691">
        <v>0</v>
      </c>
      <c r="CV166" s="690">
        <v>0</v>
      </c>
    </row>
    <row r="167" spans="1:100">
      <c r="A167" s="457">
        <v>165</v>
      </c>
      <c r="B167" s="577">
        <v>0</v>
      </c>
      <c r="C167" s="577">
        <v>0</v>
      </c>
      <c r="D167" s="577">
        <v>0</v>
      </c>
      <c r="E167" s="577">
        <v>0</v>
      </c>
      <c r="F167" s="577">
        <v>0</v>
      </c>
      <c r="G167" s="577">
        <v>0</v>
      </c>
      <c r="H167" s="577">
        <v>0</v>
      </c>
      <c r="I167" s="577">
        <v>0</v>
      </c>
      <c r="J167" s="577">
        <v>0</v>
      </c>
      <c r="K167" s="577">
        <v>0</v>
      </c>
      <c r="L167" s="577">
        <v>0</v>
      </c>
      <c r="M167" s="577">
        <v>0</v>
      </c>
      <c r="N167" s="577">
        <v>0</v>
      </c>
      <c r="O167" s="577">
        <v>0</v>
      </c>
      <c r="P167" s="577">
        <v>0</v>
      </c>
      <c r="Q167" s="577">
        <v>0</v>
      </c>
      <c r="R167" s="577">
        <v>0</v>
      </c>
      <c r="S167" s="577">
        <v>0</v>
      </c>
      <c r="T167" s="577">
        <v>0</v>
      </c>
      <c r="U167" s="577">
        <v>0</v>
      </c>
      <c r="V167" s="577">
        <v>0</v>
      </c>
      <c r="W167" s="592">
        <v>0</v>
      </c>
      <c r="X167" s="685">
        <v>0</v>
      </c>
      <c r="Y167" s="685">
        <v>0</v>
      </c>
      <c r="Z167" s="685">
        <v>0</v>
      </c>
      <c r="AA167" s="685">
        <v>0</v>
      </c>
      <c r="AB167" s="685">
        <v>0</v>
      </c>
      <c r="AC167" s="685">
        <v>0</v>
      </c>
      <c r="AD167" s="685">
        <v>0</v>
      </c>
      <c r="AE167" s="910">
        <v>0</v>
      </c>
      <c r="AF167" s="911">
        <v>0</v>
      </c>
      <c r="AG167" s="912">
        <v>0</v>
      </c>
      <c r="AH167" s="685">
        <v>0</v>
      </c>
      <c r="AI167" s="684">
        <v>0</v>
      </c>
      <c r="AJ167" s="682">
        <v>0</v>
      </c>
      <c r="AK167" s="684">
        <v>0</v>
      </c>
      <c r="AL167" s="686">
        <v>0</v>
      </c>
      <c r="AM167" s="682">
        <v>0</v>
      </c>
      <c r="AN167" s="682">
        <v>0</v>
      </c>
      <c r="AO167" s="686">
        <v>0</v>
      </c>
      <c r="AP167" s="687">
        <v>0</v>
      </c>
      <c r="AQ167" s="684">
        <v>0</v>
      </c>
      <c r="AR167" s="682">
        <v>0</v>
      </c>
      <c r="AS167" s="684">
        <v>0</v>
      </c>
      <c r="AT167" s="688">
        <v>0</v>
      </c>
      <c r="AU167" s="682">
        <v>0</v>
      </c>
      <c r="AV167" s="684">
        <v>0</v>
      </c>
      <c r="AW167" s="689">
        <v>0</v>
      </c>
      <c r="AX167" s="690">
        <v>0</v>
      </c>
      <c r="AY167" s="689">
        <v>0</v>
      </c>
      <c r="AZ167" s="690">
        <v>0</v>
      </c>
      <c r="BA167" s="689">
        <v>0</v>
      </c>
      <c r="BB167" s="690">
        <v>0</v>
      </c>
      <c r="BC167" s="691">
        <v>0</v>
      </c>
      <c r="BD167" s="692">
        <v>0</v>
      </c>
      <c r="BE167" s="689">
        <v>0</v>
      </c>
      <c r="BF167" s="690">
        <v>0</v>
      </c>
      <c r="BG167" s="691">
        <v>0</v>
      </c>
      <c r="BH167" s="690">
        <v>0</v>
      </c>
      <c r="BI167" s="691">
        <v>0</v>
      </c>
      <c r="BJ167" s="690">
        <v>0</v>
      </c>
      <c r="BK167" s="691">
        <v>0</v>
      </c>
      <c r="BL167" s="690">
        <v>0</v>
      </c>
      <c r="BM167" s="691">
        <v>0</v>
      </c>
      <c r="BN167" s="690">
        <v>0</v>
      </c>
      <c r="BO167" s="691">
        <v>0</v>
      </c>
      <c r="BP167" s="690">
        <v>0</v>
      </c>
      <c r="BQ167" s="691">
        <v>0</v>
      </c>
      <c r="BR167" s="690">
        <v>0</v>
      </c>
      <c r="BS167" s="691">
        <v>0</v>
      </c>
      <c r="BT167" s="690">
        <v>0</v>
      </c>
      <c r="BU167" s="691">
        <v>0</v>
      </c>
      <c r="BV167" s="690">
        <v>0</v>
      </c>
      <c r="BW167" s="691">
        <v>0</v>
      </c>
      <c r="BX167" s="690">
        <v>0</v>
      </c>
      <c r="BY167" s="691">
        <v>0</v>
      </c>
      <c r="BZ167" s="690">
        <v>0</v>
      </c>
      <c r="CA167" s="691">
        <v>0</v>
      </c>
      <c r="CB167" s="690">
        <v>0</v>
      </c>
      <c r="CC167" s="689">
        <v>0</v>
      </c>
      <c r="CD167" s="692">
        <v>0</v>
      </c>
      <c r="CE167" s="689">
        <v>0</v>
      </c>
      <c r="CF167" s="692">
        <v>0</v>
      </c>
      <c r="CG167" s="689">
        <v>0</v>
      </c>
      <c r="CH167" s="692">
        <v>0</v>
      </c>
      <c r="CI167" s="689">
        <v>0</v>
      </c>
      <c r="CJ167" s="692">
        <v>0</v>
      </c>
      <c r="CK167" s="689">
        <v>0</v>
      </c>
      <c r="CL167" s="692">
        <v>0</v>
      </c>
      <c r="CM167" s="689">
        <v>0</v>
      </c>
      <c r="CN167" s="692">
        <v>0</v>
      </c>
      <c r="CO167" s="689">
        <v>0</v>
      </c>
      <c r="CP167" s="692">
        <v>0</v>
      </c>
      <c r="CQ167" s="689">
        <v>0</v>
      </c>
      <c r="CR167" s="690">
        <v>0</v>
      </c>
      <c r="CS167" s="689">
        <v>0</v>
      </c>
      <c r="CT167" s="690">
        <v>0</v>
      </c>
      <c r="CU167" s="691">
        <v>0</v>
      </c>
      <c r="CV167" s="690">
        <v>0</v>
      </c>
    </row>
    <row r="168" spans="1:100">
      <c r="A168" s="457">
        <v>166</v>
      </c>
      <c r="B168" s="577">
        <v>0</v>
      </c>
      <c r="C168" s="577">
        <v>0</v>
      </c>
      <c r="D168" s="577">
        <v>0</v>
      </c>
      <c r="E168" s="577">
        <v>0</v>
      </c>
      <c r="F168" s="577">
        <v>0</v>
      </c>
      <c r="G168" s="577">
        <v>0</v>
      </c>
      <c r="H168" s="577">
        <v>0</v>
      </c>
      <c r="I168" s="577">
        <v>0</v>
      </c>
      <c r="J168" s="577">
        <v>0</v>
      </c>
      <c r="K168" s="577">
        <v>0</v>
      </c>
      <c r="L168" s="577">
        <v>0</v>
      </c>
      <c r="M168" s="577">
        <v>0</v>
      </c>
      <c r="N168" s="577">
        <v>0</v>
      </c>
      <c r="O168" s="577">
        <v>0</v>
      </c>
      <c r="P168" s="577">
        <v>0</v>
      </c>
      <c r="Q168" s="577">
        <v>0</v>
      </c>
      <c r="R168" s="577">
        <v>0</v>
      </c>
      <c r="S168" s="577">
        <v>0</v>
      </c>
      <c r="T168" s="577">
        <v>0</v>
      </c>
      <c r="U168" s="577">
        <v>0</v>
      </c>
      <c r="V168" s="577">
        <v>0</v>
      </c>
      <c r="W168" s="592">
        <v>0</v>
      </c>
      <c r="X168" s="685">
        <v>0</v>
      </c>
      <c r="Y168" s="685">
        <v>0</v>
      </c>
      <c r="Z168" s="685">
        <v>0</v>
      </c>
      <c r="AA168" s="685">
        <v>0</v>
      </c>
      <c r="AB168" s="685">
        <v>0</v>
      </c>
      <c r="AC168" s="685">
        <v>0</v>
      </c>
      <c r="AD168" s="685">
        <v>0</v>
      </c>
      <c r="AE168" s="910">
        <v>0</v>
      </c>
      <c r="AF168" s="911">
        <v>0</v>
      </c>
      <c r="AG168" s="912">
        <v>0</v>
      </c>
      <c r="AH168" s="685">
        <v>0</v>
      </c>
      <c r="AI168" s="684">
        <v>0</v>
      </c>
      <c r="AJ168" s="682">
        <v>0</v>
      </c>
      <c r="AK168" s="684">
        <v>0</v>
      </c>
      <c r="AL168" s="686">
        <v>0</v>
      </c>
      <c r="AM168" s="682">
        <v>0</v>
      </c>
      <c r="AN168" s="682">
        <v>0</v>
      </c>
      <c r="AO168" s="686">
        <v>0</v>
      </c>
      <c r="AP168" s="687">
        <v>0</v>
      </c>
      <c r="AQ168" s="684">
        <v>0</v>
      </c>
      <c r="AR168" s="682">
        <v>0</v>
      </c>
      <c r="AS168" s="684">
        <v>0</v>
      </c>
      <c r="AT168" s="688">
        <v>0</v>
      </c>
      <c r="AU168" s="682">
        <v>0</v>
      </c>
      <c r="AV168" s="684">
        <v>0</v>
      </c>
      <c r="AW168" s="689">
        <v>0</v>
      </c>
      <c r="AX168" s="690">
        <v>0</v>
      </c>
      <c r="AY168" s="689">
        <v>0</v>
      </c>
      <c r="AZ168" s="690">
        <v>0</v>
      </c>
      <c r="BA168" s="689">
        <v>0</v>
      </c>
      <c r="BB168" s="690">
        <v>0</v>
      </c>
      <c r="BC168" s="691">
        <v>0</v>
      </c>
      <c r="BD168" s="692">
        <v>0</v>
      </c>
      <c r="BE168" s="689">
        <v>0</v>
      </c>
      <c r="BF168" s="690">
        <v>0</v>
      </c>
      <c r="BG168" s="691">
        <v>0</v>
      </c>
      <c r="BH168" s="690">
        <v>0</v>
      </c>
      <c r="BI168" s="691">
        <v>0</v>
      </c>
      <c r="BJ168" s="690">
        <v>0</v>
      </c>
      <c r="BK168" s="691">
        <v>0</v>
      </c>
      <c r="BL168" s="690">
        <v>0</v>
      </c>
      <c r="BM168" s="691">
        <v>0</v>
      </c>
      <c r="BN168" s="690">
        <v>0</v>
      </c>
      <c r="BO168" s="691">
        <v>0</v>
      </c>
      <c r="BP168" s="690">
        <v>0</v>
      </c>
      <c r="BQ168" s="691">
        <v>0</v>
      </c>
      <c r="BR168" s="690">
        <v>0</v>
      </c>
      <c r="BS168" s="691">
        <v>0</v>
      </c>
      <c r="BT168" s="690">
        <v>0</v>
      </c>
      <c r="BU168" s="691">
        <v>0</v>
      </c>
      <c r="BV168" s="690">
        <v>0</v>
      </c>
      <c r="BW168" s="691">
        <v>0</v>
      </c>
      <c r="BX168" s="690">
        <v>0</v>
      </c>
      <c r="BY168" s="691">
        <v>0</v>
      </c>
      <c r="BZ168" s="690">
        <v>0</v>
      </c>
      <c r="CA168" s="691">
        <v>0</v>
      </c>
      <c r="CB168" s="690">
        <v>0</v>
      </c>
      <c r="CC168" s="689">
        <v>0</v>
      </c>
      <c r="CD168" s="692">
        <v>0</v>
      </c>
      <c r="CE168" s="689">
        <v>0</v>
      </c>
      <c r="CF168" s="692">
        <v>0</v>
      </c>
      <c r="CG168" s="689">
        <v>0</v>
      </c>
      <c r="CH168" s="692">
        <v>0</v>
      </c>
      <c r="CI168" s="689">
        <v>0</v>
      </c>
      <c r="CJ168" s="692">
        <v>0</v>
      </c>
      <c r="CK168" s="689">
        <v>0</v>
      </c>
      <c r="CL168" s="692">
        <v>0</v>
      </c>
      <c r="CM168" s="689">
        <v>0</v>
      </c>
      <c r="CN168" s="692">
        <v>0</v>
      </c>
      <c r="CO168" s="689">
        <v>0</v>
      </c>
      <c r="CP168" s="692">
        <v>0</v>
      </c>
      <c r="CQ168" s="689">
        <v>0</v>
      </c>
      <c r="CR168" s="690">
        <v>0</v>
      </c>
      <c r="CS168" s="689">
        <v>0</v>
      </c>
      <c r="CT168" s="690">
        <v>0</v>
      </c>
      <c r="CU168" s="691">
        <v>0</v>
      </c>
      <c r="CV168" s="690">
        <v>0</v>
      </c>
    </row>
    <row r="169" spans="1:100">
      <c r="A169" s="457">
        <v>167</v>
      </c>
      <c r="B169" s="577">
        <v>0</v>
      </c>
      <c r="C169" s="577">
        <v>0</v>
      </c>
      <c r="D169" s="577">
        <v>0</v>
      </c>
      <c r="E169" s="577">
        <v>0</v>
      </c>
      <c r="F169" s="577">
        <v>0</v>
      </c>
      <c r="G169" s="577">
        <v>0</v>
      </c>
      <c r="H169" s="577">
        <v>0</v>
      </c>
      <c r="I169" s="577">
        <v>0</v>
      </c>
      <c r="J169" s="577">
        <v>0</v>
      </c>
      <c r="K169" s="577">
        <v>0</v>
      </c>
      <c r="L169" s="577">
        <v>0</v>
      </c>
      <c r="M169" s="577">
        <v>0</v>
      </c>
      <c r="N169" s="577">
        <v>0</v>
      </c>
      <c r="O169" s="577">
        <v>0</v>
      </c>
      <c r="P169" s="577">
        <v>0</v>
      </c>
      <c r="Q169" s="577">
        <v>0</v>
      </c>
      <c r="R169" s="577">
        <v>0</v>
      </c>
      <c r="S169" s="577">
        <v>0</v>
      </c>
      <c r="T169" s="577">
        <v>0</v>
      </c>
      <c r="U169" s="577">
        <v>0</v>
      </c>
      <c r="V169" s="577">
        <v>0</v>
      </c>
      <c r="W169" s="592">
        <v>0</v>
      </c>
      <c r="X169" s="685">
        <v>0</v>
      </c>
      <c r="Y169" s="685">
        <v>0</v>
      </c>
      <c r="Z169" s="685">
        <v>0</v>
      </c>
      <c r="AA169" s="685">
        <v>0</v>
      </c>
      <c r="AB169" s="685">
        <v>0</v>
      </c>
      <c r="AC169" s="685">
        <v>0</v>
      </c>
      <c r="AD169" s="685">
        <v>0</v>
      </c>
      <c r="AE169" s="910">
        <v>0</v>
      </c>
      <c r="AF169" s="911">
        <v>0</v>
      </c>
      <c r="AG169" s="912">
        <v>0</v>
      </c>
      <c r="AH169" s="685">
        <v>0</v>
      </c>
      <c r="AI169" s="684">
        <v>0</v>
      </c>
      <c r="AJ169" s="682">
        <v>0</v>
      </c>
      <c r="AK169" s="684">
        <v>0</v>
      </c>
      <c r="AL169" s="686">
        <v>0</v>
      </c>
      <c r="AM169" s="682">
        <v>0</v>
      </c>
      <c r="AN169" s="682">
        <v>0</v>
      </c>
      <c r="AO169" s="686">
        <v>0</v>
      </c>
      <c r="AP169" s="687">
        <v>0</v>
      </c>
      <c r="AQ169" s="684">
        <v>0</v>
      </c>
      <c r="AR169" s="682">
        <v>0</v>
      </c>
      <c r="AS169" s="684">
        <v>0</v>
      </c>
      <c r="AT169" s="688">
        <v>0</v>
      </c>
      <c r="AU169" s="682">
        <v>0</v>
      </c>
      <c r="AV169" s="684">
        <v>0</v>
      </c>
      <c r="AW169" s="689">
        <v>0</v>
      </c>
      <c r="AX169" s="690">
        <v>0</v>
      </c>
      <c r="AY169" s="689">
        <v>0</v>
      </c>
      <c r="AZ169" s="690">
        <v>0</v>
      </c>
      <c r="BA169" s="689">
        <v>0</v>
      </c>
      <c r="BB169" s="690">
        <v>0</v>
      </c>
      <c r="BC169" s="691">
        <v>0</v>
      </c>
      <c r="BD169" s="692">
        <v>0</v>
      </c>
      <c r="BE169" s="689">
        <v>0</v>
      </c>
      <c r="BF169" s="690">
        <v>0</v>
      </c>
      <c r="BG169" s="691">
        <v>0</v>
      </c>
      <c r="BH169" s="690">
        <v>0</v>
      </c>
      <c r="BI169" s="691">
        <v>0</v>
      </c>
      <c r="BJ169" s="690">
        <v>0</v>
      </c>
      <c r="BK169" s="691">
        <v>0</v>
      </c>
      <c r="BL169" s="690">
        <v>0</v>
      </c>
      <c r="BM169" s="691">
        <v>0</v>
      </c>
      <c r="BN169" s="690">
        <v>0</v>
      </c>
      <c r="BO169" s="691">
        <v>0</v>
      </c>
      <c r="BP169" s="690">
        <v>0</v>
      </c>
      <c r="BQ169" s="691">
        <v>0</v>
      </c>
      <c r="BR169" s="690">
        <v>0</v>
      </c>
      <c r="BS169" s="691">
        <v>0</v>
      </c>
      <c r="BT169" s="690">
        <v>0</v>
      </c>
      <c r="BU169" s="691">
        <v>0</v>
      </c>
      <c r="BV169" s="690">
        <v>0</v>
      </c>
      <c r="BW169" s="691">
        <v>0</v>
      </c>
      <c r="BX169" s="690">
        <v>0</v>
      </c>
      <c r="BY169" s="691">
        <v>0</v>
      </c>
      <c r="BZ169" s="690">
        <v>0</v>
      </c>
      <c r="CA169" s="691">
        <v>0</v>
      </c>
      <c r="CB169" s="690">
        <v>0</v>
      </c>
      <c r="CC169" s="689">
        <v>0</v>
      </c>
      <c r="CD169" s="692">
        <v>0</v>
      </c>
      <c r="CE169" s="689">
        <v>0</v>
      </c>
      <c r="CF169" s="692">
        <v>0</v>
      </c>
      <c r="CG169" s="689">
        <v>0</v>
      </c>
      <c r="CH169" s="692">
        <v>0</v>
      </c>
      <c r="CI169" s="689">
        <v>0</v>
      </c>
      <c r="CJ169" s="692">
        <v>0</v>
      </c>
      <c r="CK169" s="689">
        <v>0</v>
      </c>
      <c r="CL169" s="692">
        <v>0</v>
      </c>
      <c r="CM169" s="689">
        <v>0</v>
      </c>
      <c r="CN169" s="692">
        <v>0</v>
      </c>
      <c r="CO169" s="689">
        <v>0</v>
      </c>
      <c r="CP169" s="692">
        <v>0</v>
      </c>
      <c r="CQ169" s="689">
        <v>0</v>
      </c>
      <c r="CR169" s="690">
        <v>0</v>
      </c>
      <c r="CS169" s="689">
        <v>0</v>
      </c>
      <c r="CT169" s="690">
        <v>0</v>
      </c>
      <c r="CU169" s="691">
        <v>0</v>
      </c>
      <c r="CV169" s="690">
        <v>0</v>
      </c>
    </row>
    <row r="170" spans="1:100">
      <c r="A170" s="457">
        <v>168</v>
      </c>
      <c r="B170" s="577">
        <v>0</v>
      </c>
      <c r="C170" s="577">
        <v>0</v>
      </c>
      <c r="D170" s="577">
        <v>0</v>
      </c>
      <c r="E170" s="577">
        <v>0</v>
      </c>
      <c r="F170" s="577">
        <v>0</v>
      </c>
      <c r="G170" s="577">
        <v>0</v>
      </c>
      <c r="H170" s="577">
        <v>0</v>
      </c>
      <c r="I170" s="577">
        <v>0</v>
      </c>
      <c r="J170" s="577">
        <v>0</v>
      </c>
      <c r="K170" s="577">
        <v>0</v>
      </c>
      <c r="L170" s="577">
        <v>0</v>
      </c>
      <c r="M170" s="577">
        <v>0</v>
      </c>
      <c r="N170" s="577">
        <v>0</v>
      </c>
      <c r="O170" s="577">
        <v>0</v>
      </c>
      <c r="P170" s="577">
        <v>0</v>
      </c>
      <c r="Q170" s="577">
        <v>0</v>
      </c>
      <c r="R170" s="577">
        <v>0</v>
      </c>
      <c r="S170" s="577">
        <v>0</v>
      </c>
      <c r="T170" s="577">
        <v>0</v>
      </c>
      <c r="U170" s="577">
        <v>0</v>
      </c>
      <c r="V170" s="577">
        <v>0</v>
      </c>
      <c r="W170" s="592">
        <v>0</v>
      </c>
      <c r="X170" s="685">
        <v>0</v>
      </c>
      <c r="Y170" s="685">
        <v>0</v>
      </c>
      <c r="Z170" s="685">
        <v>0</v>
      </c>
      <c r="AA170" s="685">
        <v>0</v>
      </c>
      <c r="AB170" s="685">
        <v>0</v>
      </c>
      <c r="AC170" s="685">
        <v>0</v>
      </c>
      <c r="AD170" s="685">
        <v>0</v>
      </c>
      <c r="AE170" s="910">
        <v>0</v>
      </c>
      <c r="AF170" s="911">
        <v>0</v>
      </c>
      <c r="AG170" s="912">
        <v>0</v>
      </c>
      <c r="AH170" s="685">
        <v>0</v>
      </c>
      <c r="AI170" s="684">
        <v>0</v>
      </c>
      <c r="AJ170" s="682">
        <v>0</v>
      </c>
      <c r="AK170" s="684">
        <v>0</v>
      </c>
      <c r="AL170" s="686">
        <v>0</v>
      </c>
      <c r="AM170" s="682">
        <v>0</v>
      </c>
      <c r="AN170" s="682">
        <v>0</v>
      </c>
      <c r="AO170" s="686">
        <v>0</v>
      </c>
      <c r="AP170" s="687">
        <v>0</v>
      </c>
      <c r="AQ170" s="684">
        <v>0</v>
      </c>
      <c r="AR170" s="682">
        <v>0</v>
      </c>
      <c r="AS170" s="684">
        <v>0</v>
      </c>
      <c r="AT170" s="688">
        <v>0</v>
      </c>
      <c r="AU170" s="682">
        <v>0</v>
      </c>
      <c r="AV170" s="684">
        <v>0</v>
      </c>
      <c r="AW170" s="689">
        <v>0</v>
      </c>
      <c r="AX170" s="690">
        <v>0</v>
      </c>
      <c r="AY170" s="689">
        <v>0</v>
      </c>
      <c r="AZ170" s="690">
        <v>0</v>
      </c>
      <c r="BA170" s="689">
        <v>0</v>
      </c>
      <c r="BB170" s="690">
        <v>0</v>
      </c>
      <c r="BC170" s="691">
        <v>0</v>
      </c>
      <c r="BD170" s="692">
        <v>0</v>
      </c>
      <c r="BE170" s="689">
        <v>0</v>
      </c>
      <c r="BF170" s="690">
        <v>0</v>
      </c>
      <c r="BG170" s="691">
        <v>0</v>
      </c>
      <c r="BH170" s="690">
        <v>0</v>
      </c>
      <c r="BI170" s="691">
        <v>0</v>
      </c>
      <c r="BJ170" s="690">
        <v>0</v>
      </c>
      <c r="BK170" s="691">
        <v>0</v>
      </c>
      <c r="BL170" s="690">
        <v>0</v>
      </c>
      <c r="BM170" s="691">
        <v>0</v>
      </c>
      <c r="BN170" s="690">
        <v>0</v>
      </c>
      <c r="BO170" s="691">
        <v>0</v>
      </c>
      <c r="BP170" s="690">
        <v>0</v>
      </c>
      <c r="BQ170" s="691">
        <v>0</v>
      </c>
      <c r="BR170" s="690">
        <v>0</v>
      </c>
      <c r="BS170" s="691">
        <v>0</v>
      </c>
      <c r="BT170" s="690">
        <v>0</v>
      </c>
      <c r="BU170" s="691">
        <v>0</v>
      </c>
      <c r="BV170" s="690">
        <v>0</v>
      </c>
      <c r="BW170" s="691">
        <v>0</v>
      </c>
      <c r="BX170" s="690">
        <v>0</v>
      </c>
      <c r="BY170" s="691">
        <v>0</v>
      </c>
      <c r="BZ170" s="690">
        <v>0</v>
      </c>
      <c r="CA170" s="691">
        <v>0</v>
      </c>
      <c r="CB170" s="690">
        <v>0</v>
      </c>
      <c r="CC170" s="689">
        <v>0</v>
      </c>
      <c r="CD170" s="692">
        <v>0</v>
      </c>
      <c r="CE170" s="689">
        <v>0</v>
      </c>
      <c r="CF170" s="692">
        <v>0</v>
      </c>
      <c r="CG170" s="689">
        <v>0</v>
      </c>
      <c r="CH170" s="692">
        <v>0</v>
      </c>
      <c r="CI170" s="689">
        <v>0</v>
      </c>
      <c r="CJ170" s="692">
        <v>0</v>
      </c>
      <c r="CK170" s="689">
        <v>0</v>
      </c>
      <c r="CL170" s="692">
        <v>0</v>
      </c>
      <c r="CM170" s="689">
        <v>0</v>
      </c>
      <c r="CN170" s="692">
        <v>0</v>
      </c>
      <c r="CO170" s="689">
        <v>0</v>
      </c>
      <c r="CP170" s="692">
        <v>0</v>
      </c>
      <c r="CQ170" s="689">
        <v>0</v>
      </c>
      <c r="CR170" s="690">
        <v>0</v>
      </c>
      <c r="CS170" s="689">
        <v>0</v>
      </c>
      <c r="CT170" s="690">
        <v>0</v>
      </c>
      <c r="CU170" s="691">
        <v>0</v>
      </c>
      <c r="CV170" s="690">
        <v>0</v>
      </c>
    </row>
    <row r="171" spans="1:100">
      <c r="A171" s="457">
        <v>169</v>
      </c>
      <c r="B171" s="577">
        <v>0</v>
      </c>
      <c r="C171" s="577">
        <v>0</v>
      </c>
      <c r="D171" s="577">
        <v>0</v>
      </c>
      <c r="E171" s="577">
        <v>0</v>
      </c>
      <c r="F171" s="577">
        <v>0</v>
      </c>
      <c r="G171" s="577">
        <v>0</v>
      </c>
      <c r="H171" s="577">
        <v>0</v>
      </c>
      <c r="I171" s="577">
        <v>0</v>
      </c>
      <c r="J171" s="577">
        <v>0</v>
      </c>
      <c r="K171" s="577">
        <v>0</v>
      </c>
      <c r="L171" s="577">
        <v>0</v>
      </c>
      <c r="M171" s="577">
        <v>0</v>
      </c>
      <c r="N171" s="577">
        <v>0</v>
      </c>
      <c r="O171" s="577">
        <v>0</v>
      </c>
      <c r="P171" s="577">
        <v>0</v>
      </c>
      <c r="Q171" s="577">
        <v>0</v>
      </c>
      <c r="R171" s="577">
        <v>0</v>
      </c>
      <c r="S171" s="577">
        <v>0</v>
      </c>
      <c r="T171" s="577">
        <v>0</v>
      </c>
      <c r="U171" s="577">
        <v>0</v>
      </c>
      <c r="V171" s="577">
        <v>0</v>
      </c>
      <c r="W171" s="592">
        <v>0</v>
      </c>
      <c r="X171" s="685">
        <v>0</v>
      </c>
      <c r="Y171" s="685">
        <v>0</v>
      </c>
      <c r="Z171" s="685">
        <v>0</v>
      </c>
      <c r="AA171" s="685">
        <v>0</v>
      </c>
      <c r="AB171" s="685">
        <v>0</v>
      </c>
      <c r="AC171" s="685">
        <v>0</v>
      </c>
      <c r="AD171" s="685">
        <v>0</v>
      </c>
      <c r="AE171" s="910">
        <v>0</v>
      </c>
      <c r="AF171" s="911">
        <v>0</v>
      </c>
      <c r="AG171" s="912">
        <v>0</v>
      </c>
      <c r="AH171" s="685">
        <v>0</v>
      </c>
      <c r="AI171" s="684">
        <v>0</v>
      </c>
      <c r="AJ171" s="682">
        <v>0</v>
      </c>
      <c r="AK171" s="684">
        <v>0</v>
      </c>
      <c r="AL171" s="686">
        <v>0</v>
      </c>
      <c r="AM171" s="682">
        <v>0</v>
      </c>
      <c r="AN171" s="682">
        <v>0</v>
      </c>
      <c r="AO171" s="686">
        <v>0</v>
      </c>
      <c r="AP171" s="687">
        <v>0</v>
      </c>
      <c r="AQ171" s="684">
        <v>0</v>
      </c>
      <c r="AR171" s="682">
        <v>0</v>
      </c>
      <c r="AS171" s="684">
        <v>0</v>
      </c>
      <c r="AT171" s="688">
        <v>0</v>
      </c>
      <c r="AU171" s="682">
        <v>0</v>
      </c>
      <c r="AV171" s="684">
        <v>0</v>
      </c>
      <c r="AW171" s="689">
        <v>0</v>
      </c>
      <c r="AX171" s="690">
        <v>0</v>
      </c>
      <c r="AY171" s="689">
        <v>0</v>
      </c>
      <c r="AZ171" s="690">
        <v>0</v>
      </c>
      <c r="BA171" s="689">
        <v>0</v>
      </c>
      <c r="BB171" s="690">
        <v>0</v>
      </c>
      <c r="BC171" s="691">
        <v>0</v>
      </c>
      <c r="BD171" s="692">
        <v>0</v>
      </c>
      <c r="BE171" s="689">
        <v>0</v>
      </c>
      <c r="BF171" s="690">
        <v>0</v>
      </c>
      <c r="BG171" s="691">
        <v>0</v>
      </c>
      <c r="BH171" s="690">
        <v>0</v>
      </c>
      <c r="BI171" s="691">
        <v>0</v>
      </c>
      <c r="BJ171" s="690">
        <v>0</v>
      </c>
      <c r="BK171" s="691">
        <v>0</v>
      </c>
      <c r="BL171" s="690">
        <v>0</v>
      </c>
      <c r="BM171" s="691">
        <v>0</v>
      </c>
      <c r="BN171" s="690">
        <v>0</v>
      </c>
      <c r="BO171" s="691">
        <v>0</v>
      </c>
      <c r="BP171" s="690">
        <v>0</v>
      </c>
      <c r="BQ171" s="691">
        <v>0</v>
      </c>
      <c r="BR171" s="690">
        <v>0</v>
      </c>
      <c r="BS171" s="691">
        <v>0</v>
      </c>
      <c r="BT171" s="690">
        <v>0</v>
      </c>
      <c r="BU171" s="691">
        <v>0</v>
      </c>
      <c r="BV171" s="690">
        <v>0</v>
      </c>
      <c r="BW171" s="691">
        <v>0</v>
      </c>
      <c r="BX171" s="690">
        <v>0</v>
      </c>
      <c r="BY171" s="691">
        <v>0</v>
      </c>
      <c r="BZ171" s="690">
        <v>0</v>
      </c>
      <c r="CA171" s="691">
        <v>0</v>
      </c>
      <c r="CB171" s="690">
        <v>0</v>
      </c>
      <c r="CC171" s="689">
        <v>0</v>
      </c>
      <c r="CD171" s="692">
        <v>0</v>
      </c>
      <c r="CE171" s="689">
        <v>0</v>
      </c>
      <c r="CF171" s="692">
        <v>0</v>
      </c>
      <c r="CG171" s="689">
        <v>0</v>
      </c>
      <c r="CH171" s="692">
        <v>0</v>
      </c>
      <c r="CI171" s="689">
        <v>0</v>
      </c>
      <c r="CJ171" s="692">
        <v>0</v>
      </c>
      <c r="CK171" s="689">
        <v>0</v>
      </c>
      <c r="CL171" s="692">
        <v>0</v>
      </c>
      <c r="CM171" s="689">
        <v>0</v>
      </c>
      <c r="CN171" s="692">
        <v>0</v>
      </c>
      <c r="CO171" s="689">
        <v>0</v>
      </c>
      <c r="CP171" s="692">
        <v>0</v>
      </c>
      <c r="CQ171" s="689">
        <v>0</v>
      </c>
      <c r="CR171" s="690">
        <v>0</v>
      </c>
      <c r="CS171" s="689">
        <v>0</v>
      </c>
      <c r="CT171" s="690">
        <v>0</v>
      </c>
      <c r="CU171" s="691">
        <v>0</v>
      </c>
      <c r="CV171" s="690">
        <v>0</v>
      </c>
    </row>
    <row r="172" spans="1:100">
      <c r="A172" s="457">
        <v>170</v>
      </c>
      <c r="B172" s="577">
        <v>0</v>
      </c>
      <c r="C172" s="577">
        <v>0</v>
      </c>
      <c r="D172" s="577">
        <v>0</v>
      </c>
      <c r="E172" s="577">
        <v>0</v>
      </c>
      <c r="F172" s="577">
        <v>0</v>
      </c>
      <c r="G172" s="577">
        <v>0</v>
      </c>
      <c r="H172" s="577">
        <v>0</v>
      </c>
      <c r="I172" s="577">
        <v>0</v>
      </c>
      <c r="J172" s="577">
        <v>0</v>
      </c>
      <c r="K172" s="577">
        <v>0</v>
      </c>
      <c r="L172" s="577">
        <v>0</v>
      </c>
      <c r="M172" s="577">
        <v>0</v>
      </c>
      <c r="N172" s="577">
        <v>0</v>
      </c>
      <c r="O172" s="577">
        <v>0</v>
      </c>
      <c r="P172" s="577">
        <v>0</v>
      </c>
      <c r="Q172" s="577">
        <v>0</v>
      </c>
      <c r="R172" s="577">
        <v>0</v>
      </c>
      <c r="S172" s="577">
        <v>0</v>
      </c>
      <c r="T172" s="577">
        <v>0</v>
      </c>
      <c r="U172" s="577">
        <v>0</v>
      </c>
      <c r="V172" s="577">
        <v>0</v>
      </c>
      <c r="W172" s="592">
        <v>0</v>
      </c>
      <c r="X172" s="685">
        <v>0</v>
      </c>
      <c r="Y172" s="685">
        <v>0</v>
      </c>
      <c r="Z172" s="685">
        <v>0</v>
      </c>
      <c r="AA172" s="685">
        <v>0</v>
      </c>
      <c r="AB172" s="685">
        <v>0</v>
      </c>
      <c r="AC172" s="685">
        <v>0</v>
      </c>
      <c r="AD172" s="685">
        <v>0</v>
      </c>
      <c r="AE172" s="910">
        <v>0</v>
      </c>
      <c r="AF172" s="911">
        <v>0</v>
      </c>
      <c r="AG172" s="912">
        <v>0</v>
      </c>
      <c r="AH172" s="685">
        <v>0</v>
      </c>
      <c r="AI172" s="684">
        <v>0</v>
      </c>
      <c r="AJ172" s="682">
        <v>0</v>
      </c>
      <c r="AK172" s="684">
        <v>0</v>
      </c>
      <c r="AL172" s="686">
        <v>0</v>
      </c>
      <c r="AM172" s="682">
        <v>0</v>
      </c>
      <c r="AN172" s="682">
        <v>0</v>
      </c>
      <c r="AO172" s="686">
        <v>0</v>
      </c>
      <c r="AP172" s="687">
        <v>0</v>
      </c>
      <c r="AQ172" s="684">
        <v>0</v>
      </c>
      <c r="AR172" s="682">
        <v>0</v>
      </c>
      <c r="AS172" s="684">
        <v>0</v>
      </c>
      <c r="AT172" s="688">
        <v>0</v>
      </c>
      <c r="AU172" s="682">
        <v>0</v>
      </c>
      <c r="AV172" s="684">
        <v>0</v>
      </c>
      <c r="AW172" s="689">
        <v>0</v>
      </c>
      <c r="AX172" s="690">
        <v>0</v>
      </c>
      <c r="AY172" s="689">
        <v>0</v>
      </c>
      <c r="AZ172" s="690">
        <v>0</v>
      </c>
      <c r="BA172" s="689">
        <v>0</v>
      </c>
      <c r="BB172" s="690">
        <v>0</v>
      </c>
      <c r="BC172" s="691">
        <v>0</v>
      </c>
      <c r="BD172" s="692">
        <v>0</v>
      </c>
      <c r="BE172" s="689">
        <v>0</v>
      </c>
      <c r="BF172" s="690">
        <v>0</v>
      </c>
      <c r="BG172" s="691">
        <v>0</v>
      </c>
      <c r="BH172" s="690">
        <v>0</v>
      </c>
      <c r="BI172" s="691">
        <v>0</v>
      </c>
      <c r="BJ172" s="690">
        <v>0</v>
      </c>
      <c r="BK172" s="691">
        <v>0</v>
      </c>
      <c r="BL172" s="690">
        <v>0</v>
      </c>
      <c r="BM172" s="691">
        <v>0</v>
      </c>
      <c r="BN172" s="690">
        <v>0</v>
      </c>
      <c r="BO172" s="691">
        <v>0</v>
      </c>
      <c r="BP172" s="690">
        <v>0</v>
      </c>
      <c r="BQ172" s="691">
        <v>0</v>
      </c>
      <c r="BR172" s="690">
        <v>0</v>
      </c>
      <c r="BS172" s="691">
        <v>0</v>
      </c>
      <c r="BT172" s="690">
        <v>0</v>
      </c>
      <c r="BU172" s="691">
        <v>0</v>
      </c>
      <c r="BV172" s="690">
        <v>0</v>
      </c>
      <c r="BW172" s="691">
        <v>0</v>
      </c>
      <c r="BX172" s="690">
        <v>0</v>
      </c>
      <c r="BY172" s="691">
        <v>0</v>
      </c>
      <c r="BZ172" s="690">
        <v>0</v>
      </c>
      <c r="CA172" s="691">
        <v>0</v>
      </c>
      <c r="CB172" s="690">
        <v>0</v>
      </c>
      <c r="CC172" s="689">
        <v>0</v>
      </c>
      <c r="CD172" s="692">
        <v>0</v>
      </c>
      <c r="CE172" s="689">
        <v>0</v>
      </c>
      <c r="CF172" s="692">
        <v>0</v>
      </c>
      <c r="CG172" s="689">
        <v>0</v>
      </c>
      <c r="CH172" s="692">
        <v>0</v>
      </c>
      <c r="CI172" s="689">
        <v>0</v>
      </c>
      <c r="CJ172" s="692">
        <v>0</v>
      </c>
      <c r="CK172" s="689">
        <v>0</v>
      </c>
      <c r="CL172" s="692">
        <v>0</v>
      </c>
      <c r="CM172" s="689">
        <v>0</v>
      </c>
      <c r="CN172" s="692">
        <v>0</v>
      </c>
      <c r="CO172" s="689">
        <v>0</v>
      </c>
      <c r="CP172" s="692">
        <v>0</v>
      </c>
      <c r="CQ172" s="689">
        <v>0</v>
      </c>
      <c r="CR172" s="690">
        <v>0</v>
      </c>
      <c r="CS172" s="689">
        <v>0</v>
      </c>
      <c r="CT172" s="690">
        <v>0</v>
      </c>
      <c r="CU172" s="691">
        <v>0</v>
      </c>
      <c r="CV172" s="690">
        <v>0</v>
      </c>
    </row>
    <row r="173" spans="1:100">
      <c r="A173" s="457">
        <v>171</v>
      </c>
      <c r="B173" s="577">
        <v>0</v>
      </c>
      <c r="C173" s="577">
        <v>0</v>
      </c>
      <c r="D173" s="577">
        <v>0</v>
      </c>
      <c r="E173" s="577">
        <v>0</v>
      </c>
      <c r="F173" s="577">
        <v>0</v>
      </c>
      <c r="G173" s="577">
        <v>0</v>
      </c>
      <c r="H173" s="577">
        <v>0</v>
      </c>
      <c r="I173" s="577">
        <v>0</v>
      </c>
      <c r="J173" s="577">
        <v>0</v>
      </c>
      <c r="K173" s="577">
        <v>0</v>
      </c>
      <c r="L173" s="577">
        <v>0</v>
      </c>
      <c r="M173" s="577">
        <v>0</v>
      </c>
      <c r="N173" s="577">
        <v>0</v>
      </c>
      <c r="O173" s="577">
        <v>0</v>
      </c>
      <c r="P173" s="577">
        <v>0</v>
      </c>
      <c r="Q173" s="577">
        <v>0</v>
      </c>
      <c r="R173" s="577">
        <v>0</v>
      </c>
      <c r="S173" s="577">
        <v>0</v>
      </c>
      <c r="T173" s="577">
        <v>0</v>
      </c>
      <c r="U173" s="577">
        <v>0</v>
      </c>
      <c r="V173" s="577">
        <v>0</v>
      </c>
      <c r="W173" s="592">
        <v>0</v>
      </c>
      <c r="X173" s="685">
        <v>0</v>
      </c>
      <c r="Y173" s="685">
        <v>0</v>
      </c>
      <c r="Z173" s="685">
        <v>0</v>
      </c>
      <c r="AA173" s="685">
        <v>0</v>
      </c>
      <c r="AB173" s="685">
        <v>0</v>
      </c>
      <c r="AC173" s="685">
        <v>0</v>
      </c>
      <c r="AD173" s="685">
        <v>0</v>
      </c>
      <c r="AE173" s="910">
        <v>0</v>
      </c>
      <c r="AF173" s="911">
        <v>0</v>
      </c>
      <c r="AG173" s="912">
        <v>0</v>
      </c>
      <c r="AH173" s="685">
        <v>0</v>
      </c>
      <c r="AI173" s="684">
        <v>0</v>
      </c>
      <c r="AJ173" s="682">
        <v>0</v>
      </c>
      <c r="AK173" s="684">
        <v>0</v>
      </c>
      <c r="AL173" s="686">
        <v>0</v>
      </c>
      <c r="AM173" s="682">
        <v>0</v>
      </c>
      <c r="AN173" s="682">
        <v>0</v>
      </c>
      <c r="AO173" s="686">
        <v>0</v>
      </c>
      <c r="AP173" s="687">
        <v>0</v>
      </c>
      <c r="AQ173" s="684">
        <v>0</v>
      </c>
      <c r="AR173" s="682">
        <v>0</v>
      </c>
      <c r="AS173" s="684">
        <v>0</v>
      </c>
      <c r="AT173" s="688">
        <v>0</v>
      </c>
      <c r="AU173" s="682">
        <v>0</v>
      </c>
      <c r="AV173" s="684">
        <v>0</v>
      </c>
      <c r="AW173" s="689">
        <v>0</v>
      </c>
      <c r="AX173" s="690">
        <v>0</v>
      </c>
      <c r="AY173" s="689">
        <v>0</v>
      </c>
      <c r="AZ173" s="690">
        <v>0</v>
      </c>
      <c r="BA173" s="689">
        <v>0</v>
      </c>
      <c r="BB173" s="690">
        <v>0</v>
      </c>
      <c r="BC173" s="691">
        <v>0</v>
      </c>
      <c r="BD173" s="692">
        <v>0</v>
      </c>
      <c r="BE173" s="689">
        <v>0</v>
      </c>
      <c r="BF173" s="690">
        <v>0</v>
      </c>
      <c r="BG173" s="691">
        <v>0</v>
      </c>
      <c r="BH173" s="690">
        <v>0</v>
      </c>
      <c r="BI173" s="691">
        <v>0</v>
      </c>
      <c r="BJ173" s="690">
        <v>0</v>
      </c>
      <c r="BK173" s="691">
        <v>0</v>
      </c>
      <c r="BL173" s="690">
        <v>0</v>
      </c>
      <c r="BM173" s="691">
        <v>0</v>
      </c>
      <c r="BN173" s="690">
        <v>0</v>
      </c>
      <c r="BO173" s="691">
        <v>0</v>
      </c>
      <c r="BP173" s="690">
        <v>0</v>
      </c>
      <c r="BQ173" s="691">
        <v>0</v>
      </c>
      <c r="BR173" s="690">
        <v>0</v>
      </c>
      <c r="BS173" s="691">
        <v>0</v>
      </c>
      <c r="BT173" s="690">
        <v>0</v>
      </c>
      <c r="BU173" s="691">
        <v>0</v>
      </c>
      <c r="BV173" s="690">
        <v>0</v>
      </c>
      <c r="BW173" s="691">
        <v>0</v>
      </c>
      <c r="BX173" s="690">
        <v>0</v>
      </c>
      <c r="BY173" s="691">
        <v>0</v>
      </c>
      <c r="BZ173" s="690">
        <v>0</v>
      </c>
      <c r="CA173" s="691">
        <v>0</v>
      </c>
      <c r="CB173" s="690">
        <v>0</v>
      </c>
      <c r="CC173" s="689">
        <v>0</v>
      </c>
      <c r="CD173" s="692">
        <v>0</v>
      </c>
      <c r="CE173" s="689">
        <v>0</v>
      </c>
      <c r="CF173" s="692">
        <v>0</v>
      </c>
      <c r="CG173" s="689">
        <v>0</v>
      </c>
      <c r="CH173" s="692">
        <v>0</v>
      </c>
      <c r="CI173" s="689">
        <v>0</v>
      </c>
      <c r="CJ173" s="692">
        <v>0</v>
      </c>
      <c r="CK173" s="689">
        <v>0</v>
      </c>
      <c r="CL173" s="692">
        <v>0</v>
      </c>
      <c r="CM173" s="689">
        <v>0</v>
      </c>
      <c r="CN173" s="692">
        <v>0</v>
      </c>
      <c r="CO173" s="689">
        <v>0</v>
      </c>
      <c r="CP173" s="692">
        <v>0</v>
      </c>
      <c r="CQ173" s="689">
        <v>0</v>
      </c>
      <c r="CR173" s="690">
        <v>0</v>
      </c>
      <c r="CS173" s="689">
        <v>0</v>
      </c>
      <c r="CT173" s="690">
        <v>0</v>
      </c>
      <c r="CU173" s="691">
        <v>0</v>
      </c>
      <c r="CV173" s="690">
        <v>0</v>
      </c>
    </row>
    <row r="174" spans="1:100">
      <c r="A174" s="457">
        <v>172</v>
      </c>
      <c r="B174" s="577">
        <v>0</v>
      </c>
      <c r="C174" s="577">
        <v>0</v>
      </c>
      <c r="D174" s="577">
        <v>0</v>
      </c>
      <c r="E174" s="577">
        <v>0</v>
      </c>
      <c r="F174" s="577">
        <v>0</v>
      </c>
      <c r="G174" s="577">
        <v>0</v>
      </c>
      <c r="H174" s="577">
        <v>0</v>
      </c>
      <c r="I174" s="577">
        <v>0</v>
      </c>
      <c r="J174" s="577">
        <v>0</v>
      </c>
      <c r="K174" s="577">
        <v>0</v>
      </c>
      <c r="L174" s="577">
        <v>0</v>
      </c>
      <c r="M174" s="577">
        <v>0</v>
      </c>
      <c r="N174" s="577">
        <v>0</v>
      </c>
      <c r="O174" s="577">
        <v>0</v>
      </c>
      <c r="P174" s="577">
        <v>0</v>
      </c>
      <c r="Q174" s="577">
        <v>0</v>
      </c>
      <c r="R174" s="577">
        <v>0</v>
      </c>
      <c r="S174" s="577">
        <v>0</v>
      </c>
      <c r="T174" s="577">
        <v>0</v>
      </c>
      <c r="U174" s="577">
        <v>0</v>
      </c>
      <c r="V174" s="577">
        <v>0</v>
      </c>
      <c r="W174" s="592">
        <v>0</v>
      </c>
      <c r="X174" s="685">
        <v>0</v>
      </c>
      <c r="Y174" s="685">
        <v>0</v>
      </c>
      <c r="Z174" s="685">
        <v>0</v>
      </c>
      <c r="AA174" s="685">
        <v>0</v>
      </c>
      <c r="AB174" s="685">
        <v>0</v>
      </c>
      <c r="AC174" s="685">
        <v>0</v>
      </c>
      <c r="AD174" s="685">
        <v>0</v>
      </c>
      <c r="AE174" s="910">
        <v>0</v>
      </c>
      <c r="AF174" s="911">
        <v>0</v>
      </c>
      <c r="AG174" s="912">
        <v>0</v>
      </c>
      <c r="AH174" s="685">
        <v>0</v>
      </c>
      <c r="AI174" s="684">
        <v>0</v>
      </c>
      <c r="AJ174" s="682">
        <v>0</v>
      </c>
      <c r="AK174" s="684">
        <v>0</v>
      </c>
      <c r="AL174" s="686">
        <v>0</v>
      </c>
      <c r="AM174" s="682">
        <v>0</v>
      </c>
      <c r="AN174" s="682">
        <v>0</v>
      </c>
      <c r="AO174" s="686">
        <v>0</v>
      </c>
      <c r="AP174" s="687">
        <v>0</v>
      </c>
      <c r="AQ174" s="684">
        <v>0</v>
      </c>
      <c r="AR174" s="682">
        <v>0</v>
      </c>
      <c r="AS174" s="684">
        <v>0</v>
      </c>
      <c r="AT174" s="688">
        <v>0</v>
      </c>
      <c r="AU174" s="682">
        <v>0</v>
      </c>
      <c r="AV174" s="684">
        <v>0</v>
      </c>
      <c r="AW174" s="689">
        <v>0</v>
      </c>
      <c r="AX174" s="690">
        <v>0</v>
      </c>
      <c r="AY174" s="689">
        <v>0</v>
      </c>
      <c r="AZ174" s="690">
        <v>0</v>
      </c>
      <c r="BA174" s="689">
        <v>0</v>
      </c>
      <c r="BB174" s="690">
        <v>0</v>
      </c>
      <c r="BC174" s="691">
        <v>0</v>
      </c>
      <c r="BD174" s="692">
        <v>0</v>
      </c>
      <c r="BE174" s="689">
        <v>0</v>
      </c>
      <c r="BF174" s="690">
        <v>0</v>
      </c>
      <c r="BG174" s="691">
        <v>0</v>
      </c>
      <c r="BH174" s="690">
        <v>0</v>
      </c>
      <c r="BI174" s="691">
        <v>0</v>
      </c>
      <c r="BJ174" s="690">
        <v>0</v>
      </c>
      <c r="BK174" s="691">
        <v>0</v>
      </c>
      <c r="BL174" s="690">
        <v>0</v>
      </c>
      <c r="BM174" s="691">
        <v>0</v>
      </c>
      <c r="BN174" s="690">
        <v>0</v>
      </c>
      <c r="BO174" s="691">
        <v>0</v>
      </c>
      <c r="BP174" s="690">
        <v>0</v>
      </c>
      <c r="BQ174" s="691">
        <v>0</v>
      </c>
      <c r="BR174" s="690">
        <v>0</v>
      </c>
      <c r="BS174" s="691">
        <v>0</v>
      </c>
      <c r="BT174" s="690">
        <v>0</v>
      </c>
      <c r="BU174" s="691">
        <v>0</v>
      </c>
      <c r="BV174" s="690">
        <v>0</v>
      </c>
      <c r="BW174" s="691">
        <v>0</v>
      </c>
      <c r="BX174" s="690">
        <v>0</v>
      </c>
      <c r="BY174" s="691">
        <v>0</v>
      </c>
      <c r="BZ174" s="690">
        <v>0</v>
      </c>
      <c r="CA174" s="691">
        <v>0</v>
      </c>
      <c r="CB174" s="690">
        <v>0</v>
      </c>
      <c r="CC174" s="689">
        <v>0</v>
      </c>
      <c r="CD174" s="692">
        <v>0</v>
      </c>
      <c r="CE174" s="689">
        <v>0</v>
      </c>
      <c r="CF174" s="692">
        <v>0</v>
      </c>
      <c r="CG174" s="689">
        <v>0</v>
      </c>
      <c r="CH174" s="692">
        <v>0</v>
      </c>
      <c r="CI174" s="689">
        <v>0</v>
      </c>
      <c r="CJ174" s="692">
        <v>0</v>
      </c>
      <c r="CK174" s="689">
        <v>0</v>
      </c>
      <c r="CL174" s="692">
        <v>0</v>
      </c>
      <c r="CM174" s="689">
        <v>0</v>
      </c>
      <c r="CN174" s="692">
        <v>0</v>
      </c>
      <c r="CO174" s="689">
        <v>0</v>
      </c>
      <c r="CP174" s="692">
        <v>0</v>
      </c>
      <c r="CQ174" s="689">
        <v>0</v>
      </c>
      <c r="CR174" s="690">
        <v>0</v>
      </c>
      <c r="CS174" s="689">
        <v>0</v>
      </c>
      <c r="CT174" s="690">
        <v>0</v>
      </c>
      <c r="CU174" s="691">
        <v>0</v>
      </c>
      <c r="CV174" s="690">
        <v>0</v>
      </c>
    </row>
    <row r="175" spans="1:100">
      <c r="A175" s="457">
        <v>173</v>
      </c>
      <c r="B175" s="577">
        <v>0</v>
      </c>
      <c r="C175" s="577">
        <v>0</v>
      </c>
      <c r="D175" s="577">
        <v>0</v>
      </c>
      <c r="E175" s="577">
        <v>0</v>
      </c>
      <c r="F175" s="577">
        <v>0</v>
      </c>
      <c r="G175" s="577">
        <v>0</v>
      </c>
      <c r="H175" s="577">
        <v>0</v>
      </c>
      <c r="I175" s="577">
        <v>0</v>
      </c>
      <c r="J175" s="577">
        <v>0</v>
      </c>
      <c r="K175" s="577">
        <v>0</v>
      </c>
      <c r="L175" s="577">
        <v>0</v>
      </c>
      <c r="M175" s="577">
        <v>0</v>
      </c>
      <c r="N175" s="577">
        <v>0</v>
      </c>
      <c r="O175" s="577">
        <v>0</v>
      </c>
      <c r="P175" s="577">
        <v>0</v>
      </c>
      <c r="Q175" s="577">
        <v>0</v>
      </c>
      <c r="R175" s="577">
        <v>0</v>
      </c>
      <c r="S175" s="577">
        <v>0</v>
      </c>
      <c r="T175" s="577">
        <v>0</v>
      </c>
      <c r="U175" s="577">
        <v>0</v>
      </c>
      <c r="V175" s="577">
        <v>0</v>
      </c>
      <c r="W175" s="592">
        <v>0</v>
      </c>
      <c r="X175" s="685">
        <v>0</v>
      </c>
      <c r="Y175" s="685">
        <v>0</v>
      </c>
      <c r="Z175" s="685">
        <v>0</v>
      </c>
      <c r="AA175" s="685">
        <v>0</v>
      </c>
      <c r="AB175" s="685">
        <v>0</v>
      </c>
      <c r="AC175" s="685">
        <v>0</v>
      </c>
      <c r="AD175" s="685">
        <v>0</v>
      </c>
      <c r="AE175" s="910">
        <v>0</v>
      </c>
      <c r="AF175" s="911">
        <v>0</v>
      </c>
      <c r="AG175" s="912">
        <v>0</v>
      </c>
      <c r="AH175" s="685">
        <v>0</v>
      </c>
      <c r="AI175" s="684">
        <v>0</v>
      </c>
      <c r="AJ175" s="682">
        <v>0</v>
      </c>
      <c r="AK175" s="684">
        <v>0</v>
      </c>
      <c r="AL175" s="686">
        <v>0</v>
      </c>
      <c r="AM175" s="682">
        <v>0</v>
      </c>
      <c r="AN175" s="682">
        <v>0</v>
      </c>
      <c r="AO175" s="686">
        <v>0</v>
      </c>
      <c r="AP175" s="687">
        <v>0</v>
      </c>
      <c r="AQ175" s="684">
        <v>0</v>
      </c>
      <c r="AR175" s="682">
        <v>0</v>
      </c>
      <c r="AS175" s="684">
        <v>0</v>
      </c>
      <c r="AT175" s="688">
        <v>0</v>
      </c>
      <c r="AU175" s="682">
        <v>0</v>
      </c>
      <c r="AV175" s="684">
        <v>0</v>
      </c>
      <c r="AW175" s="689">
        <v>0</v>
      </c>
      <c r="AX175" s="690">
        <v>0</v>
      </c>
      <c r="AY175" s="689">
        <v>0</v>
      </c>
      <c r="AZ175" s="690">
        <v>0</v>
      </c>
      <c r="BA175" s="689">
        <v>0</v>
      </c>
      <c r="BB175" s="690">
        <v>0</v>
      </c>
      <c r="BC175" s="691">
        <v>0</v>
      </c>
      <c r="BD175" s="692">
        <v>0</v>
      </c>
      <c r="BE175" s="689">
        <v>0</v>
      </c>
      <c r="BF175" s="690">
        <v>0</v>
      </c>
      <c r="BG175" s="691">
        <v>0</v>
      </c>
      <c r="BH175" s="690">
        <v>0</v>
      </c>
      <c r="BI175" s="691">
        <v>0</v>
      </c>
      <c r="BJ175" s="690">
        <v>0</v>
      </c>
      <c r="BK175" s="691">
        <v>0</v>
      </c>
      <c r="BL175" s="690">
        <v>0</v>
      </c>
      <c r="BM175" s="691">
        <v>0</v>
      </c>
      <c r="BN175" s="690">
        <v>0</v>
      </c>
      <c r="BO175" s="691">
        <v>0</v>
      </c>
      <c r="BP175" s="690">
        <v>0</v>
      </c>
      <c r="BQ175" s="691">
        <v>0</v>
      </c>
      <c r="BR175" s="690">
        <v>0</v>
      </c>
      <c r="BS175" s="691">
        <v>0</v>
      </c>
      <c r="BT175" s="690">
        <v>0</v>
      </c>
      <c r="BU175" s="691">
        <v>0</v>
      </c>
      <c r="BV175" s="690">
        <v>0</v>
      </c>
      <c r="BW175" s="691">
        <v>0</v>
      </c>
      <c r="BX175" s="690">
        <v>0</v>
      </c>
      <c r="BY175" s="691">
        <v>0</v>
      </c>
      <c r="BZ175" s="690">
        <v>0</v>
      </c>
      <c r="CA175" s="691">
        <v>0</v>
      </c>
      <c r="CB175" s="690">
        <v>0</v>
      </c>
      <c r="CC175" s="689">
        <v>0</v>
      </c>
      <c r="CD175" s="692">
        <v>0</v>
      </c>
      <c r="CE175" s="689">
        <v>0</v>
      </c>
      <c r="CF175" s="692">
        <v>0</v>
      </c>
      <c r="CG175" s="689">
        <v>0</v>
      </c>
      <c r="CH175" s="692">
        <v>0</v>
      </c>
      <c r="CI175" s="689">
        <v>0</v>
      </c>
      <c r="CJ175" s="692">
        <v>0</v>
      </c>
      <c r="CK175" s="689">
        <v>0</v>
      </c>
      <c r="CL175" s="692">
        <v>0</v>
      </c>
      <c r="CM175" s="689">
        <v>0</v>
      </c>
      <c r="CN175" s="692">
        <v>0</v>
      </c>
      <c r="CO175" s="689">
        <v>0</v>
      </c>
      <c r="CP175" s="692">
        <v>0</v>
      </c>
      <c r="CQ175" s="689">
        <v>0</v>
      </c>
      <c r="CR175" s="690">
        <v>0</v>
      </c>
      <c r="CS175" s="689">
        <v>0</v>
      </c>
      <c r="CT175" s="690">
        <v>0</v>
      </c>
      <c r="CU175" s="691">
        <v>0</v>
      </c>
      <c r="CV175" s="690">
        <v>0</v>
      </c>
    </row>
    <row r="176" spans="1:100">
      <c r="A176" s="457">
        <v>174</v>
      </c>
      <c r="B176" s="577">
        <v>0</v>
      </c>
      <c r="C176" s="577">
        <v>0</v>
      </c>
      <c r="D176" s="577">
        <v>0</v>
      </c>
      <c r="E176" s="577">
        <v>0</v>
      </c>
      <c r="F176" s="577">
        <v>0</v>
      </c>
      <c r="G176" s="577">
        <v>0</v>
      </c>
      <c r="H176" s="577">
        <v>0</v>
      </c>
      <c r="I176" s="577">
        <v>0</v>
      </c>
      <c r="J176" s="577">
        <v>0</v>
      </c>
      <c r="K176" s="577">
        <v>0</v>
      </c>
      <c r="L176" s="577">
        <v>0</v>
      </c>
      <c r="M176" s="577">
        <v>0</v>
      </c>
      <c r="N176" s="577">
        <v>0</v>
      </c>
      <c r="O176" s="577">
        <v>0</v>
      </c>
      <c r="P176" s="577">
        <v>0</v>
      </c>
      <c r="Q176" s="577">
        <v>0</v>
      </c>
      <c r="R176" s="577">
        <v>0</v>
      </c>
      <c r="S176" s="577">
        <v>0</v>
      </c>
      <c r="T176" s="577">
        <v>0</v>
      </c>
      <c r="U176" s="577">
        <v>0</v>
      </c>
      <c r="V176" s="577">
        <v>0</v>
      </c>
      <c r="W176" s="592">
        <v>0</v>
      </c>
      <c r="X176" s="685">
        <v>0</v>
      </c>
      <c r="Y176" s="685">
        <v>0</v>
      </c>
      <c r="Z176" s="685">
        <v>0</v>
      </c>
      <c r="AA176" s="685">
        <v>0</v>
      </c>
      <c r="AB176" s="685">
        <v>0</v>
      </c>
      <c r="AC176" s="685">
        <v>0</v>
      </c>
      <c r="AD176" s="685">
        <v>0</v>
      </c>
      <c r="AE176" s="910">
        <v>0</v>
      </c>
      <c r="AF176" s="911">
        <v>0</v>
      </c>
      <c r="AG176" s="912">
        <v>0</v>
      </c>
      <c r="AH176" s="685">
        <v>0</v>
      </c>
      <c r="AI176" s="684">
        <v>0</v>
      </c>
      <c r="AJ176" s="682">
        <v>0</v>
      </c>
      <c r="AK176" s="684">
        <v>0</v>
      </c>
      <c r="AL176" s="686">
        <v>0</v>
      </c>
      <c r="AM176" s="682">
        <v>0</v>
      </c>
      <c r="AN176" s="682">
        <v>0</v>
      </c>
      <c r="AO176" s="686">
        <v>0</v>
      </c>
      <c r="AP176" s="687">
        <v>0</v>
      </c>
      <c r="AQ176" s="684">
        <v>0</v>
      </c>
      <c r="AR176" s="682">
        <v>0</v>
      </c>
      <c r="AS176" s="684">
        <v>0</v>
      </c>
      <c r="AT176" s="688">
        <v>0</v>
      </c>
      <c r="AU176" s="682">
        <v>0</v>
      </c>
      <c r="AV176" s="684">
        <v>0</v>
      </c>
      <c r="AW176" s="689">
        <v>0</v>
      </c>
      <c r="AX176" s="690">
        <v>0</v>
      </c>
      <c r="AY176" s="689">
        <v>0</v>
      </c>
      <c r="AZ176" s="690">
        <v>0</v>
      </c>
      <c r="BA176" s="689">
        <v>0</v>
      </c>
      <c r="BB176" s="690">
        <v>0</v>
      </c>
      <c r="BC176" s="691">
        <v>0</v>
      </c>
      <c r="BD176" s="692">
        <v>0</v>
      </c>
      <c r="BE176" s="689">
        <v>0</v>
      </c>
      <c r="BF176" s="690">
        <v>0</v>
      </c>
      <c r="BG176" s="691">
        <v>0</v>
      </c>
      <c r="BH176" s="690">
        <v>0</v>
      </c>
      <c r="BI176" s="691">
        <v>0</v>
      </c>
      <c r="BJ176" s="690">
        <v>0</v>
      </c>
      <c r="BK176" s="691">
        <v>0</v>
      </c>
      <c r="BL176" s="690">
        <v>0</v>
      </c>
      <c r="BM176" s="691">
        <v>0</v>
      </c>
      <c r="BN176" s="690">
        <v>0</v>
      </c>
      <c r="BO176" s="691">
        <v>0</v>
      </c>
      <c r="BP176" s="690">
        <v>0</v>
      </c>
      <c r="BQ176" s="691">
        <v>0</v>
      </c>
      <c r="BR176" s="690">
        <v>0</v>
      </c>
      <c r="BS176" s="691">
        <v>0</v>
      </c>
      <c r="BT176" s="690">
        <v>0</v>
      </c>
      <c r="BU176" s="691">
        <v>0</v>
      </c>
      <c r="BV176" s="690">
        <v>0</v>
      </c>
      <c r="BW176" s="691">
        <v>0</v>
      </c>
      <c r="BX176" s="690">
        <v>0</v>
      </c>
      <c r="BY176" s="691">
        <v>0</v>
      </c>
      <c r="BZ176" s="690">
        <v>0</v>
      </c>
      <c r="CA176" s="691">
        <v>0</v>
      </c>
      <c r="CB176" s="690">
        <v>0</v>
      </c>
      <c r="CC176" s="689">
        <v>0</v>
      </c>
      <c r="CD176" s="692">
        <v>0</v>
      </c>
      <c r="CE176" s="689">
        <v>0</v>
      </c>
      <c r="CF176" s="692">
        <v>0</v>
      </c>
      <c r="CG176" s="689">
        <v>0</v>
      </c>
      <c r="CH176" s="692">
        <v>0</v>
      </c>
      <c r="CI176" s="689">
        <v>0</v>
      </c>
      <c r="CJ176" s="692">
        <v>0</v>
      </c>
      <c r="CK176" s="689">
        <v>0</v>
      </c>
      <c r="CL176" s="692">
        <v>0</v>
      </c>
      <c r="CM176" s="689">
        <v>0</v>
      </c>
      <c r="CN176" s="692">
        <v>0</v>
      </c>
      <c r="CO176" s="689">
        <v>0</v>
      </c>
      <c r="CP176" s="692">
        <v>0</v>
      </c>
      <c r="CQ176" s="689">
        <v>0</v>
      </c>
      <c r="CR176" s="690">
        <v>0</v>
      </c>
      <c r="CS176" s="689">
        <v>0</v>
      </c>
      <c r="CT176" s="690">
        <v>0</v>
      </c>
      <c r="CU176" s="691">
        <v>0</v>
      </c>
      <c r="CV176" s="690">
        <v>0</v>
      </c>
    </row>
    <row r="177" spans="1:100">
      <c r="A177" s="457">
        <v>175</v>
      </c>
      <c r="B177" s="577">
        <v>0</v>
      </c>
      <c r="C177" s="577">
        <v>0</v>
      </c>
      <c r="D177" s="577">
        <v>0</v>
      </c>
      <c r="E177" s="577">
        <v>0</v>
      </c>
      <c r="F177" s="577">
        <v>0</v>
      </c>
      <c r="G177" s="577">
        <v>0</v>
      </c>
      <c r="H177" s="577">
        <v>0</v>
      </c>
      <c r="I177" s="577">
        <v>0</v>
      </c>
      <c r="J177" s="577">
        <v>0</v>
      </c>
      <c r="K177" s="577">
        <v>0</v>
      </c>
      <c r="L177" s="577">
        <v>0</v>
      </c>
      <c r="M177" s="577">
        <v>0</v>
      </c>
      <c r="N177" s="577">
        <v>0</v>
      </c>
      <c r="O177" s="577">
        <v>0</v>
      </c>
      <c r="P177" s="577">
        <v>0</v>
      </c>
      <c r="Q177" s="577">
        <v>0</v>
      </c>
      <c r="R177" s="577">
        <v>0</v>
      </c>
      <c r="S177" s="577">
        <v>0</v>
      </c>
      <c r="T177" s="577">
        <v>0</v>
      </c>
      <c r="U177" s="577">
        <v>0</v>
      </c>
      <c r="V177" s="577">
        <v>0</v>
      </c>
      <c r="W177" s="592">
        <v>0</v>
      </c>
      <c r="X177" s="685">
        <v>0</v>
      </c>
      <c r="Y177" s="685">
        <v>0</v>
      </c>
      <c r="Z177" s="685">
        <v>0</v>
      </c>
      <c r="AA177" s="685">
        <v>0</v>
      </c>
      <c r="AB177" s="685">
        <v>0</v>
      </c>
      <c r="AC177" s="685">
        <v>0</v>
      </c>
      <c r="AD177" s="685">
        <v>0</v>
      </c>
      <c r="AE177" s="910">
        <v>0</v>
      </c>
      <c r="AF177" s="911">
        <v>0</v>
      </c>
      <c r="AG177" s="912">
        <v>0</v>
      </c>
      <c r="AH177" s="685">
        <v>0</v>
      </c>
      <c r="AI177" s="684">
        <v>0</v>
      </c>
      <c r="AJ177" s="682">
        <v>0</v>
      </c>
      <c r="AK177" s="684">
        <v>0</v>
      </c>
      <c r="AL177" s="686">
        <v>0</v>
      </c>
      <c r="AM177" s="682">
        <v>0</v>
      </c>
      <c r="AN177" s="682">
        <v>0</v>
      </c>
      <c r="AO177" s="686">
        <v>0</v>
      </c>
      <c r="AP177" s="687">
        <v>0</v>
      </c>
      <c r="AQ177" s="684">
        <v>0</v>
      </c>
      <c r="AR177" s="682">
        <v>0</v>
      </c>
      <c r="AS177" s="684">
        <v>0</v>
      </c>
      <c r="AT177" s="688">
        <v>0</v>
      </c>
      <c r="AU177" s="682">
        <v>0</v>
      </c>
      <c r="AV177" s="684">
        <v>0</v>
      </c>
      <c r="AW177" s="689">
        <v>0</v>
      </c>
      <c r="AX177" s="690">
        <v>0</v>
      </c>
      <c r="AY177" s="689">
        <v>0</v>
      </c>
      <c r="AZ177" s="690">
        <v>0</v>
      </c>
      <c r="BA177" s="689">
        <v>0</v>
      </c>
      <c r="BB177" s="690">
        <v>0</v>
      </c>
      <c r="BC177" s="691">
        <v>0</v>
      </c>
      <c r="BD177" s="692">
        <v>0</v>
      </c>
      <c r="BE177" s="689">
        <v>0</v>
      </c>
      <c r="BF177" s="690">
        <v>0</v>
      </c>
      <c r="BG177" s="691">
        <v>0</v>
      </c>
      <c r="BH177" s="690">
        <v>0</v>
      </c>
      <c r="BI177" s="691">
        <v>0</v>
      </c>
      <c r="BJ177" s="690">
        <v>0</v>
      </c>
      <c r="BK177" s="691">
        <v>0</v>
      </c>
      <c r="BL177" s="690">
        <v>0</v>
      </c>
      <c r="BM177" s="691">
        <v>0</v>
      </c>
      <c r="BN177" s="690">
        <v>0</v>
      </c>
      <c r="BO177" s="691">
        <v>0</v>
      </c>
      <c r="BP177" s="690">
        <v>0</v>
      </c>
      <c r="BQ177" s="691">
        <v>0</v>
      </c>
      <c r="BR177" s="690">
        <v>0</v>
      </c>
      <c r="BS177" s="691">
        <v>0</v>
      </c>
      <c r="BT177" s="690">
        <v>0</v>
      </c>
      <c r="BU177" s="691">
        <v>0</v>
      </c>
      <c r="BV177" s="690">
        <v>0</v>
      </c>
      <c r="BW177" s="691">
        <v>0</v>
      </c>
      <c r="BX177" s="690">
        <v>0</v>
      </c>
      <c r="BY177" s="691">
        <v>0</v>
      </c>
      <c r="BZ177" s="690">
        <v>0</v>
      </c>
      <c r="CA177" s="691">
        <v>0</v>
      </c>
      <c r="CB177" s="690">
        <v>0</v>
      </c>
      <c r="CC177" s="689">
        <v>0</v>
      </c>
      <c r="CD177" s="692">
        <v>0</v>
      </c>
      <c r="CE177" s="689">
        <v>0</v>
      </c>
      <c r="CF177" s="692">
        <v>0</v>
      </c>
      <c r="CG177" s="689">
        <v>0</v>
      </c>
      <c r="CH177" s="692">
        <v>0</v>
      </c>
      <c r="CI177" s="689">
        <v>0</v>
      </c>
      <c r="CJ177" s="692">
        <v>0</v>
      </c>
      <c r="CK177" s="689">
        <v>0</v>
      </c>
      <c r="CL177" s="692">
        <v>0</v>
      </c>
      <c r="CM177" s="689">
        <v>0</v>
      </c>
      <c r="CN177" s="692">
        <v>0</v>
      </c>
      <c r="CO177" s="689">
        <v>0</v>
      </c>
      <c r="CP177" s="692">
        <v>0</v>
      </c>
      <c r="CQ177" s="689">
        <v>0</v>
      </c>
      <c r="CR177" s="690">
        <v>0</v>
      </c>
      <c r="CS177" s="689">
        <v>0</v>
      </c>
      <c r="CT177" s="690">
        <v>0</v>
      </c>
      <c r="CU177" s="691">
        <v>0</v>
      </c>
      <c r="CV177" s="690">
        <v>0</v>
      </c>
    </row>
    <row r="178" spans="1:100">
      <c r="A178" s="457">
        <v>176</v>
      </c>
      <c r="B178" s="577">
        <v>0</v>
      </c>
      <c r="C178" s="577">
        <v>0</v>
      </c>
      <c r="D178" s="577">
        <v>0</v>
      </c>
      <c r="E178" s="577">
        <v>0</v>
      </c>
      <c r="F178" s="577">
        <v>0</v>
      </c>
      <c r="G178" s="577">
        <v>0</v>
      </c>
      <c r="H178" s="577">
        <v>0</v>
      </c>
      <c r="I178" s="577">
        <v>0</v>
      </c>
      <c r="J178" s="577">
        <v>0</v>
      </c>
      <c r="K178" s="577">
        <v>0</v>
      </c>
      <c r="L178" s="577">
        <v>0</v>
      </c>
      <c r="M178" s="577">
        <v>0</v>
      </c>
      <c r="N178" s="577">
        <v>0</v>
      </c>
      <c r="O178" s="577">
        <v>0</v>
      </c>
      <c r="P178" s="577">
        <v>0</v>
      </c>
      <c r="Q178" s="577">
        <v>0</v>
      </c>
      <c r="R178" s="577">
        <v>0</v>
      </c>
      <c r="S178" s="577">
        <v>0</v>
      </c>
      <c r="T178" s="577">
        <v>0</v>
      </c>
      <c r="U178" s="577">
        <v>0</v>
      </c>
      <c r="V178" s="577">
        <v>0</v>
      </c>
      <c r="W178" s="592">
        <v>0</v>
      </c>
      <c r="X178" s="685">
        <v>0</v>
      </c>
      <c r="Y178" s="685">
        <v>0</v>
      </c>
      <c r="Z178" s="685">
        <v>0</v>
      </c>
      <c r="AA178" s="685">
        <v>0</v>
      </c>
      <c r="AB178" s="685">
        <v>0</v>
      </c>
      <c r="AC178" s="685">
        <v>0</v>
      </c>
      <c r="AD178" s="685">
        <v>0</v>
      </c>
      <c r="AE178" s="910">
        <v>0</v>
      </c>
      <c r="AF178" s="911">
        <v>0</v>
      </c>
      <c r="AG178" s="912">
        <v>0</v>
      </c>
      <c r="AH178" s="685">
        <v>0</v>
      </c>
      <c r="AI178" s="684">
        <v>0</v>
      </c>
      <c r="AJ178" s="682">
        <v>0</v>
      </c>
      <c r="AK178" s="684">
        <v>0</v>
      </c>
      <c r="AL178" s="686">
        <v>0</v>
      </c>
      <c r="AM178" s="682">
        <v>0</v>
      </c>
      <c r="AN178" s="682">
        <v>0</v>
      </c>
      <c r="AO178" s="686">
        <v>0</v>
      </c>
      <c r="AP178" s="687">
        <v>0</v>
      </c>
      <c r="AQ178" s="684">
        <v>0</v>
      </c>
      <c r="AR178" s="682">
        <v>0</v>
      </c>
      <c r="AS178" s="684">
        <v>0</v>
      </c>
      <c r="AT178" s="688">
        <v>0</v>
      </c>
      <c r="AU178" s="682">
        <v>0</v>
      </c>
      <c r="AV178" s="684">
        <v>0</v>
      </c>
      <c r="AW178" s="689">
        <v>0</v>
      </c>
      <c r="AX178" s="690">
        <v>0</v>
      </c>
      <c r="AY178" s="689">
        <v>0</v>
      </c>
      <c r="AZ178" s="690">
        <v>0</v>
      </c>
      <c r="BA178" s="689">
        <v>0</v>
      </c>
      <c r="BB178" s="690">
        <v>0</v>
      </c>
      <c r="BC178" s="691">
        <v>0</v>
      </c>
      <c r="BD178" s="692">
        <v>0</v>
      </c>
      <c r="BE178" s="689">
        <v>0</v>
      </c>
      <c r="BF178" s="690">
        <v>0</v>
      </c>
      <c r="BG178" s="691">
        <v>0</v>
      </c>
      <c r="BH178" s="690">
        <v>0</v>
      </c>
      <c r="BI178" s="691">
        <v>0</v>
      </c>
      <c r="BJ178" s="690">
        <v>0</v>
      </c>
      <c r="BK178" s="691">
        <v>0</v>
      </c>
      <c r="BL178" s="690">
        <v>0</v>
      </c>
      <c r="BM178" s="691">
        <v>0</v>
      </c>
      <c r="BN178" s="690">
        <v>0</v>
      </c>
      <c r="BO178" s="691">
        <v>0</v>
      </c>
      <c r="BP178" s="690">
        <v>0</v>
      </c>
      <c r="BQ178" s="691">
        <v>0</v>
      </c>
      <c r="BR178" s="690">
        <v>0</v>
      </c>
      <c r="BS178" s="691">
        <v>0</v>
      </c>
      <c r="BT178" s="690">
        <v>0</v>
      </c>
      <c r="BU178" s="691">
        <v>0</v>
      </c>
      <c r="BV178" s="690">
        <v>0</v>
      </c>
      <c r="BW178" s="691">
        <v>0</v>
      </c>
      <c r="BX178" s="690">
        <v>0</v>
      </c>
      <c r="BY178" s="691">
        <v>0</v>
      </c>
      <c r="BZ178" s="690">
        <v>0</v>
      </c>
      <c r="CA178" s="691">
        <v>0</v>
      </c>
      <c r="CB178" s="690">
        <v>0</v>
      </c>
      <c r="CC178" s="689">
        <v>0</v>
      </c>
      <c r="CD178" s="692">
        <v>0</v>
      </c>
      <c r="CE178" s="689">
        <v>0</v>
      </c>
      <c r="CF178" s="692">
        <v>0</v>
      </c>
      <c r="CG178" s="689">
        <v>0</v>
      </c>
      <c r="CH178" s="692">
        <v>0</v>
      </c>
      <c r="CI178" s="689">
        <v>0</v>
      </c>
      <c r="CJ178" s="692">
        <v>0</v>
      </c>
      <c r="CK178" s="689">
        <v>0</v>
      </c>
      <c r="CL178" s="692">
        <v>0</v>
      </c>
      <c r="CM178" s="689">
        <v>0</v>
      </c>
      <c r="CN178" s="692">
        <v>0</v>
      </c>
      <c r="CO178" s="689">
        <v>0</v>
      </c>
      <c r="CP178" s="692">
        <v>0</v>
      </c>
      <c r="CQ178" s="689">
        <v>0</v>
      </c>
      <c r="CR178" s="690">
        <v>0</v>
      </c>
      <c r="CS178" s="689">
        <v>0</v>
      </c>
      <c r="CT178" s="690">
        <v>0</v>
      </c>
      <c r="CU178" s="691">
        <v>0</v>
      </c>
      <c r="CV178" s="690">
        <v>0</v>
      </c>
    </row>
    <row r="179" spans="1:100">
      <c r="A179" s="457">
        <v>177</v>
      </c>
      <c r="B179" s="577">
        <v>0</v>
      </c>
      <c r="C179" s="577">
        <v>0</v>
      </c>
      <c r="D179" s="577">
        <v>0</v>
      </c>
      <c r="E179" s="577">
        <v>0</v>
      </c>
      <c r="F179" s="577">
        <v>0</v>
      </c>
      <c r="G179" s="577">
        <v>0</v>
      </c>
      <c r="H179" s="577">
        <v>0</v>
      </c>
      <c r="I179" s="577">
        <v>0</v>
      </c>
      <c r="J179" s="577">
        <v>0</v>
      </c>
      <c r="K179" s="577">
        <v>0</v>
      </c>
      <c r="L179" s="577">
        <v>0</v>
      </c>
      <c r="M179" s="577">
        <v>0</v>
      </c>
      <c r="N179" s="577">
        <v>0</v>
      </c>
      <c r="O179" s="577">
        <v>0</v>
      </c>
      <c r="P179" s="577">
        <v>0</v>
      </c>
      <c r="Q179" s="577">
        <v>0</v>
      </c>
      <c r="R179" s="577">
        <v>0</v>
      </c>
      <c r="S179" s="577">
        <v>0</v>
      </c>
      <c r="T179" s="577">
        <v>0</v>
      </c>
      <c r="U179" s="577">
        <v>0</v>
      </c>
      <c r="V179" s="577">
        <v>0</v>
      </c>
      <c r="W179" s="592">
        <v>0</v>
      </c>
      <c r="X179" s="685">
        <v>0</v>
      </c>
      <c r="Y179" s="685">
        <v>0</v>
      </c>
      <c r="Z179" s="685">
        <v>0</v>
      </c>
      <c r="AA179" s="685">
        <v>0</v>
      </c>
      <c r="AB179" s="685">
        <v>0</v>
      </c>
      <c r="AC179" s="685">
        <v>0</v>
      </c>
      <c r="AD179" s="685">
        <v>0</v>
      </c>
      <c r="AE179" s="910">
        <v>0</v>
      </c>
      <c r="AF179" s="911">
        <v>0</v>
      </c>
      <c r="AG179" s="912">
        <v>0</v>
      </c>
      <c r="AH179" s="685">
        <v>0</v>
      </c>
      <c r="AI179" s="684">
        <v>0</v>
      </c>
      <c r="AJ179" s="682">
        <v>0</v>
      </c>
      <c r="AK179" s="684">
        <v>0</v>
      </c>
      <c r="AL179" s="686">
        <v>0</v>
      </c>
      <c r="AM179" s="682">
        <v>0</v>
      </c>
      <c r="AN179" s="682">
        <v>0</v>
      </c>
      <c r="AO179" s="686">
        <v>0</v>
      </c>
      <c r="AP179" s="687">
        <v>0</v>
      </c>
      <c r="AQ179" s="684">
        <v>0</v>
      </c>
      <c r="AR179" s="682">
        <v>0</v>
      </c>
      <c r="AS179" s="684">
        <v>0</v>
      </c>
      <c r="AT179" s="688">
        <v>0</v>
      </c>
      <c r="AU179" s="682">
        <v>0</v>
      </c>
      <c r="AV179" s="684">
        <v>0</v>
      </c>
      <c r="AW179" s="689">
        <v>0</v>
      </c>
      <c r="AX179" s="690">
        <v>0</v>
      </c>
      <c r="AY179" s="689">
        <v>0</v>
      </c>
      <c r="AZ179" s="690">
        <v>0</v>
      </c>
      <c r="BA179" s="689">
        <v>0</v>
      </c>
      <c r="BB179" s="690">
        <v>0</v>
      </c>
      <c r="BC179" s="691">
        <v>0</v>
      </c>
      <c r="BD179" s="692">
        <v>0</v>
      </c>
      <c r="BE179" s="689">
        <v>0</v>
      </c>
      <c r="BF179" s="690">
        <v>0</v>
      </c>
      <c r="BG179" s="691">
        <v>0</v>
      </c>
      <c r="BH179" s="690">
        <v>0</v>
      </c>
      <c r="BI179" s="691">
        <v>0</v>
      </c>
      <c r="BJ179" s="690">
        <v>0</v>
      </c>
      <c r="BK179" s="691">
        <v>0</v>
      </c>
      <c r="BL179" s="690">
        <v>0</v>
      </c>
      <c r="BM179" s="691">
        <v>0</v>
      </c>
      <c r="BN179" s="690">
        <v>0</v>
      </c>
      <c r="BO179" s="691">
        <v>0</v>
      </c>
      <c r="BP179" s="690">
        <v>0</v>
      </c>
      <c r="BQ179" s="691">
        <v>0</v>
      </c>
      <c r="BR179" s="690">
        <v>0</v>
      </c>
      <c r="BS179" s="691">
        <v>0</v>
      </c>
      <c r="BT179" s="690">
        <v>0</v>
      </c>
      <c r="BU179" s="691">
        <v>0</v>
      </c>
      <c r="BV179" s="690">
        <v>0</v>
      </c>
      <c r="BW179" s="691">
        <v>0</v>
      </c>
      <c r="BX179" s="690">
        <v>0</v>
      </c>
      <c r="BY179" s="691">
        <v>0</v>
      </c>
      <c r="BZ179" s="690">
        <v>0</v>
      </c>
      <c r="CA179" s="691">
        <v>0</v>
      </c>
      <c r="CB179" s="690">
        <v>0</v>
      </c>
      <c r="CC179" s="689">
        <v>0</v>
      </c>
      <c r="CD179" s="692">
        <v>0</v>
      </c>
      <c r="CE179" s="689">
        <v>0</v>
      </c>
      <c r="CF179" s="692">
        <v>0</v>
      </c>
      <c r="CG179" s="689">
        <v>0</v>
      </c>
      <c r="CH179" s="692">
        <v>0</v>
      </c>
      <c r="CI179" s="689">
        <v>0</v>
      </c>
      <c r="CJ179" s="692">
        <v>0</v>
      </c>
      <c r="CK179" s="689">
        <v>0</v>
      </c>
      <c r="CL179" s="692">
        <v>0</v>
      </c>
      <c r="CM179" s="689">
        <v>0</v>
      </c>
      <c r="CN179" s="692">
        <v>0</v>
      </c>
      <c r="CO179" s="689">
        <v>0</v>
      </c>
      <c r="CP179" s="692">
        <v>0</v>
      </c>
      <c r="CQ179" s="689">
        <v>0</v>
      </c>
      <c r="CR179" s="690">
        <v>0</v>
      </c>
      <c r="CS179" s="689">
        <v>0</v>
      </c>
      <c r="CT179" s="690">
        <v>0</v>
      </c>
      <c r="CU179" s="691">
        <v>0</v>
      </c>
      <c r="CV179" s="690">
        <v>0</v>
      </c>
    </row>
    <row r="180" spans="1:100">
      <c r="A180" s="457">
        <v>178</v>
      </c>
      <c r="B180" s="577">
        <v>0</v>
      </c>
      <c r="C180" s="577">
        <v>0</v>
      </c>
      <c r="D180" s="577">
        <v>0</v>
      </c>
      <c r="E180" s="577">
        <v>0</v>
      </c>
      <c r="F180" s="577">
        <v>0</v>
      </c>
      <c r="G180" s="577">
        <v>0</v>
      </c>
      <c r="H180" s="577">
        <v>0</v>
      </c>
      <c r="I180" s="577">
        <v>0</v>
      </c>
      <c r="J180" s="577">
        <v>0</v>
      </c>
      <c r="K180" s="577">
        <v>0</v>
      </c>
      <c r="L180" s="577">
        <v>0</v>
      </c>
      <c r="M180" s="577">
        <v>0</v>
      </c>
      <c r="N180" s="577">
        <v>0</v>
      </c>
      <c r="O180" s="577">
        <v>0</v>
      </c>
      <c r="P180" s="577">
        <v>0</v>
      </c>
      <c r="Q180" s="577">
        <v>0</v>
      </c>
      <c r="R180" s="577">
        <v>0</v>
      </c>
      <c r="S180" s="577">
        <v>0</v>
      </c>
      <c r="T180" s="577">
        <v>0</v>
      </c>
      <c r="U180" s="577">
        <v>0</v>
      </c>
      <c r="V180" s="577">
        <v>0</v>
      </c>
      <c r="W180" s="592">
        <v>0</v>
      </c>
      <c r="X180" s="685">
        <v>0</v>
      </c>
      <c r="Y180" s="685">
        <v>0</v>
      </c>
      <c r="Z180" s="685">
        <v>0</v>
      </c>
      <c r="AA180" s="685">
        <v>0</v>
      </c>
      <c r="AB180" s="685">
        <v>0</v>
      </c>
      <c r="AC180" s="685">
        <v>0</v>
      </c>
      <c r="AD180" s="685">
        <v>0</v>
      </c>
      <c r="AE180" s="910">
        <v>0</v>
      </c>
      <c r="AF180" s="911">
        <v>0</v>
      </c>
      <c r="AG180" s="912">
        <v>0</v>
      </c>
      <c r="AH180" s="685">
        <v>0</v>
      </c>
      <c r="AI180" s="684">
        <v>0</v>
      </c>
      <c r="AJ180" s="682">
        <v>0</v>
      </c>
      <c r="AK180" s="684">
        <v>0</v>
      </c>
      <c r="AL180" s="686">
        <v>0</v>
      </c>
      <c r="AM180" s="682">
        <v>0</v>
      </c>
      <c r="AN180" s="682">
        <v>0</v>
      </c>
      <c r="AO180" s="686">
        <v>0</v>
      </c>
      <c r="AP180" s="687">
        <v>0</v>
      </c>
      <c r="AQ180" s="684">
        <v>0</v>
      </c>
      <c r="AR180" s="682">
        <v>0</v>
      </c>
      <c r="AS180" s="684">
        <v>0</v>
      </c>
      <c r="AT180" s="688">
        <v>0</v>
      </c>
      <c r="AU180" s="682">
        <v>0</v>
      </c>
      <c r="AV180" s="684">
        <v>0</v>
      </c>
      <c r="AW180" s="689">
        <v>0</v>
      </c>
      <c r="AX180" s="690">
        <v>0</v>
      </c>
      <c r="AY180" s="689">
        <v>0</v>
      </c>
      <c r="AZ180" s="690">
        <v>0</v>
      </c>
      <c r="BA180" s="689">
        <v>0</v>
      </c>
      <c r="BB180" s="690">
        <v>0</v>
      </c>
      <c r="BC180" s="691">
        <v>0</v>
      </c>
      <c r="BD180" s="692">
        <v>0</v>
      </c>
      <c r="BE180" s="689">
        <v>0</v>
      </c>
      <c r="BF180" s="690">
        <v>0</v>
      </c>
      <c r="BG180" s="691">
        <v>0</v>
      </c>
      <c r="BH180" s="690">
        <v>0</v>
      </c>
      <c r="BI180" s="691">
        <v>0</v>
      </c>
      <c r="BJ180" s="690">
        <v>0</v>
      </c>
      <c r="BK180" s="691">
        <v>0</v>
      </c>
      <c r="BL180" s="690">
        <v>0</v>
      </c>
      <c r="BM180" s="691">
        <v>0</v>
      </c>
      <c r="BN180" s="690">
        <v>0</v>
      </c>
      <c r="BO180" s="691">
        <v>0</v>
      </c>
      <c r="BP180" s="690">
        <v>0</v>
      </c>
      <c r="BQ180" s="691">
        <v>0</v>
      </c>
      <c r="BR180" s="690">
        <v>0</v>
      </c>
      <c r="BS180" s="691">
        <v>0</v>
      </c>
      <c r="BT180" s="690">
        <v>0</v>
      </c>
      <c r="BU180" s="691">
        <v>0</v>
      </c>
      <c r="BV180" s="690">
        <v>0</v>
      </c>
      <c r="BW180" s="691">
        <v>0</v>
      </c>
      <c r="BX180" s="690">
        <v>0</v>
      </c>
      <c r="BY180" s="691">
        <v>0</v>
      </c>
      <c r="BZ180" s="690">
        <v>0</v>
      </c>
      <c r="CA180" s="691">
        <v>0</v>
      </c>
      <c r="CB180" s="690">
        <v>0</v>
      </c>
      <c r="CC180" s="689">
        <v>0</v>
      </c>
      <c r="CD180" s="692">
        <v>0</v>
      </c>
      <c r="CE180" s="689">
        <v>0</v>
      </c>
      <c r="CF180" s="692">
        <v>0</v>
      </c>
      <c r="CG180" s="689">
        <v>0</v>
      </c>
      <c r="CH180" s="692">
        <v>0</v>
      </c>
      <c r="CI180" s="689">
        <v>0</v>
      </c>
      <c r="CJ180" s="692">
        <v>0</v>
      </c>
      <c r="CK180" s="689">
        <v>0</v>
      </c>
      <c r="CL180" s="692">
        <v>0</v>
      </c>
      <c r="CM180" s="689">
        <v>0</v>
      </c>
      <c r="CN180" s="692">
        <v>0</v>
      </c>
      <c r="CO180" s="689">
        <v>0</v>
      </c>
      <c r="CP180" s="692">
        <v>0</v>
      </c>
      <c r="CQ180" s="689">
        <v>0</v>
      </c>
      <c r="CR180" s="690">
        <v>0</v>
      </c>
      <c r="CS180" s="689">
        <v>0</v>
      </c>
      <c r="CT180" s="690">
        <v>0</v>
      </c>
      <c r="CU180" s="691">
        <v>0</v>
      </c>
      <c r="CV180" s="690">
        <v>0</v>
      </c>
    </row>
    <row r="181" spans="1:100">
      <c r="A181" s="457">
        <v>179</v>
      </c>
      <c r="B181" s="577">
        <v>0</v>
      </c>
      <c r="C181" s="577">
        <v>0</v>
      </c>
      <c r="D181" s="577">
        <v>0</v>
      </c>
      <c r="E181" s="577">
        <v>0</v>
      </c>
      <c r="F181" s="577">
        <v>0</v>
      </c>
      <c r="G181" s="577">
        <v>0</v>
      </c>
      <c r="H181" s="577">
        <v>0</v>
      </c>
      <c r="I181" s="577">
        <v>0</v>
      </c>
      <c r="J181" s="577">
        <v>0</v>
      </c>
      <c r="K181" s="577">
        <v>0</v>
      </c>
      <c r="L181" s="577">
        <v>0</v>
      </c>
      <c r="M181" s="577">
        <v>0</v>
      </c>
      <c r="N181" s="577">
        <v>0</v>
      </c>
      <c r="O181" s="577">
        <v>0</v>
      </c>
      <c r="P181" s="577">
        <v>0</v>
      </c>
      <c r="Q181" s="577">
        <v>0</v>
      </c>
      <c r="R181" s="577">
        <v>0</v>
      </c>
      <c r="S181" s="577">
        <v>0</v>
      </c>
      <c r="T181" s="577">
        <v>0</v>
      </c>
      <c r="U181" s="577">
        <v>0</v>
      </c>
      <c r="V181" s="577">
        <v>0</v>
      </c>
      <c r="W181" s="592">
        <v>0</v>
      </c>
      <c r="X181" s="685">
        <v>0</v>
      </c>
      <c r="Y181" s="685">
        <v>0</v>
      </c>
      <c r="Z181" s="685">
        <v>0</v>
      </c>
      <c r="AA181" s="685">
        <v>0</v>
      </c>
      <c r="AB181" s="685">
        <v>0</v>
      </c>
      <c r="AC181" s="685">
        <v>0</v>
      </c>
      <c r="AD181" s="685">
        <v>0</v>
      </c>
      <c r="AE181" s="910">
        <v>0</v>
      </c>
      <c r="AF181" s="911">
        <v>0</v>
      </c>
      <c r="AG181" s="912">
        <v>0</v>
      </c>
      <c r="AH181" s="685">
        <v>0</v>
      </c>
      <c r="AI181" s="684">
        <v>0</v>
      </c>
      <c r="AJ181" s="682">
        <v>0</v>
      </c>
      <c r="AK181" s="684">
        <v>0</v>
      </c>
      <c r="AL181" s="686">
        <v>0</v>
      </c>
      <c r="AM181" s="682">
        <v>0</v>
      </c>
      <c r="AN181" s="682">
        <v>0</v>
      </c>
      <c r="AO181" s="686">
        <v>0</v>
      </c>
      <c r="AP181" s="687">
        <v>0</v>
      </c>
      <c r="AQ181" s="684">
        <v>0</v>
      </c>
      <c r="AR181" s="682">
        <v>0</v>
      </c>
      <c r="AS181" s="684">
        <v>0</v>
      </c>
      <c r="AT181" s="688">
        <v>0</v>
      </c>
      <c r="AU181" s="682">
        <v>0</v>
      </c>
      <c r="AV181" s="684">
        <v>0</v>
      </c>
      <c r="AW181" s="689">
        <v>0</v>
      </c>
      <c r="AX181" s="690">
        <v>0</v>
      </c>
      <c r="AY181" s="689">
        <v>0</v>
      </c>
      <c r="AZ181" s="690">
        <v>0</v>
      </c>
      <c r="BA181" s="689">
        <v>0</v>
      </c>
      <c r="BB181" s="690">
        <v>0</v>
      </c>
      <c r="BC181" s="691">
        <v>0</v>
      </c>
      <c r="BD181" s="692">
        <v>0</v>
      </c>
      <c r="BE181" s="689">
        <v>0</v>
      </c>
      <c r="BF181" s="690">
        <v>0</v>
      </c>
      <c r="BG181" s="691">
        <v>0</v>
      </c>
      <c r="BH181" s="690">
        <v>0</v>
      </c>
      <c r="BI181" s="691">
        <v>0</v>
      </c>
      <c r="BJ181" s="690">
        <v>0</v>
      </c>
      <c r="BK181" s="691">
        <v>0</v>
      </c>
      <c r="BL181" s="690">
        <v>0</v>
      </c>
      <c r="BM181" s="691">
        <v>0</v>
      </c>
      <c r="BN181" s="690">
        <v>0</v>
      </c>
      <c r="BO181" s="691">
        <v>0</v>
      </c>
      <c r="BP181" s="690">
        <v>0</v>
      </c>
      <c r="BQ181" s="691">
        <v>0</v>
      </c>
      <c r="BR181" s="690">
        <v>0</v>
      </c>
      <c r="BS181" s="691">
        <v>0</v>
      </c>
      <c r="BT181" s="690">
        <v>0</v>
      </c>
      <c r="BU181" s="691">
        <v>0</v>
      </c>
      <c r="BV181" s="690">
        <v>0</v>
      </c>
      <c r="BW181" s="691">
        <v>0</v>
      </c>
      <c r="BX181" s="690">
        <v>0</v>
      </c>
      <c r="BY181" s="691">
        <v>0</v>
      </c>
      <c r="BZ181" s="690">
        <v>0</v>
      </c>
      <c r="CA181" s="691">
        <v>0</v>
      </c>
      <c r="CB181" s="690">
        <v>0</v>
      </c>
      <c r="CC181" s="689">
        <v>0</v>
      </c>
      <c r="CD181" s="692">
        <v>0</v>
      </c>
      <c r="CE181" s="689">
        <v>0</v>
      </c>
      <c r="CF181" s="692">
        <v>0</v>
      </c>
      <c r="CG181" s="689">
        <v>0</v>
      </c>
      <c r="CH181" s="692">
        <v>0</v>
      </c>
      <c r="CI181" s="689">
        <v>0</v>
      </c>
      <c r="CJ181" s="692">
        <v>0</v>
      </c>
      <c r="CK181" s="689">
        <v>0</v>
      </c>
      <c r="CL181" s="692">
        <v>0</v>
      </c>
      <c r="CM181" s="689">
        <v>0</v>
      </c>
      <c r="CN181" s="692">
        <v>0</v>
      </c>
      <c r="CO181" s="689">
        <v>0</v>
      </c>
      <c r="CP181" s="692">
        <v>0</v>
      </c>
      <c r="CQ181" s="689">
        <v>0</v>
      </c>
      <c r="CR181" s="690">
        <v>0</v>
      </c>
      <c r="CS181" s="689">
        <v>0</v>
      </c>
      <c r="CT181" s="690">
        <v>0</v>
      </c>
      <c r="CU181" s="691">
        <v>0</v>
      </c>
      <c r="CV181" s="690">
        <v>0</v>
      </c>
    </row>
    <row r="182" spans="1:100">
      <c r="A182" s="457">
        <v>180</v>
      </c>
      <c r="B182" s="577">
        <v>0</v>
      </c>
      <c r="C182" s="577">
        <v>0</v>
      </c>
      <c r="D182" s="577">
        <v>0</v>
      </c>
      <c r="E182" s="577">
        <v>0</v>
      </c>
      <c r="F182" s="577">
        <v>0</v>
      </c>
      <c r="G182" s="577">
        <v>0</v>
      </c>
      <c r="H182" s="577">
        <v>0</v>
      </c>
      <c r="I182" s="577">
        <v>0</v>
      </c>
      <c r="J182" s="577">
        <v>0</v>
      </c>
      <c r="K182" s="577">
        <v>0</v>
      </c>
      <c r="L182" s="577">
        <v>0</v>
      </c>
      <c r="M182" s="577">
        <v>0</v>
      </c>
      <c r="N182" s="577">
        <v>0</v>
      </c>
      <c r="O182" s="577">
        <v>0</v>
      </c>
      <c r="P182" s="577">
        <v>0</v>
      </c>
      <c r="Q182" s="577">
        <v>0</v>
      </c>
      <c r="R182" s="577">
        <v>0</v>
      </c>
      <c r="S182" s="577">
        <v>0</v>
      </c>
      <c r="T182" s="577">
        <v>0</v>
      </c>
      <c r="U182" s="577">
        <v>0</v>
      </c>
      <c r="V182" s="577">
        <v>0</v>
      </c>
      <c r="W182" s="592">
        <v>0</v>
      </c>
      <c r="X182" s="685">
        <v>0</v>
      </c>
      <c r="Y182" s="685">
        <v>0</v>
      </c>
      <c r="Z182" s="685">
        <v>0</v>
      </c>
      <c r="AA182" s="685">
        <v>0</v>
      </c>
      <c r="AB182" s="685">
        <v>0</v>
      </c>
      <c r="AC182" s="685">
        <v>0</v>
      </c>
      <c r="AD182" s="685">
        <v>0</v>
      </c>
      <c r="AE182" s="910">
        <v>0</v>
      </c>
      <c r="AF182" s="911">
        <v>0</v>
      </c>
      <c r="AG182" s="912">
        <v>0</v>
      </c>
      <c r="AH182" s="685">
        <v>0</v>
      </c>
      <c r="AI182" s="684">
        <v>0</v>
      </c>
      <c r="AJ182" s="682">
        <v>0</v>
      </c>
      <c r="AK182" s="684">
        <v>0</v>
      </c>
      <c r="AL182" s="686">
        <v>0</v>
      </c>
      <c r="AM182" s="682">
        <v>0</v>
      </c>
      <c r="AN182" s="682">
        <v>0</v>
      </c>
      <c r="AO182" s="686">
        <v>0</v>
      </c>
      <c r="AP182" s="687">
        <v>0</v>
      </c>
      <c r="AQ182" s="684">
        <v>0</v>
      </c>
      <c r="AR182" s="682">
        <v>0</v>
      </c>
      <c r="AS182" s="684">
        <v>0</v>
      </c>
      <c r="AT182" s="688">
        <v>0</v>
      </c>
      <c r="AU182" s="682">
        <v>0</v>
      </c>
      <c r="AV182" s="684">
        <v>0</v>
      </c>
      <c r="AW182" s="689">
        <v>0</v>
      </c>
      <c r="AX182" s="690">
        <v>0</v>
      </c>
      <c r="AY182" s="689">
        <v>0</v>
      </c>
      <c r="AZ182" s="690">
        <v>0</v>
      </c>
      <c r="BA182" s="689">
        <v>0</v>
      </c>
      <c r="BB182" s="690">
        <v>0</v>
      </c>
      <c r="BC182" s="691">
        <v>0</v>
      </c>
      <c r="BD182" s="692">
        <v>0</v>
      </c>
      <c r="BE182" s="689">
        <v>0</v>
      </c>
      <c r="BF182" s="690">
        <v>0</v>
      </c>
      <c r="BG182" s="691">
        <v>0</v>
      </c>
      <c r="BH182" s="690">
        <v>0</v>
      </c>
      <c r="BI182" s="691">
        <v>0</v>
      </c>
      <c r="BJ182" s="690">
        <v>0</v>
      </c>
      <c r="BK182" s="691">
        <v>0</v>
      </c>
      <c r="BL182" s="690">
        <v>0</v>
      </c>
      <c r="BM182" s="691">
        <v>0</v>
      </c>
      <c r="BN182" s="690">
        <v>0</v>
      </c>
      <c r="BO182" s="691">
        <v>0</v>
      </c>
      <c r="BP182" s="690">
        <v>0</v>
      </c>
      <c r="BQ182" s="691">
        <v>0</v>
      </c>
      <c r="BR182" s="690">
        <v>0</v>
      </c>
      <c r="BS182" s="691">
        <v>0</v>
      </c>
      <c r="BT182" s="690">
        <v>0</v>
      </c>
      <c r="BU182" s="691">
        <v>0</v>
      </c>
      <c r="BV182" s="690">
        <v>0</v>
      </c>
      <c r="BW182" s="691">
        <v>0</v>
      </c>
      <c r="BX182" s="690">
        <v>0</v>
      </c>
      <c r="BY182" s="691">
        <v>0</v>
      </c>
      <c r="BZ182" s="690">
        <v>0</v>
      </c>
      <c r="CA182" s="691">
        <v>0</v>
      </c>
      <c r="CB182" s="690">
        <v>0</v>
      </c>
      <c r="CC182" s="689">
        <v>0</v>
      </c>
      <c r="CD182" s="692">
        <v>0</v>
      </c>
      <c r="CE182" s="689">
        <v>0</v>
      </c>
      <c r="CF182" s="692">
        <v>0</v>
      </c>
      <c r="CG182" s="689">
        <v>0</v>
      </c>
      <c r="CH182" s="692">
        <v>0</v>
      </c>
      <c r="CI182" s="689">
        <v>0</v>
      </c>
      <c r="CJ182" s="692">
        <v>0</v>
      </c>
      <c r="CK182" s="689">
        <v>0</v>
      </c>
      <c r="CL182" s="692">
        <v>0</v>
      </c>
      <c r="CM182" s="689">
        <v>0</v>
      </c>
      <c r="CN182" s="692">
        <v>0</v>
      </c>
      <c r="CO182" s="689">
        <v>0</v>
      </c>
      <c r="CP182" s="692">
        <v>0</v>
      </c>
      <c r="CQ182" s="689">
        <v>0</v>
      </c>
      <c r="CR182" s="690">
        <v>0</v>
      </c>
      <c r="CS182" s="689">
        <v>0</v>
      </c>
      <c r="CT182" s="690">
        <v>0</v>
      </c>
      <c r="CU182" s="691">
        <v>0</v>
      </c>
      <c r="CV182" s="690">
        <v>0</v>
      </c>
    </row>
    <row r="183" spans="1:100">
      <c r="A183" s="457">
        <v>181</v>
      </c>
      <c r="B183" s="577">
        <v>0</v>
      </c>
      <c r="C183" s="577">
        <v>0</v>
      </c>
      <c r="D183" s="577">
        <v>0</v>
      </c>
      <c r="E183" s="577">
        <v>0</v>
      </c>
      <c r="F183" s="577">
        <v>0</v>
      </c>
      <c r="G183" s="577">
        <v>0</v>
      </c>
      <c r="H183" s="577">
        <v>0</v>
      </c>
      <c r="I183" s="577">
        <v>0</v>
      </c>
      <c r="J183" s="577">
        <v>0</v>
      </c>
      <c r="K183" s="577">
        <v>0</v>
      </c>
      <c r="L183" s="577">
        <v>0</v>
      </c>
      <c r="M183" s="577">
        <v>0</v>
      </c>
      <c r="N183" s="577">
        <v>0</v>
      </c>
      <c r="O183" s="577">
        <v>0</v>
      </c>
      <c r="P183" s="577">
        <v>0</v>
      </c>
      <c r="Q183" s="577">
        <v>0</v>
      </c>
      <c r="R183" s="577">
        <v>0</v>
      </c>
      <c r="S183" s="577">
        <v>0</v>
      </c>
      <c r="T183" s="577">
        <v>0</v>
      </c>
      <c r="U183" s="577">
        <v>0</v>
      </c>
      <c r="V183" s="577">
        <v>0</v>
      </c>
      <c r="W183" s="592">
        <v>0</v>
      </c>
      <c r="X183" s="685">
        <v>0</v>
      </c>
      <c r="Y183" s="685">
        <v>0</v>
      </c>
      <c r="Z183" s="685">
        <v>0</v>
      </c>
      <c r="AA183" s="685">
        <v>0</v>
      </c>
      <c r="AB183" s="685">
        <v>0</v>
      </c>
      <c r="AC183" s="685">
        <v>0</v>
      </c>
      <c r="AD183" s="685">
        <v>0</v>
      </c>
      <c r="AE183" s="910">
        <v>0</v>
      </c>
      <c r="AF183" s="911">
        <v>0</v>
      </c>
      <c r="AG183" s="912">
        <v>0</v>
      </c>
      <c r="AH183" s="685">
        <v>0</v>
      </c>
      <c r="AI183" s="684">
        <v>0</v>
      </c>
      <c r="AJ183" s="682">
        <v>0</v>
      </c>
      <c r="AK183" s="684">
        <v>0</v>
      </c>
      <c r="AL183" s="686">
        <v>0</v>
      </c>
      <c r="AM183" s="682">
        <v>0</v>
      </c>
      <c r="AN183" s="682">
        <v>0</v>
      </c>
      <c r="AO183" s="686">
        <v>0</v>
      </c>
      <c r="AP183" s="687">
        <v>0</v>
      </c>
      <c r="AQ183" s="684">
        <v>0</v>
      </c>
      <c r="AR183" s="682">
        <v>0</v>
      </c>
      <c r="AS183" s="684">
        <v>0</v>
      </c>
      <c r="AT183" s="688">
        <v>0</v>
      </c>
      <c r="AU183" s="682">
        <v>0</v>
      </c>
      <c r="AV183" s="684">
        <v>0</v>
      </c>
      <c r="AW183" s="689">
        <v>0</v>
      </c>
      <c r="AX183" s="690">
        <v>0</v>
      </c>
      <c r="AY183" s="689">
        <v>0</v>
      </c>
      <c r="AZ183" s="690">
        <v>0</v>
      </c>
      <c r="BA183" s="689">
        <v>0</v>
      </c>
      <c r="BB183" s="690">
        <v>0</v>
      </c>
      <c r="BC183" s="691">
        <v>0</v>
      </c>
      <c r="BD183" s="692">
        <v>0</v>
      </c>
      <c r="BE183" s="689">
        <v>0</v>
      </c>
      <c r="BF183" s="690">
        <v>0</v>
      </c>
      <c r="BG183" s="691">
        <v>0</v>
      </c>
      <c r="BH183" s="690">
        <v>0</v>
      </c>
      <c r="BI183" s="691">
        <v>0</v>
      </c>
      <c r="BJ183" s="690">
        <v>0</v>
      </c>
      <c r="BK183" s="691">
        <v>0</v>
      </c>
      <c r="BL183" s="690">
        <v>0</v>
      </c>
      <c r="BM183" s="691">
        <v>0</v>
      </c>
      <c r="BN183" s="690">
        <v>0</v>
      </c>
      <c r="BO183" s="691">
        <v>0</v>
      </c>
      <c r="BP183" s="690">
        <v>0</v>
      </c>
      <c r="BQ183" s="691">
        <v>0</v>
      </c>
      <c r="BR183" s="690">
        <v>0</v>
      </c>
      <c r="BS183" s="691">
        <v>0</v>
      </c>
      <c r="BT183" s="690">
        <v>0</v>
      </c>
      <c r="BU183" s="691">
        <v>0</v>
      </c>
      <c r="BV183" s="690">
        <v>0</v>
      </c>
      <c r="BW183" s="691">
        <v>0</v>
      </c>
      <c r="BX183" s="690">
        <v>0</v>
      </c>
      <c r="BY183" s="691">
        <v>0</v>
      </c>
      <c r="BZ183" s="690">
        <v>0</v>
      </c>
      <c r="CA183" s="691">
        <v>0</v>
      </c>
      <c r="CB183" s="690">
        <v>0</v>
      </c>
      <c r="CC183" s="689">
        <v>0</v>
      </c>
      <c r="CD183" s="692">
        <v>0</v>
      </c>
      <c r="CE183" s="689">
        <v>0</v>
      </c>
      <c r="CF183" s="692">
        <v>0</v>
      </c>
      <c r="CG183" s="689">
        <v>0</v>
      </c>
      <c r="CH183" s="692">
        <v>0</v>
      </c>
      <c r="CI183" s="689">
        <v>0</v>
      </c>
      <c r="CJ183" s="692">
        <v>0</v>
      </c>
      <c r="CK183" s="689">
        <v>0</v>
      </c>
      <c r="CL183" s="692">
        <v>0</v>
      </c>
      <c r="CM183" s="689">
        <v>0</v>
      </c>
      <c r="CN183" s="692">
        <v>0</v>
      </c>
      <c r="CO183" s="689">
        <v>0</v>
      </c>
      <c r="CP183" s="692">
        <v>0</v>
      </c>
      <c r="CQ183" s="689">
        <v>0</v>
      </c>
      <c r="CR183" s="690">
        <v>0</v>
      </c>
      <c r="CS183" s="689">
        <v>0</v>
      </c>
      <c r="CT183" s="690">
        <v>0</v>
      </c>
      <c r="CU183" s="691">
        <v>0</v>
      </c>
      <c r="CV183" s="690">
        <v>0</v>
      </c>
    </row>
    <row r="184" spans="1:100">
      <c r="A184" s="457">
        <v>182</v>
      </c>
      <c r="B184" s="577">
        <v>0</v>
      </c>
      <c r="C184" s="577">
        <v>0</v>
      </c>
      <c r="D184" s="577">
        <v>0</v>
      </c>
      <c r="E184" s="577">
        <v>0</v>
      </c>
      <c r="F184" s="577">
        <v>0</v>
      </c>
      <c r="G184" s="577">
        <v>0</v>
      </c>
      <c r="H184" s="577">
        <v>0</v>
      </c>
      <c r="I184" s="577">
        <v>0</v>
      </c>
      <c r="J184" s="577">
        <v>0</v>
      </c>
      <c r="K184" s="577">
        <v>0</v>
      </c>
      <c r="L184" s="577">
        <v>0</v>
      </c>
      <c r="M184" s="577">
        <v>0</v>
      </c>
      <c r="N184" s="577">
        <v>0</v>
      </c>
      <c r="O184" s="577">
        <v>0</v>
      </c>
      <c r="P184" s="577">
        <v>0</v>
      </c>
      <c r="Q184" s="577">
        <v>0</v>
      </c>
      <c r="R184" s="577">
        <v>0</v>
      </c>
      <c r="S184" s="577">
        <v>0</v>
      </c>
      <c r="T184" s="577">
        <v>0</v>
      </c>
      <c r="U184" s="577">
        <v>0</v>
      </c>
      <c r="V184" s="577">
        <v>0</v>
      </c>
      <c r="W184" s="592">
        <v>0</v>
      </c>
      <c r="X184" s="685">
        <v>0</v>
      </c>
      <c r="Y184" s="685">
        <v>0</v>
      </c>
      <c r="Z184" s="685">
        <v>0</v>
      </c>
      <c r="AA184" s="685">
        <v>0</v>
      </c>
      <c r="AB184" s="685">
        <v>0</v>
      </c>
      <c r="AC184" s="685">
        <v>0</v>
      </c>
      <c r="AD184" s="685">
        <v>0</v>
      </c>
      <c r="AE184" s="910">
        <v>0</v>
      </c>
      <c r="AF184" s="911">
        <v>0</v>
      </c>
      <c r="AG184" s="912">
        <v>0</v>
      </c>
      <c r="AH184" s="685">
        <v>0</v>
      </c>
      <c r="AI184" s="684">
        <v>0</v>
      </c>
      <c r="AJ184" s="682">
        <v>0</v>
      </c>
      <c r="AK184" s="684">
        <v>0</v>
      </c>
      <c r="AL184" s="686">
        <v>0</v>
      </c>
      <c r="AM184" s="682">
        <v>0</v>
      </c>
      <c r="AN184" s="682">
        <v>0</v>
      </c>
      <c r="AO184" s="686">
        <v>0</v>
      </c>
      <c r="AP184" s="687">
        <v>0</v>
      </c>
      <c r="AQ184" s="684">
        <v>0</v>
      </c>
      <c r="AR184" s="682">
        <v>0</v>
      </c>
      <c r="AS184" s="684">
        <v>0</v>
      </c>
      <c r="AT184" s="688">
        <v>0</v>
      </c>
      <c r="AU184" s="682">
        <v>0</v>
      </c>
      <c r="AV184" s="684">
        <v>0</v>
      </c>
      <c r="AW184" s="689">
        <v>0</v>
      </c>
      <c r="AX184" s="690">
        <v>0</v>
      </c>
      <c r="AY184" s="689">
        <v>0</v>
      </c>
      <c r="AZ184" s="690">
        <v>0</v>
      </c>
      <c r="BA184" s="689">
        <v>0</v>
      </c>
      <c r="BB184" s="690">
        <v>0</v>
      </c>
      <c r="BC184" s="691">
        <v>0</v>
      </c>
      <c r="BD184" s="692">
        <v>0</v>
      </c>
      <c r="BE184" s="689">
        <v>0</v>
      </c>
      <c r="BF184" s="690">
        <v>0</v>
      </c>
      <c r="BG184" s="691">
        <v>0</v>
      </c>
      <c r="BH184" s="690">
        <v>0</v>
      </c>
      <c r="BI184" s="691">
        <v>0</v>
      </c>
      <c r="BJ184" s="690">
        <v>0</v>
      </c>
      <c r="BK184" s="691">
        <v>0</v>
      </c>
      <c r="BL184" s="690">
        <v>0</v>
      </c>
      <c r="BM184" s="691">
        <v>0</v>
      </c>
      <c r="BN184" s="690">
        <v>0</v>
      </c>
      <c r="BO184" s="691">
        <v>0</v>
      </c>
      <c r="BP184" s="690">
        <v>0</v>
      </c>
      <c r="BQ184" s="691">
        <v>0</v>
      </c>
      <c r="BR184" s="690">
        <v>0</v>
      </c>
      <c r="BS184" s="691">
        <v>0</v>
      </c>
      <c r="BT184" s="690">
        <v>0</v>
      </c>
      <c r="BU184" s="691">
        <v>0</v>
      </c>
      <c r="BV184" s="690">
        <v>0</v>
      </c>
      <c r="BW184" s="691">
        <v>0</v>
      </c>
      <c r="BX184" s="690">
        <v>0</v>
      </c>
      <c r="BY184" s="691">
        <v>0</v>
      </c>
      <c r="BZ184" s="690">
        <v>0</v>
      </c>
      <c r="CA184" s="691">
        <v>0</v>
      </c>
      <c r="CB184" s="690">
        <v>0</v>
      </c>
      <c r="CC184" s="689">
        <v>0</v>
      </c>
      <c r="CD184" s="692">
        <v>0</v>
      </c>
      <c r="CE184" s="689">
        <v>0</v>
      </c>
      <c r="CF184" s="692">
        <v>0</v>
      </c>
      <c r="CG184" s="689">
        <v>0</v>
      </c>
      <c r="CH184" s="692">
        <v>0</v>
      </c>
      <c r="CI184" s="689">
        <v>0</v>
      </c>
      <c r="CJ184" s="692">
        <v>0</v>
      </c>
      <c r="CK184" s="689">
        <v>0</v>
      </c>
      <c r="CL184" s="692">
        <v>0</v>
      </c>
      <c r="CM184" s="689">
        <v>0</v>
      </c>
      <c r="CN184" s="692">
        <v>0</v>
      </c>
      <c r="CO184" s="689">
        <v>0</v>
      </c>
      <c r="CP184" s="692">
        <v>0</v>
      </c>
      <c r="CQ184" s="689">
        <v>0</v>
      </c>
      <c r="CR184" s="690">
        <v>0</v>
      </c>
      <c r="CS184" s="689">
        <v>0</v>
      </c>
      <c r="CT184" s="690">
        <v>0</v>
      </c>
      <c r="CU184" s="691">
        <v>0</v>
      </c>
      <c r="CV184" s="690">
        <v>0</v>
      </c>
    </row>
    <row r="185" spans="1:100">
      <c r="A185" s="457">
        <v>183</v>
      </c>
      <c r="B185" s="577">
        <v>0</v>
      </c>
      <c r="C185" s="577">
        <v>0</v>
      </c>
      <c r="D185" s="577">
        <v>0</v>
      </c>
      <c r="E185" s="577">
        <v>0</v>
      </c>
      <c r="F185" s="577">
        <v>0</v>
      </c>
      <c r="G185" s="577">
        <v>0</v>
      </c>
      <c r="H185" s="577">
        <v>0</v>
      </c>
      <c r="I185" s="577">
        <v>0</v>
      </c>
      <c r="J185" s="577">
        <v>0</v>
      </c>
      <c r="K185" s="577">
        <v>0</v>
      </c>
      <c r="L185" s="577">
        <v>0</v>
      </c>
      <c r="M185" s="577">
        <v>0</v>
      </c>
      <c r="N185" s="577">
        <v>0</v>
      </c>
      <c r="O185" s="577">
        <v>0</v>
      </c>
      <c r="P185" s="577">
        <v>0</v>
      </c>
      <c r="Q185" s="577">
        <v>0</v>
      </c>
      <c r="R185" s="577">
        <v>0</v>
      </c>
      <c r="S185" s="577">
        <v>0</v>
      </c>
      <c r="T185" s="577">
        <v>0</v>
      </c>
      <c r="U185" s="577">
        <v>0</v>
      </c>
      <c r="V185" s="577">
        <v>0</v>
      </c>
      <c r="W185" s="592">
        <v>0</v>
      </c>
      <c r="X185" s="685">
        <v>0</v>
      </c>
      <c r="Y185" s="685">
        <v>0</v>
      </c>
      <c r="Z185" s="685">
        <v>0</v>
      </c>
      <c r="AA185" s="685">
        <v>0</v>
      </c>
      <c r="AB185" s="685">
        <v>0</v>
      </c>
      <c r="AC185" s="685">
        <v>0</v>
      </c>
      <c r="AD185" s="685">
        <v>0</v>
      </c>
      <c r="AE185" s="910">
        <v>0</v>
      </c>
      <c r="AF185" s="911">
        <v>0</v>
      </c>
      <c r="AG185" s="912">
        <v>0</v>
      </c>
      <c r="AH185" s="685">
        <v>0</v>
      </c>
      <c r="AI185" s="684">
        <v>0</v>
      </c>
      <c r="AJ185" s="682">
        <v>0</v>
      </c>
      <c r="AK185" s="684">
        <v>0</v>
      </c>
      <c r="AL185" s="686">
        <v>0</v>
      </c>
      <c r="AM185" s="682">
        <v>0</v>
      </c>
      <c r="AN185" s="682">
        <v>0</v>
      </c>
      <c r="AO185" s="686">
        <v>0</v>
      </c>
      <c r="AP185" s="687">
        <v>0</v>
      </c>
      <c r="AQ185" s="684">
        <v>0</v>
      </c>
      <c r="AR185" s="682">
        <v>0</v>
      </c>
      <c r="AS185" s="684">
        <v>0</v>
      </c>
      <c r="AT185" s="688">
        <v>0</v>
      </c>
      <c r="AU185" s="682">
        <v>0</v>
      </c>
      <c r="AV185" s="684">
        <v>0</v>
      </c>
      <c r="AW185" s="689">
        <v>0</v>
      </c>
      <c r="AX185" s="690">
        <v>0</v>
      </c>
      <c r="AY185" s="689">
        <v>0</v>
      </c>
      <c r="AZ185" s="690">
        <v>0</v>
      </c>
      <c r="BA185" s="689">
        <v>0</v>
      </c>
      <c r="BB185" s="690">
        <v>0</v>
      </c>
      <c r="BC185" s="691">
        <v>0</v>
      </c>
      <c r="BD185" s="692">
        <v>0</v>
      </c>
      <c r="BE185" s="689">
        <v>0</v>
      </c>
      <c r="BF185" s="690">
        <v>0</v>
      </c>
      <c r="BG185" s="691">
        <v>0</v>
      </c>
      <c r="BH185" s="690">
        <v>0</v>
      </c>
      <c r="BI185" s="691">
        <v>0</v>
      </c>
      <c r="BJ185" s="690">
        <v>0</v>
      </c>
      <c r="BK185" s="691">
        <v>0</v>
      </c>
      <c r="BL185" s="690">
        <v>0</v>
      </c>
      <c r="BM185" s="691">
        <v>0</v>
      </c>
      <c r="BN185" s="690">
        <v>0</v>
      </c>
      <c r="BO185" s="691">
        <v>0</v>
      </c>
      <c r="BP185" s="690">
        <v>0</v>
      </c>
      <c r="BQ185" s="691">
        <v>0</v>
      </c>
      <c r="BR185" s="690">
        <v>0</v>
      </c>
      <c r="BS185" s="691">
        <v>0</v>
      </c>
      <c r="BT185" s="690">
        <v>0</v>
      </c>
      <c r="BU185" s="691">
        <v>0</v>
      </c>
      <c r="BV185" s="690">
        <v>0</v>
      </c>
      <c r="BW185" s="691">
        <v>0</v>
      </c>
      <c r="BX185" s="690">
        <v>0</v>
      </c>
      <c r="BY185" s="691">
        <v>0</v>
      </c>
      <c r="BZ185" s="690">
        <v>0</v>
      </c>
      <c r="CA185" s="691">
        <v>0</v>
      </c>
      <c r="CB185" s="690">
        <v>0</v>
      </c>
      <c r="CC185" s="689">
        <v>0</v>
      </c>
      <c r="CD185" s="692">
        <v>0</v>
      </c>
      <c r="CE185" s="689">
        <v>0</v>
      </c>
      <c r="CF185" s="692">
        <v>0</v>
      </c>
      <c r="CG185" s="689">
        <v>0</v>
      </c>
      <c r="CH185" s="692">
        <v>0</v>
      </c>
      <c r="CI185" s="689">
        <v>0</v>
      </c>
      <c r="CJ185" s="692">
        <v>0</v>
      </c>
      <c r="CK185" s="689">
        <v>0</v>
      </c>
      <c r="CL185" s="692">
        <v>0</v>
      </c>
      <c r="CM185" s="689">
        <v>0</v>
      </c>
      <c r="CN185" s="692">
        <v>0</v>
      </c>
      <c r="CO185" s="689">
        <v>0</v>
      </c>
      <c r="CP185" s="692">
        <v>0</v>
      </c>
      <c r="CQ185" s="689">
        <v>0</v>
      </c>
      <c r="CR185" s="690">
        <v>0</v>
      </c>
      <c r="CS185" s="689">
        <v>0</v>
      </c>
      <c r="CT185" s="690">
        <v>0</v>
      </c>
      <c r="CU185" s="691">
        <v>0</v>
      </c>
      <c r="CV185" s="690">
        <v>0</v>
      </c>
    </row>
    <row r="186" spans="1:100">
      <c r="A186" s="457">
        <v>184</v>
      </c>
      <c r="B186" s="577">
        <v>0</v>
      </c>
      <c r="C186" s="577">
        <v>0</v>
      </c>
      <c r="D186" s="577">
        <v>0</v>
      </c>
      <c r="E186" s="577">
        <v>0</v>
      </c>
      <c r="F186" s="577">
        <v>0</v>
      </c>
      <c r="G186" s="577">
        <v>0</v>
      </c>
      <c r="H186" s="577">
        <v>0</v>
      </c>
      <c r="I186" s="577">
        <v>0</v>
      </c>
      <c r="J186" s="577">
        <v>0</v>
      </c>
      <c r="K186" s="577">
        <v>0</v>
      </c>
      <c r="L186" s="577">
        <v>0</v>
      </c>
      <c r="M186" s="577">
        <v>0</v>
      </c>
      <c r="N186" s="577">
        <v>0</v>
      </c>
      <c r="O186" s="577">
        <v>0</v>
      </c>
      <c r="P186" s="577">
        <v>0</v>
      </c>
      <c r="Q186" s="577">
        <v>0</v>
      </c>
      <c r="R186" s="577">
        <v>0</v>
      </c>
      <c r="S186" s="577">
        <v>0</v>
      </c>
      <c r="T186" s="577">
        <v>0</v>
      </c>
      <c r="U186" s="577">
        <v>0</v>
      </c>
      <c r="V186" s="577">
        <v>0</v>
      </c>
      <c r="W186" s="592">
        <v>0</v>
      </c>
      <c r="X186" s="685">
        <v>0</v>
      </c>
      <c r="Y186" s="685">
        <v>0</v>
      </c>
      <c r="Z186" s="685">
        <v>0</v>
      </c>
      <c r="AA186" s="685">
        <v>0</v>
      </c>
      <c r="AB186" s="685">
        <v>0</v>
      </c>
      <c r="AC186" s="685">
        <v>0</v>
      </c>
      <c r="AD186" s="685">
        <v>0</v>
      </c>
      <c r="AE186" s="910">
        <v>0</v>
      </c>
      <c r="AF186" s="911">
        <v>0</v>
      </c>
      <c r="AG186" s="912">
        <v>0</v>
      </c>
      <c r="AH186" s="685">
        <v>0</v>
      </c>
      <c r="AI186" s="684">
        <v>0</v>
      </c>
      <c r="AJ186" s="682">
        <v>0</v>
      </c>
      <c r="AK186" s="684">
        <v>0</v>
      </c>
      <c r="AL186" s="686">
        <v>0</v>
      </c>
      <c r="AM186" s="682">
        <v>0</v>
      </c>
      <c r="AN186" s="682">
        <v>0</v>
      </c>
      <c r="AO186" s="686">
        <v>0</v>
      </c>
      <c r="AP186" s="687">
        <v>0</v>
      </c>
      <c r="AQ186" s="684">
        <v>0</v>
      </c>
      <c r="AR186" s="682">
        <v>0</v>
      </c>
      <c r="AS186" s="684">
        <v>0</v>
      </c>
      <c r="AT186" s="688">
        <v>0</v>
      </c>
      <c r="AU186" s="682">
        <v>0</v>
      </c>
      <c r="AV186" s="684">
        <v>0</v>
      </c>
      <c r="AW186" s="689">
        <v>0</v>
      </c>
      <c r="AX186" s="690">
        <v>0</v>
      </c>
      <c r="AY186" s="689">
        <v>0</v>
      </c>
      <c r="AZ186" s="690">
        <v>0</v>
      </c>
      <c r="BA186" s="689">
        <v>0</v>
      </c>
      <c r="BB186" s="690">
        <v>0</v>
      </c>
      <c r="BC186" s="691">
        <v>0</v>
      </c>
      <c r="BD186" s="692">
        <v>0</v>
      </c>
      <c r="BE186" s="689">
        <v>0</v>
      </c>
      <c r="BF186" s="690">
        <v>0</v>
      </c>
      <c r="BG186" s="691">
        <v>0</v>
      </c>
      <c r="BH186" s="690">
        <v>0</v>
      </c>
      <c r="BI186" s="691">
        <v>0</v>
      </c>
      <c r="BJ186" s="690">
        <v>0</v>
      </c>
      <c r="BK186" s="691">
        <v>0</v>
      </c>
      <c r="BL186" s="690">
        <v>0</v>
      </c>
      <c r="BM186" s="691">
        <v>0</v>
      </c>
      <c r="BN186" s="690">
        <v>0</v>
      </c>
      <c r="BO186" s="691">
        <v>0</v>
      </c>
      <c r="BP186" s="690">
        <v>0</v>
      </c>
      <c r="BQ186" s="691">
        <v>0</v>
      </c>
      <c r="BR186" s="690">
        <v>0</v>
      </c>
      <c r="BS186" s="691">
        <v>0</v>
      </c>
      <c r="BT186" s="690">
        <v>0</v>
      </c>
      <c r="BU186" s="691">
        <v>0</v>
      </c>
      <c r="BV186" s="690">
        <v>0</v>
      </c>
      <c r="BW186" s="691">
        <v>0</v>
      </c>
      <c r="BX186" s="690">
        <v>0</v>
      </c>
      <c r="BY186" s="691">
        <v>0</v>
      </c>
      <c r="BZ186" s="690">
        <v>0</v>
      </c>
      <c r="CA186" s="691">
        <v>0</v>
      </c>
      <c r="CB186" s="690">
        <v>0</v>
      </c>
      <c r="CC186" s="689">
        <v>0</v>
      </c>
      <c r="CD186" s="692">
        <v>0</v>
      </c>
      <c r="CE186" s="689">
        <v>0</v>
      </c>
      <c r="CF186" s="692">
        <v>0</v>
      </c>
      <c r="CG186" s="689">
        <v>0</v>
      </c>
      <c r="CH186" s="692">
        <v>0</v>
      </c>
      <c r="CI186" s="689">
        <v>0</v>
      </c>
      <c r="CJ186" s="692">
        <v>0</v>
      </c>
      <c r="CK186" s="689">
        <v>0</v>
      </c>
      <c r="CL186" s="692">
        <v>0</v>
      </c>
      <c r="CM186" s="689">
        <v>0</v>
      </c>
      <c r="CN186" s="692">
        <v>0</v>
      </c>
      <c r="CO186" s="689">
        <v>0</v>
      </c>
      <c r="CP186" s="692">
        <v>0</v>
      </c>
      <c r="CQ186" s="689">
        <v>0</v>
      </c>
      <c r="CR186" s="690">
        <v>0</v>
      </c>
      <c r="CS186" s="689">
        <v>0</v>
      </c>
      <c r="CT186" s="690">
        <v>0</v>
      </c>
      <c r="CU186" s="691">
        <v>0</v>
      </c>
      <c r="CV186" s="690">
        <v>0</v>
      </c>
    </row>
    <row r="187" spans="1:100">
      <c r="A187" s="457">
        <v>185</v>
      </c>
      <c r="B187" s="577">
        <v>0</v>
      </c>
      <c r="C187" s="577">
        <v>0</v>
      </c>
      <c r="D187" s="577">
        <v>0</v>
      </c>
      <c r="E187" s="577">
        <v>0</v>
      </c>
      <c r="F187" s="577">
        <v>0</v>
      </c>
      <c r="G187" s="577">
        <v>0</v>
      </c>
      <c r="H187" s="577">
        <v>0</v>
      </c>
      <c r="I187" s="577">
        <v>0</v>
      </c>
      <c r="J187" s="577">
        <v>0</v>
      </c>
      <c r="K187" s="577">
        <v>0</v>
      </c>
      <c r="L187" s="577">
        <v>0</v>
      </c>
      <c r="M187" s="577">
        <v>0</v>
      </c>
      <c r="N187" s="577">
        <v>0</v>
      </c>
      <c r="O187" s="577">
        <v>0</v>
      </c>
      <c r="P187" s="577">
        <v>0</v>
      </c>
      <c r="Q187" s="577">
        <v>0</v>
      </c>
      <c r="R187" s="577">
        <v>0</v>
      </c>
      <c r="S187" s="577">
        <v>0</v>
      </c>
      <c r="T187" s="577">
        <v>0</v>
      </c>
      <c r="U187" s="577">
        <v>0</v>
      </c>
      <c r="V187" s="577">
        <v>0</v>
      </c>
      <c r="W187" s="592">
        <v>0</v>
      </c>
      <c r="X187" s="685">
        <v>0</v>
      </c>
      <c r="Y187" s="685">
        <v>0</v>
      </c>
      <c r="Z187" s="685">
        <v>0</v>
      </c>
      <c r="AA187" s="685">
        <v>0</v>
      </c>
      <c r="AB187" s="685">
        <v>0</v>
      </c>
      <c r="AC187" s="685">
        <v>0</v>
      </c>
      <c r="AD187" s="685">
        <v>0</v>
      </c>
      <c r="AE187" s="910">
        <v>0</v>
      </c>
      <c r="AF187" s="911">
        <v>0</v>
      </c>
      <c r="AG187" s="912">
        <v>0</v>
      </c>
      <c r="AH187" s="685">
        <v>0</v>
      </c>
      <c r="AI187" s="684">
        <v>0</v>
      </c>
      <c r="AJ187" s="682">
        <v>0</v>
      </c>
      <c r="AK187" s="684">
        <v>0</v>
      </c>
      <c r="AL187" s="686">
        <v>0</v>
      </c>
      <c r="AM187" s="682">
        <v>0</v>
      </c>
      <c r="AN187" s="682">
        <v>0</v>
      </c>
      <c r="AO187" s="686">
        <v>0</v>
      </c>
      <c r="AP187" s="687">
        <v>0</v>
      </c>
      <c r="AQ187" s="684">
        <v>0</v>
      </c>
      <c r="AR187" s="682">
        <v>0</v>
      </c>
      <c r="AS187" s="684">
        <v>0</v>
      </c>
      <c r="AT187" s="688">
        <v>0</v>
      </c>
      <c r="AU187" s="682">
        <v>0</v>
      </c>
      <c r="AV187" s="684">
        <v>0</v>
      </c>
      <c r="AW187" s="689">
        <v>0</v>
      </c>
      <c r="AX187" s="690">
        <v>0</v>
      </c>
      <c r="AY187" s="689">
        <v>0</v>
      </c>
      <c r="AZ187" s="690">
        <v>0</v>
      </c>
      <c r="BA187" s="689">
        <v>0</v>
      </c>
      <c r="BB187" s="690">
        <v>0</v>
      </c>
      <c r="BC187" s="691">
        <v>0</v>
      </c>
      <c r="BD187" s="692">
        <v>0</v>
      </c>
      <c r="BE187" s="689">
        <v>0</v>
      </c>
      <c r="BF187" s="690">
        <v>0</v>
      </c>
      <c r="BG187" s="691">
        <v>0</v>
      </c>
      <c r="BH187" s="690">
        <v>0</v>
      </c>
      <c r="BI187" s="691">
        <v>0</v>
      </c>
      <c r="BJ187" s="690">
        <v>0</v>
      </c>
      <c r="BK187" s="691">
        <v>0</v>
      </c>
      <c r="BL187" s="690">
        <v>0</v>
      </c>
      <c r="BM187" s="691">
        <v>0</v>
      </c>
      <c r="BN187" s="690">
        <v>0</v>
      </c>
      <c r="BO187" s="691">
        <v>0</v>
      </c>
      <c r="BP187" s="690">
        <v>0</v>
      </c>
      <c r="BQ187" s="691">
        <v>0</v>
      </c>
      <c r="BR187" s="690">
        <v>0</v>
      </c>
      <c r="BS187" s="691">
        <v>0</v>
      </c>
      <c r="BT187" s="690">
        <v>0</v>
      </c>
      <c r="BU187" s="691">
        <v>0</v>
      </c>
      <c r="BV187" s="690">
        <v>0</v>
      </c>
      <c r="BW187" s="691">
        <v>0</v>
      </c>
      <c r="BX187" s="690">
        <v>0</v>
      </c>
      <c r="BY187" s="691">
        <v>0</v>
      </c>
      <c r="BZ187" s="690">
        <v>0</v>
      </c>
      <c r="CA187" s="691">
        <v>0</v>
      </c>
      <c r="CB187" s="690">
        <v>0</v>
      </c>
      <c r="CC187" s="689">
        <v>0</v>
      </c>
      <c r="CD187" s="692">
        <v>0</v>
      </c>
      <c r="CE187" s="689">
        <v>0</v>
      </c>
      <c r="CF187" s="692">
        <v>0</v>
      </c>
      <c r="CG187" s="689">
        <v>0</v>
      </c>
      <c r="CH187" s="692">
        <v>0</v>
      </c>
      <c r="CI187" s="689">
        <v>0</v>
      </c>
      <c r="CJ187" s="692">
        <v>0</v>
      </c>
      <c r="CK187" s="689">
        <v>0</v>
      </c>
      <c r="CL187" s="692">
        <v>0</v>
      </c>
      <c r="CM187" s="689">
        <v>0</v>
      </c>
      <c r="CN187" s="692">
        <v>0</v>
      </c>
      <c r="CO187" s="689">
        <v>0</v>
      </c>
      <c r="CP187" s="692">
        <v>0</v>
      </c>
      <c r="CQ187" s="689">
        <v>0</v>
      </c>
      <c r="CR187" s="690">
        <v>0</v>
      </c>
      <c r="CS187" s="689">
        <v>0</v>
      </c>
      <c r="CT187" s="690">
        <v>0</v>
      </c>
      <c r="CU187" s="691">
        <v>0</v>
      </c>
      <c r="CV187" s="690">
        <v>0</v>
      </c>
    </row>
    <row r="188" spans="1:100">
      <c r="A188" s="457">
        <v>186</v>
      </c>
      <c r="B188" s="577">
        <v>0</v>
      </c>
      <c r="C188" s="577">
        <v>0</v>
      </c>
      <c r="D188" s="577">
        <v>0</v>
      </c>
      <c r="E188" s="577">
        <v>0</v>
      </c>
      <c r="F188" s="577">
        <v>0</v>
      </c>
      <c r="G188" s="577">
        <v>0</v>
      </c>
      <c r="H188" s="577">
        <v>0</v>
      </c>
      <c r="I188" s="577">
        <v>0</v>
      </c>
      <c r="J188" s="577">
        <v>0</v>
      </c>
      <c r="K188" s="577">
        <v>0</v>
      </c>
      <c r="L188" s="577">
        <v>0</v>
      </c>
      <c r="M188" s="577">
        <v>0</v>
      </c>
      <c r="N188" s="577">
        <v>0</v>
      </c>
      <c r="O188" s="577">
        <v>0</v>
      </c>
      <c r="P188" s="577">
        <v>0</v>
      </c>
      <c r="Q188" s="577">
        <v>0</v>
      </c>
      <c r="R188" s="577">
        <v>0</v>
      </c>
      <c r="S188" s="577">
        <v>0</v>
      </c>
      <c r="T188" s="577">
        <v>0</v>
      </c>
      <c r="U188" s="577">
        <v>0</v>
      </c>
      <c r="V188" s="577">
        <v>0</v>
      </c>
      <c r="W188" s="592">
        <v>0</v>
      </c>
      <c r="X188" s="685">
        <v>0</v>
      </c>
      <c r="Y188" s="685">
        <v>0</v>
      </c>
      <c r="Z188" s="685">
        <v>0</v>
      </c>
      <c r="AA188" s="685">
        <v>0</v>
      </c>
      <c r="AB188" s="685">
        <v>0</v>
      </c>
      <c r="AC188" s="685">
        <v>0</v>
      </c>
      <c r="AD188" s="685">
        <v>0</v>
      </c>
      <c r="AE188" s="910">
        <v>0</v>
      </c>
      <c r="AF188" s="911">
        <v>0</v>
      </c>
      <c r="AG188" s="912">
        <v>0</v>
      </c>
      <c r="AH188" s="685">
        <v>0</v>
      </c>
      <c r="AI188" s="684">
        <v>0</v>
      </c>
      <c r="AJ188" s="682">
        <v>0</v>
      </c>
      <c r="AK188" s="684">
        <v>0</v>
      </c>
      <c r="AL188" s="686">
        <v>0</v>
      </c>
      <c r="AM188" s="682">
        <v>0</v>
      </c>
      <c r="AN188" s="682">
        <v>0</v>
      </c>
      <c r="AO188" s="686">
        <v>0</v>
      </c>
      <c r="AP188" s="687">
        <v>0</v>
      </c>
      <c r="AQ188" s="684">
        <v>0</v>
      </c>
      <c r="AR188" s="682">
        <v>0</v>
      </c>
      <c r="AS188" s="684">
        <v>0</v>
      </c>
      <c r="AT188" s="688">
        <v>0</v>
      </c>
      <c r="AU188" s="682">
        <v>0</v>
      </c>
      <c r="AV188" s="684">
        <v>0</v>
      </c>
      <c r="AW188" s="689">
        <v>0</v>
      </c>
      <c r="AX188" s="690">
        <v>0</v>
      </c>
      <c r="AY188" s="689">
        <v>0</v>
      </c>
      <c r="AZ188" s="690">
        <v>0</v>
      </c>
      <c r="BA188" s="689">
        <v>0</v>
      </c>
      <c r="BB188" s="690">
        <v>0</v>
      </c>
      <c r="BC188" s="691">
        <v>0</v>
      </c>
      <c r="BD188" s="692">
        <v>0</v>
      </c>
      <c r="BE188" s="689">
        <v>0</v>
      </c>
      <c r="BF188" s="690">
        <v>0</v>
      </c>
      <c r="BG188" s="691">
        <v>0</v>
      </c>
      <c r="BH188" s="690">
        <v>0</v>
      </c>
      <c r="BI188" s="691">
        <v>0</v>
      </c>
      <c r="BJ188" s="690">
        <v>0</v>
      </c>
      <c r="BK188" s="691">
        <v>0</v>
      </c>
      <c r="BL188" s="690">
        <v>0</v>
      </c>
      <c r="BM188" s="691">
        <v>0</v>
      </c>
      <c r="BN188" s="690">
        <v>0</v>
      </c>
      <c r="BO188" s="691">
        <v>0</v>
      </c>
      <c r="BP188" s="690">
        <v>0</v>
      </c>
      <c r="BQ188" s="691">
        <v>0</v>
      </c>
      <c r="BR188" s="690">
        <v>0</v>
      </c>
      <c r="BS188" s="691">
        <v>0</v>
      </c>
      <c r="BT188" s="690">
        <v>0</v>
      </c>
      <c r="BU188" s="691">
        <v>0</v>
      </c>
      <c r="BV188" s="690">
        <v>0</v>
      </c>
      <c r="BW188" s="691">
        <v>0</v>
      </c>
      <c r="BX188" s="690">
        <v>0</v>
      </c>
      <c r="BY188" s="691">
        <v>0</v>
      </c>
      <c r="BZ188" s="690">
        <v>0</v>
      </c>
      <c r="CA188" s="691">
        <v>0</v>
      </c>
      <c r="CB188" s="690">
        <v>0</v>
      </c>
      <c r="CC188" s="689">
        <v>0</v>
      </c>
      <c r="CD188" s="692">
        <v>0</v>
      </c>
      <c r="CE188" s="689">
        <v>0</v>
      </c>
      <c r="CF188" s="692">
        <v>0</v>
      </c>
      <c r="CG188" s="689">
        <v>0</v>
      </c>
      <c r="CH188" s="692">
        <v>0</v>
      </c>
      <c r="CI188" s="689">
        <v>0</v>
      </c>
      <c r="CJ188" s="692">
        <v>0</v>
      </c>
      <c r="CK188" s="689">
        <v>0</v>
      </c>
      <c r="CL188" s="692">
        <v>0</v>
      </c>
      <c r="CM188" s="689">
        <v>0</v>
      </c>
      <c r="CN188" s="692">
        <v>0</v>
      </c>
      <c r="CO188" s="689">
        <v>0</v>
      </c>
      <c r="CP188" s="692">
        <v>0</v>
      </c>
      <c r="CQ188" s="689">
        <v>0</v>
      </c>
      <c r="CR188" s="690">
        <v>0</v>
      </c>
      <c r="CS188" s="689">
        <v>0</v>
      </c>
      <c r="CT188" s="690">
        <v>0</v>
      </c>
      <c r="CU188" s="691">
        <v>0</v>
      </c>
      <c r="CV188" s="690">
        <v>0</v>
      </c>
    </row>
    <row r="189" spans="1:100">
      <c r="A189" s="457">
        <v>187</v>
      </c>
      <c r="B189" s="577">
        <v>0</v>
      </c>
      <c r="C189" s="577">
        <v>0</v>
      </c>
      <c r="D189" s="577">
        <v>0</v>
      </c>
      <c r="E189" s="577">
        <v>0</v>
      </c>
      <c r="F189" s="577">
        <v>0</v>
      </c>
      <c r="G189" s="577">
        <v>0</v>
      </c>
      <c r="H189" s="577">
        <v>0</v>
      </c>
      <c r="I189" s="577">
        <v>0</v>
      </c>
      <c r="J189" s="577">
        <v>0</v>
      </c>
      <c r="K189" s="577">
        <v>0</v>
      </c>
      <c r="L189" s="577">
        <v>0</v>
      </c>
      <c r="M189" s="577">
        <v>0</v>
      </c>
      <c r="N189" s="577">
        <v>0</v>
      </c>
      <c r="O189" s="577">
        <v>0</v>
      </c>
      <c r="P189" s="577">
        <v>0</v>
      </c>
      <c r="Q189" s="577">
        <v>0</v>
      </c>
      <c r="R189" s="577">
        <v>0</v>
      </c>
      <c r="S189" s="577">
        <v>0</v>
      </c>
      <c r="T189" s="577">
        <v>0</v>
      </c>
      <c r="U189" s="577">
        <v>0</v>
      </c>
      <c r="V189" s="577">
        <v>0</v>
      </c>
      <c r="W189" s="592">
        <v>0</v>
      </c>
      <c r="X189" s="685">
        <v>0</v>
      </c>
      <c r="Y189" s="685">
        <v>0</v>
      </c>
      <c r="Z189" s="685">
        <v>0</v>
      </c>
      <c r="AA189" s="685">
        <v>0</v>
      </c>
      <c r="AB189" s="685">
        <v>0</v>
      </c>
      <c r="AC189" s="685">
        <v>0</v>
      </c>
      <c r="AD189" s="685">
        <v>0</v>
      </c>
      <c r="AE189" s="910">
        <v>0</v>
      </c>
      <c r="AF189" s="911">
        <v>0</v>
      </c>
      <c r="AG189" s="912">
        <v>0</v>
      </c>
      <c r="AH189" s="685">
        <v>0</v>
      </c>
      <c r="AI189" s="684">
        <v>0</v>
      </c>
      <c r="AJ189" s="682">
        <v>0</v>
      </c>
      <c r="AK189" s="684">
        <v>0</v>
      </c>
      <c r="AL189" s="686">
        <v>0</v>
      </c>
      <c r="AM189" s="682">
        <v>0</v>
      </c>
      <c r="AN189" s="682">
        <v>0</v>
      </c>
      <c r="AO189" s="686">
        <v>0</v>
      </c>
      <c r="AP189" s="687">
        <v>0</v>
      </c>
      <c r="AQ189" s="684">
        <v>0</v>
      </c>
      <c r="AR189" s="682">
        <v>0</v>
      </c>
      <c r="AS189" s="684">
        <v>0</v>
      </c>
      <c r="AT189" s="688">
        <v>0</v>
      </c>
      <c r="AU189" s="682">
        <v>0</v>
      </c>
      <c r="AV189" s="684">
        <v>0</v>
      </c>
      <c r="AW189" s="689">
        <v>0</v>
      </c>
      <c r="AX189" s="690">
        <v>0</v>
      </c>
      <c r="AY189" s="689">
        <v>0</v>
      </c>
      <c r="AZ189" s="690">
        <v>0</v>
      </c>
      <c r="BA189" s="689">
        <v>0</v>
      </c>
      <c r="BB189" s="690">
        <v>0</v>
      </c>
      <c r="BC189" s="691">
        <v>0</v>
      </c>
      <c r="BD189" s="692">
        <v>0</v>
      </c>
      <c r="BE189" s="689">
        <v>0</v>
      </c>
      <c r="BF189" s="690">
        <v>0</v>
      </c>
      <c r="BG189" s="691">
        <v>0</v>
      </c>
      <c r="BH189" s="690">
        <v>0</v>
      </c>
      <c r="BI189" s="691">
        <v>0</v>
      </c>
      <c r="BJ189" s="690">
        <v>0</v>
      </c>
      <c r="BK189" s="691">
        <v>0</v>
      </c>
      <c r="BL189" s="690">
        <v>0</v>
      </c>
      <c r="BM189" s="691">
        <v>0</v>
      </c>
      <c r="BN189" s="690">
        <v>0</v>
      </c>
      <c r="BO189" s="691">
        <v>0</v>
      </c>
      <c r="BP189" s="690">
        <v>0</v>
      </c>
      <c r="BQ189" s="691">
        <v>0</v>
      </c>
      <c r="BR189" s="690">
        <v>0</v>
      </c>
      <c r="BS189" s="691">
        <v>0</v>
      </c>
      <c r="BT189" s="690">
        <v>0</v>
      </c>
      <c r="BU189" s="691">
        <v>0</v>
      </c>
      <c r="BV189" s="690">
        <v>0</v>
      </c>
      <c r="BW189" s="691">
        <v>0</v>
      </c>
      <c r="BX189" s="690">
        <v>0</v>
      </c>
      <c r="BY189" s="691">
        <v>0</v>
      </c>
      <c r="BZ189" s="690">
        <v>0</v>
      </c>
      <c r="CA189" s="691">
        <v>0</v>
      </c>
      <c r="CB189" s="690">
        <v>0</v>
      </c>
      <c r="CC189" s="689">
        <v>0</v>
      </c>
      <c r="CD189" s="692">
        <v>0</v>
      </c>
      <c r="CE189" s="689">
        <v>0</v>
      </c>
      <c r="CF189" s="692">
        <v>0</v>
      </c>
      <c r="CG189" s="689">
        <v>0</v>
      </c>
      <c r="CH189" s="692">
        <v>0</v>
      </c>
      <c r="CI189" s="689">
        <v>0</v>
      </c>
      <c r="CJ189" s="692">
        <v>0</v>
      </c>
      <c r="CK189" s="689">
        <v>0</v>
      </c>
      <c r="CL189" s="692">
        <v>0</v>
      </c>
      <c r="CM189" s="689">
        <v>0</v>
      </c>
      <c r="CN189" s="692">
        <v>0</v>
      </c>
      <c r="CO189" s="689">
        <v>0</v>
      </c>
      <c r="CP189" s="692">
        <v>0</v>
      </c>
      <c r="CQ189" s="689">
        <v>0</v>
      </c>
      <c r="CR189" s="690">
        <v>0</v>
      </c>
      <c r="CS189" s="689">
        <v>0</v>
      </c>
      <c r="CT189" s="690">
        <v>0</v>
      </c>
      <c r="CU189" s="691">
        <v>0</v>
      </c>
      <c r="CV189" s="690">
        <v>0</v>
      </c>
    </row>
    <row r="190" spans="1:100">
      <c r="A190" s="457">
        <v>188</v>
      </c>
      <c r="B190" s="577">
        <v>0</v>
      </c>
      <c r="C190" s="577">
        <v>0</v>
      </c>
      <c r="D190" s="577">
        <v>0</v>
      </c>
      <c r="E190" s="577">
        <v>0</v>
      </c>
      <c r="F190" s="577">
        <v>0</v>
      </c>
      <c r="G190" s="577">
        <v>0</v>
      </c>
      <c r="H190" s="577">
        <v>0</v>
      </c>
      <c r="I190" s="577">
        <v>0</v>
      </c>
      <c r="J190" s="577">
        <v>0</v>
      </c>
      <c r="K190" s="577">
        <v>0</v>
      </c>
      <c r="L190" s="577">
        <v>0</v>
      </c>
      <c r="M190" s="577">
        <v>0</v>
      </c>
      <c r="N190" s="577">
        <v>0</v>
      </c>
      <c r="O190" s="577">
        <v>0</v>
      </c>
      <c r="P190" s="577">
        <v>0</v>
      </c>
      <c r="Q190" s="577">
        <v>0</v>
      </c>
      <c r="R190" s="577">
        <v>0</v>
      </c>
      <c r="S190" s="577">
        <v>0</v>
      </c>
      <c r="T190" s="577">
        <v>0</v>
      </c>
      <c r="U190" s="577">
        <v>0</v>
      </c>
      <c r="V190" s="577">
        <v>0</v>
      </c>
      <c r="W190" s="592">
        <v>0</v>
      </c>
      <c r="X190" s="685">
        <v>0</v>
      </c>
      <c r="Y190" s="685">
        <v>0</v>
      </c>
      <c r="Z190" s="685">
        <v>0</v>
      </c>
      <c r="AA190" s="685">
        <v>0</v>
      </c>
      <c r="AB190" s="685">
        <v>0</v>
      </c>
      <c r="AC190" s="685">
        <v>0</v>
      </c>
      <c r="AD190" s="685">
        <v>0</v>
      </c>
      <c r="AE190" s="910">
        <v>0</v>
      </c>
      <c r="AF190" s="911">
        <v>0</v>
      </c>
      <c r="AG190" s="912">
        <v>0</v>
      </c>
      <c r="AH190" s="685">
        <v>0</v>
      </c>
      <c r="AI190" s="684">
        <v>0</v>
      </c>
      <c r="AJ190" s="682">
        <v>0</v>
      </c>
      <c r="AK190" s="684">
        <v>0</v>
      </c>
      <c r="AL190" s="686">
        <v>0</v>
      </c>
      <c r="AM190" s="682">
        <v>0</v>
      </c>
      <c r="AN190" s="682">
        <v>0</v>
      </c>
      <c r="AO190" s="686">
        <v>0</v>
      </c>
      <c r="AP190" s="687">
        <v>0</v>
      </c>
      <c r="AQ190" s="684">
        <v>0</v>
      </c>
      <c r="AR190" s="682">
        <v>0</v>
      </c>
      <c r="AS190" s="684">
        <v>0</v>
      </c>
      <c r="AT190" s="688">
        <v>0</v>
      </c>
      <c r="AU190" s="682">
        <v>0</v>
      </c>
      <c r="AV190" s="684">
        <v>0</v>
      </c>
      <c r="AW190" s="689">
        <v>0</v>
      </c>
      <c r="AX190" s="690">
        <v>0</v>
      </c>
      <c r="AY190" s="689">
        <v>0</v>
      </c>
      <c r="AZ190" s="690">
        <v>0</v>
      </c>
      <c r="BA190" s="689">
        <v>0</v>
      </c>
      <c r="BB190" s="690">
        <v>0</v>
      </c>
      <c r="BC190" s="691">
        <v>0</v>
      </c>
      <c r="BD190" s="692">
        <v>0</v>
      </c>
      <c r="BE190" s="689">
        <v>0</v>
      </c>
      <c r="BF190" s="690">
        <v>0</v>
      </c>
      <c r="BG190" s="691">
        <v>0</v>
      </c>
      <c r="BH190" s="690">
        <v>0</v>
      </c>
      <c r="BI190" s="691">
        <v>0</v>
      </c>
      <c r="BJ190" s="690">
        <v>0</v>
      </c>
      <c r="BK190" s="691">
        <v>0</v>
      </c>
      <c r="BL190" s="690">
        <v>0</v>
      </c>
      <c r="BM190" s="691">
        <v>0</v>
      </c>
      <c r="BN190" s="690">
        <v>0</v>
      </c>
      <c r="BO190" s="691">
        <v>0</v>
      </c>
      <c r="BP190" s="690">
        <v>0</v>
      </c>
      <c r="BQ190" s="691">
        <v>0</v>
      </c>
      <c r="BR190" s="690">
        <v>0</v>
      </c>
      <c r="BS190" s="691">
        <v>0</v>
      </c>
      <c r="BT190" s="690">
        <v>0</v>
      </c>
      <c r="BU190" s="691">
        <v>0</v>
      </c>
      <c r="BV190" s="690">
        <v>0</v>
      </c>
      <c r="BW190" s="691">
        <v>0</v>
      </c>
      <c r="BX190" s="690">
        <v>0</v>
      </c>
      <c r="BY190" s="691">
        <v>0</v>
      </c>
      <c r="BZ190" s="690">
        <v>0</v>
      </c>
      <c r="CA190" s="691">
        <v>0</v>
      </c>
      <c r="CB190" s="690">
        <v>0</v>
      </c>
      <c r="CC190" s="689">
        <v>0</v>
      </c>
      <c r="CD190" s="692">
        <v>0</v>
      </c>
      <c r="CE190" s="689">
        <v>0</v>
      </c>
      <c r="CF190" s="692">
        <v>0</v>
      </c>
      <c r="CG190" s="689">
        <v>0</v>
      </c>
      <c r="CH190" s="692">
        <v>0</v>
      </c>
      <c r="CI190" s="689">
        <v>0</v>
      </c>
      <c r="CJ190" s="692">
        <v>0</v>
      </c>
      <c r="CK190" s="689">
        <v>0</v>
      </c>
      <c r="CL190" s="692">
        <v>0</v>
      </c>
      <c r="CM190" s="689">
        <v>0</v>
      </c>
      <c r="CN190" s="692">
        <v>0</v>
      </c>
      <c r="CO190" s="689">
        <v>0</v>
      </c>
      <c r="CP190" s="692">
        <v>0</v>
      </c>
      <c r="CQ190" s="689">
        <v>0</v>
      </c>
      <c r="CR190" s="690">
        <v>0</v>
      </c>
      <c r="CS190" s="689">
        <v>0</v>
      </c>
      <c r="CT190" s="690">
        <v>0</v>
      </c>
      <c r="CU190" s="691">
        <v>0</v>
      </c>
      <c r="CV190" s="690">
        <v>0</v>
      </c>
    </row>
    <row r="191" spans="1:100">
      <c r="A191" s="457">
        <v>189</v>
      </c>
      <c r="B191" s="577">
        <v>0</v>
      </c>
      <c r="C191" s="577">
        <v>0</v>
      </c>
      <c r="D191" s="577">
        <v>0</v>
      </c>
      <c r="E191" s="577">
        <v>0</v>
      </c>
      <c r="F191" s="577">
        <v>0</v>
      </c>
      <c r="G191" s="577">
        <v>0</v>
      </c>
      <c r="H191" s="577">
        <v>0</v>
      </c>
      <c r="I191" s="577">
        <v>0</v>
      </c>
      <c r="J191" s="577">
        <v>0</v>
      </c>
      <c r="K191" s="577">
        <v>0</v>
      </c>
      <c r="L191" s="577">
        <v>0</v>
      </c>
      <c r="M191" s="577">
        <v>0</v>
      </c>
      <c r="N191" s="577">
        <v>0</v>
      </c>
      <c r="O191" s="577">
        <v>0</v>
      </c>
      <c r="P191" s="577">
        <v>0</v>
      </c>
      <c r="Q191" s="577">
        <v>0</v>
      </c>
      <c r="R191" s="577">
        <v>0</v>
      </c>
      <c r="S191" s="577">
        <v>0</v>
      </c>
      <c r="T191" s="577">
        <v>0</v>
      </c>
      <c r="U191" s="577">
        <v>0</v>
      </c>
      <c r="V191" s="577">
        <v>0</v>
      </c>
      <c r="W191" s="592">
        <v>0</v>
      </c>
      <c r="X191" s="685">
        <v>0</v>
      </c>
      <c r="Y191" s="685">
        <v>0</v>
      </c>
      <c r="Z191" s="685">
        <v>0</v>
      </c>
      <c r="AA191" s="685">
        <v>0</v>
      </c>
      <c r="AB191" s="685">
        <v>0</v>
      </c>
      <c r="AC191" s="685">
        <v>0</v>
      </c>
      <c r="AD191" s="685">
        <v>0</v>
      </c>
      <c r="AE191" s="910">
        <v>0</v>
      </c>
      <c r="AF191" s="911">
        <v>0</v>
      </c>
      <c r="AG191" s="912">
        <v>0</v>
      </c>
      <c r="AH191" s="685">
        <v>0</v>
      </c>
      <c r="AI191" s="684">
        <v>0</v>
      </c>
      <c r="AJ191" s="682">
        <v>0</v>
      </c>
      <c r="AK191" s="684">
        <v>0</v>
      </c>
      <c r="AL191" s="686">
        <v>0</v>
      </c>
      <c r="AM191" s="682">
        <v>0</v>
      </c>
      <c r="AN191" s="682">
        <v>0</v>
      </c>
      <c r="AO191" s="686">
        <v>0</v>
      </c>
      <c r="AP191" s="687">
        <v>0</v>
      </c>
      <c r="AQ191" s="684">
        <v>0</v>
      </c>
      <c r="AR191" s="682">
        <v>0</v>
      </c>
      <c r="AS191" s="684">
        <v>0</v>
      </c>
      <c r="AT191" s="688">
        <v>0</v>
      </c>
      <c r="AU191" s="682">
        <v>0</v>
      </c>
      <c r="AV191" s="684">
        <v>0</v>
      </c>
      <c r="AW191" s="689">
        <v>0</v>
      </c>
      <c r="AX191" s="690">
        <v>0</v>
      </c>
      <c r="AY191" s="689">
        <v>0</v>
      </c>
      <c r="AZ191" s="690">
        <v>0</v>
      </c>
      <c r="BA191" s="689">
        <v>0</v>
      </c>
      <c r="BB191" s="690">
        <v>0</v>
      </c>
      <c r="BC191" s="691">
        <v>0</v>
      </c>
      <c r="BD191" s="692">
        <v>0</v>
      </c>
      <c r="BE191" s="689">
        <v>0</v>
      </c>
      <c r="BF191" s="690">
        <v>0</v>
      </c>
      <c r="BG191" s="691">
        <v>0</v>
      </c>
      <c r="BH191" s="690">
        <v>0</v>
      </c>
      <c r="BI191" s="691">
        <v>0</v>
      </c>
      <c r="BJ191" s="690">
        <v>0</v>
      </c>
      <c r="BK191" s="691">
        <v>0</v>
      </c>
      <c r="BL191" s="690">
        <v>0</v>
      </c>
      <c r="BM191" s="691">
        <v>0</v>
      </c>
      <c r="BN191" s="690">
        <v>0</v>
      </c>
      <c r="BO191" s="691">
        <v>0</v>
      </c>
      <c r="BP191" s="690">
        <v>0</v>
      </c>
      <c r="BQ191" s="691">
        <v>0</v>
      </c>
      <c r="BR191" s="690">
        <v>0</v>
      </c>
      <c r="BS191" s="691">
        <v>0</v>
      </c>
      <c r="BT191" s="690">
        <v>0</v>
      </c>
      <c r="BU191" s="691">
        <v>0</v>
      </c>
      <c r="BV191" s="690">
        <v>0</v>
      </c>
      <c r="BW191" s="691">
        <v>0</v>
      </c>
      <c r="BX191" s="690">
        <v>0</v>
      </c>
      <c r="BY191" s="691">
        <v>0</v>
      </c>
      <c r="BZ191" s="690">
        <v>0</v>
      </c>
      <c r="CA191" s="691">
        <v>0</v>
      </c>
      <c r="CB191" s="690">
        <v>0</v>
      </c>
      <c r="CC191" s="689">
        <v>0</v>
      </c>
      <c r="CD191" s="692">
        <v>0</v>
      </c>
      <c r="CE191" s="689">
        <v>0</v>
      </c>
      <c r="CF191" s="692">
        <v>0</v>
      </c>
      <c r="CG191" s="689">
        <v>0</v>
      </c>
      <c r="CH191" s="692">
        <v>0</v>
      </c>
      <c r="CI191" s="689">
        <v>0</v>
      </c>
      <c r="CJ191" s="692">
        <v>0</v>
      </c>
      <c r="CK191" s="689">
        <v>0</v>
      </c>
      <c r="CL191" s="692">
        <v>0</v>
      </c>
      <c r="CM191" s="689">
        <v>0</v>
      </c>
      <c r="CN191" s="692">
        <v>0</v>
      </c>
      <c r="CO191" s="689">
        <v>0</v>
      </c>
      <c r="CP191" s="692">
        <v>0</v>
      </c>
      <c r="CQ191" s="689">
        <v>0</v>
      </c>
      <c r="CR191" s="690">
        <v>0</v>
      </c>
      <c r="CS191" s="689">
        <v>0</v>
      </c>
      <c r="CT191" s="690">
        <v>0</v>
      </c>
      <c r="CU191" s="691">
        <v>0</v>
      </c>
      <c r="CV191" s="690">
        <v>0</v>
      </c>
    </row>
    <row r="192" spans="1:100">
      <c r="A192" s="457">
        <v>190</v>
      </c>
      <c r="B192" s="577">
        <v>0</v>
      </c>
      <c r="C192" s="577">
        <v>0</v>
      </c>
      <c r="D192" s="577">
        <v>0</v>
      </c>
      <c r="E192" s="577">
        <v>0</v>
      </c>
      <c r="F192" s="577">
        <v>0</v>
      </c>
      <c r="G192" s="577">
        <v>0</v>
      </c>
      <c r="H192" s="577">
        <v>0</v>
      </c>
      <c r="I192" s="577">
        <v>0</v>
      </c>
      <c r="J192" s="577">
        <v>0</v>
      </c>
      <c r="K192" s="577">
        <v>0</v>
      </c>
      <c r="L192" s="577">
        <v>0</v>
      </c>
      <c r="M192" s="577">
        <v>0</v>
      </c>
      <c r="N192" s="577">
        <v>0</v>
      </c>
      <c r="O192" s="577">
        <v>0</v>
      </c>
      <c r="P192" s="577">
        <v>0</v>
      </c>
      <c r="Q192" s="577">
        <v>0</v>
      </c>
      <c r="R192" s="577">
        <v>0</v>
      </c>
      <c r="S192" s="577">
        <v>0</v>
      </c>
      <c r="T192" s="577">
        <v>0</v>
      </c>
      <c r="U192" s="577">
        <v>0</v>
      </c>
      <c r="V192" s="577">
        <v>0</v>
      </c>
      <c r="W192" s="592">
        <v>0</v>
      </c>
      <c r="X192" s="685">
        <v>0</v>
      </c>
      <c r="Y192" s="685">
        <v>0</v>
      </c>
      <c r="Z192" s="685">
        <v>0</v>
      </c>
      <c r="AA192" s="685">
        <v>0</v>
      </c>
      <c r="AB192" s="685">
        <v>0</v>
      </c>
      <c r="AC192" s="685">
        <v>0</v>
      </c>
      <c r="AD192" s="685">
        <v>0</v>
      </c>
      <c r="AE192" s="910">
        <v>0</v>
      </c>
      <c r="AF192" s="911">
        <v>0</v>
      </c>
      <c r="AG192" s="912">
        <v>0</v>
      </c>
      <c r="AH192" s="685">
        <v>0</v>
      </c>
      <c r="AI192" s="684">
        <v>0</v>
      </c>
      <c r="AJ192" s="682">
        <v>0</v>
      </c>
      <c r="AK192" s="684">
        <v>0</v>
      </c>
      <c r="AL192" s="686">
        <v>0</v>
      </c>
      <c r="AM192" s="682">
        <v>0</v>
      </c>
      <c r="AN192" s="682">
        <v>0</v>
      </c>
      <c r="AO192" s="686">
        <v>0</v>
      </c>
      <c r="AP192" s="687">
        <v>0</v>
      </c>
      <c r="AQ192" s="684">
        <v>0</v>
      </c>
      <c r="AR192" s="682">
        <v>0</v>
      </c>
      <c r="AS192" s="684">
        <v>0</v>
      </c>
      <c r="AT192" s="688">
        <v>0</v>
      </c>
      <c r="AU192" s="682">
        <v>0</v>
      </c>
      <c r="AV192" s="684">
        <v>0</v>
      </c>
      <c r="AW192" s="689">
        <v>0</v>
      </c>
      <c r="AX192" s="690">
        <v>0</v>
      </c>
      <c r="AY192" s="689">
        <v>0</v>
      </c>
      <c r="AZ192" s="690">
        <v>0</v>
      </c>
      <c r="BA192" s="689">
        <v>0</v>
      </c>
      <c r="BB192" s="690">
        <v>0</v>
      </c>
      <c r="BC192" s="691">
        <v>0</v>
      </c>
      <c r="BD192" s="692">
        <v>0</v>
      </c>
      <c r="BE192" s="689">
        <v>0</v>
      </c>
      <c r="BF192" s="690">
        <v>0</v>
      </c>
      <c r="BG192" s="691">
        <v>0</v>
      </c>
      <c r="BH192" s="690">
        <v>0</v>
      </c>
      <c r="BI192" s="691">
        <v>0</v>
      </c>
      <c r="BJ192" s="690">
        <v>0</v>
      </c>
      <c r="BK192" s="691">
        <v>0</v>
      </c>
      <c r="BL192" s="690">
        <v>0</v>
      </c>
      <c r="BM192" s="691">
        <v>0</v>
      </c>
      <c r="BN192" s="690">
        <v>0</v>
      </c>
      <c r="BO192" s="691">
        <v>0</v>
      </c>
      <c r="BP192" s="690">
        <v>0</v>
      </c>
      <c r="BQ192" s="691">
        <v>0</v>
      </c>
      <c r="BR192" s="690">
        <v>0</v>
      </c>
      <c r="BS192" s="691">
        <v>0</v>
      </c>
      <c r="BT192" s="690">
        <v>0</v>
      </c>
      <c r="BU192" s="691">
        <v>0</v>
      </c>
      <c r="BV192" s="690">
        <v>0</v>
      </c>
      <c r="BW192" s="691">
        <v>0</v>
      </c>
      <c r="BX192" s="690">
        <v>0</v>
      </c>
      <c r="BY192" s="691">
        <v>0</v>
      </c>
      <c r="BZ192" s="690">
        <v>0</v>
      </c>
      <c r="CA192" s="691">
        <v>0</v>
      </c>
      <c r="CB192" s="690">
        <v>0</v>
      </c>
      <c r="CC192" s="689">
        <v>0</v>
      </c>
      <c r="CD192" s="692">
        <v>0</v>
      </c>
      <c r="CE192" s="689">
        <v>0</v>
      </c>
      <c r="CF192" s="692">
        <v>0</v>
      </c>
      <c r="CG192" s="689">
        <v>0</v>
      </c>
      <c r="CH192" s="692">
        <v>0</v>
      </c>
      <c r="CI192" s="689">
        <v>0</v>
      </c>
      <c r="CJ192" s="692">
        <v>0</v>
      </c>
      <c r="CK192" s="689">
        <v>0</v>
      </c>
      <c r="CL192" s="692">
        <v>0</v>
      </c>
      <c r="CM192" s="689">
        <v>0</v>
      </c>
      <c r="CN192" s="692">
        <v>0</v>
      </c>
      <c r="CO192" s="689">
        <v>0</v>
      </c>
      <c r="CP192" s="692">
        <v>0</v>
      </c>
      <c r="CQ192" s="689">
        <v>0</v>
      </c>
      <c r="CR192" s="690">
        <v>0</v>
      </c>
      <c r="CS192" s="689">
        <v>0</v>
      </c>
      <c r="CT192" s="690">
        <v>0</v>
      </c>
      <c r="CU192" s="691">
        <v>0</v>
      </c>
      <c r="CV192" s="690">
        <v>0</v>
      </c>
    </row>
    <row r="193" spans="1:100">
      <c r="A193" s="457">
        <v>191</v>
      </c>
      <c r="B193" s="577">
        <v>0</v>
      </c>
      <c r="C193" s="577">
        <v>0</v>
      </c>
      <c r="D193" s="577">
        <v>0</v>
      </c>
      <c r="E193" s="577">
        <v>0</v>
      </c>
      <c r="F193" s="577">
        <v>0</v>
      </c>
      <c r="G193" s="577">
        <v>0</v>
      </c>
      <c r="H193" s="577">
        <v>0</v>
      </c>
      <c r="I193" s="577">
        <v>0</v>
      </c>
      <c r="J193" s="577">
        <v>0</v>
      </c>
      <c r="K193" s="577">
        <v>0</v>
      </c>
      <c r="L193" s="577">
        <v>0</v>
      </c>
      <c r="M193" s="577">
        <v>0</v>
      </c>
      <c r="N193" s="577">
        <v>0</v>
      </c>
      <c r="O193" s="577">
        <v>0</v>
      </c>
      <c r="P193" s="577">
        <v>0</v>
      </c>
      <c r="Q193" s="577">
        <v>0</v>
      </c>
      <c r="R193" s="577">
        <v>0</v>
      </c>
      <c r="S193" s="577">
        <v>0</v>
      </c>
      <c r="T193" s="577">
        <v>0</v>
      </c>
      <c r="U193" s="577">
        <v>0</v>
      </c>
      <c r="V193" s="577">
        <v>0</v>
      </c>
      <c r="W193" s="592">
        <v>0</v>
      </c>
      <c r="X193" s="685">
        <v>0</v>
      </c>
      <c r="Y193" s="685">
        <v>0</v>
      </c>
      <c r="Z193" s="685">
        <v>0</v>
      </c>
      <c r="AA193" s="685">
        <v>0</v>
      </c>
      <c r="AB193" s="685">
        <v>0</v>
      </c>
      <c r="AC193" s="685">
        <v>0</v>
      </c>
      <c r="AD193" s="685">
        <v>0</v>
      </c>
      <c r="AE193" s="910">
        <v>0</v>
      </c>
      <c r="AF193" s="911">
        <v>0</v>
      </c>
      <c r="AG193" s="912">
        <v>0</v>
      </c>
      <c r="AH193" s="685">
        <v>0</v>
      </c>
      <c r="AI193" s="684">
        <v>0</v>
      </c>
      <c r="AJ193" s="682">
        <v>0</v>
      </c>
      <c r="AK193" s="684">
        <v>0</v>
      </c>
      <c r="AL193" s="686">
        <v>0</v>
      </c>
      <c r="AM193" s="682">
        <v>0</v>
      </c>
      <c r="AN193" s="682">
        <v>0</v>
      </c>
      <c r="AO193" s="686">
        <v>0</v>
      </c>
      <c r="AP193" s="687">
        <v>0</v>
      </c>
      <c r="AQ193" s="684">
        <v>0</v>
      </c>
      <c r="AR193" s="682">
        <v>0</v>
      </c>
      <c r="AS193" s="684">
        <v>0</v>
      </c>
      <c r="AT193" s="688">
        <v>0</v>
      </c>
      <c r="AU193" s="682">
        <v>0</v>
      </c>
      <c r="AV193" s="684">
        <v>0</v>
      </c>
      <c r="AW193" s="689">
        <v>0</v>
      </c>
      <c r="AX193" s="690">
        <v>0</v>
      </c>
      <c r="AY193" s="689">
        <v>0</v>
      </c>
      <c r="AZ193" s="690">
        <v>0</v>
      </c>
      <c r="BA193" s="689">
        <v>0</v>
      </c>
      <c r="BB193" s="690">
        <v>0</v>
      </c>
      <c r="BC193" s="691">
        <v>0</v>
      </c>
      <c r="BD193" s="692">
        <v>0</v>
      </c>
      <c r="BE193" s="689">
        <v>0</v>
      </c>
      <c r="BF193" s="690">
        <v>0</v>
      </c>
      <c r="BG193" s="691">
        <v>0</v>
      </c>
      <c r="BH193" s="690">
        <v>0</v>
      </c>
      <c r="BI193" s="691">
        <v>0</v>
      </c>
      <c r="BJ193" s="690">
        <v>0</v>
      </c>
      <c r="BK193" s="691">
        <v>0</v>
      </c>
      <c r="BL193" s="690">
        <v>0</v>
      </c>
      <c r="BM193" s="691">
        <v>0</v>
      </c>
      <c r="BN193" s="690">
        <v>0</v>
      </c>
      <c r="BO193" s="691">
        <v>0</v>
      </c>
      <c r="BP193" s="690">
        <v>0</v>
      </c>
      <c r="BQ193" s="691">
        <v>0</v>
      </c>
      <c r="BR193" s="690">
        <v>0</v>
      </c>
      <c r="BS193" s="691">
        <v>0</v>
      </c>
      <c r="BT193" s="690">
        <v>0</v>
      </c>
      <c r="BU193" s="691">
        <v>0</v>
      </c>
      <c r="BV193" s="690">
        <v>0</v>
      </c>
      <c r="BW193" s="691">
        <v>0</v>
      </c>
      <c r="BX193" s="690">
        <v>0</v>
      </c>
      <c r="BY193" s="691">
        <v>0</v>
      </c>
      <c r="BZ193" s="690">
        <v>0</v>
      </c>
      <c r="CA193" s="691">
        <v>0</v>
      </c>
      <c r="CB193" s="690">
        <v>0</v>
      </c>
      <c r="CC193" s="689">
        <v>0</v>
      </c>
      <c r="CD193" s="692">
        <v>0</v>
      </c>
      <c r="CE193" s="689">
        <v>0</v>
      </c>
      <c r="CF193" s="692">
        <v>0</v>
      </c>
      <c r="CG193" s="689">
        <v>0</v>
      </c>
      <c r="CH193" s="692">
        <v>0</v>
      </c>
      <c r="CI193" s="689">
        <v>0</v>
      </c>
      <c r="CJ193" s="692">
        <v>0</v>
      </c>
      <c r="CK193" s="689">
        <v>0</v>
      </c>
      <c r="CL193" s="692">
        <v>0</v>
      </c>
      <c r="CM193" s="689">
        <v>0</v>
      </c>
      <c r="CN193" s="692">
        <v>0</v>
      </c>
      <c r="CO193" s="689">
        <v>0</v>
      </c>
      <c r="CP193" s="692">
        <v>0</v>
      </c>
      <c r="CQ193" s="689">
        <v>0</v>
      </c>
      <c r="CR193" s="690">
        <v>0</v>
      </c>
      <c r="CS193" s="689">
        <v>0</v>
      </c>
      <c r="CT193" s="690">
        <v>0</v>
      </c>
      <c r="CU193" s="691">
        <v>0</v>
      </c>
      <c r="CV193" s="690">
        <v>0</v>
      </c>
    </row>
    <row r="194" spans="1:100">
      <c r="A194" s="457">
        <v>192</v>
      </c>
      <c r="B194" s="577">
        <v>0</v>
      </c>
      <c r="C194" s="577">
        <v>0</v>
      </c>
      <c r="D194" s="577">
        <v>0</v>
      </c>
      <c r="E194" s="577">
        <v>0</v>
      </c>
      <c r="F194" s="577">
        <v>0</v>
      </c>
      <c r="G194" s="577">
        <v>0</v>
      </c>
      <c r="H194" s="577">
        <v>0</v>
      </c>
      <c r="I194" s="577">
        <v>0</v>
      </c>
      <c r="J194" s="577">
        <v>0</v>
      </c>
      <c r="K194" s="577">
        <v>0</v>
      </c>
      <c r="L194" s="577">
        <v>0</v>
      </c>
      <c r="M194" s="577">
        <v>0</v>
      </c>
      <c r="N194" s="577">
        <v>0</v>
      </c>
      <c r="O194" s="577">
        <v>0</v>
      </c>
      <c r="P194" s="577">
        <v>0</v>
      </c>
      <c r="Q194" s="577">
        <v>0</v>
      </c>
      <c r="R194" s="577">
        <v>0</v>
      </c>
      <c r="S194" s="577">
        <v>0</v>
      </c>
      <c r="T194" s="577">
        <v>0</v>
      </c>
      <c r="U194" s="577">
        <v>0</v>
      </c>
      <c r="V194" s="577">
        <v>0</v>
      </c>
      <c r="W194" s="592">
        <v>0</v>
      </c>
      <c r="X194" s="685">
        <v>0</v>
      </c>
      <c r="Y194" s="685">
        <v>0</v>
      </c>
      <c r="Z194" s="685">
        <v>0</v>
      </c>
      <c r="AA194" s="685">
        <v>0</v>
      </c>
      <c r="AB194" s="685">
        <v>0</v>
      </c>
      <c r="AC194" s="685">
        <v>0</v>
      </c>
      <c r="AD194" s="685">
        <v>0</v>
      </c>
      <c r="AE194" s="910">
        <v>0</v>
      </c>
      <c r="AF194" s="911">
        <v>0</v>
      </c>
      <c r="AG194" s="912">
        <v>0</v>
      </c>
      <c r="AH194" s="685">
        <v>0</v>
      </c>
      <c r="AI194" s="684">
        <v>0</v>
      </c>
      <c r="AJ194" s="682">
        <v>0</v>
      </c>
      <c r="AK194" s="684">
        <v>0</v>
      </c>
      <c r="AL194" s="686">
        <v>0</v>
      </c>
      <c r="AM194" s="682">
        <v>0</v>
      </c>
      <c r="AN194" s="682">
        <v>0</v>
      </c>
      <c r="AO194" s="686">
        <v>0</v>
      </c>
      <c r="AP194" s="687">
        <v>0</v>
      </c>
      <c r="AQ194" s="684">
        <v>0</v>
      </c>
      <c r="AR194" s="682">
        <v>0</v>
      </c>
      <c r="AS194" s="684">
        <v>0</v>
      </c>
      <c r="AT194" s="688">
        <v>0</v>
      </c>
      <c r="AU194" s="682">
        <v>0</v>
      </c>
      <c r="AV194" s="684">
        <v>0</v>
      </c>
      <c r="AW194" s="689">
        <v>0</v>
      </c>
      <c r="AX194" s="690">
        <v>0</v>
      </c>
      <c r="AY194" s="689">
        <v>0</v>
      </c>
      <c r="AZ194" s="690">
        <v>0</v>
      </c>
      <c r="BA194" s="689">
        <v>0</v>
      </c>
      <c r="BB194" s="690">
        <v>0</v>
      </c>
      <c r="BC194" s="691">
        <v>0</v>
      </c>
      <c r="BD194" s="692">
        <v>0</v>
      </c>
      <c r="BE194" s="689">
        <v>0</v>
      </c>
      <c r="BF194" s="690">
        <v>0</v>
      </c>
      <c r="BG194" s="691">
        <v>0</v>
      </c>
      <c r="BH194" s="690">
        <v>0</v>
      </c>
      <c r="BI194" s="691">
        <v>0</v>
      </c>
      <c r="BJ194" s="690">
        <v>0</v>
      </c>
      <c r="BK194" s="691">
        <v>0</v>
      </c>
      <c r="BL194" s="690">
        <v>0</v>
      </c>
      <c r="BM194" s="691">
        <v>0</v>
      </c>
      <c r="BN194" s="690">
        <v>0</v>
      </c>
      <c r="BO194" s="691">
        <v>0</v>
      </c>
      <c r="BP194" s="690">
        <v>0</v>
      </c>
      <c r="BQ194" s="691">
        <v>0</v>
      </c>
      <c r="BR194" s="690">
        <v>0</v>
      </c>
      <c r="BS194" s="691">
        <v>0</v>
      </c>
      <c r="BT194" s="690">
        <v>0</v>
      </c>
      <c r="BU194" s="691">
        <v>0</v>
      </c>
      <c r="BV194" s="690">
        <v>0</v>
      </c>
      <c r="BW194" s="691">
        <v>0</v>
      </c>
      <c r="BX194" s="690">
        <v>0</v>
      </c>
      <c r="BY194" s="691">
        <v>0</v>
      </c>
      <c r="BZ194" s="690">
        <v>0</v>
      </c>
      <c r="CA194" s="691">
        <v>0</v>
      </c>
      <c r="CB194" s="690">
        <v>0</v>
      </c>
      <c r="CC194" s="689">
        <v>0</v>
      </c>
      <c r="CD194" s="692">
        <v>0</v>
      </c>
      <c r="CE194" s="689">
        <v>0</v>
      </c>
      <c r="CF194" s="692">
        <v>0</v>
      </c>
      <c r="CG194" s="689">
        <v>0</v>
      </c>
      <c r="CH194" s="692">
        <v>0</v>
      </c>
      <c r="CI194" s="689">
        <v>0</v>
      </c>
      <c r="CJ194" s="692">
        <v>0</v>
      </c>
      <c r="CK194" s="689">
        <v>0</v>
      </c>
      <c r="CL194" s="692">
        <v>0</v>
      </c>
      <c r="CM194" s="689">
        <v>0</v>
      </c>
      <c r="CN194" s="692">
        <v>0</v>
      </c>
      <c r="CO194" s="689">
        <v>0</v>
      </c>
      <c r="CP194" s="692">
        <v>0</v>
      </c>
      <c r="CQ194" s="689">
        <v>0</v>
      </c>
      <c r="CR194" s="690">
        <v>0</v>
      </c>
      <c r="CS194" s="689">
        <v>0</v>
      </c>
      <c r="CT194" s="690">
        <v>0</v>
      </c>
      <c r="CU194" s="691">
        <v>0</v>
      </c>
      <c r="CV194" s="690">
        <v>0</v>
      </c>
    </row>
    <row r="195" spans="1:100">
      <c r="A195" s="457">
        <v>193</v>
      </c>
      <c r="B195" s="577">
        <v>0</v>
      </c>
      <c r="C195" s="577">
        <v>0</v>
      </c>
      <c r="D195" s="577">
        <v>0</v>
      </c>
      <c r="E195" s="577">
        <v>0</v>
      </c>
      <c r="F195" s="577">
        <v>0</v>
      </c>
      <c r="G195" s="577">
        <v>0</v>
      </c>
      <c r="H195" s="577">
        <v>0</v>
      </c>
      <c r="I195" s="577">
        <v>0</v>
      </c>
      <c r="J195" s="577">
        <v>0</v>
      </c>
      <c r="K195" s="577">
        <v>0</v>
      </c>
      <c r="L195" s="577">
        <v>0</v>
      </c>
      <c r="M195" s="577">
        <v>0</v>
      </c>
      <c r="N195" s="577">
        <v>0</v>
      </c>
      <c r="O195" s="577">
        <v>0</v>
      </c>
      <c r="P195" s="577">
        <v>0</v>
      </c>
      <c r="Q195" s="577">
        <v>0</v>
      </c>
      <c r="R195" s="577">
        <v>0</v>
      </c>
      <c r="S195" s="577">
        <v>0</v>
      </c>
      <c r="T195" s="577">
        <v>0</v>
      </c>
      <c r="U195" s="577">
        <v>0</v>
      </c>
      <c r="V195" s="577">
        <v>0</v>
      </c>
      <c r="W195" s="592">
        <v>0</v>
      </c>
      <c r="X195" s="685">
        <v>0</v>
      </c>
      <c r="Y195" s="685">
        <v>0</v>
      </c>
      <c r="Z195" s="685">
        <v>0</v>
      </c>
      <c r="AA195" s="685">
        <v>0</v>
      </c>
      <c r="AB195" s="685">
        <v>0</v>
      </c>
      <c r="AC195" s="685">
        <v>0</v>
      </c>
      <c r="AD195" s="685">
        <v>0</v>
      </c>
      <c r="AE195" s="910">
        <v>0</v>
      </c>
      <c r="AF195" s="911">
        <v>0</v>
      </c>
      <c r="AG195" s="912">
        <v>0</v>
      </c>
      <c r="AH195" s="685">
        <v>0</v>
      </c>
      <c r="AI195" s="684">
        <v>0</v>
      </c>
      <c r="AJ195" s="682">
        <v>0</v>
      </c>
      <c r="AK195" s="684">
        <v>0</v>
      </c>
      <c r="AL195" s="686">
        <v>0</v>
      </c>
      <c r="AM195" s="682">
        <v>0</v>
      </c>
      <c r="AN195" s="682">
        <v>0</v>
      </c>
      <c r="AO195" s="686">
        <v>0</v>
      </c>
      <c r="AP195" s="687">
        <v>0</v>
      </c>
      <c r="AQ195" s="684">
        <v>0</v>
      </c>
      <c r="AR195" s="682">
        <v>0</v>
      </c>
      <c r="AS195" s="684">
        <v>0</v>
      </c>
      <c r="AT195" s="688">
        <v>0</v>
      </c>
      <c r="AU195" s="682">
        <v>0</v>
      </c>
      <c r="AV195" s="684">
        <v>0</v>
      </c>
      <c r="AW195" s="689">
        <v>0</v>
      </c>
      <c r="AX195" s="690">
        <v>0</v>
      </c>
      <c r="AY195" s="689">
        <v>0</v>
      </c>
      <c r="AZ195" s="690">
        <v>0</v>
      </c>
      <c r="BA195" s="689">
        <v>0</v>
      </c>
      <c r="BB195" s="690">
        <v>0</v>
      </c>
      <c r="BC195" s="691">
        <v>0</v>
      </c>
      <c r="BD195" s="692">
        <v>0</v>
      </c>
      <c r="BE195" s="689">
        <v>0</v>
      </c>
      <c r="BF195" s="690">
        <v>0</v>
      </c>
      <c r="BG195" s="691">
        <v>0</v>
      </c>
      <c r="BH195" s="690">
        <v>0</v>
      </c>
      <c r="BI195" s="691">
        <v>0</v>
      </c>
      <c r="BJ195" s="690">
        <v>0</v>
      </c>
      <c r="BK195" s="691">
        <v>0</v>
      </c>
      <c r="BL195" s="690">
        <v>0</v>
      </c>
      <c r="BM195" s="691">
        <v>0</v>
      </c>
      <c r="BN195" s="690">
        <v>0</v>
      </c>
      <c r="BO195" s="691">
        <v>0</v>
      </c>
      <c r="BP195" s="690">
        <v>0</v>
      </c>
      <c r="BQ195" s="691">
        <v>0</v>
      </c>
      <c r="BR195" s="690">
        <v>0</v>
      </c>
      <c r="BS195" s="691">
        <v>0</v>
      </c>
      <c r="BT195" s="690">
        <v>0</v>
      </c>
      <c r="BU195" s="691">
        <v>0</v>
      </c>
      <c r="BV195" s="690">
        <v>0</v>
      </c>
      <c r="BW195" s="691">
        <v>0</v>
      </c>
      <c r="BX195" s="690">
        <v>0</v>
      </c>
      <c r="BY195" s="691">
        <v>0</v>
      </c>
      <c r="BZ195" s="690">
        <v>0</v>
      </c>
      <c r="CA195" s="691">
        <v>0</v>
      </c>
      <c r="CB195" s="690">
        <v>0</v>
      </c>
      <c r="CC195" s="689">
        <v>0</v>
      </c>
      <c r="CD195" s="692">
        <v>0</v>
      </c>
      <c r="CE195" s="689">
        <v>0</v>
      </c>
      <c r="CF195" s="692">
        <v>0</v>
      </c>
      <c r="CG195" s="689">
        <v>0</v>
      </c>
      <c r="CH195" s="692">
        <v>0</v>
      </c>
      <c r="CI195" s="689">
        <v>0</v>
      </c>
      <c r="CJ195" s="692">
        <v>0</v>
      </c>
      <c r="CK195" s="689">
        <v>0</v>
      </c>
      <c r="CL195" s="692">
        <v>0</v>
      </c>
      <c r="CM195" s="689">
        <v>0</v>
      </c>
      <c r="CN195" s="692">
        <v>0</v>
      </c>
      <c r="CO195" s="689">
        <v>0</v>
      </c>
      <c r="CP195" s="692">
        <v>0</v>
      </c>
      <c r="CQ195" s="689">
        <v>0</v>
      </c>
      <c r="CR195" s="690">
        <v>0</v>
      </c>
      <c r="CS195" s="689">
        <v>0</v>
      </c>
      <c r="CT195" s="690">
        <v>0</v>
      </c>
      <c r="CU195" s="691">
        <v>0</v>
      </c>
      <c r="CV195" s="690">
        <v>0</v>
      </c>
    </row>
    <row r="196" spans="1:100">
      <c r="A196" s="457">
        <v>194</v>
      </c>
      <c r="B196" s="577">
        <v>0</v>
      </c>
      <c r="C196" s="577">
        <v>0</v>
      </c>
      <c r="D196" s="577">
        <v>0</v>
      </c>
      <c r="E196" s="577">
        <v>0</v>
      </c>
      <c r="F196" s="577">
        <v>0</v>
      </c>
      <c r="G196" s="577">
        <v>0</v>
      </c>
      <c r="H196" s="577">
        <v>0</v>
      </c>
      <c r="I196" s="577">
        <v>0</v>
      </c>
      <c r="J196" s="577">
        <v>0</v>
      </c>
      <c r="K196" s="577">
        <v>0</v>
      </c>
      <c r="L196" s="577">
        <v>0</v>
      </c>
      <c r="M196" s="577">
        <v>0</v>
      </c>
      <c r="N196" s="577">
        <v>0</v>
      </c>
      <c r="O196" s="577">
        <v>0</v>
      </c>
      <c r="P196" s="577">
        <v>0</v>
      </c>
      <c r="Q196" s="577">
        <v>0</v>
      </c>
      <c r="R196" s="577">
        <v>0</v>
      </c>
      <c r="S196" s="577">
        <v>0</v>
      </c>
      <c r="T196" s="577">
        <v>0</v>
      </c>
      <c r="U196" s="577">
        <v>0</v>
      </c>
      <c r="V196" s="577">
        <v>0</v>
      </c>
      <c r="W196" s="592">
        <v>0</v>
      </c>
      <c r="X196" s="685">
        <v>0</v>
      </c>
      <c r="Y196" s="685">
        <v>0</v>
      </c>
      <c r="Z196" s="685">
        <v>0</v>
      </c>
      <c r="AA196" s="685">
        <v>0</v>
      </c>
      <c r="AB196" s="685">
        <v>0</v>
      </c>
      <c r="AC196" s="685">
        <v>0</v>
      </c>
      <c r="AD196" s="685">
        <v>0</v>
      </c>
      <c r="AE196" s="910">
        <v>0</v>
      </c>
      <c r="AF196" s="911">
        <v>0</v>
      </c>
      <c r="AG196" s="912">
        <v>0</v>
      </c>
      <c r="AH196" s="685">
        <v>0</v>
      </c>
      <c r="AI196" s="684">
        <v>0</v>
      </c>
      <c r="AJ196" s="682">
        <v>0</v>
      </c>
      <c r="AK196" s="684">
        <v>0</v>
      </c>
      <c r="AL196" s="686">
        <v>0</v>
      </c>
      <c r="AM196" s="682">
        <v>0</v>
      </c>
      <c r="AN196" s="682">
        <v>0</v>
      </c>
      <c r="AO196" s="686">
        <v>0</v>
      </c>
      <c r="AP196" s="687">
        <v>0</v>
      </c>
      <c r="AQ196" s="684">
        <v>0</v>
      </c>
      <c r="AR196" s="682">
        <v>0</v>
      </c>
      <c r="AS196" s="684">
        <v>0</v>
      </c>
      <c r="AT196" s="688">
        <v>0</v>
      </c>
      <c r="AU196" s="682">
        <v>0</v>
      </c>
      <c r="AV196" s="684">
        <v>0</v>
      </c>
      <c r="AW196" s="689">
        <v>0</v>
      </c>
      <c r="AX196" s="690">
        <v>0</v>
      </c>
      <c r="AY196" s="689">
        <v>0</v>
      </c>
      <c r="AZ196" s="690">
        <v>0</v>
      </c>
      <c r="BA196" s="689">
        <v>0</v>
      </c>
      <c r="BB196" s="690">
        <v>0</v>
      </c>
      <c r="BC196" s="691">
        <v>0</v>
      </c>
      <c r="BD196" s="692">
        <v>0</v>
      </c>
      <c r="BE196" s="689">
        <v>0</v>
      </c>
      <c r="BF196" s="690">
        <v>0</v>
      </c>
      <c r="BG196" s="691">
        <v>0</v>
      </c>
      <c r="BH196" s="690">
        <v>0</v>
      </c>
      <c r="BI196" s="691">
        <v>0</v>
      </c>
      <c r="BJ196" s="690">
        <v>0</v>
      </c>
      <c r="BK196" s="691">
        <v>0</v>
      </c>
      <c r="BL196" s="690">
        <v>0</v>
      </c>
      <c r="BM196" s="691">
        <v>0</v>
      </c>
      <c r="BN196" s="690">
        <v>0</v>
      </c>
      <c r="BO196" s="691">
        <v>0</v>
      </c>
      <c r="BP196" s="690">
        <v>0</v>
      </c>
      <c r="BQ196" s="691">
        <v>0</v>
      </c>
      <c r="BR196" s="690">
        <v>0</v>
      </c>
      <c r="BS196" s="691">
        <v>0</v>
      </c>
      <c r="BT196" s="690">
        <v>0</v>
      </c>
      <c r="BU196" s="691">
        <v>0</v>
      </c>
      <c r="BV196" s="690">
        <v>0</v>
      </c>
      <c r="BW196" s="691">
        <v>0</v>
      </c>
      <c r="BX196" s="690">
        <v>0</v>
      </c>
      <c r="BY196" s="691">
        <v>0</v>
      </c>
      <c r="BZ196" s="690">
        <v>0</v>
      </c>
      <c r="CA196" s="691">
        <v>0</v>
      </c>
      <c r="CB196" s="690">
        <v>0</v>
      </c>
      <c r="CC196" s="689">
        <v>0</v>
      </c>
      <c r="CD196" s="692">
        <v>0</v>
      </c>
      <c r="CE196" s="689">
        <v>0</v>
      </c>
      <c r="CF196" s="692">
        <v>0</v>
      </c>
      <c r="CG196" s="689">
        <v>0</v>
      </c>
      <c r="CH196" s="692">
        <v>0</v>
      </c>
      <c r="CI196" s="689">
        <v>0</v>
      </c>
      <c r="CJ196" s="692">
        <v>0</v>
      </c>
      <c r="CK196" s="689">
        <v>0</v>
      </c>
      <c r="CL196" s="692">
        <v>0</v>
      </c>
      <c r="CM196" s="689">
        <v>0</v>
      </c>
      <c r="CN196" s="692">
        <v>0</v>
      </c>
      <c r="CO196" s="689">
        <v>0</v>
      </c>
      <c r="CP196" s="692">
        <v>0</v>
      </c>
      <c r="CQ196" s="689">
        <v>0</v>
      </c>
      <c r="CR196" s="690">
        <v>0</v>
      </c>
      <c r="CS196" s="689">
        <v>0</v>
      </c>
      <c r="CT196" s="690">
        <v>0</v>
      </c>
      <c r="CU196" s="691">
        <v>0</v>
      </c>
      <c r="CV196" s="690">
        <v>0</v>
      </c>
    </row>
    <row r="197" spans="1:100">
      <c r="A197" s="457">
        <v>195</v>
      </c>
      <c r="B197" s="577">
        <v>0</v>
      </c>
      <c r="C197" s="577">
        <v>0</v>
      </c>
      <c r="D197" s="577">
        <v>0</v>
      </c>
      <c r="E197" s="577">
        <v>0</v>
      </c>
      <c r="F197" s="577">
        <v>0</v>
      </c>
      <c r="G197" s="577">
        <v>0</v>
      </c>
      <c r="H197" s="577">
        <v>0</v>
      </c>
      <c r="I197" s="577">
        <v>0</v>
      </c>
      <c r="J197" s="577">
        <v>0</v>
      </c>
      <c r="K197" s="577">
        <v>0</v>
      </c>
      <c r="L197" s="577">
        <v>0</v>
      </c>
      <c r="M197" s="577">
        <v>0</v>
      </c>
      <c r="N197" s="577">
        <v>0</v>
      </c>
      <c r="O197" s="577">
        <v>0</v>
      </c>
      <c r="P197" s="577">
        <v>0</v>
      </c>
      <c r="Q197" s="577">
        <v>0</v>
      </c>
      <c r="R197" s="577">
        <v>0</v>
      </c>
      <c r="S197" s="577">
        <v>0</v>
      </c>
      <c r="T197" s="577">
        <v>0</v>
      </c>
      <c r="U197" s="577">
        <v>0</v>
      </c>
      <c r="V197" s="577">
        <v>0</v>
      </c>
      <c r="W197" s="592">
        <v>0</v>
      </c>
      <c r="X197" s="685">
        <v>0</v>
      </c>
      <c r="Y197" s="685">
        <v>0</v>
      </c>
      <c r="Z197" s="685">
        <v>0</v>
      </c>
      <c r="AA197" s="685">
        <v>0</v>
      </c>
      <c r="AB197" s="685">
        <v>0</v>
      </c>
      <c r="AC197" s="685">
        <v>0</v>
      </c>
      <c r="AD197" s="685">
        <v>0</v>
      </c>
      <c r="AE197" s="910">
        <v>0</v>
      </c>
      <c r="AF197" s="911">
        <v>0</v>
      </c>
      <c r="AG197" s="912">
        <v>0</v>
      </c>
      <c r="AH197" s="685">
        <v>0</v>
      </c>
      <c r="AI197" s="684">
        <v>0</v>
      </c>
      <c r="AJ197" s="682">
        <v>0</v>
      </c>
      <c r="AK197" s="684">
        <v>0</v>
      </c>
      <c r="AL197" s="686">
        <v>0</v>
      </c>
      <c r="AM197" s="682">
        <v>0</v>
      </c>
      <c r="AN197" s="682">
        <v>0</v>
      </c>
      <c r="AO197" s="686">
        <v>0</v>
      </c>
      <c r="AP197" s="687">
        <v>0</v>
      </c>
      <c r="AQ197" s="684">
        <v>0</v>
      </c>
      <c r="AR197" s="682">
        <v>0</v>
      </c>
      <c r="AS197" s="684">
        <v>0</v>
      </c>
      <c r="AT197" s="688">
        <v>0</v>
      </c>
      <c r="AU197" s="682">
        <v>0</v>
      </c>
      <c r="AV197" s="684">
        <v>0</v>
      </c>
      <c r="AW197" s="689">
        <v>0</v>
      </c>
      <c r="AX197" s="690">
        <v>0</v>
      </c>
      <c r="AY197" s="689">
        <v>0</v>
      </c>
      <c r="AZ197" s="690">
        <v>0</v>
      </c>
      <c r="BA197" s="689">
        <v>0</v>
      </c>
      <c r="BB197" s="690">
        <v>0</v>
      </c>
      <c r="BC197" s="691">
        <v>0</v>
      </c>
      <c r="BD197" s="692">
        <v>0</v>
      </c>
      <c r="BE197" s="689">
        <v>0</v>
      </c>
      <c r="BF197" s="690">
        <v>0</v>
      </c>
      <c r="BG197" s="691">
        <v>0</v>
      </c>
      <c r="BH197" s="690">
        <v>0</v>
      </c>
      <c r="BI197" s="691">
        <v>0</v>
      </c>
      <c r="BJ197" s="690">
        <v>0</v>
      </c>
      <c r="BK197" s="691">
        <v>0</v>
      </c>
      <c r="BL197" s="690">
        <v>0</v>
      </c>
      <c r="BM197" s="691">
        <v>0</v>
      </c>
      <c r="BN197" s="690">
        <v>0</v>
      </c>
      <c r="BO197" s="691">
        <v>0</v>
      </c>
      <c r="BP197" s="690">
        <v>0</v>
      </c>
      <c r="BQ197" s="691">
        <v>0</v>
      </c>
      <c r="BR197" s="690">
        <v>0</v>
      </c>
      <c r="BS197" s="691">
        <v>0</v>
      </c>
      <c r="BT197" s="690">
        <v>0</v>
      </c>
      <c r="BU197" s="691">
        <v>0</v>
      </c>
      <c r="BV197" s="690">
        <v>0</v>
      </c>
      <c r="BW197" s="691">
        <v>0</v>
      </c>
      <c r="BX197" s="690">
        <v>0</v>
      </c>
      <c r="BY197" s="691">
        <v>0</v>
      </c>
      <c r="BZ197" s="690">
        <v>0</v>
      </c>
      <c r="CA197" s="691">
        <v>0</v>
      </c>
      <c r="CB197" s="690">
        <v>0</v>
      </c>
      <c r="CC197" s="689">
        <v>0</v>
      </c>
      <c r="CD197" s="692">
        <v>0</v>
      </c>
      <c r="CE197" s="689">
        <v>0</v>
      </c>
      <c r="CF197" s="692">
        <v>0</v>
      </c>
      <c r="CG197" s="689">
        <v>0</v>
      </c>
      <c r="CH197" s="692">
        <v>0</v>
      </c>
      <c r="CI197" s="689">
        <v>0</v>
      </c>
      <c r="CJ197" s="692">
        <v>0</v>
      </c>
      <c r="CK197" s="689">
        <v>0</v>
      </c>
      <c r="CL197" s="692">
        <v>0</v>
      </c>
      <c r="CM197" s="689">
        <v>0</v>
      </c>
      <c r="CN197" s="692">
        <v>0</v>
      </c>
      <c r="CO197" s="689">
        <v>0</v>
      </c>
      <c r="CP197" s="692">
        <v>0</v>
      </c>
      <c r="CQ197" s="689">
        <v>0</v>
      </c>
      <c r="CR197" s="690">
        <v>0</v>
      </c>
      <c r="CS197" s="689">
        <v>0</v>
      </c>
      <c r="CT197" s="690">
        <v>0</v>
      </c>
      <c r="CU197" s="691">
        <v>0</v>
      </c>
      <c r="CV197" s="690">
        <v>0</v>
      </c>
    </row>
    <row r="198" spans="1:100">
      <c r="A198" s="457">
        <v>196</v>
      </c>
      <c r="B198" s="577">
        <v>0</v>
      </c>
      <c r="C198" s="577">
        <v>0</v>
      </c>
      <c r="D198" s="577">
        <v>0</v>
      </c>
      <c r="E198" s="577">
        <v>0</v>
      </c>
      <c r="F198" s="577">
        <v>0</v>
      </c>
      <c r="G198" s="577">
        <v>0</v>
      </c>
      <c r="H198" s="577">
        <v>0</v>
      </c>
      <c r="I198" s="577">
        <v>0</v>
      </c>
      <c r="J198" s="577">
        <v>0</v>
      </c>
      <c r="K198" s="577">
        <v>0</v>
      </c>
      <c r="L198" s="577">
        <v>0</v>
      </c>
      <c r="M198" s="577">
        <v>0</v>
      </c>
      <c r="N198" s="577">
        <v>0</v>
      </c>
      <c r="O198" s="577">
        <v>0</v>
      </c>
      <c r="P198" s="577">
        <v>0</v>
      </c>
      <c r="Q198" s="577">
        <v>0</v>
      </c>
      <c r="R198" s="577">
        <v>0</v>
      </c>
      <c r="S198" s="577">
        <v>0</v>
      </c>
      <c r="T198" s="577">
        <v>0</v>
      </c>
      <c r="U198" s="577">
        <v>0</v>
      </c>
      <c r="V198" s="577">
        <v>0</v>
      </c>
      <c r="W198" s="592">
        <v>0</v>
      </c>
      <c r="X198" s="685">
        <v>0</v>
      </c>
      <c r="Y198" s="685">
        <v>0</v>
      </c>
      <c r="Z198" s="685">
        <v>0</v>
      </c>
      <c r="AA198" s="685">
        <v>0</v>
      </c>
      <c r="AB198" s="685">
        <v>0</v>
      </c>
      <c r="AC198" s="685">
        <v>0</v>
      </c>
      <c r="AD198" s="685">
        <v>0</v>
      </c>
      <c r="AE198" s="910">
        <v>0</v>
      </c>
      <c r="AF198" s="911">
        <v>0</v>
      </c>
      <c r="AG198" s="912">
        <v>0</v>
      </c>
      <c r="AH198" s="685">
        <v>0</v>
      </c>
      <c r="AI198" s="684">
        <v>0</v>
      </c>
      <c r="AJ198" s="682">
        <v>0</v>
      </c>
      <c r="AK198" s="684">
        <v>0</v>
      </c>
      <c r="AL198" s="686">
        <v>0</v>
      </c>
      <c r="AM198" s="682">
        <v>0</v>
      </c>
      <c r="AN198" s="682">
        <v>0</v>
      </c>
      <c r="AO198" s="686">
        <v>0</v>
      </c>
      <c r="AP198" s="687">
        <v>0</v>
      </c>
      <c r="AQ198" s="684">
        <v>0</v>
      </c>
      <c r="AR198" s="682">
        <v>0</v>
      </c>
      <c r="AS198" s="684">
        <v>0</v>
      </c>
      <c r="AT198" s="688">
        <v>0</v>
      </c>
      <c r="AU198" s="682">
        <v>0</v>
      </c>
      <c r="AV198" s="684">
        <v>0</v>
      </c>
      <c r="AW198" s="689">
        <v>0</v>
      </c>
      <c r="AX198" s="690">
        <v>0</v>
      </c>
      <c r="AY198" s="689">
        <v>0</v>
      </c>
      <c r="AZ198" s="690">
        <v>0</v>
      </c>
      <c r="BA198" s="689">
        <v>0</v>
      </c>
      <c r="BB198" s="690">
        <v>0</v>
      </c>
      <c r="BC198" s="691">
        <v>0</v>
      </c>
      <c r="BD198" s="692">
        <v>0</v>
      </c>
      <c r="BE198" s="689">
        <v>0</v>
      </c>
      <c r="BF198" s="690">
        <v>0</v>
      </c>
      <c r="BG198" s="691">
        <v>0</v>
      </c>
      <c r="BH198" s="690">
        <v>0</v>
      </c>
      <c r="BI198" s="691">
        <v>0</v>
      </c>
      <c r="BJ198" s="690">
        <v>0</v>
      </c>
      <c r="BK198" s="691">
        <v>0</v>
      </c>
      <c r="BL198" s="690">
        <v>0</v>
      </c>
      <c r="BM198" s="691">
        <v>0</v>
      </c>
      <c r="BN198" s="690">
        <v>0</v>
      </c>
      <c r="BO198" s="691">
        <v>0</v>
      </c>
      <c r="BP198" s="690">
        <v>0</v>
      </c>
      <c r="BQ198" s="691">
        <v>0</v>
      </c>
      <c r="BR198" s="690">
        <v>0</v>
      </c>
      <c r="BS198" s="691">
        <v>0</v>
      </c>
      <c r="BT198" s="690">
        <v>0</v>
      </c>
      <c r="BU198" s="691">
        <v>0</v>
      </c>
      <c r="BV198" s="690">
        <v>0</v>
      </c>
      <c r="BW198" s="691">
        <v>0</v>
      </c>
      <c r="BX198" s="690">
        <v>0</v>
      </c>
      <c r="BY198" s="691">
        <v>0</v>
      </c>
      <c r="BZ198" s="690">
        <v>0</v>
      </c>
      <c r="CA198" s="691">
        <v>0</v>
      </c>
      <c r="CB198" s="690">
        <v>0</v>
      </c>
      <c r="CC198" s="689">
        <v>0</v>
      </c>
      <c r="CD198" s="692">
        <v>0</v>
      </c>
      <c r="CE198" s="689">
        <v>0</v>
      </c>
      <c r="CF198" s="692">
        <v>0</v>
      </c>
      <c r="CG198" s="689">
        <v>0</v>
      </c>
      <c r="CH198" s="692">
        <v>0</v>
      </c>
      <c r="CI198" s="689">
        <v>0</v>
      </c>
      <c r="CJ198" s="692">
        <v>0</v>
      </c>
      <c r="CK198" s="689">
        <v>0</v>
      </c>
      <c r="CL198" s="692">
        <v>0</v>
      </c>
      <c r="CM198" s="689">
        <v>0</v>
      </c>
      <c r="CN198" s="692">
        <v>0</v>
      </c>
      <c r="CO198" s="689">
        <v>0</v>
      </c>
      <c r="CP198" s="692">
        <v>0</v>
      </c>
      <c r="CQ198" s="689">
        <v>0</v>
      </c>
      <c r="CR198" s="690">
        <v>0</v>
      </c>
      <c r="CS198" s="689">
        <v>0</v>
      </c>
      <c r="CT198" s="690">
        <v>0</v>
      </c>
      <c r="CU198" s="691">
        <v>0</v>
      </c>
      <c r="CV198" s="690">
        <v>0</v>
      </c>
    </row>
    <row r="199" spans="1:100">
      <c r="A199" s="457">
        <v>197</v>
      </c>
      <c r="B199" s="577">
        <v>0</v>
      </c>
      <c r="C199" s="577">
        <v>0</v>
      </c>
      <c r="D199" s="577">
        <v>0</v>
      </c>
      <c r="E199" s="577">
        <v>0</v>
      </c>
      <c r="F199" s="577">
        <v>0</v>
      </c>
      <c r="G199" s="577">
        <v>0</v>
      </c>
      <c r="H199" s="577">
        <v>0</v>
      </c>
      <c r="I199" s="577">
        <v>0</v>
      </c>
      <c r="J199" s="577">
        <v>0</v>
      </c>
      <c r="K199" s="577">
        <v>0</v>
      </c>
      <c r="L199" s="577">
        <v>0</v>
      </c>
      <c r="M199" s="577">
        <v>0</v>
      </c>
      <c r="N199" s="577">
        <v>0</v>
      </c>
      <c r="O199" s="577">
        <v>0</v>
      </c>
      <c r="P199" s="577">
        <v>0</v>
      </c>
      <c r="Q199" s="577">
        <v>0</v>
      </c>
      <c r="R199" s="577">
        <v>0</v>
      </c>
      <c r="S199" s="577">
        <v>0</v>
      </c>
      <c r="T199" s="577">
        <v>0</v>
      </c>
      <c r="U199" s="577">
        <v>0</v>
      </c>
      <c r="V199" s="577">
        <v>0</v>
      </c>
      <c r="W199" s="592">
        <v>0</v>
      </c>
      <c r="X199" s="685">
        <v>0</v>
      </c>
      <c r="Y199" s="685">
        <v>0</v>
      </c>
      <c r="Z199" s="685">
        <v>0</v>
      </c>
      <c r="AA199" s="685">
        <v>0</v>
      </c>
      <c r="AB199" s="685">
        <v>0</v>
      </c>
      <c r="AC199" s="685">
        <v>0</v>
      </c>
      <c r="AD199" s="685">
        <v>0</v>
      </c>
      <c r="AE199" s="910">
        <v>0</v>
      </c>
      <c r="AF199" s="911">
        <v>0</v>
      </c>
      <c r="AG199" s="912">
        <v>0</v>
      </c>
      <c r="AH199" s="685">
        <v>0</v>
      </c>
      <c r="AI199" s="684">
        <v>0</v>
      </c>
      <c r="AJ199" s="682">
        <v>0</v>
      </c>
      <c r="AK199" s="684">
        <v>0</v>
      </c>
      <c r="AL199" s="686">
        <v>0</v>
      </c>
      <c r="AM199" s="682">
        <v>0</v>
      </c>
      <c r="AN199" s="682">
        <v>0</v>
      </c>
      <c r="AO199" s="686">
        <v>0</v>
      </c>
      <c r="AP199" s="687">
        <v>0</v>
      </c>
      <c r="AQ199" s="684">
        <v>0</v>
      </c>
      <c r="AR199" s="682">
        <v>0</v>
      </c>
      <c r="AS199" s="684">
        <v>0</v>
      </c>
      <c r="AT199" s="688">
        <v>0</v>
      </c>
      <c r="AU199" s="682">
        <v>0</v>
      </c>
      <c r="AV199" s="684">
        <v>0</v>
      </c>
      <c r="AW199" s="689">
        <v>0</v>
      </c>
      <c r="AX199" s="690">
        <v>0</v>
      </c>
      <c r="AY199" s="689">
        <v>0</v>
      </c>
      <c r="AZ199" s="690">
        <v>0</v>
      </c>
      <c r="BA199" s="689">
        <v>0</v>
      </c>
      <c r="BB199" s="690">
        <v>0</v>
      </c>
      <c r="BC199" s="691">
        <v>0</v>
      </c>
      <c r="BD199" s="692">
        <v>0</v>
      </c>
      <c r="BE199" s="689">
        <v>0</v>
      </c>
      <c r="BF199" s="690">
        <v>0</v>
      </c>
      <c r="BG199" s="691">
        <v>0</v>
      </c>
      <c r="BH199" s="690">
        <v>0</v>
      </c>
      <c r="BI199" s="691">
        <v>0</v>
      </c>
      <c r="BJ199" s="690">
        <v>0</v>
      </c>
      <c r="BK199" s="691">
        <v>0</v>
      </c>
      <c r="BL199" s="690">
        <v>0</v>
      </c>
      <c r="BM199" s="691">
        <v>0</v>
      </c>
      <c r="BN199" s="690">
        <v>0</v>
      </c>
      <c r="BO199" s="691">
        <v>0</v>
      </c>
      <c r="BP199" s="690">
        <v>0</v>
      </c>
      <c r="BQ199" s="691">
        <v>0</v>
      </c>
      <c r="BR199" s="690">
        <v>0</v>
      </c>
      <c r="BS199" s="691">
        <v>0</v>
      </c>
      <c r="BT199" s="690">
        <v>0</v>
      </c>
      <c r="BU199" s="691">
        <v>0</v>
      </c>
      <c r="BV199" s="690">
        <v>0</v>
      </c>
      <c r="BW199" s="691">
        <v>0</v>
      </c>
      <c r="BX199" s="690">
        <v>0</v>
      </c>
      <c r="BY199" s="691">
        <v>0</v>
      </c>
      <c r="BZ199" s="690">
        <v>0</v>
      </c>
      <c r="CA199" s="691">
        <v>0</v>
      </c>
      <c r="CB199" s="690">
        <v>0</v>
      </c>
      <c r="CC199" s="689">
        <v>0</v>
      </c>
      <c r="CD199" s="692">
        <v>0</v>
      </c>
      <c r="CE199" s="689">
        <v>0</v>
      </c>
      <c r="CF199" s="692">
        <v>0</v>
      </c>
      <c r="CG199" s="689">
        <v>0</v>
      </c>
      <c r="CH199" s="692">
        <v>0</v>
      </c>
      <c r="CI199" s="689">
        <v>0</v>
      </c>
      <c r="CJ199" s="692">
        <v>0</v>
      </c>
      <c r="CK199" s="689">
        <v>0</v>
      </c>
      <c r="CL199" s="692">
        <v>0</v>
      </c>
      <c r="CM199" s="689">
        <v>0</v>
      </c>
      <c r="CN199" s="692">
        <v>0</v>
      </c>
      <c r="CO199" s="689">
        <v>0</v>
      </c>
      <c r="CP199" s="692">
        <v>0</v>
      </c>
      <c r="CQ199" s="689">
        <v>0</v>
      </c>
      <c r="CR199" s="690">
        <v>0</v>
      </c>
      <c r="CS199" s="689">
        <v>0</v>
      </c>
      <c r="CT199" s="690">
        <v>0</v>
      </c>
      <c r="CU199" s="691">
        <v>0</v>
      </c>
      <c r="CV199" s="690">
        <v>0</v>
      </c>
    </row>
    <row r="200" spans="1:100">
      <c r="A200" s="457">
        <v>198</v>
      </c>
      <c r="B200" s="577">
        <v>0</v>
      </c>
      <c r="C200" s="577">
        <v>0</v>
      </c>
      <c r="D200" s="577">
        <v>0</v>
      </c>
      <c r="E200" s="577">
        <v>0</v>
      </c>
      <c r="F200" s="577">
        <v>0</v>
      </c>
      <c r="G200" s="577">
        <v>0</v>
      </c>
      <c r="H200" s="577">
        <v>0</v>
      </c>
      <c r="I200" s="577">
        <v>0</v>
      </c>
      <c r="J200" s="577">
        <v>0</v>
      </c>
      <c r="K200" s="577">
        <v>0</v>
      </c>
      <c r="L200" s="577">
        <v>0</v>
      </c>
      <c r="M200" s="577">
        <v>0</v>
      </c>
      <c r="N200" s="577">
        <v>0</v>
      </c>
      <c r="O200" s="577">
        <v>0</v>
      </c>
      <c r="P200" s="577">
        <v>0</v>
      </c>
      <c r="Q200" s="577">
        <v>0</v>
      </c>
      <c r="R200" s="577">
        <v>0</v>
      </c>
      <c r="S200" s="577">
        <v>0</v>
      </c>
      <c r="T200" s="577">
        <v>0</v>
      </c>
      <c r="U200" s="577">
        <v>0</v>
      </c>
      <c r="V200" s="577">
        <v>0</v>
      </c>
      <c r="W200" s="592">
        <v>0</v>
      </c>
      <c r="X200" s="685">
        <v>0</v>
      </c>
      <c r="Y200" s="685">
        <v>0</v>
      </c>
      <c r="Z200" s="685">
        <v>0</v>
      </c>
      <c r="AA200" s="685">
        <v>0</v>
      </c>
      <c r="AB200" s="685">
        <v>0</v>
      </c>
      <c r="AC200" s="685">
        <v>0</v>
      </c>
      <c r="AD200" s="685">
        <v>0</v>
      </c>
      <c r="AE200" s="910">
        <v>0</v>
      </c>
      <c r="AF200" s="911">
        <v>0</v>
      </c>
      <c r="AG200" s="912">
        <v>0</v>
      </c>
      <c r="AH200" s="685">
        <v>0</v>
      </c>
      <c r="AI200" s="684">
        <v>0</v>
      </c>
      <c r="AJ200" s="682">
        <v>0</v>
      </c>
      <c r="AK200" s="684">
        <v>0</v>
      </c>
      <c r="AL200" s="686">
        <v>0</v>
      </c>
      <c r="AM200" s="682">
        <v>0</v>
      </c>
      <c r="AN200" s="682">
        <v>0</v>
      </c>
      <c r="AO200" s="686">
        <v>0</v>
      </c>
      <c r="AP200" s="687">
        <v>0</v>
      </c>
      <c r="AQ200" s="684">
        <v>0</v>
      </c>
      <c r="AR200" s="682">
        <v>0</v>
      </c>
      <c r="AS200" s="684">
        <v>0</v>
      </c>
      <c r="AT200" s="688">
        <v>0</v>
      </c>
      <c r="AU200" s="682">
        <v>0</v>
      </c>
      <c r="AV200" s="684">
        <v>0</v>
      </c>
      <c r="AW200" s="689">
        <v>0</v>
      </c>
      <c r="AX200" s="690">
        <v>0</v>
      </c>
      <c r="AY200" s="689">
        <v>0</v>
      </c>
      <c r="AZ200" s="690">
        <v>0</v>
      </c>
      <c r="BA200" s="689">
        <v>0</v>
      </c>
      <c r="BB200" s="690">
        <v>0</v>
      </c>
      <c r="BC200" s="691">
        <v>0</v>
      </c>
      <c r="BD200" s="692">
        <v>0</v>
      </c>
      <c r="BE200" s="689">
        <v>0</v>
      </c>
      <c r="BF200" s="690">
        <v>0</v>
      </c>
      <c r="BG200" s="691">
        <v>0</v>
      </c>
      <c r="BH200" s="690">
        <v>0</v>
      </c>
      <c r="BI200" s="691">
        <v>0</v>
      </c>
      <c r="BJ200" s="690">
        <v>0</v>
      </c>
      <c r="BK200" s="691">
        <v>0</v>
      </c>
      <c r="BL200" s="690">
        <v>0</v>
      </c>
      <c r="BM200" s="691">
        <v>0</v>
      </c>
      <c r="BN200" s="690">
        <v>0</v>
      </c>
      <c r="BO200" s="691">
        <v>0</v>
      </c>
      <c r="BP200" s="690">
        <v>0</v>
      </c>
      <c r="BQ200" s="691">
        <v>0</v>
      </c>
      <c r="BR200" s="690">
        <v>0</v>
      </c>
      <c r="BS200" s="691">
        <v>0</v>
      </c>
      <c r="BT200" s="690">
        <v>0</v>
      </c>
      <c r="BU200" s="691">
        <v>0</v>
      </c>
      <c r="BV200" s="690">
        <v>0</v>
      </c>
      <c r="BW200" s="691">
        <v>0</v>
      </c>
      <c r="BX200" s="690">
        <v>0</v>
      </c>
      <c r="BY200" s="691">
        <v>0</v>
      </c>
      <c r="BZ200" s="690">
        <v>0</v>
      </c>
      <c r="CA200" s="691">
        <v>0</v>
      </c>
      <c r="CB200" s="690">
        <v>0</v>
      </c>
      <c r="CC200" s="689">
        <v>0</v>
      </c>
      <c r="CD200" s="692">
        <v>0</v>
      </c>
      <c r="CE200" s="689">
        <v>0</v>
      </c>
      <c r="CF200" s="692">
        <v>0</v>
      </c>
      <c r="CG200" s="689">
        <v>0</v>
      </c>
      <c r="CH200" s="692">
        <v>0</v>
      </c>
      <c r="CI200" s="689">
        <v>0</v>
      </c>
      <c r="CJ200" s="692">
        <v>0</v>
      </c>
      <c r="CK200" s="689">
        <v>0</v>
      </c>
      <c r="CL200" s="692">
        <v>0</v>
      </c>
      <c r="CM200" s="689">
        <v>0</v>
      </c>
      <c r="CN200" s="692">
        <v>0</v>
      </c>
      <c r="CO200" s="689">
        <v>0</v>
      </c>
      <c r="CP200" s="692">
        <v>0</v>
      </c>
      <c r="CQ200" s="689">
        <v>0</v>
      </c>
      <c r="CR200" s="690">
        <v>0</v>
      </c>
      <c r="CS200" s="689">
        <v>0</v>
      </c>
      <c r="CT200" s="690">
        <v>0</v>
      </c>
      <c r="CU200" s="691">
        <v>0</v>
      </c>
      <c r="CV200" s="690">
        <v>0</v>
      </c>
    </row>
    <row r="201" spans="1:100" ht="15" thickBot="1">
      <c r="A201" s="457">
        <v>199</v>
      </c>
      <c r="B201" s="577">
        <v>0</v>
      </c>
      <c r="C201" s="577">
        <v>0</v>
      </c>
      <c r="D201" s="577">
        <v>0</v>
      </c>
      <c r="E201" s="577">
        <v>0</v>
      </c>
      <c r="F201" s="577">
        <v>0</v>
      </c>
      <c r="G201" s="577">
        <v>0</v>
      </c>
      <c r="H201" s="577">
        <v>0</v>
      </c>
      <c r="I201" s="577">
        <v>0</v>
      </c>
      <c r="J201" s="577">
        <v>0</v>
      </c>
      <c r="K201" s="577">
        <v>0</v>
      </c>
      <c r="L201" s="577">
        <v>0</v>
      </c>
      <c r="M201" s="577">
        <v>0</v>
      </c>
      <c r="N201" s="577">
        <v>0</v>
      </c>
      <c r="O201" s="577">
        <v>0</v>
      </c>
      <c r="P201" s="577">
        <v>0</v>
      </c>
      <c r="Q201" s="577">
        <v>0</v>
      </c>
      <c r="R201" s="577">
        <v>0</v>
      </c>
      <c r="S201" s="577">
        <v>0</v>
      </c>
      <c r="T201" s="577">
        <v>0</v>
      </c>
      <c r="U201" s="577">
        <v>0</v>
      </c>
      <c r="V201" s="577">
        <v>0</v>
      </c>
      <c r="W201" s="592">
        <v>0</v>
      </c>
      <c r="X201" s="685">
        <v>0</v>
      </c>
      <c r="Y201" s="685">
        <v>0</v>
      </c>
      <c r="Z201" s="685">
        <v>0</v>
      </c>
      <c r="AA201" s="685">
        <v>0</v>
      </c>
      <c r="AB201" s="685">
        <v>0</v>
      </c>
      <c r="AC201" s="685">
        <v>0</v>
      </c>
      <c r="AD201" s="685">
        <v>0</v>
      </c>
      <c r="AE201" s="913">
        <v>0</v>
      </c>
      <c r="AF201" s="914">
        <v>0</v>
      </c>
      <c r="AG201" s="915">
        <v>0</v>
      </c>
      <c r="AH201" s="695">
        <v>0</v>
      </c>
      <c r="AI201" s="694">
        <v>0</v>
      </c>
      <c r="AJ201" s="693">
        <v>0</v>
      </c>
      <c r="AK201" s="694">
        <v>0</v>
      </c>
      <c r="AL201" s="696">
        <v>0</v>
      </c>
      <c r="AM201" s="693">
        <v>0</v>
      </c>
      <c r="AN201" s="693">
        <v>0</v>
      </c>
      <c r="AO201" s="696">
        <v>0</v>
      </c>
      <c r="AP201" s="697">
        <v>0</v>
      </c>
      <c r="AQ201" s="684">
        <v>0</v>
      </c>
      <c r="AR201" s="693">
        <v>0</v>
      </c>
      <c r="AS201" s="694">
        <v>0</v>
      </c>
      <c r="AT201" s="698">
        <v>0</v>
      </c>
      <c r="AU201" s="693">
        <v>0</v>
      </c>
      <c r="AV201" s="694">
        <v>0</v>
      </c>
      <c r="AW201" s="699">
        <v>0</v>
      </c>
      <c r="AX201" s="700">
        <v>0</v>
      </c>
      <c r="AY201" s="699">
        <v>0</v>
      </c>
      <c r="AZ201" s="700">
        <v>0</v>
      </c>
      <c r="BA201" s="699">
        <v>0</v>
      </c>
      <c r="BB201" s="700">
        <v>0</v>
      </c>
      <c r="BC201" s="701">
        <v>0</v>
      </c>
      <c r="BD201" s="702">
        <v>0</v>
      </c>
      <c r="BE201" s="699">
        <v>0</v>
      </c>
      <c r="BF201" s="700">
        <v>0</v>
      </c>
      <c r="BG201" s="701">
        <v>0</v>
      </c>
      <c r="BH201" s="700">
        <v>0</v>
      </c>
      <c r="BI201" s="701">
        <v>0</v>
      </c>
      <c r="BJ201" s="700">
        <v>0</v>
      </c>
      <c r="BK201" s="701">
        <v>0</v>
      </c>
      <c r="BL201" s="700">
        <v>0</v>
      </c>
      <c r="BM201" s="701">
        <v>0</v>
      </c>
      <c r="BN201" s="700">
        <v>0</v>
      </c>
      <c r="BO201" s="701">
        <v>0</v>
      </c>
      <c r="BP201" s="700">
        <v>0</v>
      </c>
      <c r="BQ201" s="701">
        <v>0</v>
      </c>
      <c r="BR201" s="700">
        <v>0</v>
      </c>
      <c r="BS201" s="701">
        <v>0</v>
      </c>
      <c r="BT201" s="700">
        <v>0</v>
      </c>
      <c r="BU201" s="701">
        <v>0</v>
      </c>
      <c r="BV201" s="700">
        <v>0</v>
      </c>
      <c r="BW201" s="701">
        <v>0</v>
      </c>
      <c r="BX201" s="700">
        <v>0</v>
      </c>
      <c r="BY201" s="701">
        <v>0</v>
      </c>
      <c r="BZ201" s="700">
        <v>0</v>
      </c>
      <c r="CA201" s="701">
        <v>0</v>
      </c>
      <c r="CB201" s="700">
        <v>0</v>
      </c>
      <c r="CC201" s="699">
        <v>0</v>
      </c>
      <c r="CD201" s="702">
        <v>0</v>
      </c>
      <c r="CE201" s="699">
        <v>0</v>
      </c>
      <c r="CF201" s="702">
        <v>0</v>
      </c>
      <c r="CG201" s="699">
        <v>0</v>
      </c>
      <c r="CH201" s="702">
        <v>0</v>
      </c>
      <c r="CI201" s="699">
        <v>0</v>
      </c>
      <c r="CJ201" s="702">
        <v>0</v>
      </c>
      <c r="CK201" s="699">
        <v>0</v>
      </c>
      <c r="CL201" s="702">
        <v>0</v>
      </c>
      <c r="CM201" s="699">
        <v>0</v>
      </c>
      <c r="CN201" s="702">
        <v>0</v>
      </c>
      <c r="CO201" s="699">
        <v>0</v>
      </c>
      <c r="CP201" s="702">
        <v>0</v>
      </c>
      <c r="CQ201" s="699">
        <v>0</v>
      </c>
      <c r="CR201" s="700">
        <v>0</v>
      </c>
      <c r="CS201" s="699">
        <v>0</v>
      </c>
      <c r="CT201" s="700">
        <v>0</v>
      </c>
      <c r="CU201" s="701">
        <v>0</v>
      </c>
      <c r="CV201" s="700">
        <v>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E2BB4-67D9-4051-BA87-FD201D2882C8}">
  <sheetPr>
    <tabColor theme="3"/>
  </sheetPr>
  <dimension ref="A1:H208"/>
  <sheetViews>
    <sheetView topLeftCell="A60" zoomScale="70" zoomScaleNormal="70" workbookViewId="0">
      <selection activeCell="A88" sqref="A88:B100"/>
    </sheetView>
  </sheetViews>
  <sheetFormatPr defaultRowHeight="14.4"/>
  <cols>
    <col min="1" max="2" width="80.6640625" style="16" customWidth="1"/>
    <col min="3" max="3" width="30.6640625" customWidth="1"/>
    <col min="4" max="4" width="39.109375" style="16" customWidth="1"/>
    <col min="5" max="5" width="56.6640625" customWidth="1"/>
    <col min="6" max="6" width="38.88671875" bestFit="1" customWidth="1"/>
    <col min="7" max="7" width="48.6640625" bestFit="1" customWidth="1"/>
    <col min="8" max="8" width="32.5546875" bestFit="1" customWidth="1"/>
  </cols>
  <sheetData>
    <row r="1" spans="1:8" s="8" customFormat="1" ht="30" customHeight="1">
      <c r="A1" s="454" t="s">
        <v>1310</v>
      </c>
      <c r="B1" s="594" t="s">
        <v>1311</v>
      </c>
      <c r="C1" s="595" t="s">
        <v>1312</v>
      </c>
      <c r="D1" s="593" t="s">
        <v>1313</v>
      </c>
      <c r="E1" s="627" t="s">
        <v>1314</v>
      </c>
      <c r="F1" s="627" t="s">
        <v>1315</v>
      </c>
      <c r="G1" s="624" t="s">
        <v>1316</v>
      </c>
      <c r="H1"/>
    </row>
    <row r="2" spans="1:8">
      <c r="A2" s="224" t="s">
        <v>138</v>
      </c>
      <c r="B2" s="596" t="s">
        <v>1139</v>
      </c>
      <c r="C2" s="224" t="b">
        <f>NOT(ISERROR(MATCH(B2, D:D, 0)))</f>
        <v>1</v>
      </c>
      <c r="D2" s="455" t="str">
        <f>Lifetimes!B1</f>
        <v>AgriculturalFilmsIU</v>
      </c>
      <c r="E2" s="628" t="str" cm="1">
        <f t="array" ref="E2:E85">_xlfn._xlws.FILTER(Compartments!A2:A241, Compartments!B2:B241="stock")</f>
        <v>Agricultural greenhouse films (discarded)</v>
      </c>
      <c r="F2" s="224" t="str" cm="1">
        <f t="array" ref="F2:F85">_xlfn._xlws.FILTER(Compartments!C2:C241, Compartments!B2:B241="stock")</f>
        <v>AgriculturalFilmsDis</v>
      </c>
      <c r="G2" s="224" t="b">
        <f>NOT(ISERROR(MATCH(E2, A:A, 0)))</f>
        <v>1</v>
      </c>
      <c r="H2" s="623"/>
    </row>
    <row r="3" spans="1:8">
      <c r="A3" s="224" t="s">
        <v>426</v>
      </c>
      <c r="B3" s="596" t="s">
        <v>1291</v>
      </c>
      <c r="C3" s="224" t="b">
        <f t="shared" ref="C3:C33" si="0">NOT(ISERROR(MATCH(B3, D:D, 0)))</f>
        <v>1</v>
      </c>
      <c r="D3" s="455" t="str">
        <f>Lifetimes!C1</f>
        <v>AgriculturalFilmsDis</v>
      </c>
      <c r="E3" s="224" t="str">
        <v>Agricultural greenhouse films (in use)</v>
      </c>
      <c r="F3" s="224" t="str">
        <v>AgriculturalFilmsIU</v>
      </c>
      <c r="G3" s="224" t="b">
        <f t="shared" ref="G3:G66" si="1">NOT(ISERROR(MATCH(E3, A:A, 0)))</f>
        <v>1</v>
      </c>
      <c r="H3" s="623"/>
    </row>
    <row r="4" spans="1:8">
      <c r="A4" s="224" t="s">
        <v>428</v>
      </c>
      <c r="B4" s="596" t="s">
        <v>1293</v>
      </c>
      <c r="C4" s="224" t="b">
        <f t="shared" si="0"/>
        <v>1</v>
      </c>
      <c r="D4" s="455" t="str">
        <f>Lifetimes!D1</f>
        <v>AgriculturalPackagingBottles</v>
      </c>
      <c r="E4" s="224" t="str">
        <v>Agricultural packaging bottles</v>
      </c>
      <c r="F4" s="224" t="str">
        <v>AgriculturalPackagingBottles</v>
      </c>
      <c r="G4" s="224" t="b">
        <f t="shared" si="1"/>
        <v>1</v>
      </c>
      <c r="H4" s="623"/>
    </row>
    <row r="5" spans="1:8">
      <c r="A5" s="224" t="s">
        <v>427</v>
      </c>
      <c r="B5" s="596" t="s">
        <v>1290</v>
      </c>
      <c r="C5" s="224" t="b">
        <f t="shared" si="0"/>
        <v>1</v>
      </c>
      <c r="D5" s="455" t="str">
        <f>Lifetimes!E1</f>
        <v>AgriculturalPackagingFilms</v>
      </c>
      <c r="E5" s="224" t="str">
        <v>Agricultural packaging films</v>
      </c>
      <c r="F5" s="224" t="str">
        <v>AgriculturalPackagingFilms</v>
      </c>
      <c r="G5" s="224" t="b">
        <f t="shared" si="1"/>
        <v>1</v>
      </c>
      <c r="H5" s="623"/>
    </row>
    <row r="6" spans="1:8">
      <c r="A6" s="224" t="s">
        <v>429</v>
      </c>
      <c r="B6" s="596" t="s">
        <v>1292</v>
      </c>
      <c r="C6" s="224" t="b">
        <f t="shared" si="0"/>
        <v>1</v>
      </c>
      <c r="D6" s="455" t="str">
        <f>Lifetimes!F1</f>
        <v>AgriculturalPipesIU</v>
      </c>
      <c r="E6" s="224" t="str">
        <v>Agricultural pipes (discarded)</v>
      </c>
      <c r="F6" s="224" t="str">
        <v>AgriculturalPipesDis</v>
      </c>
      <c r="G6" s="224" t="b">
        <f t="shared" si="1"/>
        <v>1</v>
      </c>
      <c r="H6" s="623"/>
    </row>
    <row r="7" spans="1:8">
      <c r="A7" s="224" t="s">
        <v>434</v>
      </c>
      <c r="B7" s="596" t="s">
        <v>1261</v>
      </c>
      <c r="C7" s="224" t="b">
        <f t="shared" si="0"/>
        <v>1</v>
      </c>
      <c r="D7" s="455" t="str">
        <f>Lifetimes!G1</f>
        <v>AgriculturalPipesDis</v>
      </c>
      <c r="E7" s="224" t="str">
        <v>Agricultural pipes (in use)</v>
      </c>
      <c r="F7" s="224" t="str">
        <v>AgriculturalPipesIU</v>
      </c>
      <c r="G7" s="224" t="b">
        <f t="shared" si="1"/>
        <v>1</v>
      </c>
      <c r="H7" s="623"/>
    </row>
    <row r="8" spans="1:8">
      <c r="A8" s="224" t="s">
        <v>435</v>
      </c>
      <c r="B8" s="596" t="s">
        <v>1259</v>
      </c>
      <c r="C8" s="224" t="b">
        <f t="shared" si="0"/>
        <v>1</v>
      </c>
      <c r="D8" s="455" t="str">
        <f>Lifetimes!H1</f>
        <v>AgriculturalPPP</v>
      </c>
      <c r="E8" s="224" t="str">
        <v>Agrotextiles (discarded)</v>
      </c>
      <c r="F8" s="224" t="str">
        <v>AgrotextilesDis</v>
      </c>
      <c r="G8" s="224" t="b">
        <f t="shared" si="1"/>
        <v>1</v>
      </c>
      <c r="H8" s="623"/>
    </row>
    <row r="9" spans="1:8">
      <c r="A9" s="224" t="s">
        <v>433</v>
      </c>
      <c r="B9" s="596" t="s">
        <v>1260</v>
      </c>
      <c r="C9" s="224" t="b">
        <f t="shared" si="0"/>
        <v>1</v>
      </c>
      <c r="D9" s="455" t="str">
        <f>Lifetimes!I1</f>
        <v>BuildingPackagingFilms</v>
      </c>
      <c r="E9" s="224" t="str">
        <v>Agrotextiles (in use)</v>
      </c>
      <c r="F9" s="224" t="str">
        <v>AgrotextilesIU</v>
      </c>
      <c r="G9" s="224" t="b">
        <f t="shared" si="1"/>
        <v>1</v>
      </c>
      <c r="H9" s="623"/>
    </row>
    <row r="10" spans="1:8">
      <c r="A10" s="224" t="s">
        <v>430</v>
      </c>
      <c r="B10" s="596" t="s">
        <v>1258</v>
      </c>
      <c r="C10" s="224" t="b">
        <f t="shared" si="0"/>
        <v>1</v>
      </c>
      <c r="D10" s="455" t="str">
        <f>Lifetimes!J1</f>
        <v>ConsumerBags</v>
      </c>
      <c r="E10" s="224" t="str">
        <v>Apparel accessories</v>
      </c>
      <c r="F10" s="224" t="str">
        <v>ApparelAccessories</v>
      </c>
      <c r="G10" s="224" t="b">
        <f t="shared" si="1"/>
        <v>1</v>
      </c>
      <c r="H10" s="623"/>
    </row>
    <row r="11" spans="1:8">
      <c r="A11" s="224" t="s">
        <v>438</v>
      </c>
      <c r="B11" s="596" t="s">
        <v>1269</v>
      </c>
      <c r="C11" s="224" t="b">
        <f t="shared" si="0"/>
        <v>1</v>
      </c>
      <c r="D11" s="455" t="str">
        <f>Lifetimes!K1</f>
        <v>ConsumerBottles</v>
      </c>
      <c r="E11" s="224" t="str">
        <v>Boots</v>
      </c>
      <c r="F11" s="224" t="str">
        <v>Boots</v>
      </c>
      <c r="G11" s="224" t="b">
        <f t="shared" si="1"/>
        <v>1</v>
      </c>
      <c r="H11" s="623"/>
    </row>
    <row r="12" spans="1:8">
      <c r="A12" s="224" t="s">
        <v>440</v>
      </c>
      <c r="B12" s="596" t="s">
        <v>1267</v>
      </c>
      <c r="C12" s="224" t="b">
        <f t="shared" si="0"/>
        <v>1</v>
      </c>
      <c r="D12" s="455" t="str">
        <f>Lifetimes!L1</f>
        <v>ConsumerFilms</v>
      </c>
      <c r="E12" s="224" t="str">
        <v>Building textiles (discarded)</v>
      </c>
      <c r="F12" s="224" t="str">
        <v>BuildingTextilesDis</v>
      </c>
      <c r="G12" s="224" t="b">
        <f t="shared" si="1"/>
        <v>1</v>
      </c>
      <c r="H12" s="623"/>
    </row>
    <row r="13" spans="1:8">
      <c r="A13" s="224" t="s">
        <v>439</v>
      </c>
      <c r="B13" s="596" t="s">
        <v>1268</v>
      </c>
      <c r="C13" s="224" t="b">
        <f t="shared" si="0"/>
        <v>1</v>
      </c>
      <c r="D13" s="455" t="str">
        <f>Lifetimes!M1</f>
        <v>ConsumerOther</v>
      </c>
      <c r="E13" s="224" t="str">
        <v>Building textiles (in use)</v>
      </c>
      <c r="F13" s="224" t="str">
        <v>BuildingTextilesIU</v>
      </c>
      <c r="G13" s="224" t="b">
        <f t="shared" si="1"/>
        <v>1</v>
      </c>
    </row>
    <row r="14" spans="1:8">
      <c r="A14" s="224" t="s">
        <v>441</v>
      </c>
      <c r="B14" s="596" t="s">
        <v>1266</v>
      </c>
      <c r="C14" s="224" t="b">
        <f t="shared" si="0"/>
        <v>1</v>
      </c>
      <c r="D14" s="455" t="str">
        <f>Lifetimes!N1</f>
        <v>Cosmetics</v>
      </c>
      <c r="E14" s="224" t="str">
        <v>Closed-toed shoes</v>
      </c>
      <c r="F14" s="224" t="str">
        <v>CloseToedShoes</v>
      </c>
      <c r="G14" s="224" t="b">
        <f t="shared" si="1"/>
        <v>1</v>
      </c>
    </row>
    <row r="15" spans="1:8">
      <c r="A15" s="224" t="s">
        <v>445</v>
      </c>
      <c r="B15" s="596" t="s">
        <v>1309</v>
      </c>
      <c r="C15" s="224" t="b">
        <f t="shared" si="0"/>
        <v>1</v>
      </c>
      <c r="D15" s="455" t="str">
        <f>Lifetimes!O1</f>
        <v>Household</v>
      </c>
      <c r="E15" s="224" t="str">
        <v>Concrete paint (prof) indoor (discarded)</v>
      </c>
      <c r="F15" s="224" t="str">
        <v>ConcreteProfInDis</v>
      </c>
      <c r="G15" s="224" t="b">
        <f t="shared" si="1"/>
        <v>1</v>
      </c>
    </row>
    <row r="16" spans="1:8">
      <c r="A16" s="224" t="s">
        <v>447</v>
      </c>
      <c r="B16" s="596" t="s">
        <v>1307</v>
      </c>
      <c r="C16" s="224" t="b">
        <f t="shared" si="0"/>
        <v>1</v>
      </c>
      <c r="D16" s="455" t="str">
        <f>Lifetimes!P1</f>
        <v>NonConsumerBags</v>
      </c>
      <c r="E16" s="224" t="str">
        <v>Concrete paint (prof) indoor (in use)</v>
      </c>
      <c r="F16" s="224" t="str">
        <v>ConcreteProfInIU</v>
      </c>
      <c r="G16" s="224" t="b">
        <f t="shared" si="1"/>
        <v>1</v>
      </c>
    </row>
    <row r="17" spans="1:7">
      <c r="A17" s="224" t="s">
        <v>446</v>
      </c>
      <c r="B17" s="596" t="s">
        <v>1308</v>
      </c>
      <c r="C17" s="224" t="b">
        <f t="shared" si="0"/>
        <v>1</v>
      </c>
      <c r="D17" s="455" t="str">
        <f>Lifetimes!Q1</f>
        <v>NonConsumerOther</v>
      </c>
      <c r="E17" s="224" t="str">
        <v>Concrete paint (prof) outdoor (discarded)</v>
      </c>
      <c r="F17" s="224" t="str">
        <v>ConcreteProfOutDis</v>
      </c>
      <c r="G17" s="224" t="b">
        <f t="shared" si="1"/>
        <v>1</v>
      </c>
    </row>
    <row r="18" spans="1:7">
      <c r="A18" s="224" t="s">
        <v>448</v>
      </c>
      <c r="B18" s="596" t="s">
        <v>1306</v>
      </c>
      <c r="C18" s="224" t="b">
        <f t="shared" si="0"/>
        <v>1</v>
      </c>
      <c r="D18" s="455" t="str">
        <f>Lifetimes!R1</f>
        <v>OtherNonConsumerFilms</v>
      </c>
      <c r="E18" s="224" t="str">
        <v>Concrete paint (prof) outdoor (in use)</v>
      </c>
      <c r="F18" s="224" t="str">
        <v>ConcreteProfOutIU</v>
      </c>
      <c r="G18" s="224" t="b">
        <f t="shared" si="1"/>
        <v>1</v>
      </c>
    </row>
    <row r="19" spans="1:7">
      <c r="A19" s="224" t="s">
        <v>452</v>
      </c>
      <c r="B19" s="596" t="s">
        <v>1301</v>
      </c>
      <c r="C19" s="224" t="b">
        <f t="shared" si="0"/>
        <v>1</v>
      </c>
      <c r="D19" s="455" t="str">
        <f>Lifetimes!S1</f>
        <v>OtherOther</v>
      </c>
      <c r="E19" s="224" t="str">
        <v>Consumer bags</v>
      </c>
      <c r="F19" s="224" t="str">
        <v>ConsumerBags</v>
      </c>
      <c r="G19" s="224" t="b">
        <f t="shared" si="1"/>
        <v>1</v>
      </c>
    </row>
    <row r="20" spans="1:7">
      <c r="A20" s="224" t="s">
        <v>454</v>
      </c>
      <c r="B20" s="596" t="s">
        <v>1299</v>
      </c>
      <c r="C20" s="224" t="b">
        <f t="shared" si="0"/>
        <v>1</v>
      </c>
      <c r="D20" s="455" t="str">
        <f>Lifetimes!T1</f>
        <v>PipesDucts</v>
      </c>
      <c r="E20" s="224" t="str">
        <v>Consumer bottles</v>
      </c>
      <c r="F20" s="224" t="str">
        <v>ConsumerBottles</v>
      </c>
      <c r="G20" s="224" t="b">
        <f t="shared" si="1"/>
        <v>1</v>
      </c>
    </row>
    <row r="21" spans="1:7">
      <c r="A21" s="224" t="s">
        <v>453</v>
      </c>
      <c r="B21" s="596" t="s">
        <v>1300</v>
      </c>
      <c r="C21" s="224" t="b">
        <f t="shared" si="0"/>
        <v>1</v>
      </c>
      <c r="D21" s="455" t="str">
        <f>Lifetimes!U1</f>
        <v>OtherOilGas</v>
      </c>
      <c r="E21" s="224" t="str">
        <v>Consumer films</v>
      </c>
      <c r="F21" s="224" t="str">
        <v>ConsumerFilms</v>
      </c>
      <c r="G21" s="224" t="b">
        <f t="shared" si="1"/>
        <v>1</v>
      </c>
    </row>
    <row r="22" spans="1:7">
      <c r="A22" s="224" t="s">
        <v>455</v>
      </c>
      <c r="B22" s="596" t="s">
        <v>1298</v>
      </c>
      <c r="C22" s="224" t="b">
        <f t="shared" si="0"/>
        <v>1</v>
      </c>
      <c r="D22" s="455" t="str">
        <f>Lifetimes!V1</f>
        <v>InfillSportsFieldDis</v>
      </c>
      <c r="E22" s="224" t="str">
        <v>Dresses skirts and jumpsuits</v>
      </c>
      <c r="F22" s="224" t="str">
        <v>DressesSkirtsJumpsuits</v>
      </c>
      <c r="G22" s="224" t="b">
        <f t="shared" si="1"/>
        <v>1</v>
      </c>
    </row>
    <row r="23" spans="1:7">
      <c r="A23" s="224" t="s">
        <v>460</v>
      </c>
      <c r="B23" s="596" t="s">
        <v>1289</v>
      </c>
      <c r="C23" s="224" t="b">
        <f t="shared" si="0"/>
        <v>1</v>
      </c>
      <c r="D23" s="455" t="str">
        <f>Lifetimes!W1</f>
        <v>InfillSportsFieldU</v>
      </c>
      <c r="E23" s="224" t="str">
        <v>Geotextiles (discarded)</v>
      </c>
      <c r="F23" s="224" t="str">
        <v>GeotextilesDis</v>
      </c>
      <c r="G23" s="224" t="b">
        <f t="shared" si="1"/>
        <v>1</v>
      </c>
    </row>
    <row r="24" spans="1:7">
      <c r="A24" s="224" t="s">
        <v>462</v>
      </c>
      <c r="B24" s="596" t="s">
        <v>1287</v>
      </c>
      <c r="C24" s="224" t="b">
        <f t="shared" si="0"/>
        <v>1</v>
      </c>
      <c r="D24" s="455" t="str">
        <f>Lifetimes!AE1</f>
        <v>ClothingDis</v>
      </c>
      <c r="E24" s="224" t="str">
        <v>Geotextiles (in use)</v>
      </c>
      <c r="F24" s="224" t="str">
        <v>GeotextilesIU</v>
      </c>
      <c r="G24" s="224" t="b">
        <f t="shared" si="1"/>
        <v>1</v>
      </c>
    </row>
    <row r="25" spans="1:7">
      <c r="A25" s="224" t="s">
        <v>461</v>
      </c>
      <c r="B25" s="596" t="s">
        <v>1288</v>
      </c>
      <c r="C25" s="224" t="b">
        <f t="shared" si="0"/>
        <v>1</v>
      </c>
      <c r="D25" s="455" t="str">
        <f>Lifetimes!AF1</f>
        <v>ClothingIUWearTear</v>
      </c>
      <c r="E25" s="224" t="str">
        <v>Home textiles (discarded)</v>
      </c>
      <c r="F25" s="224" t="str">
        <v>HomeTextilesDis</v>
      </c>
      <c r="G25" s="224" t="b">
        <f t="shared" si="1"/>
        <v>1</v>
      </c>
    </row>
    <row r="26" spans="1:7">
      <c r="A26" s="224" t="s">
        <v>463</v>
      </c>
      <c r="B26" s="596" t="s">
        <v>1286</v>
      </c>
      <c r="C26" s="224" t="b">
        <f t="shared" si="0"/>
        <v>1</v>
      </c>
      <c r="D26" s="455" t="str">
        <f>Lifetimes!AG1</f>
        <v>ClothingIUWashDry</v>
      </c>
      <c r="E26" s="224" t="str">
        <v>Home textiles (in use)</v>
      </c>
      <c r="F26" s="224" t="str">
        <v>HomeTextilesIU</v>
      </c>
      <c r="G26" s="224" t="b">
        <f t="shared" si="1"/>
        <v>1</v>
      </c>
    </row>
    <row r="27" spans="1:7">
      <c r="A27" s="224" t="s">
        <v>466</v>
      </c>
      <c r="B27" s="596" t="s">
        <v>1277</v>
      </c>
      <c r="C27" s="224" t="b">
        <f t="shared" si="0"/>
        <v>1</v>
      </c>
      <c r="D27" s="455" t="str">
        <f>Lifetimes!AH1</f>
        <v>HomeTextilesDis</v>
      </c>
      <c r="E27" s="224" t="str">
        <v>Infill material sports fields (discarded)</v>
      </c>
      <c r="F27" s="224" t="str">
        <v>InfillSportsFieldDis</v>
      </c>
      <c r="G27" s="224" t="b">
        <f t="shared" si="1"/>
        <v>1</v>
      </c>
    </row>
    <row r="28" spans="1:7">
      <c r="A28" s="224" t="s">
        <v>467</v>
      </c>
      <c r="B28" s="596" t="s">
        <v>1275</v>
      </c>
      <c r="C28" s="224" t="b">
        <f t="shared" si="0"/>
        <v>1</v>
      </c>
      <c r="D28" s="455" t="str">
        <f>Lifetimes!AI1</f>
        <v>HomeTextilesIU</v>
      </c>
      <c r="E28" s="224" t="str">
        <v>Infill material sports fields (in use)</v>
      </c>
      <c r="F28" s="224" t="str">
        <v>InfillSportsFieldU</v>
      </c>
      <c r="G28" s="224" t="b">
        <f t="shared" si="1"/>
        <v>1</v>
      </c>
    </row>
    <row r="29" spans="1:7">
      <c r="A29" s="224" t="s">
        <v>459</v>
      </c>
      <c r="B29" s="596" t="s">
        <v>1276</v>
      </c>
      <c r="C29" s="224" t="b">
        <f t="shared" si="0"/>
        <v>1</v>
      </c>
      <c r="D29" s="455" t="str">
        <f>Lifetimes!AJ1</f>
        <v>TechHomeTextilesDis</v>
      </c>
      <c r="E29" s="224" t="str">
        <v>Jackets and coats</v>
      </c>
      <c r="F29" s="224" t="str">
        <v>JacketsCoats</v>
      </c>
      <c r="G29" s="224" t="b">
        <f t="shared" si="1"/>
        <v>1</v>
      </c>
    </row>
    <row r="30" spans="1:7">
      <c r="A30" s="224" t="s">
        <v>456</v>
      </c>
      <c r="B30" s="596" t="s">
        <v>1274</v>
      </c>
      <c r="C30" s="224" t="b">
        <f t="shared" si="0"/>
        <v>1</v>
      </c>
      <c r="D30" s="455" t="str">
        <f>Lifetimes!AK1</f>
        <v>TechHomeTextilesIU</v>
      </c>
      <c r="E30" s="224" t="str">
        <v>Lacquer (DIY) indoor (discarded)</v>
      </c>
      <c r="F30" s="224" t="str">
        <v>LacquerDiyInDis</v>
      </c>
      <c r="G30" s="224" t="b">
        <f t="shared" si="1"/>
        <v>1</v>
      </c>
    </row>
    <row r="31" spans="1:7">
      <c r="A31" s="224" t="s">
        <v>472</v>
      </c>
      <c r="B31" s="596" t="s">
        <v>1281</v>
      </c>
      <c r="C31" s="224" t="b">
        <f t="shared" si="0"/>
        <v>1</v>
      </c>
      <c r="D31" s="455" t="str">
        <f>Lifetimes!AL1</f>
        <v>MedicalTextiles</v>
      </c>
      <c r="E31" s="224" t="str">
        <v>Lacquer (DIY) indoor (in use)</v>
      </c>
      <c r="F31" s="224" t="str">
        <v>LacquerDiyInIU</v>
      </c>
      <c r="G31" s="224" t="b">
        <f t="shared" si="1"/>
        <v>1</v>
      </c>
    </row>
    <row r="32" spans="1:7">
      <c r="A32" s="224" t="s">
        <v>473</v>
      </c>
      <c r="B32" s="596" t="s">
        <v>1279</v>
      </c>
      <c r="C32" s="224" t="b">
        <f t="shared" si="0"/>
        <v>1</v>
      </c>
      <c r="D32" s="455" t="str">
        <f>Lifetimes!AM1</f>
        <v>AgrotextilesDis</v>
      </c>
      <c r="E32" s="224" t="str">
        <v>Lacquer (DIY) outdoor (discarded)</v>
      </c>
      <c r="F32" s="224" t="str">
        <v>LacquerDiyOutDis</v>
      </c>
      <c r="G32" s="224" t="b">
        <f t="shared" si="1"/>
        <v>1</v>
      </c>
    </row>
    <row r="33" spans="1:7">
      <c r="A33" s="224" t="s">
        <v>469</v>
      </c>
      <c r="B33" s="596" t="s">
        <v>1280</v>
      </c>
      <c r="C33" s="224" t="b">
        <f t="shared" si="0"/>
        <v>1</v>
      </c>
      <c r="D33" s="455" t="str">
        <f>Lifetimes!AN1</f>
        <v>AgrotextilesIU</v>
      </c>
      <c r="E33" s="224" t="str">
        <v>Lacquer (DIY) outdoor (in use)</v>
      </c>
      <c r="F33" s="224" t="str">
        <v>LacquerDiyOutIU</v>
      </c>
      <c r="G33" s="224" t="b">
        <f t="shared" si="1"/>
        <v>1</v>
      </c>
    </row>
    <row r="34" spans="1:7">
      <c r="A34" s="224" t="s">
        <v>468</v>
      </c>
      <c r="B34" s="596" t="s">
        <v>1278</v>
      </c>
      <c r="C34" s="224" t="b">
        <f t="shared" ref="C34:C58" si="2">NOT(ISERROR(MATCH(B34, D:D, 0)))</f>
        <v>1</v>
      </c>
      <c r="D34" s="455" t="str">
        <f>Lifetimes!AO1</f>
        <v>MobilityTextiles</v>
      </c>
      <c r="E34" s="224" t="str">
        <v>Lacquer (prof) indoor (discarded)</v>
      </c>
      <c r="F34" s="224" t="str">
        <v>LacquerProfInDis</v>
      </c>
      <c r="G34" s="224" t="b">
        <f t="shared" si="1"/>
        <v>1</v>
      </c>
    </row>
    <row r="35" spans="1:7">
      <c r="A35" s="224" t="s">
        <v>476</v>
      </c>
      <c r="B35" s="596" t="s">
        <v>1265</v>
      </c>
      <c r="C35" s="224" t="b">
        <f t="shared" si="2"/>
        <v>1</v>
      </c>
      <c r="D35" s="455" t="str">
        <f>Lifetimes!AP1</f>
        <v>GeotextilesDis</v>
      </c>
      <c r="E35" s="224" t="str">
        <v>Lacquer (prof) indoor (in use)</v>
      </c>
      <c r="F35" s="224" t="str">
        <v>LacquerProfInIU</v>
      </c>
      <c r="G35" s="224" t="b">
        <f t="shared" si="1"/>
        <v>1</v>
      </c>
    </row>
    <row r="36" spans="1:7">
      <c r="A36" s="224" t="s">
        <v>478</v>
      </c>
      <c r="B36" s="596" t="s">
        <v>1263</v>
      </c>
      <c r="C36" s="224" t="b">
        <f t="shared" si="2"/>
        <v>1</v>
      </c>
      <c r="D36" s="455" t="str">
        <f>Lifetimes!AQ1</f>
        <v>GeotextilesIU</v>
      </c>
      <c r="E36" s="224" t="str">
        <v>Lacquer (prof) outdoor (discarded)</v>
      </c>
      <c r="F36" s="224" t="str">
        <v>LacquerProfOutDis</v>
      </c>
      <c r="G36" s="224" t="b">
        <f t="shared" si="1"/>
        <v>1</v>
      </c>
    </row>
    <row r="37" spans="1:7">
      <c r="A37" s="224" t="s">
        <v>477</v>
      </c>
      <c r="B37" s="596" t="s">
        <v>1264</v>
      </c>
      <c r="C37" s="224" t="b">
        <f t="shared" si="2"/>
        <v>1</v>
      </c>
      <c r="D37" s="455" t="str">
        <f>Lifetimes!AR1</f>
        <v>BuildingTextilesDis</v>
      </c>
      <c r="E37" s="224" t="str">
        <v>Lacquer (prof) outdoor (in use)</v>
      </c>
      <c r="F37" s="224" t="str">
        <v>LacquerProfOutIU</v>
      </c>
      <c r="G37" s="224" t="b">
        <f t="shared" si="1"/>
        <v>1</v>
      </c>
    </row>
    <row r="38" spans="1:7">
      <c r="A38" s="224" t="s">
        <v>479</v>
      </c>
      <c r="B38" s="596" t="s">
        <v>1262</v>
      </c>
      <c r="C38" s="224" t="b">
        <f t="shared" si="2"/>
        <v>1</v>
      </c>
      <c r="D38" s="455" t="str">
        <f>Lifetimes!AS1</f>
        <v>BuildingTextilesIU</v>
      </c>
      <c r="E38" s="224" t="str">
        <v>Leggings stockings tights and socks</v>
      </c>
      <c r="F38" s="224" t="str">
        <v>LeggingsStockingsTightsSocks</v>
      </c>
      <c r="G38" s="224" t="b">
        <f t="shared" si="1"/>
        <v>1</v>
      </c>
    </row>
    <row r="39" spans="1:7">
      <c r="A39" s="224" t="s">
        <v>482</v>
      </c>
      <c r="B39" s="596" t="s">
        <v>1305</v>
      </c>
      <c r="C39" s="224" t="b">
        <f t="shared" si="2"/>
        <v>1</v>
      </c>
      <c r="D39" s="455" t="str">
        <f>Lifetimes!AT1</f>
        <v>OtherTechnicalTextiles</v>
      </c>
      <c r="E39" s="224" t="str">
        <v>Medical textiles</v>
      </c>
      <c r="F39" s="224" t="str">
        <v>MedicalTextiles</v>
      </c>
      <c r="G39" s="224" t="b">
        <f t="shared" si="1"/>
        <v>1</v>
      </c>
    </row>
    <row r="40" spans="1:7">
      <c r="A40" s="224" t="s">
        <v>484</v>
      </c>
      <c r="B40" s="596" t="s">
        <v>1303</v>
      </c>
      <c r="C40" s="224" t="b">
        <f t="shared" si="2"/>
        <v>1</v>
      </c>
      <c r="D40" s="455" t="str">
        <f>Lifetimes!AU1</f>
        <v>TextileCoatingDis</v>
      </c>
      <c r="E40" s="224" t="str">
        <v>Mobility textiles</v>
      </c>
      <c r="F40" s="224" t="str">
        <v>MobilityTextiles</v>
      </c>
      <c r="G40" s="224" t="b">
        <f t="shared" si="1"/>
        <v>1</v>
      </c>
    </row>
    <row r="41" spans="1:7">
      <c r="A41" s="224" t="s">
        <v>483</v>
      </c>
      <c r="B41" s="596" t="s">
        <v>1304</v>
      </c>
      <c r="C41" s="224" t="b">
        <f t="shared" si="2"/>
        <v>1</v>
      </c>
      <c r="D41" s="455" t="str">
        <f>Lifetimes!AV1</f>
        <v>TextileCoatingIU</v>
      </c>
      <c r="E41" s="224" t="str">
        <v>Non-consumer bags</v>
      </c>
      <c r="F41" s="224" t="str">
        <v>NonConsumerBags</v>
      </c>
      <c r="G41" s="224" t="b">
        <f t="shared" si="1"/>
        <v>1</v>
      </c>
    </row>
    <row r="42" spans="1:7">
      <c r="A42" s="224" t="s">
        <v>485</v>
      </c>
      <c r="B42" s="596" t="s">
        <v>1302</v>
      </c>
      <c r="C42" s="224" t="b">
        <f t="shared" si="2"/>
        <v>1</v>
      </c>
      <c r="D42" s="455" t="str">
        <f>Lifetimes!AW1</f>
        <v>ConcreteProfInDis</v>
      </c>
      <c r="E42" s="224" t="str">
        <v>Open-toed shoes</v>
      </c>
      <c r="F42" s="224" t="str">
        <v>OpenToedShoes</v>
      </c>
      <c r="G42" s="224" t="b">
        <f t="shared" si="1"/>
        <v>1</v>
      </c>
    </row>
    <row r="43" spans="1:7">
      <c r="A43" s="224" t="s">
        <v>489</v>
      </c>
      <c r="B43" s="596" t="s">
        <v>1297</v>
      </c>
      <c r="C43" s="224" t="b">
        <f t="shared" si="2"/>
        <v>1</v>
      </c>
      <c r="D43" s="455" t="str">
        <f>Lifetimes!AX1</f>
        <v>ConcreteProfInIU</v>
      </c>
      <c r="E43" s="224" t="str">
        <v>Other consumer packaging</v>
      </c>
      <c r="F43" s="224" t="str">
        <v>ConsumerOther</v>
      </c>
      <c r="G43" s="224" t="b">
        <f t="shared" si="1"/>
        <v>1</v>
      </c>
    </row>
    <row r="44" spans="1:7">
      <c r="A44" s="224" t="s">
        <v>493</v>
      </c>
      <c r="B44" s="596" t="s">
        <v>1295</v>
      </c>
      <c r="C44" s="224" t="b">
        <f t="shared" si="2"/>
        <v>1</v>
      </c>
      <c r="D44" s="455" t="str">
        <f>Lifetimes!AY1</f>
        <v>ConcreteProfOutDis</v>
      </c>
      <c r="E44" s="224" t="str">
        <v>Other non-consumer films</v>
      </c>
      <c r="F44" s="224" t="str">
        <v>OtherNonConsumerFilms</v>
      </c>
      <c r="G44" s="224" t="b">
        <f t="shared" si="1"/>
        <v>1</v>
      </c>
    </row>
    <row r="45" spans="1:7">
      <c r="A45" s="224" t="s">
        <v>490</v>
      </c>
      <c r="B45" s="596" t="s">
        <v>1296</v>
      </c>
      <c r="C45" s="224" t="b">
        <f t="shared" si="2"/>
        <v>1</v>
      </c>
      <c r="D45" s="455" t="str">
        <f>Lifetimes!AZ1</f>
        <v>ConcreteProfOutIU</v>
      </c>
      <c r="E45" s="224" t="str">
        <v>Other non-consumer packaging</v>
      </c>
      <c r="F45" s="224" t="str">
        <v>NonConsumerOther</v>
      </c>
      <c r="G45" s="224" t="b">
        <f t="shared" si="1"/>
        <v>1</v>
      </c>
    </row>
    <row r="46" spans="1:7">
      <c r="A46" s="224" t="s">
        <v>488</v>
      </c>
      <c r="B46" s="596" t="s">
        <v>1294</v>
      </c>
      <c r="C46" s="224" t="b">
        <f t="shared" si="2"/>
        <v>1</v>
      </c>
      <c r="D46" s="455" t="str">
        <f>Lifetimes!BA1</f>
        <v>LacquerDiyInDis</v>
      </c>
      <c r="E46" s="224" t="str">
        <v>Other paint uses (DIY) indoor (discarded)</v>
      </c>
      <c r="F46" s="224" t="str">
        <v>OtherPaintUsesDiyInDis</v>
      </c>
      <c r="G46" s="224" t="b">
        <f t="shared" si="1"/>
        <v>1</v>
      </c>
    </row>
    <row r="47" spans="1:7">
      <c r="A47" s="224" t="s">
        <v>496</v>
      </c>
      <c r="B47" s="596" t="s">
        <v>1285</v>
      </c>
      <c r="C47" s="224" t="b">
        <f t="shared" si="2"/>
        <v>1</v>
      </c>
      <c r="D47" s="455" t="str">
        <f>Lifetimes!BB1</f>
        <v>LacquerDiyInIU</v>
      </c>
      <c r="E47" s="224" t="str">
        <v>Other paint uses (DIY) indoor (in use)</v>
      </c>
      <c r="F47" s="224" t="str">
        <v>OtherPaintUsesDiyInIU</v>
      </c>
      <c r="G47" s="224" t="b">
        <f t="shared" si="1"/>
        <v>1</v>
      </c>
    </row>
    <row r="48" spans="1:7">
      <c r="A48" s="224" t="s">
        <v>498</v>
      </c>
      <c r="B48" s="596" t="s">
        <v>1283</v>
      </c>
      <c r="C48" s="224" t="b">
        <f t="shared" si="2"/>
        <v>1</v>
      </c>
      <c r="D48" s="455" t="str">
        <f>Lifetimes!BC1</f>
        <v>LacquerDiyOutDis</v>
      </c>
      <c r="E48" s="224" t="str">
        <v>Other paint uses (DIY) outdoor (discarded)</v>
      </c>
      <c r="F48" s="224" t="str">
        <v>OtherPaintUsesDiyOutDis</v>
      </c>
      <c r="G48" s="224" t="b">
        <f t="shared" si="1"/>
        <v>1</v>
      </c>
    </row>
    <row r="49" spans="1:7">
      <c r="A49" s="224" t="s">
        <v>497</v>
      </c>
      <c r="B49" s="596" t="s">
        <v>1284</v>
      </c>
      <c r="C49" s="224" t="b">
        <f t="shared" si="2"/>
        <v>1</v>
      </c>
      <c r="D49" s="455" t="str">
        <f>Lifetimes!BD1</f>
        <v>LacquerDiyOutIU</v>
      </c>
      <c r="E49" s="224" t="str">
        <v>Other paint uses (DIY) outdoor (in use)</v>
      </c>
      <c r="F49" s="224" t="str">
        <v>OtherPaintUsesDiyOutIU</v>
      </c>
      <c r="G49" s="224" t="b">
        <f t="shared" si="1"/>
        <v>1</v>
      </c>
    </row>
    <row r="50" spans="1:7">
      <c r="A50" s="224" t="s">
        <v>499</v>
      </c>
      <c r="B50" s="596" t="s">
        <v>1282</v>
      </c>
      <c r="C50" s="224" t="b">
        <f t="shared" si="2"/>
        <v>1</v>
      </c>
      <c r="D50" s="455" t="str">
        <f>Lifetimes!BE1</f>
        <v>LacquerProfInDis</v>
      </c>
      <c r="E50" s="224" t="str">
        <v>Other paint uses (prof) indoor (discarded)</v>
      </c>
      <c r="F50" s="224" t="str">
        <v>OtherPaintUsesProfInDis</v>
      </c>
      <c r="G50" s="224" t="b">
        <f t="shared" si="1"/>
        <v>1</v>
      </c>
    </row>
    <row r="51" spans="1:7">
      <c r="A51" s="224" t="s">
        <v>502</v>
      </c>
      <c r="B51" s="596" t="s">
        <v>1273</v>
      </c>
      <c r="C51" s="224" t="b">
        <f t="shared" si="2"/>
        <v>1</v>
      </c>
      <c r="D51" s="455" t="str">
        <f>Lifetimes!BF1</f>
        <v>LacquerProfInIU</v>
      </c>
      <c r="E51" s="224" t="str">
        <v>Other paint uses (prof) indoor (in use)</v>
      </c>
      <c r="F51" s="224" t="str">
        <v>OtherPaintUsesProfInIU</v>
      </c>
      <c r="G51" s="224" t="b">
        <f t="shared" si="1"/>
        <v>1</v>
      </c>
    </row>
    <row r="52" spans="1:7">
      <c r="A52" s="224" t="s">
        <v>503</v>
      </c>
      <c r="B52" s="596" t="s">
        <v>1271</v>
      </c>
      <c r="C52" s="224" t="b">
        <f t="shared" si="2"/>
        <v>1</v>
      </c>
      <c r="D52" s="455" t="str">
        <f>Lifetimes!BG1</f>
        <v>LacquerProfOutDis</v>
      </c>
      <c r="E52" s="224" t="str">
        <v>Other paint uses (prof) outdoor (discarded)</v>
      </c>
      <c r="F52" s="224" t="str">
        <v>OtherPaintUsesProfOutDis</v>
      </c>
      <c r="G52" s="224" t="b">
        <f t="shared" si="1"/>
        <v>1</v>
      </c>
    </row>
    <row r="53" spans="1:7">
      <c r="A53" s="224" t="s">
        <v>451</v>
      </c>
      <c r="B53" s="596" t="s">
        <v>1272</v>
      </c>
      <c r="C53" s="224" t="b">
        <f t="shared" si="2"/>
        <v>1</v>
      </c>
      <c r="D53" s="455" t="str">
        <f>Lifetimes!BH1</f>
        <v>LacquerProfOutIU</v>
      </c>
      <c r="E53" s="224" t="str">
        <v>Other paint uses (prof) outdoor (in use)</v>
      </c>
      <c r="F53" s="224" t="str">
        <v>OtherPaintUsesProfOutIU</v>
      </c>
      <c r="G53" s="224" t="b">
        <f t="shared" si="1"/>
        <v>1</v>
      </c>
    </row>
    <row r="54" spans="1:7">
      <c r="A54" s="224" t="s">
        <v>444</v>
      </c>
      <c r="B54" s="596" t="s">
        <v>1270</v>
      </c>
      <c r="C54" s="224" t="b">
        <f t="shared" si="2"/>
        <v>1</v>
      </c>
      <c r="D54" s="455" t="str">
        <f>Lifetimes!BI1</f>
        <v>OtherPaintUsesDiyInDis</v>
      </c>
      <c r="E54" s="224" t="str">
        <v>Other technical textiles</v>
      </c>
      <c r="F54" s="224" t="str">
        <v>OtherTechnicalTextiles</v>
      </c>
      <c r="G54" s="224" t="b">
        <f t="shared" si="1"/>
        <v>1</v>
      </c>
    </row>
    <row r="55" spans="1:7">
      <c r="A55" s="224" t="s">
        <v>948</v>
      </c>
      <c r="B55" s="596" t="s">
        <v>958</v>
      </c>
      <c r="C55" s="224" t="b">
        <f t="shared" si="2"/>
        <v>1</v>
      </c>
      <c r="D55" s="455" t="str">
        <f>Lifetimes!BJ1</f>
        <v>OtherPaintUsesDiyInIU</v>
      </c>
      <c r="E55" s="224" t="str">
        <v>Paints used in pre-made wooden products indoor (discarded)</v>
      </c>
      <c r="F55" s="224" t="str">
        <v>PaintsPreMadeWoodInDis</v>
      </c>
      <c r="G55" s="224" t="b">
        <f t="shared" si="1"/>
        <v>1</v>
      </c>
    </row>
    <row r="56" spans="1:7">
      <c r="A56" s="224" t="s">
        <v>947</v>
      </c>
      <c r="B56" s="596" t="s">
        <v>963</v>
      </c>
      <c r="C56" s="224" t="b">
        <f t="shared" si="2"/>
        <v>1</v>
      </c>
      <c r="D56" s="455" t="str">
        <f>Lifetimes!BK1</f>
        <v>OtherPaintUsesDiyOutDis</v>
      </c>
      <c r="E56" s="224" t="str">
        <v>Paints used in pre-made wooden products indoor (in use)</v>
      </c>
      <c r="F56" s="224" t="str">
        <v>PaintsPreMadeWoodInIU</v>
      </c>
      <c r="G56" s="224" t="b">
        <f t="shared" si="1"/>
        <v>1</v>
      </c>
    </row>
    <row r="57" spans="1:7">
      <c r="A57" s="224" t="s">
        <v>943</v>
      </c>
      <c r="B57" s="596" t="s">
        <v>1233</v>
      </c>
      <c r="C57" s="224" t="b">
        <f t="shared" si="2"/>
        <v>1</v>
      </c>
      <c r="D57" s="455" t="str">
        <f>Lifetimes!BL1</f>
        <v>OtherPaintUsesDiyOutIU</v>
      </c>
      <c r="E57" s="224" t="str">
        <v>Paints used in pre-made wooden products outdoor (discarded)</v>
      </c>
      <c r="F57" s="224" t="str">
        <v>PaintsPreMadeWoodOutDis</v>
      </c>
      <c r="G57" s="224" t="b">
        <f t="shared" si="1"/>
        <v>1</v>
      </c>
    </row>
    <row r="58" spans="1:7">
      <c r="A58" s="224" t="s">
        <v>949</v>
      </c>
      <c r="B58" s="596" t="s">
        <v>1232</v>
      </c>
      <c r="C58" s="224" t="b">
        <f t="shared" si="2"/>
        <v>1</v>
      </c>
      <c r="D58" s="455" t="str">
        <f>Lifetimes!BM1</f>
        <v>OtherPaintUsesProfInDis</v>
      </c>
      <c r="E58" s="224" t="str">
        <v>Paints used in pre-made wooden products outdoor (in use)</v>
      </c>
      <c r="F58" s="224" t="str">
        <v>PaintsPreMadeWoodOutIU</v>
      </c>
      <c r="G58" s="224" t="b">
        <f t="shared" si="1"/>
        <v>1</v>
      </c>
    </row>
    <row r="59" spans="1:7">
      <c r="A59" s="224" t="s">
        <v>194</v>
      </c>
      <c r="B59" s="596" t="s">
        <v>1240</v>
      </c>
      <c r="C59" s="224" t="b">
        <f t="shared" ref="C59:C100" si="3">NOT(ISERROR(MATCH(B59, D:D, 0)))</f>
        <v>1</v>
      </c>
      <c r="D59" s="455" t="str">
        <f>Lifetimes!BN1</f>
        <v>OtherPaintUsesProfInIU</v>
      </c>
      <c r="E59" s="224" t="str">
        <v>Pants and shorts</v>
      </c>
      <c r="F59" s="224" t="str">
        <v>PantsShorts</v>
      </c>
      <c r="G59" s="224" t="b">
        <f t="shared" si="1"/>
        <v>1</v>
      </c>
    </row>
    <row r="60" spans="1:7">
      <c r="A60" s="224" t="s">
        <v>191</v>
      </c>
      <c r="B60" s="596" t="s">
        <v>1244</v>
      </c>
      <c r="C60" s="224" t="b">
        <f t="shared" si="3"/>
        <v>1</v>
      </c>
      <c r="D60" s="455" t="str">
        <f>Lifetimes!BO1</f>
        <v>OtherPaintUsesProfOutDis</v>
      </c>
      <c r="E60" s="224" t="str">
        <v>Plaster (DIY) indoor (discarded)</v>
      </c>
      <c r="F60" s="224" t="str">
        <v>PlasterDiyInDis</v>
      </c>
      <c r="G60" s="224" t="b">
        <f t="shared" si="1"/>
        <v>1</v>
      </c>
    </row>
    <row r="61" spans="1:7">
      <c r="A61" s="224" t="s">
        <v>190</v>
      </c>
      <c r="B61" s="596" t="s">
        <v>1243</v>
      </c>
      <c r="C61" s="224" t="b">
        <f t="shared" si="3"/>
        <v>1</v>
      </c>
      <c r="D61" s="455" t="str">
        <f>Lifetimes!BP1</f>
        <v>OtherPaintUsesProfOutIU</v>
      </c>
      <c r="E61" s="224" t="str">
        <v>Plaster (DIY) indoor (in use)</v>
      </c>
      <c r="F61" s="224" t="str">
        <v>PlasterDiyInIU</v>
      </c>
      <c r="G61" s="224" t="b">
        <f t="shared" si="1"/>
        <v>1</v>
      </c>
    </row>
    <row r="62" spans="1:7">
      <c r="A62" s="224" t="s">
        <v>349</v>
      </c>
      <c r="B62" s="596" t="s">
        <v>1246</v>
      </c>
      <c r="C62" s="224" t="b">
        <f t="shared" si="3"/>
        <v>1</v>
      </c>
      <c r="D62" s="455" t="str">
        <f>Lifetimes!BQ1</f>
        <v>PaintsPreMadeWoodInDis</v>
      </c>
      <c r="E62" s="224" t="str">
        <v>Plaster (DIY) outdoor (discarded)</v>
      </c>
      <c r="F62" s="224" t="str">
        <v>PlasterDiyOutDis</v>
      </c>
      <c r="G62" s="224" t="b">
        <f t="shared" si="1"/>
        <v>1</v>
      </c>
    </row>
    <row r="63" spans="1:7">
      <c r="A63" s="224" t="s">
        <v>242</v>
      </c>
      <c r="B63" s="596" t="s">
        <v>1245</v>
      </c>
      <c r="C63" s="224" t="b">
        <f t="shared" si="3"/>
        <v>1</v>
      </c>
      <c r="D63" s="455" t="str">
        <f>Lifetimes!BR1</f>
        <v>PaintsPreMadeWoodInIU</v>
      </c>
      <c r="E63" s="224" t="str">
        <v>Plaster (DIY) outdoor (in use)</v>
      </c>
      <c r="F63" s="224" t="str">
        <v>PlasterDiyOutIU</v>
      </c>
      <c r="G63" s="224" t="b">
        <f t="shared" si="1"/>
        <v>1</v>
      </c>
    </row>
    <row r="64" spans="1:7">
      <c r="A64" s="224" t="s">
        <v>172</v>
      </c>
      <c r="B64" s="596" t="s">
        <v>1254</v>
      </c>
      <c r="C64" s="224" t="b">
        <f t="shared" si="3"/>
        <v>1</v>
      </c>
      <c r="D64" s="455" t="str">
        <f>Lifetimes!BS1</f>
        <v>PaintsPreMadeWoodOutDis</v>
      </c>
      <c r="E64" s="224" t="str">
        <v>Plaster (prof) indoor (discarded)</v>
      </c>
      <c r="F64" s="224" t="str">
        <v>PlasterProfInDis</v>
      </c>
      <c r="G64" s="224" t="b">
        <f t="shared" si="1"/>
        <v>1</v>
      </c>
    </row>
    <row r="65" spans="1:7">
      <c r="A65" s="224" t="s">
        <v>171</v>
      </c>
      <c r="B65" s="596" t="s">
        <v>1253</v>
      </c>
      <c r="C65" s="224" t="b">
        <f t="shared" si="3"/>
        <v>1</v>
      </c>
      <c r="D65" s="455" t="str">
        <f>Lifetimes!BT1</f>
        <v>PaintsPreMadeWoodOutIU</v>
      </c>
      <c r="E65" s="224" t="str">
        <v>Plaster (prof) indoor (in use)</v>
      </c>
      <c r="F65" s="224" t="str">
        <v>PlasterProfInIU</v>
      </c>
      <c r="G65" s="224" t="b">
        <f t="shared" si="1"/>
        <v>1</v>
      </c>
    </row>
    <row r="66" spans="1:7">
      <c r="A66" s="224" t="s">
        <v>162</v>
      </c>
      <c r="B66" s="596" t="s">
        <v>1249</v>
      </c>
      <c r="C66" s="224" t="b">
        <f t="shared" si="3"/>
        <v>1</v>
      </c>
      <c r="D66" s="455" t="str">
        <f>Lifetimes!BU1</f>
        <v>PlasterDiyInDis</v>
      </c>
      <c r="E66" s="224" t="str">
        <v>Plaster (prof) outdoor (discarded)</v>
      </c>
      <c r="F66" s="224" t="str">
        <v>PlasterProfOutDis</v>
      </c>
      <c r="G66" s="224" t="b">
        <f t="shared" si="1"/>
        <v>1</v>
      </c>
    </row>
    <row r="67" spans="1:7">
      <c r="A67" s="224" t="s">
        <v>153</v>
      </c>
      <c r="B67" s="596" t="s">
        <v>1248</v>
      </c>
      <c r="C67" s="224" t="b">
        <f t="shared" si="3"/>
        <v>1</v>
      </c>
      <c r="D67" s="455" t="str">
        <f>Lifetimes!BV1</f>
        <v>PlasterDiyInIU</v>
      </c>
      <c r="E67" s="224" t="str">
        <v>Plaster (prof) outdoor (in use)</v>
      </c>
      <c r="F67" s="224" t="str">
        <v>PlasterProfOutIU</v>
      </c>
      <c r="G67" s="224" t="b">
        <f t="shared" ref="G67:G99" si="4">NOT(ISERROR(MATCH(E67, A:A, 0)))</f>
        <v>1</v>
      </c>
    </row>
    <row r="68" spans="1:7">
      <c r="A68" s="224" t="s">
        <v>187</v>
      </c>
      <c r="B68" s="596" t="s">
        <v>1252</v>
      </c>
      <c r="C68" s="224" t="b">
        <f t="shared" si="3"/>
        <v>1</v>
      </c>
      <c r="D68" s="455" t="str">
        <f>Lifetimes!BW1</f>
        <v>PlasterDiyOutDis</v>
      </c>
      <c r="E68" s="224" t="str">
        <v>Ship paint (prof) (discarded)</v>
      </c>
      <c r="F68" s="224" t="str">
        <v>ShipProfDis</v>
      </c>
      <c r="G68" s="224" t="b">
        <f t="shared" si="4"/>
        <v>1</v>
      </c>
    </row>
    <row r="69" spans="1:7">
      <c r="A69" s="224" t="s">
        <v>186</v>
      </c>
      <c r="B69" s="596" t="s">
        <v>1251</v>
      </c>
      <c r="C69" s="224" t="b">
        <f t="shared" si="3"/>
        <v>1</v>
      </c>
      <c r="D69" s="455" t="str">
        <f>Lifetimes!BX1</f>
        <v>PlasterDiyOutIU</v>
      </c>
      <c r="E69" s="224" t="str">
        <v>Ship paint (prof) (in use)</v>
      </c>
      <c r="F69" s="224" t="str">
        <v>ShipProfIU</v>
      </c>
      <c r="G69" s="224" t="b">
        <f t="shared" si="4"/>
        <v>1</v>
      </c>
    </row>
    <row r="70" spans="1:7">
      <c r="A70" s="224" t="s">
        <v>353</v>
      </c>
      <c r="B70" s="596" t="s">
        <v>1257</v>
      </c>
      <c r="C70" s="224" t="b">
        <f t="shared" si="3"/>
        <v>1</v>
      </c>
      <c r="D70" s="455" t="str">
        <f>Lifetimes!BY1</f>
        <v>PlasterProfInDis</v>
      </c>
      <c r="E70" s="224" t="str">
        <v>Ship paint (recr) (discarded)</v>
      </c>
      <c r="F70" s="224" t="str">
        <v>ShipDiyDis</v>
      </c>
      <c r="G70" s="224" t="b">
        <f t="shared" si="4"/>
        <v>1</v>
      </c>
    </row>
    <row r="71" spans="1:7">
      <c r="A71" s="224" t="s">
        <v>343</v>
      </c>
      <c r="B71" s="596" t="s">
        <v>1256</v>
      </c>
      <c r="C71" s="224" t="b">
        <f t="shared" si="3"/>
        <v>1</v>
      </c>
      <c r="D71" s="455" t="str">
        <f>Lifetimes!BZ1</f>
        <v>PlasterProfInIU</v>
      </c>
      <c r="E71" s="224" t="str">
        <v>Ship paint (recr) (in use)</v>
      </c>
      <c r="F71" s="224" t="str">
        <v>ShipDiyIU</v>
      </c>
      <c r="G71" s="224" t="b">
        <f t="shared" si="4"/>
        <v>1</v>
      </c>
    </row>
    <row r="72" spans="1:7">
      <c r="A72" s="227" t="s">
        <v>304</v>
      </c>
      <c r="B72" s="456" t="s">
        <v>1238</v>
      </c>
      <c r="C72" s="224" t="b">
        <f t="shared" si="3"/>
        <v>1</v>
      </c>
      <c r="D72" s="455" t="str">
        <f>Lifetimes!CA1</f>
        <v>PlasterProfOutDis</v>
      </c>
      <c r="E72" s="224" t="str">
        <v>Shirts and blouses</v>
      </c>
      <c r="F72" s="224" t="str">
        <v>ShirtsBlouses</v>
      </c>
      <c r="G72" s="224" t="b">
        <f t="shared" si="4"/>
        <v>1</v>
      </c>
    </row>
    <row r="73" spans="1:7">
      <c r="A73" s="227" t="s">
        <v>305</v>
      </c>
      <c r="B73" s="456" t="s">
        <v>1239</v>
      </c>
      <c r="C73" s="224" t="b">
        <f t="shared" si="3"/>
        <v>1</v>
      </c>
      <c r="D73" s="455" t="str">
        <f>Lifetimes!CB1</f>
        <v>PlasterProfOutIU</v>
      </c>
      <c r="E73" s="224" t="str">
        <v>Sweaters and midlayers</v>
      </c>
      <c r="F73" s="224" t="str">
        <v>SweatersMidlayers</v>
      </c>
      <c r="G73" s="224" t="b">
        <f t="shared" si="4"/>
        <v>1</v>
      </c>
    </row>
    <row r="74" spans="1:7">
      <c r="A74" s="286" t="s">
        <v>200</v>
      </c>
      <c r="B74" s="304" t="s">
        <v>1144</v>
      </c>
      <c r="C74" s="224" t="b">
        <f t="shared" si="3"/>
        <v>1</v>
      </c>
      <c r="D74" s="455" t="str">
        <f>Lifetimes!CC1</f>
        <v>ShipProfDis</v>
      </c>
      <c r="E74" s="224" t="str">
        <v>Swimwear</v>
      </c>
      <c r="F74" s="224" t="str">
        <v>Swimwear</v>
      </c>
      <c r="G74" s="224" t="b">
        <f t="shared" si="4"/>
        <v>1</v>
      </c>
    </row>
    <row r="75" spans="1:7">
      <c r="A75" s="286" t="s">
        <v>201</v>
      </c>
      <c r="B75" s="304" t="s">
        <v>1234</v>
      </c>
      <c r="C75" s="224" t="b">
        <f t="shared" si="3"/>
        <v>1</v>
      </c>
      <c r="D75" s="455" t="str">
        <f>Lifetimes!CD1</f>
        <v>ShipProfIU</v>
      </c>
      <c r="E75" s="224" t="str">
        <v>Technical home textiles (discarded)</v>
      </c>
      <c r="F75" s="224" t="str">
        <v>TechHomeTextilesDis</v>
      </c>
      <c r="G75" s="224" t="b">
        <f t="shared" si="4"/>
        <v>1</v>
      </c>
    </row>
    <row r="76" spans="1:7">
      <c r="A76" s="286" t="s">
        <v>202</v>
      </c>
      <c r="B76" s="304" t="s">
        <v>1145</v>
      </c>
      <c r="C76" s="224" t="b">
        <f t="shared" si="3"/>
        <v>1</v>
      </c>
      <c r="D76" s="455" t="str">
        <f>Lifetimes!CE1</f>
        <v>ShipDiyDis</v>
      </c>
      <c r="E76" s="224" t="str">
        <v>Technical home textiles (in use)</v>
      </c>
      <c r="F76" s="224" t="str">
        <v>TechHomeTextilesIU</v>
      </c>
      <c r="G76" s="224" t="b">
        <f t="shared" si="4"/>
        <v>1</v>
      </c>
    </row>
    <row r="77" spans="1:7">
      <c r="A77" s="286" t="s">
        <v>235</v>
      </c>
      <c r="B77" s="304" t="s">
        <v>1146</v>
      </c>
      <c r="C77" s="224" t="b">
        <f t="shared" si="3"/>
        <v>1</v>
      </c>
      <c r="D77" s="455" t="str">
        <f>Lifetimes!CF1</f>
        <v>ShipDiyIU</v>
      </c>
      <c r="E77" s="224" t="str">
        <v>Textile coating (discarded)</v>
      </c>
      <c r="F77" s="224" t="str">
        <v>TextileCoatingDis</v>
      </c>
      <c r="G77" s="224" t="b">
        <f t="shared" si="4"/>
        <v>1</v>
      </c>
    </row>
    <row r="78" spans="1:7">
      <c r="A78" s="286" t="s">
        <v>203</v>
      </c>
      <c r="B78" s="304" t="s">
        <v>1054</v>
      </c>
      <c r="C78" s="224" t="b">
        <f t="shared" si="3"/>
        <v>1</v>
      </c>
      <c r="D78" s="455" t="str">
        <f>Lifetimes!CG1</f>
        <v>WallPaintDiyIndoorAppliedDis</v>
      </c>
      <c r="E78" s="224" t="str">
        <v>Textile coating (in use)</v>
      </c>
      <c r="F78" s="224" t="str">
        <v>TextileCoatingIU</v>
      </c>
      <c r="G78" s="224" t="b">
        <f t="shared" si="4"/>
        <v>1</v>
      </c>
    </row>
    <row r="79" spans="1:7">
      <c r="A79" s="286" t="s">
        <v>236</v>
      </c>
      <c r="B79" s="304" t="s">
        <v>1148</v>
      </c>
      <c r="C79" s="224" t="b">
        <f t="shared" si="3"/>
        <v>1</v>
      </c>
      <c r="D79" s="455" t="str">
        <f>Lifetimes!CH1</f>
        <v>WallPaintDiyIndoorAppliedIU</v>
      </c>
      <c r="E79" s="224" t="str">
        <v>T-shirts</v>
      </c>
      <c r="F79" s="224" t="str">
        <v>Tshirts</v>
      </c>
      <c r="G79" s="224" t="b">
        <f t="shared" si="4"/>
        <v>1</v>
      </c>
    </row>
    <row r="80" spans="1:7">
      <c r="A80" s="286" t="s">
        <v>237</v>
      </c>
      <c r="B80" s="304" t="s">
        <v>1147</v>
      </c>
      <c r="C80" s="224" t="b">
        <f t="shared" si="3"/>
        <v>1</v>
      </c>
      <c r="D80" s="455" t="str">
        <f>Lifetimes!CI1</f>
        <v>WallPaintDiyOutDis</v>
      </c>
      <c r="E80" s="224" t="str">
        <v>Underwear</v>
      </c>
      <c r="F80" s="224" t="str">
        <v>Underwear</v>
      </c>
      <c r="G80" s="224" t="b">
        <f t="shared" si="4"/>
        <v>1</v>
      </c>
    </row>
    <row r="81" spans="1:7">
      <c r="A81" s="224" t="s">
        <v>142</v>
      </c>
      <c r="B81" s="625" t="s">
        <v>1142</v>
      </c>
      <c r="C81" s="224" t="b">
        <f t="shared" si="3"/>
        <v>1</v>
      </c>
      <c r="D81" s="455" t="str">
        <f>Lifetimes!CJ1</f>
        <v>WallPaintDiyOutIU</v>
      </c>
      <c r="E81" s="224" t="str">
        <v>Wall paint (DIY) indoor applied (discarded)</v>
      </c>
      <c r="F81" s="224" t="str">
        <v>WallPaintDiyIndoorAppliedDis</v>
      </c>
      <c r="G81" s="224" t="b">
        <f t="shared" si="4"/>
        <v>1</v>
      </c>
    </row>
    <row r="82" spans="1:7">
      <c r="A82" s="626" t="s">
        <v>198</v>
      </c>
      <c r="B82" s="625" t="s">
        <v>1241</v>
      </c>
      <c r="C82" s="224" t="b">
        <f t="shared" si="3"/>
        <v>1</v>
      </c>
      <c r="D82" s="455" t="str">
        <f>Lifetimes!CK1</f>
        <v>WallPaintProfInDis</v>
      </c>
      <c r="E82" s="224" t="str">
        <v>Wall paint (DIY) indoor applied (in use)</v>
      </c>
      <c r="F82" s="224" t="str">
        <v>WallPaintDiyIndoorAppliedIU</v>
      </c>
      <c r="G82" s="224" t="b">
        <f t="shared" si="4"/>
        <v>1</v>
      </c>
    </row>
    <row r="83" spans="1:7">
      <c r="A83" s="626" t="s">
        <v>190</v>
      </c>
      <c r="B83" s="625" t="s">
        <v>1243</v>
      </c>
      <c r="C83" s="224" t="b">
        <f t="shared" si="3"/>
        <v>1</v>
      </c>
      <c r="D83" s="455" t="str">
        <f>Lifetimes!CL1</f>
        <v>WallPaintProfInIU</v>
      </c>
      <c r="E83" s="224" t="str">
        <v>Wall paint (DIY) outdoor (discarded)</v>
      </c>
      <c r="F83" s="224" t="str">
        <v>WallPaintDiyOutDis</v>
      </c>
      <c r="G83" s="224" t="b">
        <f t="shared" si="4"/>
        <v>1</v>
      </c>
    </row>
    <row r="84" spans="1:7">
      <c r="A84" s="626" t="s">
        <v>339</v>
      </c>
      <c r="B84" s="625" t="s">
        <v>1247</v>
      </c>
      <c r="C84" s="224" t="b">
        <f t="shared" si="3"/>
        <v>1</v>
      </c>
      <c r="D84" s="455" t="str">
        <f>Lifetimes!CM1</f>
        <v>WallPaintProfOutDis</v>
      </c>
      <c r="E84" s="224" t="str">
        <v>Wall paint (DIY) outdoor (in use)</v>
      </c>
      <c r="F84" s="224" t="str">
        <v>WallPaintDiyOutIU</v>
      </c>
      <c r="G84" s="224" t="b">
        <f t="shared" si="4"/>
        <v>1</v>
      </c>
    </row>
    <row r="85" spans="1:7">
      <c r="A85" s="626" t="s">
        <v>341</v>
      </c>
      <c r="B85" s="625" t="s">
        <v>1250</v>
      </c>
      <c r="C85" s="224" t="b">
        <f t="shared" si="3"/>
        <v>1</v>
      </c>
      <c r="D85" s="875" t="str">
        <f>Lifetimes!CN1</f>
        <v>WallPaintProfOutIU</v>
      </c>
      <c r="E85" s="224" t="str">
        <v>Wall paint (prof) indoor (discarded)</v>
      </c>
      <c r="F85" s="224" t="str">
        <v>WallPaintProfInDis</v>
      </c>
      <c r="G85" s="224" t="b">
        <f t="shared" si="4"/>
        <v>1</v>
      </c>
    </row>
    <row r="86" spans="1:7">
      <c r="A86" s="626" t="s">
        <v>238</v>
      </c>
      <c r="B86" s="625" t="s">
        <v>1255</v>
      </c>
      <c r="C86" s="224" t="b">
        <f t="shared" si="3"/>
        <v>1</v>
      </c>
      <c r="D86" s="875" t="str">
        <f>Lifetimes!CO1</f>
        <v>WoodStainDiyInDis</v>
      </c>
      <c r="E86" s="224"/>
      <c r="F86" s="224"/>
      <c r="G86" s="224" t="b">
        <f t="shared" si="4"/>
        <v>0</v>
      </c>
    </row>
    <row r="87" spans="1:7">
      <c r="A87" s="626" t="s">
        <v>197</v>
      </c>
      <c r="B87" s="625" t="s">
        <v>1242</v>
      </c>
      <c r="C87" s="224" t="b">
        <f t="shared" si="3"/>
        <v>1</v>
      </c>
      <c r="D87" s="875" t="str">
        <f>Lifetimes!CP1</f>
        <v>WoodStainDiyInIU</v>
      </c>
      <c r="E87" s="224"/>
      <c r="F87" s="224"/>
      <c r="G87" s="224" t="b">
        <f t="shared" si="4"/>
        <v>0</v>
      </c>
    </row>
    <row r="88" spans="1:7">
      <c r="A88" s="307" t="str">
        <f>Clothing!A620</f>
        <v>Apparel accessories</v>
      </c>
      <c r="B88" s="307" t="str">
        <f>Clothing!B620</f>
        <v>ClothingTwoYears</v>
      </c>
      <c r="C88" s="224" t="b">
        <f>NOT(ISERROR(MATCH(B88, D:D, 0)))</f>
        <v>1</v>
      </c>
      <c r="D88" s="875" t="str">
        <f>Lifetimes!CQ1</f>
        <v>WoodStainDiyOutDis</v>
      </c>
      <c r="E88" s="224"/>
      <c r="F88" s="224"/>
      <c r="G88" s="224" t="b">
        <f t="shared" si="4"/>
        <v>0</v>
      </c>
    </row>
    <row r="89" spans="1:7">
      <c r="A89" s="307" t="str">
        <f>Clothing!A621</f>
        <v>Boots</v>
      </c>
      <c r="B89" s="307" t="str">
        <f>Clothing!B621</f>
        <v>ClothingFiveYears</v>
      </c>
      <c r="C89" s="224" t="b">
        <f t="shared" si="3"/>
        <v>1</v>
      </c>
      <c r="D89" s="875" t="str">
        <f>Lifetimes!CR1</f>
        <v>WoodStainDiyOutIU</v>
      </c>
      <c r="E89" s="224"/>
      <c r="F89" s="224"/>
      <c r="G89" s="224" t="b">
        <f t="shared" si="4"/>
        <v>0</v>
      </c>
    </row>
    <row r="90" spans="1:7">
      <c r="A90" s="307" t="str">
        <f>Clothing!A622</f>
        <v>Closed-toed shoes</v>
      </c>
      <c r="B90" s="307" t="str">
        <f>Clothing!B622</f>
        <v>ClothingFiveYears</v>
      </c>
      <c r="C90" s="224" t="b">
        <f t="shared" si="3"/>
        <v>1</v>
      </c>
      <c r="D90" s="875" t="str">
        <f>Lifetimes!CS1</f>
        <v>WoodStainProfInDis</v>
      </c>
      <c r="E90" s="224"/>
      <c r="F90" s="224"/>
      <c r="G90" s="224" t="b">
        <f t="shared" si="4"/>
        <v>0</v>
      </c>
    </row>
    <row r="91" spans="1:7">
      <c r="A91" s="307" t="str">
        <f>Clothing!A623</f>
        <v>Dresses skirts and jumpsuits</v>
      </c>
      <c r="B91" s="307" t="str">
        <f>Clothing!B623</f>
        <v>ClothingEightYears</v>
      </c>
      <c r="C91" s="224" t="b">
        <f t="shared" si="3"/>
        <v>1</v>
      </c>
      <c r="D91" s="875" t="str">
        <f>Lifetimes!CT1</f>
        <v>WoodStainProfInIU</v>
      </c>
      <c r="E91" s="224"/>
      <c r="F91" s="224"/>
      <c r="G91" s="224" t="b">
        <f t="shared" si="4"/>
        <v>0</v>
      </c>
    </row>
    <row r="92" spans="1:7">
      <c r="A92" s="307" t="str">
        <f>Clothing!A624</f>
        <v>Jackets and coats</v>
      </c>
      <c r="B92" s="307" t="str">
        <f>Clothing!B624</f>
        <v>ClothingSevenYears</v>
      </c>
      <c r="C92" s="224" t="b">
        <f t="shared" si="3"/>
        <v>1</v>
      </c>
      <c r="D92" s="875" t="str">
        <f>Lifetimes!CU1</f>
        <v>WoodStainProfOutDis</v>
      </c>
      <c r="E92" s="224"/>
      <c r="F92" s="224"/>
      <c r="G92" s="224" t="b">
        <f t="shared" si="4"/>
        <v>0</v>
      </c>
    </row>
    <row r="93" spans="1:7">
      <c r="A93" s="307" t="str">
        <f>Clothing!A625</f>
        <v>Leggings stockings tights and socks</v>
      </c>
      <c r="B93" s="307" t="str">
        <f>Clothing!B625</f>
        <v>ClothingThreeYears</v>
      </c>
      <c r="C93" s="224" t="b">
        <f t="shared" si="3"/>
        <v>1</v>
      </c>
      <c r="D93" s="917" t="str">
        <f>Lifetimes!CV1</f>
        <v>WoodStainProfOutIU</v>
      </c>
      <c r="E93" s="224"/>
      <c r="F93" s="224"/>
      <c r="G93" s="224" t="b">
        <f t="shared" si="4"/>
        <v>0</v>
      </c>
    </row>
    <row r="94" spans="1:7">
      <c r="A94" s="307" t="str">
        <f>Clothing!A626</f>
        <v>Open-toed shoes</v>
      </c>
      <c r="B94" s="307" t="str">
        <f>Clothing!B626</f>
        <v>ClothingFiveYears</v>
      </c>
      <c r="C94" s="596" t="b">
        <f t="shared" si="3"/>
        <v>1</v>
      </c>
      <c r="D94" s="455" t="str">
        <f>Lifetimes!X1</f>
        <v>ClothingTwoYears</v>
      </c>
      <c r="E94" s="644"/>
      <c r="F94" s="224"/>
      <c r="G94" s="224" t="b">
        <f t="shared" si="4"/>
        <v>0</v>
      </c>
    </row>
    <row r="95" spans="1:7">
      <c r="A95" s="307" t="str">
        <f>Clothing!A627</f>
        <v>Pants and shorts</v>
      </c>
      <c r="B95" s="307" t="str">
        <f>Clothing!B627</f>
        <v>ClothingFourYears</v>
      </c>
      <c r="C95" s="596" t="b">
        <f t="shared" si="3"/>
        <v>1</v>
      </c>
      <c r="D95" s="455" t="str">
        <f>Lifetimes!Y1</f>
        <v>ClothingThreeYears</v>
      </c>
      <c r="E95" s="644"/>
      <c r="F95" s="224"/>
      <c r="G95" s="224" t="b">
        <f t="shared" si="4"/>
        <v>0</v>
      </c>
    </row>
    <row r="96" spans="1:7">
      <c r="A96" s="307" t="str">
        <f>Clothing!A628</f>
        <v>Shirts and blouses</v>
      </c>
      <c r="B96" s="307" t="str">
        <f>Clothing!B628</f>
        <v>ClothingFiveYears</v>
      </c>
      <c r="C96" s="596" t="b">
        <f t="shared" si="3"/>
        <v>1</v>
      </c>
      <c r="D96" s="455" t="str">
        <f>Lifetimes!Z1</f>
        <v>ClothingFourYears</v>
      </c>
      <c r="E96" s="644"/>
      <c r="F96" s="224"/>
      <c r="G96" s="224" t="b">
        <f t="shared" si="4"/>
        <v>0</v>
      </c>
    </row>
    <row r="97" spans="1:7">
      <c r="A97" s="307" t="str">
        <f>Clothing!A629</f>
        <v>Sweaters and midlayers</v>
      </c>
      <c r="B97" s="307" t="str">
        <f>Clothing!B629</f>
        <v>ClothingSixYears</v>
      </c>
      <c r="C97" s="596" t="b">
        <f t="shared" si="3"/>
        <v>1</v>
      </c>
      <c r="D97" s="455" t="str">
        <f>Lifetimes!AA1</f>
        <v>ClothingFiveYears</v>
      </c>
      <c r="G97" s="224" t="b">
        <f t="shared" si="4"/>
        <v>0</v>
      </c>
    </row>
    <row r="98" spans="1:7">
      <c r="A98" s="307" t="str">
        <f>Clothing!A630</f>
        <v>Swimwear</v>
      </c>
      <c r="B98" s="307" t="str">
        <f>Clothing!B630</f>
        <v>ClothingTwoYears</v>
      </c>
      <c r="C98" s="596" t="b">
        <f t="shared" si="3"/>
        <v>1</v>
      </c>
      <c r="D98" s="455" t="str">
        <f>Lifetimes!AB1</f>
        <v>ClothingSixYears</v>
      </c>
      <c r="G98" s="224" t="b">
        <f t="shared" si="4"/>
        <v>0</v>
      </c>
    </row>
    <row r="99" spans="1:7">
      <c r="A99" s="307" t="str">
        <f>Clothing!A631</f>
        <v>T-shirts</v>
      </c>
      <c r="B99" s="307" t="str">
        <f>Clothing!B631</f>
        <v>ClothingFiveYears</v>
      </c>
      <c r="C99" s="596" t="b">
        <f t="shared" si="3"/>
        <v>1</v>
      </c>
      <c r="D99" s="455" t="str">
        <f>Lifetimes!AC1</f>
        <v>ClothingSevenYears</v>
      </c>
      <c r="G99" s="224" t="b">
        <f t="shared" si="4"/>
        <v>0</v>
      </c>
    </row>
    <row r="100" spans="1:7">
      <c r="A100" s="307" t="str">
        <f>Clothing!A632</f>
        <v>Underwear</v>
      </c>
      <c r="B100" s="307" t="str">
        <f>Clothing!B632</f>
        <v>ClothingThreeYears</v>
      </c>
      <c r="C100" s="596" t="b">
        <f t="shared" si="3"/>
        <v>1</v>
      </c>
      <c r="D100" s="455" t="str">
        <f>Lifetimes!AD1</f>
        <v>ClothingEightYears</v>
      </c>
    </row>
    <row r="101" spans="1:7">
      <c r="D101"/>
    </row>
    <row r="102" spans="1:7">
      <c r="D102"/>
    </row>
    <row r="103" spans="1:7">
      <c r="D103"/>
    </row>
    <row r="104" spans="1:7">
      <c r="D104"/>
    </row>
    <row r="105" spans="1:7">
      <c r="D105"/>
    </row>
    <row r="106" spans="1:7">
      <c r="D106"/>
    </row>
    <row r="107" spans="1:7">
      <c r="D107"/>
    </row>
    <row r="108" spans="1:7">
      <c r="D108"/>
    </row>
    <row r="109" spans="1:7">
      <c r="D109"/>
    </row>
    <row r="110" spans="1:7">
      <c r="D110"/>
    </row>
    <row r="111" spans="1:7">
      <c r="D111"/>
    </row>
    <row r="112" spans="1:7">
      <c r="D112"/>
    </row>
    <row r="113" spans="4:4">
      <c r="D113"/>
    </row>
    <row r="114" spans="4:4">
      <c r="D114"/>
    </row>
    <row r="115" spans="4:4">
      <c r="D115"/>
    </row>
    <row r="116" spans="4:4">
      <c r="D116"/>
    </row>
    <row r="117" spans="4:4">
      <c r="D117"/>
    </row>
    <row r="118" spans="4:4">
      <c r="D118"/>
    </row>
    <row r="119" spans="4:4">
      <c r="D119"/>
    </row>
    <row r="120" spans="4:4">
      <c r="D120"/>
    </row>
    <row r="121" spans="4:4">
      <c r="D121"/>
    </row>
    <row r="122" spans="4:4">
      <c r="D122"/>
    </row>
    <row r="123" spans="4:4">
      <c r="D123"/>
    </row>
    <row r="124" spans="4:4">
      <c r="D124"/>
    </row>
    <row r="125" spans="4:4">
      <c r="D125"/>
    </row>
    <row r="126" spans="4:4">
      <c r="D126"/>
    </row>
    <row r="127" spans="4:4">
      <c r="D127"/>
    </row>
    <row r="128" spans="4: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sheetData>
  <autoFilter ref="A1:B93" xr:uid="{990E2BB4-67D9-4051-BA87-FD201D2882C8}"/>
  <conditionalFormatting sqref="C2:C100">
    <cfRule type="containsText" dxfId="26" priority="2" operator="containsText" text="true">
      <formula>NOT(ISERROR(SEARCH("true",C2)))</formula>
    </cfRule>
  </conditionalFormatting>
  <conditionalFormatting sqref="G2:G99">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E4A13-8F7E-4B93-B48F-573BE1A75152}">
  <sheetPr>
    <tabColor theme="3"/>
  </sheetPr>
  <dimension ref="A1:D79"/>
  <sheetViews>
    <sheetView topLeftCell="A48" workbookViewId="0">
      <selection activeCell="C81" sqref="C81"/>
    </sheetView>
  </sheetViews>
  <sheetFormatPr defaultColWidth="8.88671875" defaultRowHeight="14.4"/>
  <cols>
    <col min="1" max="1" width="70.6640625" style="579" customWidth="1"/>
    <col min="2" max="2" width="30.6640625" style="579" customWidth="1"/>
    <col min="3" max="3" width="100.6640625" style="579" customWidth="1"/>
    <col min="4" max="4" width="200.6640625" style="581" customWidth="1"/>
    <col min="5" max="16384" width="8.88671875" style="579"/>
  </cols>
  <sheetData>
    <row r="1" spans="1:4" s="580" customFormat="1" ht="15" thickBot="1">
      <c r="A1" s="582" t="s">
        <v>1317</v>
      </c>
      <c r="B1" s="582" t="s">
        <v>1318</v>
      </c>
      <c r="C1" s="582" t="s">
        <v>1319</v>
      </c>
      <c r="D1" s="582" t="s">
        <v>1320</v>
      </c>
    </row>
    <row r="2" spans="1:4" s="581" customFormat="1">
      <c r="A2" s="703" t="s">
        <v>194</v>
      </c>
      <c r="B2" s="704" t="s">
        <v>1240</v>
      </c>
      <c r="C2" s="704" t="s">
        <v>1321</v>
      </c>
      <c r="D2" s="705" t="s">
        <v>45</v>
      </c>
    </row>
    <row r="3" spans="1:4" s="581" customFormat="1" ht="86.4">
      <c r="A3" s="706" t="s">
        <v>1322</v>
      </c>
      <c r="B3" s="707" t="s">
        <v>1241</v>
      </c>
      <c r="C3" s="708" t="s">
        <v>1323</v>
      </c>
      <c r="D3" s="709" t="s">
        <v>1324</v>
      </c>
    </row>
    <row r="4" spans="1:4" s="581" customFormat="1" ht="210" customHeight="1" thickBot="1">
      <c r="A4" s="710" t="s">
        <v>1325</v>
      </c>
      <c r="B4" s="711" t="s">
        <v>1242</v>
      </c>
      <c r="C4" s="712" t="s">
        <v>1326</v>
      </c>
      <c r="D4" s="713" t="s">
        <v>1327</v>
      </c>
    </row>
    <row r="5" spans="1:4" s="581" customFormat="1">
      <c r="A5" s="714" t="s">
        <v>190</v>
      </c>
      <c r="B5" s="715" t="s">
        <v>1243</v>
      </c>
      <c r="C5" s="715" t="s">
        <v>1328</v>
      </c>
      <c r="D5" s="716" t="s">
        <v>45</v>
      </c>
    </row>
    <row r="6" spans="1:4" s="581" customFormat="1" ht="15" thickBot="1">
      <c r="A6" s="710" t="s">
        <v>191</v>
      </c>
      <c r="B6" s="711" t="s">
        <v>1244</v>
      </c>
      <c r="C6" s="711" t="s">
        <v>1329</v>
      </c>
      <c r="D6" s="583" t="s">
        <v>1330</v>
      </c>
    </row>
    <row r="7" spans="1:4" s="581" customFormat="1">
      <c r="A7" s="703" t="s">
        <v>242</v>
      </c>
      <c r="B7" s="704" t="s">
        <v>1245</v>
      </c>
      <c r="C7" s="704" t="s">
        <v>1331</v>
      </c>
      <c r="D7" s="705" t="s">
        <v>45</v>
      </c>
    </row>
    <row r="8" spans="1:4" s="581" customFormat="1" ht="15" thickBot="1">
      <c r="A8" s="710" t="s">
        <v>349</v>
      </c>
      <c r="B8" s="711" t="s">
        <v>1246</v>
      </c>
      <c r="C8" s="711" t="s">
        <v>1329</v>
      </c>
      <c r="D8" s="583" t="s">
        <v>1330</v>
      </c>
    </row>
    <row r="9" spans="1:4" s="581" customFormat="1" ht="15" thickBot="1">
      <c r="A9" s="717" t="s">
        <v>339</v>
      </c>
      <c r="B9" s="718" t="s">
        <v>1247</v>
      </c>
      <c r="C9" s="718" t="s">
        <v>1332</v>
      </c>
      <c r="D9" s="719" t="s">
        <v>45</v>
      </c>
    </row>
    <row r="10" spans="1:4" s="581" customFormat="1">
      <c r="A10" s="703" t="s">
        <v>153</v>
      </c>
      <c r="B10" s="704" t="s">
        <v>1248</v>
      </c>
      <c r="C10" s="704" t="s">
        <v>1333</v>
      </c>
      <c r="D10" s="705" t="s">
        <v>45</v>
      </c>
    </row>
    <row r="11" spans="1:4" s="581" customFormat="1" ht="15" thickBot="1">
      <c r="A11" s="710" t="s">
        <v>162</v>
      </c>
      <c r="B11" s="711" t="s">
        <v>1249</v>
      </c>
      <c r="C11" s="720" t="s">
        <v>1329</v>
      </c>
      <c r="D11" s="721" t="s">
        <v>1330</v>
      </c>
    </row>
    <row r="12" spans="1:4" s="581" customFormat="1" ht="15" thickBot="1">
      <c r="A12" s="722" t="s">
        <v>341</v>
      </c>
      <c r="B12" s="723" t="s">
        <v>1250</v>
      </c>
      <c r="C12" s="723" t="s">
        <v>1334</v>
      </c>
      <c r="D12" s="724" t="s">
        <v>45</v>
      </c>
    </row>
    <row r="13" spans="1:4" s="581" customFormat="1">
      <c r="A13" s="703" t="s">
        <v>186</v>
      </c>
      <c r="B13" s="704" t="s">
        <v>1251</v>
      </c>
      <c r="C13" s="704" t="s">
        <v>1335</v>
      </c>
      <c r="D13" s="705" t="s">
        <v>45</v>
      </c>
    </row>
    <row r="14" spans="1:4" s="581" customFormat="1" ht="15" thickBot="1">
      <c r="A14" s="725" t="s">
        <v>187</v>
      </c>
      <c r="B14" s="726" t="s">
        <v>1252</v>
      </c>
      <c r="C14" s="711" t="s">
        <v>1329</v>
      </c>
      <c r="D14" s="583" t="s">
        <v>1330</v>
      </c>
    </row>
    <row r="15" spans="1:4" s="581" customFormat="1">
      <c r="A15" s="703" t="s">
        <v>171</v>
      </c>
      <c r="B15" s="704" t="s">
        <v>1253</v>
      </c>
      <c r="C15" s="704" t="s">
        <v>1336</v>
      </c>
      <c r="D15" s="705" t="s">
        <v>45</v>
      </c>
    </row>
    <row r="16" spans="1:4" s="581" customFormat="1" ht="15" thickBot="1">
      <c r="A16" s="710" t="s">
        <v>172</v>
      </c>
      <c r="B16" s="711" t="s">
        <v>1254</v>
      </c>
      <c r="C16" s="720" t="s">
        <v>1329</v>
      </c>
      <c r="D16" s="721" t="s">
        <v>1330</v>
      </c>
    </row>
    <row r="17" spans="1:4" s="581" customFormat="1" ht="15" thickBot="1">
      <c r="A17" s="717" t="s">
        <v>238</v>
      </c>
      <c r="B17" s="718" t="s">
        <v>1337</v>
      </c>
      <c r="C17" s="718" t="s">
        <v>1338</v>
      </c>
      <c r="D17" s="719" t="s">
        <v>45</v>
      </c>
    </row>
    <row r="18" spans="1:4" s="581" customFormat="1">
      <c r="A18" s="703" t="s">
        <v>343</v>
      </c>
      <c r="B18" s="704" t="s">
        <v>1256</v>
      </c>
      <c r="C18" s="704" t="s">
        <v>1339</v>
      </c>
      <c r="D18" s="705" t="s">
        <v>45</v>
      </c>
    </row>
    <row r="19" spans="1:4" s="581" customFormat="1" ht="15" thickBot="1">
      <c r="A19" s="710" t="s">
        <v>353</v>
      </c>
      <c r="B19" s="711" t="s">
        <v>1257</v>
      </c>
      <c r="C19" s="711" t="s">
        <v>1329</v>
      </c>
      <c r="D19" s="583" t="s">
        <v>1330</v>
      </c>
    </row>
    <row r="20" spans="1:4" s="581" customFormat="1">
      <c r="A20" s="727" t="s">
        <v>430</v>
      </c>
      <c r="B20" s="728" t="s">
        <v>1258</v>
      </c>
      <c r="C20" s="728" t="s">
        <v>1340</v>
      </c>
      <c r="D20" s="584" t="s">
        <v>1341</v>
      </c>
    </row>
    <row r="21" spans="1:4" s="581" customFormat="1">
      <c r="A21" s="729" t="s">
        <v>435</v>
      </c>
      <c r="B21" s="730" t="s">
        <v>1259</v>
      </c>
      <c r="C21" s="730" t="s">
        <v>1329</v>
      </c>
      <c r="D21" s="585" t="s">
        <v>1330</v>
      </c>
    </row>
    <row r="22" spans="1:4" s="581" customFormat="1">
      <c r="A22" s="706" t="s">
        <v>433</v>
      </c>
      <c r="B22" s="707" t="s">
        <v>1260</v>
      </c>
      <c r="C22" s="707" t="s">
        <v>1342</v>
      </c>
      <c r="D22" s="586" t="s">
        <v>1343</v>
      </c>
    </row>
    <row r="23" spans="1:4" s="581" customFormat="1" ht="15" thickBot="1">
      <c r="A23" s="710" t="s">
        <v>434</v>
      </c>
      <c r="B23" s="711" t="s">
        <v>1261</v>
      </c>
      <c r="C23" s="711" t="s">
        <v>1329</v>
      </c>
      <c r="D23" s="583" t="s">
        <v>1330</v>
      </c>
    </row>
    <row r="24" spans="1:4" s="581" customFormat="1">
      <c r="A24" s="727" t="s">
        <v>479</v>
      </c>
      <c r="B24" s="728" t="s">
        <v>1262</v>
      </c>
      <c r="C24" s="728" t="s">
        <v>1344</v>
      </c>
      <c r="D24" s="584" t="s">
        <v>1341</v>
      </c>
    </row>
    <row r="25" spans="1:4" s="581" customFormat="1">
      <c r="A25" s="729" t="s">
        <v>478</v>
      </c>
      <c r="B25" s="730" t="s">
        <v>1263</v>
      </c>
      <c r="C25" s="730" t="s">
        <v>1329</v>
      </c>
      <c r="D25" s="585" t="s">
        <v>1330</v>
      </c>
    </row>
    <row r="26" spans="1:4" s="581" customFormat="1">
      <c r="A26" s="706" t="s">
        <v>477</v>
      </c>
      <c r="B26" s="707" t="s">
        <v>1264</v>
      </c>
      <c r="C26" s="707" t="s">
        <v>1345</v>
      </c>
      <c r="D26" s="586" t="s">
        <v>1346</v>
      </c>
    </row>
    <row r="27" spans="1:4" s="581" customFormat="1" ht="15" thickBot="1">
      <c r="A27" s="706" t="s">
        <v>476</v>
      </c>
      <c r="B27" s="707" t="s">
        <v>1265</v>
      </c>
      <c r="C27" s="707" t="s">
        <v>1329</v>
      </c>
      <c r="D27" s="587" t="s">
        <v>1330</v>
      </c>
    </row>
    <row r="28" spans="1:4" s="581" customFormat="1">
      <c r="A28" s="729" t="s">
        <v>441</v>
      </c>
      <c r="B28" s="730" t="s">
        <v>1266</v>
      </c>
      <c r="C28" s="728" t="s">
        <v>1347</v>
      </c>
      <c r="D28" s="584" t="s">
        <v>1341</v>
      </c>
    </row>
    <row r="29" spans="1:4" s="581" customFormat="1">
      <c r="A29" s="729" t="s">
        <v>440</v>
      </c>
      <c r="B29" s="730" t="s">
        <v>1267</v>
      </c>
      <c r="C29" s="730" t="s">
        <v>1329</v>
      </c>
      <c r="D29" s="585" t="s">
        <v>1330</v>
      </c>
    </row>
    <row r="30" spans="1:4" s="581" customFormat="1">
      <c r="A30" s="706" t="s">
        <v>439</v>
      </c>
      <c r="B30" s="707" t="s">
        <v>1268</v>
      </c>
      <c r="C30" s="707" t="s">
        <v>1348</v>
      </c>
      <c r="D30" s="586" t="s">
        <v>1346</v>
      </c>
    </row>
    <row r="31" spans="1:4" s="581" customFormat="1" ht="15" thickBot="1">
      <c r="A31" s="710" t="s">
        <v>438</v>
      </c>
      <c r="B31" s="711" t="s">
        <v>1269</v>
      </c>
      <c r="C31" s="711" t="s">
        <v>1329</v>
      </c>
      <c r="D31" s="583" t="s">
        <v>1330</v>
      </c>
    </row>
    <row r="32" spans="1:4" s="581" customFormat="1">
      <c r="A32" s="727" t="s">
        <v>444</v>
      </c>
      <c r="B32" s="728" t="s">
        <v>1270</v>
      </c>
      <c r="C32" s="728" t="s">
        <v>1349</v>
      </c>
      <c r="D32" s="584" t="s">
        <v>1341</v>
      </c>
    </row>
    <row r="33" spans="1:4" s="581" customFormat="1">
      <c r="A33" s="729" t="s">
        <v>503</v>
      </c>
      <c r="B33" s="730" t="s">
        <v>1271</v>
      </c>
      <c r="C33" s="730" t="s">
        <v>1329</v>
      </c>
      <c r="D33" s="585" t="s">
        <v>1330</v>
      </c>
    </row>
    <row r="34" spans="1:4" s="581" customFormat="1">
      <c r="A34" s="706" t="s">
        <v>451</v>
      </c>
      <c r="B34" s="707" t="s">
        <v>1272</v>
      </c>
      <c r="C34" s="707" t="s">
        <v>1350</v>
      </c>
      <c r="D34" s="586" t="s">
        <v>1351</v>
      </c>
    </row>
    <row r="35" spans="1:4" s="581" customFormat="1">
      <c r="A35" s="706" t="s">
        <v>502</v>
      </c>
      <c r="B35" s="707" t="s">
        <v>1273</v>
      </c>
      <c r="C35" s="707" t="s">
        <v>1329</v>
      </c>
      <c r="D35" s="587" t="s">
        <v>1330</v>
      </c>
    </row>
    <row r="36" spans="1:4" s="581" customFormat="1">
      <c r="A36" s="729" t="s">
        <v>456</v>
      </c>
      <c r="B36" s="730" t="s">
        <v>1274</v>
      </c>
      <c r="C36" s="730" t="s">
        <v>1349</v>
      </c>
      <c r="D36" s="588" t="s">
        <v>1341</v>
      </c>
    </row>
    <row r="37" spans="1:4" s="581" customFormat="1">
      <c r="A37" s="729" t="s">
        <v>467</v>
      </c>
      <c r="B37" s="730" t="s">
        <v>1275</v>
      </c>
      <c r="C37" s="730" t="s">
        <v>1329</v>
      </c>
      <c r="D37" s="585" t="s">
        <v>1330</v>
      </c>
    </row>
    <row r="38" spans="1:4" s="581" customFormat="1">
      <c r="A38" s="706" t="s">
        <v>459</v>
      </c>
      <c r="B38" s="707" t="s">
        <v>1276</v>
      </c>
      <c r="C38" s="707" t="s">
        <v>1350</v>
      </c>
      <c r="D38" s="586" t="s">
        <v>1351</v>
      </c>
    </row>
    <row r="39" spans="1:4" s="581" customFormat="1" ht="15" thickBot="1">
      <c r="A39" s="725" t="s">
        <v>466</v>
      </c>
      <c r="B39" s="726" t="s">
        <v>1277</v>
      </c>
      <c r="C39" s="726" t="s">
        <v>1329</v>
      </c>
      <c r="D39" s="589" t="s">
        <v>1330</v>
      </c>
    </row>
    <row r="40" spans="1:4" s="581" customFormat="1">
      <c r="A40" s="727" t="s">
        <v>468</v>
      </c>
      <c r="B40" s="728" t="s">
        <v>1278</v>
      </c>
      <c r="C40" s="728" t="s">
        <v>1352</v>
      </c>
      <c r="D40" s="584" t="s">
        <v>1353</v>
      </c>
    </row>
    <row r="41" spans="1:4" s="581" customFormat="1">
      <c r="A41" s="729" t="s">
        <v>473</v>
      </c>
      <c r="B41" s="730" t="s">
        <v>1279</v>
      </c>
      <c r="C41" s="730" t="s">
        <v>1329</v>
      </c>
      <c r="D41" s="585" t="s">
        <v>1330</v>
      </c>
    </row>
    <row r="42" spans="1:4" s="581" customFormat="1">
      <c r="A42" s="706" t="s">
        <v>469</v>
      </c>
      <c r="B42" s="707" t="s">
        <v>1280</v>
      </c>
      <c r="C42" s="707" t="s">
        <v>1354</v>
      </c>
      <c r="D42" s="588" t="s">
        <v>1353</v>
      </c>
    </row>
    <row r="43" spans="1:4" s="581" customFormat="1" ht="15" thickBot="1">
      <c r="A43" s="725" t="s">
        <v>472</v>
      </c>
      <c r="B43" s="726" t="s">
        <v>1281</v>
      </c>
      <c r="C43" s="726" t="s">
        <v>1329</v>
      </c>
      <c r="D43" s="589" t="s">
        <v>1330</v>
      </c>
    </row>
    <row r="44" spans="1:4" s="581" customFormat="1">
      <c r="A44" s="727" t="s">
        <v>499</v>
      </c>
      <c r="B44" s="728" t="s">
        <v>1282</v>
      </c>
      <c r="C44" s="728" t="s">
        <v>1355</v>
      </c>
      <c r="D44" s="590" t="s">
        <v>1330</v>
      </c>
    </row>
    <row r="45" spans="1:4" s="581" customFormat="1">
      <c r="A45" s="729" t="s">
        <v>498</v>
      </c>
      <c r="B45" s="730" t="s">
        <v>1283</v>
      </c>
      <c r="C45" s="730" t="s">
        <v>1329</v>
      </c>
      <c r="D45" s="585" t="s">
        <v>1330</v>
      </c>
    </row>
    <row r="46" spans="1:4" s="581" customFormat="1">
      <c r="A46" s="706" t="s">
        <v>497</v>
      </c>
      <c r="B46" s="707" t="s">
        <v>1284</v>
      </c>
      <c r="C46" s="707" t="s">
        <v>1356</v>
      </c>
      <c r="D46" s="587" t="s">
        <v>1330</v>
      </c>
    </row>
    <row r="47" spans="1:4" s="581" customFormat="1">
      <c r="A47" s="706" t="s">
        <v>496</v>
      </c>
      <c r="B47" s="707" t="s">
        <v>1285</v>
      </c>
      <c r="C47" s="707" t="s">
        <v>1329</v>
      </c>
      <c r="D47" s="587" t="s">
        <v>1330</v>
      </c>
    </row>
    <row r="48" spans="1:4" s="581" customFormat="1">
      <c r="A48" s="729" t="s">
        <v>463</v>
      </c>
      <c r="B48" s="730" t="s">
        <v>1286</v>
      </c>
      <c r="C48" s="730" t="s">
        <v>1357</v>
      </c>
      <c r="D48" s="731" t="s">
        <v>1330</v>
      </c>
    </row>
    <row r="49" spans="1:4" s="581" customFormat="1">
      <c r="A49" s="729" t="s">
        <v>462</v>
      </c>
      <c r="B49" s="730" t="s">
        <v>1287</v>
      </c>
      <c r="C49" s="730" t="s">
        <v>1329</v>
      </c>
      <c r="D49" s="585" t="s">
        <v>1330</v>
      </c>
    </row>
    <row r="50" spans="1:4" s="581" customFormat="1">
      <c r="A50" s="706" t="s">
        <v>461</v>
      </c>
      <c r="B50" s="707" t="s">
        <v>1288</v>
      </c>
      <c r="C50" s="707" t="s">
        <v>1355</v>
      </c>
      <c r="D50" s="732" t="s">
        <v>1330</v>
      </c>
    </row>
    <row r="51" spans="1:4" s="581" customFormat="1" ht="15" thickBot="1">
      <c r="A51" s="710" t="s">
        <v>460</v>
      </c>
      <c r="B51" s="711" t="s">
        <v>1289</v>
      </c>
      <c r="C51" s="711" t="s">
        <v>1329</v>
      </c>
      <c r="D51" s="583" t="s">
        <v>1330</v>
      </c>
    </row>
    <row r="52" spans="1:4" s="581" customFormat="1">
      <c r="A52" s="703" t="s">
        <v>427</v>
      </c>
      <c r="B52" s="704" t="s">
        <v>1290</v>
      </c>
      <c r="C52" s="704" t="s">
        <v>1358</v>
      </c>
      <c r="D52" s="732" t="s">
        <v>1359</v>
      </c>
    </row>
    <row r="53" spans="1:4" s="581" customFormat="1">
      <c r="A53" s="706" t="s">
        <v>426</v>
      </c>
      <c r="B53" s="707" t="s">
        <v>1291</v>
      </c>
      <c r="C53" s="707" t="s">
        <v>1329</v>
      </c>
      <c r="D53" s="587" t="s">
        <v>1330</v>
      </c>
    </row>
    <row r="54" spans="1:4" s="581" customFormat="1">
      <c r="A54" s="706" t="s">
        <v>429</v>
      </c>
      <c r="B54" s="707" t="s">
        <v>1292</v>
      </c>
      <c r="C54" s="707" t="s">
        <v>1360</v>
      </c>
      <c r="D54" s="732" t="s">
        <v>1359</v>
      </c>
    </row>
    <row r="55" spans="1:4" s="581" customFormat="1" ht="15" thickBot="1">
      <c r="A55" s="710" t="s">
        <v>428</v>
      </c>
      <c r="B55" s="711" t="s">
        <v>1293</v>
      </c>
      <c r="C55" s="711" t="s">
        <v>1329</v>
      </c>
      <c r="D55" s="583" t="s">
        <v>1330</v>
      </c>
    </row>
    <row r="56" spans="1:4" s="581" customFormat="1">
      <c r="A56" s="727" t="s">
        <v>488</v>
      </c>
      <c r="B56" s="728" t="s">
        <v>1294</v>
      </c>
      <c r="C56" s="728" t="s">
        <v>1361</v>
      </c>
      <c r="D56" s="584" t="s">
        <v>1362</v>
      </c>
    </row>
    <row r="57" spans="1:4" s="581" customFormat="1">
      <c r="A57" s="729" t="s">
        <v>493</v>
      </c>
      <c r="B57" s="730" t="s">
        <v>1295</v>
      </c>
      <c r="C57" s="730" t="s">
        <v>1329</v>
      </c>
      <c r="D57" s="585" t="s">
        <v>1330</v>
      </c>
    </row>
    <row r="58" spans="1:4" s="581" customFormat="1">
      <c r="A58" s="706" t="s">
        <v>490</v>
      </c>
      <c r="B58" s="707" t="s">
        <v>1296</v>
      </c>
      <c r="C58" s="707" t="s">
        <v>1363</v>
      </c>
      <c r="D58" s="586" t="s">
        <v>1362</v>
      </c>
    </row>
    <row r="59" spans="1:4" s="581" customFormat="1">
      <c r="A59" s="706" t="s">
        <v>489</v>
      </c>
      <c r="B59" s="707" t="s">
        <v>1297</v>
      </c>
      <c r="C59" s="707" t="s">
        <v>1329</v>
      </c>
      <c r="D59" s="587" t="s">
        <v>1330</v>
      </c>
    </row>
    <row r="60" spans="1:4" s="581" customFormat="1">
      <c r="A60" s="729" t="s">
        <v>455</v>
      </c>
      <c r="B60" s="730" t="s">
        <v>1298</v>
      </c>
      <c r="C60" s="730" t="s">
        <v>1364</v>
      </c>
      <c r="D60" s="588" t="s">
        <v>1362</v>
      </c>
    </row>
    <row r="61" spans="1:4" s="581" customFormat="1">
      <c r="A61" s="729" t="s">
        <v>454</v>
      </c>
      <c r="B61" s="730" t="s">
        <v>1299</v>
      </c>
      <c r="C61" s="730" t="s">
        <v>1329</v>
      </c>
      <c r="D61" s="585" t="s">
        <v>1330</v>
      </c>
    </row>
    <row r="62" spans="1:4" s="581" customFormat="1">
      <c r="A62" s="706" t="s">
        <v>453</v>
      </c>
      <c r="B62" s="707" t="s">
        <v>1300</v>
      </c>
      <c r="C62" s="707" t="s">
        <v>1365</v>
      </c>
      <c r="D62" s="586" t="s">
        <v>1362</v>
      </c>
    </row>
    <row r="63" spans="1:4" s="581" customFormat="1" ht="15" thickBot="1">
      <c r="A63" s="710" t="s">
        <v>452</v>
      </c>
      <c r="B63" s="711" t="s">
        <v>1301</v>
      </c>
      <c r="C63" s="711" t="s">
        <v>1329</v>
      </c>
      <c r="D63" s="583" t="s">
        <v>1330</v>
      </c>
    </row>
    <row r="64" spans="1:4" s="581" customFormat="1" ht="28.8">
      <c r="A64" s="727" t="s">
        <v>485</v>
      </c>
      <c r="B64" s="728" t="s">
        <v>1302</v>
      </c>
      <c r="C64" s="733" t="s">
        <v>1366</v>
      </c>
      <c r="D64" s="584" t="s">
        <v>1362</v>
      </c>
    </row>
    <row r="65" spans="1:4" s="581" customFormat="1">
      <c r="A65" s="729" t="s">
        <v>484</v>
      </c>
      <c r="B65" s="730" t="s">
        <v>1303</v>
      </c>
      <c r="C65" s="730" t="s">
        <v>1329</v>
      </c>
      <c r="D65" s="585" t="s">
        <v>1330</v>
      </c>
    </row>
    <row r="66" spans="1:4" s="581" customFormat="1" ht="28.8">
      <c r="A66" s="706" t="s">
        <v>483</v>
      </c>
      <c r="B66" s="707" t="s">
        <v>1304</v>
      </c>
      <c r="C66" s="708" t="s">
        <v>1367</v>
      </c>
      <c r="D66" s="586" t="s">
        <v>1362</v>
      </c>
    </row>
    <row r="67" spans="1:4" s="581" customFormat="1">
      <c r="A67" s="706" t="s">
        <v>482</v>
      </c>
      <c r="B67" s="707" t="s">
        <v>1305</v>
      </c>
      <c r="C67" s="707" t="s">
        <v>1329</v>
      </c>
      <c r="D67" s="587" t="s">
        <v>1330</v>
      </c>
    </row>
    <row r="68" spans="1:4" s="581" customFormat="1" ht="28.8">
      <c r="A68" s="729" t="s">
        <v>448</v>
      </c>
      <c r="B68" s="730" t="s">
        <v>1306</v>
      </c>
      <c r="C68" s="734" t="s">
        <v>1368</v>
      </c>
      <c r="D68" s="588" t="s">
        <v>1362</v>
      </c>
    </row>
    <row r="69" spans="1:4" s="581" customFormat="1">
      <c r="A69" s="729" t="s">
        <v>447</v>
      </c>
      <c r="B69" s="730" t="s">
        <v>1307</v>
      </c>
      <c r="C69" s="730" t="s">
        <v>1329</v>
      </c>
      <c r="D69" s="585" t="s">
        <v>1330</v>
      </c>
    </row>
    <row r="70" spans="1:4" s="581" customFormat="1" ht="28.8">
      <c r="A70" s="706" t="s">
        <v>446</v>
      </c>
      <c r="B70" s="707" t="s">
        <v>1308</v>
      </c>
      <c r="C70" s="708" t="s">
        <v>1369</v>
      </c>
      <c r="D70" s="586" t="s">
        <v>1362</v>
      </c>
    </row>
    <row r="71" spans="1:4" s="581" customFormat="1">
      <c r="A71" s="725" t="s">
        <v>445</v>
      </c>
      <c r="B71" s="726" t="s">
        <v>1309</v>
      </c>
      <c r="C71" s="726" t="s">
        <v>1329</v>
      </c>
      <c r="D71" s="589" t="s">
        <v>1330</v>
      </c>
    </row>
    <row r="72" spans="1:4" s="845" customFormat="1">
      <c r="A72" s="847" t="s">
        <v>304</v>
      </c>
      <c r="B72" s="848" t="s">
        <v>1239</v>
      </c>
      <c r="C72" s="848" t="s">
        <v>1370</v>
      </c>
      <c r="D72" s="849" t="s">
        <v>1371</v>
      </c>
    </row>
    <row r="73" spans="1:4" s="845" customFormat="1" ht="15" thickBot="1">
      <c r="A73" s="850" t="s">
        <v>305</v>
      </c>
      <c r="B73" s="851" t="s">
        <v>1238</v>
      </c>
      <c r="C73" s="851" t="s">
        <v>1372</v>
      </c>
      <c r="D73" s="852" t="s">
        <v>1373</v>
      </c>
    </row>
    <row r="74" spans="1:4">
      <c r="A74" s="224" t="s">
        <v>943</v>
      </c>
      <c r="B74" s="224" t="s">
        <v>1233</v>
      </c>
      <c r="C74" s="854" t="s">
        <v>1985</v>
      </c>
      <c r="D74" s="855" t="s">
        <v>45</v>
      </c>
    </row>
    <row r="75" spans="1:4">
      <c r="A75" s="833" t="s">
        <v>948</v>
      </c>
      <c r="B75" s="833" t="s">
        <v>958</v>
      </c>
      <c r="C75" s="853" t="s">
        <v>1986</v>
      </c>
      <c r="D75" s="715" t="s">
        <v>1330</v>
      </c>
    </row>
    <row r="76" spans="1:4" s="845" customFormat="1">
      <c r="A76" s="846" t="s">
        <v>949</v>
      </c>
      <c r="B76" s="846" t="s">
        <v>1232</v>
      </c>
      <c r="C76" s="848" t="s">
        <v>1988</v>
      </c>
      <c r="D76" s="844" t="s">
        <v>45</v>
      </c>
    </row>
    <row r="77" spans="1:4" s="845" customFormat="1">
      <c r="A77" s="846" t="s">
        <v>947</v>
      </c>
      <c r="B77" s="846" t="s">
        <v>963</v>
      </c>
      <c r="C77" s="848" t="s">
        <v>1987</v>
      </c>
      <c r="D77" s="856" t="s">
        <v>1330</v>
      </c>
    </row>
    <row r="79" spans="1:4">
      <c r="A79"/>
      <c r="B79"/>
      <c r="C79"/>
      <c r="D79"/>
    </row>
  </sheetData>
  <hyperlinks>
    <hyperlink ref="D30" r:id="rId1" xr:uid="{B26EF0B2-4B4F-42BC-8E1C-4FC0BA34A0C9}"/>
    <hyperlink ref="D26" r:id="rId2" xr:uid="{2EADB0CF-90BA-4E7C-9410-4838676961CF}"/>
    <hyperlink ref="D56" r:id="rId3" xr:uid="{B386FA9C-CB59-4AE7-8853-2470FFA7F742}"/>
    <hyperlink ref="D58" r:id="rId4" xr:uid="{9DF210C6-4BC4-4AD8-9514-0E23F296AA6C}"/>
    <hyperlink ref="D60" r:id="rId5" xr:uid="{71DCC544-0AF1-4318-9DCA-E1B1A62C5692}"/>
    <hyperlink ref="D62" r:id="rId6" xr:uid="{E95CB3CD-4F24-41B7-A5C0-A2931DADCEDD}"/>
    <hyperlink ref="D64" r:id="rId7" xr:uid="{DBDBBF85-6E7F-44CC-9CED-A375BE7F49AC}"/>
    <hyperlink ref="D66" r:id="rId8" xr:uid="{BD59FC2D-9BD7-41EE-B693-AB1AB7AA24FB}"/>
    <hyperlink ref="D68" r:id="rId9" xr:uid="{329A667B-9875-4D21-808D-4FFB5820EFF1}"/>
    <hyperlink ref="D70" r:id="rId10" xr:uid="{6F4475A9-96FF-4B32-B39F-23C06564BA1A}"/>
    <hyperlink ref="D22" r:id="rId11" xr:uid="{ACC5F4E4-47AF-4900-9B8C-EE301DB1DD0A}"/>
    <hyperlink ref="D34" r:id="rId12" xr:uid="{42B113BA-9C6E-4AAE-948B-E14C08443591}"/>
    <hyperlink ref="D38" r:id="rId13" xr:uid="{6641C875-06B7-4B94-B4F8-8810BCCA8D09}"/>
    <hyperlink ref="D20" r:id="rId14" xr:uid="{01594652-8736-4D3F-BEA9-BAB1B05CA7EC}"/>
    <hyperlink ref="D24" r:id="rId15" xr:uid="{DEFA5388-9F05-469F-8E49-60D39597D50B}"/>
    <hyperlink ref="D28" r:id="rId16" xr:uid="{A4C86924-5D7E-48DC-B8EE-5F71D479FE76}"/>
    <hyperlink ref="D40" r:id="rId17" display="https://woodmodo.com/blogs/style-blog/how-long-does-wood-furniture-last-a-comprehensive-guide" xr:uid="{69B8F3E5-D4E0-43FE-9FF4-A7E8F8AEA7FD}"/>
    <hyperlink ref="D42" r:id="rId18" display="https://woodmodo.com/blogs/style-blog/how-long-does-wood-furniture-last-a-comprehensive-guide" xr:uid="{708F31AF-4AB5-4AD1-A187-0597DD932F4A}"/>
  </hyperlinks>
  <pageMargins left="0.7" right="0.7" top="0.75" bottom="0.75" header="0.3" footer="0.3"/>
  <pageSetup orientation="portrait" r:id="rId19"/>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140FB-1C2B-4C64-903E-4B2EB04F7F3C}">
  <sheetPr>
    <tabColor rgb="FF92D050"/>
  </sheetPr>
  <dimension ref="A1:K626"/>
  <sheetViews>
    <sheetView topLeftCell="A234" zoomScale="80" zoomScaleNormal="80" zoomScaleSheetLayoutView="104" workbookViewId="0">
      <selection activeCell="A276" sqref="A276"/>
    </sheetView>
  </sheetViews>
  <sheetFormatPr defaultRowHeight="14.4"/>
  <cols>
    <col min="1" max="1" width="50.6640625" style="17" customWidth="1"/>
    <col min="2" max="2" width="20.6640625" customWidth="1"/>
    <col min="3" max="3" width="50.6640625" customWidth="1"/>
    <col min="4" max="4" width="80.6640625" customWidth="1"/>
    <col min="5" max="5" width="5.6640625" customWidth="1"/>
    <col min="6" max="9" width="60.6640625" customWidth="1"/>
    <col min="10" max="10" width="65.33203125" bestFit="1" customWidth="1"/>
  </cols>
  <sheetData>
    <row r="1" spans="1:11" ht="30" customHeight="1" thickBot="1">
      <c r="A1" s="144" t="s">
        <v>1374</v>
      </c>
      <c r="B1" s="65" t="s">
        <v>1375</v>
      </c>
      <c r="C1" s="65" t="s">
        <v>1376</v>
      </c>
      <c r="D1" s="145" t="s">
        <v>1377</v>
      </c>
      <c r="F1" s="575" t="s">
        <v>1378</v>
      </c>
      <c r="G1" s="1162" t="s">
        <v>1379</v>
      </c>
      <c r="H1" s="1163"/>
      <c r="I1" s="574" t="s">
        <v>1380</v>
      </c>
      <c r="J1" s="574" t="s">
        <v>1380</v>
      </c>
      <c r="K1" s="574"/>
    </row>
    <row r="2" spans="1:11" ht="15" thickBot="1">
      <c r="A2" s="73" t="str" cm="1">
        <f t="array" ref="A2:A285">_xlfn._xlws.FILTER(_xlfn.UNIQUE(I3:I462),ISTEXT(_xlfn.UNIQUE(I3:I462)))</f>
        <v>Agriculture</v>
      </c>
      <c r="B2" s="438" t="str">
        <f>IFERROR(VLOOKUP(A2,'Compartments_Kawecki&amp;Nowack19'!A:C,2,FALSE), IFERROR(VLOOKUP(A2,Compartments_Added!A:C,2,FALSE), "Not found"))</f>
        <v>Flow</v>
      </c>
      <c r="C2" s="438" t="str">
        <f>IFERROR(VLOOKUP(A2,'Compartments_Kawecki&amp;Nowack19'!A:C,3,FALSE), IFERROR(VLOOKUP(A2,Compartments_Added!A:C,3,FALSE), "Not found"))</f>
        <v>Agriculture</v>
      </c>
      <c r="D2" s="95" t="str">
        <f>IFERROR(IF(VLOOKUP(A2,'Compartments_Kawecki&amp;Nowack19'!A:C,1,FALSE)=A2, "Kawecki","what?"),"Added/changed")</f>
        <v>Kawecki</v>
      </c>
      <c r="F2" s="48" t="str" cm="1">
        <f t="array" ref="F2:F13">_xlfn.UNIQUE(_xlfn._xlws.FILTER(Input_NL!A:A, Input_NL!A:A &lt;&gt; ""))</f>
        <v>Compartment</v>
      </c>
      <c r="G2" s="32" t="str" cm="1">
        <f t="array" ref="G2:G265">_xlfn.UNIQUE(_xlfn._xlws.FILTER('Transfer coefficients'!A:A,'Transfer coefficients'!A:A &lt;&gt; ""))</f>
        <v>From</v>
      </c>
      <c r="H2" s="32" t="str" cm="1">
        <f t="array" ref="H2:H273">_xlfn.UNIQUE(_xlfn._xlws.FILTER('Transfer coefficients'!B:B,'Transfer coefficients'!B:B &lt;&gt; ""))</f>
        <v>To</v>
      </c>
      <c r="I2" s="32" t="s">
        <v>934</v>
      </c>
      <c r="J2" t="s">
        <v>1381</v>
      </c>
      <c r="K2" s="32"/>
    </row>
    <row r="3" spans="1:11" ht="15" thickBot="1">
      <c r="A3" s="74" t="str">
        <v>Domestic primary plastic production</v>
      </c>
      <c r="B3" s="332" t="str">
        <f>IFERROR(VLOOKUP(A3,'Compartments_Kawecki&amp;Nowack19'!A:C,2,FALSE), IFERROR(VLOOKUP(A3,Compartments_Added!A:C,2,FALSE), "Not found"))</f>
        <v>Flow</v>
      </c>
      <c r="C3" s="332" t="str">
        <f>IFERROR(VLOOKUP(A3,'Compartments_Kawecki&amp;Nowack19'!A:C,3,FALSE), IFERROR(VLOOKUP(A3,Compartments_Added!A:C,3,FALSE), "Not found"))</f>
        <v>DomPrimaryProd</v>
      </c>
      <c r="D3" s="95" t="str">
        <f>IFERROR(IF(VLOOKUP(A3,'Compartments_Kawecki&amp;Nowack19'!A:C,1,FALSE)=A3, "Kawecki","what?"),"Added/changed")</f>
        <v>Added/changed</v>
      </c>
      <c r="F3" s="73" t="str">
        <v>Agriculture</v>
      </c>
      <c r="G3" s="434" t="str">
        <v>Agricultural greenhouse films (discarded)</v>
      </c>
      <c r="H3" s="434" t="str">
        <v>Agricultural waste collection</v>
      </c>
      <c r="I3" s="430" t="str" cm="1">
        <f t="array" ref="I3:I288">_xlfn.UNIQUE(J3:J650)</f>
        <v>Agriculture</v>
      </c>
      <c r="J3" t="str" cm="1">
        <f t="array" ref="J3:J626">_xlfn.VSTACK(F3:F30,G3:G300,H3:H300)</f>
        <v>Agriculture</v>
      </c>
    </row>
    <row r="4" spans="1:11" ht="15" thickBot="1">
      <c r="A4" s="74" t="str">
        <v>Household textiles (product sector)</v>
      </c>
      <c r="B4" s="332" t="str">
        <f>IFERROR(VLOOKUP(A4,'Compartments_Kawecki&amp;Nowack19'!A:C,2,FALSE), IFERROR(VLOOKUP(A4,Compartments_Added!A:C,2,FALSE), "Not found"))</f>
        <v>Flow</v>
      </c>
      <c r="C4" s="332" t="str">
        <f>IFERROR(VLOOKUP(A4,'Compartments_Kawecki&amp;Nowack19'!A:C,3,FALSE), IFERROR(VLOOKUP(A4,Compartments_Added!A:C,3,FALSE), "Not found"))</f>
        <v>HouseholdTextilesPC</v>
      </c>
      <c r="D4" s="95" t="str">
        <f>IFERROR(IF(VLOOKUP(A4,'Compartments_Kawecki&amp;Nowack19'!A:C,1,FALSE)=A4, "Kawecki","what?"),"Added/changed")</f>
        <v>Kawecki</v>
      </c>
      <c r="F4" s="74" t="str">
        <v>Domestic primary plastic production</v>
      </c>
      <c r="G4" s="493" t="str">
        <v>Agricultural greenhouse films (in use)</v>
      </c>
      <c r="H4" s="310" t="str">
        <v>Dumping</v>
      </c>
      <c r="I4" s="498" t="str">
        <v>Domestic primary plastic production</v>
      </c>
      <c r="J4" t="str">
        <v>Domestic primary plastic production</v>
      </c>
    </row>
    <row r="5" spans="1:11" ht="15" thickBot="1">
      <c r="A5" s="74" t="str">
        <v>Import of primary plastics</v>
      </c>
      <c r="B5" s="332" t="str">
        <f>IFERROR(VLOOKUP(A5,'Compartments_Kawecki&amp;Nowack19'!A:C,2,FALSE), IFERROR(VLOOKUP(A5,Compartments_Added!A:C,2,FALSE), "Not found"))</f>
        <v>Flow</v>
      </c>
      <c r="C5" s="332" t="str">
        <f>IFERROR(VLOOKUP(A5,'Compartments_Kawecki&amp;Nowack19'!A:C,3,FALSE), IFERROR(VLOOKUP(A5,Compartments_Added!A:C,3,FALSE), "Not found"))</f>
        <v>ImpPrimaryProd</v>
      </c>
      <c r="D5" s="95" t="str">
        <f>IFERROR(IF(VLOOKUP(A5,'Compartments_Kawecki&amp;Nowack19'!A:C,1,FALSE)=A5, "Kawecki","what?"),"Added/changed")</f>
        <v>Added/changed</v>
      </c>
      <c r="F5" s="74" t="str">
        <v>Household textiles (product sector)</v>
      </c>
      <c r="G5" s="493" t="str">
        <v>Agricultural mulching films</v>
      </c>
      <c r="H5" s="310" t="str">
        <v>Agricultural soil (macro)</v>
      </c>
      <c r="I5" s="498" t="str">
        <v>Household textiles (product sector)</v>
      </c>
      <c r="J5" t="str">
        <v>Household textiles (product sector)</v>
      </c>
    </row>
    <row r="6" spans="1:11" ht="15" thickBot="1">
      <c r="A6" s="74" t="str">
        <v>Intentionally produced microparticles</v>
      </c>
      <c r="B6" s="332" t="str">
        <f>IFERROR(VLOOKUP(A6,'Compartments_Kawecki&amp;Nowack19'!A:C,2,FALSE), IFERROR(VLOOKUP(A6,Compartments_Added!A:C,2,FALSE), "Not found"))</f>
        <v>Flow</v>
      </c>
      <c r="C6" s="332" t="str">
        <f>IFERROR(VLOOKUP(A6,'Compartments_Kawecki&amp;Nowack19'!A:C,3,FALSE), IFERROR(VLOOKUP(A6,Compartments_Added!A:C,3,FALSE), "Not found"))</f>
        <v>IntProdMP</v>
      </c>
      <c r="D6" s="95" t="str">
        <f>IFERROR(IF(VLOOKUP(A6,'Compartments_Kawecki&amp;Nowack19'!A:C,1,FALSE)=A6, "Kawecki","what?"),"Added/changed")</f>
        <v>Added/changed</v>
      </c>
      <c r="F6" s="74" t="str">
        <v>Import of primary plastics</v>
      </c>
      <c r="G6" s="493" t="str">
        <v>Agricultural other</v>
      </c>
      <c r="H6" s="310" t="str">
        <v>Agricultural soil (micro)</v>
      </c>
      <c r="I6" s="498" t="str">
        <v>Import of primary plastics</v>
      </c>
      <c r="J6" t="str">
        <v>Import of primary plastics</v>
      </c>
    </row>
    <row r="7" spans="1:11" ht="15" thickBot="1">
      <c r="A7" s="74" t="str">
        <v>Packaging</v>
      </c>
      <c r="B7" s="332" t="str">
        <f>IFERROR(VLOOKUP(A7,'Compartments_Kawecki&amp;Nowack19'!A:C,2,FALSE), IFERROR(VLOOKUP(A7,Compartments_Added!A:C,2,FALSE), "Not found"))</f>
        <v>Flow</v>
      </c>
      <c r="C7" s="332" t="str">
        <f>IFERROR(VLOOKUP(A7,'Compartments_Kawecki&amp;Nowack19'!A:C,3,FALSE), IFERROR(VLOOKUP(A7,Compartments_Added!A:C,3,FALSE), "Not found"))</f>
        <v>Packaging</v>
      </c>
      <c r="D7" s="95" t="str">
        <f>IFERROR(IF(VLOOKUP(A7,'Compartments_Kawecki&amp;Nowack19'!A:C,1,FALSE)=A7, "Kawecki","what?"),"Added/changed")</f>
        <v>Kawecki</v>
      </c>
      <c r="F7" s="74" t="str">
        <v>Intentionally produced microparticles</v>
      </c>
      <c r="G7" s="493" t="str">
        <v>Agricultural packaging bottles</v>
      </c>
      <c r="H7" s="310" t="str">
        <v>Collected organic waste</v>
      </c>
      <c r="I7" s="498" t="str">
        <v>Intentionally produced microparticles</v>
      </c>
      <c r="J7" t="str">
        <v>Intentionally produced microparticles</v>
      </c>
    </row>
    <row r="8" spans="1:11" ht="15" thickBot="1">
      <c r="A8" s="74" t="str">
        <v>Paint</v>
      </c>
      <c r="B8" s="332" t="str">
        <f>IFERROR(VLOOKUP(A8,'Compartments_Kawecki&amp;Nowack19'!A:C,2,FALSE), IFERROR(VLOOKUP(A8,Compartments_Added!A:C,2,FALSE), "Not found"))</f>
        <v>Flow</v>
      </c>
      <c r="C8" s="332" t="str">
        <f>IFERROR(VLOOKUP(A8,'Compartments_Kawecki&amp;Nowack19'!A:C,3,FALSE), IFERROR(VLOOKUP(A8,Compartments_Added!A:C,3,FALSE), "Not found"))</f>
        <v>Paint</v>
      </c>
      <c r="D8" s="95" t="str">
        <f>IFERROR(IF(VLOOKUP(A8,'Compartments_Kawecki&amp;Nowack19'!A:C,1,FALSE)=A8, "Kawecki","what?"),"Added/changed")</f>
        <v>Added/changed</v>
      </c>
      <c r="F8" s="74" t="str">
        <v>Packaging</v>
      </c>
      <c r="G8" s="493" t="str">
        <v>Agricultural packaging films</v>
      </c>
      <c r="H8" s="310" t="str">
        <v>Incineration</v>
      </c>
      <c r="I8" s="498" t="str">
        <v>Packaging</v>
      </c>
      <c r="J8" t="str">
        <v>Packaging</v>
      </c>
    </row>
    <row r="9" spans="1:11" ht="15" thickBot="1">
      <c r="A9" s="74" t="str">
        <v>Technical textiles</v>
      </c>
      <c r="B9" s="332" t="str">
        <f>IFERROR(VLOOKUP(A9,'Compartments_Kawecki&amp;Nowack19'!A:C,2,FALSE), IFERROR(VLOOKUP(A9,Compartments_Added!A:C,2,FALSE), "Not found"))</f>
        <v>Flow</v>
      </c>
      <c r="C9" s="332" t="str">
        <f>IFERROR(VLOOKUP(A9,'Compartments_Kawecki&amp;Nowack19'!A:C,3,FALSE), IFERROR(VLOOKUP(A9,Compartments_Added!A:C,3,FALSE), "Not found"))</f>
        <v>TechnicalTextiles</v>
      </c>
      <c r="D9" s="95" t="str">
        <f>IFERROR(IF(VLOOKUP(A9,'Compartments_Kawecki&amp;Nowack19'!A:C,1,FALSE)=A9, "Kawecki","what?"),"Added/changed")</f>
        <v>Kawecki</v>
      </c>
      <c r="F9" s="74" t="str">
        <v>Paint</v>
      </c>
      <c r="G9" s="493" t="str">
        <v>Agricultural pipes (discarded)</v>
      </c>
      <c r="H9" s="310" t="str">
        <v>Secondary material reuse</v>
      </c>
      <c r="I9" s="498" t="str">
        <v>Paint</v>
      </c>
      <c r="J9" t="str">
        <v>Paint</v>
      </c>
    </row>
    <row r="10" spans="1:11" ht="15" thickBot="1">
      <c r="A10" s="74" t="str">
        <v>Tyre wear</v>
      </c>
      <c r="B10" s="332" t="str">
        <f>IFERROR(VLOOKUP(A10,'Compartments_Kawecki&amp;Nowack19'!A:C,2,FALSE), IFERROR(VLOOKUP(A10,Compartments_Added!A:C,2,FALSE), "Not found"))</f>
        <v>Flow</v>
      </c>
      <c r="C10" s="332" t="str">
        <f>IFERROR(VLOOKUP(A10,'Compartments_Kawecki&amp;Nowack19'!A:C,3,FALSE), IFERROR(VLOOKUP(A10,Compartments_Added!A:C,3,FALSE), "Not found"))</f>
        <v>TyreWear</v>
      </c>
      <c r="D10" s="95" t="str">
        <f>IFERROR(IF(VLOOKUP(A10,'Compartments_Kawecki&amp;Nowack19'!A:C,1,FALSE)=A10, "Kawecki","what?"),"Added/changed")</f>
        <v>Added/changed</v>
      </c>
      <c r="F10" s="74" t="str">
        <v>Technical textiles</v>
      </c>
      <c r="G10" s="493" t="str">
        <v>Agricultural pipes (in use)</v>
      </c>
      <c r="H10" s="310" t="str">
        <v>Residential soil (micro)</v>
      </c>
      <c r="I10" s="498" t="str">
        <v>Technical textiles</v>
      </c>
      <c r="J10" t="str">
        <v>Technical textiles</v>
      </c>
    </row>
    <row r="11" spans="1:11" ht="15" thickBot="1">
      <c r="A11" s="74" t="str">
        <v>Import of clothing (EU)</v>
      </c>
      <c r="B11" s="332" t="str">
        <f>IFERROR(VLOOKUP(A11,'Compartments_Kawecki&amp;Nowack19'!A:C,2,FALSE), IFERROR(VLOOKUP(A11,Compartments_Added!A:C,2,FALSE), "Not found"))</f>
        <v>Flow</v>
      </c>
      <c r="C11" s="332" t="str">
        <f>IFERROR(VLOOKUP(A11,'Compartments_Kawecki&amp;Nowack19'!A:C,3,FALSE), IFERROR(VLOOKUP(A11,Compartments_Added!A:C,3,FALSE), "Not found"))</f>
        <v>ImportClothingEU</v>
      </c>
      <c r="D11" s="95" t="str">
        <f>IFERROR(IF(VLOOKUP(A11,'Compartments_Kawecki&amp;Nowack19'!A:C,1,FALSE)=A11, "Kawecki","what?"),"Added/changed")</f>
        <v>Added/changed</v>
      </c>
      <c r="F11" s="321" t="str">
        <v>Tyre wear</v>
      </c>
      <c r="G11" s="493" t="str">
        <v>Agricultural plastic recycling</v>
      </c>
      <c r="H11" s="310" t="str">
        <v>Landfill</v>
      </c>
      <c r="I11" s="498" t="str">
        <v>Tyre wear</v>
      </c>
      <c r="J11" t="str">
        <v>Tyre wear</v>
      </c>
    </row>
    <row r="12" spans="1:11" ht="15" thickBot="1">
      <c r="A12" s="74" t="str">
        <v>Import of clothing (Global)</v>
      </c>
      <c r="B12" s="332" t="str">
        <f>IFERROR(VLOOKUP(A12,'Compartments_Kawecki&amp;Nowack19'!A:C,2,FALSE), IFERROR(VLOOKUP(A12,Compartments_Added!A:C,2,FALSE), "Not found"))</f>
        <v>Flow</v>
      </c>
      <c r="C12" s="332" t="str">
        <f>IFERROR(VLOOKUP(A12,'Compartments_Kawecki&amp;Nowack19'!A:C,3,FALSE), IFERROR(VLOOKUP(A12,Compartments_Added!A:C,3,FALSE), "Not found"))</f>
        <v>ImportClothingGlobal</v>
      </c>
      <c r="D12" s="95" t="str">
        <f>IFERROR(IF(VLOOKUP(A12,'Compartments_Kawecki&amp;Nowack19'!A:C,1,FALSE)=A12, "Kawecki","what?"),"Added/changed")</f>
        <v>Added/changed</v>
      </c>
      <c r="F12" s="75" t="str">
        <v>Import of clothing (EU)</v>
      </c>
      <c r="G12" s="493" t="str">
        <v>Agricultural waste collection</v>
      </c>
      <c r="H12" s="310" t="str">
        <v>Industrial stormwater (micro)</v>
      </c>
      <c r="I12" s="498" t="str">
        <v>Import of clothing (EU)</v>
      </c>
      <c r="J12" t="str">
        <v>Import of clothing (EU)</v>
      </c>
    </row>
    <row r="13" spans="1:11" ht="15" thickBot="1">
      <c r="A13" s="74" t="str">
        <v>Agricultural greenhouse films (discarded)</v>
      </c>
      <c r="B13" s="332" t="str">
        <f>IFERROR(VLOOKUP(A13,'Compartments_Kawecki&amp;Nowack19'!A:C,2,FALSE), IFERROR(VLOOKUP(A13,Compartments_Added!A:C,2,FALSE), "Not found"))</f>
        <v>Stock</v>
      </c>
      <c r="C13" s="332" t="str">
        <f>IFERROR(VLOOKUP(A13,'Compartments_Kawecki&amp;Nowack19'!A:C,3,FALSE), IFERROR(VLOOKUP(A13,Compartments_Added!A:C,3,FALSE), "Not found"))</f>
        <v>AgriculturalFilmsDis</v>
      </c>
      <c r="D13" s="95" t="str">
        <f>IFERROR(IF(VLOOKUP(A13,'Compartments_Kawecki&amp;Nowack19'!A:C,1,FALSE)=A13, "Kawecki","what?"),"Added/changed")</f>
        <v>Added/changed</v>
      </c>
      <c r="F13" s="75" t="str">
        <v>Import of clothing (Global)</v>
      </c>
      <c r="G13" s="493" t="str">
        <v>Agricultural waste collection (micro)</v>
      </c>
      <c r="H13" s="310" t="str">
        <v>Agricultural plastic recycling</v>
      </c>
      <c r="I13" s="498" t="str">
        <v>Import of clothing (Global)</v>
      </c>
      <c r="J13" t="str">
        <v>Import of clothing (Global)</v>
      </c>
    </row>
    <row r="14" spans="1:11" ht="15" thickBot="1">
      <c r="A14" s="74" t="str">
        <v>Agricultural greenhouse films (in use)</v>
      </c>
      <c r="B14" s="332" t="str">
        <f>IFERROR(VLOOKUP(A14,'Compartments_Kawecki&amp;Nowack19'!A:C,2,FALSE), IFERROR(VLOOKUP(A14,Compartments_Added!A:C,2,FALSE), "Not found"))</f>
        <v>Stock</v>
      </c>
      <c r="C14" s="332" t="str">
        <f>IFERROR(VLOOKUP(A14,'Compartments_Kawecki&amp;Nowack19'!A:C,3,FALSE), IFERROR(VLOOKUP(A14,Compartments_Added!A:C,3,FALSE), "Not found"))</f>
        <v>AgriculturalFilmsIU</v>
      </c>
      <c r="D14" s="95" t="str">
        <f>IFERROR(IF(VLOOKUP(A14,'Compartments_Kawecki&amp;Nowack19'!A:C,1,FALSE)=A14, "Kawecki","what?"),"Added/changed")</f>
        <v>Added/changed</v>
      </c>
      <c r="F14" s="17"/>
      <c r="G14" s="493" t="str">
        <v>Agriculture</v>
      </c>
      <c r="H14" s="310" t="str">
        <v>Residential soil (macro)</v>
      </c>
      <c r="I14" s="498">
        <v>0</v>
      </c>
      <c r="J14">
        <v>0</v>
      </c>
    </row>
    <row r="15" spans="1:11" ht="15" thickBot="1">
      <c r="A15" s="74" t="str">
        <v>Agricultural mulching films</v>
      </c>
      <c r="B15" s="332" t="str">
        <f>IFERROR(VLOOKUP(A15,'Compartments_Kawecki&amp;Nowack19'!A:C,2,FALSE), IFERROR(VLOOKUP(A15,Compartments_Added!A:C,2,FALSE), "Not found"))</f>
        <v>Flow</v>
      </c>
      <c r="C15" s="332" t="str">
        <f>IFERROR(VLOOKUP(A15,'Compartments_Kawecki&amp;Nowack19'!A:C,3,FALSE), IFERROR(VLOOKUP(A15,Compartments_Added!A:C,3,FALSE), "Not found"))</f>
        <v>AgriMulching</v>
      </c>
      <c r="D15" s="95" t="str">
        <f>IFERROR(IF(VLOOKUP(A15,'Compartments_Kawecki&amp;Nowack19'!A:C,1,FALSE)=A15, "Kawecki","what?"),"Added/changed")</f>
        <v>Added/changed</v>
      </c>
      <c r="F15" s="17"/>
      <c r="G15" s="493" t="str">
        <v>Agrotextiles</v>
      </c>
      <c r="H15" s="310" t="str">
        <v>Agricultural greenhouse films (discarded)</v>
      </c>
      <c r="I15" s="498" t="str">
        <v>Agricultural greenhouse films (discarded)</v>
      </c>
      <c r="J15">
        <v>0</v>
      </c>
    </row>
    <row r="16" spans="1:11" ht="15" thickBot="1">
      <c r="A16" s="74" t="str">
        <v>Agricultural other</v>
      </c>
      <c r="B16" s="332" t="str">
        <f>IFERROR(VLOOKUP(A16,'Compartments_Kawecki&amp;Nowack19'!A:C,2,FALSE), IFERROR(VLOOKUP(A16,Compartments_Added!A:C,2,FALSE), "Not found"))</f>
        <v>Flow</v>
      </c>
      <c r="C16" s="332" t="str">
        <f>IFERROR(VLOOKUP(A16,'Compartments_Kawecki&amp;Nowack19'!A:C,3,FALSE), IFERROR(VLOOKUP(A16,Compartments_Added!A:C,3,FALSE), "Not found"))</f>
        <v>AgriculturalOther</v>
      </c>
      <c r="D16" s="95" t="str">
        <f>IFERROR(IF(VLOOKUP(A16,'Compartments_Kawecki&amp;Nowack19'!A:C,1,FALSE)=A16, "Kawecki","what?"),"Added/changed")</f>
        <v>Kawecki</v>
      </c>
      <c r="F16" s="17"/>
      <c r="G16" s="493" t="str">
        <v>Agrotextiles (discarded)</v>
      </c>
      <c r="H16" s="310" t="str">
        <v>Agricultural greenhouse films (in use)</v>
      </c>
      <c r="I16" s="498" t="str">
        <v>Agricultural greenhouse films (in use)</v>
      </c>
      <c r="J16">
        <v>0</v>
      </c>
    </row>
    <row r="17" spans="1:10" ht="15" thickBot="1">
      <c r="A17" s="74" t="str">
        <v>Agricultural packaging bottles</v>
      </c>
      <c r="B17" s="332" t="str">
        <f>IFERROR(VLOOKUP(A17,'Compartments_Kawecki&amp;Nowack19'!A:C,2,FALSE), IFERROR(VLOOKUP(A17,Compartments_Added!A:C,2,FALSE), "Not found"))</f>
        <v>Stock</v>
      </c>
      <c r="C17" s="332" t="str">
        <f>IFERROR(VLOOKUP(A17,'Compartments_Kawecki&amp;Nowack19'!A:C,3,FALSE), IFERROR(VLOOKUP(A17,Compartments_Added!A:C,3,FALSE), "Not found"))</f>
        <v>AgriculturalPackagingBottles</v>
      </c>
      <c r="D17" s="95" t="str">
        <f>IFERROR(IF(VLOOKUP(A17,'Compartments_Kawecki&amp;Nowack19'!A:C,1,FALSE)=A17, "Kawecki","what?"),"Added/changed")</f>
        <v>Kawecki</v>
      </c>
      <c r="F17" s="17"/>
      <c r="G17" s="493" t="str">
        <v>Agrotextiles (in use)</v>
      </c>
      <c r="H17" s="310" t="str">
        <v>Agricultural mulching films</v>
      </c>
      <c r="I17" s="498" t="str">
        <v>Agricultural mulching films</v>
      </c>
      <c r="J17">
        <v>0</v>
      </c>
    </row>
    <row r="18" spans="1:10" ht="15" thickBot="1">
      <c r="A18" s="74" t="str">
        <v>Agricultural packaging films</v>
      </c>
      <c r="B18" s="332" t="str">
        <f>IFERROR(VLOOKUP(A18,'Compartments_Kawecki&amp;Nowack19'!A:C,2,FALSE), IFERROR(VLOOKUP(A18,Compartments_Added!A:C,2,FALSE), "Not found"))</f>
        <v>Stock</v>
      </c>
      <c r="C18" s="332" t="str">
        <f>IFERROR(VLOOKUP(A18,'Compartments_Kawecki&amp;Nowack19'!A:C,3,FALSE), IFERROR(VLOOKUP(A18,Compartments_Added!A:C,3,FALSE), "Not found"))</f>
        <v>AgriculturalPackagingFilms</v>
      </c>
      <c r="D18" s="95" t="str">
        <f>IFERROR(IF(VLOOKUP(A18,'Compartments_Kawecki&amp;Nowack19'!A:C,1,FALSE)=A18, "Kawecki","what?"),"Added/changed")</f>
        <v>Kawecki</v>
      </c>
      <c r="F18" s="17"/>
      <c r="G18" s="493" t="str">
        <v>Apparel accessories</v>
      </c>
      <c r="H18" s="310" t="str">
        <v>Agricultural other</v>
      </c>
      <c r="I18" s="498" t="str">
        <v>Agricultural other</v>
      </c>
      <c r="J18">
        <v>0</v>
      </c>
    </row>
    <row r="19" spans="1:10" ht="15" thickBot="1">
      <c r="A19" s="74" t="str">
        <v>Agricultural pipes (discarded)</v>
      </c>
      <c r="B19" s="332" t="str">
        <f>IFERROR(VLOOKUP(A19,'Compartments_Kawecki&amp;Nowack19'!A:C,2,FALSE), IFERROR(VLOOKUP(A19,Compartments_Added!A:C,2,FALSE), "Not found"))</f>
        <v>Stock</v>
      </c>
      <c r="C19" s="332" t="str">
        <f>IFERROR(VLOOKUP(A19,'Compartments_Kawecki&amp;Nowack19'!A:C,3,FALSE), IFERROR(VLOOKUP(A19,Compartments_Added!A:C,3,FALSE), "Not found"))</f>
        <v>AgriculturalPipesDis</v>
      </c>
      <c r="D19" s="95" t="str">
        <f>IFERROR(IF(VLOOKUP(A19,'Compartments_Kawecki&amp;Nowack19'!A:C,1,FALSE)=A19, "Kawecki","what?"),"Added/changed")</f>
        <v>Added/changed</v>
      </c>
      <c r="F19" s="17"/>
      <c r="G19" s="493" t="str">
        <v>Boots</v>
      </c>
      <c r="H19" s="310" t="str">
        <v>Agricultural pipes (discarded)</v>
      </c>
      <c r="I19" s="498" t="str">
        <v>Agricultural packaging bottles</v>
      </c>
      <c r="J19">
        <v>0</v>
      </c>
    </row>
    <row r="20" spans="1:10" ht="15" thickBot="1">
      <c r="A20" s="74" t="str">
        <v>Agricultural pipes (in use)</v>
      </c>
      <c r="B20" s="332" t="str">
        <f>IFERROR(VLOOKUP(A20,'Compartments_Kawecki&amp;Nowack19'!A:C,2,FALSE), IFERROR(VLOOKUP(A20,Compartments_Added!A:C,2,FALSE), "Not found"))</f>
        <v>Stock</v>
      </c>
      <c r="C20" s="332" t="str">
        <f>IFERROR(VLOOKUP(A20,'Compartments_Kawecki&amp;Nowack19'!A:C,3,FALSE), IFERROR(VLOOKUP(A20,Compartments_Added!A:C,3,FALSE), "Not found"))</f>
        <v>AgriculturalPipesIU</v>
      </c>
      <c r="D20" s="95" t="str">
        <f>IFERROR(IF(VLOOKUP(A20,'Compartments_Kawecki&amp;Nowack19'!A:C,1,FALSE)=A20, "Kawecki","what?"),"Added/changed")</f>
        <v>Added/changed</v>
      </c>
      <c r="F20" s="17"/>
      <c r="G20" s="493" t="str">
        <v>Building packaging films</v>
      </c>
      <c r="H20" s="310" t="str">
        <v>Agricultural pipes (in use)</v>
      </c>
      <c r="I20" s="498" t="str">
        <v>Agricultural packaging films</v>
      </c>
      <c r="J20">
        <v>0</v>
      </c>
    </row>
    <row r="21" spans="1:10" ht="15" thickBot="1">
      <c r="A21" s="74" t="str">
        <v>Agricultural plastic recycling</v>
      </c>
      <c r="B21" s="332" t="str">
        <f>IFERROR(VLOOKUP(A21,'Compartments_Kawecki&amp;Nowack19'!A:C,2,FALSE), IFERROR(VLOOKUP(A21,Compartments_Added!A:C,2,FALSE), "Not found"))</f>
        <v>Flow</v>
      </c>
      <c r="C21" s="332" t="str">
        <f>IFERROR(VLOOKUP(A21,'Compartments_Kawecki&amp;Nowack19'!A:C,3,FALSE), IFERROR(VLOOKUP(A21,Compartments_Added!A:C,3,FALSE), "Not found"))</f>
        <v>AgricultureRecycling</v>
      </c>
      <c r="D21" s="95" t="str">
        <f>IFERROR(IF(VLOOKUP(A21,'Compartments_Kawecki&amp;Nowack19'!A:C,1,FALSE)=A21, "Kawecki","what?"),"Added/changed")</f>
        <v>Kawecki</v>
      </c>
      <c r="F21" s="17"/>
      <c r="G21" s="493" t="str">
        <v>Building textiles</v>
      </c>
      <c r="H21" s="310" t="str">
        <v>Agrotextiles (discarded)</v>
      </c>
      <c r="I21" s="498" t="str">
        <v>Agricultural pipes (discarded)</v>
      </c>
      <c r="J21">
        <v>0</v>
      </c>
    </row>
    <row r="22" spans="1:10" ht="15" thickBot="1">
      <c r="A22" s="74" t="str">
        <v>Agricultural waste collection</v>
      </c>
      <c r="B22" s="332" t="str">
        <f>IFERROR(VLOOKUP(A22,'Compartments_Kawecki&amp;Nowack19'!A:C,2,FALSE), IFERROR(VLOOKUP(A22,Compartments_Added!A:C,2,FALSE), "Not found"))</f>
        <v>Flow</v>
      </c>
      <c r="C22" s="332" t="str">
        <f>IFERROR(VLOOKUP(A22,'Compartments_Kawecki&amp;Nowack19'!A:C,3,FALSE), IFERROR(VLOOKUP(A22,Compartments_Added!A:C,3,FALSE), "Not found"))</f>
        <v>AgricultureCollection</v>
      </c>
      <c r="D22" s="95" t="str">
        <f>IFERROR(IF(VLOOKUP(A22,'Compartments_Kawecki&amp;Nowack19'!A:C,1,FALSE)=A22, "Kawecki","what?"),"Added/changed")</f>
        <v>Kawecki</v>
      </c>
      <c r="F22" s="17"/>
      <c r="G22" s="493" t="str">
        <v>Building textiles (discarded)</v>
      </c>
      <c r="H22" s="310" t="str">
        <v>Agrotextiles (in use)</v>
      </c>
      <c r="I22" s="498" t="str">
        <v>Agricultural pipes (in use)</v>
      </c>
      <c r="J22">
        <v>0</v>
      </c>
    </row>
    <row r="23" spans="1:10" ht="15" thickBot="1">
      <c r="A23" s="74" t="str">
        <v>Agricultural waste collection (micro)</v>
      </c>
      <c r="B23" s="332" t="str">
        <f>IFERROR(VLOOKUP(A23,'Compartments_Kawecki&amp;Nowack19'!A:C,2,FALSE), IFERROR(VLOOKUP(A23,Compartments_Added!A:C,2,FALSE), "Not found"))</f>
        <v>Flow</v>
      </c>
      <c r="C23" s="332" t="str">
        <f>IFERROR(VLOOKUP(A23,'Compartments_Kawecki&amp;Nowack19'!A:C,3,FALSE), IFERROR(VLOOKUP(A23,Compartments_Added!A:C,3,FALSE), "Not found"))</f>
        <v>AgriculturalWasteCollectionMicro</v>
      </c>
      <c r="D23" s="95" t="str">
        <f>IFERROR(IF(VLOOKUP(A23,'Compartments_Kawecki&amp;Nowack19'!A:C,1,FALSE)=A23, "Kawecki","what?"),"Added/changed")</f>
        <v>Added/changed</v>
      </c>
      <c r="F23" s="17"/>
      <c r="G23" s="493" t="str">
        <v>Building textiles (in use)</v>
      </c>
      <c r="H23" s="310" t="str">
        <v>Clothing not washed (in use)</v>
      </c>
      <c r="I23" s="498" t="str">
        <v>Agricultural plastic recycling</v>
      </c>
      <c r="J23">
        <v>0</v>
      </c>
    </row>
    <row r="24" spans="1:10" ht="15" thickBot="1">
      <c r="A24" s="74" t="str">
        <v>Agrotextiles</v>
      </c>
      <c r="B24" s="332" t="str">
        <f>IFERROR(VLOOKUP(A24,'Compartments_Kawecki&amp;Nowack19'!A:C,2,FALSE), IFERROR(VLOOKUP(A24,Compartments_Added!A:C,2,FALSE), "Not found"))</f>
        <v>Flow</v>
      </c>
      <c r="C24" s="332" t="str">
        <f>IFERROR(VLOOKUP(A24,'Compartments_Kawecki&amp;Nowack19'!A:C,3,FALSE), IFERROR(VLOOKUP(A24,Compartments_Added!A:C,3,FALSE), "Not found"))</f>
        <v>Agrotextiles</v>
      </c>
      <c r="D24" s="95" t="str">
        <f>IFERROR(IF(VLOOKUP(A24,'Compartments_Kawecki&amp;Nowack19'!A:C,1,FALSE)=A24, "Kawecki","what?"),"Added/changed")</f>
        <v>Kawecki</v>
      </c>
      <c r="F24" s="17"/>
      <c r="G24" s="493" t="str">
        <v>Clean lint filter by hand</v>
      </c>
      <c r="H24" s="310" t="str">
        <v>Clothing not washed (discarded)</v>
      </c>
      <c r="I24" s="498" t="str">
        <v>Agricultural waste collection</v>
      </c>
      <c r="J24">
        <v>0</v>
      </c>
    </row>
    <row r="25" spans="1:10" ht="15" thickBot="1">
      <c r="A25" s="74" t="str">
        <v>Agrotextiles (discarded)</v>
      </c>
      <c r="B25" s="332" t="str">
        <f>IFERROR(VLOOKUP(A25,'Compartments_Kawecki&amp;Nowack19'!A:C,2,FALSE), IFERROR(VLOOKUP(A25,Compartments_Added!A:C,2,FALSE), "Not found"))</f>
        <v>Stock</v>
      </c>
      <c r="C25" s="332" t="str">
        <f>IFERROR(VLOOKUP(A25,'Compartments_Kawecki&amp;Nowack19'!A:C,3,FALSE), IFERROR(VLOOKUP(A25,Compartments_Added!A:C,3,FALSE), "Not found"))</f>
        <v>AgrotextilesDis</v>
      </c>
      <c r="D25" s="95" t="str">
        <f>IFERROR(IF(VLOOKUP(A25,'Compartments_Kawecki&amp;Nowack19'!A:C,1,FALSE)=A25, "Kawecki","what?"),"Added/changed")</f>
        <v>Added/changed</v>
      </c>
      <c r="F25" s="17"/>
      <c r="G25" s="493" t="str">
        <v>Clean lint filter under running water</v>
      </c>
      <c r="H25" s="310" t="str">
        <v>Mixed waste collection</v>
      </c>
      <c r="I25" s="498" t="str">
        <v>Agricultural waste collection (micro)</v>
      </c>
      <c r="J25">
        <v>0</v>
      </c>
    </row>
    <row r="26" spans="1:10" ht="15" thickBot="1">
      <c r="A26" s="359" t="str">
        <v>Agrotextiles (in use)</v>
      </c>
      <c r="B26" s="332" t="str">
        <f>IFERROR(VLOOKUP(A26,'Compartments_Kawecki&amp;Nowack19'!A:C,2,FALSE), IFERROR(VLOOKUP(A26,Compartments_Added!A:C,2,FALSE), "Not found"))</f>
        <v>Stock</v>
      </c>
      <c r="C26" s="606" t="str">
        <f>IFERROR(VLOOKUP(A26,'Compartments_Kawecki&amp;Nowack19'!A:C,3,FALSE), IFERROR(VLOOKUP(A26,Compartments_Added!A:C,3,FALSE), "Not found"))</f>
        <v>AgrotextilesIU</v>
      </c>
      <c r="D26" s="95" t="str">
        <f>IFERROR(IF(VLOOKUP(A26,'Compartments_Kawecki&amp;Nowack19'!A:C,1,FALSE)=A26, "Kawecki","what?"),"Added/changed")</f>
        <v>Added/changed</v>
      </c>
      <c r="F26" s="17"/>
      <c r="G26" s="493" t="str">
        <v>Closed-toed shoes</v>
      </c>
      <c r="H26" s="310" t="str">
        <v>Footwear waste collection</v>
      </c>
      <c r="I26" s="498" t="str">
        <v>Agrotextiles</v>
      </c>
      <c r="J26">
        <v>0</v>
      </c>
    </row>
    <row r="27" spans="1:10" ht="15" thickBot="1">
      <c r="A27" s="359" t="str">
        <v>Apparel accessories</v>
      </c>
      <c r="B27" s="332" t="str">
        <f>IFERROR(VLOOKUP(A27,'Compartments_Kawecki&amp;Nowack19'!A:C,2,FALSE), IFERROR(VLOOKUP(A27,Compartments_Added!A:C,2,FALSE), "Not found"))</f>
        <v>Stock</v>
      </c>
      <c r="C27" s="606" t="str">
        <f>IFERROR(VLOOKUP(A27,'Compartments_Kawecki&amp;Nowack19'!A:C,3,FALSE), IFERROR(VLOOKUP(A27,Compartments_Added!A:C,3,FALSE), "Not found"))</f>
        <v>ApparelAccessories</v>
      </c>
      <c r="D27" s="95" t="str">
        <f>IFERROR(IF(VLOOKUP(A27,'Compartments_Kawecki&amp;Nowack19'!A:C,1,FALSE)=A27, "Kawecki","what?"),"Added/changed")</f>
        <v>Added/changed</v>
      </c>
      <c r="F27" s="17"/>
      <c r="G27" s="493" t="str">
        <v>Clothing (product sector)</v>
      </c>
      <c r="H27" s="310" t="str">
        <v>Footwear wearing (soles)</v>
      </c>
      <c r="I27" s="498" t="str">
        <v>Agrotextiles (discarded)</v>
      </c>
      <c r="J27">
        <v>0</v>
      </c>
    </row>
    <row r="28" spans="1:10" ht="15" thickBot="1">
      <c r="A28" s="359" t="str">
        <v>Boots</v>
      </c>
      <c r="B28" s="332" t="str">
        <f>IFERROR(VLOOKUP(A28,'Compartments_Kawecki&amp;Nowack19'!A:C,2,FALSE), IFERROR(VLOOKUP(A28,Compartments_Added!A:C,2,FALSE), "Not found"))</f>
        <v>Stock</v>
      </c>
      <c r="C28" s="332" t="str">
        <f>IFERROR(VLOOKUP(A28,'Compartments_Kawecki&amp;Nowack19'!A:C,3,FALSE), IFERROR(VLOOKUP(A28,Compartments_Added!A:C,3,FALSE), "Not found"))</f>
        <v>Boots</v>
      </c>
      <c r="D28" s="95" t="str">
        <f>IFERROR(IF(VLOOKUP(A28,'Compartments_Kawecki&amp;Nowack19'!A:C,1,FALSE)=A28, "Kawecki","what?"),"Added/changed")</f>
        <v>Added/changed</v>
      </c>
      <c r="F28" s="17"/>
      <c r="G28" s="493" t="str">
        <v>Clothing drying</v>
      </c>
      <c r="H28" s="310" t="str">
        <v>Footwear wearing (uppers)</v>
      </c>
      <c r="I28" s="498" t="str">
        <v>Agrotextiles (in use)</v>
      </c>
      <c r="J28">
        <v>0</v>
      </c>
    </row>
    <row r="29" spans="1:10" ht="15" thickBot="1">
      <c r="A29" s="74" t="str">
        <v>Building packaging films</v>
      </c>
      <c r="B29" s="332" t="str">
        <f>IFERROR(VLOOKUP(A29,'Compartments_Kawecki&amp;Nowack19'!A:C,2,FALSE), IFERROR(VLOOKUP(A29,Compartments_Added!A:C,2,FALSE), "Not found"))</f>
        <v>Flow</v>
      </c>
      <c r="C29" s="332" t="str">
        <f>IFERROR(VLOOKUP(A29,'Compartments_Kawecki&amp;Nowack19'!A:C,3,FALSE), IFERROR(VLOOKUP(A29,Compartments_Added!A:C,3,FALSE), "Not found"))</f>
        <v>BuildingPackagingFilms</v>
      </c>
      <c r="D29" s="95" t="str">
        <f>IFERROR(IF(VLOOKUP(A29,'Compartments_Kawecki&amp;Nowack19'!A:C,1,FALSE)=A29, "Kawecki","what?"),"Added/changed")</f>
        <v>Kawecki</v>
      </c>
      <c r="F29" s="17"/>
      <c r="G29" s="493" t="str">
        <v>Clothing drying CHETD</v>
      </c>
      <c r="H29" s="310" t="str">
        <v>Construction and demolition incinerable waste collection</v>
      </c>
      <c r="I29" s="498" t="str">
        <v>Apparel accessories</v>
      </c>
      <c r="J29">
        <v>0</v>
      </c>
    </row>
    <row r="30" spans="1:10" ht="15" thickBot="1">
      <c r="A30" s="74" t="str">
        <v>Building textiles</v>
      </c>
      <c r="B30" s="332" t="str">
        <f>IFERROR(VLOOKUP(A30,'Compartments_Kawecki&amp;Nowack19'!A:C,2,FALSE), IFERROR(VLOOKUP(A30,Compartments_Added!A:C,2,FALSE), "Not found"))</f>
        <v>Flow</v>
      </c>
      <c r="C30" s="332" t="str">
        <f>IFERROR(VLOOKUP(A30,'Compartments_Kawecki&amp;Nowack19'!A:C,3,FALSE), IFERROR(VLOOKUP(A30,Compartments_Added!A:C,3,FALSE), "Not found"))</f>
        <v>BuildingTextiles</v>
      </c>
      <c r="D30" s="95" t="str">
        <f>IFERROR(IF(VLOOKUP(A30,'Compartments_Kawecki&amp;Nowack19'!A:C,1,FALSE)=A30, "Kawecki","what?"),"Added/changed")</f>
        <v>Kawecki</v>
      </c>
      <c r="F30" s="17"/>
      <c r="G30" s="493" t="str">
        <v>Clothing drying CHPTD</v>
      </c>
      <c r="H30" s="310" t="str">
        <v>Litter in residential environments</v>
      </c>
      <c r="I30" s="498" t="str">
        <v>Boots</v>
      </c>
      <c r="J30">
        <v>0</v>
      </c>
    </row>
    <row r="31" spans="1:10" ht="15" thickBot="1">
      <c r="A31" s="74" t="str">
        <v>Building textiles (discarded)</v>
      </c>
      <c r="B31" s="332" t="str">
        <f>IFERROR(VLOOKUP(A31,'Compartments_Kawecki&amp;Nowack19'!A:C,2,FALSE), IFERROR(VLOOKUP(A31,Compartments_Added!A:C,2,FALSE), "Not found"))</f>
        <v>Stock</v>
      </c>
      <c r="C31" s="332" t="str">
        <f>IFERROR(VLOOKUP(A31,'Compartments_Kawecki&amp;Nowack19'!A:C,3,FALSE), IFERROR(VLOOKUP(A31,Compartments_Added!A:C,3,FALSE), "Not found"))</f>
        <v>BuildingTextilesDis</v>
      </c>
      <c r="D31" s="95" t="str">
        <f>IFERROR(IF(VLOOKUP(A31,'Compartments_Kawecki&amp;Nowack19'!A:C,1,FALSE)=A31, "Kawecki","what?"),"Added/changed")</f>
        <v>Added/changed</v>
      </c>
      <c r="F31" s="17"/>
      <c r="G31" s="493" t="str">
        <v>Clothing drying VTD</v>
      </c>
      <c r="H31" s="310" t="str">
        <v>Building textiles (discarded)</v>
      </c>
      <c r="I31" s="498" t="str">
        <v>Building packaging films</v>
      </c>
      <c r="J31" t="str">
        <v>Agricultural greenhouse films (discarded)</v>
      </c>
    </row>
    <row r="32" spans="1:10" ht="15" thickBot="1">
      <c r="A32" s="74" t="str">
        <v>Building textiles (in use)</v>
      </c>
      <c r="B32" s="332" t="str">
        <f>IFERROR(VLOOKUP(A32,'Compartments_Kawecki&amp;Nowack19'!A:C,2,FALSE), IFERROR(VLOOKUP(A32,Compartments_Added!A:C,2,FALSE), "Not found"))</f>
        <v>Stock</v>
      </c>
      <c r="C32" s="332" t="str">
        <f>IFERROR(VLOOKUP(A32,'Compartments_Kawecki&amp;Nowack19'!A:C,3,FALSE), IFERROR(VLOOKUP(A32,Compartments_Added!A:C,3,FALSE), "Not found"))</f>
        <v>BuildingTextilesIU</v>
      </c>
      <c r="D32" s="95" t="str">
        <f>IFERROR(IF(VLOOKUP(A32,'Compartments_Kawecki&amp;Nowack19'!A:C,1,FALSE)=A32, "Kawecki","what?"),"Added/changed")</f>
        <v>Added/changed</v>
      </c>
      <c r="F32" s="17"/>
      <c r="G32" s="493" t="str">
        <v>Clothing indoor drying</v>
      </c>
      <c r="H32" s="310" t="str">
        <v>Building textiles (in use)</v>
      </c>
      <c r="I32" s="498" t="str">
        <v>Building textiles</v>
      </c>
      <c r="J32" t="str">
        <v>Agricultural greenhouse films (in use)</v>
      </c>
    </row>
    <row r="33" spans="1:10" ht="15" thickBot="1">
      <c r="A33" s="74" t="str">
        <v>Clean lint filter by hand</v>
      </c>
      <c r="B33" s="332" t="str">
        <f>IFERROR(VLOOKUP(A33,'Compartments_Kawecki&amp;Nowack19'!A:C,2,FALSE), IFERROR(VLOOKUP(A33,Compartments_Added!A:C,2,FALSE), "Not found"))</f>
        <v>Flow</v>
      </c>
      <c r="C33" s="332" t="str">
        <f>IFERROR(VLOOKUP(A33,'Compartments_Kawecki&amp;Nowack19'!A:C,3,FALSE), IFERROR(VLOOKUP(A33,Compartments_Added!A:C,3,FALSE), "Not found"))</f>
        <v>CleanByFilterByHand</v>
      </c>
      <c r="D33" s="95" t="str">
        <f>IFERROR(IF(VLOOKUP(A33,'Compartments_Kawecki&amp;Nowack19'!A:C,1,FALSE)=A33, "Kawecki","what?"),"Added/changed")</f>
        <v>Added/changed</v>
      </c>
      <c r="F33" s="17"/>
      <c r="G33" s="493" t="str">
        <v>Clothing not washed (discarded)</v>
      </c>
      <c r="H33" s="310" t="str">
        <v>Mixed waste collection (micro)</v>
      </c>
      <c r="I33" s="498" t="str">
        <v>Building textiles (discarded)</v>
      </c>
      <c r="J33" t="str">
        <v>Agricultural mulching films</v>
      </c>
    </row>
    <row r="34" spans="1:10" ht="15" thickBot="1">
      <c r="A34" s="74" t="str">
        <v>Clean lint filter under running water</v>
      </c>
      <c r="B34" s="332" t="str">
        <f>IFERROR(VLOOKUP(A34,'Compartments_Kawecki&amp;Nowack19'!A:C,2,FALSE), IFERROR(VLOOKUP(A34,Compartments_Added!A:C,2,FALSE), "Not found"))</f>
        <v>Flow</v>
      </c>
      <c r="C34" s="332" t="str">
        <f>IFERROR(VLOOKUP(A34,'Compartments_Kawecki&amp;Nowack19'!A:C,3,FALSE), IFERROR(VLOOKUP(A34,Compartments_Added!A:C,3,FALSE), "Not found"))</f>
        <v>CleanRunningUnderRunningWater</v>
      </c>
      <c r="D34" s="95" t="str">
        <f>IFERROR(IF(VLOOKUP(A34,'Compartments_Kawecki&amp;Nowack19'!A:C,1,FALSE)=A34, "Kawecki","what?"),"Added/changed")</f>
        <v>Added/changed</v>
      </c>
      <c r="F34" s="17"/>
      <c r="G34" s="493" t="str">
        <v>Clothing not washed (in use)</v>
      </c>
      <c r="H34" s="310" t="str">
        <v>Indoor air (micro)</v>
      </c>
      <c r="I34" s="498" t="str">
        <v>Building textiles (in use)</v>
      </c>
      <c r="J34" t="str">
        <v>Agricultural other</v>
      </c>
    </row>
    <row r="35" spans="1:10" ht="15" thickBot="1">
      <c r="A35" s="74" t="str">
        <v>Closed-toed shoes</v>
      </c>
      <c r="B35" s="332" t="str">
        <f>IFERROR(VLOOKUP(A35,'Compartments_Kawecki&amp;Nowack19'!A:C,2,FALSE), IFERROR(VLOOKUP(A35,Compartments_Added!A:C,2,FALSE), "Not found"))</f>
        <v>Stock</v>
      </c>
      <c r="C35" s="332" t="str">
        <f>IFERROR(VLOOKUP(A35,'Compartments_Kawecki&amp;Nowack19'!A:C,3,FALSE), IFERROR(VLOOKUP(A35,Compartments_Added!A:C,3,FALSE), "Not found"))</f>
        <v>CloseToedShoes</v>
      </c>
      <c r="D35" s="95" t="str">
        <f>IFERROR(IF(VLOOKUP(A35,'Compartments_Kawecki&amp;Nowack19'!A:C,1,FALSE)=A35, "Kawecki","what?"),"Added/changed")</f>
        <v>Added/changed</v>
      </c>
      <c r="F35" s="17"/>
      <c r="G35" s="493" t="str">
        <v>Clothing outdoor drying</v>
      </c>
      <c r="H35" s="310" t="str">
        <v>Wastewater (micro)</v>
      </c>
      <c r="I35" s="498" t="str">
        <v>Clean lint filter by hand</v>
      </c>
      <c r="J35" t="str">
        <v>Agricultural packaging bottles</v>
      </c>
    </row>
    <row r="36" spans="1:10" ht="15" thickBot="1">
      <c r="A36" s="74" t="str">
        <v>Clothing (product sector)</v>
      </c>
      <c r="B36" s="332" t="str">
        <f>IFERROR(VLOOKUP(A36,'Compartments_Kawecki&amp;Nowack19'!A:C,2,FALSE), IFERROR(VLOOKUP(A36,Compartments_Added!A:C,2,FALSE), "Not found"))</f>
        <v>Flow</v>
      </c>
      <c r="C36" s="332" t="str">
        <f>IFERROR(VLOOKUP(A36,'Compartments_Kawecki&amp;Nowack19'!A:C,3,FALSE), IFERROR(VLOOKUP(A36,Compartments_Added!A:C,3,FALSE), "Not found"))</f>
        <v>ClothingProdSec</v>
      </c>
      <c r="D36" s="95" t="str">
        <f>IFERROR(IF(VLOOKUP(A36,'Compartments_Kawecki&amp;Nowack19'!A:C,1,FALSE)=A36, "Kawecki","what?"),"Added/changed")</f>
        <v>Kawecki</v>
      </c>
      <c r="F36" s="17"/>
      <c r="G36" s="493" t="str">
        <v>Clothing rarely washed (discarded)</v>
      </c>
      <c r="H36" s="310" t="str">
        <v>Clothing washing</v>
      </c>
      <c r="I36" s="498" t="str">
        <v>Clean lint filter under running water</v>
      </c>
      <c r="J36" t="str">
        <v>Agricultural packaging films</v>
      </c>
    </row>
    <row r="37" spans="1:10" ht="15" thickBot="1">
      <c r="A37" s="74" t="str">
        <v>Clothing drying</v>
      </c>
      <c r="B37" s="332" t="str">
        <f>IFERROR(VLOOKUP(A37,'Compartments_Kawecki&amp;Nowack19'!A:C,2,FALSE), IFERROR(VLOOKUP(A37,Compartments_Added!A:C,2,FALSE), "Not found"))</f>
        <v>Flow</v>
      </c>
      <c r="C37" s="332" t="str">
        <f>IFERROR(VLOOKUP(A37,'Compartments_Kawecki&amp;Nowack19'!A:C,3,FALSE), IFERROR(VLOOKUP(A37,Compartments_Added!A:C,3,FALSE), "Not found"))</f>
        <v>ClothingDrying</v>
      </c>
      <c r="D37" s="95" t="str">
        <f>IFERROR(IF(VLOOKUP(A37,'Compartments_Kawecki&amp;Nowack19'!A:C,1,FALSE)=A37, "Kawecki","what?"),"Added/changed")</f>
        <v>Added/changed</v>
      </c>
      <c r="F37" s="17"/>
      <c r="G37" s="493" t="str">
        <v>Clothing rarely washed (in use)</v>
      </c>
      <c r="H37" s="310" t="str">
        <v>Apparel accessories</v>
      </c>
      <c r="I37" s="498" t="str">
        <v>Closed-toed shoes</v>
      </c>
      <c r="J37" t="str">
        <v>Agricultural pipes (discarded)</v>
      </c>
    </row>
    <row r="38" spans="1:10" ht="15" thickBot="1">
      <c r="A38" s="74" t="str">
        <v>Clothing drying CHETD</v>
      </c>
      <c r="B38" s="332" t="str">
        <f>IFERROR(VLOOKUP(A38,'Compartments_Kawecki&amp;Nowack19'!A:C,2,FALSE), IFERROR(VLOOKUP(A38,Compartments_Added!A:C,2,FALSE), "Not found"))</f>
        <v>Flow</v>
      </c>
      <c r="C38" s="332" t="str">
        <f>IFERROR(VLOOKUP(A38,'Compartments_Kawecki&amp;Nowack19'!A:C,3,FALSE), IFERROR(VLOOKUP(A38,Compartments_Added!A:C,3,FALSE), "Not found"))</f>
        <v>ClothDryingCHETD</v>
      </c>
      <c r="D38" s="95" t="str">
        <f>IFERROR(IF(VLOOKUP(A38,'Compartments_Kawecki&amp;Nowack19'!A:C,1,FALSE)=A38, "Kawecki","what?"),"Added/changed")</f>
        <v>Added/changed</v>
      </c>
      <c r="F38" s="17"/>
      <c r="G38" s="493" t="str">
        <v>Clothing washed (discarded)</v>
      </c>
      <c r="H38" s="310" t="str">
        <v>Boots</v>
      </c>
      <c r="I38" s="498" t="str">
        <v>Clothing (product sector)</v>
      </c>
      <c r="J38" t="str">
        <v>Agricultural pipes (in use)</v>
      </c>
    </row>
    <row r="39" spans="1:10" ht="15" thickBot="1">
      <c r="A39" s="74" t="str">
        <v>Clothing drying CHPTD</v>
      </c>
      <c r="B39" s="332" t="str">
        <f>IFERROR(VLOOKUP(A39,'Compartments_Kawecki&amp;Nowack19'!A:C,2,FALSE), IFERROR(VLOOKUP(A39,Compartments_Added!A:C,2,FALSE), "Not found"))</f>
        <v>Flow</v>
      </c>
      <c r="C39" s="332" t="str">
        <f>IFERROR(VLOOKUP(A39,'Compartments_Kawecki&amp;Nowack19'!A:C,3,FALSE), IFERROR(VLOOKUP(A39,Compartments_Added!A:C,3,FALSE), "Not found"))</f>
        <v>ClothDryingCHPTD</v>
      </c>
      <c r="D39" s="95" t="str">
        <f>IFERROR(IF(VLOOKUP(A39,'Compartments_Kawecki&amp;Nowack19'!A:C,1,FALSE)=A39, "Kawecki","what?"),"Added/changed")</f>
        <v>Added/changed</v>
      </c>
      <c r="F39" s="17"/>
      <c r="G39" s="493" t="str">
        <v>Clothing washed (in use)</v>
      </c>
      <c r="H39" s="310" t="str">
        <v>Closed-toed shoes</v>
      </c>
      <c r="I39" s="498" t="str">
        <v>Clothing drying</v>
      </c>
      <c r="J39" t="str">
        <v>Agricultural plastic recycling</v>
      </c>
    </row>
    <row r="40" spans="1:10" ht="15" thickBot="1">
      <c r="A40" s="74" t="str">
        <v>Clothing drying VTD</v>
      </c>
      <c r="B40" s="332" t="str">
        <f>IFERROR(VLOOKUP(A40,'Compartments_Kawecki&amp;Nowack19'!A:C,2,FALSE), IFERROR(VLOOKUP(A40,Compartments_Added!A:C,2,FALSE), "Not found"))</f>
        <v>Flow</v>
      </c>
      <c r="C40" s="332" t="str">
        <f>IFERROR(VLOOKUP(A40,'Compartments_Kawecki&amp;Nowack19'!A:C,3,FALSE), IFERROR(VLOOKUP(A40,Compartments_Added!A:C,3,FALSE), "Not found"))</f>
        <v>ClothDryingVTD</v>
      </c>
      <c r="D40" s="95" t="str">
        <f>IFERROR(IF(VLOOKUP(A40,'Compartments_Kawecki&amp;Nowack19'!A:C,1,FALSE)=A40, "Kawecki","what?"),"Added/changed")</f>
        <v>Added/changed</v>
      </c>
      <c r="F40" s="17"/>
      <c r="G40" s="493" t="str">
        <v>Clothing washer-dryer combo</v>
      </c>
      <c r="H40" s="310" t="str">
        <v>Dresses skirts and jumpsuits</v>
      </c>
      <c r="I40" s="498" t="str">
        <v>Clothing drying CHETD</v>
      </c>
      <c r="J40" t="str">
        <v>Agricultural waste collection</v>
      </c>
    </row>
    <row r="41" spans="1:10" ht="15" thickBot="1">
      <c r="A41" s="74" t="str">
        <v>Clothing indoor drying</v>
      </c>
      <c r="B41" s="332" t="str">
        <f>IFERROR(VLOOKUP(A41,'Compartments_Kawecki&amp;Nowack19'!A:C,2,FALSE), IFERROR(VLOOKUP(A41,Compartments_Added!A:C,2,FALSE), "Not found"))</f>
        <v>Flow</v>
      </c>
      <c r="C41" s="332" t="str">
        <f>IFERROR(VLOOKUP(A41,'Compartments_Kawecki&amp;Nowack19'!A:C,3,FALSE), IFERROR(VLOOKUP(A41,Compartments_Added!A:C,3,FALSE), "Not found"))</f>
        <v>ClothIndoorDrying</v>
      </c>
      <c r="D41" s="95" t="str">
        <f>IFERROR(IF(VLOOKUP(A41,'Compartments_Kawecki&amp;Nowack19'!A:C,1,FALSE)=A41, "Kawecki","what?"),"Added/changed")</f>
        <v>Added/changed</v>
      </c>
      <c r="F41" s="17"/>
      <c r="G41" s="493" t="str">
        <v>Clothing washing</v>
      </c>
      <c r="H41" s="310" t="str">
        <v>Jackets and coats</v>
      </c>
      <c r="I41" s="498" t="str">
        <v>Clothing drying CHPTD</v>
      </c>
      <c r="J41" t="str">
        <v>Agricultural waste collection (micro)</v>
      </c>
    </row>
    <row r="42" spans="1:10" ht="15" thickBot="1">
      <c r="A42" s="74" t="str">
        <v>Clothing not washed (discarded)</v>
      </c>
      <c r="B42" s="332" t="str">
        <f>IFERROR(VLOOKUP(A42,'Compartments_Kawecki&amp;Nowack19'!A:C,2,FALSE), IFERROR(VLOOKUP(A42,Compartments_Added!A:C,2,FALSE), "Not found"))</f>
        <v>Flow</v>
      </c>
      <c r="C42" s="332" t="str">
        <f>IFERROR(VLOOKUP(A42,'Compartments_Kawecki&amp;Nowack19'!A:C,3,FALSE), IFERROR(VLOOKUP(A42,Compartments_Added!A:C,3,FALSE), "Not found"))</f>
        <v>ClothingNotWashedDiscarded</v>
      </c>
      <c r="D42" s="95" t="str">
        <f>IFERROR(IF(VLOOKUP(A42,'Compartments_Kawecki&amp;Nowack19'!A:C,1,FALSE)=A42, "Kawecki","what?"),"Added/changed")</f>
        <v>Added/changed</v>
      </c>
      <c r="F42" s="17"/>
      <c r="G42" s="493" t="str">
        <v>Clothing washing by hand</v>
      </c>
      <c r="H42" s="310" t="str">
        <v>Leggings stockings tights and socks</v>
      </c>
      <c r="I42" s="498" t="str">
        <v>Clothing drying VTD</v>
      </c>
      <c r="J42" t="str">
        <v>Agriculture</v>
      </c>
    </row>
    <row r="43" spans="1:10" ht="15" thickBot="1">
      <c r="A43" s="74" t="str">
        <v>Clothing not washed (in use)</v>
      </c>
      <c r="B43" s="332" t="str">
        <f>IFERROR(VLOOKUP(A43,'Compartments_Kawecki&amp;Nowack19'!A:C,2,FALSE), IFERROR(VLOOKUP(A43,Compartments_Added!A:C,2,FALSE), "Not found"))</f>
        <v>Flow</v>
      </c>
      <c r="C43" s="332" t="str">
        <f>IFERROR(VLOOKUP(A43,'Compartments_Kawecki&amp;Nowack19'!A:C,3,FALSE), IFERROR(VLOOKUP(A43,Compartments_Added!A:C,3,FALSE), "Not found"))</f>
        <v>ClothingNotWashedInUse</v>
      </c>
      <c r="D43" s="95" t="str">
        <f>IFERROR(IF(VLOOKUP(A43,'Compartments_Kawecki&amp;Nowack19'!A:C,1,FALSE)=A43, "Kawecki","what?"),"Added/changed")</f>
        <v>Added/changed</v>
      </c>
      <c r="F43" s="17"/>
      <c r="G43" s="493" t="str">
        <v>Clothing washing machine (with external filter)</v>
      </c>
      <c r="H43" s="310" t="str">
        <v>Open-toed shoes</v>
      </c>
      <c r="I43" s="498" t="str">
        <v>Clothing indoor drying</v>
      </c>
      <c r="J43" t="str">
        <v>Agrotextiles</v>
      </c>
    </row>
    <row r="44" spans="1:10" ht="15" thickBot="1">
      <c r="A44" s="74" t="str">
        <v>Clothing outdoor drying</v>
      </c>
      <c r="B44" s="332" t="str">
        <f>IFERROR(VLOOKUP(A44,'Compartments_Kawecki&amp;Nowack19'!A:C,2,FALSE), IFERROR(VLOOKUP(A44,Compartments_Added!A:C,2,FALSE), "Not found"))</f>
        <v>Flow</v>
      </c>
      <c r="C44" s="332" t="str">
        <f>IFERROR(VLOOKUP(A44,'Compartments_Kawecki&amp;Nowack19'!A:C,3,FALSE), IFERROR(VLOOKUP(A44,Compartments_Added!A:C,3,FALSE), "Not found"))</f>
        <v>ClothOutdoorDrying</v>
      </c>
      <c r="D44" s="95" t="str">
        <f>IFERROR(IF(VLOOKUP(A44,'Compartments_Kawecki&amp;Nowack19'!A:C,1,FALSE)=A44, "Kawecki","what?"),"Added/changed")</f>
        <v>Added/changed</v>
      </c>
      <c r="F44" s="17"/>
      <c r="G44" s="493" t="str">
        <v>Clothing washing machine (without external filter)</v>
      </c>
      <c r="H44" s="310" t="str">
        <v>Pants and shorts</v>
      </c>
      <c r="I44" s="498" t="str">
        <v>Clothing not washed (discarded)</v>
      </c>
      <c r="J44" t="str">
        <v>Agrotextiles (discarded)</v>
      </c>
    </row>
    <row r="45" spans="1:10" ht="15" thickBot="1">
      <c r="A45" s="74" t="str">
        <v>Clothing rarely washed (discarded)</v>
      </c>
      <c r="B45" s="332" t="str">
        <f>IFERROR(VLOOKUP(A45,'Compartments_Kawecki&amp;Nowack19'!A:C,2,FALSE), IFERROR(VLOOKUP(A45,Compartments_Added!A:C,2,FALSE), "Not found"))</f>
        <v>Flow</v>
      </c>
      <c r="C45" s="332" t="str">
        <f>IFERROR(VLOOKUP(A45,'Compartments_Kawecki&amp;Nowack19'!A:C,3,FALSE), IFERROR(VLOOKUP(A45,Compartments_Added!A:C,3,FALSE), "Not found"))</f>
        <v>ClothingRarelyWashedDiscarded</v>
      </c>
      <c r="D45" s="95" t="str">
        <f>IFERROR(IF(VLOOKUP(A45,'Compartments_Kawecki&amp;Nowack19'!A:C,1,FALSE)=A45, "Kawecki","what?"),"Added/changed")</f>
        <v>Added/changed</v>
      </c>
      <c r="F45" s="17"/>
      <c r="G45" s="493" t="str">
        <v>Clothing waste collection</v>
      </c>
      <c r="H45" s="310" t="str">
        <v>Shirts and blouses</v>
      </c>
      <c r="I45" s="498" t="str">
        <v>Clothing not washed (in use)</v>
      </c>
      <c r="J45" t="str">
        <v>Agrotextiles (in use)</v>
      </c>
    </row>
    <row r="46" spans="1:10" ht="15" thickBot="1">
      <c r="A46" s="74" t="str">
        <v>Clothing rarely washed (in use)</v>
      </c>
      <c r="B46" s="332" t="str">
        <f>IFERROR(VLOOKUP(A46,'Compartments_Kawecki&amp;Nowack19'!A:C,2,FALSE), IFERROR(VLOOKUP(A46,Compartments_Added!A:C,2,FALSE), "Not found"))</f>
        <v>Flow</v>
      </c>
      <c r="C46" s="332" t="str">
        <f>IFERROR(VLOOKUP(A46,'Compartments_Kawecki&amp;Nowack19'!A:C,3,FALSE), IFERROR(VLOOKUP(A46,Compartments_Added!A:C,3,FALSE), "Not found"))</f>
        <v>ClothingRarelyWashedInUse</v>
      </c>
      <c r="D46" s="95" t="str">
        <f>IFERROR(IF(VLOOKUP(A46,'Compartments_Kawecki&amp;Nowack19'!A:C,1,FALSE)=A46, "Kawecki","what?"),"Added/changed")</f>
        <v>Added/changed</v>
      </c>
      <c r="F46" s="17"/>
      <c r="G46" s="493" t="str">
        <v>Clothing wearing</v>
      </c>
      <c r="H46" s="310" t="str">
        <v>Sweaters and midlayers</v>
      </c>
      <c r="I46" s="498" t="str">
        <v>Clothing outdoor drying</v>
      </c>
      <c r="J46" t="str">
        <v>Apparel accessories</v>
      </c>
    </row>
    <row r="47" spans="1:10" ht="15" thickBot="1">
      <c r="A47" s="74" t="str">
        <v>Clothing washed (discarded)</v>
      </c>
      <c r="B47" s="332" t="str">
        <f>IFERROR(VLOOKUP(A47,'Compartments_Kawecki&amp;Nowack19'!A:C,2,FALSE), IFERROR(VLOOKUP(A47,Compartments_Added!A:C,2,FALSE), "Not found"))</f>
        <v>Flow</v>
      </c>
      <c r="C47" s="332" t="str">
        <f>IFERROR(VLOOKUP(A47,'Compartments_Kawecki&amp;Nowack19'!A:C,3,FALSE), IFERROR(VLOOKUP(A47,Compartments_Added!A:C,3,FALSE), "Not found"))</f>
        <v>ClothingWashedDiscarded</v>
      </c>
      <c r="D47" s="95" t="str">
        <f>IFERROR(IF(VLOOKUP(A47,'Compartments_Kawecki&amp;Nowack19'!A:C,1,FALSE)=A47, "Kawecki","what?"),"Added/changed")</f>
        <v>Added/changed</v>
      </c>
      <c r="F47" s="17"/>
      <c r="G47" s="493" t="str">
        <v>Collected organic waste</v>
      </c>
      <c r="H47" s="310" t="str">
        <v>Swimwear</v>
      </c>
      <c r="I47" s="498" t="str">
        <v>Clothing rarely washed (discarded)</v>
      </c>
      <c r="J47" t="str">
        <v>Boots</v>
      </c>
    </row>
    <row r="48" spans="1:10" ht="15" thickBot="1">
      <c r="A48" s="74" t="str">
        <v>Clothing washed (in use)</v>
      </c>
      <c r="B48" s="332" t="str">
        <f>IFERROR(VLOOKUP(A48,'Compartments_Kawecki&amp;Nowack19'!A:C,2,FALSE), IFERROR(VLOOKUP(A48,Compartments_Added!A:C,2,FALSE), "Not found"))</f>
        <v>Flow</v>
      </c>
      <c r="C48" s="332" t="str">
        <f>IFERROR(VLOOKUP(A48,'Compartments_Kawecki&amp;Nowack19'!A:C,3,FALSE), IFERROR(VLOOKUP(A48,Compartments_Added!A:C,3,FALSE), "Not found"))</f>
        <v>ClothingWashedInUse</v>
      </c>
      <c r="D48" s="95" t="str">
        <f>IFERROR(IF(VLOOKUP(A48,'Compartments_Kawecki&amp;Nowack19'!A:C,1,FALSE)=A48, "Kawecki","what?"),"Added/changed")</f>
        <v>Added/changed</v>
      </c>
      <c r="F48" s="17"/>
      <c r="G48" s="493" t="str">
        <v>Collected organic waste (larger than 1 mm)</v>
      </c>
      <c r="H48" s="310" t="str">
        <v>T-shirts</v>
      </c>
      <c r="I48" s="498" t="str">
        <v>Clothing rarely washed (in use)</v>
      </c>
      <c r="J48" t="str">
        <v>Building packaging films</v>
      </c>
    </row>
    <row r="49" spans="1:10" ht="15" thickBot="1">
      <c r="A49" s="74" t="str">
        <v>Clothing washer-dryer combo</v>
      </c>
      <c r="B49" s="332" t="str">
        <f>IFERROR(VLOOKUP(A49,'Compartments_Kawecki&amp;Nowack19'!A:C,2,FALSE), IFERROR(VLOOKUP(A49,Compartments_Added!A:C,2,FALSE), "Not found"))</f>
        <v>Flow</v>
      </c>
      <c r="C49" s="332" t="str">
        <f>IFERROR(VLOOKUP(A49,'Compartments_Kawecki&amp;Nowack19'!A:C,3,FALSE), IFERROR(VLOOKUP(A49,Compartments_Added!A:C,3,FALSE), "Not found"))</f>
        <v>ClothingWasherDryerCombo</v>
      </c>
      <c r="D49" s="95" t="str">
        <f>IFERROR(IF(VLOOKUP(A49,'Compartments_Kawecki&amp;Nowack19'!A:C,1,FALSE)=A49, "Kawecki","what?"),"Added/changed")</f>
        <v>Added/changed</v>
      </c>
      <c r="F49" s="17"/>
      <c r="G49" s="493" t="str">
        <v>Collected organic waste (smaller than 1 mm)</v>
      </c>
      <c r="H49" s="310" t="str">
        <v>Underwear</v>
      </c>
      <c r="I49" s="498" t="str">
        <v>Clothing washed (discarded)</v>
      </c>
      <c r="J49" t="str">
        <v>Building textiles</v>
      </c>
    </row>
    <row r="50" spans="1:10" ht="15" thickBot="1">
      <c r="A50" s="74" t="str">
        <v>Clothing washing</v>
      </c>
      <c r="B50" s="332" t="str">
        <f>IFERROR(VLOOKUP(A50,'Compartments_Kawecki&amp;Nowack19'!A:C,2,FALSE), IFERROR(VLOOKUP(A50,Compartments_Added!A:C,2,FALSE), "Not found"))</f>
        <v>Flow</v>
      </c>
      <c r="C50" s="332" t="str">
        <f>IFERROR(VLOOKUP(A50,'Compartments_Kawecki&amp;Nowack19'!A:C,3,FALSE), IFERROR(VLOOKUP(A50,Compartments_Added!A:C,3,FALSE), "Not found"))</f>
        <v>ClothingWashing</v>
      </c>
      <c r="D50" s="95" t="str">
        <f>IFERROR(IF(VLOOKUP(A50,'Compartments_Kawecki&amp;Nowack19'!A:C,1,FALSE)=A50, "Kawecki","what?"),"Added/changed")</f>
        <v>Added/changed</v>
      </c>
      <c r="F50" s="17"/>
      <c r="G50" s="493" t="str">
        <v>Combined sewer overflow (macro)</v>
      </c>
      <c r="H50" s="310" t="str">
        <v>Clothing indoor drying</v>
      </c>
      <c r="I50" s="498" t="str">
        <v>Clothing washed (in use)</v>
      </c>
      <c r="J50" t="str">
        <v>Building textiles (discarded)</v>
      </c>
    </row>
    <row r="51" spans="1:10" ht="15" thickBot="1">
      <c r="A51" s="359" t="str">
        <v>Clothing washing by hand</v>
      </c>
      <c r="B51" s="332" t="str">
        <f>IFERROR(VLOOKUP(A51,'Compartments_Kawecki&amp;Nowack19'!A:C,2,FALSE), IFERROR(VLOOKUP(A51,Compartments_Added!A:C,2,FALSE), "Not found"))</f>
        <v>Flow</v>
      </c>
      <c r="C51" s="332" t="str">
        <f>IFERROR(VLOOKUP(A51,'Compartments_Kawecki&amp;Nowack19'!A:C,3,FALSE), IFERROR(VLOOKUP(A51,Compartments_Added!A:C,3,FALSE), "Not found"))</f>
        <v>ClothingByWashingByHand</v>
      </c>
      <c r="D51" s="95" t="str">
        <f>IFERROR(IF(VLOOKUP(A51,'Compartments_Kawecki&amp;Nowack19'!A:C,1,FALSE)=A51, "Kawecki","what?"),"Added/changed")</f>
        <v>Added/changed</v>
      </c>
      <c r="F51" s="17"/>
      <c r="G51" s="493" t="str">
        <v>Combined sewer overflow (micro)</v>
      </c>
      <c r="H51" s="310" t="str">
        <v>Clothing outdoor drying</v>
      </c>
      <c r="I51" s="498" t="str">
        <v>Clothing washer-dryer combo</v>
      </c>
      <c r="J51" t="str">
        <v>Building textiles (in use)</v>
      </c>
    </row>
    <row r="52" spans="1:10" ht="15" thickBot="1">
      <c r="A52" s="74" t="str">
        <v>Clothing washing machine (with external filter)</v>
      </c>
      <c r="B52" s="332" t="str">
        <f>IFERROR(VLOOKUP(A52,'Compartments_Kawecki&amp;Nowack19'!A:C,2,FALSE), IFERROR(VLOOKUP(A52,Compartments_Added!A:C,2,FALSE), "Not found"))</f>
        <v>Flow</v>
      </c>
      <c r="C52" s="332" t="str">
        <f>IFERROR(VLOOKUP(A52,'Compartments_Kawecki&amp;Nowack19'!A:C,3,FALSE), IFERROR(VLOOKUP(A52,Compartments_Added!A:C,3,FALSE), "Not found"))</f>
        <v>ClothingExternalWithExternalFilter</v>
      </c>
      <c r="D52" s="95" t="str">
        <f>IFERROR(IF(VLOOKUP(A52,'Compartments_Kawecki&amp;Nowack19'!A:C,1,FALSE)=A52, "Kawecki","what?"),"Added/changed")</f>
        <v>Added/changed</v>
      </c>
      <c r="F52" s="17"/>
      <c r="G52" s="493" t="str">
        <v>Compost (macro)</v>
      </c>
      <c r="H52" s="310" t="str">
        <v>Clothing drying VTD</v>
      </c>
      <c r="I52" s="498" t="str">
        <v>Clothing washing</v>
      </c>
      <c r="J52" t="str">
        <v>Clean lint filter by hand</v>
      </c>
    </row>
    <row r="53" spans="1:10" ht="15" thickBot="1">
      <c r="A53" s="74" t="str">
        <v>Clothing washing machine (without external filter)</v>
      </c>
      <c r="B53" s="332" t="str">
        <f>IFERROR(VLOOKUP(A53,'Compartments_Kawecki&amp;Nowack19'!A:C,2,FALSE), IFERROR(VLOOKUP(A53,Compartments_Added!A:C,2,FALSE), "Not found"))</f>
        <v>Flow</v>
      </c>
      <c r="C53" s="332" t="str">
        <f>IFERROR(VLOOKUP(A53,'Compartments_Kawecki&amp;Nowack19'!A:C,3,FALSE), IFERROR(VLOOKUP(A53,Compartments_Added!A:C,3,FALSE), "Not found"))</f>
        <v>ClothingExternalWithoutExternalFilter</v>
      </c>
      <c r="D53" s="95" t="str">
        <f>IFERROR(IF(VLOOKUP(A53,'Compartments_Kawecki&amp;Nowack19'!A:C,1,FALSE)=A53, "Kawecki","what?"),"Added/changed")</f>
        <v>Added/changed</v>
      </c>
      <c r="F53" s="17"/>
      <c r="G53" s="493" t="str">
        <v>Compost (micro)</v>
      </c>
      <c r="H53" s="310" t="str">
        <v>Clothing drying CHPTD</v>
      </c>
      <c r="I53" s="498" t="str">
        <v>Clothing washing by hand</v>
      </c>
      <c r="J53" t="str">
        <v>Clean lint filter under running water</v>
      </c>
    </row>
    <row r="54" spans="1:10" ht="15" thickBot="1">
      <c r="A54" s="74" t="str">
        <v>Clothing waste collection</v>
      </c>
      <c r="B54" s="332" t="str">
        <f>IFERROR(VLOOKUP(A54,'Compartments_Kawecki&amp;Nowack19'!A:C,2,FALSE), IFERROR(VLOOKUP(A54,Compartments_Added!A:C,2,FALSE), "Not found"))</f>
        <v>Flow</v>
      </c>
      <c r="C54" s="332" t="str">
        <f>IFERROR(VLOOKUP(A54,'Compartments_Kawecki&amp;Nowack19'!A:C,3,FALSE), IFERROR(VLOOKUP(A54,Compartments_Added!A:C,3,FALSE), "Not found"))</f>
        <v>ClothingWasteCollection</v>
      </c>
      <c r="D54" s="95" t="str">
        <f>IFERROR(IF(VLOOKUP(A54,'Compartments_Kawecki&amp;Nowack19'!A:C,1,FALSE)=A54, "Kawecki","what?"),"Added/changed")</f>
        <v>Added/changed</v>
      </c>
      <c r="F54" s="17"/>
      <c r="G54" s="493" t="str">
        <v>Compost size separation (fictional process)</v>
      </c>
      <c r="H54" s="310" t="str">
        <v>Clothing drying CHETD</v>
      </c>
      <c r="I54" s="498" t="str">
        <v>Clothing washing machine (with external filter)</v>
      </c>
      <c r="J54" t="str">
        <v>Closed-toed shoes</v>
      </c>
    </row>
    <row r="55" spans="1:10" ht="15" thickBot="1">
      <c r="A55" s="74" t="str">
        <v>Clothing wearing</v>
      </c>
      <c r="B55" s="332" t="str">
        <f>IFERROR(VLOOKUP(A55,'Compartments_Kawecki&amp;Nowack19'!A:C,2,FALSE), IFERROR(VLOOKUP(A55,Compartments_Added!A:C,2,FALSE), "Not found"))</f>
        <v>Flow</v>
      </c>
      <c r="C55" s="332" t="str">
        <f>IFERROR(VLOOKUP(A55,'Compartments_Kawecki&amp;Nowack19'!A:C,3,FALSE), IFERROR(VLOOKUP(A55,Compartments_Added!A:C,3,FALSE), "Not found"))</f>
        <v>ClothingWearing</v>
      </c>
      <c r="D55" s="95" t="str">
        <f>IFERROR(IF(VLOOKUP(A55,'Compartments_Kawecki&amp;Nowack19'!A:C,1,FALSE)=A55, "Kawecki","what?"),"Added/changed")</f>
        <v>Added/changed</v>
      </c>
      <c r="F55" s="17"/>
      <c r="G55" s="493" t="str">
        <v>Concrete paint (prof)</v>
      </c>
      <c r="H55" s="310" t="str">
        <v>Clothing washer-dryer combo</v>
      </c>
      <c r="I55" s="498" t="str">
        <v>Clothing washing machine (without external filter)</v>
      </c>
      <c r="J55" t="str">
        <v>Clothing (product sector)</v>
      </c>
    </row>
    <row r="56" spans="1:10" ht="15" thickBot="1">
      <c r="A56" s="74" t="str">
        <v>Collected organic waste</v>
      </c>
      <c r="B56" s="332" t="str">
        <f>IFERROR(VLOOKUP(A56,'Compartments_Kawecki&amp;Nowack19'!A:C,2,FALSE), IFERROR(VLOOKUP(A56,Compartments_Added!A:C,2,FALSE), "Not found"))</f>
        <v>Flow</v>
      </c>
      <c r="C56" s="332" t="str">
        <f>IFERROR(VLOOKUP(A56,'Compartments_Kawecki&amp;Nowack19'!A:C,3,FALSE), IFERROR(VLOOKUP(A56,Compartments_Added!A:C,3,FALSE), "Not found"))</f>
        <v>CollectedOrganicW</v>
      </c>
      <c r="D56" s="95" t="str">
        <f>IFERROR(IF(VLOOKUP(A56,'Compartments_Kawecki&amp;Nowack19'!A:C,1,FALSE)=A56, "Kawecki","what?"),"Added/changed")</f>
        <v>Added/changed</v>
      </c>
      <c r="F56" s="17"/>
      <c r="G56" s="493" t="str">
        <v>Concrete paint (prof) indoor</v>
      </c>
      <c r="H56" s="310" t="str">
        <v>Lint filter (CHETD)</v>
      </c>
      <c r="I56" s="498" t="str">
        <v>Clothing waste collection</v>
      </c>
      <c r="J56" t="str">
        <v>Clothing drying</v>
      </c>
    </row>
    <row r="57" spans="1:10" ht="15" thickBot="1">
      <c r="A57" s="74" t="str">
        <v>Collected organic waste (larger than 1 mm)</v>
      </c>
      <c r="B57" s="332" t="str">
        <f>IFERROR(VLOOKUP(A57,'Compartments_Kawecki&amp;Nowack19'!A:C,2,FALSE), IFERROR(VLOOKUP(A57,Compartments_Added!A:C,2,FALSE), "Not found"))</f>
        <v>Flow</v>
      </c>
      <c r="C57" s="332" t="str">
        <f>IFERROR(VLOOKUP(A57,'Compartments_Kawecki&amp;Nowack19'!A:C,3,FALSE), IFERROR(VLOOKUP(A57,Compartments_Added!A:C,3,FALSE), "Not found"))</f>
        <v>CollectedOrganicWlarger1mm</v>
      </c>
      <c r="D57" s="95" t="str">
        <f>IFERROR(IF(VLOOKUP(A57,'Compartments_Kawecki&amp;Nowack19'!A:C,1,FALSE)=A57, "Kawecki","what?"),"Added/changed")</f>
        <v>Added/changed</v>
      </c>
      <c r="F57" s="17"/>
      <c r="G57" s="493" t="str">
        <v>Concrete paint (prof) indoor (discarded)</v>
      </c>
      <c r="H57" s="310" t="str">
        <v>Lint filter (CHPTD)</v>
      </c>
      <c r="I57" s="498" t="str">
        <v>Clothing wearing</v>
      </c>
      <c r="J57" t="str">
        <v>Clothing drying CHETD</v>
      </c>
    </row>
    <row r="58" spans="1:10" ht="15" thickBot="1">
      <c r="A58" s="74" t="str">
        <v>Collected organic waste (smaller than 1 mm)</v>
      </c>
      <c r="B58" s="332" t="str">
        <f>IFERROR(VLOOKUP(A58,'Compartments_Kawecki&amp;Nowack19'!A:C,2,FALSE), IFERROR(VLOOKUP(A58,Compartments_Added!A:C,2,FALSE), "Not found"))</f>
        <v>Flow</v>
      </c>
      <c r="C58" s="332" t="str">
        <f>IFERROR(VLOOKUP(A58,'Compartments_Kawecki&amp;Nowack19'!A:C,3,FALSE), IFERROR(VLOOKUP(A58,Compartments_Added!A:C,3,FALSE), "Not found"))</f>
        <v>CollectedOrganicWsmaller1mm</v>
      </c>
      <c r="D58" s="95" t="str">
        <f>IFERROR(IF(VLOOKUP(A58,'Compartments_Kawecki&amp;Nowack19'!A:C,1,FALSE)=A58, "Kawecki","what?"),"Added/changed")</f>
        <v>Added/changed</v>
      </c>
      <c r="F58" s="17"/>
      <c r="G58" s="493" t="str">
        <v>Concrete paint (prof) indoor (in use)</v>
      </c>
      <c r="H58" s="310" t="str">
        <v>Outdoor air (micro)</v>
      </c>
      <c r="I58" s="498" t="str">
        <v>Collected organic waste</v>
      </c>
      <c r="J58" t="str">
        <v>Clothing drying CHPTD</v>
      </c>
    </row>
    <row r="59" spans="1:10" ht="15" thickBot="1">
      <c r="A59" s="74" t="str">
        <v>Combined sewer overflow (macro)</v>
      </c>
      <c r="B59" s="332" t="str">
        <f>IFERROR(VLOOKUP(A59,'Compartments_Kawecki&amp;Nowack19'!A:C,2,FALSE), IFERROR(VLOOKUP(A59,Compartments_Added!A:C,2,FALSE), "Not found"))</f>
        <v>Flow</v>
      </c>
      <c r="C59" s="332" t="str">
        <f>IFERROR(VLOOKUP(A59,'Compartments_Kawecki&amp;Nowack19'!A:C,3,FALSE), IFERROR(VLOOKUP(A59,Compartments_Added!A:C,3,FALSE), "Not found"))</f>
        <v>CSOMacro</v>
      </c>
      <c r="D59" s="95" t="str">
        <f>IFERROR(IF(VLOOKUP(A59,'Compartments_Kawecki&amp;Nowack19'!A:C,1,FALSE)=A59, "Kawecki","what?"),"Added/changed")</f>
        <v>Kawecki</v>
      </c>
      <c r="F59" s="17"/>
      <c r="G59" s="493" t="str">
        <v>Concrete paint (prof) outdoor</v>
      </c>
      <c r="H59" s="310" t="str">
        <v>Lint filter (VTD)</v>
      </c>
      <c r="I59" s="498" t="str">
        <v>Collected organic waste (larger than 1 mm)</v>
      </c>
      <c r="J59" t="str">
        <v>Clothing drying VTD</v>
      </c>
    </row>
    <row r="60" spans="1:10" ht="15" thickBot="1">
      <c r="A60" s="74" t="str">
        <v>Combined sewer overflow (micro)</v>
      </c>
      <c r="B60" s="332" t="str">
        <f>IFERROR(VLOOKUP(A60,'Compartments_Kawecki&amp;Nowack19'!A:C,2,FALSE), IFERROR(VLOOKUP(A60,Compartments_Added!A:C,2,FALSE), "Not found"))</f>
        <v>Flow</v>
      </c>
      <c r="C60" s="332" t="str">
        <f>IFERROR(VLOOKUP(A60,'Compartments_Kawecki&amp;Nowack19'!A:C,3,FALSE), IFERROR(VLOOKUP(A60,Compartments_Added!A:C,3,FALSE), "Not found"))</f>
        <v>CSOMicro</v>
      </c>
      <c r="D60" s="95" t="str">
        <f>IFERROR(IF(VLOOKUP(A60,'Compartments_Kawecki&amp;Nowack19'!A:C,1,FALSE)=A60, "Kawecki","what?"),"Added/changed")</f>
        <v>Kawecki</v>
      </c>
      <c r="F60" s="17"/>
      <c r="G60" s="493" t="str">
        <v>Concrete paint (prof) outdoor (discarded)</v>
      </c>
      <c r="H60" s="310" t="str">
        <v>Indoor floors (micro)</v>
      </c>
      <c r="I60" s="498" t="str">
        <v>Collected organic waste (smaller than 1 mm)</v>
      </c>
      <c r="J60" t="str">
        <v>Clothing indoor drying</v>
      </c>
    </row>
    <row r="61" spans="1:10" ht="15" thickBot="1">
      <c r="A61" s="74" t="str">
        <v>Compost (macro)</v>
      </c>
      <c r="B61" s="332" t="str">
        <f>IFERROR(VLOOKUP(A61,'Compartments_Kawecki&amp;Nowack19'!A:C,2,FALSE), IFERROR(VLOOKUP(A61,Compartments_Added!A:C,2,FALSE), "Not found"))</f>
        <v>Flow</v>
      </c>
      <c r="C61" s="332" t="str">
        <f>IFERROR(VLOOKUP(A61,'Compartments_Kawecki&amp;Nowack19'!A:C,3,FALSE), IFERROR(VLOOKUP(A61,Compartments_Added!A:C,3,FALSE), "Not found"))</f>
        <v>CompostMacro</v>
      </c>
      <c r="D61" s="95" t="str">
        <f>IFERROR(IF(VLOOKUP(A61,'Compartments_Kawecki&amp;Nowack19'!A:C,1,FALSE)=A61, "Kawecki","what?"),"Added/changed")</f>
        <v>Kawecki</v>
      </c>
      <c r="F61" s="17"/>
      <c r="G61" s="493" t="str">
        <v>Concrete paint (prof) outdoor (in use)</v>
      </c>
      <c r="H61" s="310" t="str">
        <v>Clothing waste collection</v>
      </c>
      <c r="I61" s="498" t="str">
        <v>Combined sewer overflow (macro)</v>
      </c>
      <c r="J61" t="str">
        <v>Clothing not washed (discarded)</v>
      </c>
    </row>
    <row r="62" spans="1:10" ht="15" thickBot="1">
      <c r="A62" s="74" t="str">
        <v>Compost (micro)</v>
      </c>
      <c r="B62" s="332" t="str">
        <f>IFERROR(VLOOKUP(A62,'Compartments_Kawecki&amp;Nowack19'!A:C,2,FALSE), IFERROR(VLOOKUP(A62,Compartments_Added!A:C,2,FALSE), "Not found"))</f>
        <v>Flow</v>
      </c>
      <c r="C62" s="332" t="str">
        <f>IFERROR(VLOOKUP(A62,'Compartments_Kawecki&amp;Nowack19'!A:C,3,FALSE), IFERROR(VLOOKUP(A62,Compartments_Added!A:C,3,FALSE), "Not found"))</f>
        <v>CompostMicro</v>
      </c>
      <c r="D62" s="95" t="str">
        <f>IFERROR(IF(VLOOKUP(A62,'Compartments_Kawecki&amp;Nowack19'!A:C,1,FALSE)=A62, "Kawecki","what?"),"Added/changed")</f>
        <v>Kawecki</v>
      </c>
      <c r="F62" s="17"/>
      <c r="G62" s="493" t="str">
        <v>Construction and demolition incinerable waste collection</v>
      </c>
      <c r="H62" s="310" t="str">
        <v>Clothing wearing</v>
      </c>
      <c r="I62" s="498" t="str">
        <v>Combined sewer overflow (micro)</v>
      </c>
      <c r="J62" t="str">
        <v>Clothing not washed (in use)</v>
      </c>
    </row>
    <row r="63" spans="1:10" ht="15" thickBot="1">
      <c r="A63" s="74" t="str">
        <v>Compost size separation (fictional process)</v>
      </c>
      <c r="B63" s="332" t="str">
        <f>IFERROR(VLOOKUP(A63,'Compartments_Kawecki&amp;Nowack19'!A:C,2,FALSE), IFERROR(VLOOKUP(A63,Compartments_Added!A:C,2,FALSE), "Not found"))</f>
        <v>Flow</v>
      </c>
      <c r="C63" s="332" t="str">
        <f>IFERROR(VLOOKUP(A63,'Compartments_Kawecki&amp;Nowack19'!A:C,3,FALSE), IFERROR(VLOOKUP(A63,Compartments_Added!A:C,3,FALSE), "Not found"))</f>
        <v>CompostingSizeSep</v>
      </c>
      <c r="D63" s="95" t="str">
        <f>IFERROR(IF(VLOOKUP(A63,'Compartments_Kawecki&amp;Nowack19'!A:C,1,FALSE)=A63, "Kawecki","what?"),"Added/changed")</f>
        <v>Kawecki</v>
      </c>
      <c r="F63" s="17"/>
      <c r="G63" s="493" t="str">
        <v>Consumer bags</v>
      </c>
      <c r="H63" s="310" t="str">
        <v>Clothing drying</v>
      </c>
      <c r="I63" s="498" t="str">
        <v>Compost (macro)</v>
      </c>
      <c r="J63" t="str">
        <v>Clothing outdoor drying</v>
      </c>
    </row>
    <row r="64" spans="1:10" ht="15" thickBot="1">
      <c r="A64" s="74" t="str">
        <v>Concrete paint (prof)</v>
      </c>
      <c r="B64" s="332" t="str">
        <f>IFERROR(VLOOKUP(A64,'Compartments_Kawecki&amp;Nowack19'!A:C,2,FALSE), IFERROR(VLOOKUP(A64,Compartments_Added!A:C,2,FALSE), "Not found"))</f>
        <v>Flow</v>
      </c>
      <c r="C64" s="332" t="str">
        <f>IFERROR(VLOOKUP(A64,'Compartments_Kawecki&amp;Nowack19'!A:C,3,FALSE), IFERROR(VLOOKUP(A64,Compartments_Added!A:C,3,FALSE), "Not found"))</f>
        <v>ConcreteProf</v>
      </c>
      <c r="D64" s="95" t="str">
        <f>IFERROR(IF(VLOOKUP(A64,'Compartments_Kawecki&amp;Nowack19'!A:C,1,FALSE)=A64, "Kawecki","what?"),"Added/changed")</f>
        <v>Added/changed</v>
      </c>
      <c r="F64" s="17"/>
      <c r="G64" s="493" t="str">
        <v>Consumer bottles</v>
      </c>
      <c r="H64" s="310" t="str">
        <v>Clothing washing machine (with external filter)</v>
      </c>
      <c r="I64" s="498" t="str">
        <v>Compost (micro)</v>
      </c>
      <c r="J64" t="str">
        <v>Clothing rarely washed (discarded)</v>
      </c>
    </row>
    <row r="65" spans="1:10" ht="15" thickBot="1">
      <c r="A65" s="74" t="str">
        <v>Concrete paint (prof) indoor</v>
      </c>
      <c r="B65" s="332" t="str">
        <f>IFERROR(VLOOKUP(A65,'Compartments_Kawecki&amp;Nowack19'!A:C,2,FALSE), IFERROR(VLOOKUP(A65,Compartments_Added!A:C,2,FALSE), "Not found"))</f>
        <v>Flow</v>
      </c>
      <c r="C65" s="332" t="str">
        <f>IFERROR(VLOOKUP(A65,'Compartments_Kawecki&amp;Nowack19'!A:C,3,FALSE), IFERROR(VLOOKUP(A65,Compartments_Added!A:C,3,FALSE), "Not found"))</f>
        <v>ConcreteProfIn</v>
      </c>
      <c r="D65" s="95" t="str">
        <f>IFERROR(IF(VLOOKUP(A65,'Compartments_Kawecki&amp;Nowack19'!A:C,1,FALSE)=A65, "Kawecki","what?"),"Added/changed")</f>
        <v>Added/changed</v>
      </c>
      <c r="F65" s="17"/>
      <c r="G65" s="493" t="str">
        <v>Consumer films</v>
      </c>
      <c r="H65" s="310" t="str">
        <v>Clothing washing machine (without external filter)</v>
      </c>
      <c r="I65" s="498" t="str">
        <v>Compost size separation (fictional process)</v>
      </c>
      <c r="J65" t="str">
        <v>Clothing rarely washed (in use)</v>
      </c>
    </row>
    <row r="66" spans="1:10" ht="15" thickBot="1">
      <c r="A66" s="74" t="str">
        <v>Concrete paint (prof) indoor (discarded)</v>
      </c>
      <c r="B66" s="332" t="str">
        <f>IFERROR(VLOOKUP(A66,'Compartments_Kawecki&amp;Nowack19'!A:C,2,FALSE), IFERROR(VLOOKUP(A66,Compartments_Added!A:C,2,FALSE), "Not found"))</f>
        <v>Stock</v>
      </c>
      <c r="C66" s="332" t="str">
        <f>IFERROR(VLOOKUP(A66,'Compartments_Kawecki&amp;Nowack19'!A:C,3,FALSE), IFERROR(VLOOKUP(A66,Compartments_Added!A:C,3,FALSE), "Not found"))</f>
        <v>ConcreteProfInDis</v>
      </c>
      <c r="D66" s="95" t="str">
        <f>IFERROR(IF(VLOOKUP(A66,'Compartments_Kawecki&amp;Nowack19'!A:C,1,FALSE)=A66, "Kawecki","what?"),"Added/changed")</f>
        <v>Added/changed</v>
      </c>
      <c r="F66" s="17"/>
      <c r="G66" s="493" t="str">
        <v>Controlled release fertilizer</v>
      </c>
      <c r="H66" s="310" t="str">
        <v>Clothing washing by hand</v>
      </c>
      <c r="I66" s="498" t="str">
        <v>Concrete paint (prof)</v>
      </c>
      <c r="J66" t="str">
        <v>Clothing washed (discarded)</v>
      </c>
    </row>
    <row r="67" spans="1:10" ht="15" thickBot="1">
      <c r="A67" s="74" t="str">
        <v>Concrete paint (prof) indoor (in use)</v>
      </c>
      <c r="B67" s="332" t="str">
        <f>IFERROR(VLOOKUP(A67,'Compartments_Kawecki&amp;Nowack19'!A:C,2,FALSE), IFERROR(VLOOKUP(A67,Compartments_Added!A:C,2,FALSE), "Not found"))</f>
        <v>Stock</v>
      </c>
      <c r="C67" s="332" t="str">
        <f>IFERROR(VLOOKUP(A67,'Compartments_Kawecki&amp;Nowack19'!A:C,3,FALSE), IFERROR(VLOOKUP(A67,Compartments_Added!A:C,3,FALSE), "Not found"))</f>
        <v>ConcreteProfInIU</v>
      </c>
      <c r="D67" s="95" t="str">
        <f>IFERROR(IF(VLOOKUP(A67,'Compartments_Kawecki&amp;Nowack19'!A:C,1,FALSE)=A67, "Kawecki","what?"),"Added/changed")</f>
        <v>Added/changed</v>
      </c>
      <c r="F67" s="17"/>
      <c r="G67" s="493" t="str">
        <v>Detergents and maintenance products</v>
      </c>
      <c r="H67" s="310" t="str">
        <v>Textile reuse</v>
      </c>
      <c r="I67" s="498" t="str">
        <v>Concrete paint (prof) indoor</v>
      </c>
      <c r="J67" t="str">
        <v>Clothing washed (in use)</v>
      </c>
    </row>
    <row r="68" spans="1:10" ht="15" thickBot="1">
      <c r="A68" s="74" t="str">
        <v>Concrete paint (prof) outdoor</v>
      </c>
      <c r="B68" s="332" t="str">
        <f>IFERROR(VLOOKUP(A68,'Compartments_Kawecki&amp;Nowack19'!A:C,2,FALSE), IFERROR(VLOOKUP(A68,Compartments_Added!A:C,2,FALSE), "Not found"))</f>
        <v>Flow</v>
      </c>
      <c r="C68" s="332" t="str">
        <f>IFERROR(VLOOKUP(A68,'Compartments_Kawecki&amp;Nowack19'!A:C,3,FALSE), IFERROR(VLOOKUP(A68,Compartments_Added!A:C,3,FALSE), "Not found"))</f>
        <v>ConcreteProfOut</v>
      </c>
      <c r="D68" s="95" t="str">
        <f>IFERROR(IF(VLOOKUP(A68,'Compartments_Kawecki&amp;Nowack19'!A:C,1,FALSE)=A68, "Kawecki","what?"),"Added/changed")</f>
        <v>Added/changed</v>
      </c>
      <c r="F68" s="17"/>
      <c r="G68" s="493" t="str">
        <v>Disposable cleaning cloths</v>
      </c>
      <c r="H68" s="310" t="str">
        <v>Textile recycling</v>
      </c>
      <c r="I68" s="498" t="str">
        <v>Concrete paint (prof) indoor (discarded)</v>
      </c>
      <c r="J68" t="str">
        <v>Clothing washer-dryer combo</v>
      </c>
    </row>
    <row r="69" spans="1:10" ht="15" thickBot="1">
      <c r="A69" s="74" t="str">
        <v>Concrete paint (prof) outdoor (discarded)</v>
      </c>
      <c r="B69" s="332" t="str">
        <f>IFERROR(VLOOKUP(A69,'Compartments_Kawecki&amp;Nowack19'!A:C,2,FALSE), IFERROR(VLOOKUP(A69,Compartments_Added!A:C,2,FALSE), "Not found"))</f>
        <v>Stock</v>
      </c>
      <c r="C69" s="332" t="str">
        <f>IFERROR(VLOOKUP(A69,'Compartments_Kawecki&amp;Nowack19'!A:C,3,FALSE), IFERROR(VLOOKUP(A69,Compartments_Added!A:C,3,FALSE), "Not found"))</f>
        <v>ConcreteProfOutDis</v>
      </c>
      <c r="D69" s="95" t="str">
        <f>IFERROR(IF(VLOOKUP(A69,'Compartments_Kawecki&amp;Nowack19'!A:C,1,FALSE)=A69, "Kawecki","what?"),"Added/changed")</f>
        <v>Added/changed</v>
      </c>
      <c r="F69" s="17"/>
      <c r="G69" s="493" t="str">
        <v>Domestic primary plastic production</v>
      </c>
      <c r="H69" s="310" t="str">
        <v>Export</v>
      </c>
      <c r="I69" s="498" t="str">
        <v>Concrete paint (prof) indoor (in use)</v>
      </c>
      <c r="J69" t="str">
        <v>Clothing washing</v>
      </c>
    </row>
    <row r="70" spans="1:10" ht="15" thickBot="1">
      <c r="A70" s="74" t="str">
        <v>Concrete paint (prof) outdoor (in use)</v>
      </c>
      <c r="B70" s="332" t="str">
        <f>IFERROR(VLOOKUP(A70,'Compartments_Kawecki&amp;Nowack19'!A:C,2,FALSE), IFERROR(VLOOKUP(A70,Compartments_Added!A:C,2,FALSE), "Not found"))</f>
        <v>Stock</v>
      </c>
      <c r="C70" s="332" t="str">
        <f>IFERROR(VLOOKUP(A70,'Compartments_Kawecki&amp;Nowack19'!A:C,3,FALSE), IFERROR(VLOOKUP(A70,Compartments_Added!A:C,3,FALSE), "Not found"))</f>
        <v>ConcreteProfOutIU</v>
      </c>
      <c r="D70" s="95" t="str">
        <f>IFERROR(IF(VLOOKUP(A70,'Compartments_Kawecki&amp;Nowack19'!A:C,1,FALSE)=A70, "Kawecki","what?"),"Added/changed")</f>
        <v>Added/changed</v>
      </c>
      <c r="F70" s="17"/>
      <c r="G70" s="493" t="str">
        <v>Dresses skirts and jumpsuits</v>
      </c>
      <c r="H70" s="310" t="str">
        <v>Collected organic waste (larger than 1 mm)</v>
      </c>
      <c r="I70" s="498" t="str">
        <v>Concrete paint (prof) outdoor</v>
      </c>
      <c r="J70" t="str">
        <v>Clothing washing by hand</v>
      </c>
    </row>
    <row r="71" spans="1:10" ht="15" thickBot="1">
      <c r="A71" s="74" t="str">
        <v>Construction and demolition incinerable waste collection</v>
      </c>
      <c r="B71" s="332" t="str">
        <f>IFERROR(VLOOKUP(A71,'Compartments_Kawecki&amp;Nowack19'!A:C,2,FALSE), IFERROR(VLOOKUP(A71,Compartments_Added!A:C,2,FALSE), "Not found"))</f>
        <v>Flow</v>
      </c>
      <c r="C71" s="332" t="str">
        <f>IFERROR(VLOOKUP(A71,'Compartments_Kawecki&amp;Nowack19'!A:C,3,FALSE), IFERROR(VLOOKUP(A71,Compartments_Added!A:C,3,FALSE), "Not found"))</f>
        <v>CDIncinerableCollection</v>
      </c>
      <c r="D71" s="95" t="str">
        <f>IFERROR(IF(VLOOKUP(A71,'Compartments_Kawecki&amp;Nowack19'!A:C,1,FALSE)=A71, "Kawecki","what?"),"Added/changed")</f>
        <v>Kawecki</v>
      </c>
      <c r="F71" s="17"/>
      <c r="G71" s="493" t="str">
        <v>Dumping</v>
      </c>
      <c r="H71" s="310" t="str">
        <v>Collected organic waste (smaller than 1 mm)</v>
      </c>
      <c r="I71" s="498" t="str">
        <v>Concrete paint (prof) outdoor (discarded)</v>
      </c>
      <c r="J71" t="str">
        <v>Clothing washing machine (with external filter)</v>
      </c>
    </row>
    <row r="72" spans="1:10" ht="15" thickBot="1">
      <c r="A72" s="74" t="str">
        <v>Consumer bags</v>
      </c>
      <c r="B72" s="332" t="str">
        <f>IFERROR(VLOOKUP(A72,'Compartments_Kawecki&amp;Nowack19'!A:C,2,FALSE), IFERROR(VLOOKUP(A72,Compartments_Added!A:C,2,FALSE), "Not found"))</f>
        <v>Stock</v>
      </c>
      <c r="C72" s="332" t="str">
        <f>IFERROR(VLOOKUP(A72,'Compartments_Kawecki&amp;Nowack19'!A:C,3,FALSE), IFERROR(VLOOKUP(A72,Compartments_Added!A:C,3,FALSE), "Not found"))</f>
        <v>ConsumerBags</v>
      </c>
      <c r="D72" s="95" t="str">
        <f>IFERROR(IF(VLOOKUP(A72,'Compartments_Kawecki&amp;Nowack19'!A:C,1,FALSE)=A72, "Kawecki","what?"),"Added/changed")</f>
        <v>Kawecki</v>
      </c>
      <c r="F72" s="17"/>
      <c r="G72" s="493" t="str">
        <v>ELV textiles collection</v>
      </c>
      <c r="H72" s="310" t="str">
        <v>Compost size separation (fictional process)</v>
      </c>
      <c r="I72" s="498" t="str">
        <v>Concrete paint (prof) outdoor (in use)</v>
      </c>
      <c r="J72" t="str">
        <v>Clothing washing machine (without external filter)</v>
      </c>
    </row>
    <row r="73" spans="1:10" ht="15" thickBot="1">
      <c r="A73" s="74" t="str">
        <v>Consumer bottles</v>
      </c>
      <c r="B73" s="332" t="str">
        <f>IFERROR(VLOOKUP(A73,'Compartments_Kawecki&amp;Nowack19'!A:C,2,FALSE), IFERROR(VLOOKUP(A73,Compartments_Added!A:C,2,FALSE), "Not found"))</f>
        <v>Stock</v>
      </c>
      <c r="C73" s="332" t="str">
        <f>IFERROR(VLOOKUP(A73,'Compartments_Kawecki&amp;Nowack19'!A:C,3,FALSE), IFERROR(VLOOKUP(A73,Compartments_Added!A:C,3,FALSE), "Not found"))</f>
        <v>ConsumerBottles</v>
      </c>
      <c r="D73" s="95" t="str">
        <f>IFERROR(IF(VLOOKUP(A73,'Compartments_Kawecki&amp;Nowack19'!A:C,1,FALSE)=A73, "Kawecki","what?"),"Added/changed")</f>
        <v>Kawecki</v>
      </c>
      <c r="F73" s="17"/>
      <c r="G73" s="493" t="str">
        <v>Fertilizer additives</v>
      </c>
      <c r="H73" s="310" t="str">
        <v>Compost (micro)</v>
      </c>
      <c r="I73" s="498" t="str">
        <v>Construction and demolition incinerable waste collection</v>
      </c>
      <c r="J73" t="str">
        <v>Clothing waste collection</v>
      </c>
    </row>
    <row r="74" spans="1:10" ht="15" thickBot="1">
      <c r="A74" s="74" t="str">
        <v>Consumer films</v>
      </c>
      <c r="B74" s="332" t="str">
        <f>IFERROR(VLOOKUP(A74,'Compartments_Kawecki&amp;Nowack19'!A:C,2,FALSE), IFERROR(VLOOKUP(A74,Compartments_Added!A:C,2,FALSE), "Not found"))</f>
        <v>Stock</v>
      </c>
      <c r="C74" s="332" t="str">
        <f>IFERROR(VLOOKUP(A74,'Compartments_Kawecki&amp;Nowack19'!A:C,3,FALSE), IFERROR(VLOOKUP(A74,Compartments_Added!A:C,3,FALSE), "Not found"))</f>
        <v>ConsumerFilms</v>
      </c>
      <c r="D74" s="95" t="str">
        <f>IFERROR(IF(VLOOKUP(A74,'Compartments_Kawecki&amp;Nowack19'!A:C,1,FALSE)=A74, "Kawecki","what?"),"Added/changed")</f>
        <v>Kawecki</v>
      </c>
      <c r="F74" s="17"/>
      <c r="G74" s="493" t="str">
        <v>Food additives</v>
      </c>
      <c r="H74" s="310" t="str">
        <v>Surface water (macro)</v>
      </c>
      <c r="I74" s="498" t="str">
        <v>Consumer bags</v>
      </c>
      <c r="J74" t="str">
        <v>Clothing wearing</v>
      </c>
    </row>
    <row r="75" spans="1:10" ht="15" thickBot="1">
      <c r="A75" s="74" t="str">
        <v>Controlled release fertilizer</v>
      </c>
      <c r="B75" s="332" t="str">
        <f>IFERROR(VLOOKUP(A75,'Compartments_Kawecki&amp;Nowack19'!A:C,2,FALSE), IFERROR(VLOOKUP(A75,Compartments_Added!A:C,2,FALSE), "Not found"))</f>
        <v>Flow</v>
      </c>
      <c r="C75" s="332" t="str">
        <f>IFERROR(VLOOKUP(A75,'Compartments_Kawecki&amp;Nowack19'!A:C,3,FALSE), IFERROR(VLOOKUP(A75,Compartments_Added!A:C,3,FALSE), "Not found"))</f>
        <v>ControlledFertilizer</v>
      </c>
      <c r="D75" s="95" t="str">
        <f>IFERROR(IF(VLOOKUP(A75,'Compartments_Kawecki&amp;Nowack19'!A:C,1,FALSE)=A75, "Kawecki","what?"),"Added/changed")</f>
        <v>Added/changed</v>
      </c>
      <c r="F75" s="17"/>
      <c r="G75" s="493" t="str">
        <v>Footwear waste collection</v>
      </c>
      <c r="H75" s="310" t="str">
        <v>Surface water (micro)</v>
      </c>
      <c r="I75" s="498" t="str">
        <v>Consumer bottles</v>
      </c>
      <c r="J75" t="str">
        <v>Collected organic waste</v>
      </c>
    </row>
    <row r="76" spans="1:10" ht="15" thickBot="1">
      <c r="A76" s="74" t="str">
        <v>Detergents and maintenance products</v>
      </c>
      <c r="B76" s="332" t="str">
        <f>IFERROR(VLOOKUP(A76,'Compartments_Kawecki&amp;Nowack19'!A:C,2,FALSE), IFERROR(VLOOKUP(A76,Compartments_Added!A:C,2,FALSE), "Not found"))</f>
        <v>Flow</v>
      </c>
      <c r="C76" s="332" t="str">
        <f>IFERROR(VLOOKUP(A76,'Compartments_Kawecki&amp;Nowack19'!A:C,3,FALSE), IFERROR(VLOOKUP(A76,Compartments_Added!A:C,3,FALSE), "Not found"))</f>
        <v>Detergents</v>
      </c>
      <c r="D76" s="95" t="str">
        <f>IFERROR(IF(VLOOKUP(A76,'Compartments_Kawecki&amp;Nowack19'!A:C,1,FALSE)=A76, "Kawecki","what?"),"Added/changed")</f>
        <v>Added/changed</v>
      </c>
      <c r="F76" s="17"/>
      <c r="G76" s="493" t="str">
        <v>Footwear wearing (soles)</v>
      </c>
      <c r="H76" s="310" t="str">
        <v>Compost (macro)</v>
      </c>
      <c r="I76" s="498" t="str">
        <v>Consumer films</v>
      </c>
      <c r="J76" t="str">
        <v>Collected organic waste (larger than 1 mm)</v>
      </c>
    </row>
    <row r="77" spans="1:10" ht="15" thickBot="1">
      <c r="A77" s="74" t="str">
        <v>Disposable cleaning cloths</v>
      </c>
      <c r="B77" s="332" t="str">
        <f>IFERROR(VLOOKUP(A77,'Compartments_Kawecki&amp;Nowack19'!A:C,2,FALSE), IFERROR(VLOOKUP(A77,Compartments_Added!A:C,2,FALSE), "Not found"))</f>
        <v>Flow</v>
      </c>
      <c r="C77" s="332" t="str">
        <f>IFERROR(VLOOKUP(A77,'Compartments_Kawecki&amp;Nowack19'!A:C,3,FALSE), IFERROR(VLOOKUP(A77,Compartments_Added!A:C,3,FALSE), "Not found"))</f>
        <v>DisposCleanCloths</v>
      </c>
      <c r="D77" s="95" t="str">
        <f>IFERROR(IF(VLOOKUP(A77,'Compartments_Kawecki&amp;Nowack19'!A:C,1,FALSE)=A77, "Kawecki","what?"),"Added/changed")</f>
        <v>Kawecki</v>
      </c>
      <c r="F77" s="17"/>
      <c r="G77" s="493" t="str">
        <v>Footwear wearing (uppers)</v>
      </c>
      <c r="H77" s="310" t="str">
        <v>Concrete paint (prof) outdoor</v>
      </c>
      <c r="I77" s="498" t="str">
        <v>Controlled release fertilizer</v>
      </c>
      <c r="J77" t="str">
        <v>Collected organic waste (smaller than 1 mm)</v>
      </c>
    </row>
    <row r="78" spans="1:10" ht="15" thickBot="1">
      <c r="A78" s="74" t="str">
        <v>Dresses skirts and jumpsuits</v>
      </c>
      <c r="B78" s="332" t="str">
        <f>IFERROR(VLOOKUP(A78,'Compartments_Kawecki&amp;Nowack19'!A:C,2,FALSE), IFERROR(VLOOKUP(A78,Compartments_Added!A:C,2,FALSE), "Not found"))</f>
        <v>Stock</v>
      </c>
      <c r="C78" s="332" t="str">
        <f>IFERROR(VLOOKUP(A78,'Compartments_Kawecki&amp;Nowack19'!A:C,3,FALSE), IFERROR(VLOOKUP(A78,Compartments_Added!A:C,3,FALSE), "Not found"))</f>
        <v>DressesSkirtsJumpsuits</v>
      </c>
      <c r="D78" s="95" t="str">
        <f>IFERROR(IF(VLOOKUP(A78,'Compartments_Kawecki&amp;Nowack19'!A:C,1,FALSE)=A78, "Kawecki","what?"),"Added/changed")</f>
        <v>Added/changed</v>
      </c>
      <c r="F78" s="17"/>
      <c r="G78" s="493" t="str">
        <v>Geotextiles</v>
      </c>
      <c r="H78" s="310" t="str">
        <v>Concrete paint (prof) indoor</v>
      </c>
      <c r="I78" s="498" t="str">
        <v>Detergents and maintenance products</v>
      </c>
      <c r="J78" t="str">
        <v>Combined sewer overflow (macro)</v>
      </c>
    </row>
    <row r="79" spans="1:10" ht="15" thickBot="1">
      <c r="A79" s="74" t="str">
        <v>Dumping</v>
      </c>
      <c r="B79" s="332" t="str">
        <f>IFERROR(VLOOKUP(A79,'Compartments_Kawecki&amp;Nowack19'!A:C,2,FALSE), IFERROR(VLOOKUP(A79,Compartments_Added!A:C,2,FALSE), "Not found"))</f>
        <v>Flow</v>
      </c>
      <c r="C79" s="332" t="str">
        <f>IFERROR(VLOOKUP(A79,'Compartments_Kawecki&amp;Nowack19'!A:C,3,FALSE), IFERROR(VLOOKUP(A79,Compartments_Added!A:C,3,FALSE), "Not found"))</f>
        <v>Dumping</v>
      </c>
      <c r="D79" s="95" t="str">
        <f>IFERROR(IF(VLOOKUP(A79,'Compartments_Kawecki&amp;Nowack19'!A:C,1,FALSE)=A79, "Kawecki","what?"),"Added/changed")</f>
        <v>Kawecki</v>
      </c>
      <c r="F79" s="17"/>
      <c r="G79" s="493" t="str">
        <v>Geotextiles (discarded)</v>
      </c>
      <c r="H79" s="310" t="str">
        <v>Concrete paint (prof) indoor (in use)</v>
      </c>
      <c r="I79" s="498" t="str">
        <v>Disposable cleaning cloths</v>
      </c>
      <c r="J79" t="str">
        <v>Combined sewer overflow (micro)</v>
      </c>
    </row>
    <row r="80" spans="1:10" ht="15" thickBot="1">
      <c r="A80" s="74" t="str">
        <v>ELV textiles collection</v>
      </c>
      <c r="B80" s="332" t="str">
        <f>IFERROR(VLOOKUP(A80,'Compartments_Kawecki&amp;Nowack19'!A:C,2,FALSE), IFERROR(VLOOKUP(A80,Compartments_Added!A:C,2,FALSE), "Not found"))</f>
        <v>Flow</v>
      </c>
      <c r="C80" s="332" t="str">
        <f>IFERROR(VLOOKUP(A80,'Compartments_Kawecki&amp;Nowack19'!A:C,3,FALSE), IFERROR(VLOOKUP(A80,Compartments_Added!A:C,3,FALSE), "Not found"))</f>
        <v>ELVTextilesCollection</v>
      </c>
      <c r="D80" s="95" t="str">
        <f>IFERROR(IF(VLOOKUP(A80,'Compartments_Kawecki&amp;Nowack19'!A:C,1,FALSE)=A80, "Kawecki","what?"),"Added/changed")</f>
        <v>Kawecki</v>
      </c>
      <c r="F80" s="17"/>
      <c r="G80" s="493" t="str">
        <v>Geotextiles (in use)</v>
      </c>
      <c r="H80" s="310" t="str">
        <v>Concrete paint (prof) indoor (discarded)</v>
      </c>
      <c r="I80" s="498" t="str">
        <v>Dresses skirts and jumpsuits</v>
      </c>
      <c r="J80" t="str">
        <v>Compost (macro)</v>
      </c>
    </row>
    <row r="81" spans="1:10" ht="15" thickBot="1">
      <c r="A81" s="74" t="str">
        <v>Fertilizer additives</v>
      </c>
      <c r="B81" s="332" t="str">
        <f>IFERROR(VLOOKUP(A81,'Compartments_Kawecki&amp;Nowack19'!A:C,2,FALSE), IFERROR(VLOOKUP(A81,Compartments_Added!A:C,2,FALSE), "Not found"))</f>
        <v>Flow</v>
      </c>
      <c r="C81" s="332" t="str">
        <f>IFERROR(VLOOKUP(A81,'Compartments_Kawecki&amp;Nowack19'!A:C,3,FALSE), IFERROR(VLOOKUP(A81,Compartments_Added!A:C,3,FALSE), "Not found"))</f>
        <v>FertilizerAdditive</v>
      </c>
      <c r="D81" s="95" t="str">
        <f>IFERROR(IF(VLOOKUP(A81,'Compartments_Kawecki&amp;Nowack19'!A:C,1,FALSE)=A81, "Kawecki","what?"),"Added/changed")</f>
        <v>Added/changed</v>
      </c>
      <c r="F81" s="17"/>
      <c r="G81" s="493" t="str">
        <v>Highway</v>
      </c>
      <c r="H81" s="310" t="str">
        <v>Concrete paint (prof) outdoor (in use)</v>
      </c>
      <c r="I81" s="498" t="str">
        <v>Dumping</v>
      </c>
      <c r="J81" t="str">
        <v>Compost (micro)</v>
      </c>
    </row>
    <row r="82" spans="1:10" ht="15" thickBot="1">
      <c r="A82" s="74" t="str">
        <v>Food additives</v>
      </c>
      <c r="B82" s="332" t="str">
        <f>IFERROR(VLOOKUP(A82,'Compartments_Kawecki&amp;Nowack19'!A:C,2,FALSE), IFERROR(VLOOKUP(A82,Compartments_Added!A:C,2,FALSE), "Not found"))</f>
        <v>Flow</v>
      </c>
      <c r="C82" s="332" t="str">
        <f>IFERROR(VLOOKUP(A82,'Compartments_Kawecki&amp;Nowack19'!A:C,3,FALSE), IFERROR(VLOOKUP(A82,Compartments_Added!A:C,3,FALSE), "Not found"))</f>
        <v>FoodAdditive</v>
      </c>
      <c r="D82" s="95" t="str">
        <f>IFERROR(IF(VLOOKUP(A82,'Compartments_Kawecki&amp;Nowack19'!A:C,1,FALSE)=A82, "Kawecki","what?"),"Added/changed")</f>
        <v>Added/changed</v>
      </c>
      <c r="F82" s="17"/>
      <c r="G82" s="493" t="str">
        <v>Highway DAB</v>
      </c>
      <c r="H82" s="310" t="str">
        <v>Concrete paint (prof) outdoor (discarded)</v>
      </c>
      <c r="I82" s="498" t="str">
        <v>ELV textiles collection</v>
      </c>
      <c r="J82" t="str">
        <v>Compost size separation (fictional process)</v>
      </c>
    </row>
    <row r="83" spans="1:10" ht="15" thickBot="1">
      <c r="A83" s="74" t="str">
        <v>Footwear waste collection</v>
      </c>
      <c r="B83" s="332" t="str">
        <f>IFERROR(VLOOKUP(A83,'Compartments_Kawecki&amp;Nowack19'!A:C,2,FALSE), IFERROR(VLOOKUP(A83,Compartments_Added!A:C,2,FALSE), "Not found"))</f>
        <v>Flow</v>
      </c>
      <c r="C83" s="332" t="str">
        <f>IFERROR(VLOOKUP(A83,'Compartments_Kawecki&amp;Nowack19'!A:C,3,FALSE), IFERROR(VLOOKUP(A83,Compartments_Added!A:C,3,FALSE), "Not found"))</f>
        <v>FootwearWasteCollection</v>
      </c>
      <c r="D83" s="95" t="str">
        <f>IFERROR(IF(VLOOKUP(A83,'Compartments_Kawecki&amp;Nowack19'!A:C,1,FALSE)=A83, "Kawecki","what?"),"Added/changed")</f>
        <v>Added/changed</v>
      </c>
      <c r="F83" s="17"/>
      <c r="G83" s="493" t="str">
        <v>Highway DAB non cleaned</v>
      </c>
      <c r="H83" s="310" t="str">
        <v>Litter on road sides</v>
      </c>
      <c r="I83" s="498" t="str">
        <v>Fertilizer additives</v>
      </c>
      <c r="J83" t="str">
        <v>Concrete paint (prof)</v>
      </c>
    </row>
    <row r="84" spans="1:10" ht="15" thickBot="1">
      <c r="A84" s="74" t="str">
        <v>Footwear wearing (soles)</v>
      </c>
      <c r="B84" s="332" t="str">
        <f>IFERROR(VLOOKUP(A84,'Compartments_Kawecki&amp;Nowack19'!A:C,2,FALSE), IFERROR(VLOOKUP(A84,Compartments_Added!A:C,2,FALSE), "Not found"))</f>
        <v>Flow</v>
      </c>
      <c r="C84" s="332" t="str">
        <f>IFERROR(VLOOKUP(A84,'Compartments_Kawecki&amp;Nowack19'!A:C,3,FALSE), IFERROR(VLOOKUP(A84,Compartments_Added!A:C,3,FALSE), "Not found"))</f>
        <v>FootwearWearingSoles</v>
      </c>
      <c r="D84" s="95" t="str">
        <f>IFERROR(IF(VLOOKUP(A84,'Compartments_Kawecki&amp;Nowack19'!A:C,1,FALSE)=A84, "Kawecki","what?"),"Added/changed")</f>
        <v>Added/changed</v>
      </c>
      <c r="F84" s="17"/>
      <c r="G84" s="493" t="str">
        <v>Highway ZOAB</v>
      </c>
      <c r="H84" s="310" t="str">
        <v>On-the-go consumption</v>
      </c>
      <c r="I84" s="498" t="str">
        <v>Food additives</v>
      </c>
      <c r="J84" t="str">
        <v>Concrete paint (prof) indoor</v>
      </c>
    </row>
    <row r="85" spans="1:10" ht="15" thickBot="1">
      <c r="A85" s="74" t="str">
        <v>Footwear wearing (uppers)</v>
      </c>
      <c r="B85" s="332" t="str">
        <f>IFERROR(VLOOKUP(A85,'Compartments_Kawecki&amp;Nowack19'!A:C,2,FALSE), IFERROR(VLOOKUP(A85,Compartments_Added!A:C,2,FALSE), "Not found"))</f>
        <v>Flow</v>
      </c>
      <c r="C85" s="332" t="str">
        <f>IFERROR(VLOOKUP(A85,'Compartments_Kawecki&amp;Nowack19'!A:C,3,FALSE), IFERROR(VLOOKUP(A85,Compartments_Added!A:C,3,FALSE), "Not found"))</f>
        <v>FootwearWearingUppers</v>
      </c>
      <c r="D85" s="95" t="str">
        <f>IFERROR(IF(VLOOKUP(A85,'Compartments_Kawecki&amp;Nowack19'!A:C,1,FALSE)=A85, "Kawecki","what?"),"Added/changed")</f>
        <v>Added/changed</v>
      </c>
      <c r="F85" s="17"/>
      <c r="G85" s="493" t="str">
        <v>Highway ZOAB non cleaned</v>
      </c>
      <c r="H85" s="310" t="str">
        <v>Packaging collection</v>
      </c>
      <c r="I85" s="498" t="str">
        <v>Footwear waste collection</v>
      </c>
      <c r="J85" t="str">
        <v>Concrete paint (prof) indoor (discarded)</v>
      </c>
    </row>
    <row r="86" spans="1:10" ht="15" thickBot="1">
      <c r="A86" s="74" t="str">
        <v>Geotextiles</v>
      </c>
      <c r="B86" s="332" t="str">
        <f>IFERROR(VLOOKUP(A86,'Compartments_Kawecki&amp;Nowack19'!A:C,2,FALSE), IFERROR(VLOOKUP(A86,Compartments_Added!A:C,2,FALSE), "Not found"))</f>
        <v>Flow</v>
      </c>
      <c r="C86" s="332" t="str">
        <f>IFERROR(VLOOKUP(A86,'Compartments_Kawecki&amp;Nowack19'!A:C,3,FALSE), IFERROR(VLOOKUP(A86,Compartments_Added!A:C,3,FALSE), "Not found"))</f>
        <v>Geotextiles</v>
      </c>
      <c r="D86" s="95" t="str">
        <f>IFERROR(IF(VLOOKUP(A86,'Compartments_Kawecki&amp;Nowack19'!A:C,1,FALSE)=A86, "Kawecki","what?"),"Added/changed")</f>
        <v>Kawecki</v>
      </c>
      <c r="F86" s="17"/>
      <c r="G86" s="493" t="str">
        <v>Home textile waste collection</v>
      </c>
      <c r="H86" s="310" t="str">
        <v>Agricultural waste collection (micro)</v>
      </c>
      <c r="I86" s="498" t="str">
        <v>Footwear wearing (soles)</v>
      </c>
      <c r="J86" t="str">
        <v>Concrete paint (prof) indoor (in use)</v>
      </c>
    </row>
    <row r="87" spans="1:10" ht="15" thickBot="1">
      <c r="A87" s="74" t="str">
        <v>Geotextiles (discarded)</v>
      </c>
      <c r="B87" s="332" t="str">
        <f>IFERROR(VLOOKUP(A87,'Compartments_Kawecki&amp;Nowack19'!A:C,2,FALSE), IFERROR(VLOOKUP(A87,Compartments_Added!A:C,2,FALSE), "Not found"))</f>
        <v>Stock</v>
      </c>
      <c r="C87" s="332" t="str">
        <f>IFERROR(VLOOKUP(A87,'Compartments_Kawecki&amp;Nowack19'!A:C,3,FALSE), IFERROR(VLOOKUP(A87,Compartments_Added!A:C,3,FALSE), "Not found"))</f>
        <v>GeotextilesDis</v>
      </c>
      <c r="D87" s="95" t="str">
        <f>IFERROR(IF(VLOOKUP(A87,'Compartments_Kawecki&amp;Nowack19'!A:C,1,FALSE)=A87, "Kawecki","what?"),"Added/changed")</f>
        <v>Added/changed</v>
      </c>
      <c r="F87" s="17"/>
      <c r="G87" s="493" t="str">
        <v>Home textiles</v>
      </c>
      <c r="H87" s="310" t="str">
        <v>Transport of primary plastics</v>
      </c>
      <c r="I87" s="498" t="str">
        <v>Footwear wearing (uppers)</v>
      </c>
      <c r="J87" t="str">
        <v>Concrete paint (prof) outdoor</v>
      </c>
    </row>
    <row r="88" spans="1:10" ht="15" thickBot="1">
      <c r="A88" s="74" t="str">
        <v>Geotextiles (in use)</v>
      </c>
      <c r="B88" s="332" t="str">
        <f>IFERROR(VLOOKUP(A88,'Compartments_Kawecki&amp;Nowack19'!A:C,2,FALSE), IFERROR(VLOOKUP(A88,Compartments_Added!A:C,2,FALSE), "Not found"))</f>
        <v>Stock</v>
      </c>
      <c r="C88" s="332" t="str">
        <f>IFERROR(VLOOKUP(A88,'Compartments_Kawecki&amp;Nowack19'!A:C,3,FALSE), IFERROR(VLOOKUP(A88,Compartments_Added!A:C,3,FALSE), "Not found"))</f>
        <v>GeotextilesIU</v>
      </c>
      <c r="D88" s="95" t="str">
        <f>IFERROR(IF(VLOOKUP(A88,'Compartments_Kawecki&amp;Nowack19'!A:C,1,FALSE)=A88, "Kawecki","what?"),"Added/changed")</f>
        <v>Added/changed</v>
      </c>
      <c r="F88" s="17"/>
      <c r="G88" s="493" t="str">
        <v>Home textiles (discarded)</v>
      </c>
      <c r="H88" s="310" t="str">
        <v>Pellet losses industrial plants</v>
      </c>
      <c r="I88" s="498" t="str">
        <v>Geotextiles</v>
      </c>
      <c r="J88" t="str">
        <v>Concrete paint (prof) outdoor (discarded)</v>
      </c>
    </row>
    <row r="89" spans="1:10" ht="15" thickBot="1">
      <c r="A89" s="74" t="str">
        <v>Highway</v>
      </c>
      <c r="B89" s="332" t="str">
        <f>IFERROR(VLOOKUP(A89,'Compartments_Kawecki&amp;Nowack19'!A:C,2,FALSE), IFERROR(VLOOKUP(A89,Compartments_Added!A:C,2,FALSE), "Not found"))</f>
        <v>Flow</v>
      </c>
      <c r="C89" s="332" t="str">
        <f>IFERROR(VLOOKUP(A89,'Compartments_Kawecki&amp;Nowack19'!A:C,3,FALSE), IFERROR(VLOOKUP(A89,Compartments_Added!A:C,3,FALSE), "Not found"))</f>
        <v>Highway</v>
      </c>
      <c r="D89" s="95" t="str">
        <f>IFERROR(IF(VLOOKUP(A89,'Compartments_Kawecki&amp;Nowack19'!A:C,1,FALSE)=A89, "Kawecki","what?"),"Added/changed")</f>
        <v>Added/changed</v>
      </c>
      <c r="F89" s="17"/>
      <c r="G89" s="493" t="str">
        <v>Home textiles (in use)</v>
      </c>
      <c r="H89" s="310" t="str">
        <v>Clothing washed (in use)</v>
      </c>
      <c r="I89" s="498" t="str">
        <v>Geotextiles (discarded)</v>
      </c>
      <c r="J89" t="str">
        <v>Concrete paint (prof) outdoor (in use)</v>
      </c>
    </row>
    <row r="90" spans="1:10" ht="15" thickBot="1">
      <c r="A90" s="74" t="str">
        <v>Highway DAB</v>
      </c>
      <c r="B90" s="332" t="str">
        <f>IFERROR(VLOOKUP(A90,'Compartments_Kawecki&amp;Nowack19'!A:C,2,FALSE), IFERROR(VLOOKUP(A90,Compartments_Added!A:C,2,FALSE), "Not found"))</f>
        <v>Flow</v>
      </c>
      <c r="C90" s="332" t="str">
        <f>IFERROR(VLOOKUP(A90,'Compartments_Kawecki&amp;Nowack19'!A:C,3,FALSE), IFERROR(VLOOKUP(A90,Compartments_Added!A:C,3,FALSE), "Not found"))</f>
        <v>HighwayDAB</v>
      </c>
      <c r="D90" s="95" t="str">
        <f>IFERROR(IF(VLOOKUP(A90,'Compartments_Kawecki&amp;Nowack19'!A:C,1,FALSE)=A90, "Kawecki","what?"),"Added/changed")</f>
        <v>Added/changed</v>
      </c>
      <c r="F90" s="17"/>
      <c r="G90" s="493" t="str">
        <v>Household textiles (product sector)</v>
      </c>
      <c r="H90" s="310" t="str">
        <v>Clothing washed (discarded)</v>
      </c>
      <c r="I90" s="498" t="str">
        <v>Geotextiles (in use)</v>
      </c>
      <c r="J90" t="str">
        <v>Construction and demolition incinerable waste collection</v>
      </c>
    </row>
    <row r="91" spans="1:10" ht="15" thickBot="1">
      <c r="A91" s="74" t="str">
        <v>Highway DAB non cleaned</v>
      </c>
      <c r="B91" s="332" t="str">
        <f>IFERROR(VLOOKUP(A91,'Compartments_Kawecki&amp;Nowack19'!A:C,2,FALSE), IFERROR(VLOOKUP(A91,Compartments_Added!A:C,2,FALSE), "Not found"))</f>
        <v>Flow</v>
      </c>
      <c r="C91" s="332" t="str">
        <f>IFERROR(VLOOKUP(A91,'Compartments_Kawecki&amp;Nowack19'!A:C,3,FALSE), IFERROR(VLOOKUP(A91,Compartments_Added!A:C,3,FALSE), "Not found"))</f>
        <v>HighwayDABnc</v>
      </c>
      <c r="D91" s="95" t="str">
        <f>IFERROR(IF(VLOOKUP(A91,'Compartments_Kawecki&amp;Nowack19'!A:C,1,FALSE)=A91, "Kawecki","what?"),"Added/changed")</f>
        <v>Added/changed</v>
      </c>
      <c r="F91" s="17"/>
      <c r="G91" s="493" t="str">
        <v>Import of clothing (EU)</v>
      </c>
      <c r="H91" s="310" t="str">
        <v>Litter in natural environments</v>
      </c>
      <c r="I91" s="498" t="str">
        <v>Highway</v>
      </c>
      <c r="J91" t="str">
        <v>Consumer bags</v>
      </c>
    </row>
    <row r="92" spans="1:10" ht="15" thickBot="1">
      <c r="A92" s="74" t="str">
        <v>Highway ZOAB</v>
      </c>
      <c r="B92" s="332" t="str">
        <f>IFERROR(VLOOKUP(A92,'Compartments_Kawecki&amp;Nowack19'!A:C,2,FALSE), IFERROR(VLOOKUP(A92,Compartments_Added!A:C,2,FALSE), "Not found"))</f>
        <v>Flow</v>
      </c>
      <c r="C92" s="332" t="str">
        <f>IFERROR(VLOOKUP(A92,'Compartments_Kawecki&amp;Nowack19'!A:C,3,FALSE), IFERROR(VLOOKUP(A92,Compartments_Added!A:C,3,FALSE), "Not found"))</f>
        <v>HighwayZOAB</v>
      </c>
      <c r="D92" s="95" t="str">
        <f>IFERROR(IF(VLOOKUP(A92,'Compartments_Kawecki&amp;Nowack19'!A:C,1,FALSE)=A92, "Kawecki","what?"),"Added/changed")</f>
        <v>Added/changed</v>
      </c>
      <c r="F92" s="17"/>
      <c r="G92" s="493" t="str">
        <v>Import of clothing (Global)</v>
      </c>
      <c r="H92" s="310" t="str">
        <v>Footwear reuse</v>
      </c>
      <c r="I92" s="498" t="str">
        <v>Highway DAB</v>
      </c>
      <c r="J92" t="str">
        <v>Consumer bottles</v>
      </c>
    </row>
    <row r="93" spans="1:10" ht="15" thickBot="1">
      <c r="A93" s="74" t="str">
        <v>Highway ZOAB non cleaned</v>
      </c>
      <c r="B93" s="332" t="str">
        <f>IFERROR(VLOOKUP(A93,'Compartments_Kawecki&amp;Nowack19'!A:C,2,FALSE), IFERROR(VLOOKUP(A93,Compartments_Added!A:C,2,FALSE), "Not found"))</f>
        <v>Flow</v>
      </c>
      <c r="C93" s="332" t="str">
        <f>IFERROR(VLOOKUP(A93,'Compartments_Kawecki&amp;Nowack19'!A:C,3,FALSE), IFERROR(VLOOKUP(A93,Compartments_Added!A:C,3,FALSE), "Not found"))</f>
        <v>HighwayZOABnc</v>
      </c>
      <c r="D93" s="95" t="str">
        <f>IFERROR(IF(VLOOKUP(A93,'Compartments_Kawecki&amp;Nowack19'!A:C,1,FALSE)=A93, "Kawecki","what?"),"Added/changed")</f>
        <v>Added/changed</v>
      </c>
      <c r="F93" s="17"/>
      <c r="G93" s="493" t="str">
        <v>Import of plastic sheets</v>
      </c>
      <c r="H93" s="310" t="str">
        <v>Natural soil (micro)</v>
      </c>
      <c r="I93" s="498" t="str">
        <v>Highway DAB non cleaned</v>
      </c>
      <c r="J93" t="str">
        <v>Consumer films</v>
      </c>
    </row>
    <row r="94" spans="1:10" ht="15" thickBot="1">
      <c r="A94" s="74" t="str">
        <v>Home textile waste collection</v>
      </c>
      <c r="B94" s="332" t="str">
        <f>IFERROR(VLOOKUP(A94,'Compartments_Kawecki&amp;Nowack19'!A:C,2,FALSE), IFERROR(VLOOKUP(A94,Compartments_Added!A:C,2,FALSE), "Not found"))</f>
        <v>Flow</v>
      </c>
      <c r="C94" s="332" t="str">
        <f>IFERROR(VLOOKUP(A94,'Compartments_Kawecki&amp;Nowack19'!A:C,3,FALSE), IFERROR(VLOOKUP(A94,Compartments_Added!A:C,3,FALSE), "Not found"))</f>
        <v>HomeTextileWasteCollection</v>
      </c>
      <c r="D94" s="95" t="str">
        <f>IFERROR(IF(VLOOKUP(A94,'Compartments_Kawecki&amp;Nowack19'!A:C,1,FALSE)=A94, "Kawecki","what?"),"Added/changed")</f>
        <v>Added/changed</v>
      </c>
      <c r="F94" s="17"/>
      <c r="G94" s="493" t="str">
        <v>Import of primary plastics</v>
      </c>
      <c r="H94" s="310" t="str">
        <v>Urban roads</v>
      </c>
      <c r="I94" s="498" t="str">
        <v>Highway ZOAB</v>
      </c>
      <c r="J94" t="str">
        <v>Controlled release fertilizer</v>
      </c>
    </row>
    <row r="95" spans="1:10" ht="15" thickBot="1">
      <c r="A95" s="74" t="str">
        <v>Home textiles</v>
      </c>
      <c r="B95" s="332" t="str">
        <f>IFERROR(VLOOKUP(A95,'Compartments_Kawecki&amp;Nowack19'!A:C,2,FALSE), IFERROR(VLOOKUP(A95,Compartments_Added!A:C,2,FALSE), "Not found"))</f>
        <v>Flow</v>
      </c>
      <c r="C95" s="332" t="str">
        <f>IFERROR(VLOOKUP(A95,'Compartments_Kawecki&amp;Nowack19'!A:C,3,FALSE), IFERROR(VLOOKUP(A95,Compartments_Added!A:C,3,FALSE), "Not found"))</f>
        <v>HomeTextiles</v>
      </c>
      <c r="D95" s="95" t="str">
        <f>IFERROR(IF(VLOOKUP(A95,'Compartments_Kawecki&amp;Nowack19'!A:C,1,FALSE)=A95, "Kawecki","what?"),"Added/changed")</f>
        <v>Added/changed</v>
      </c>
      <c r="F95" s="17"/>
      <c r="G95" s="493" t="str">
        <v>Import of yarn</v>
      </c>
      <c r="H95" s="310" t="str">
        <v>Geotextiles (discarded)</v>
      </c>
      <c r="I95" s="498" t="str">
        <v>Highway ZOAB non cleaned</v>
      </c>
      <c r="J95" t="str">
        <v>Detergents and maintenance products</v>
      </c>
    </row>
    <row r="96" spans="1:10" ht="15" thickBot="1">
      <c r="A96" s="74" t="str">
        <v>Home textiles (discarded)</v>
      </c>
      <c r="B96" s="332" t="str">
        <f>IFERROR(VLOOKUP(A96,'Compartments_Kawecki&amp;Nowack19'!A:C,2,FALSE), IFERROR(VLOOKUP(A96,Compartments_Added!A:C,2,FALSE), "Not found"))</f>
        <v>Stock</v>
      </c>
      <c r="C96" s="332" t="str">
        <f>IFERROR(VLOOKUP(A96,'Compartments_Kawecki&amp;Nowack19'!A:C,3,FALSE), IFERROR(VLOOKUP(A96,Compartments_Added!A:C,3,FALSE), "Not found"))</f>
        <v>HomeTextilesDis</v>
      </c>
      <c r="D96" s="95" t="str">
        <f>IFERROR(IF(VLOOKUP(A96,'Compartments_Kawecki&amp;Nowack19'!A:C,1,FALSE)=A96, "Kawecki","what?"),"Added/changed")</f>
        <v>Added/changed</v>
      </c>
      <c r="F96" s="17"/>
      <c r="G96" s="493" t="str">
        <v>Incineration</v>
      </c>
      <c r="H96" s="310" t="str">
        <v>Geotextiles (in use)</v>
      </c>
      <c r="I96" s="498" t="str">
        <v>Home textile waste collection</v>
      </c>
      <c r="J96" t="str">
        <v>Disposable cleaning cloths</v>
      </c>
    </row>
    <row r="97" spans="1:10" ht="15" thickBot="1">
      <c r="A97" s="74" t="str">
        <v>Home textiles (in use)</v>
      </c>
      <c r="B97" s="332" t="str">
        <f>IFERROR(VLOOKUP(A97,'Compartments_Kawecki&amp;Nowack19'!A:C,2,FALSE), IFERROR(VLOOKUP(A97,Compartments_Added!A:C,2,FALSE), "Not found"))</f>
        <v>Stock</v>
      </c>
      <c r="C97" s="332" t="str">
        <f>IFERROR(VLOOKUP(A97,'Compartments_Kawecki&amp;Nowack19'!A:C,3,FALSE), IFERROR(VLOOKUP(A97,Compartments_Added!A:C,3,FALSE), "Not found"))</f>
        <v>HomeTextilesIU</v>
      </c>
      <c r="D97" s="95" t="str">
        <f>IFERROR(IF(VLOOKUP(A97,'Compartments_Kawecki&amp;Nowack19'!A:C,1,FALSE)=A97, "Kawecki","what?"),"Added/changed")</f>
        <v>Added/changed</v>
      </c>
      <c r="F97" s="17"/>
      <c r="G97" s="493" t="str">
        <v>Indoor air (micro)</v>
      </c>
      <c r="H97" s="310" t="str">
        <v>Sub-surface soil (micro)</v>
      </c>
      <c r="I97" s="498" t="str">
        <v>Home textiles</v>
      </c>
      <c r="J97" t="str">
        <v>Domestic primary plastic production</v>
      </c>
    </row>
    <row r="98" spans="1:10" ht="15" thickBot="1">
      <c r="A98" s="74" t="str">
        <v>Import of plastic sheets</v>
      </c>
      <c r="B98" s="332" t="str">
        <f>IFERROR(VLOOKUP(A98,'Compartments_Kawecki&amp;Nowack19'!A:C,2,FALSE), IFERROR(VLOOKUP(A98,Compartments_Added!A:C,2,FALSE), "Not found"))</f>
        <v>Flow</v>
      </c>
      <c r="C98" s="332" t="str">
        <f>IFERROR(VLOOKUP(A98,'Compartments_Kawecki&amp;Nowack19'!A:C,3,FALSE), IFERROR(VLOOKUP(A98,Compartments_Added!A:C,3,FALSE), "Not found"))</f>
        <v>ImportPlasticSheets</v>
      </c>
      <c r="D98" s="95" t="str">
        <f>IFERROR(IF(VLOOKUP(A98,'Compartments_Kawecki&amp;Nowack19'!A:C,1,FALSE)=A98, "Kawecki","what?"),"Added/changed")</f>
        <v>Added/changed</v>
      </c>
      <c r="F98" s="17"/>
      <c r="G98" s="493" t="str">
        <v>Indoor floors (micro)</v>
      </c>
      <c r="H98" s="310" t="str">
        <v>Highway DAB</v>
      </c>
      <c r="I98" s="498" t="str">
        <v>Home textiles (discarded)</v>
      </c>
      <c r="J98" t="str">
        <v>Dresses skirts and jumpsuits</v>
      </c>
    </row>
    <row r="99" spans="1:10" ht="15" thickBot="1">
      <c r="A99" s="74" t="str">
        <v>Import of yarn</v>
      </c>
      <c r="B99" s="332" t="str">
        <f>IFERROR(VLOOKUP(A99,'Compartments_Kawecki&amp;Nowack19'!A:C,2,FALSE), IFERROR(VLOOKUP(A99,Compartments_Added!A:C,2,FALSE), "Not found"))</f>
        <v>Flow</v>
      </c>
      <c r="C99" s="332" t="str">
        <f>IFERROR(VLOOKUP(A99,'Compartments_Kawecki&amp;Nowack19'!A:C,3,FALSE), IFERROR(VLOOKUP(A99,Compartments_Added!A:C,3,FALSE), "Not found"))</f>
        <v>ImportYarn</v>
      </c>
      <c r="D99" s="95" t="str">
        <f>IFERROR(IF(VLOOKUP(A99,'Compartments_Kawecki&amp;Nowack19'!A:C,1,FALSE)=A99, "Kawecki","what?"),"Added/changed")</f>
        <v>Added/changed</v>
      </c>
      <c r="F99" s="17"/>
      <c r="G99" s="493" t="str">
        <v>Industrial stormwater (micro)</v>
      </c>
      <c r="H99" s="310" t="str">
        <v>Highway ZOAB</v>
      </c>
      <c r="I99" s="498" t="str">
        <v>Home textiles (in use)</v>
      </c>
      <c r="J99" t="str">
        <v>Dumping</v>
      </c>
    </row>
    <row r="100" spans="1:10" ht="15" thickBot="1">
      <c r="A100" s="74" t="str">
        <v>Incineration</v>
      </c>
      <c r="B100" s="332" t="str">
        <f>IFERROR(VLOOKUP(A100,'Compartments_Kawecki&amp;Nowack19'!A:C,2,FALSE), IFERROR(VLOOKUP(A100,Compartments_Added!A:C,2,FALSE), "Not found"))</f>
        <v>Flow</v>
      </c>
      <c r="C100" s="332" t="str">
        <f>IFERROR(VLOOKUP(A100,'Compartments_Kawecki&amp;Nowack19'!A:C,3,FALSE), IFERROR(VLOOKUP(A100,Compartments_Added!A:C,3,FALSE), "Not found"))</f>
        <v>Incineration</v>
      </c>
      <c r="D100" s="95" t="str">
        <f>IFERROR(IF(VLOOKUP(A100,'Compartments_Kawecki&amp;Nowack19'!A:C,1,FALSE)=A100, "Kawecki","what?"),"Added/changed")</f>
        <v>Kawecki</v>
      </c>
      <c r="F100" s="17"/>
      <c r="G100" s="493" t="str">
        <v>Infill material sports fields</v>
      </c>
      <c r="H100" s="310" t="str">
        <v>Highway DAB non cleaned</v>
      </c>
      <c r="I100" s="498" t="str">
        <v>Import of plastic sheets</v>
      </c>
      <c r="J100" t="str">
        <v>ELV textiles collection</v>
      </c>
    </row>
    <row r="101" spans="1:10" ht="15" thickBot="1">
      <c r="A101" s="74" t="str">
        <v>Indoor air (micro)</v>
      </c>
      <c r="B101" s="332" t="str">
        <f>IFERROR(VLOOKUP(A101,'Compartments_Kawecki&amp;Nowack19'!A:C,2,FALSE), IFERROR(VLOOKUP(A101,Compartments_Added!A:C,2,FALSE), "Not found"))</f>
        <v>Flow</v>
      </c>
      <c r="C101" s="332" t="str">
        <f>IFERROR(VLOOKUP(A101,'Compartments_Kawecki&amp;Nowack19'!A:C,3,FALSE), IFERROR(VLOOKUP(A101,Compartments_Added!A:C,3,FALSE), "Not found"))</f>
        <v>IndoorAirMicro</v>
      </c>
      <c r="D101" s="95" t="str">
        <f>IFERROR(IF(VLOOKUP(A101,'Compartments_Kawecki&amp;Nowack19'!A:C,1,FALSE)=A101, "Kawecki","what?"),"Added/changed")</f>
        <v>Kawecki</v>
      </c>
      <c r="F101" s="17"/>
      <c r="G101" s="493" t="str">
        <v>Infill material sports fields (discarded)</v>
      </c>
      <c r="H101" s="310" t="str">
        <v>Road cleaning</v>
      </c>
      <c r="I101" s="498" t="str">
        <v>Import of yarn</v>
      </c>
      <c r="J101" t="str">
        <v>Fertilizer additives</v>
      </c>
    </row>
    <row r="102" spans="1:10" ht="15" thickBot="1">
      <c r="A102" s="74" t="str">
        <v>Indoor floors (micro)</v>
      </c>
      <c r="B102" s="332" t="str">
        <f>IFERROR(VLOOKUP(A102,'Compartments_Kawecki&amp;Nowack19'!A:C,2,FALSE), IFERROR(VLOOKUP(A102,Compartments_Added!A:C,2,FALSE), "Not found"))</f>
        <v>Flow</v>
      </c>
      <c r="C102" s="332" t="str">
        <f>IFERROR(VLOOKUP(A102,'Compartments_Kawecki&amp;Nowack19'!A:C,3,FALSE), IFERROR(VLOOKUP(A102,Compartments_Added!A:C,3,FALSE), "Not found"))</f>
        <v>FloorCleaning</v>
      </c>
      <c r="D102" s="95" t="str">
        <f>IFERROR(IF(VLOOKUP(A102,'Compartments_Kawecki&amp;Nowack19'!A:C,1,FALSE)=A102, "Kawecki","what?"),"Added/changed")</f>
        <v>Kawecki</v>
      </c>
      <c r="F102" s="17"/>
      <c r="G102" s="493" t="str">
        <v>Infill material sports fields (in use)</v>
      </c>
      <c r="H102" s="310" t="str">
        <v>Road side soil (micro)</v>
      </c>
      <c r="I102" s="498" t="str">
        <v>Incineration</v>
      </c>
      <c r="J102" t="str">
        <v>Food additives</v>
      </c>
    </row>
    <row r="103" spans="1:10" ht="15" thickBot="1">
      <c r="A103" s="74" t="str">
        <v>Industrial stormwater (micro)</v>
      </c>
      <c r="B103" s="332" t="str">
        <f>IFERROR(VLOOKUP(A103,'Compartments_Kawecki&amp;Nowack19'!A:C,2,FALSE), IFERROR(VLOOKUP(A103,Compartments_Added!A:C,2,FALSE), "Not found"))</f>
        <v>Sink</v>
      </c>
      <c r="C103" s="332" t="str">
        <f>IFERROR(VLOOKUP(A103,'Compartments_Kawecki&amp;Nowack19'!A:C,3,FALSE), IFERROR(VLOOKUP(A103,Compartments_Added!A:C,3,FALSE), "Not found"))</f>
        <v>IndustrialStormwaterMicro</v>
      </c>
      <c r="D103" s="95" t="str">
        <f>IFERROR(IF(VLOOKUP(A103,'Compartments_Kawecki&amp;Nowack19'!A:C,1,FALSE)=A103, "Kawecki","what?"),"Added/changed")</f>
        <v>Added/changed</v>
      </c>
      <c r="F103" s="17"/>
      <c r="G103" s="493" t="str">
        <v>Intentionally produced microparticles</v>
      </c>
      <c r="H103" s="310" t="str">
        <v>Highway ZOAB non cleaned</v>
      </c>
      <c r="I103" s="498" t="str">
        <v>Indoor air (micro)</v>
      </c>
      <c r="J103" t="str">
        <v>Footwear waste collection</v>
      </c>
    </row>
    <row r="104" spans="1:10" ht="15" thickBot="1">
      <c r="A104" s="74" t="str">
        <v>Infill material sports fields</v>
      </c>
      <c r="B104" s="332" t="str">
        <f>IFERROR(VLOOKUP(A104,'Compartments_Kawecki&amp;Nowack19'!A:C,2,FALSE), IFERROR(VLOOKUP(A104,Compartments_Added!A:C,2,FALSE), "Not found"))</f>
        <v>Flow</v>
      </c>
      <c r="C104" s="332" t="str">
        <f>IFERROR(VLOOKUP(A104,'Compartments_Kawecki&amp;Nowack19'!A:C,3,FALSE), IFERROR(VLOOKUP(A104,Compartments_Added!A:C,3,FALSE), "Not found"))</f>
        <v>InfillSportsField</v>
      </c>
      <c r="D104" s="95" t="str">
        <f>IFERROR(IF(VLOOKUP(A104,'Compartments_Kawecki&amp;Nowack19'!A:C,1,FALSE)=A104, "Kawecki","what?"),"Added/changed")</f>
        <v>Added/changed</v>
      </c>
      <c r="F104" s="17"/>
      <c r="G104" s="493" t="str">
        <v>Invitro diagnostic devices</v>
      </c>
      <c r="H104" s="310" t="str">
        <v>Home textiles (discarded)</v>
      </c>
      <c r="I104" s="498" t="str">
        <v>Indoor floors (micro)</v>
      </c>
      <c r="J104" t="str">
        <v>Footwear wearing (soles)</v>
      </c>
    </row>
    <row r="105" spans="1:10" ht="15" thickBot="1">
      <c r="A105" s="74" t="str">
        <v>Infill material sports fields (discarded)</v>
      </c>
      <c r="B105" s="332" t="str">
        <f>IFERROR(VLOOKUP(A105,'Compartments_Kawecki&amp;Nowack19'!A:C,2,FALSE), IFERROR(VLOOKUP(A105,Compartments_Added!A:C,2,FALSE), "Not found"))</f>
        <v>Stock</v>
      </c>
      <c r="C105" s="332" t="str">
        <f>IFERROR(VLOOKUP(A105,'Compartments_Kawecki&amp;Nowack19'!A:C,3,FALSE), IFERROR(VLOOKUP(A105,Compartments_Added!A:C,3,FALSE), "Not found"))</f>
        <v>InfillSportsFieldDis</v>
      </c>
      <c r="D105" s="95" t="str">
        <f>IFERROR(IF(VLOOKUP(A105,'Compartments_Kawecki&amp;Nowack19'!A:C,1,FALSE)=A105, "Kawecki","what?"),"Added/changed")</f>
        <v>Added/changed</v>
      </c>
      <c r="F105" s="17"/>
      <c r="G105" s="493" t="str">
        <v>Jackets and coats</v>
      </c>
      <c r="H105" s="310" t="str">
        <v>Home textiles (in use)</v>
      </c>
      <c r="I105" s="498" t="str">
        <v>Industrial stormwater (micro)</v>
      </c>
      <c r="J105" t="str">
        <v>Footwear wearing (uppers)</v>
      </c>
    </row>
    <row r="106" spans="1:10" ht="15" thickBot="1">
      <c r="A106" s="74" t="str">
        <v>Infill material sports fields (in use)</v>
      </c>
      <c r="B106" s="332" t="str">
        <f>IFERROR(VLOOKUP(A106,'Compartments_Kawecki&amp;Nowack19'!A:C,2,FALSE), IFERROR(VLOOKUP(A106,Compartments_Added!A:C,2,FALSE), "Not found"))</f>
        <v>Stock</v>
      </c>
      <c r="C106" s="332" t="str">
        <f>IFERROR(VLOOKUP(A106,'Compartments_Kawecki&amp;Nowack19'!A:C,3,FALSE), IFERROR(VLOOKUP(A106,Compartments_Added!A:C,3,FALSE), "Not found"))</f>
        <v>InfillSportsFieldU</v>
      </c>
      <c r="D106" s="95" t="str">
        <f>IFERROR(IF(VLOOKUP(A106,'Compartments_Kawecki&amp;Nowack19'!A:C,1,FALSE)=A106, "Kawecki","what?"),"Added/changed")</f>
        <v>Added/changed</v>
      </c>
      <c r="F106" s="17"/>
      <c r="G106" s="493" t="str">
        <v>Lacquer (DIY)</v>
      </c>
      <c r="H106" s="310" t="str">
        <v>Home textile waste collection</v>
      </c>
      <c r="I106" s="498" t="str">
        <v>Infill material sports fields</v>
      </c>
      <c r="J106" t="str">
        <v>Geotextiles</v>
      </c>
    </row>
    <row r="107" spans="1:10" ht="15" thickBot="1">
      <c r="A107" s="74" t="str">
        <v>Invitro diagnostic devices</v>
      </c>
      <c r="B107" s="332" t="str">
        <f>IFERROR(VLOOKUP(A107,'Compartments_Kawecki&amp;Nowack19'!A:C,2,FALSE), IFERROR(VLOOKUP(A107,Compartments_Added!A:C,2,FALSE), "Not found"))</f>
        <v>Flow</v>
      </c>
      <c r="C107" s="332" t="str">
        <f>IFERROR(VLOOKUP(A107,'Compartments_Kawecki&amp;Nowack19'!A:C,3,FALSE), IFERROR(VLOOKUP(A107,Compartments_Added!A:C,3,FALSE), "Not found"))</f>
        <v>IVD</v>
      </c>
      <c r="D107" s="95" t="str">
        <f>IFERROR(IF(VLOOKUP(A107,'Compartments_Kawecki&amp;Nowack19'!A:C,1,FALSE)=A107, "Kawecki","what?"),"Added/changed")</f>
        <v>Added/changed</v>
      </c>
      <c r="F107" s="17"/>
      <c r="G107" s="493" t="str">
        <v>Lacquer (DIY) indoor</v>
      </c>
      <c r="H107" s="310" t="str">
        <v>Disposable cleaning cloths</v>
      </c>
      <c r="I107" s="498" t="str">
        <v>Infill material sports fields (discarded)</v>
      </c>
      <c r="J107" t="str">
        <v>Geotextiles (discarded)</v>
      </c>
    </row>
    <row r="108" spans="1:10" ht="15" thickBot="1">
      <c r="A108" s="74" t="str">
        <v>Jackets and coats</v>
      </c>
      <c r="B108" s="332" t="str">
        <f>IFERROR(VLOOKUP(A108,'Compartments_Kawecki&amp;Nowack19'!A:C,2,FALSE), IFERROR(VLOOKUP(A108,Compartments_Added!A:C,2,FALSE), "Not found"))</f>
        <v>Stock</v>
      </c>
      <c r="C108" s="332" t="str">
        <f>IFERROR(VLOOKUP(A108,'Compartments_Kawecki&amp;Nowack19'!A:C,3,FALSE), IFERROR(VLOOKUP(A108,Compartments_Added!A:C,3,FALSE), "Not found"))</f>
        <v>JacketsCoats</v>
      </c>
      <c r="D108" s="95" t="str">
        <f>IFERROR(IF(VLOOKUP(A108,'Compartments_Kawecki&amp;Nowack19'!A:C,1,FALSE)=A108, "Kawecki","what?"),"Added/changed")</f>
        <v>Added/changed</v>
      </c>
      <c r="F108" s="17"/>
      <c r="G108" s="493" t="str">
        <v>Lacquer (DIY) indoor (discarded)</v>
      </c>
      <c r="H108" s="310" t="str">
        <v>Home textiles</v>
      </c>
      <c r="I108" s="498" t="str">
        <v>Infill material sports fields (in use)</v>
      </c>
      <c r="J108" t="str">
        <v>Geotextiles (in use)</v>
      </c>
    </row>
    <row r="109" spans="1:10" ht="15" thickBot="1">
      <c r="A109" s="74" t="str">
        <v>Lacquer (DIY)</v>
      </c>
      <c r="B109" s="332" t="str">
        <f>IFERROR(VLOOKUP(A109,'Compartments_Kawecki&amp;Nowack19'!A:C,2,FALSE), IFERROR(VLOOKUP(A109,Compartments_Added!A:C,2,FALSE), "Not found"))</f>
        <v>Flow</v>
      </c>
      <c r="C109" s="332" t="str">
        <f>IFERROR(VLOOKUP(A109,'Compartments_Kawecki&amp;Nowack19'!A:C,3,FALSE), IFERROR(VLOOKUP(A109,Compartments_Added!A:C,3,FALSE), "Not found"))</f>
        <v>LacquerDiy</v>
      </c>
      <c r="D109" s="95" t="str">
        <f>IFERROR(IF(VLOOKUP(A109,'Compartments_Kawecki&amp;Nowack19'!A:C,1,FALSE)=A109, "Kawecki","what?"),"Added/changed")</f>
        <v>Added/changed</v>
      </c>
      <c r="F109" s="17"/>
      <c r="G109" s="493" t="str">
        <v>Lacquer (DIY) indoor (in use)</v>
      </c>
      <c r="H109" s="310" t="str">
        <v>Panty liners</v>
      </c>
      <c r="I109" s="498" t="str">
        <v>Invitro diagnostic devices</v>
      </c>
      <c r="J109" t="str">
        <v>Highway</v>
      </c>
    </row>
    <row r="110" spans="1:10" ht="15" thickBot="1">
      <c r="A110" s="74" t="str">
        <v>Lacquer (DIY) indoor</v>
      </c>
      <c r="B110" s="332" t="str">
        <f>IFERROR(VLOOKUP(A110,'Compartments_Kawecki&amp;Nowack19'!A:C,2,FALSE), IFERROR(VLOOKUP(A110,Compartments_Added!A:C,2,FALSE), "Not found"))</f>
        <v>Flow</v>
      </c>
      <c r="C110" s="332" t="str">
        <f>IFERROR(VLOOKUP(A110,'Compartments_Kawecki&amp;Nowack19'!A:C,3,FALSE), IFERROR(VLOOKUP(A110,Compartments_Added!A:C,3,FALSE), "Not found"))</f>
        <v>LacquerDiyIn</v>
      </c>
      <c r="D110" s="95" t="str">
        <f>IFERROR(IF(VLOOKUP(A110,'Compartments_Kawecki&amp;Nowack19'!A:C,1,FALSE)=A110, "Kawecki","what?"),"Added/changed")</f>
        <v>Added/changed</v>
      </c>
      <c r="F110" s="17"/>
      <c r="G110" s="493" t="str">
        <v>Lacquer (DIY) outdoor</v>
      </c>
      <c r="H110" s="310" t="str">
        <v>Sanitary pads</v>
      </c>
      <c r="I110" s="498" t="str">
        <v>Jackets and coats</v>
      </c>
      <c r="J110" t="str">
        <v>Highway DAB</v>
      </c>
    </row>
    <row r="111" spans="1:10" ht="15" thickBot="1">
      <c r="A111" s="74" t="str">
        <v>Lacquer (DIY) indoor (discarded)</v>
      </c>
      <c r="B111" s="332" t="str">
        <f>IFERROR(VLOOKUP(A111,'Compartments_Kawecki&amp;Nowack19'!A:C,2,FALSE), IFERROR(VLOOKUP(A111,Compartments_Added!A:C,2,FALSE), "Not found"))</f>
        <v>Stock</v>
      </c>
      <c r="C111" s="332" t="str">
        <f>IFERROR(VLOOKUP(A111,'Compartments_Kawecki&amp;Nowack19'!A:C,3,FALSE), IFERROR(VLOOKUP(A111,Compartments_Added!A:C,3,FALSE), "Not found"))</f>
        <v>LacquerDiyInDis</v>
      </c>
      <c r="D111" s="95" t="str">
        <f>IFERROR(IF(VLOOKUP(A111,'Compartments_Kawecki&amp;Nowack19'!A:C,1,FALSE)=A111, "Kawecki","what?"),"Added/changed")</f>
        <v>Added/changed</v>
      </c>
      <c r="F111" s="17"/>
      <c r="G111" s="493" t="str">
        <v>Lacquer (DIY) outdoor (discarded)</v>
      </c>
      <c r="H111" s="310" t="str">
        <v>Tampons</v>
      </c>
      <c r="I111" s="498" t="str">
        <v>Lacquer (DIY)</v>
      </c>
      <c r="J111" t="str">
        <v>Highway DAB non cleaned</v>
      </c>
    </row>
    <row r="112" spans="1:10" ht="15" thickBot="1">
      <c r="A112" s="74" t="str">
        <v>Lacquer (DIY) indoor (in use)</v>
      </c>
      <c r="B112" s="332" t="str">
        <f>IFERROR(VLOOKUP(A112,'Compartments_Kawecki&amp;Nowack19'!A:C,2,FALSE), IFERROR(VLOOKUP(A112,Compartments_Added!A:C,2,FALSE), "Not found"))</f>
        <v>Stock</v>
      </c>
      <c r="C112" s="332" t="str">
        <f>IFERROR(VLOOKUP(A112,'Compartments_Kawecki&amp;Nowack19'!A:C,3,FALSE), IFERROR(VLOOKUP(A112,Compartments_Added!A:C,3,FALSE), "Not found"))</f>
        <v>LacquerDiyInIU</v>
      </c>
      <c r="D112" s="95" t="str">
        <f>IFERROR(IF(VLOOKUP(A112,'Compartments_Kawecki&amp;Nowack19'!A:C,1,FALSE)=A112, "Kawecki","what?"),"Added/changed")</f>
        <v>Added/changed</v>
      </c>
      <c r="F112" s="17"/>
      <c r="G112" s="493" t="str">
        <v>Lacquer (DIY) outdoor (in use)</v>
      </c>
      <c r="H112" s="310" t="str">
        <v>Wet wipes</v>
      </c>
      <c r="I112" s="498" t="str">
        <v>Lacquer (DIY) indoor</v>
      </c>
      <c r="J112" t="str">
        <v>Highway ZOAB</v>
      </c>
    </row>
    <row r="113" spans="1:10" ht="15" thickBot="1">
      <c r="A113" s="74" t="str">
        <v>Lacquer (DIY) outdoor</v>
      </c>
      <c r="B113" s="332" t="str">
        <f>IFERROR(VLOOKUP(A113,'Compartments_Kawecki&amp;Nowack19'!A:C,2,FALSE), IFERROR(VLOOKUP(A113,Compartments_Added!A:C,2,FALSE), "Not found"))</f>
        <v>Flow</v>
      </c>
      <c r="C113" s="332" t="str">
        <f>IFERROR(VLOOKUP(A113,'Compartments_Kawecki&amp;Nowack19'!A:C,3,FALSE), IFERROR(VLOOKUP(A113,Compartments_Added!A:C,3,FALSE), "Not found"))</f>
        <v>LacquerDiyOut</v>
      </c>
      <c r="D113" s="95" t="str">
        <f>IFERROR(IF(VLOOKUP(A113,'Compartments_Kawecki&amp;Nowack19'!A:C,1,FALSE)=A113, "Kawecki","what?"),"Added/changed")</f>
        <v>Added/changed</v>
      </c>
      <c r="F113" s="17"/>
      <c r="G113" s="493" t="str">
        <v>Lacquer (prof)</v>
      </c>
      <c r="H113" s="310" t="str">
        <v>Clothing (product sector)</v>
      </c>
      <c r="I113" s="498" t="str">
        <v>Lacquer (DIY) indoor (discarded)</v>
      </c>
      <c r="J113" t="str">
        <v>Highway ZOAB non cleaned</v>
      </c>
    </row>
    <row r="114" spans="1:10" ht="15" thickBot="1">
      <c r="A114" s="74" t="str">
        <v>Lacquer (DIY) outdoor (discarded)</v>
      </c>
      <c r="B114" s="332" t="str">
        <f>IFERROR(VLOOKUP(A114,'Compartments_Kawecki&amp;Nowack19'!A:C,2,FALSE), IFERROR(VLOOKUP(A114,Compartments_Added!A:C,2,FALSE), "Not found"))</f>
        <v>Stock</v>
      </c>
      <c r="C114" s="332" t="str">
        <f>IFERROR(VLOOKUP(A114,'Compartments_Kawecki&amp;Nowack19'!A:C,3,FALSE), IFERROR(VLOOKUP(A114,Compartments_Added!A:C,3,FALSE), "Not found"))</f>
        <v>LacquerDiyOutDis</v>
      </c>
      <c r="D114" s="95" t="str">
        <f>IFERROR(IF(VLOOKUP(A114,'Compartments_Kawecki&amp;Nowack19'!A:C,1,FALSE)=A114, "Kawecki","what?"),"Added/changed")</f>
        <v>Added/changed</v>
      </c>
      <c r="F114" s="17"/>
      <c r="G114" s="493" t="str">
        <v>Lacquer (prof) indoor</v>
      </c>
      <c r="H114" s="310" t="str">
        <v>Manufacturing of clothing</v>
      </c>
      <c r="I114" s="498" t="str">
        <v>Lacquer (DIY) indoor (in use)</v>
      </c>
      <c r="J114" t="str">
        <v>Home textile waste collection</v>
      </c>
    </row>
    <row r="115" spans="1:10" ht="15" thickBot="1">
      <c r="A115" s="74" t="str">
        <v>Lacquer (DIY) outdoor (in use)</v>
      </c>
      <c r="B115" s="332" t="str">
        <f>IFERROR(VLOOKUP(A115,'Compartments_Kawecki&amp;Nowack19'!A:C,2,FALSE), IFERROR(VLOOKUP(A115,Compartments_Added!A:C,2,FALSE), "Not found"))</f>
        <v>Stock</v>
      </c>
      <c r="C115" s="332" t="str">
        <f>IFERROR(VLOOKUP(A115,'Compartments_Kawecki&amp;Nowack19'!A:C,3,FALSE), IFERROR(VLOOKUP(A115,Compartments_Added!A:C,3,FALSE), "Not found"))</f>
        <v>LacquerDiyOutIU</v>
      </c>
      <c r="D115" s="95" t="str">
        <f>IFERROR(IF(VLOOKUP(A115,'Compartments_Kawecki&amp;Nowack19'!A:C,1,FALSE)=A115, "Kawecki","what?"),"Added/changed")</f>
        <v>Added/changed</v>
      </c>
      <c r="F115" s="17"/>
      <c r="G115" s="493" t="str">
        <v>Lacquer (prof) indoor (discarded)</v>
      </c>
      <c r="H115" s="310" t="str">
        <v>Elimination</v>
      </c>
      <c r="I115" s="498" t="str">
        <v>Lacquer (DIY) outdoor</v>
      </c>
      <c r="J115" t="str">
        <v>Home textiles</v>
      </c>
    </row>
    <row r="116" spans="1:10" ht="15" thickBot="1">
      <c r="A116" s="74" t="str">
        <v>Lacquer (prof)</v>
      </c>
      <c r="B116" s="332" t="str">
        <f>IFERROR(VLOOKUP(A116,'Compartments_Kawecki&amp;Nowack19'!A:C,2,FALSE), IFERROR(VLOOKUP(A116,Compartments_Added!A:C,2,FALSE), "Not found"))</f>
        <v>Flow</v>
      </c>
      <c r="C116" s="332" t="str">
        <f>IFERROR(VLOOKUP(A116,'Compartments_Kawecki&amp;Nowack19'!A:C,3,FALSE), IFERROR(VLOOKUP(A116,Compartments_Added!A:C,3,FALSE), "Not found"))</f>
        <v>LacquerProf</v>
      </c>
      <c r="D116" s="95" t="str">
        <f>IFERROR(IF(VLOOKUP(A116,'Compartments_Kawecki&amp;Nowack19'!A:C,1,FALSE)=A116, "Kawecki","what?"),"Added/changed")</f>
        <v>Added/changed</v>
      </c>
      <c r="F116" s="17"/>
      <c r="G116" s="493" t="str">
        <v>Lacquer (prof) indoor (in use)</v>
      </c>
      <c r="H116" s="310" t="str">
        <v>Wastewater treatment plant (micro)</v>
      </c>
      <c r="I116" s="498" t="str">
        <v>Lacquer (DIY) outdoor (discarded)</v>
      </c>
      <c r="J116" t="str">
        <v>Home textiles (discarded)</v>
      </c>
    </row>
    <row r="117" spans="1:10" ht="15" thickBot="1">
      <c r="A117" s="74" t="str">
        <v>Lacquer (prof) indoor</v>
      </c>
      <c r="B117" s="332" t="str">
        <f>IFERROR(VLOOKUP(A117,'Compartments_Kawecki&amp;Nowack19'!A:C,2,FALSE), IFERROR(VLOOKUP(A117,Compartments_Added!A:C,2,FALSE), "Not found"))</f>
        <v>Flow</v>
      </c>
      <c r="C117" s="332" t="str">
        <f>IFERROR(VLOOKUP(A117,'Compartments_Kawecki&amp;Nowack19'!A:C,3,FALSE), IFERROR(VLOOKUP(A117,Compartments_Added!A:C,3,FALSE), "Not found"))</f>
        <v>LacquerProfIn</v>
      </c>
      <c r="D117" s="95" t="str">
        <f>IFERROR(IF(VLOOKUP(A117,'Compartments_Kawecki&amp;Nowack19'!A:C,1,FALSE)=A117, "Kawecki","what?"),"Added/changed")</f>
        <v>Added/changed</v>
      </c>
      <c r="F117" s="17"/>
      <c r="G117" s="493" t="str">
        <v>Lacquer (prof) outdoor</v>
      </c>
      <c r="H117" s="310" t="str">
        <v>Infill material sports fields (discarded)</v>
      </c>
      <c r="I117" s="498" t="str">
        <v>Lacquer (DIY) outdoor (in use)</v>
      </c>
      <c r="J117" t="str">
        <v>Home textiles (in use)</v>
      </c>
    </row>
    <row r="118" spans="1:10" ht="15" thickBot="1">
      <c r="A118" s="74" t="str">
        <v>Lacquer (prof) indoor (discarded)</v>
      </c>
      <c r="B118" s="332" t="str">
        <f>IFERROR(VLOOKUP(A118,'Compartments_Kawecki&amp;Nowack19'!A:C,2,FALSE), IFERROR(VLOOKUP(A118,Compartments_Added!A:C,2,FALSE), "Not found"))</f>
        <v>Stock</v>
      </c>
      <c r="C118" s="332" t="str">
        <f>IFERROR(VLOOKUP(A118,'Compartments_Kawecki&amp;Nowack19'!A:C,3,FALSE), IFERROR(VLOOKUP(A118,Compartments_Added!A:C,3,FALSE), "Not found"))</f>
        <v>LacquerProfInDis</v>
      </c>
      <c r="D118" s="95" t="str">
        <f>IFERROR(IF(VLOOKUP(A118,'Compartments_Kawecki&amp;Nowack19'!A:C,1,FALSE)=A118, "Kawecki","what?"),"Added/changed")</f>
        <v>Added/changed</v>
      </c>
      <c r="F118" s="17"/>
      <c r="G118" s="493" t="str">
        <v>Lacquer (prof) outdoor (discarded)</v>
      </c>
      <c r="H118" s="310" t="str">
        <v>Infill material sports fields (in use)</v>
      </c>
      <c r="I118" s="498" t="str">
        <v>Lacquer (prof)</v>
      </c>
      <c r="J118" t="str">
        <v>Household textiles (product sector)</v>
      </c>
    </row>
    <row r="119" spans="1:10" ht="15" thickBot="1">
      <c r="A119" s="74" t="str">
        <v>Lacquer (prof) indoor (in use)</v>
      </c>
      <c r="B119" s="332" t="str">
        <f>IFERROR(VLOOKUP(A119,'Compartments_Kawecki&amp;Nowack19'!A:C,2,FALSE), IFERROR(VLOOKUP(A119,Compartments_Added!A:C,2,FALSE), "Not found"))</f>
        <v>Stock</v>
      </c>
      <c r="C119" s="332" t="str">
        <f>IFERROR(VLOOKUP(A119,'Compartments_Kawecki&amp;Nowack19'!A:C,3,FALSE), IFERROR(VLOOKUP(A119,Compartments_Added!A:C,3,FALSE), "Not found"))</f>
        <v>LacquerProfInIU</v>
      </c>
      <c r="D119" s="95" t="str">
        <f>IFERROR(IF(VLOOKUP(A119,'Compartments_Kawecki&amp;Nowack19'!A:C,1,FALSE)=A119, "Kawecki","what?"),"Added/changed")</f>
        <v>Added/changed</v>
      </c>
      <c r="F119" s="17"/>
      <c r="G119" s="493" t="str">
        <v>Lacquer (prof) outdoor (in use)</v>
      </c>
      <c r="H119" s="310" t="str">
        <v>Controlled release fertilizer</v>
      </c>
      <c r="I119" s="498" t="str">
        <v>Lacquer (prof) indoor</v>
      </c>
      <c r="J119" t="str">
        <v>Import of clothing (EU)</v>
      </c>
    </row>
    <row r="120" spans="1:10" ht="15" thickBot="1">
      <c r="A120" s="74" t="str">
        <v>Lacquer (prof) outdoor</v>
      </c>
      <c r="B120" s="332" t="str">
        <f>IFERROR(VLOOKUP(A120,'Compartments_Kawecki&amp;Nowack19'!A:C,2,FALSE), IFERROR(VLOOKUP(A120,Compartments_Added!A:C,2,FALSE), "Not found"))</f>
        <v>Flow</v>
      </c>
      <c r="C120" s="332" t="str">
        <f>IFERROR(VLOOKUP(A120,'Compartments_Kawecki&amp;Nowack19'!A:C,3,FALSE), IFERROR(VLOOKUP(A120,Compartments_Added!A:C,3,FALSE), "Not found"))</f>
        <v>LacquerProfOut</v>
      </c>
      <c r="D120" s="95" t="str">
        <f>IFERROR(IF(VLOOKUP(A120,'Compartments_Kawecki&amp;Nowack19'!A:C,1,FALSE)=A120, "Kawecki","what?"),"Added/changed")</f>
        <v>Added/changed</v>
      </c>
      <c r="F120" s="17"/>
      <c r="G120" s="493" t="str">
        <v>Leggings stockings tights and socks</v>
      </c>
      <c r="H120" s="310" t="str">
        <v>Detergents and maintenance products</v>
      </c>
      <c r="I120" s="498" t="str">
        <v>Lacquer (prof) indoor (discarded)</v>
      </c>
      <c r="J120" t="str">
        <v>Import of clothing (Global)</v>
      </c>
    </row>
    <row r="121" spans="1:10" ht="15" thickBot="1">
      <c r="A121" s="74" t="str">
        <v>Lacquer (prof) outdoor (discarded)</v>
      </c>
      <c r="B121" s="332" t="str">
        <f>IFERROR(VLOOKUP(A121,'Compartments_Kawecki&amp;Nowack19'!A:C,2,FALSE), IFERROR(VLOOKUP(A121,Compartments_Added!A:C,2,FALSE), "Not found"))</f>
        <v>Stock</v>
      </c>
      <c r="C121" s="332" t="str">
        <f>IFERROR(VLOOKUP(A121,'Compartments_Kawecki&amp;Nowack19'!A:C,3,FALSE), IFERROR(VLOOKUP(A121,Compartments_Added!A:C,3,FALSE), "Not found"))</f>
        <v>LacquerProfOutDis</v>
      </c>
      <c r="D121" s="95" t="str">
        <f>IFERROR(IF(VLOOKUP(A121,'Compartments_Kawecki&amp;Nowack19'!A:C,1,FALSE)=A121, "Kawecki","what?"),"Added/changed")</f>
        <v>Added/changed</v>
      </c>
      <c r="F121" s="17"/>
      <c r="G121" s="493" t="str">
        <v>Lint filter (CHETD)</v>
      </c>
      <c r="H121" s="310" t="str">
        <v>Fertilizer additives</v>
      </c>
      <c r="I121" s="498" t="str">
        <v>Lacquer (prof) indoor (in use)</v>
      </c>
      <c r="J121" t="str">
        <v>Import of plastic sheets</v>
      </c>
    </row>
    <row r="122" spans="1:10" ht="15" thickBot="1">
      <c r="A122" s="74" t="str">
        <v>Lacquer (prof) outdoor (in use)</v>
      </c>
      <c r="B122" s="332" t="str">
        <f>IFERROR(VLOOKUP(A122,'Compartments_Kawecki&amp;Nowack19'!A:C,2,FALSE), IFERROR(VLOOKUP(A122,Compartments_Added!A:C,2,FALSE), "Not found"))</f>
        <v>Stock</v>
      </c>
      <c r="C122" s="332" t="str">
        <f>IFERROR(VLOOKUP(A122,'Compartments_Kawecki&amp;Nowack19'!A:C,3,FALSE), IFERROR(VLOOKUP(A122,Compartments_Added!A:C,3,FALSE), "Not found"))</f>
        <v>LacquerProfOutIU</v>
      </c>
      <c r="D122" s="95" t="str">
        <f>IFERROR(IF(VLOOKUP(A122,'Compartments_Kawecki&amp;Nowack19'!A:C,1,FALSE)=A122, "Kawecki","what?"),"Added/changed")</f>
        <v>Added/changed</v>
      </c>
      <c r="F122" s="17"/>
      <c r="G122" s="493" t="str">
        <v>Lint filter (CHPTD)</v>
      </c>
      <c r="H122" s="310" t="str">
        <v>Food additives</v>
      </c>
      <c r="I122" s="498" t="str">
        <v>Lacquer (prof) outdoor</v>
      </c>
      <c r="J122" t="str">
        <v>Import of primary plastics</v>
      </c>
    </row>
    <row r="123" spans="1:10" ht="15" thickBot="1">
      <c r="A123" s="74" t="str">
        <v>Leggings stockings tights and socks</v>
      </c>
      <c r="B123" s="332" t="str">
        <f>IFERROR(VLOOKUP(A123,'Compartments_Kawecki&amp;Nowack19'!A:C,2,FALSE), IFERROR(VLOOKUP(A123,Compartments_Added!A:C,2,FALSE), "Not found"))</f>
        <v>Stock</v>
      </c>
      <c r="C123" s="332" t="str">
        <f>IFERROR(VLOOKUP(A123,'Compartments_Kawecki&amp;Nowack19'!A:C,3,FALSE), IFERROR(VLOOKUP(A123,Compartments_Added!A:C,3,FALSE), "Not found"))</f>
        <v>LeggingsStockingsTightsSocks</v>
      </c>
      <c r="D123" s="95" t="str">
        <f>IFERROR(IF(VLOOKUP(A123,'Compartments_Kawecki&amp;Nowack19'!A:C,1,FALSE)=A123, "Kawecki","what?"),"Added/changed")</f>
        <v>Added/changed</v>
      </c>
      <c r="F123" s="17"/>
      <c r="G123" s="493" t="str">
        <v>Lint filter (VTD)</v>
      </c>
      <c r="H123" s="310" t="str">
        <v>Infill material sports fields</v>
      </c>
      <c r="I123" s="498" t="str">
        <v>Lacquer (prof) outdoor (discarded)</v>
      </c>
      <c r="J123" t="str">
        <v>Import of yarn</v>
      </c>
    </row>
    <row r="124" spans="1:10" ht="15" thickBot="1">
      <c r="A124" s="74" t="str">
        <v>Lint filter (CHETD)</v>
      </c>
      <c r="B124" s="332" t="str">
        <f>IFERROR(VLOOKUP(A124,'Compartments_Kawecki&amp;Nowack19'!A:C,2,FALSE), IFERROR(VLOOKUP(A124,Compartments_Added!A:C,2,FALSE), "Not found"))</f>
        <v>Flow</v>
      </c>
      <c r="C124" s="332" t="str">
        <f>IFERROR(VLOOKUP(A124,'Compartments_Kawecki&amp;Nowack19'!A:C,3,FALSE), IFERROR(VLOOKUP(A124,Compartments_Added!A:C,3,FALSE), "Not found"))</f>
        <v>LintFilterCHETD</v>
      </c>
      <c r="D124" s="95" t="str">
        <f>IFERROR(IF(VLOOKUP(A124,'Compartments_Kawecki&amp;Nowack19'!A:C,1,FALSE)=A124, "Kawecki","what?"),"Added/changed")</f>
        <v>Added/changed</v>
      </c>
      <c r="F124" s="17"/>
      <c r="G124" s="493" t="str">
        <v>Litter in natural environments</v>
      </c>
      <c r="H124" s="310" t="str">
        <v>Invitro diagnostic devices</v>
      </c>
      <c r="I124" s="498" t="str">
        <v>Lacquer (prof) outdoor (in use)</v>
      </c>
      <c r="J124" t="str">
        <v>Incineration</v>
      </c>
    </row>
    <row r="125" spans="1:10" ht="15" thickBot="1">
      <c r="A125" s="74" t="str">
        <v>Lint filter (CHPTD)</v>
      </c>
      <c r="B125" s="332" t="str">
        <f>IFERROR(VLOOKUP(A125,'Compartments_Kawecki&amp;Nowack19'!A:C,2,FALSE), IFERROR(VLOOKUP(A125,Compartments_Added!A:C,2,FALSE), "Not found"))</f>
        <v>Flow</v>
      </c>
      <c r="C125" s="332" t="str">
        <f>IFERROR(VLOOKUP(A125,'Compartments_Kawecki&amp;Nowack19'!A:C,3,FALSE), IFERROR(VLOOKUP(A125,Compartments_Added!A:C,3,FALSE), "Not found"))</f>
        <v>LintFilterCHPTD</v>
      </c>
      <c r="D125" s="95" t="str">
        <f>IFERROR(IF(VLOOKUP(A125,'Compartments_Kawecki&amp;Nowack19'!A:C,1,FALSE)=A125, "Kawecki","what?"),"Added/changed")</f>
        <v>Added/changed</v>
      </c>
      <c r="F125" s="17"/>
      <c r="G125" s="493" t="str">
        <v>Litter in residential environments</v>
      </c>
      <c r="H125" s="310" t="str">
        <v>Medicine diffusion limitation (slow release)</v>
      </c>
      <c r="I125" s="498" t="str">
        <v>Leggings stockings tights and socks</v>
      </c>
      <c r="J125" t="str">
        <v>Indoor air (micro)</v>
      </c>
    </row>
    <row r="126" spans="1:10" ht="15" thickBot="1">
      <c r="A126" s="74" t="str">
        <v>Lint filter (VTD)</v>
      </c>
      <c r="B126" s="332" t="str">
        <f>IFERROR(VLOOKUP(A126,'Compartments_Kawecki&amp;Nowack19'!A:C,2,FALSE), IFERROR(VLOOKUP(A126,Compartments_Added!A:C,2,FALSE), "Not found"))</f>
        <v>Flow</v>
      </c>
      <c r="C126" s="332" t="str">
        <f>IFERROR(VLOOKUP(A126,'Compartments_Kawecki&amp;Nowack19'!A:C,3,FALSE), IFERROR(VLOOKUP(A126,Compartments_Added!A:C,3,FALSE), "Not found"))</f>
        <v>LintFilterVTD</v>
      </c>
      <c r="D126" s="95" t="str">
        <f>IFERROR(IF(VLOOKUP(A126,'Compartments_Kawecki&amp;Nowack19'!A:C,1,FALSE)=A126, "Kawecki","what?"),"Added/changed")</f>
        <v>Added/changed</v>
      </c>
      <c r="F126" s="17"/>
      <c r="G126" s="493" t="str">
        <v>Litter on road sides</v>
      </c>
      <c r="H126" s="310" t="str">
        <v>Offshore oil &amp; gas applications</v>
      </c>
      <c r="I126" s="498" t="str">
        <v>Lint filter (CHETD)</v>
      </c>
      <c r="J126" t="str">
        <v>Indoor floors (micro)</v>
      </c>
    </row>
    <row r="127" spans="1:10" ht="15" thickBot="1">
      <c r="A127" s="74" t="str">
        <v>Litter in natural environments</v>
      </c>
      <c r="B127" s="332" t="str">
        <f>IFERROR(VLOOKUP(A127,'Compartments_Kawecki&amp;Nowack19'!A:C,2,FALSE), IFERROR(VLOOKUP(A127,Compartments_Added!A:C,2,FALSE), "Not found"))</f>
        <v>Flow</v>
      </c>
      <c r="C127" s="332" t="str">
        <f>IFERROR(VLOOKUP(A127,'Compartments_Kawecki&amp;Nowack19'!A:C,3,FALSE), IFERROR(VLOOKUP(A127,Compartments_Added!A:C,3,FALSE), "Not found"))</f>
        <v>RuralLitter</v>
      </c>
      <c r="D127" s="95" t="str">
        <f>IFERROR(IF(VLOOKUP(A127,'Compartments_Kawecki&amp;Nowack19'!A:C,1,FALSE)=A127, "Kawecki","what?"),"Added/changed")</f>
        <v>Kawecki</v>
      </c>
      <c r="F127" s="17"/>
      <c r="G127" s="493" t="str">
        <v>Manufacturing of clothing</v>
      </c>
      <c r="H127" s="310" t="str">
        <v>PCCP</v>
      </c>
      <c r="I127" s="498" t="str">
        <v>Lint filter (CHPTD)</v>
      </c>
      <c r="J127" t="str">
        <v>Industrial stormwater (micro)</v>
      </c>
    </row>
    <row r="128" spans="1:10" ht="15" thickBot="1">
      <c r="A128" s="74" t="str">
        <v>Litter in residential environments</v>
      </c>
      <c r="B128" s="332" t="str">
        <f>IFERROR(VLOOKUP(A128,'Compartments_Kawecki&amp;Nowack19'!A:C,2,FALSE), IFERROR(VLOOKUP(A128,Compartments_Added!A:C,2,FALSE), "Not found"))</f>
        <v>Flow</v>
      </c>
      <c r="C128" s="332" t="str">
        <f>IFERROR(VLOOKUP(A128,'Compartments_Kawecki&amp;Nowack19'!A:C,3,FALSE), IFERROR(VLOOKUP(A128,Compartments_Added!A:C,3,FALSE), "Not found"))</f>
        <v>UrbanLitter</v>
      </c>
      <c r="D128" s="95" t="str">
        <f>IFERROR(IF(VLOOKUP(A128,'Compartments_Kawecki&amp;Nowack19'!A:C,1,FALSE)=A128, "Kawecki","what?"),"Added/changed")</f>
        <v>Kawecki</v>
      </c>
      <c r="F128" s="17"/>
      <c r="G128" s="493" t="str">
        <v>Medical textiles</v>
      </c>
      <c r="H128" s="310" t="str">
        <v>Plant protection products</v>
      </c>
      <c r="I128" s="498" t="str">
        <v>Lint filter (VTD)</v>
      </c>
      <c r="J128" t="str">
        <v>Infill material sports fields</v>
      </c>
    </row>
    <row r="129" spans="1:10" ht="15" thickBot="1">
      <c r="A129" s="74" t="str">
        <v>Litter on road sides</v>
      </c>
      <c r="B129" s="332" t="str">
        <f>IFERROR(VLOOKUP(A129,'Compartments_Kawecki&amp;Nowack19'!A:C,2,FALSE), IFERROR(VLOOKUP(A129,Compartments_Added!A:C,2,FALSE), "Not found"))</f>
        <v>Flow</v>
      </c>
      <c r="C129" s="332" t="str">
        <f>IFERROR(VLOOKUP(A129,'Compartments_Kawecki&amp;Nowack19'!A:C,3,FALSE), IFERROR(VLOOKUP(A129,Compartments_Added!A:C,3,FALSE), "Not found"))</f>
        <v>RoadSideLitter</v>
      </c>
      <c r="D129" s="95" t="str">
        <f>IFERROR(IF(VLOOKUP(A129,'Compartments_Kawecki&amp;Nowack19'!A:C,1,FALSE)=A129, "Kawecki","what?"),"Added/changed")</f>
        <v>Kawecki</v>
      </c>
      <c r="F129" s="17"/>
      <c r="G129" s="493" t="str">
        <v>Medicine diffusion limitation (slow release)</v>
      </c>
      <c r="H129" s="310" t="str">
        <v>Seed coating</v>
      </c>
      <c r="I129" s="498" t="str">
        <v>Litter in natural environments</v>
      </c>
      <c r="J129" t="str">
        <v>Infill material sports fields (discarded)</v>
      </c>
    </row>
    <row r="130" spans="1:10" ht="15" thickBot="1">
      <c r="A130" s="74" t="str">
        <v>Manufacturing of clothing</v>
      </c>
      <c r="B130" s="332" t="str">
        <f>IFERROR(VLOOKUP(A130,'Compartments_Kawecki&amp;Nowack19'!A:C,2,FALSE), IFERROR(VLOOKUP(A130,Compartments_Added!A:C,2,FALSE), "Not found"))</f>
        <v>Flow</v>
      </c>
      <c r="C130" s="332" t="str">
        <f>IFERROR(VLOOKUP(A130,'Compartments_Kawecki&amp;Nowack19'!A:C,3,FALSE), IFERROR(VLOOKUP(A130,Compartments_Added!A:C,3,FALSE), "Not found"))</f>
        <v>ManufacturingOfClothing</v>
      </c>
      <c r="D130" s="95" t="str">
        <f>IFERROR(IF(VLOOKUP(A130,'Compartments_Kawecki&amp;Nowack19'!A:C,1,FALSE)=A130, "Kawecki","what?"),"Added/changed")</f>
        <v>Added/changed</v>
      </c>
      <c r="F130" s="17"/>
      <c r="G130" s="493" t="str">
        <v>Mixed waste collection</v>
      </c>
      <c r="H130" s="310" t="str">
        <v>Clothing rarely washed (in use)</v>
      </c>
      <c r="I130" s="498" t="str">
        <v>Litter in residential environments</v>
      </c>
      <c r="J130" t="str">
        <v>Infill material sports fields (in use)</v>
      </c>
    </row>
    <row r="131" spans="1:10" ht="15" thickBot="1">
      <c r="A131" s="74" t="str">
        <v>Medical textiles</v>
      </c>
      <c r="B131" s="332" t="str">
        <f>IFERROR(VLOOKUP(A131,'Compartments_Kawecki&amp;Nowack19'!A:C,2,FALSE), IFERROR(VLOOKUP(A131,Compartments_Added!A:C,2,FALSE), "Not found"))</f>
        <v>Stock</v>
      </c>
      <c r="C131" s="332" t="str">
        <f>IFERROR(VLOOKUP(A131,'Compartments_Kawecki&amp;Nowack19'!A:C,3,FALSE), IFERROR(VLOOKUP(A131,Compartments_Added!A:C,3,FALSE), "Not found"))</f>
        <v>MedicalTextiles</v>
      </c>
      <c r="D131" s="95" t="str">
        <f>IFERROR(IF(VLOOKUP(A131,'Compartments_Kawecki&amp;Nowack19'!A:C,1,FALSE)=A131, "Kawecki","what?"),"Added/changed")</f>
        <v>Added/changed</v>
      </c>
      <c r="F131" s="17"/>
      <c r="G131" s="493" t="str">
        <v>Mixed waste collection (micro)</v>
      </c>
      <c r="H131" s="310" t="str">
        <v>Clothing rarely washed (discarded)</v>
      </c>
      <c r="I131" s="498" t="str">
        <v>Litter on road sides</v>
      </c>
      <c r="J131" t="str">
        <v>Intentionally produced microparticles</v>
      </c>
    </row>
    <row r="132" spans="1:10" ht="15" thickBot="1">
      <c r="A132" s="74" t="str">
        <v>Medicine diffusion limitation (slow release)</v>
      </c>
      <c r="B132" s="332" t="str">
        <f>IFERROR(VLOOKUP(A132,'Compartments_Kawecki&amp;Nowack19'!A:C,2,FALSE), IFERROR(VLOOKUP(A132,Compartments_Added!A:C,2,FALSE), "Not found"))</f>
        <v>Flow</v>
      </c>
      <c r="C132" s="332" t="str">
        <f>IFERROR(VLOOKUP(A132,'Compartments_Kawecki&amp;Nowack19'!A:C,3,FALSE), IFERROR(VLOOKUP(A132,Compartments_Added!A:C,3,FALSE), "Not found"))</f>
        <v>MedicineDiff</v>
      </c>
      <c r="D132" s="95" t="str">
        <f>IFERROR(IF(VLOOKUP(A132,'Compartments_Kawecki&amp;Nowack19'!A:C,1,FALSE)=A132, "Kawecki","what?"),"Added/changed")</f>
        <v>Added/changed</v>
      </c>
      <c r="F132" s="17"/>
      <c r="G132" s="493" t="str">
        <v>Mobility textiles</v>
      </c>
      <c r="H132" s="310" t="str">
        <v>Lacquer (DIY) outdoor</v>
      </c>
      <c r="I132" s="498" t="str">
        <v>Manufacturing of clothing</v>
      </c>
      <c r="J132" t="str">
        <v>Invitro diagnostic devices</v>
      </c>
    </row>
    <row r="133" spans="1:10" ht="15" thickBot="1">
      <c r="A133" s="74" t="str">
        <v>Mixed waste collection</v>
      </c>
      <c r="B133" s="332" t="str">
        <f>IFERROR(VLOOKUP(A133,'Compartments_Kawecki&amp;Nowack19'!A:C,2,FALSE), IFERROR(VLOOKUP(A133,Compartments_Added!A:C,2,FALSE), "Not found"))</f>
        <v>Flow</v>
      </c>
      <c r="C133" s="332" t="str">
        <f>IFERROR(VLOOKUP(A133,'Compartments_Kawecki&amp;Nowack19'!A:C,3,FALSE), IFERROR(VLOOKUP(A133,Compartments_Added!A:C,3,FALSE), "Not found"))</f>
        <v>MixedCollection</v>
      </c>
      <c r="D133" s="95" t="str">
        <f>IFERROR(IF(VLOOKUP(A133,'Compartments_Kawecki&amp;Nowack19'!A:C,1,FALSE)=A133, "Kawecki","what?"),"Added/changed")</f>
        <v>Kawecki</v>
      </c>
      <c r="F133" s="17"/>
      <c r="G133" s="493" t="str">
        <v>Non-consumer bags</v>
      </c>
      <c r="H133" s="310" t="str">
        <v>Lacquer (DIY) indoor</v>
      </c>
      <c r="I133" s="498" t="str">
        <v>Medical textiles</v>
      </c>
      <c r="J133" t="str">
        <v>Jackets and coats</v>
      </c>
    </row>
    <row r="134" spans="1:10" ht="15" thickBot="1">
      <c r="A134" s="74" t="str">
        <v>Mixed waste collection (micro)</v>
      </c>
      <c r="B134" s="332" t="str">
        <f>IFERROR(VLOOKUP(A134,'Compartments_Kawecki&amp;Nowack19'!A:C,2,FALSE), IFERROR(VLOOKUP(A134,Compartments_Added!A:C,2,FALSE), "Not found"))</f>
        <v>Flow</v>
      </c>
      <c r="C134" s="332" t="str">
        <f>IFERROR(VLOOKUP(A134,'Compartments_Kawecki&amp;Nowack19'!A:C,3,FALSE), IFERROR(VLOOKUP(A134,Compartments_Added!A:C,3,FALSE), "Not found"))</f>
        <v>MixedCollectionMicro</v>
      </c>
      <c r="D134" s="95" t="str">
        <f>IFERROR(IF(VLOOKUP(A134,'Compartments_Kawecki&amp;Nowack19'!A:C,1,FALSE)=A134, "Kawecki","what?"),"Added/changed")</f>
        <v>Added/changed</v>
      </c>
      <c r="F134" s="17"/>
      <c r="G134" s="493" t="str">
        <v>Offshore oil &amp; gas applications</v>
      </c>
      <c r="H134" s="310" t="str">
        <v>Lacquer (DIY) indoor (in use)</v>
      </c>
      <c r="I134" s="498" t="str">
        <v>Medicine diffusion limitation (slow release)</v>
      </c>
      <c r="J134" t="str">
        <v>Lacquer (DIY)</v>
      </c>
    </row>
    <row r="135" spans="1:10" ht="15" thickBot="1">
      <c r="A135" s="74" t="str">
        <v>Mobility textiles</v>
      </c>
      <c r="B135" s="332" t="str">
        <f>IFERROR(VLOOKUP(A135,'Compartments_Kawecki&amp;Nowack19'!A:C,2,FALSE), IFERROR(VLOOKUP(A135,Compartments_Added!A:C,2,FALSE), "Not found"))</f>
        <v>Stock</v>
      </c>
      <c r="C135" s="332" t="str">
        <f>IFERROR(VLOOKUP(A135,'Compartments_Kawecki&amp;Nowack19'!A:C,3,FALSE), IFERROR(VLOOKUP(A135,Compartments_Added!A:C,3,FALSE), "Not found"))</f>
        <v>MobilityTextiles</v>
      </c>
      <c r="D135" s="95" t="str">
        <f>IFERROR(IF(VLOOKUP(A135,'Compartments_Kawecki&amp;Nowack19'!A:C,1,FALSE)=A135, "Kawecki","what?"),"Added/changed")</f>
        <v>Kawecki</v>
      </c>
      <c r="F135" s="17"/>
      <c r="G135" s="493" t="str">
        <v>On-site sewage facility (macro)</v>
      </c>
      <c r="H135" s="310" t="str">
        <v>Lacquer (DIY) indoor (discarded)</v>
      </c>
      <c r="I135" s="498" t="str">
        <v>Mixed waste collection</v>
      </c>
      <c r="J135" t="str">
        <v>Lacquer (DIY) indoor</v>
      </c>
    </row>
    <row r="136" spans="1:10" ht="15" thickBot="1">
      <c r="A136" s="74" t="str">
        <v>Non-consumer bags</v>
      </c>
      <c r="B136" s="332" t="str">
        <f>IFERROR(VLOOKUP(A136,'Compartments_Kawecki&amp;Nowack19'!A:C,2,FALSE), IFERROR(VLOOKUP(A136,Compartments_Added!A:C,2,FALSE), "Not found"))</f>
        <v>Stock</v>
      </c>
      <c r="C136" s="332" t="str">
        <f>IFERROR(VLOOKUP(A136,'Compartments_Kawecki&amp;Nowack19'!A:C,3,FALSE), IFERROR(VLOOKUP(A136,Compartments_Added!A:C,3,FALSE), "Not found"))</f>
        <v>NonConsumerBags</v>
      </c>
      <c r="D136" s="95" t="str">
        <f>IFERROR(IF(VLOOKUP(A136,'Compartments_Kawecki&amp;Nowack19'!A:C,1,FALSE)=A136, "Kawecki","what?"),"Added/changed")</f>
        <v>Kawecki</v>
      </c>
      <c r="F136" s="17"/>
      <c r="G136" s="493" t="str">
        <v>On-site sewage facility (micro)</v>
      </c>
      <c r="H136" s="310" t="str">
        <v>Lacquer (DIY) outdoor (in use)</v>
      </c>
      <c r="I136" s="498" t="str">
        <v>Mixed waste collection (micro)</v>
      </c>
      <c r="J136" t="str">
        <v>Lacquer (DIY) indoor (discarded)</v>
      </c>
    </row>
    <row r="137" spans="1:10" ht="15" thickBot="1">
      <c r="A137" s="74" t="str">
        <v>Offshore oil &amp; gas applications</v>
      </c>
      <c r="B137" s="332" t="str">
        <f>IFERROR(VLOOKUP(A137,'Compartments_Kawecki&amp;Nowack19'!A:C,2,FALSE), IFERROR(VLOOKUP(A137,Compartments_Added!A:C,2,FALSE), "Not found"))</f>
        <v>Flow</v>
      </c>
      <c r="C137" s="332" t="str">
        <f>IFERROR(VLOOKUP(A137,'Compartments_Kawecki&amp;Nowack19'!A:C,3,FALSE), IFERROR(VLOOKUP(A137,Compartments_Added!A:C,3,FALSE), "Not found"))</f>
        <v>OilGasApplications</v>
      </c>
      <c r="D137" s="95" t="str">
        <f>IFERROR(IF(VLOOKUP(A137,'Compartments_Kawecki&amp;Nowack19'!A:C,1,FALSE)=A137, "Kawecki","what?"),"Added/changed")</f>
        <v>Added/changed</v>
      </c>
      <c r="F137" s="17"/>
      <c r="G137" s="493" t="str">
        <v>On-the-go consumption</v>
      </c>
      <c r="H137" s="310" t="str">
        <v>Lacquer (DIY) outdoor (discarded)</v>
      </c>
      <c r="I137" s="498" t="str">
        <v>Mobility textiles</v>
      </c>
      <c r="J137" t="str">
        <v>Lacquer (DIY) indoor (in use)</v>
      </c>
    </row>
    <row r="138" spans="1:10" ht="15" thickBot="1">
      <c r="A138" s="74" t="str">
        <v>On-site sewage facility (macro)</v>
      </c>
      <c r="B138" s="332" t="str">
        <f>IFERROR(VLOOKUP(A138,'Compartments_Kawecki&amp;Nowack19'!A:C,2,FALSE), IFERROR(VLOOKUP(A138,Compartments_Added!A:C,2,FALSE), "Not found"))</f>
        <v>Flow</v>
      </c>
      <c r="C138" s="332" t="str">
        <f>IFERROR(VLOOKUP(A138,'Compartments_Kawecki&amp;Nowack19'!A:C,3,FALSE), IFERROR(VLOOKUP(A138,Compartments_Added!A:C,3,FALSE), "Not found"))</f>
        <v>OSSFMacro</v>
      </c>
      <c r="D138" s="95" t="str">
        <f>IFERROR(IF(VLOOKUP(A138,'Compartments_Kawecki&amp;Nowack19'!A:C,1,FALSE)=A138, "Kawecki","what?"),"Added/changed")</f>
        <v>Kawecki</v>
      </c>
      <c r="F138" s="17"/>
      <c r="G138" s="493" t="str">
        <v>On-the-go consumption (nature)</v>
      </c>
      <c r="H138" s="310" t="str">
        <v>Lacquer (prof) outdoor</v>
      </c>
      <c r="I138" s="498" t="str">
        <v>Non-consumer bags</v>
      </c>
      <c r="J138" t="str">
        <v>Lacquer (DIY) outdoor</v>
      </c>
    </row>
    <row r="139" spans="1:10" ht="15" thickBot="1">
      <c r="A139" s="74" t="str">
        <v>On-site sewage facility (micro)</v>
      </c>
      <c r="B139" s="332" t="str">
        <f>IFERROR(VLOOKUP(A139,'Compartments_Kawecki&amp;Nowack19'!A:C,2,FALSE), IFERROR(VLOOKUP(A139,Compartments_Added!A:C,2,FALSE), "Not found"))</f>
        <v>Flow</v>
      </c>
      <c r="C139" s="332" t="str">
        <f>IFERROR(VLOOKUP(A139,'Compartments_Kawecki&amp;Nowack19'!A:C,3,FALSE), IFERROR(VLOOKUP(A139,Compartments_Added!A:C,3,FALSE), "Not found"))</f>
        <v>OSSFMicro</v>
      </c>
      <c r="D139" s="95" t="str">
        <f>IFERROR(IF(VLOOKUP(A139,'Compartments_Kawecki&amp;Nowack19'!A:C,1,FALSE)=A139, "Kawecki","what?"),"Added/changed")</f>
        <v>Kawecki</v>
      </c>
      <c r="F139" s="17"/>
      <c r="G139" s="493" t="str">
        <v>On-the-go consumption (residential)</v>
      </c>
      <c r="H139" s="310" t="str">
        <v>Lacquer (prof) indoor</v>
      </c>
      <c r="I139" s="498" t="str">
        <v>Offshore oil &amp; gas applications</v>
      </c>
      <c r="J139" t="str">
        <v>Lacquer (DIY) outdoor (discarded)</v>
      </c>
    </row>
    <row r="140" spans="1:10" ht="15" thickBot="1">
      <c r="A140" s="74" t="str">
        <v>On-the-go consumption</v>
      </c>
      <c r="B140" s="332" t="str">
        <f>IFERROR(VLOOKUP(A140,'Compartments_Kawecki&amp;Nowack19'!A:C,2,FALSE), IFERROR(VLOOKUP(A140,Compartments_Added!A:C,2,FALSE), "Not found"))</f>
        <v>Flow</v>
      </c>
      <c r="C140" s="332" t="str">
        <f>IFERROR(VLOOKUP(A140,'Compartments_Kawecki&amp;Nowack19'!A:C,3,FALSE), IFERROR(VLOOKUP(A140,Compartments_Added!A:C,3,FALSE), "Not found"))</f>
        <v>OnTheGo</v>
      </c>
      <c r="D140" s="95" t="str">
        <f>IFERROR(IF(VLOOKUP(A140,'Compartments_Kawecki&amp;Nowack19'!A:C,1,FALSE)=A140, "Kawecki","what?"),"Added/changed")</f>
        <v>Kawecki</v>
      </c>
      <c r="F140" s="17"/>
      <c r="G140" s="493" t="str">
        <v>On-the-go consumption (transport)</v>
      </c>
      <c r="H140" s="310" t="str">
        <v>Lacquer (prof) indoor (in use)</v>
      </c>
      <c r="I140" s="498" t="str">
        <v>On-site sewage facility (macro)</v>
      </c>
      <c r="J140" t="str">
        <v>Lacquer (DIY) outdoor (in use)</v>
      </c>
    </row>
    <row r="141" spans="1:10" ht="15" thickBot="1">
      <c r="A141" s="74" t="str">
        <v>On-the-go consumption (nature)</v>
      </c>
      <c r="B141" s="332" t="str">
        <f>IFERROR(VLOOKUP(A141,'Compartments_Kawecki&amp;Nowack19'!A:C,2,FALSE), IFERROR(VLOOKUP(A141,Compartments_Added!A:C,2,FALSE), "Not found"))</f>
        <v>Flow</v>
      </c>
      <c r="C141" s="332" t="str">
        <f>IFERROR(VLOOKUP(A141,'Compartments_Kawecki&amp;Nowack19'!A:C,3,FALSE), IFERROR(VLOOKUP(A141,Compartments_Added!A:C,3,FALSE), "Not found"))</f>
        <v>OnTheGoRural</v>
      </c>
      <c r="D141" s="95" t="str">
        <f>IFERROR(IF(VLOOKUP(A141,'Compartments_Kawecki&amp;Nowack19'!A:C,1,FALSE)=A141, "Kawecki","what?"),"Added/changed")</f>
        <v>Kawecki</v>
      </c>
      <c r="F141" s="17"/>
      <c r="G141" s="493" t="str">
        <v>Open-toed shoes</v>
      </c>
      <c r="H141" s="310" t="str">
        <v>Lacquer (prof) indoor (discarded)</v>
      </c>
      <c r="I141" s="498" t="str">
        <v>On-site sewage facility (micro)</v>
      </c>
      <c r="J141" t="str">
        <v>Lacquer (prof)</v>
      </c>
    </row>
    <row r="142" spans="1:10" ht="15" thickBot="1">
      <c r="A142" s="74" t="str">
        <v>On-the-go consumption (residential)</v>
      </c>
      <c r="B142" s="332" t="str">
        <f>IFERROR(VLOOKUP(A142,'Compartments_Kawecki&amp;Nowack19'!A:C,2,FALSE), IFERROR(VLOOKUP(A142,Compartments_Added!A:C,2,FALSE), "Not found"))</f>
        <v>Flow</v>
      </c>
      <c r="C142" s="332" t="str">
        <f>IFERROR(VLOOKUP(A142,'Compartments_Kawecki&amp;Nowack19'!A:C,3,FALSE), IFERROR(VLOOKUP(A142,Compartments_Added!A:C,3,FALSE), "Not found"))</f>
        <v>OnTheGoUrban</v>
      </c>
      <c r="D142" s="95" t="str">
        <f>IFERROR(IF(VLOOKUP(A142,'Compartments_Kawecki&amp;Nowack19'!A:C,1,FALSE)=A142, "Kawecki","what?"),"Added/changed")</f>
        <v>Kawecki</v>
      </c>
      <c r="F142" s="17"/>
      <c r="G142" s="493" t="str">
        <v>Other consumer packaging</v>
      </c>
      <c r="H142" s="310" t="str">
        <v>Lacquer (prof) outdoor (in use)</v>
      </c>
      <c r="I142" s="498" t="str">
        <v>On-the-go consumption</v>
      </c>
      <c r="J142" t="str">
        <v>Lacquer (prof) indoor</v>
      </c>
    </row>
    <row r="143" spans="1:10" ht="15" thickBot="1">
      <c r="A143" s="74" t="str">
        <v>On-the-go consumption (transport)</v>
      </c>
      <c r="B143" s="332" t="str">
        <f>IFERROR(VLOOKUP(A143,'Compartments_Kawecki&amp;Nowack19'!A:C,2,FALSE), IFERROR(VLOOKUP(A143,Compartments_Added!A:C,2,FALSE), "Not found"))</f>
        <v>Flow</v>
      </c>
      <c r="C143" s="332" t="str">
        <f>IFERROR(VLOOKUP(A143,'Compartments_Kawecki&amp;Nowack19'!A:C,3,FALSE), IFERROR(VLOOKUP(A143,Compartments_Added!A:C,3,FALSE), "Not found"))</f>
        <v>OnTheGoTransport</v>
      </c>
      <c r="D143" s="95" t="str">
        <f>IFERROR(IF(VLOOKUP(A143,'Compartments_Kawecki&amp;Nowack19'!A:C,1,FALSE)=A143, "Kawecki","what?"),"Added/changed")</f>
        <v>Kawecki</v>
      </c>
      <c r="F143" s="17"/>
      <c r="G143" s="493" t="str">
        <v>Other non-consumer films</v>
      </c>
      <c r="H143" s="310" t="str">
        <v>Lacquer (prof) outdoor (discarded)</v>
      </c>
      <c r="I143" s="498" t="str">
        <v>On-the-go consumption (nature)</v>
      </c>
      <c r="J143" t="str">
        <v>Lacquer (prof) indoor (discarded)</v>
      </c>
    </row>
    <row r="144" spans="1:10" ht="15" thickBot="1">
      <c r="A144" s="74" t="str">
        <v>Open-toed shoes</v>
      </c>
      <c r="B144" s="332" t="str">
        <f>IFERROR(VLOOKUP(A144,'Compartments_Kawecki&amp;Nowack19'!A:C,2,FALSE), IFERROR(VLOOKUP(A144,Compartments_Added!A:C,2,FALSE), "Not found"))</f>
        <v>Stock</v>
      </c>
      <c r="C144" s="332" t="str">
        <f>IFERROR(VLOOKUP(A144,'Compartments_Kawecki&amp;Nowack19'!A:C,3,FALSE), IFERROR(VLOOKUP(A144,Compartments_Added!A:C,3,FALSE), "Not found"))</f>
        <v>OpenToedShoes</v>
      </c>
      <c r="D144" s="95" t="str">
        <f>IFERROR(IF(VLOOKUP(A144,'Compartments_Kawecki&amp;Nowack19'!A:C,1,FALSE)=A144, "Kawecki","what?"),"Added/changed")</f>
        <v>Added/changed</v>
      </c>
      <c r="F144" s="17"/>
      <c r="G144" s="493" t="str">
        <v>Other non-consumer packaging</v>
      </c>
      <c r="H144" s="310" t="str">
        <v>Clean lint filter by hand</v>
      </c>
      <c r="I144" s="498" t="str">
        <v>On-the-go consumption (residential)</v>
      </c>
      <c r="J144" t="str">
        <v>Lacquer (prof) indoor (in use)</v>
      </c>
    </row>
    <row r="145" spans="1:10" ht="15" thickBot="1">
      <c r="A145" s="74" t="str">
        <v>Other consumer packaging</v>
      </c>
      <c r="B145" s="332" t="str">
        <f>IFERROR(VLOOKUP(A145,'Compartments_Kawecki&amp;Nowack19'!A:C,2,FALSE), IFERROR(VLOOKUP(A145,Compartments_Added!A:C,2,FALSE), "Not found"))</f>
        <v>Stock</v>
      </c>
      <c r="C145" s="332" t="str">
        <f>IFERROR(VLOOKUP(A145,'Compartments_Kawecki&amp;Nowack19'!A:C,3,FALSE), IFERROR(VLOOKUP(A145,Compartments_Added!A:C,3,FALSE), "Not found"))</f>
        <v>ConsumerOther</v>
      </c>
      <c r="D145" s="95" t="str">
        <f>IFERROR(IF(VLOOKUP(A145,'Compartments_Kawecki&amp;Nowack19'!A:C,1,FALSE)=A145, "Kawecki","what?"),"Added/changed")</f>
        <v>Kawecki</v>
      </c>
      <c r="F145" s="17"/>
      <c r="G145" s="493" t="str">
        <v>Other paint uses (DIY)</v>
      </c>
      <c r="H145" s="310" t="str">
        <v>Clean lint filter under running water</v>
      </c>
      <c r="I145" s="498" t="str">
        <v>On-the-go consumption (transport)</v>
      </c>
      <c r="J145" t="str">
        <v>Lacquer (prof) outdoor</v>
      </c>
    </row>
    <row r="146" spans="1:10" ht="15" thickBot="1">
      <c r="A146" s="74" t="str">
        <v>Other non-consumer films</v>
      </c>
      <c r="B146" s="332" t="str">
        <f>IFERROR(VLOOKUP(A146,'Compartments_Kawecki&amp;Nowack19'!A:C,2,FALSE), IFERROR(VLOOKUP(A146,Compartments_Added!A:C,2,FALSE), "Not found"))</f>
        <v>Stock</v>
      </c>
      <c r="C146" s="332" t="str">
        <f>IFERROR(VLOOKUP(A146,'Compartments_Kawecki&amp;Nowack19'!A:C,3,FALSE), IFERROR(VLOOKUP(A146,Compartments_Added!A:C,3,FALSE), "Not found"))</f>
        <v>OtherNonConsumerFilms</v>
      </c>
      <c r="D146" s="95" t="str">
        <f>IFERROR(IF(VLOOKUP(A146,'Compartments_Kawecki&amp;Nowack19'!A:C,1,FALSE)=A146, "Kawecki","what?"),"Added/changed")</f>
        <v>Kawecki</v>
      </c>
      <c r="F146" s="17"/>
      <c r="G146" s="493" t="str">
        <v>Other paint uses (DIY) indoor</v>
      </c>
      <c r="H146" s="310" t="str">
        <v>Natural soil (macro)</v>
      </c>
      <c r="I146" s="498" t="str">
        <v>Open-toed shoes</v>
      </c>
      <c r="J146" t="str">
        <v>Lacquer (prof) outdoor (discarded)</v>
      </c>
    </row>
    <row r="147" spans="1:10" ht="15" thickBot="1">
      <c r="A147" s="74" t="str">
        <v>Other non-consumer packaging</v>
      </c>
      <c r="B147" s="332" t="str">
        <f>IFERROR(VLOOKUP(A147,'Compartments_Kawecki&amp;Nowack19'!A:C,2,FALSE), IFERROR(VLOOKUP(A147,Compartments_Added!A:C,2,FALSE), "Not found"))</f>
        <v>Stock</v>
      </c>
      <c r="C147" s="332" t="str">
        <f>IFERROR(VLOOKUP(A147,'Compartments_Kawecki&amp;Nowack19'!A:C,3,FALSE), IFERROR(VLOOKUP(A147,Compartments_Added!A:C,3,FALSE), "Not found"))</f>
        <v>NonConsumerOther</v>
      </c>
      <c r="D147" s="95" t="str">
        <f>IFERROR(IF(VLOOKUP(A147,'Compartments_Kawecki&amp;Nowack19'!A:C,1,FALSE)=A147, "Kawecki","what?"),"Added/changed")</f>
        <v>Kawecki</v>
      </c>
      <c r="F147" s="17"/>
      <c r="G147" s="493" t="str">
        <v>Other paint uses (DIY) indoor (discarded)</v>
      </c>
      <c r="H147" s="310" t="str">
        <v>Stormwater (macro)</v>
      </c>
      <c r="I147" s="498" t="str">
        <v>Other consumer packaging</v>
      </c>
      <c r="J147" t="str">
        <v>Lacquer (prof) outdoor (in use)</v>
      </c>
    </row>
    <row r="148" spans="1:10" ht="15" thickBot="1">
      <c r="A148" s="74" t="str">
        <v>Other paint uses (DIY)</v>
      </c>
      <c r="B148" s="332" t="str">
        <f>IFERROR(VLOOKUP(A148,'Compartments_Kawecki&amp;Nowack19'!A:C,2,FALSE), IFERROR(VLOOKUP(A148,Compartments_Added!A:C,2,FALSE), "Not found"))</f>
        <v>Flow</v>
      </c>
      <c r="C148" s="332" t="str">
        <f>IFERROR(VLOOKUP(A148,'Compartments_Kawecki&amp;Nowack19'!A:C,3,FALSE), IFERROR(VLOOKUP(A148,Compartments_Added!A:C,3,FALSE), "Not found"))</f>
        <v>OtherPaintUsesDiy</v>
      </c>
      <c r="D148" s="95" t="str">
        <f>IFERROR(IF(VLOOKUP(A148,'Compartments_Kawecki&amp;Nowack19'!A:C,1,FALSE)=A148, "Kawecki","what?"),"Added/changed")</f>
        <v>Added/changed</v>
      </c>
      <c r="F148" s="17"/>
      <c r="G148" s="493" t="str">
        <v>Other paint uses (DIY) indoor (in use)</v>
      </c>
      <c r="H148" s="310" t="str">
        <v>Road side soil (macro)</v>
      </c>
      <c r="I148" s="498" t="str">
        <v>Other non-consumer films</v>
      </c>
      <c r="J148" t="str">
        <v>Leggings stockings tights and socks</v>
      </c>
    </row>
    <row r="149" spans="1:10" ht="15" thickBot="1">
      <c r="A149" s="74" t="str">
        <v>Other paint uses (DIY) indoor</v>
      </c>
      <c r="B149" s="332" t="str">
        <f>IFERROR(VLOOKUP(A149,'Compartments_Kawecki&amp;Nowack19'!A:C,2,FALSE), IFERROR(VLOOKUP(A149,Compartments_Added!A:C,2,FALSE), "Not found"))</f>
        <v>Flow</v>
      </c>
      <c r="C149" s="332" t="str">
        <f>IFERROR(VLOOKUP(A149,'Compartments_Kawecki&amp;Nowack19'!A:C,3,FALSE), IFERROR(VLOOKUP(A149,Compartments_Added!A:C,3,FALSE), "Not found"))</f>
        <v>OtherPaintUsesDiyIn</v>
      </c>
      <c r="D149" s="95" t="str">
        <f>IFERROR(IF(VLOOKUP(A149,'Compartments_Kawecki&amp;Nowack19'!A:C,1,FALSE)=A149, "Kawecki","what?"),"Added/changed")</f>
        <v>Added/changed</v>
      </c>
      <c r="F149" s="17"/>
      <c r="G149" s="493" t="str">
        <v>Other paint uses (DIY) outdoor</v>
      </c>
      <c r="H149" s="310" t="str">
        <v>ELV textiles collection</v>
      </c>
      <c r="I149" s="498" t="str">
        <v>Other non-consumer packaging</v>
      </c>
      <c r="J149" t="str">
        <v>Lint filter (CHETD)</v>
      </c>
    </row>
    <row r="150" spans="1:10" ht="15" thickBot="1">
      <c r="A150" s="74" t="str">
        <v>Other paint uses (DIY) indoor (discarded)</v>
      </c>
      <c r="B150" s="332" t="str">
        <f>IFERROR(VLOOKUP(A150,'Compartments_Kawecki&amp;Nowack19'!A:C,2,FALSE), IFERROR(VLOOKUP(A150,Compartments_Added!A:C,2,FALSE), "Not found"))</f>
        <v>Stock</v>
      </c>
      <c r="C150" s="332" t="str">
        <f>IFERROR(VLOOKUP(A150,'Compartments_Kawecki&amp;Nowack19'!A:C,3,FALSE), IFERROR(VLOOKUP(A150,Compartments_Added!A:C,3,FALSE), "Not found"))</f>
        <v>OtherPaintUsesDiyInDis</v>
      </c>
      <c r="D150" s="95" t="str">
        <f>IFERROR(IF(VLOOKUP(A150,'Compartments_Kawecki&amp;Nowack19'!A:C,1,FALSE)=A150, "Kawecki","what?"),"Added/changed")</f>
        <v>Added/changed</v>
      </c>
      <c r="F150" s="17"/>
      <c r="G150" s="493" t="str">
        <v>Other paint uses (DIY) outdoor (discarded)</v>
      </c>
      <c r="H150" s="310" t="str">
        <v>Sludge (macro)</v>
      </c>
      <c r="I150" s="498" t="str">
        <v>Other paint uses (DIY)</v>
      </c>
      <c r="J150" t="str">
        <v>Lint filter (CHPTD)</v>
      </c>
    </row>
    <row r="151" spans="1:10" ht="15" thickBot="1">
      <c r="A151" s="74" t="str">
        <v>Other paint uses (DIY) indoor (in use)</v>
      </c>
      <c r="B151" s="332" t="str">
        <f>IFERROR(VLOOKUP(A151,'Compartments_Kawecki&amp;Nowack19'!A:C,2,FALSE), IFERROR(VLOOKUP(A151,Compartments_Added!A:C,2,FALSE), "Not found"))</f>
        <v>Stock</v>
      </c>
      <c r="C151" s="332" t="str">
        <f>IFERROR(VLOOKUP(A151,'Compartments_Kawecki&amp;Nowack19'!A:C,3,FALSE), IFERROR(VLOOKUP(A151,Compartments_Added!A:C,3,FALSE), "Not found"))</f>
        <v>OtherPaintUsesDiyInIU</v>
      </c>
      <c r="D151" s="95" t="str">
        <f>IFERROR(IF(VLOOKUP(A151,'Compartments_Kawecki&amp;Nowack19'!A:C,1,FALSE)=A151, "Kawecki","what?"),"Added/changed")</f>
        <v>Added/changed</v>
      </c>
      <c r="F151" s="17"/>
      <c r="G151" s="493" t="str">
        <v>Other paint uses (DIY) outdoor (in use)</v>
      </c>
      <c r="H151" s="310" t="str">
        <v>Sludge (micro)</v>
      </c>
      <c r="I151" s="498" t="str">
        <v>Other paint uses (DIY) indoor</v>
      </c>
      <c r="J151" t="str">
        <v>Lint filter (VTD)</v>
      </c>
    </row>
    <row r="152" spans="1:10" ht="15" thickBot="1">
      <c r="A152" s="74" t="str">
        <v>Other paint uses (DIY) outdoor</v>
      </c>
      <c r="B152" s="332" t="str">
        <f>IFERROR(VLOOKUP(A152,'Compartments_Kawecki&amp;Nowack19'!A:C,2,FALSE), IFERROR(VLOOKUP(A152,Compartments_Added!A:C,2,FALSE), "Not found"))</f>
        <v>Flow</v>
      </c>
      <c r="C152" s="332" t="str">
        <f>IFERROR(VLOOKUP(A152,'Compartments_Kawecki&amp;Nowack19'!A:C,3,FALSE), IFERROR(VLOOKUP(A152,Compartments_Added!A:C,3,FALSE), "Not found"))</f>
        <v>OtherPaintUsesDiyOut</v>
      </c>
      <c r="D152" s="95" t="str">
        <f>IFERROR(IF(VLOOKUP(A152,'Compartments_Kawecki&amp;Nowack19'!A:C,1,FALSE)=A152, "Kawecki","what?"),"Added/changed")</f>
        <v>Added/changed</v>
      </c>
      <c r="F152" s="17"/>
      <c r="G152" s="493" t="str">
        <v>Other paint uses (prof)</v>
      </c>
      <c r="H152" s="310" t="str">
        <v>On-the-go consumption (nature)</v>
      </c>
      <c r="I152" s="498" t="str">
        <v>Other paint uses (DIY) indoor (discarded)</v>
      </c>
      <c r="J152" t="str">
        <v>Litter in natural environments</v>
      </c>
    </row>
    <row r="153" spans="1:10" ht="15" thickBot="1">
      <c r="A153" s="74" t="str">
        <v>Other paint uses (DIY) outdoor (discarded)</v>
      </c>
      <c r="B153" s="332" t="str">
        <f>IFERROR(VLOOKUP(A153,'Compartments_Kawecki&amp;Nowack19'!A:C,2,FALSE), IFERROR(VLOOKUP(A153,Compartments_Added!A:C,2,FALSE), "Not found"))</f>
        <v>Stock</v>
      </c>
      <c r="C153" s="332" t="str">
        <f>IFERROR(VLOOKUP(A153,'Compartments_Kawecki&amp;Nowack19'!A:C,3,FALSE), IFERROR(VLOOKUP(A153,Compartments_Added!A:C,3,FALSE), "Not found"))</f>
        <v>OtherPaintUsesDiyOutDis</v>
      </c>
      <c r="D153" s="95" t="str">
        <f>IFERROR(IF(VLOOKUP(A153,'Compartments_Kawecki&amp;Nowack19'!A:C,1,FALSE)=A153, "Kawecki","what?"),"Added/changed")</f>
        <v>Added/changed</v>
      </c>
      <c r="F153" s="17"/>
      <c r="G153" s="493" t="str">
        <v>Other paint uses (prof) indoor</v>
      </c>
      <c r="H153" s="310" t="str">
        <v>On-the-go consumption (residential)</v>
      </c>
      <c r="I153" s="498" t="str">
        <v>Other paint uses (DIY) indoor (in use)</v>
      </c>
      <c r="J153" t="str">
        <v>Litter in residential environments</v>
      </c>
    </row>
    <row r="154" spans="1:10" ht="15" thickBot="1">
      <c r="A154" s="74" t="str">
        <v>Other paint uses (DIY) outdoor (in use)</v>
      </c>
      <c r="B154" s="332" t="str">
        <f>IFERROR(VLOOKUP(A154,'Compartments_Kawecki&amp;Nowack19'!A:C,2,FALSE), IFERROR(VLOOKUP(A154,Compartments_Added!A:C,2,FALSE), "Not found"))</f>
        <v>Stock</v>
      </c>
      <c r="C154" s="332" t="str">
        <f>IFERROR(VLOOKUP(A154,'Compartments_Kawecki&amp;Nowack19'!A:C,3,FALSE), IFERROR(VLOOKUP(A154,Compartments_Added!A:C,3,FALSE), "Not found"))</f>
        <v>OtherPaintUsesDiyOutIU</v>
      </c>
      <c r="D154" s="95" t="str">
        <f>IFERROR(IF(VLOOKUP(A154,'Compartments_Kawecki&amp;Nowack19'!A:C,1,FALSE)=A154, "Kawecki","what?"),"Added/changed")</f>
        <v>Added/changed</v>
      </c>
      <c r="F154" s="17"/>
      <c r="G154" s="493" t="str">
        <v>Other paint uses (prof) indoor (discarded)</v>
      </c>
      <c r="H154" s="310" t="str">
        <v>On-the-go consumption (transport)</v>
      </c>
      <c r="I154" s="498" t="str">
        <v>Other paint uses (DIY) outdoor</v>
      </c>
      <c r="J154" t="str">
        <v>Litter on road sides</v>
      </c>
    </row>
    <row r="155" spans="1:10" ht="15" thickBot="1">
      <c r="A155" s="74" t="str">
        <v>Other paint uses (prof)</v>
      </c>
      <c r="B155" s="332" t="str">
        <f>IFERROR(VLOOKUP(A155,'Compartments_Kawecki&amp;Nowack19'!A:C,2,FALSE), IFERROR(VLOOKUP(A155,Compartments_Added!A:C,2,FALSE), "Not found"))</f>
        <v>Flow</v>
      </c>
      <c r="C155" s="332" t="str">
        <f>IFERROR(VLOOKUP(A155,'Compartments_Kawecki&amp;Nowack19'!A:C,3,FALSE), IFERROR(VLOOKUP(A155,Compartments_Added!A:C,3,FALSE), "Not found"))</f>
        <v>OtherPaintUses</v>
      </c>
      <c r="D155" s="95" t="str">
        <f>IFERROR(IF(VLOOKUP(A155,'Compartments_Kawecki&amp;Nowack19'!A:C,1,FALSE)=A155, "Kawecki","what?"),"Added/changed")</f>
        <v>Added/changed</v>
      </c>
      <c r="F155" s="17"/>
      <c r="G155" s="493" t="str">
        <v>Other paint uses (prof) indoor (in use)</v>
      </c>
      <c r="H155" s="310" t="str">
        <v>Other paint uses (DIY) outdoor</v>
      </c>
      <c r="I155" s="498" t="str">
        <v>Other paint uses (DIY) outdoor (discarded)</v>
      </c>
      <c r="J155" t="str">
        <v>Manufacturing of clothing</v>
      </c>
    </row>
    <row r="156" spans="1:10" ht="15" thickBot="1">
      <c r="A156" s="74" t="str">
        <v>Other paint uses (prof) indoor</v>
      </c>
      <c r="B156" s="332" t="str">
        <f>IFERROR(VLOOKUP(A156,'Compartments_Kawecki&amp;Nowack19'!A:C,2,FALSE), IFERROR(VLOOKUP(A156,Compartments_Added!A:C,2,FALSE), "Not found"))</f>
        <v>Flow</v>
      </c>
      <c r="C156" s="332" t="str">
        <f>IFERROR(VLOOKUP(A156,'Compartments_Kawecki&amp;Nowack19'!A:C,3,FALSE), IFERROR(VLOOKUP(A156,Compartments_Added!A:C,3,FALSE), "Not found"))</f>
        <v>OtherPaintUsesProfIn</v>
      </c>
      <c r="D156" s="95" t="str">
        <f>IFERROR(IF(VLOOKUP(A156,'Compartments_Kawecki&amp;Nowack19'!A:C,1,FALSE)=A156, "Kawecki","what?"),"Added/changed")</f>
        <v>Added/changed</v>
      </c>
      <c r="F156" s="17"/>
      <c r="G156" s="493" t="str">
        <v>Other paint uses (prof) outdoor</v>
      </c>
      <c r="H156" s="310" t="str">
        <v>Other paint uses (DIY) indoor</v>
      </c>
      <c r="I156" s="498" t="str">
        <v>Other paint uses (DIY) outdoor (in use)</v>
      </c>
      <c r="J156" t="str">
        <v>Medical textiles</v>
      </c>
    </row>
    <row r="157" spans="1:10" ht="15" thickBot="1">
      <c r="A157" s="74" t="str">
        <v>Other paint uses (prof) indoor (discarded)</v>
      </c>
      <c r="B157" s="332" t="str">
        <f>IFERROR(VLOOKUP(A157,'Compartments_Kawecki&amp;Nowack19'!A:C,2,FALSE), IFERROR(VLOOKUP(A157,Compartments_Added!A:C,2,FALSE), "Not found"))</f>
        <v>Stock</v>
      </c>
      <c r="C157" s="332" t="str">
        <f>IFERROR(VLOOKUP(A157,'Compartments_Kawecki&amp;Nowack19'!A:C,3,FALSE), IFERROR(VLOOKUP(A157,Compartments_Added!A:C,3,FALSE), "Not found"))</f>
        <v>OtherPaintUsesProfInDis</v>
      </c>
      <c r="D157" s="95" t="str">
        <f>IFERROR(IF(VLOOKUP(A157,'Compartments_Kawecki&amp;Nowack19'!A:C,1,FALSE)=A157, "Kawecki","what?"),"Added/changed")</f>
        <v>Added/changed</v>
      </c>
      <c r="F157" s="17"/>
      <c r="G157" s="493" t="str">
        <v>Other paint uses (prof) outdoor (discarded)</v>
      </c>
      <c r="H157" s="310" t="str">
        <v>Other paint uses (DIY) indoor (in use)</v>
      </c>
      <c r="I157" s="498" t="str">
        <v>Other paint uses (prof)</v>
      </c>
      <c r="J157" t="str">
        <v>Medicine diffusion limitation (slow release)</v>
      </c>
    </row>
    <row r="158" spans="1:10" ht="15" thickBot="1">
      <c r="A158" s="74" t="str">
        <v>Other paint uses (prof) indoor (in use)</v>
      </c>
      <c r="B158" s="332" t="str">
        <f>IFERROR(VLOOKUP(A158,'Compartments_Kawecki&amp;Nowack19'!A:C,2,FALSE), IFERROR(VLOOKUP(A158,Compartments_Added!A:C,2,FALSE), "Not found"))</f>
        <v>Stock</v>
      </c>
      <c r="C158" s="332" t="str">
        <f>IFERROR(VLOOKUP(A158,'Compartments_Kawecki&amp;Nowack19'!A:C,3,FALSE), IFERROR(VLOOKUP(A158,Compartments_Added!A:C,3,FALSE), "Not found"))</f>
        <v>OtherPaintUsesProfInIU</v>
      </c>
      <c r="D158" s="95" t="str">
        <f>IFERROR(IF(VLOOKUP(A158,'Compartments_Kawecki&amp;Nowack19'!A:C,1,FALSE)=A158, "Kawecki","what?"),"Added/changed")</f>
        <v>Added/changed</v>
      </c>
      <c r="F158" s="17"/>
      <c r="G158" s="493" t="str">
        <v>Other paint uses (prof) outdoor (in use)</v>
      </c>
      <c r="H158" s="310" t="str">
        <v>Other paint uses (DIY) indoor (discarded)</v>
      </c>
      <c r="I158" s="498" t="str">
        <v>Other paint uses (prof) indoor</v>
      </c>
      <c r="J158" t="str">
        <v>Mixed waste collection</v>
      </c>
    </row>
    <row r="159" spans="1:10" ht="15" thickBot="1">
      <c r="A159" s="74" t="str">
        <v>Other paint uses (prof) outdoor</v>
      </c>
      <c r="B159" s="332" t="str">
        <f>IFERROR(VLOOKUP(A159,'Compartments_Kawecki&amp;Nowack19'!A:C,2,FALSE), IFERROR(VLOOKUP(A159,Compartments_Added!A:C,2,FALSE), "Not found"))</f>
        <v>Flow</v>
      </c>
      <c r="C159" s="332" t="str">
        <f>IFERROR(VLOOKUP(A159,'Compartments_Kawecki&amp;Nowack19'!A:C,3,FALSE), IFERROR(VLOOKUP(A159,Compartments_Added!A:C,3,FALSE), "Not found"))</f>
        <v>OtherPaintUsesProfOut</v>
      </c>
      <c r="D159" s="95" t="str">
        <f>IFERROR(IF(VLOOKUP(A159,'Compartments_Kawecki&amp;Nowack19'!A:C,1,FALSE)=A159, "Kawecki","what?"),"Added/changed")</f>
        <v>Added/changed</v>
      </c>
      <c r="F159" s="17"/>
      <c r="G159" s="493" t="str">
        <v>Other technical textiles</v>
      </c>
      <c r="H159" s="310" t="str">
        <v>Other paint uses (DIY) outdoor (in use)</v>
      </c>
      <c r="I159" s="498" t="str">
        <v>Other paint uses (prof) indoor (discarded)</v>
      </c>
      <c r="J159" t="str">
        <v>Mixed waste collection (micro)</v>
      </c>
    </row>
    <row r="160" spans="1:10" ht="15" thickBot="1">
      <c r="A160" s="74" t="str">
        <v>Other paint uses (prof) outdoor (discarded)</v>
      </c>
      <c r="B160" s="332" t="str">
        <f>IFERROR(VLOOKUP(A160,'Compartments_Kawecki&amp;Nowack19'!A:C,2,FALSE), IFERROR(VLOOKUP(A160,Compartments_Added!A:C,2,FALSE), "Not found"))</f>
        <v>Stock</v>
      </c>
      <c r="C160" s="332" t="str">
        <f>IFERROR(VLOOKUP(A160,'Compartments_Kawecki&amp;Nowack19'!A:C,3,FALSE), IFERROR(VLOOKUP(A160,Compartments_Added!A:C,3,FALSE), "Not found"))</f>
        <v>OtherPaintUsesProfOutDis</v>
      </c>
      <c r="D160" s="95" t="str">
        <f>IFERROR(IF(VLOOKUP(A160,'Compartments_Kawecki&amp;Nowack19'!A:C,1,FALSE)=A160, "Kawecki","what?"),"Added/changed")</f>
        <v>Added/changed</v>
      </c>
      <c r="F160" s="17"/>
      <c r="G160" s="493" t="str">
        <v>Packaging</v>
      </c>
      <c r="H160" s="310" t="str">
        <v>Other paint uses (DIY) outdoor (discarded)</v>
      </c>
      <c r="I160" s="498" t="str">
        <v>Other paint uses (prof) indoor (in use)</v>
      </c>
      <c r="J160" t="str">
        <v>Mobility textiles</v>
      </c>
    </row>
    <row r="161" spans="1:10" ht="15" thickBot="1">
      <c r="A161" s="74" t="str">
        <v>Other paint uses (prof) outdoor (in use)</v>
      </c>
      <c r="B161" s="332" t="str">
        <f>IFERROR(VLOOKUP(A161,'Compartments_Kawecki&amp;Nowack19'!A:C,2,FALSE), IFERROR(VLOOKUP(A161,Compartments_Added!A:C,2,FALSE), "Not found"))</f>
        <v>Stock</v>
      </c>
      <c r="C161" s="332" t="str">
        <f>IFERROR(VLOOKUP(A161,'Compartments_Kawecki&amp;Nowack19'!A:C,3,FALSE), IFERROR(VLOOKUP(A161,Compartments_Added!A:C,3,FALSE), "Not found"))</f>
        <v>OtherPaintUsesProfOutIU</v>
      </c>
      <c r="D161" s="95" t="str">
        <f>IFERROR(IF(VLOOKUP(A161,'Compartments_Kawecki&amp;Nowack19'!A:C,1,FALSE)=A161, "Kawecki","what?"),"Added/changed")</f>
        <v>Added/changed</v>
      </c>
      <c r="F161" s="17"/>
      <c r="G161" s="493" t="str">
        <v>Packaging collection</v>
      </c>
      <c r="H161" s="310" t="str">
        <v>Other paint uses (prof) outdoor</v>
      </c>
      <c r="I161" s="498" t="str">
        <v>Other paint uses (prof) outdoor</v>
      </c>
      <c r="J161" t="str">
        <v>Non-consumer bags</v>
      </c>
    </row>
    <row r="162" spans="1:10" ht="15" thickBot="1">
      <c r="A162" s="74" t="str">
        <v>Other technical textiles</v>
      </c>
      <c r="B162" s="332" t="str">
        <f>IFERROR(VLOOKUP(A162,'Compartments_Kawecki&amp;Nowack19'!A:C,2,FALSE), IFERROR(VLOOKUP(A162,Compartments_Added!A:C,2,FALSE), "Not found"))</f>
        <v>Stock</v>
      </c>
      <c r="C162" s="332" t="str">
        <f>IFERROR(VLOOKUP(A162,'Compartments_Kawecki&amp;Nowack19'!A:C,3,FALSE), IFERROR(VLOOKUP(A162,Compartments_Added!A:C,3,FALSE), "Not found"))</f>
        <v>OtherTechnicalTextiles</v>
      </c>
      <c r="D162" s="95" t="str">
        <f>IFERROR(IF(VLOOKUP(A162,'Compartments_Kawecki&amp;Nowack19'!A:C,1,FALSE)=A162, "Kawecki","what?"),"Added/changed")</f>
        <v>Kawecki</v>
      </c>
      <c r="F162" s="17"/>
      <c r="G162" s="493" t="str">
        <v>Packaging recycling</v>
      </c>
      <c r="H162" s="310" t="str">
        <v>Other paint uses (prof) indoor</v>
      </c>
      <c r="I162" s="498" t="str">
        <v>Other paint uses (prof) outdoor (discarded)</v>
      </c>
      <c r="J162" t="str">
        <v>Offshore oil &amp; gas applications</v>
      </c>
    </row>
    <row r="163" spans="1:10" ht="15" thickBot="1">
      <c r="A163" s="74" t="str">
        <v>Packaging collection</v>
      </c>
      <c r="B163" s="332" t="str">
        <f>IFERROR(VLOOKUP(A163,'Compartments_Kawecki&amp;Nowack19'!A:C,2,FALSE), IFERROR(VLOOKUP(A163,Compartments_Added!A:C,2,FALSE), "Not found"))</f>
        <v>Flow</v>
      </c>
      <c r="C163" s="332" t="str">
        <f>IFERROR(VLOOKUP(A163,'Compartments_Kawecki&amp;Nowack19'!A:C,3,FALSE), IFERROR(VLOOKUP(A163,Compartments_Added!A:C,3,FALSE), "Not found"))</f>
        <v>PackagingCollection</v>
      </c>
      <c r="D163" s="95" t="str">
        <f>IFERROR(IF(VLOOKUP(A163,'Compartments_Kawecki&amp;Nowack19'!A:C,1,FALSE)=A163, "Kawecki","what?"),"Added/changed")</f>
        <v>Kawecki</v>
      </c>
      <c r="F163" s="17"/>
      <c r="G163" s="493" t="str">
        <v>Paint</v>
      </c>
      <c r="H163" s="310" t="str">
        <v>Other paint uses (prof) indoor (in use)</v>
      </c>
      <c r="I163" s="498" t="str">
        <v>Other paint uses (prof) outdoor (in use)</v>
      </c>
      <c r="J163" t="str">
        <v>On-site sewage facility (macro)</v>
      </c>
    </row>
    <row r="164" spans="1:10" ht="15" thickBot="1">
      <c r="A164" s="74" t="str">
        <v>Packaging recycling</v>
      </c>
      <c r="B164" s="332" t="str">
        <f>IFERROR(VLOOKUP(A164,'Compartments_Kawecki&amp;Nowack19'!A:C,2,FALSE), IFERROR(VLOOKUP(A164,Compartments_Added!A:C,2,FALSE), "Not found"))</f>
        <v>Flow</v>
      </c>
      <c r="C164" s="332" t="str">
        <f>IFERROR(VLOOKUP(A164,'Compartments_Kawecki&amp;Nowack19'!A:C,3,FALSE), IFERROR(VLOOKUP(A164,Compartments_Added!A:C,3,FALSE), "Not found"))</f>
        <v>PackagingRecycling</v>
      </c>
      <c r="D164" s="95" t="str">
        <f>IFERROR(IF(VLOOKUP(A164,'Compartments_Kawecki&amp;Nowack19'!A:C,1,FALSE)=A164, "Kawecki","what?"),"Added/changed")</f>
        <v>Kawecki</v>
      </c>
      <c r="F164" s="17"/>
      <c r="G164" s="493" t="str">
        <v>Paints used in pre-made wooden products</v>
      </c>
      <c r="H164" s="310" t="str">
        <v>Other paint uses (prof) indoor (discarded)</v>
      </c>
      <c r="I164" s="498" t="str">
        <v>Other technical textiles</v>
      </c>
      <c r="J164" t="str">
        <v>On-site sewage facility (micro)</v>
      </c>
    </row>
    <row r="165" spans="1:10" ht="15" thickBot="1">
      <c r="A165" s="74" t="str">
        <v>Paints used in pre-made wooden products</v>
      </c>
      <c r="B165" s="332" t="str">
        <f>IFERROR(VLOOKUP(A165,'Compartments_Kawecki&amp;Nowack19'!A:C,2,FALSE), IFERROR(VLOOKUP(A165,Compartments_Added!A:C,2,FALSE), "Not found"))</f>
        <v>Flow</v>
      </c>
      <c r="C165" s="332" t="str">
        <f>IFERROR(VLOOKUP(A165,'Compartments_Kawecki&amp;Nowack19'!A:C,3,FALSE), IFERROR(VLOOKUP(A165,Compartments_Added!A:C,3,FALSE), "Not found"))</f>
        <v>PaintsPreMadeWood</v>
      </c>
      <c r="D165" s="95" t="str">
        <f>IFERROR(IF(VLOOKUP(A165,'Compartments_Kawecki&amp;Nowack19'!A:C,1,FALSE)=A165, "Kawecki","what?"),"Added/changed")</f>
        <v>Added/changed</v>
      </c>
      <c r="F165" s="17"/>
      <c r="G165" s="493" t="str">
        <v>Paints used in pre-made wooden products indoor</v>
      </c>
      <c r="H165" s="310" t="str">
        <v>Other paint uses (prof) outdoor (in use)</v>
      </c>
      <c r="I165" s="498" t="str">
        <v>Packaging collection</v>
      </c>
      <c r="J165" t="str">
        <v>On-the-go consumption</v>
      </c>
    </row>
    <row r="166" spans="1:10" ht="15" thickBot="1">
      <c r="A166" s="74" t="str">
        <v>Paints used in pre-made wooden products indoor</v>
      </c>
      <c r="B166" s="332" t="str">
        <f>IFERROR(VLOOKUP(A166,'Compartments_Kawecki&amp;Nowack19'!A:C,2,FALSE), IFERROR(VLOOKUP(A166,Compartments_Added!A:C,2,FALSE), "Not found"))</f>
        <v>Flow</v>
      </c>
      <c r="C166" s="332" t="str">
        <f>IFERROR(VLOOKUP(A166,'Compartments_Kawecki&amp;Nowack19'!A:C,3,FALSE), IFERROR(VLOOKUP(A166,Compartments_Added!A:C,3,FALSE), "Not found"))</f>
        <v>PaintsPreMadeWoodIn</v>
      </c>
      <c r="D166" s="95" t="str">
        <f>IFERROR(IF(VLOOKUP(A166,'Compartments_Kawecki&amp;Nowack19'!A:C,1,FALSE)=A166, "Kawecki","what?"),"Added/changed")</f>
        <v>Added/changed</v>
      </c>
      <c r="F166" s="17"/>
      <c r="G166" s="493" t="str">
        <v>Paints used in pre-made wooden products indoor (discarded)</v>
      </c>
      <c r="H166" s="310" t="str">
        <v>Other paint uses (prof) outdoor (discarded)</v>
      </c>
      <c r="I166" s="498" t="str">
        <v>Packaging recycling</v>
      </c>
      <c r="J166" t="str">
        <v>On-the-go consumption (nature)</v>
      </c>
    </row>
    <row r="167" spans="1:10" ht="15" thickBot="1">
      <c r="A167" s="74" t="str">
        <v>Paints used in pre-made wooden products indoor (discarded)</v>
      </c>
      <c r="B167" s="332" t="str">
        <f>IFERROR(VLOOKUP(A167,'Compartments_Kawecki&amp;Nowack19'!A:C,2,FALSE), IFERROR(VLOOKUP(A167,Compartments_Added!A:C,2,FALSE), "Not found"))</f>
        <v>Stock</v>
      </c>
      <c r="C167" s="332" t="str">
        <f>IFERROR(VLOOKUP(A167,'Compartments_Kawecki&amp;Nowack19'!A:C,3,FALSE), IFERROR(VLOOKUP(A167,Compartments_Added!A:C,3,FALSE), "Not found"))</f>
        <v>PaintsPreMadeWoodInDis</v>
      </c>
      <c r="D167" s="95" t="str">
        <f>IFERROR(IF(VLOOKUP(A167,'Compartments_Kawecki&amp;Nowack19'!A:C,1,FALSE)=A167, "Kawecki","what?"),"Added/changed")</f>
        <v>Added/changed</v>
      </c>
      <c r="F167" s="17"/>
      <c r="G167" s="493" t="str">
        <v>Paints used in pre-made wooden products indoor (in use)</v>
      </c>
      <c r="H167" s="310" t="str">
        <v>Agricultural packaging bottles</v>
      </c>
      <c r="I167" s="498" t="str">
        <v>Paints used in pre-made wooden products</v>
      </c>
      <c r="J167" t="str">
        <v>On-the-go consumption (residential)</v>
      </c>
    </row>
    <row r="168" spans="1:10" ht="15" thickBot="1">
      <c r="A168" s="74" t="str">
        <v>Paints used in pre-made wooden products indoor (in use)</v>
      </c>
      <c r="B168" s="332" t="str">
        <f>IFERROR(VLOOKUP(A168,'Compartments_Kawecki&amp;Nowack19'!A:C,2,FALSE), IFERROR(VLOOKUP(A168,Compartments_Added!A:C,2,FALSE), "Not found"))</f>
        <v>Stock</v>
      </c>
      <c r="C168" s="332" t="str">
        <f>IFERROR(VLOOKUP(A168,'Compartments_Kawecki&amp;Nowack19'!A:C,3,FALSE), IFERROR(VLOOKUP(A168,Compartments_Added!A:C,3,FALSE), "Not found"))</f>
        <v>PaintsPreMadeWoodInIU</v>
      </c>
      <c r="D168" s="95" t="str">
        <f>IFERROR(IF(VLOOKUP(A168,'Compartments_Kawecki&amp;Nowack19'!A:C,1,FALSE)=A168, "Kawecki","what?"),"Added/changed")</f>
        <v>Added/changed</v>
      </c>
      <c r="F168" s="17"/>
      <c r="G168" s="493" t="str">
        <v>Paints used in pre-made wooden products outdoor</v>
      </c>
      <c r="H168" s="310" t="str">
        <v>Agricultural packaging films</v>
      </c>
      <c r="I168" s="498" t="str">
        <v>Paints used in pre-made wooden products indoor</v>
      </c>
      <c r="J168" t="str">
        <v>On-the-go consumption (transport)</v>
      </c>
    </row>
    <row r="169" spans="1:10" ht="15" thickBot="1">
      <c r="A169" s="74" t="str">
        <v>Paints used in pre-made wooden products outdoor</v>
      </c>
      <c r="B169" s="332" t="str">
        <f>IFERROR(VLOOKUP(A169,'Compartments_Kawecki&amp;Nowack19'!A:C,2,FALSE), IFERROR(VLOOKUP(A169,Compartments_Added!A:C,2,FALSE), "Not found"))</f>
        <v>Flow</v>
      </c>
      <c r="C169" s="332" t="str">
        <f>IFERROR(VLOOKUP(A169,'Compartments_Kawecki&amp;Nowack19'!A:C,3,FALSE), IFERROR(VLOOKUP(A169,Compartments_Added!A:C,3,FALSE), "Not found"))</f>
        <v>PaintsPreMadeWoodOut</v>
      </c>
      <c r="D169" s="95" t="str">
        <f>IFERROR(IF(VLOOKUP(A169,'Compartments_Kawecki&amp;Nowack19'!A:C,1,FALSE)=A169, "Kawecki","what?"),"Added/changed")</f>
        <v>Added/changed</v>
      </c>
      <c r="F169" s="17"/>
      <c r="G169" s="493" t="str">
        <v>Paints used in pre-made wooden products outdoor (discarded)</v>
      </c>
      <c r="H169" s="310" t="str">
        <v>Building packaging films</v>
      </c>
      <c r="I169" s="498" t="str">
        <v>Paints used in pre-made wooden products indoor (discarded)</v>
      </c>
      <c r="J169" t="str">
        <v>Open-toed shoes</v>
      </c>
    </row>
    <row r="170" spans="1:10" ht="15" thickBot="1">
      <c r="A170" s="74" t="str">
        <v>Paints used in pre-made wooden products outdoor (discarded)</v>
      </c>
      <c r="B170" s="332" t="str">
        <f>IFERROR(VLOOKUP(A170,'Compartments_Kawecki&amp;Nowack19'!A:C,2,FALSE), IFERROR(VLOOKUP(A170,Compartments_Added!A:C,2,FALSE), "Not found"))</f>
        <v>Stock</v>
      </c>
      <c r="C170" s="332" t="str">
        <f>IFERROR(VLOOKUP(A170,'Compartments_Kawecki&amp;Nowack19'!A:C,3,FALSE), IFERROR(VLOOKUP(A170,Compartments_Added!A:C,3,FALSE), "Not found"))</f>
        <v>PaintsPreMadeWoodOutDis</v>
      </c>
      <c r="D170" s="95" t="str">
        <f>IFERROR(IF(VLOOKUP(A170,'Compartments_Kawecki&amp;Nowack19'!A:C,1,FALSE)=A170, "Kawecki","what?"),"Added/changed")</f>
        <v>Added/changed</v>
      </c>
      <c r="F170" s="17"/>
      <c r="G170" s="493" t="str">
        <v>Paints used in pre-made wooden products outdoor (in use)</v>
      </c>
      <c r="H170" s="310" t="str">
        <v>Consumer bags</v>
      </c>
      <c r="I170" s="498" t="str">
        <v>Paints used in pre-made wooden products indoor (in use)</v>
      </c>
      <c r="J170" t="str">
        <v>Other consumer packaging</v>
      </c>
    </row>
    <row r="171" spans="1:10" ht="15" thickBot="1">
      <c r="A171" s="74" t="str">
        <v>Paints used in pre-made wooden products outdoor (in use)</v>
      </c>
      <c r="B171" s="332" t="str">
        <f>IFERROR(VLOOKUP(A171,'Compartments_Kawecki&amp;Nowack19'!A:C,2,FALSE), IFERROR(VLOOKUP(A171,Compartments_Added!A:C,2,FALSE), "Not found"))</f>
        <v>Stock</v>
      </c>
      <c r="C171" s="332" t="str">
        <f>IFERROR(VLOOKUP(A171,'Compartments_Kawecki&amp;Nowack19'!A:C,3,FALSE), IFERROR(VLOOKUP(A171,Compartments_Added!A:C,3,FALSE), "Not found"))</f>
        <v>PaintsPreMadeWoodOutIU</v>
      </c>
      <c r="D171" s="95" t="str">
        <f>IFERROR(IF(VLOOKUP(A171,'Compartments_Kawecki&amp;Nowack19'!A:C,1,FALSE)=A171, "Kawecki","what?"),"Added/changed")</f>
        <v>Added/changed</v>
      </c>
      <c r="F171" s="17"/>
      <c r="G171" s="493" t="str">
        <v>Pants and shorts</v>
      </c>
      <c r="H171" s="310" t="str">
        <v>Consumer bottles</v>
      </c>
      <c r="I171" s="498" t="str">
        <v>Paints used in pre-made wooden products outdoor</v>
      </c>
      <c r="J171" t="str">
        <v>Other non-consumer films</v>
      </c>
    </row>
    <row r="172" spans="1:10" ht="15" thickBot="1">
      <c r="A172" s="74" t="str">
        <v>Pants and shorts</v>
      </c>
      <c r="B172" s="332" t="str">
        <f>IFERROR(VLOOKUP(A172,'Compartments_Kawecki&amp;Nowack19'!A:C,2,FALSE), IFERROR(VLOOKUP(A172,Compartments_Added!A:C,2,FALSE), "Not found"))</f>
        <v>Stock</v>
      </c>
      <c r="C172" s="332" t="str">
        <f>IFERROR(VLOOKUP(A172,'Compartments_Kawecki&amp;Nowack19'!A:C,3,FALSE), IFERROR(VLOOKUP(A172,Compartments_Added!A:C,3,FALSE), "Not found"))</f>
        <v>PantsShorts</v>
      </c>
      <c r="D172" s="95" t="str">
        <f>IFERROR(IF(VLOOKUP(A172,'Compartments_Kawecki&amp;Nowack19'!A:C,1,FALSE)=A172, "Kawecki","what?"),"Added/changed")</f>
        <v>Added/changed</v>
      </c>
      <c r="F172" s="17"/>
      <c r="G172" s="493" t="str">
        <v>Panty liners</v>
      </c>
      <c r="H172" s="310" t="str">
        <v>Consumer films</v>
      </c>
      <c r="I172" s="498" t="str">
        <v>Paints used in pre-made wooden products outdoor (discarded)</v>
      </c>
      <c r="J172" t="str">
        <v>Other non-consumer packaging</v>
      </c>
    </row>
    <row r="173" spans="1:10" ht="15" thickBot="1">
      <c r="A173" s="74" t="str">
        <v>Panty liners</v>
      </c>
      <c r="B173" s="332" t="str">
        <f>IFERROR(VLOOKUP(A173,'Compartments_Kawecki&amp;Nowack19'!A:C,2,FALSE), IFERROR(VLOOKUP(A173,Compartments_Added!A:C,2,FALSE), "Not found"))</f>
        <v>Flow</v>
      </c>
      <c r="C173" s="332" t="str">
        <f>IFERROR(VLOOKUP(A173,'Compartments_Kawecki&amp;Nowack19'!A:C,3,FALSE), IFERROR(VLOOKUP(A173,Compartments_Added!A:C,3,FALSE), "Not found"))</f>
        <v>PantyLiners</v>
      </c>
      <c r="D173" s="95" t="str">
        <f>IFERROR(IF(VLOOKUP(A173,'Compartments_Kawecki&amp;Nowack19'!A:C,1,FALSE)=A173, "Kawecki","what?"),"Added/changed")</f>
        <v>Kawecki</v>
      </c>
      <c r="F173" s="17"/>
      <c r="G173" s="493" t="str">
        <v>PCCP</v>
      </c>
      <c r="H173" s="310" t="str">
        <v>Non-consumer bags</v>
      </c>
      <c r="I173" s="498" t="str">
        <v>Paints used in pre-made wooden products outdoor (in use)</v>
      </c>
      <c r="J173" t="str">
        <v>Other paint uses (DIY)</v>
      </c>
    </row>
    <row r="174" spans="1:10" ht="15" thickBot="1">
      <c r="A174" s="74" t="str">
        <v>PCCP</v>
      </c>
      <c r="B174" s="332" t="str">
        <f>IFERROR(VLOOKUP(A174,'Compartments_Kawecki&amp;Nowack19'!A:C,2,FALSE), IFERROR(VLOOKUP(A174,Compartments_Added!A:C,2,FALSE), "Not found"))</f>
        <v>Flow</v>
      </c>
      <c r="C174" s="332" t="str">
        <f>IFERROR(VLOOKUP(A174,'Compartments_Kawecki&amp;Nowack19'!A:C,3,FALSE), IFERROR(VLOOKUP(A174,Compartments_Added!A:C,3,FALSE), "Not found"))</f>
        <v>PCCP</v>
      </c>
      <c r="D174" s="95" t="str">
        <f>IFERROR(IF(VLOOKUP(A174,'Compartments_Kawecki&amp;Nowack19'!A:C,1,FALSE)=A174, "Kawecki","what?"),"Added/changed")</f>
        <v>Kawecki</v>
      </c>
      <c r="F174" s="17"/>
      <c r="G174" s="493" t="str">
        <v>Pellet conversion</v>
      </c>
      <c r="H174" s="310" t="str">
        <v>Other consumer packaging</v>
      </c>
      <c r="I174" s="498" t="str">
        <v>Pants and shorts</v>
      </c>
      <c r="J174" t="str">
        <v>Other paint uses (DIY) indoor</v>
      </c>
    </row>
    <row r="175" spans="1:10" ht="15" thickBot="1">
      <c r="A175" s="74" t="str">
        <v>Pellet conversion</v>
      </c>
      <c r="B175" s="332" t="str">
        <f>IFERROR(VLOOKUP(A175,'Compartments_Kawecki&amp;Nowack19'!A:C,2,FALSE), IFERROR(VLOOKUP(A175,Compartments_Added!A:C,2,FALSE), "Not found"))</f>
        <v>Flow</v>
      </c>
      <c r="C175" s="332" t="str">
        <f>IFERROR(VLOOKUP(A175,'Compartments_Kawecki&amp;Nowack19'!A:C,3,FALSE), IFERROR(VLOOKUP(A175,Compartments_Added!A:C,3,FALSE), "Not found"))</f>
        <v>PelletConversio</v>
      </c>
      <c r="D175" s="95" t="str">
        <f>IFERROR(IF(VLOOKUP(A175,'Compartments_Kawecki&amp;Nowack19'!A:C,1,FALSE)=A175, "Kawecki","what?"),"Added/changed")</f>
        <v>Added/changed</v>
      </c>
      <c r="F175" s="17"/>
      <c r="G175" s="493" t="str">
        <v>Pellet losses industrial plants</v>
      </c>
      <c r="H175" s="310" t="str">
        <v>Other non-consumer films</v>
      </c>
      <c r="I175" s="498" t="str">
        <v>Panty liners</v>
      </c>
      <c r="J175" t="str">
        <v>Other paint uses (DIY) indoor (discarded)</v>
      </c>
    </row>
    <row r="176" spans="1:10" ht="15" thickBot="1">
      <c r="A176" s="74" t="str">
        <v>Pellet losses industrial plants</v>
      </c>
      <c r="B176" s="332" t="str">
        <f>IFERROR(VLOOKUP(A176,'Compartments_Kawecki&amp;Nowack19'!A:C,2,FALSE), IFERROR(VLOOKUP(A176,Compartments_Added!A:C,2,FALSE), "Not found"))</f>
        <v>Flow</v>
      </c>
      <c r="C176" s="332" t="str">
        <f>IFERROR(VLOOKUP(A176,'Compartments_Kawecki&amp;Nowack19'!A:C,3,FALSE), IFERROR(VLOOKUP(A176,Compartments_Added!A:C,3,FALSE), "Not found"))</f>
        <v>PelletLossIndustrial</v>
      </c>
      <c r="D176" s="95" t="str">
        <f>IFERROR(IF(VLOOKUP(A176,'Compartments_Kawecki&amp;Nowack19'!A:C,1,FALSE)=A176, "Kawecki","what?"),"Added/changed")</f>
        <v>Added/changed</v>
      </c>
      <c r="F176" s="17"/>
      <c r="G176" s="493" t="str">
        <v>Pellet losses transport land</v>
      </c>
      <c r="H176" s="310" t="str">
        <v>Other non-consumer packaging</v>
      </c>
      <c r="I176" s="498" t="str">
        <v>PCCP</v>
      </c>
      <c r="J176" t="str">
        <v>Other paint uses (DIY) indoor (in use)</v>
      </c>
    </row>
    <row r="177" spans="1:10" ht="15" thickBot="1">
      <c r="A177" s="74" t="str">
        <v>Pellet losses transport land</v>
      </c>
      <c r="B177" s="332" t="str">
        <f>IFERROR(VLOOKUP(A177,'Compartments_Kawecki&amp;Nowack19'!A:C,2,FALSE), IFERROR(VLOOKUP(A177,Compartments_Added!A:C,2,FALSE), "Not found"))</f>
        <v>Flow</v>
      </c>
      <c r="C177" s="332" t="str">
        <f>IFERROR(VLOOKUP(A177,'Compartments_Kawecki&amp;Nowack19'!A:C,3,FALSE), IFERROR(VLOOKUP(A177,Compartments_Added!A:C,3,FALSE), "Not found"))</f>
        <v>PelletTransportLossesL</v>
      </c>
      <c r="D177" s="95" t="str">
        <f>IFERROR(IF(VLOOKUP(A177,'Compartments_Kawecki&amp;Nowack19'!A:C,1,FALSE)=A177, "Kawecki","what?"),"Added/changed")</f>
        <v>Added/changed</v>
      </c>
      <c r="F177" s="17"/>
      <c r="G177" s="493" t="str">
        <v>Plant protection products</v>
      </c>
      <c r="H177" s="310" t="str">
        <v>Packaging recycling</v>
      </c>
      <c r="I177" s="498" t="str">
        <v>Pellet conversion</v>
      </c>
      <c r="J177" t="str">
        <v>Other paint uses (DIY) outdoor</v>
      </c>
    </row>
    <row r="178" spans="1:10" ht="15" thickBot="1">
      <c r="A178" s="74" t="str">
        <v>Plant protection products</v>
      </c>
      <c r="B178" s="332" t="str">
        <f>IFERROR(VLOOKUP(A178,'Compartments_Kawecki&amp;Nowack19'!A:C,2,FALSE), IFERROR(VLOOKUP(A178,Compartments_Added!A:C,2,FALSE), "Not found"))</f>
        <v>Flow</v>
      </c>
      <c r="C178" s="332" t="str">
        <f>IFERROR(VLOOKUP(A178,'Compartments_Kawecki&amp;Nowack19'!A:C,3,FALSE), IFERROR(VLOOKUP(A178,Compartments_Added!A:C,3,FALSE), "Not found"))</f>
        <v>PlantProtection</v>
      </c>
      <c r="D178" s="95" t="str">
        <f>IFERROR(IF(VLOOKUP(A178,'Compartments_Kawecki&amp;Nowack19'!A:C,1,FALSE)=A178, "Kawecki","what?"),"Added/changed")</f>
        <v>Added/changed</v>
      </c>
      <c r="F178" s="17"/>
      <c r="G178" s="493" t="str">
        <v>Plaster (DIY)</v>
      </c>
      <c r="H178" s="310" t="str">
        <v>Concrete paint (prof)</v>
      </c>
      <c r="I178" s="498" t="str">
        <v>Pellet losses industrial plants</v>
      </c>
      <c r="J178" t="str">
        <v>Other paint uses (DIY) outdoor (discarded)</v>
      </c>
    </row>
    <row r="179" spans="1:10" ht="15" thickBot="1">
      <c r="A179" s="74" t="str">
        <v>Plaster (DIY)</v>
      </c>
      <c r="B179" s="332" t="str">
        <f>IFERROR(VLOOKUP(A179,'Compartments_Kawecki&amp;Nowack19'!A:C,2,FALSE), IFERROR(VLOOKUP(A179,Compartments_Added!A:C,2,FALSE), "Not found"))</f>
        <v>Flow</v>
      </c>
      <c r="C179" s="332" t="str">
        <f>IFERROR(VLOOKUP(A179,'Compartments_Kawecki&amp;Nowack19'!A:C,3,FALSE), IFERROR(VLOOKUP(A179,Compartments_Added!A:C,3,FALSE), "Not found"))</f>
        <v>PlasterDiy</v>
      </c>
      <c r="D179" s="95" t="str">
        <f>IFERROR(IF(VLOOKUP(A179,'Compartments_Kawecki&amp;Nowack19'!A:C,1,FALSE)=A179, "Kawecki","what?"),"Added/changed")</f>
        <v>Added/changed</v>
      </c>
      <c r="F179" s="17"/>
      <c r="G179" s="493" t="str">
        <v>Plaster (DIY) indoor</v>
      </c>
      <c r="H179" s="310" t="str">
        <v>Lacquer (prof)</v>
      </c>
      <c r="I179" s="498" t="str">
        <v>Pellet losses transport land</v>
      </c>
      <c r="J179" t="str">
        <v>Other paint uses (DIY) outdoor (in use)</v>
      </c>
    </row>
    <row r="180" spans="1:10" ht="15" thickBot="1">
      <c r="A180" s="74" t="str">
        <v>Plaster (DIY) indoor</v>
      </c>
      <c r="B180" s="332" t="str">
        <f>IFERROR(VLOOKUP(A180,'Compartments_Kawecki&amp;Nowack19'!A:C,2,FALSE), IFERROR(VLOOKUP(A180,Compartments_Added!A:C,2,FALSE), "Not found"))</f>
        <v>Flow</v>
      </c>
      <c r="C180" s="332" t="str">
        <f>IFERROR(VLOOKUP(A180,'Compartments_Kawecki&amp;Nowack19'!A:C,3,FALSE), IFERROR(VLOOKUP(A180,Compartments_Added!A:C,3,FALSE), "Not found"))</f>
        <v>PlasterDiyIn</v>
      </c>
      <c r="D180" s="95" t="str">
        <f>IFERROR(IF(VLOOKUP(A180,'Compartments_Kawecki&amp;Nowack19'!A:C,1,FALSE)=A180, "Kawecki","what?"),"Added/changed")</f>
        <v>Added/changed</v>
      </c>
      <c r="F180" s="17"/>
      <c r="G180" s="493" t="str">
        <v>Plaster (DIY) indoor (discarded)</v>
      </c>
      <c r="H180" s="310" t="str">
        <v>Wood stain (prof)</v>
      </c>
      <c r="I180" s="498" t="str">
        <v>Plant protection products</v>
      </c>
      <c r="J180" t="str">
        <v>Other paint uses (prof)</v>
      </c>
    </row>
    <row r="181" spans="1:10" ht="15" thickBot="1">
      <c r="A181" s="74" t="str">
        <v>Plaster (DIY) indoor (discarded)</v>
      </c>
      <c r="B181" s="332" t="str">
        <f>IFERROR(VLOOKUP(A181,'Compartments_Kawecki&amp;Nowack19'!A:C,2,FALSE), IFERROR(VLOOKUP(A181,Compartments_Added!A:C,2,FALSE), "Not found"))</f>
        <v>Stock</v>
      </c>
      <c r="C181" s="332" t="str">
        <f>IFERROR(VLOOKUP(A181,'Compartments_Kawecki&amp;Nowack19'!A:C,3,FALSE), IFERROR(VLOOKUP(A181,Compartments_Added!A:C,3,FALSE), "Not found"))</f>
        <v>PlasterDiyInDis</v>
      </c>
      <c r="D181" s="95" t="str">
        <f>IFERROR(IF(VLOOKUP(A181,'Compartments_Kawecki&amp;Nowack19'!A:C,1,FALSE)=A181, "Kawecki","what?"),"Added/changed")</f>
        <v>Added/changed</v>
      </c>
      <c r="F181" s="17"/>
      <c r="G181" s="493" t="str">
        <v>Plaster (DIY) indoor (in use)</v>
      </c>
      <c r="H181" s="310" t="str">
        <v>Wall paint (prof)</v>
      </c>
      <c r="I181" s="498" t="str">
        <v>Plaster (DIY)</v>
      </c>
      <c r="J181" t="str">
        <v>Other paint uses (prof) indoor</v>
      </c>
    </row>
    <row r="182" spans="1:10" ht="15" thickBot="1">
      <c r="A182" s="74" t="str">
        <v>Plaster (DIY) indoor (in use)</v>
      </c>
      <c r="B182" s="332" t="str">
        <f>IFERROR(VLOOKUP(A182,'Compartments_Kawecki&amp;Nowack19'!A:C,2,FALSE), IFERROR(VLOOKUP(A182,Compartments_Added!A:C,2,FALSE), "Not found"))</f>
        <v>Stock</v>
      </c>
      <c r="C182" s="332" t="str">
        <f>IFERROR(VLOOKUP(A182,'Compartments_Kawecki&amp;Nowack19'!A:C,3,FALSE), IFERROR(VLOOKUP(A182,Compartments_Added!A:C,3,FALSE), "Not found"))</f>
        <v>PlasterDiyInIU</v>
      </c>
      <c r="D182" s="95" t="str">
        <f>IFERROR(IF(VLOOKUP(A182,'Compartments_Kawecki&amp;Nowack19'!A:C,1,FALSE)=A182, "Kawecki","what?"),"Added/changed")</f>
        <v>Added/changed</v>
      </c>
      <c r="F182" s="17"/>
      <c r="G182" s="493" t="str">
        <v>Plaster (DIY) outdoor</v>
      </c>
      <c r="H182" s="310" t="str">
        <v>Plaster (prof)</v>
      </c>
      <c r="I182" s="498" t="str">
        <v>Plaster (DIY) indoor</v>
      </c>
      <c r="J182" t="str">
        <v>Other paint uses (prof) indoor (discarded)</v>
      </c>
    </row>
    <row r="183" spans="1:10" ht="15" thickBot="1">
      <c r="A183" s="74" t="str">
        <v>Plaster (DIY) outdoor</v>
      </c>
      <c r="B183" s="332" t="str">
        <f>IFERROR(VLOOKUP(A183,'Compartments_Kawecki&amp;Nowack19'!A:C,2,FALSE), IFERROR(VLOOKUP(A183,Compartments_Added!A:C,2,FALSE), "Not found"))</f>
        <v>Flow</v>
      </c>
      <c r="C183" s="332" t="str">
        <f>IFERROR(VLOOKUP(A183,'Compartments_Kawecki&amp;Nowack19'!A:C,3,FALSE), IFERROR(VLOOKUP(A183,Compartments_Added!A:C,3,FALSE), "Not found"))</f>
        <v>PlasterDiyOut</v>
      </c>
      <c r="D183" s="95" t="str">
        <f>IFERROR(IF(VLOOKUP(A183,'Compartments_Kawecki&amp;Nowack19'!A:C,1,FALSE)=A183, "Kawecki","what?"),"Added/changed")</f>
        <v>Added/changed</v>
      </c>
      <c r="F183" s="17"/>
      <c r="G183" s="493" t="str">
        <v>Plaster (DIY) outdoor (discarded)</v>
      </c>
      <c r="H183" s="310" t="str">
        <v>Other paint uses (prof)</v>
      </c>
      <c r="I183" s="498" t="str">
        <v>Plaster (DIY) indoor (discarded)</v>
      </c>
      <c r="J183" t="str">
        <v>Other paint uses (prof) indoor (in use)</v>
      </c>
    </row>
    <row r="184" spans="1:10" ht="15" thickBot="1">
      <c r="A184" s="74" t="str">
        <v>Plaster (DIY) outdoor (discarded)</v>
      </c>
      <c r="B184" s="332" t="str">
        <f>IFERROR(VLOOKUP(A184,'Compartments_Kawecki&amp;Nowack19'!A:C,2,FALSE), IFERROR(VLOOKUP(A184,Compartments_Added!A:C,2,FALSE), "Not found"))</f>
        <v>Stock</v>
      </c>
      <c r="C184" s="332" t="str">
        <f>IFERROR(VLOOKUP(A184,'Compartments_Kawecki&amp;Nowack19'!A:C,3,FALSE), IFERROR(VLOOKUP(A184,Compartments_Added!A:C,3,FALSE), "Not found"))</f>
        <v>PlasterDiyOutDis</v>
      </c>
      <c r="D184" s="95" t="str">
        <f>IFERROR(IF(VLOOKUP(A184,'Compartments_Kawecki&amp;Nowack19'!A:C,1,FALSE)=A184, "Kawecki","what?"),"Added/changed")</f>
        <v>Added/changed</v>
      </c>
      <c r="F184" s="17"/>
      <c r="G184" s="493" t="str">
        <v>Plaster (DIY) outdoor (in use)</v>
      </c>
      <c r="H184" s="310" t="str">
        <v>Paints used in pre-made wooden products</v>
      </c>
      <c r="I184" s="498" t="str">
        <v>Plaster (DIY) indoor (in use)</v>
      </c>
      <c r="J184" t="str">
        <v>Other paint uses (prof) outdoor</v>
      </c>
    </row>
    <row r="185" spans="1:10" ht="15" thickBot="1">
      <c r="A185" s="74" t="str">
        <v>Plaster (DIY) outdoor (in use)</v>
      </c>
      <c r="B185" s="332" t="str">
        <f>IFERROR(VLOOKUP(A185,'Compartments_Kawecki&amp;Nowack19'!A:C,2,FALSE), IFERROR(VLOOKUP(A185,Compartments_Added!A:C,2,FALSE), "Not found"))</f>
        <v>Stock</v>
      </c>
      <c r="C185" s="332" t="str">
        <f>IFERROR(VLOOKUP(A185,'Compartments_Kawecki&amp;Nowack19'!A:C,3,FALSE), IFERROR(VLOOKUP(A185,Compartments_Added!A:C,3,FALSE), "Not found"))</f>
        <v>PlasterDiyOutIU</v>
      </c>
      <c r="D185" s="95" t="str">
        <f>IFERROR(IF(VLOOKUP(A185,'Compartments_Kawecki&amp;Nowack19'!A:C,1,FALSE)=A185, "Kawecki","what?"),"Added/changed")</f>
        <v>Added/changed</v>
      </c>
      <c r="F185" s="17"/>
      <c r="G185" s="493" t="str">
        <v>Plaster (prof)</v>
      </c>
      <c r="H185" s="310" t="str">
        <v>Lacquer (DIY)</v>
      </c>
      <c r="I185" s="498" t="str">
        <v>Plaster (DIY) outdoor</v>
      </c>
      <c r="J185" t="str">
        <v>Other paint uses (prof) outdoor (discarded)</v>
      </c>
    </row>
    <row r="186" spans="1:10" ht="15" thickBot="1">
      <c r="A186" s="74" t="str">
        <v>Plaster (prof)</v>
      </c>
      <c r="B186" s="332" t="str">
        <f>IFERROR(VLOOKUP(A186,'Compartments_Kawecki&amp;Nowack19'!A:C,2,FALSE), IFERROR(VLOOKUP(A186,Compartments_Added!A:C,2,FALSE), "Not found"))</f>
        <v>Flow</v>
      </c>
      <c r="C186" s="332" t="str">
        <f>IFERROR(VLOOKUP(A186,'Compartments_Kawecki&amp;Nowack19'!A:C,3,FALSE), IFERROR(VLOOKUP(A186,Compartments_Added!A:C,3,FALSE), "Not found"))</f>
        <v>PlasterProf</v>
      </c>
      <c r="D186" s="95" t="str">
        <f>IFERROR(IF(VLOOKUP(A186,'Compartments_Kawecki&amp;Nowack19'!A:C,1,FALSE)=A186, "Kawecki","what?"),"Added/changed")</f>
        <v>Added/changed</v>
      </c>
      <c r="F186" s="17"/>
      <c r="G186" s="493" t="str">
        <v>Plaster (prof) indoor</v>
      </c>
      <c r="H186" s="310" t="str">
        <v>Wood stain (DIY)</v>
      </c>
      <c r="I186" s="498" t="str">
        <v>Plaster (DIY) outdoor (discarded)</v>
      </c>
      <c r="J186" t="str">
        <v>Other paint uses (prof) outdoor (in use)</v>
      </c>
    </row>
    <row r="187" spans="1:10" ht="15" thickBot="1">
      <c r="A187" s="74" t="str">
        <v>Plaster (prof) indoor</v>
      </c>
      <c r="B187" s="332" t="str">
        <f>IFERROR(VLOOKUP(A187,'Compartments_Kawecki&amp;Nowack19'!A:C,2,FALSE), IFERROR(VLOOKUP(A187,Compartments_Added!A:C,2,FALSE), "Not found"))</f>
        <v>Flow</v>
      </c>
      <c r="C187" s="332" t="str">
        <f>IFERROR(VLOOKUP(A187,'Compartments_Kawecki&amp;Nowack19'!A:C,3,FALSE), IFERROR(VLOOKUP(A187,Compartments_Added!A:C,3,FALSE), "Not found"))</f>
        <v>PlasterProfIn</v>
      </c>
      <c r="D187" s="95" t="str">
        <f>IFERROR(IF(VLOOKUP(A187,'Compartments_Kawecki&amp;Nowack19'!A:C,1,FALSE)=A187, "Kawecki","what?"),"Added/changed")</f>
        <v>Added/changed</v>
      </c>
      <c r="F187" s="17"/>
      <c r="G187" s="493" t="str">
        <v>Plaster (prof) indoor (discarded)</v>
      </c>
      <c r="H187" s="310" t="str">
        <v>Wall paint (DIY)</v>
      </c>
      <c r="I187" s="498" t="str">
        <v>Plaster (DIY) outdoor (in use)</v>
      </c>
      <c r="J187" t="str">
        <v>Other technical textiles</v>
      </c>
    </row>
    <row r="188" spans="1:10" ht="15" thickBot="1">
      <c r="A188" s="74" t="str">
        <v>Plaster (prof) indoor (discarded)</v>
      </c>
      <c r="B188" s="332" t="str">
        <f>IFERROR(VLOOKUP(A188,'Compartments_Kawecki&amp;Nowack19'!A:C,2,FALSE), IFERROR(VLOOKUP(A188,Compartments_Added!A:C,2,FALSE), "Not found"))</f>
        <v>Stock</v>
      </c>
      <c r="C188" s="332" t="str">
        <f>IFERROR(VLOOKUP(A188,'Compartments_Kawecki&amp;Nowack19'!A:C,3,FALSE), IFERROR(VLOOKUP(A188,Compartments_Added!A:C,3,FALSE), "Not found"))</f>
        <v>PlasterProfInDis</v>
      </c>
      <c r="D188" s="95" t="str">
        <f>IFERROR(IF(VLOOKUP(A188,'Compartments_Kawecki&amp;Nowack19'!A:C,1,FALSE)=A188, "Kawecki","what?"),"Added/changed")</f>
        <v>Added/changed</v>
      </c>
      <c r="F188" s="17"/>
      <c r="G188" s="493" t="str">
        <v>Plaster (prof) indoor (in use)</v>
      </c>
      <c r="H188" s="310" t="str">
        <v>Plaster (DIY)</v>
      </c>
      <c r="I188" s="498" t="str">
        <v>Plaster (prof)</v>
      </c>
      <c r="J188" t="str">
        <v>Packaging</v>
      </c>
    </row>
    <row r="189" spans="1:10" ht="15" thickBot="1">
      <c r="A189" s="74" t="str">
        <v>Plaster (prof) indoor (in use)</v>
      </c>
      <c r="B189" s="332" t="str">
        <f>IFERROR(VLOOKUP(A189,'Compartments_Kawecki&amp;Nowack19'!A:C,2,FALSE), IFERROR(VLOOKUP(A189,Compartments_Added!A:C,2,FALSE), "Not found"))</f>
        <v>Stock</v>
      </c>
      <c r="C189" s="332" t="str">
        <f>IFERROR(VLOOKUP(A189,'Compartments_Kawecki&amp;Nowack19'!A:C,3,FALSE), IFERROR(VLOOKUP(A189,Compartments_Added!A:C,3,FALSE), "Not found"))</f>
        <v>PlasterProfInIU</v>
      </c>
      <c r="D189" s="95" t="str">
        <f>IFERROR(IF(VLOOKUP(A189,'Compartments_Kawecki&amp;Nowack19'!A:C,1,FALSE)=A189, "Kawecki","what?"),"Added/changed")</f>
        <v>Added/changed</v>
      </c>
      <c r="G189" s="493" t="str">
        <v>Plaster (prof) outdoor</v>
      </c>
      <c r="H189" s="310" t="str">
        <v>Other paint uses (DIY)</v>
      </c>
      <c r="I189" s="498" t="str">
        <v>Plaster (prof) indoor</v>
      </c>
      <c r="J189" t="str">
        <v>Packaging collection</v>
      </c>
    </row>
    <row r="190" spans="1:10" ht="15" thickBot="1">
      <c r="A190" s="74" t="str">
        <v>Plaster (prof) outdoor</v>
      </c>
      <c r="B190" s="332" t="str">
        <f>IFERROR(VLOOKUP(A190,'Compartments_Kawecki&amp;Nowack19'!A:C,2,FALSE), IFERROR(VLOOKUP(A190,Compartments_Added!A:C,2,FALSE), "Not found"))</f>
        <v>Flow</v>
      </c>
      <c r="C190" s="332" t="str">
        <f>IFERROR(VLOOKUP(A190,'Compartments_Kawecki&amp;Nowack19'!A:C,3,FALSE), IFERROR(VLOOKUP(A190,Compartments_Added!A:C,3,FALSE), "Not found"))</f>
        <v>PlasterProfOut</v>
      </c>
      <c r="D190" s="95" t="str">
        <f>IFERROR(IF(VLOOKUP(A190,'Compartments_Kawecki&amp;Nowack19'!A:C,1,FALSE)=A190, "Kawecki","what?"),"Added/changed")</f>
        <v>Added/changed</v>
      </c>
      <c r="G190" s="493" t="str">
        <v>Plaster (prof) outdoor (discarded)</v>
      </c>
      <c r="H190" s="310" t="str">
        <v>Ship paint (prof)</v>
      </c>
      <c r="I190" s="498" t="str">
        <v>Plaster (prof) indoor (discarded)</v>
      </c>
      <c r="J190" t="str">
        <v>Packaging recycling</v>
      </c>
    </row>
    <row r="191" spans="1:10" ht="15" thickBot="1">
      <c r="A191" s="74" t="str">
        <v>Plaster (prof) outdoor (discarded)</v>
      </c>
      <c r="B191" s="332" t="str">
        <f>IFERROR(VLOOKUP(A191,'Compartments_Kawecki&amp;Nowack19'!A:C,2,FALSE), IFERROR(VLOOKUP(A191,Compartments_Added!A:C,2,FALSE), "Not found"))</f>
        <v>Stock</v>
      </c>
      <c r="C191" s="332" t="str">
        <f>IFERROR(VLOOKUP(A191,'Compartments_Kawecki&amp;Nowack19'!A:C,3,FALSE), IFERROR(VLOOKUP(A191,Compartments_Added!A:C,3,FALSE), "Not found"))</f>
        <v>PlasterProfOutDis</v>
      </c>
      <c r="D191" s="95" t="str">
        <f>IFERROR(IF(VLOOKUP(A191,'Compartments_Kawecki&amp;Nowack19'!A:C,1,FALSE)=A191, "Kawecki","what?"),"Added/changed")</f>
        <v>Added/changed</v>
      </c>
      <c r="G191" s="493" t="str">
        <v>Plaster (prof) outdoor (in use)</v>
      </c>
      <c r="H191" s="310" t="str">
        <v>Ship paint (recr)</v>
      </c>
      <c r="I191" s="498" t="str">
        <v>Plaster (prof) indoor (in use)</v>
      </c>
      <c r="J191" t="str">
        <v>Paint</v>
      </c>
    </row>
    <row r="192" spans="1:10" ht="15" thickBot="1">
      <c r="A192" s="74" t="str">
        <v>Plaster (prof) outdoor (in use)</v>
      </c>
      <c r="B192" s="332" t="str">
        <f>IFERROR(VLOOKUP(A192,'Compartments_Kawecki&amp;Nowack19'!A:C,2,FALSE), IFERROR(VLOOKUP(A192,Compartments_Added!A:C,2,FALSE), "Not found"))</f>
        <v>Stock</v>
      </c>
      <c r="C192" s="332" t="str">
        <f>IFERROR(VLOOKUP(A192,'Compartments_Kawecki&amp;Nowack19'!A:C,3,FALSE), IFERROR(VLOOKUP(A192,Compartments_Added!A:C,3,FALSE), "Not found"))</f>
        <v>PlasterProfOutIU</v>
      </c>
      <c r="D192" s="95" t="str">
        <f>IFERROR(IF(VLOOKUP(A192,'Compartments_Kawecki&amp;Nowack19'!A:C,1,FALSE)=A192, "Kawecki","what?"),"Added/changed")</f>
        <v>Added/changed</v>
      </c>
      <c r="G192" s="493" t="str">
        <v>Primary water treatment (macro)</v>
      </c>
      <c r="H192" s="310" t="str">
        <v>Paints used in pre-made wooden products outdoor</v>
      </c>
      <c r="I192" s="498" t="str">
        <v>Plaster (prof) outdoor</v>
      </c>
      <c r="J192" t="str">
        <v>Paints used in pre-made wooden products</v>
      </c>
    </row>
    <row r="193" spans="1:10" ht="15" thickBot="1">
      <c r="A193" s="74" t="str">
        <v>Primary water treatment (macro)</v>
      </c>
      <c r="B193" s="332" t="str">
        <f>IFERROR(VLOOKUP(A193,'Compartments_Kawecki&amp;Nowack19'!A:C,2,FALSE), IFERROR(VLOOKUP(A193,Compartments_Added!A:C,2,FALSE), "Not found"))</f>
        <v>Flow</v>
      </c>
      <c r="C193" s="332" t="str">
        <f>IFERROR(VLOOKUP(A193,'Compartments_Kawecki&amp;Nowack19'!A:C,3,FALSE), IFERROR(VLOOKUP(A193,Compartments_Added!A:C,3,FALSE), "Not found"))</f>
        <v>WWTPrimaryMacro</v>
      </c>
      <c r="D193" s="95" t="str">
        <f>IFERROR(IF(VLOOKUP(A193,'Compartments_Kawecki&amp;Nowack19'!A:C,1,FALSE)=A193, "Kawecki","what?"),"Added/changed")</f>
        <v>Kawecki</v>
      </c>
      <c r="G193" s="493" t="str">
        <v>Primary water treatment (micro)</v>
      </c>
      <c r="H193" s="310" t="str">
        <v>Paints used in pre-made wooden products indoor</v>
      </c>
      <c r="I193" s="498" t="str">
        <v>Plaster (prof) outdoor (discarded)</v>
      </c>
      <c r="J193" t="str">
        <v>Paints used in pre-made wooden products indoor</v>
      </c>
    </row>
    <row r="194" spans="1:10" ht="15" thickBot="1">
      <c r="A194" s="74" t="str">
        <v>Primary water treatment (micro)</v>
      </c>
      <c r="B194" s="332" t="str">
        <f>IFERROR(VLOOKUP(A194,'Compartments_Kawecki&amp;Nowack19'!A:C,2,FALSE), IFERROR(VLOOKUP(A194,Compartments_Added!A:C,2,FALSE), "Not found"))</f>
        <v>Flow</v>
      </c>
      <c r="C194" s="332" t="str">
        <f>IFERROR(VLOOKUP(A194,'Compartments_Kawecki&amp;Nowack19'!A:C,3,FALSE), IFERROR(VLOOKUP(A194,Compartments_Added!A:C,3,FALSE), "Not found"))</f>
        <v>WWTPrimaryMicro</v>
      </c>
      <c r="D194" s="95" t="str">
        <f>IFERROR(IF(VLOOKUP(A194,'Compartments_Kawecki&amp;Nowack19'!A:C,1,FALSE)=A194, "Kawecki","what?"),"Added/changed")</f>
        <v>Kawecki</v>
      </c>
      <c r="G194" s="493" t="str">
        <v>Road cleaning</v>
      </c>
      <c r="H194" s="310" t="str">
        <v>Paints used in pre-made wooden products indoor (in use)</v>
      </c>
      <c r="I194" s="498" t="str">
        <v>Plaster (prof) outdoor (in use)</v>
      </c>
      <c r="J194" t="str">
        <v>Paints used in pre-made wooden products indoor (discarded)</v>
      </c>
    </row>
    <row r="195" spans="1:10" ht="15" thickBot="1">
      <c r="A195" s="74" t="str">
        <v>Road cleaning</v>
      </c>
      <c r="B195" s="332" t="str">
        <f>IFERROR(VLOOKUP(A195,'Compartments_Kawecki&amp;Nowack19'!A:C,2,FALSE), IFERROR(VLOOKUP(A195,Compartments_Added!A:C,2,FALSE), "Not found"))</f>
        <v>Flow</v>
      </c>
      <c r="C195" s="332" t="str">
        <f>IFERROR(VLOOKUP(A195,'Compartments_Kawecki&amp;Nowack19'!A:C,3,FALSE), IFERROR(VLOOKUP(A195,Compartments_Added!A:C,3,FALSE), "Not found"))</f>
        <v>RoadCleaning</v>
      </c>
      <c r="D195" s="95" t="str">
        <f>IFERROR(IF(VLOOKUP(A195,'Compartments_Kawecki&amp;Nowack19'!A:C,1,FALSE)=A195, "Kawecki","what?"),"Added/changed")</f>
        <v>Added/changed</v>
      </c>
      <c r="G195" s="493" t="str">
        <v>Road runoff</v>
      </c>
      <c r="H195" s="310" t="str">
        <v>Paints used in pre-made wooden products indoor (discarded)</v>
      </c>
      <c r="I195" s="498" t="str">
        <v>Primary water treatment (macro)</v>
      </c>
      <c r="J195" t="str">
        <v>Paints used in pre-made wooden products indoor (in use)</v>
      </c>
    </row>
    <row r="196" spans="1:10" ht="15" thickBot="1">
      <c r="A196" s="74" t="str">
        <v>Road runoff</v>
      </c>
      <c r="B196" s="332" t="str">
        <f>IFERROR(VLOOKUP(A196,'Compartments_Kawecki&amp;Nowack19'!A:C,2,FALSE), IFERROR(VLOOKUP(A196,Compartments_Added!A:C,2,FALSE), "Not found"))</f>
        <v>Flow</v>
      </c>
      <c r="C196" s="332" t="str">
        <f>IFERROR(VLOOKUP(A196,'Compartments_Kawecki&amp;Nowack19'!A:C,3,FALSE), IFERROR(VLOOKUP(A196,Compartments_Added!A:C,3,FALSE), "Not found"))</f>
        <v>RoadRunoff</v>
      </c>
      <c r="D196" s="95" t="str">
        <f>IFERROR(IF(VLOOKUP(A196,'Compartments_Kawecki&amp;Nowack19'!A:C,1,FALSE)=A196, "Kawecki","what?"),"Added/changed")</f>
        <v>Added/changed</v>
      </c>
      <c r="G196" s="493" t="str">
        <v>Rural roads</v>
      </c>
      <c r="H196" s="310" t="str">
        <v>Paints used in pre-made wooden products outdoor (in use)</v>
      </c>
      <c r="I196" s="498" t="str">
        <v>Primary water treatment (micro)</v>
      </c>
      <c r="J196" t="str">
        <v>Paints used in pre-made wooden products outdoor</v>
      </c>
    </row>
    <row r="197" spans="1:10" ht="15" thickBot="1">
      <c r="A197" s="74" t="str">
        <v>Rural roads</v>
      </c>
      <c r="B197" s="332" t="str">
        <f>IFERROR(VLOOKUP(A197,'Compartments_Kawecki&amp;Nowack19'!A:C,2,FALSE), IFERROR(VLOOKUP(A197,Compartments_Added!A:C,2,FALSE), "Not found"))</f>
        <v>Flow</v>
      </c>
      <c r="C197" s="332" t="str">
        <f>IFERROR(VLOOKUP(A197,'Compartments_Kawecki&amp;Nowack19'!A:C,3,FALSE), IFERROR(VLOOKUP(A197,Compartments_Added!A:C,3,FALSE), "Not found"))</f>
        <v>RuralRoads</v>
      </c>
      <c r="D197" s="95" t="str">
        <f>IFERROR(IF(VLOOKUP(A197,'Compartments_Kawecki&amp;Nowack19'!A:C,1,FALSE)=A197, "Kawecki","what?"),"Added/changed")</f>
        <v>Added/changed</v>
      </c>
      <c r="G197" s="493" t="str">
        <v>Sanitary pads</v>
      </c>
      <c r="H197" s="310" t="str">
        <v>Paints used in pre-made wooden products outdoor (discarded)</v>
      </c>
      <c r="I197" s="498" t="str">
        <v>Road cleaning</v>
      </c>
      <c r="J197" t="str">
        <v>Paints used in pre-made wooden products outdoor (discarded)</v>
      </c>
    </row>
    <row r="198" spans="1:10" ht="15" thickBot="1">
      <c r="A198" s="74" t="str">
        <v>Sanitary pads</v>
      </c>
      <c r="B198" s="332" t="str">
        <f>IFERROR(VLOOKUP(A198,'Compartments_Kawecki&amp;Nowack19'!A:C,2,FALSE), IFERROR(VLOOKUP(A198,Compartments_Added!A:C,2,FALSE), "Not found"))</f>
        <v>Flow</v>
      </c>
      <c r="C198" s="332" t="str">
        <f>IFERROR(VLOOKUP(A198,'Compartments_Kawecki&amp;Nowack19'!A:C,3,FALSE), IFERROR(VLOOKUP(A198,Compartments_Added!A:C,3,FALSE), "Not found"))</f>
        <v>SanitaryPads</v>
      </c>
      <c r="D198" s="95" t="str">
        <f>IFERROR(IF(VLOOKUP(A198,'Compartments_Kawecki&amp;Nowack19'!A:C,1,FALSE)=A198, "Kawecki","what?"),"Added/changed")</f>
        <v>Added/changed</v>
      </c>
      <c r="G198" s="493" t="str">
        <v>Secondary water treatment (macro)</v>
      </c>
      <c r="H198" s="310" t="str">
        <v>Wastewater (macro)</v>
      </c>
      <c r="I198" s="498" t="str">
        <v>Road runoff</v>
      </c>
      <c r="J198" t="str">
        <v>Paints used in pre-made wooden products outdoor (in use)</v>
      </c>
    </row>
    <row r="199" spans="1:10" ht="15" thickBot="1">
      <c r="A199" s="74" t="str">
        <v>Secondary water treatment (macro)</v>
      </c>
      <c r="B199" s="332" t="str">
        <f>IFERROR(VLOOKUP(A199,'Compartments_Kawecki&amp;Nowack19'!A:C,2,FALSE), IFERROR(VLOOKUP(A199,Compartments_Added!A:C,2,FALSE), "Not found"))</f>
        <v>Flow</v>
      </c>
      <c r="C199" s="332" t="str">
        <f>IFERROR(VLOOKUP(A199,'Compartments_Kawecki&amp;Nowack19'!A:C,3,FALSE), IFERROR(VLOOKUP(A199,Compartments_Added!A:C,3,FALSE), "Not found"))</f>
        <v>WWTSecondaryMacro</v>
      </c>
      <c r="D199" s="95" t="str">
        <f>IFERROR(IF(VLOOKUP(A199,'Compartments_Kawecki&amp;Nowack19'!A:C,1,FALSE)=A199, "Kawecki","what?"),"Added/changed")</f>
        <v>Kawecki</v>
      </c>
      <c r="G199" s="493" t="str">
        <v>Secondary water treatment (micro)</v>
      </c>
      <c r="H199" s="310" t="str">
        <v>Plastic products</v>
      </c>
      <c r="I199" s="498" t="str">
        <v>Rural roads</v>
      </c>
      <c r="J199" t="str">
        <v>Pants and shorts</v>
      </c>
    </row>
    <row r="200" spans="1:10" ht="15" thickBot="1">
      <c r="A200" s="74" t="str">
        <v>Secondary water treatment (micro)</v>
      </c>
      <c r="B200" s="332" t="str">
        <f>IFERROR(VLOOKUP(A200,'Compartments_Kawecki&amp;Nowack19'!A:C,2,FALSE), IFERROR(VLOOKUP(A200,Compartments_Added!A:C,2,FALSE), "Not found"))</f>
        <v>Flow</v>
      </c>
      <c r="C200" s="332" t="str">
        <f>IFERROR(VLOOKUP(A200,'Compartments_Kawecki&amp;Nowack19'!A:C,3,FALSE), IFERROR(VLOOKUP(A200,Compartments_Added!A:C,3,FALSE), "Not found"))</f>
        <v>WWTSecondaryMicro</v>
      </c>
      <c r="D200" s="95" t="str">
        <f>IFERROR(IF(VLOOKUP(A200,'Compartments_Kawecki&amp;Nowack19'!A:C,1,FALSE)=A200, "Kawecki","what?"),"Added/changed")</f>
        <v>Kawecki</v>
      </c>
      <c r="G200" s="493" t="str">
        <v>Seed coating</v>
      </c>
      <c r="H200" s="310" t="str">
        <v>Plaster (DIY) outdoor</v>
      </c>
      <c r="I200" s="498" t="str">
        <v>Sanitary pads</v>
      </c>
      <c r="J200" s="498" t="str">
        <v>Panty liners</v>
      </c>
    </row>
    <row r="201" spans="1:10" ht="15" thickBot="1">
      <c r="A201" s="74" t="str">
        <v>Seed coating</v>
      </c>
      <c r="B201" s="332" t="str">
        <f>IFERROR(VLOOKUP(A201,'Compartments_Kawecki&amp;Nowack19'!A:C,2,FALSE), IFERROR(VLOOKUP(A201,Compartments_Added!A:C,2,FALSE), "Not found"))</f>
        <v>Flow</v>
      </c>
      <c r="C201" s="332" t="str">
        <f>IFERROR(VLOOKUP(A201,'Compartments_Kawecki&amp;Nowack19'!A:C,3,FALSE), IFERROR(VLOOKUP(A201,Compartments_Added!A:C,3,FALSE), "Not found"))</f>
        <v>SeedCoating</v>
      </c>
      <c r="D201" s="95" t="str">
        <f>IFERROR(IF(VLOOKUP(A201,'Compartments_Kawecki&amp;Nowack19'!A:C,1,FALSE)=A201, "Kawecki","what?"),"Added/changed")</f>
        <v>Added/changed</v>
      </c>
      <c r="G201" s="493" t="str">
        <v>Ship paint (prof)</v>
      </c>
      <c r="H201" s="310" t="str">
        <v>Plaster (DIY) indoor</v>
      </c>
      <c r="I201" s="498" t="str">
        <v>Secondary water treatment (macro)</v>
      </c>
      <c r="J201" t="str">
        <v>PCCP</v>
      </c>
    </row>
    <row r="202" spans="1:10" ht="15" thickBot="1">
      <c r="A202" s="74" t="str">
        <v>Ship paint (prof)</v>
      </c>
      <c r="B202" s="332" t="str">
        <f>IFERROR(VLOOKUP(A202,'Compartments_Kawecki&amp;Nowack19'!A:C,2,FALSE), IFERROR(VLOOKUP(A202,Compartments_Added!A:C,2,FALSE), "Not found"))</f>
        <v>Flow</v>
      </c>
      <c r="C202" s="332" t="str">
        <f>IFERROR(VLOOKUP(A202,'Compartments_Kawecki&amp;Nowack19'!A:C,3,FALSE), IFERROR(VLOOKUP(A202,Compartments_Added!A:C,3,FALSE), "Not found"))</f>
        <v>ShipProf</v>
      </c>
      <c r="D202" s="95" t="str">
        <f>IFERROR(IF(VLOOKUP(A202,'Compartments_Kawecki&amp;Nowack19'!A:C,1,FALSE)=A202, "Kawecki","what?"),"Added/changed")</f>
        <v>Added/changed</v>
      </c>
      <c r="G202" s="493" t="str">
        <v>Ship paint (prof) (discarded)</v>
      </c>
      <c r="H202" s="310" t="str">
        <v>Plaster (DIY) indoor (in use)</v>
      </c>
      <c r="I202" s="498" t="str">
        <v>Secondary water treatment (micro)</v>
      </c>
      <c r="J202" t="str">
        <v>Pellet conversion</v>
      </c>
    </row>
    <row r="203" spans="1:10" ht="15" thickBot="1">
      <c r="A203" s="74" t="str">
        <v>Ship paint (prof) (discarded)</v>
      </c>
      <c r="B203" s="332" t="str">
        <f>IFERROR(VLOOKUP(A203,'Compartments_Kawecki&amp;Nowack19'!A:C,2,FALSE), IFERROR(VLOOKUP(A203,Compartments_Added!A:C,2,FALSE), "Not found"))</f>
        <v>Stock</v>
      </c>
      <c r="C203" s="332" t="str">
        <f>IFERROR(VLOOKUP(A203,'Compartments_Kawecki&amp;Nowack19'!A:C,3,FALSE), IFERROR(VLOOKUP(A203,Compartments_Added!A:C,3,FALSE), "Not found"))</f>
        <v>ShipProfDis</v>
      </c>
      <c r="D203" s="95" t="str">
        <f>IFERROR(IF(VLOOKUP(A203,'Compartments_Kawecki&amp;Nowack19'!A:C,1,FALSE)=A203, "Kawecki","what?"),"Added/changed")</f>
        <v>Added/changed</v>
      </c>
      <c r="G203" s="493" t="str">
        <v>Ship paint (prof) (in use)</v>
      </c>
      <c r="H203" s="310" t="str">
        <v>Plaster (DIY) indoor (discarded)</v>
      </c>
      <c r="I203" s="498" t="str">
        <v>Seed coating</v>
      </c>
      <c r="J203" t="str">
        <v>Pellet losses industrial plants</v>
      </c>
    </row>
    <row r="204" spans="1:10" ht="15" thickBot="1">
      <c r="A204" s="74" t="str">
        <v>Ship paint (prof) (in use)</v>
      </c>
      <c r="B204" s="332" t="str">
        <f>IFERROR(VLOOKUP(A204,'Compartments_Kawecki&amp;Nowack19'!A:C,2,FALSE), IFERROR(VLOOKUP(A204,Compartments_Added!A:C,2,FALSE), "Not found"))</f>
        <v>Stock</v>
      </c>
      <c r="C204" s="332" t="str">
        <f>IFERROR(VLOOKUP(A204,'Compartments_Kawecki&amp;Nowack19'!A:C,3,FALSE), IFERROR(VLOOKUP(A204,Compartments_Added!A:C,3,FALSE), "Not found"))</f>
        <v>ShipProfIU</v>
      </c>
      <c r="D204" s="95" t="str">
        <f>IFERROR(IF(VLOOKUP(A204,'Compartments_Kawecki&amp;Nowack19'!A:C,1,FALSE)=A204, "Kawecki","what?"),"Added/changed")</f>
        <v>Added/changed</v>
      </c>
      <c r="G204" s="493" t="str">
        <v>Ship paint (recr)</v>
      </c>
      <c r="H204" s="310" t="str">
        <v>Plaster (DIY) outdoor (in use)</v>
      </c>
      <c r="I204" s="498" t="str">
        <v>Ship paint (prof)</v>
      </c>
      <c r="J204" t="str">
        <v>Pellet losses transport land</v>
      </c>
    </row>
    <row r="205" spans="1:10" ht="15" thickBot="1">
      <c r="A205" s="74" t="str">
        <v>Ship paint (recr)</v>
      </c>
      <c r="B205" s="332" t="str">
        <f>IFERROR(VLOOKUP(A205,'Compartments_Kawecki&amp;Nowack19'!A:C,2,FALSE), IFERROR(VLOOKUP(A205,Compartments_Added!A:C,2,FALSE), "Not found"))</f>
        <v>Flow</v>
      </c>
      <c r="C205" s="332" t="str">
        <f>IFERROR(VLOOKUP(A205,'Compartments_Kawecki&amp;Nowack19'!A:C,3,FALSE), IFERROR(VLOOKUP(A205,Compartments_Added!A:C,3,FALSE), "Not found"))</f>
        <v>ShipDiy</v>
      </c>
      <c r="D205" s="95" t="str">
        <f>IFERROR(IF(VLOOKUP(A205,'Compartments_Kawecki&amp;Nowack19'!A:C,1,FALSE)=A205, "Kawecki","what?"),"Added/changed")</f>
        <v>Added/changed</v>
      </c>
      <c r="G205" s="493" t="str">
        <v>Ship paint (recr) (discarded)</v>
      </c>
      <c r="H205" s="310" t="str">
        <v>Plaster (DIY) outdoor (discarded)</v>
      </c>
      <c r="I205" s="498" t="str">
        <v>Ship paint (prof) (discarded)</v>
      </c>
      <c r="J205" t="str">
        <v>Plant protection products</v>
      </c>
    </row>
    <row r="206" spans="1:10" ht="15" thickBot="1">
      <c r="A206" s="74" t="str">
        <v>Ship paint (recr) (discarded)</v>
      </c>
      <c r="B206" s="332" t="str">
        <f>IFERROR(VLOOKUP(A206,'Compartments_Kawecki&amp;Nowack19'!A:C,2,FALSE), IFERROR(VLOOKUP(A206,Compartments_Added!A:C,2,FALSE), "Not found"))</f>
        <v>Stock</v>
      </c>
      <c r="C206" s="332" t="str">
        <f>IFERROR(VLOOKUP(A206,'Compartments_Kawecki&amp;Nowack19'!A:C,3,FALSE), IFERROR(VLOOKUP(A206,Compartments_Added!A:C,3,FALSE), "Not found"))</f>
        <v>ShipDiyDis</v>
      </c>
      <c r="D206" s="95" t="str">
        <f>IFERROR(IF(VLOOKUP(A206,'Compartments_Kawecki&amp;Nowack19'!A:C,1,FALSE)=A206, "Kawecki","what?"),"Added/changed")</f>
        <v>Added/changed</v>
      </c>
      <c r="G206" s="493" t="str">
        <v>Ship paint (recr) (in use)</v>
      </c>
      <c r="H206" s="310" t="str">
        <v>Plaster (prof) outdoor</v>
      </c>
      <c r="I206" s="498" t="str">
        <v>Ship paint (prof) (in use)</v>
      </c>
      <c r="J206" t="str">
        <v>Plaster (DIY)</v>
      </c>
    </row>
    <row r="207" spans="1:10" ht="15" thickBot="1">
      <c r="A207" s="74" t="str">
        <v>Ship paint (recr) (in use)</v>
      </c>
      <c r="B207" s="332" t="str">
        <f>IFERROR(VLOOKUP(A207,'Compartments_Kawecki&amp;Nowack19'!A:C,2,FALSE), IFERROR(VLOOKUP(A207,Compartments_Added!A:C,2,FALSE), "Not found"))</f>
        <v>Stock</v>
      </c>
      <c r="C207" s="332" t="str">
        <f>IFERROR(VLOOKUP(A207,'Compartments_Kawecki&amp;Nowack19'!A:C,3,FALSE), IFERROR(VLOOKUP(A207,Compartments_Added!A:C,3,FALSE), "Not found"))</f>
        <v>ShipDiyIU</v>
      </c>
      <c r="D207" s="95" t="str">
        <f>IFERROR(IF(VLOOKUP(A207,'Compartments_Kawecki&amp;Nowack19'!A:C,1,FALSE)=A207, "Kawecki","what?"),"Added/changed")</f>
        <v>Added/changed</v>
      </c>
      <c r="G207" s="493" t="str">
        <v>Shirts and blouses</v>
      </c>
      <c r="H207" s="310" t="str">
        <v>Plaster (prof) indoor</v>
      </c>
      <c r="I207" s="498" t="str">
        <v>Ship paint (recr)</v>
      </c>
      <c r="J207" t="str">
        <v>Plaster (DIY) indoor</v>
      </c>
    </row>
    <row r="208" spans="1:10" ht="15" thickBot="1">
      <c r="A208" s="74" t="str">
        <v>Shirts and blouses</v>
      </c>
      <c r="B208" s="332" t="str">
        <f>IFERROR(VLOOKUP(A208,'Compartments_Kawecki&amp;Nowack19'!A:C,2,FALSE), IFERROR(VLOOKUP(A208,Compartments_Added!A:C,2,FALSE), "Not found"))</f>
        <v>Stock</v>
      </c>
      <c r="C208" s="332" t="str">
        <f>IFERROR(VLOOKUP(A208,'Compartments_Kawecki&amp;Nowack19'!A:C,3,FALSE), IFERROR(VLOOKUP(A208,Compartments_Added!A:C,3,FALSE), "Not found"))</f>
        <v>ShirtsBlouses</v>
      </c>
      <c r="D208" s="95" t="str">
        <f>IFERROR(IF(VLOOKUP(A208,'Compartments_Kawecki&amp;Nowack19'!A:C,1,FALSE)=A208, "Kawecki","what?"),"Added/changed")</f>
        <v>Added/changed</v>
      </c>
      <c r="G208" s="493" t="str">
        <v>Sludge (macro)</v>
      </c>
      <c r="H208" s="310" t="str">
        <v>Plaster (prof) indoor (in use)</v>
      </c>
      <c r="I208" s="498" t="str">
        <v>Ship paint (recr) (discarded)</v>
      </c>
      <c r="J208" t="str">
        <v>Plaster (DIY) indoor (discarded)</v>
      </c>
    </row>
    <row r="209" spans="1:10" ht="15" thickBot="1">
      <c r="A209" s="74" t="str">
        <v>Sludge (macro)</v>
      </c>
      <c r="B209" s="332" t="str">
        <f>IFERROR(VLOOKUP(A209,'Compartments_Kawecki&amp;Nowack19'!A:C,2,FALSE), IFERROR(VLOOKUP(A209,Compartments_Added!A:C,2,FALSE), "Not found"))</f>
        <v>Flow</v>
      </c>
      <c r="C209" s="332" t="str">
        <f>IFERROR(VLOOKUP(A209,'Compartments_Kawecki&amp;Nowack19'!A:C,3,FALSE), IFERROR(VLOOKUP(A209,Compartments_Added!A:C,3,FALSE), "Not found"))</f>
        <v>SludgeMacro</v>
      </c>
      <c r="D209" s="95" t="str">
        <f>IFERROR(IF(VLOOKUP(A209,'Compartments_Kawecki&amp;Nowack19'!A:C,1,FALSE)=A209, "Kawecki","what?"),"Added/changed")</f>
        <v>Kawecki</v>
      </c>
      <c r="G209" s="493" t="str">
        <v>Sludge (micro)</v>
      </c>
      <c r="H209" s="310" t="str">
        <v>Plaster (prof) indoor (discarded)</v>
      </c>
      <c r="I209" s="498" t="str">
        <v>Ship paint (recr) (in use)</v>
      </c>
      <c r="J209" t="str">
        <v>Plaster (DIY) indoor (in use)</v>
      </c>
    </row>
    <row r="210" spans="1:10" ht="15" thickBot="1">
      <c r="A210" s="74" t="str">
        <v>Sludge (micro)</v>
      </c>
      <c r="B210" s="332" t="str">
        <f>IFERROR(VLOOKUP(A210,'Compartments_Kawecki&amp;Nowack19'!A:C,2,FALSE), IFERROR(VLOOKUP(A210,Compartments_Added!A:C,2,FALSE), "Not found"))</f>
        <v>Flow</v>
      </c>
      <c r="C210" s="332" t="str">
        <f>IFERROR(VLOOKUP(A210,'Compartments_Kawecki&amp;Nowack19'!A:C,3,FALSE), IFERROR(VLOOKUP(A210,Compartments_Added!A:C,3,FALSE), "Not found"))</f>
        <v>SludgeMicro</v>
      </c>
      <c r="D210" s="95" t="str">
        <f>IFERROR(IF(VLOOKUP(A210,'Compartments_Kawecki&amp;Nowack19'!A:C,1,FALSE)=A210, "Kawecki","what?"),"Added/changed")</f>
        <v>Kawecki</v>
      </c>
      <c r="G210" s="493" t="str">
        <v>Stormwater (macro)</v>
      </c>
      <c r="H210" s="310" t="str">
        <v>Plaster (prof) outdoor (in use)</v>
      </c>
      <c r="I210" s="498" t="str">
        <v>Shirts and blouses</v>
      </c>
      <c r="J210" t="str">
        <v>Plaster (DIY) outdoor</v>
      </c>
    </row>
    <row r="211" spans="1:10" ht="15" thickBot="1">
      <c r="A211" s="74" t="str">
        <v>Stormwater (macro)</v>
      </c>
      <c r="B211" s="332" t="str">
        <f>IFERROR(VLOOKUP(A211,'Compartments_Kawecki&amp;Nowack19'!A:C,2,FALSE), IFERROR(VLOOKUP(A211,Compartments_Added!A:C,2,FALSE), "Not found"))</f>
        <v>Flow</v>
      </c>
      <c r="C211" s="332" t="str">
        <f>IFERROR(VLOOKUP(A211,'Compartments_Kawecki&amp;Nowack19'!A:C,3,FALSE), IFERROR(VLOOKUP(A211,Compartments_Added!A:C,3,FALSE), "Not found"))</f>
        <v>StormWaterMacro</v>
      </c>
      <c r="D211" s="95" t="str">
        <f>IFERROR(IF(VLOOKUP(A211,'Compartments_Kawecki&amp;Nowack19'!A:C,1,FALSE)=A211, "Kawecki","what?"),"Added/changed")</f>
        <v>Kawecki</v>
      </c>
      <c r="G211" s="493" t="str">
        <v>Stormwater (micro)</v>
      </c>
      <c r="H211" s="310" t="str">
        <v>Plaster (prof) outdoor (discarded)</v>
      </c>
      <c r="I211" s="498" t="str">
        <v>Sludge (macro)</v>
      </c>
      <c r="J211" t="str">
        <v>Plaster (DIY) outdoor (discarded)</v>
      </c>
    </row>
    <row r="212" spans="1:10" ht="15" thickBot="1">
      <c r="A212" s="74" t="str">
        <v>Stormwater (micro)</v>
      </c>
      <c r="B212" s="332" t="str">
        <f>IFERROR(VLOOKUP(A212,'Compartments_Kawecki&amp;Nowack19'!A:C,2,FALSE), IFERROR(VLOOKUP(A212,Compartments_Added!A:C,2,FALSE), "Not found"))</f>
        <v>Flow</v>
      </c>
      <c r="C212" s="332" t="str">
        <f>IFERROR(VLOOKUP(A212,'Compartments_Kawecki&amp;Nowack19'!A:C,3,FALSE), IFERROR(VLOOKUP(A212,Compartments_Added!A:C,3,FALSE), "Not found"))</f>
        <v>StormWaterMicro</v>
      </c>
      <c r="D212" s="95" t="str">
        <f>IFERROR(IF(VLOOKUP(A212,'Compartments_Kawecki&amp;Nowack19'!A:C,1,FALSE)=A212, "Kawecki","what?"),"Added/changed")</f>
        <v>Kawecki</v>
      </c>
      <c r="G212" s="493" t="str">
        <v>Sweaters and midlayers</v>
      </c>
      <c r="H212" s="310" t="str">
        <v>Secondary water treatment (macro)</v>
      </c>
      <c r="I212" s="498" t="str">
        <v>Sludge (micro)</v>
      </c>
      <c r="J212" t="str">
        <v>Plaster (DIY) outdoor (in use)</v>
      </c>
    </row>
    <row r="213" spans="1:10" ht="15" thickBot="1">
      <c r="A213" s="74" t="str">
        <v>Sweaters and midlayers</v>
      </c>
      <c r="B213" s="332" t="str">
        <f>IFERROR(VLOOKUP(A213,'Compartments_Kawecki&amp;Nowack19'!A:C,2,FALSE), IFERROR(VLOOKUP(A213,Compartments_Added!A:C,2,FALSE), "Not found"))</f>
        <v>Stock</v>
      </c>
      <c r="C213" s="332" t="str">
        <f>IFERROR(VLOOKUP(A213,'Compartments_Kawecki&amp;Nowack19'!A:C,3,FALSE), IFERROR(VLOOKUP(A213,Compartments_Added!A:C,3,FALSE), "Not found"))</f>
        <v>SweatersMidlayers</v>
      </c>
      <c r="D213" s="95" t="str">
        <f>IFERROR(IF(VLOOKUP(A213,'Compartments_Kawecki&amp;Nowack19'!A:C,1,FALSE)=A213, "Kawecki","what?"),"Added/changed")</f>
        <v>Added/changed</v>
      </c>
      <c r="G213" s="493" t="str">
        <v>Swimwear</v>
      </c>
      <c r="H213" s="310" t="str">
        <v>Secondary water treatment (micro)</v>
      </c>
      <c r="I213" s="498" t="str">
        <v>Stormwater (macro)</v>
      </c>
      <c r="J213" t="str">
        <v>Plaster (prof)</v>
      </c>
    </row>
    <row r="214" spans="1:10" ht="15" thickBot="1">
      <c r="A214" s="74" t="str">
        <v>Swimwear</v>
      </c>
      <c r="B214" s="332" t="str">
        <f>IFERROR(VLOOKUP(A214,'Compartments_Kawecki&amp;Nowack19'!A:C,2,FALSE), IFERROR(VLOOKUP(A214,Compartments_Added!A:C,2,FALSE), "Not found"))</f>
        <v>Stock</v>
      </c>
      <c r="C214" s="332" t="str">
        <f>IFERROR(VLOOKUP(A214,'Compartments_Kawecki&amp;Nowack19'!A:C,3,FALSE), IFERROR(VLOOKUP(A214,Compartments_Added!A:C,3,FALSE), "Not found"))</f>
        <v>Swimwear</v>
      </c>
      <c r="D214" s="95" t="str">
        <f>IFERROR(IF(VLOOKUP(A214,'Compartments_Kawecki&amp;Nowack19'!A:C,1,FALSE)=A214, "Kawecki","what?"),"Added/changed")</f>
        <v>Added/changed</v>
      </c>
      <c r="G214" s="493" t="str">
        <v>Tampons</v>
      </c>
      <c r="H214" s="310" t="str">
        <v>Stormwater (micro)</v>
      </c>
      <c r="I214" s="498" t="str">
        <v>Stormwater (micro)</v>
      </c>
      <c r="J214" t="str">
        <v>Plaster (prof) indoor</v>
      </c>
    </row>
    <row r="215" spans="1:10" ht="15" thickBot="1">
      <c r="A215" s="74" t="str">
        <v>Tampons</v>
      </c>
      <c r="B215" s="332" t="str">
        <f>IFERROR(VLOOKUP(A215,'Compartments_Kawecki&amp;Nowack19'!A:C,2,FALSE), IFERROR(VLOOKUP(A215,Compartments_Added!A:C,2,FALSE), "Not found"))</f>
        <v>Flow</v>
      </c>
      <c r="C215" s="332" t="str">
        <f>IFERROR(VLOOKUP(A215,'Compartments_Kawecki&amp;Nowack19'!A:C,3,FALSE), IFERROR(VLOOKUP(A215,Compartments_Added!A:C,3,FALSE), "Not found"))</f>
        <v>Tampons</v>
      </c>
      <c r="D215" s="95" t="str">
        <f>IFERROR(IF(VLOOKUP(A215,'Compartments_Kawecki&amp;Nowack19'!A:C,1,FALSE)=A215, "Kawecki","what?"),"Added/changed")</f>
        <v>Kawecki</v>
      </c>
      <c r="G215" s="493" t="str">
        <v>Technical home textiles</v>
      </c>
      <c r="H215" s="310" t="str">
        <v>Tertiary water treatment (macro)</v>
      </c>
      <c r="I215" s="498" t="str">
        <v>Sweaters and midlayers</v>
      </c>
      <c r="J215" t="str">
        <v>Plaster (prof) indoor (discarded)</v>
      </c>
    </row>
    <row r="216" spans="1:10" ht="15" thickBot="1">
      <c r="A216" s="74" t="str">
        <v>Technical home textiles</v>
      </c>
      <c r="B216" s="332" t="str">
        <f>IFERROR(VLOOKUP(A216,'Compartments_Kawecki&amp;Nowack19'!A:C,2,FALSE), IFERROR(VLOOKUP(A216,Compartments_Added!A:C,2,FALSE), "Not found"))</f>
        <v>Flow</v>
      </c>
      <c r="C216" s="332" t="str">
        <f>IFERROR(VLOOKUP(A216,'Compartments_Kawecki&amp;Nowack19'!A:C,3,FALSE), IFERROR(VLOOKUP(A216,Compartments_Added!A:C,3,FALSE), "Not found"))</f>
        <v>TechHomeTextiles</v>
      </c>
      <c r="D216" s="95" t="str">
        <f>IFERROR(IF(VLOOKUP(A216,'Compartments_Kawecki&amp;Nowack19'!A:C,1,FALSE)=A216, "Kawecki","what?"),"Added/changed")</f>
        <v>Added/changed</v>
      </c>
      <c r="G216" s="493" t="str">
        <v>Technical home textiles (discarded)</v>
      </c>
      <c r="H216" s="310" t="str">
        <v>Tertiary water treatment (micro)</v>
      </c>
      <c r="I216" s="498" t="str">
        <v>Swimwear</v>
      </c>
      <c r="J216" t="str">
        <v>Plaster (prof) indoor (in use)</v>
      </c>
    </row>
    <row r="217" spans="1:10" ht="15" thickBot="1">
      <c r="A217" s="74" t="str">
        <v>Technical home textiles (discarded)</v>
      </c>
      <c r="B217" s="332" t="str">
        <f>IFERROR(VLOOKUP(A217,'Compartments_Kawecki&amp;Nowack19'!A:C,2,FALSE), IFERROR(VLOOKUP(A217,Compartments_Added!A:C,2,FALSE), "Not found"))</f>
        <v>Stock</v>
      </c>
      <c r="C217" s="332" t="str">
        <f>IFERROR(VLOOKUP(A217,'Compartments_Kawecki&amp;Nowack19'!A:C,3,FALSE), IFERROR(VLOOKUP(A217,Compartments_Added!A:C,3,FALSE), "Not found"))</f>
        <v>TechHomeTextilesDis</v>
      </c>
      <c r="D217" s="95" t="str">
        <f>IFERROR(IF(VLOOKUP(A217,'Compartments_Kawecki&amp;Nowack19'!A:C,1,FALSE)=A217, "Kawecki","what?"),"Added/changed")</f>
        <v>Added/changed</v>
      </c>
      <c r="G217" s="493" t="str">
        <v>Technical home textiles (in use)</v>
      </c>
      <c r="H217" s="310" t="str">
        <v>Ship paint (prof) (in use)</v>
      </c>
      <c r="I217" s="498" t="str">
        <v>Tampons</v>
      </c>
      <c r="J217" t="str">
        <v>Plaster (prof) outdoor</v>
      </c>
    </row>
    <row r="218" spans="1:10" ht="15" thickBot="1">
      <c r="A218" s="74" t="str">
        <v>Technical home textiles (in use)</v>
      </c>
      <c r="B218" s="332" t="str">
        <f>IFERROR(VLOOKUP(A218,'Compartments_Kawecki&amp;Nowack19'!A:C,2,FALSE), IFERROR(VLOOKUP(A218,Compartments_Added!A:C,2,FALSE), "Not found"))</f>
        <v>Stock</v>
      </c>
      <c r="C218" s="332" t="str">
        <f>IFERROR(VLOOKUP(A218,'Compartments_Kawecki&amp;Nowack19'!A:C,3,FALSE), IFERROR(VLOOKUP(A218,Compartments_Added!A:C,3,FALSE), "Not found"))</f>
        <v>TechHomeTextilesIU</v>
      </c>
      <c r="D218" s="95" t="str">
        <f>IFERROR(IF(VLOOKUP(A218,'Compartments_Kawecki&amp;Nowack19'!A:C,1,FALSE)=A218, "Kawecki","what?"),"Added/changed")</f>
        <v>Added/changed</v>
      </c>
      <c r="G218" s="493" t="str">
        <v>Technical textile waste collection</v>
      </c>
      <c r="H218" s="310" t="str">
        <v>Ship paint (prof) (discarded)</v>
      </c>
      <c r="I218" s="498" t="str">
        <v>Technical home textiles</v>
      </c>
      <c r="J218" t="str">
        <v>Plaster (prof) outdoor (discarded)</v>
      </c>
    </row>
    <row r="219" spans="1:10" ht="15" thickBot="1">
      <c r="A219" s="74" t="str">
        <v>Technical textile waste collection</v>
      </c>
      <c r="B219" s="332" t="str">
        <f>IFERROR(VLOOKUP(A219,'Compartments_Kawecki&amp;Nowack19'!A:C,2,FALSE), IFERROR(VLOOKUP(A219,Compartments_Added!A:C,2,FALSE), "Not found"))</f>
        <v>Flow</v>
      </c>
      <c r="C219" s="332" t="str">
        <f>IFERROR(VLOOKUP(A219,'Compartments_Kawecki&amp;Nowack19'!A:C,3,FALSE), IFERROR(VLOOKUP(A219,Compartments_Added!A:C,3,FALSE), "Not found"))</f>
        <v>TechnicalTextileWasteCollection</v>
      </c>
      <c r="D219" s="95" t="str">
        <f>IFERROR(IF(VLOOKUP(A219,'Compartments_Kawecki&amp;Nowack19'!A:C,1,FALSE)=A219, "Kawecki","what?"),"Added/changed")</f>
        <v>Added/changed</v>
      </c>
      <c r="G219" s="493" t="str">
        <v>Technical textiles</v>
      </c>
      <c r="H219" s="310" t="str">
        <v>Ship paint (recr) (in use)</v>
      </c>
      <c r="I219" s="498" t="str">
        <v>Technical home textiles (discarded)</v>
      </c>
      <c r="J219" t="str">
        <v>Plaster (prof) outdoor (in use)</v>
      </c>
    </row>
    <row r="220" spans="1:10" ht="15" thickBot="1">
      <c r="A220" s="74" t="str">
        <v>Tertiary water treatment (macro)</v>
      </c>
      <c r="B220" s="332" t="str">
        <f>IFERROR(VLOOKUP(A220,'Compartments_Kawecki&amp;Nowack19'!A:C,2,FALSE), IFERROR(VLOOKUP(A220,Compartments_Added!A:C,2,FALSE), "Not found"))</f>
        <v>Flow</v>
      </c>
      <c r="C220" s="332" t="str">
        <f>IFERROR(VLOOKUP(A220,'Compartments_Kawecki&amp;Nowack19'!A:C,3,FALSE), IFERROR(VLOOKUP(A220,Compartments_Added!A:C,3,FALSE), "Not found"))</f>
        <v>WWTTertiaryMacro</v>
      </c>
      <c r="D220" s="95" t="str">
        <f>IFERROR(IF(VLOOKUP(A220,'Compartments_Kawecki&amp;Nowack19'!A:C,1,FALSE)=A220, "Kawecki","what?"),"Added/changed")</f>
        <v>Kawecki</v>
      </c>
      <c r="G220" s="493" t="str">
        <v>Tertiary water treatment (macro)</v>
      </c>
      <c r="H220" s="310" t="str">
        <v>Ship paint (recr) (discarded)</v>
      </c>
      <c r="I220" s="498" t="str">
        <v>Technical home textiles (in use)</v>
      </c>
      <c r="J220" t="str">
        <v>Primary water treatment (macro)</v>
      </c>
    </row>
    <row r="221" spans="1:10" ht="15" thickBot="1">
      <c r="A221" s="74" t="str">
        <v>Tertiary water treatment (micro)</v>
      </c>
      <c r="B221" s="332" t="str">
        <f>IFERROR(VLOOKUP(A221,'Compartments_Kawecki&amp;Nowack19'!A:C,2,FALSE), IFERROR(VLOOKUP(A221,Compartments_Added!A:C,2,FALSE), "Not found"))</f>
        <v>Flow</v>
      </c>
      <c r="C221" s="332" t="str">
        <f>IFERROR(VLOOKUP(A221,'Compartments_Kawecki&amp;Nowack19'!A:C,3,FALSE), IFERROR(VLOOKUP(A221,Compartments_Added!A:C,3,FALSE), "Not found"))</f>
        <v>WWTTertiaryMicro</v>
      </c>
      <c r="D221" s="95" t="str">
        <f>IFERROR(IF(VLOOKUP(A221,'Compartments_Kawecki&amp;Nowack19'!A:C,1,FALSE)=A221, "Kawecki","what?"),"Added/changed")</f>
        <v>Kawecki</v>
      </c>
      <c r="G221" s="493" t="str">
        <v>Tertiary water treatment (micro)</v>
      </c>
      <c r="H221" s="310" t="str">
        <v>Wastewater treatment plant (macro)</v>
      </c>
      <c r="I221" s="498" t="str">
        <v>Technical textile waste collection</v>
      </c>
      <c r="J221" t="str">
        <v>Primary water treatment (micro)</v>
      </c>
    </row>
    <row r="222" spans="1:10" ht="15" thickBot="1">
      <c r="A222" s="74" t="str">
        <v>Textile coating</v>
      </c>
      <c r="B222" s="332" t="str">
        <f>IFERROR(VLOOKUP(A222,'Compartments_Kawecki&amp;Nowack19'!A:C,2,FALSE), IFERROR(VLOOKUP(A222,Compartments_Added!A:C,2,FALSE), "Not found"))</f>
        <v>Flow</v>
      </c>
      <c r="C222" s="332" t="str">
        <f>IFERROR(VLOOKUP(A222,'Compartments_Kawecki&amp;Nowack19'!A:C,3,FALSE), IFERROR(VLOOKUP(A222,Compartments_Added!A:C,3,FALSE), "Not found"))</f>
        <v>TextileCoating</v>
      </c>
      <c r="D222" s="95" t="str">
        <f>IFERROR(IF(VLOOKUP(A222,'Compartments_Kawecki&amp;Nowack19'!A:C,1,FALSE)=A222, "Kawecki","what?"),"Added/changed")</f>
        <v>Added/changed</v>
      </c>
      <c r="G222" s="493" t="str">
        <v>Textile coating</v>
      </c>
      <c r="H222" s="310" t="str">
        <v>Technical home textiles (discarded)</v>
      </c>
      <c r="I222" s="498" t="str">
        <v>Tertiary water treatment (macro)</v>
      </c>
      <c r="J222" t="str">
        <v>Road cleaning</v>
      </c>
    </row>
    <row r="223" spans="1:10" ht="15" thickBot="1">
      <c r="A223" s="74" t="str">
        <v>Textile coating (discarded)</v>
      </c>
      <c r="B223" s="332" t="str">
        <f>IFERROR(VLOOKUP(A223,'Compartments_Kawecki&amp;Nowack19'!A:C,2,FALSE), IFERROR(VLOOKUP(A223,Compartments_Added!A:C,2,FALSE), "Not found"))</f>
        <v>Stock</v>
      </c>
      <c r="C223" s="332" t="str">
        <f>IFERROR(VLOOKUP(A223,'Compartments_Kawecki&amp;Nowack19'!A:C,3,FALSE), IFERROR(VLOOKUP(A223,Compartments_Added!A:C,3,FALSE), "Not found"))</f>
        <v>TextileCoatingDis</v>
      </c>
      <c r="D223" s="95" t="str">
        <f>IFERROR(IF(VLOOKUP(A223,'Compartments_Kawecki&amp;Nowack19'!A:C,1,FALSE)=A223, "Kawecki","what?"),"Added/changed")</f>
        <v>Added/changed</v>
      </c>
      <c r="G223" s="493" t="str">
        <v>Textile coating (discarded)</v>
      </c>
      <c r="H223" s="310" t="str">
        <v>Technical home textiles (in use)</v>
      </c>
      <c r="I223" s="498" t="str">
        <v>Tertiary water treatment (micro)</v>
      </c>
      <c r="J223" t="str">
        <v>Road runoff</v>
      </c>
    </row>
    <row r="224" spans="1:10" ht="15" thickBot="1">
      <c r="A224" s="74" t="str">
        <v>Textile coating (in use)</v>
      </c>
      <c r="B224" s="332" t="str">
        <f>IFERROR(VLOOKUP(A224,'Compartments_Kawecki&amp;Nowack19'!A:C,2,FALSE), IFERROR(VLOOKUP(A224,Compartments_Added!A:C,2,FALSE), "Not found"))</f>
        <v>Stock</v>
      </c>
      <c r="C224" s="332" t="str">
        <f>IFERROR(VLOOKUP(A224,'Compartments_Kawecki&amp;Nowack19'!A:C,3,FALSE), IFERROR(VLOOKUP(A224,Compartments_Added!A:C,3,FALSE), "Not found"))</f>
        <v>TextileCoatingIU</v>
      </c>
      <c r="D224" s="95" t="str">
        <f>IFERROR(IF(VLOOKUP(A224,'Compartments_Kawecki&amp;Nowack19'!A:C,1,FALSE)=A224, "Kawecki","what?"),"Added/changed")</f>
        <v>Added/changed</v>
      </c>
      <c r="G224" s="493" t="str">
        <v>Textile coating (in use)</v>
      </c>
      <c r="H224" s="310" t="str">
        <v>Technical textile waste collection</v>
      </c>
      <c r="I224" s="498" t="str">
        <v>Textile coating</v>
      </c>
      <c r="J224" t="str">
        <v>Rural roads</v>
      </c>
    </row>
    <row r="225" spans="1:10" ht="15" thickBot="1">
      <c r="A225" s="74" t="str">
        <v>Textile recycling</v>
      </c>
      <c r="B225" s="332" t="str">
        <f>IFERROR(VLOOKUP(A225,'Compartments_Kawecki&amp;Nowack19'!A:C,2,FALSE), IFERROR(VLOOKUP(A225,Compartments_Added!A:C,2,FALSE), "Not found"))</f>
        <v>Flow</v>
      </c>
      <c r="C225" s="332" t="str">
        <f>IFERROR(VLOOKUP(A225,'Compartments_Kawecki&amp;Nowack19'!A:C,3,FALSE), IFERROR(VLOOKUP(A225,Compartments_Added!A:C,3,FALSE), "Not found"))</f>
        <v>TextileRecycling</v>
      </c>
      <c r="D225" s="95" t="str">
        <f>IFERROR(IF(VLOOKUP(A225,'Compartments_Kawecki&amp;Nowack19'!A:C,1,FALSE)=A225, "Kawecki","what?"),"Added/changed")</f>
        <v>Added/changed</v>
      </c>
      <c r="G225" s="493" t="str">
        <v>Textile recycling</v>
      </c>
      <c r="H225" s="310" t="str">
        <v>Agrotextiles</v>
      </c>
      <c r="I225" s="498" t="str">
        <v>Textile coating (discarded)</v>
      </c>
      <c r="J225" t="str">
        <v>Sanitary pads</v>
      </c>
    </row>
    <row r="226" spans="1:10" ht="15" thickBot="1">
      <c r="A226" s="437" t="str">
        <v>Transport of primary plastics</v>
      </c>
      <c r="B226" s="439" t="str">
        <f>IFERROR(VLOOKUP(A226,'Compartments_Kawecki&amp;Nowack19'!A:C,2,FALSE), IFERROR(VLOOKUP(A226,Compartments_Added!A:C,2,FALSE), "Not found"))</f>
        <v>Flow</v>
      </c>
      <c r="C226" s="439" t="str">
        <f>IFERROR(VLOOKUP(A226,'Compartments_Kawecki&amp;Nowack19'!A:C,3,FALSE), IFERROR(VLOOKUP(A226,Compartments_Added!A:C,3,FALSE), "Not found"))</f>
        <v>PelletTransport</v>
      </c>
      <c r="D226" s="95" t="str">
        <f>IFERROR(IF(VLOOKUP(A226,'Compartments_Kawecki&amp;Nowack19'!A:C,1,FALSE)=A226, "Kawecki","what?"),"Added/changed")</f>
        <v>Added/changed</v>
      </c>
      <c r="G226" s="493" t="str">
        <v>Transport of primary plastics</v>
      </c>
      <c r="H226" s="310" t="str">
        <v>Building textiles</v>
      </c>
      <c r="I226" s="498" t="str">
        <v>Textile coating (in use)</v>
      </c>
      <c r="J226" t="str">
        <v>Secondary water treatment (macro)</v>
      </c>
    </row>
    <row r="227" spans="1:10" ht="15" thickBot="1">
      <c r="A227" s="74" t="str">
        <v>T-shirts</v>
      </c>
      <c r="B227" s="332" t="str">
        <f>IFERROR(VLOOKUP(A227,'Compartments_Kawecki&amp;Nowack19'!A:C,2,FALSE), IFERROR(VLOOKUP(A227,Compartments_Added!A:C,2,FALSE), "Not found"))</f>
        <v>Stock</v>
      </c>
      <c r="C227" s="332" t="str">
        <f>IFERROR(VLOOKUP(A227,'Compartments_Kawecki&amp;Nowack19'!A:C,3,FALSE), IFERROR(VLOOKUP(A227,Compartments_Added!A:C,3,FALSE), "Not found"))</f>
        <v>Tshirts</v>
      </c>
      <c r="D227" s="95" t="str">
        <f>IFERROR(IF(VLOOKUP(A227,'Compartments_Kawecki&amp;Nowack19'!A:C,1,FALSE)=A227, "Kawecki","what?"),"Added/changed")</f>
        <v>Added/changed</v>
      </c>
      <c r="G227" s="493" t="str">
        <v>T-shirts</v>
      </c>
      <c r="H227" s="310" t="str">
        <v>Geotextiles</v>
      </c>
      <c r="I227" s="498" t="str">
        <v>Textile recycling</v>
      </c>
      <c r="J227" t="str">
        <v>Secondary water treatment (micro)</v>
      </c>
    </row>
    <row r="228" spans="1:10" ht="15" thickBot="1">
      <c r="A228" s="74" t="str">
        <v>Underwear</v>
      </c>
      <c r="B228" s="332" t="str">
        <f>IFERROR(VLOOKUP(A228,'Compartments_Kawecki&amp;Nowack19'!A:C,2,FALSE), IFERROR(VLOOKUP(A228,Compartments_Added!A:C,2,FALSE), "Not found"))</f>
        <v>Stock</v>
      </c>
      <c r="C228" s="332" t="str">
        <f>IFERROR(VLOOKUP(A228,'Compartments_Kawecki&amp;Nowack19'!A:C,3,FALSE), IFERROR(VLOOKUP(A228,Compartments_Added!A:C,3,FALSE), "Not found"))</f>
        <v>Underwear</v>
      </c>
      <c r="D228" s="95" t="str">
        <f>IFERROR(IF(VLOOKUP(A228,'Compartments_Kawecki&amp;Nowack19'!A:C,1,FALSE)=A228, "Kawecki","what?"),"Added/changed")</f>
        <v>Added/changed</v>
      </c>
      <c r="G228" s="493" t="str">
        <v>Tyre wear</v>
      </c>
      <c r="H228" s="310" t="str">
        <v>Medical textiles</v>
      </c>
      <c r="I228" s="498" t="str">
        <v>Transport of primary plastics</v>
      </c>
      <c r="J228" t="str">
        <v>Seed coating</v>
      </c>
    </row>
    <row r="229" spans="1:10" ht="15" thickBot="1">
      <c r="A229" s="74" t="str">
        <v>Urban roads</v>
      </c>
      <c r="B229" s="332" t="str">
        <f>IFERROR(VLOOKUP(A229,'Compartments_Kawecki&amp;Nowack19'!A:C,2,FALSE), IFERROR(VLOOKUP(A229,Compartments_Added!A:C,2,FALSE), "Not found"))</f>
        <v>Flow</v>
      </c>
      <c r="C229" s="332" t="str">
        <f>IFERROR(VLOOKUP(A229,'Compartments_Kawecki&amp;Nowack19'!A:C,3,FALSE), IFERROR(VLOOKUP(A229,Compartments_Added!A:C,3,FALSE), "Not found"))</f>
        <v>UrbanRoads</v>
      </c>
      <c r="D229" s="95" t="str">
        <f>IFERROR(IF(VLOOKUP(A229,'Compartments_Kawecki&amp;Nowack19'!A:C,1,FALSE)=A229, "Kawecki","what?"),"Added/changed")</f>
        <v>Added/changed</v>
      </c>
      <c r="G229" s="493" t="str">
        <v>Underwear</v>
      </c>
      <c r="H229" s="310" t="str">
        <v>Mobility textiles</v>
      </c>
      <c r="I229" s="498" t="str">
        <v>T-shirts</v>
      </c>
      <c r="J229" t="str">
        <v>Ship paint (prof)</v>
      </c>
    </row>
    <row r="230" spans="1:10" ht="15" thickBot="1">
      <c r="A230" s="74" t="str">
        <v>Wall paint (DIY)</v>
      </c>
      <c r="B230" s="332" t="str">
        <f>IFERROR(VLOOKUP(A230,'Compartments_Kawecki&amp;Nowack19'!A:C,2,FALSE), IFERROR(VLOOKUP(A230,Compartments_Added!A:C,2,FALSE), "Not found"))</f>
        <v>Flow</v>
      </c>
      <c r="C230" s="332" t="str">
        <f>IFERROR(VLOOKUP(A230,'Compartments_Kawecki&amp;Nowack19'!A:C,3,FALSE), IFERROR(VLOOKUP(A230,Compartments_Added!A:C,3,FALSE), "Not found"))</f>
        <v>WallDiy</v>
      </c>
      <c r="D230" s="95" t="str">
        <f>IFERROR(IF(VLOOKUP(A230,'Compartments_Kawecki&amp;Nowack19'!A:C,1,FALSE)=A230, "Kawecki","what?"),"Added/changed")</f>
        <v>Added/changed</v>
      </c>
      <c r="G230" s="310" t="str">
        <v>Urban roads</v>
      </c>
      <c r="H230" s="310" t="str">
        <v>Other technical textiles</v>
      </c>
      <c r="I230" s="498" t="str">
        <v>Underwear</v>
      </c>
      <c r="J230" t="str">
        <v>Ship paint (prof) (discarded)</v>
      </c>
    </row>
    <row r="231" spans="1:10" ht="15" thickBot="1">
      <c r="A231" s="74" t="str">
        <v>Wall paint (DIY) indoor</v>
      </c>
      <c r="B231" s="332" t="str">
        <f>IFERROR(VLOOKUP(A231,'Compartments_Kawecki&amp;Nowack19'!A:C,2,FALSE), IFERROR(VLOOKUP(A231,Compartments_Added!A:C,2,FALSE), "Not found"))</f>
        <v>Flow</v>
      </c>
      <c r="C231" s="332" t="str">
        <f>IFERROR(VLOOKUP(A231,'Compartments_Kawecki&amp;Nowack19'!A:C,3,FALSE), IFERROR(VLOOKUP(A231,Compartments_Added!A:C,3,FALSE), "Not found"))</f>
        <v>WallDiyIn</v>
      </c>
      <c r="D231" s="95" t="str">
        <f>IFERROR(IF(VLOOKUP(A231,'Compartments_Kawecki&amp;Nowack19'!A:C,1,FALSE)=A231, "Kawecki","what?"),"Added/changed")</f>
        <v>Added/changed</v>
      </c>
      <c r="G231" s="310" t="str">
        <v>Wall paint (DIY)</v>
      </c>
      <c r="H231" s="310" t="str">
        <v>Technical home textiles</v>
      </c>
      <c r="I231" s="498" t="str">
        <v>Urban roads</v>
      </c>
      <c r="J231" t="str">
        <v>Ship paint (prof) (in use)</v>
      </c>
    </row>
    <row r="232" spans="1:10" ht="15" thickBot="1">
      <c r="A232" s="74" t="str">
        <v>Wall paint (DIY) indoor applied</v>
      </c>
      <c r="B232" s="332" t="str">
        <f>IFERROR(VLOOKUP(A232,'Compartments_Kawecki&amp;Nowack19'!A:C,2,FALSE), IFERROR(VLOOKUP(A232,Compartments_Added!A:C,2,FALSE), "Not found"))</f>
        <v>Flow</v>
      </c>
      <c r="C232" s="332" t="str">
        <f>IFERROR(VLOOKUP(A232,'Compartments_Kawecki&amp;Nowack19'!A:C,3,FALSE), IFERROR(VLOOKUP(A232,Compartments_Added!A:C,3,FALSE), "Not found"))</f>
        <v>WallApplDiy</v>
      </c>
      <c r="D232" s="95" t="str">
        <f>IFERROR(IF(VLOOKUP(A232,'Compartments_Kawecki&amp;Nowack19'!A:C,1,FALSE)=A232, "Kawecki","what?"),"Added/changed")</f>
        <v>Added/changed</v>
      </c>
      <c r="G232" s="310" t="str">
        <v>Wall paint (DIY) indoor</v>
      </c>
      <c r="H232" s="310" t="str">
        <v>Textile coating</v>
      </c>
      <c r="I232" s="498" t="str">
        <v>Wall paint (DIY)</v>
      </c>
      <c r="J232" t="str">
        <v>Ship paint (recr)</v>
      </c>
    </row>
    <row r="233" spans="1:10" ht="15" thickBot="1">
      <c r="A233" s="74" t="str">
        <v>Wall paint (DIY) indoor applied (discarded)</v>
      </c>
      <c r="B233" s="332" t="str">
        <f>IFERROR(VLOOKUP(A233,'Compartments_Kawecki&amp;Nowack19'!A:C,2,FALSE), IFERROR(VLOOKUP(A233,Compartments_Added!A:C,2,FALSE), "Not found"))</f>
        <v>Stock</v>
      </c>
      <c r="C233" s="332" t="str">
        <f>IFERROR(VLOOKUP(A233,'Compartments_Kawecki&amp;Nowack19'!A:C,3,FALSE), IFERROR(VLOOKUP(A233,Compartments_Added!A:C,3,FALSE), "Not found"))</f>
        <v>WallPaintDiyIndoorAppliedDis</v>
      </c>
      <c r="D233" s="95" t="str">
        <f>IFERROR(IF(VLOOKUP(A233,'Compartments_Kawecki&amp;Nowack19'!A:C,1,FALSE)=A233, "Kawecki","what?"),"Added/changed")</f>
        <v>Added/changed</v>
      </c>
      <c r="G233" s="310" t="str">
        <v>Wall paint (DIY) indoor applied</v>
      </c>
      <c r="H233" s="310" t="str">
        <v>Textile coating (discarded)</v>
      </c>
      <c r="I233" s="498" t="str">
        <v>Wall paint (DIY) indoor</v>
      </c>
      <c r="J233" t="str">
        <v>Ship paint (recr) (discarded)</v>
      </c>
    </row>
    <row r="234" spans="1:10" ht="15" thickBot="1">
      <c r="A234" s="74" t="str">
        <v>Wall paint (DIY) indoor applied (in use)</v>
      </c>
      <c r="B234" s="332" t="str">
        <f>IFERROR(VLOOKUP(A234,'Compartments_Kawecki&amp;Nowack19'!A:C,2,FALSE), IFERROR(VLOOKUP(A234,Compartments_Added!A:C,2,FALSE), "Not found"))</f>
        <v>Stock</v>
      </c>
      <c r="C234" s="332" t="str">
        <f>IFERROR(VLOOKUP(A234,'Compartments_Kawecki&amp;Nowack19'!A:C,3,FALSE), IFERROR(VLOOKUP(A234,Compartments_Added!A:C,3,FALSE), "Not found"))</f>
        <v>WallPaintDiyIndoorAppliedIU</v>
      </c>
      <c r="D234" s="95" t="str">
        <f>IFERROR(IF(VLOOKUP(A234,'Compartments_Kawecki&amp;Nowack19'!A:C,1,FALSE)=A234, "Kawecki","what?"),"Added/changed")</f>
        <v>Added/changed</v>
      </c>
      <c r="G234" s="310" t="str">
        <v>Wall paint (DIY) indoor applied (discarded)</v>
      </c>
      <c r="H234" s="310" t="str">
        <v>Textile coating (in use)</v>
      </c>
      <c r="I234" s="498" t="str">
        <v>Wall paint (DIY) indoor applied</v>
      </c>
      <c r="J234" t="str">
        <v>Ship paint (recr) (in use)</v>
      </c>
    </row>
    <row r="235" spans="1:10" ht="15" thickBot="1">
      <c r="A235" s="74" t="str">
        <v>Wall paint (DIY) indoor on brush</v>
      </c>
      <c r="B235" s="332" t="str">
        <f>IFERROR(VLOOKUP(A235,'Compartments_Kawecki&amp;Nowack19'!A:C,2,FALSE), IFERROR(VLOOKUP(A235,Compartments_Added!A:C,2,FALSE), "Not found"))</f>
        <v>Flow</v>
      </c>
      <c r="C235" s="332" t="str">
        <f>IFERROR(VLOOKUP(A235,'Compartments_Kawecki&amp;Nowack19'!A:C,3,FALSE), IFERROR(VLOOKUP(A235,Compartments_Added!A:C,3,FALSE), "Not found"))</f>
        <v>WallBrushDiy</v>
      </c>
      <c r="D235" s="95" t="str">
        <f>IFERROR(IF(VLOOKUP(A235,'Compartments_Kawecki&amp;Nowack19'!A:C,1,FALSE)=A235, "Kawecki","what?"),"Added/changed")</f>
        <v>Added/changed</v>
      </c>
      <c r="G235" s="310" t="str">
        <v>Wall paint (DIY) indoor applied (in use)</v>
      </c>
      <c r="H235" s="310" t="str">
        <v>Export of primary plastics</v>
      </c>
      <c r="I235" s="498" t="str">
        <v>Wall paint (DIY) indoor applied (discarded)</v>
      </c>
      <c r="J235" t="str">
        <v>Shirts and blouses</v>
      </c>
    </row>
    <row r="236" spans="1:10" ht="15" thickBot="1">
      <c r="A236" s="321" t="str">
        <v>Wall paint (DIY) outdoor</v>
      </c>
      <c r="B236" s="333" t="str">
        <f>IFERROR(VLOOKUP(A236,'Compartments_Kawecki&amp;Nowack19'!A:C,2,FALSE), IFERROR(VLOOKUP(A236,Compartments_Added!A:C,2,FALSE), "Not found"))</f>
        <v>Flow</v>
      </c>
      <c r="C236" s="333" t="str">
        <f>IFERROR(VLOOKUP(A236,'Compartments_Kawecki&amp;Nowack19'!A:C,3,FALSE), IFERROR(VLOOKUP(A236,Compartments_Added!A:C,3,FALSE), "Not found"))</f>
        <v>WallDiyOut</v>
      </c>
      <c r="D236" s="95" t="str">
        <f>IFERROR(IF(VLOOKUP(A236,'Compartments_Kawecki&amp;Nowack19'!A:C,1,FALSE)=A236, "Kawecki","what?"),"Added/changed")</f>
        <v>Added/changed</v>
      </c>
      <c r="G236" s="310" t="str">
        <v>Wall paint (DIY) indoor on brush</v>
      </c>
      <c r="H236" s="310" t="str">
        <v>Pellet conversion</v>
      </c>
      <c r="I236" s="498" t="str">
        <v>Wall paint (DIY) indoor applied (in use)</v>
      </c>
      <c r="J236" t="str">
        <v>Sludge (macro)</v>
      </c>
    </row>
    <row r="237" spans="1:10" ht="15" thickBot="1">
      <c r="A237" s="74" t="str">
        <v>Wall paint (DIY) outdoor (discarded)</v>
      </c>
      <c r="B237" s="332" t="str">
        <f>IFERROR(VLOOKUP(A237,'Compartments_Kawecki&amp;Nowack19'!A:C,2,FALSE), IFERROR(VLOOKUP(A237,Compartments_Added!A:C,2,FALSE), "Not found"))</f>
        <v>Stock</v>
      </c>
      <c r="C237" s="332" t="str">
        <f>IFERROR(VLOOKUP(A237,'Compartments_Kawecki&amp;Nowack19'!A:C,3,FALSE), IFERROR(VLOOKUP(A237,Compartments_Added!A:C,3,FALSE), "Not found"))</f>
        <v>WallPaintDiyOutDis</v>
      </c>
      <c r="D237" s="95" t="str">
        <f>IFERROR(IF(VLOOKUP(A237,'Compartments_Kawecki&amp;Nowack19'!A:C,1,FALSE)=A237, "Kawecki","what?"),"Added/changed")</f>
        <v>Added/changed</v>
      </c>
      <c r="G237" s="310" t="str">
        <v>Wall paint (DIY) outdoor</v>
      </c>
      <c r="H237" s="310" t="str">
        <v>Pellet losses transport land</v>
      </c>
      <c r="I237" s="498" t="str">
        <v>Wall paint (DIY) indoor on brush</v>
      </c>
      <c r="J237" t="str">
        <v>Sludge (micro)</v>
      </c>
    </row>
    <row r="238" spans="1:10" ht="15" thickBot="1">
      <c r="A238" s="74" t="str">
        <v>Wall paint (DIY) outdoor (in use)</v>
      </c>
      <c r="B238" s="332" t="str">
        <f>IFERROR(VLOOKUP(A238,'Compartments_Kawecki&amp;Nowack19'!A:C,2,FALSE), IFERROR(VLOOKUP(A238,Compartments_Added!A:C,2,FALSE), "Not found"))</f>
        <v>Stock</v>
      </c>
      <c r="C238" s="332" t="str">
        <f>IFERROR(VLOOKUP(A238,'Compartments_Kawecki&amp;Nowack19'!A:C,3,FALSE), IFERROR(VLOOKUP(A238,Compartments_Added!A:C,3,FALSE), "Not found"))</f>
        <v>WallPaintDiyOutIU</v>
      </c>
      <c r="D238" s="95" t="str">
        <f>IFERROR(IF(VLOOKUP(A238,'Compartments_Kawecki&amp;Nowack19'!A:C,1,FALSE)=A238, "Kawecki","what?"),"Added/changed")</f>
        <v>Added/changed</v>
      </c>
      <c r="G238" s="310" t="str">
        <v>Wall paint (DIY) outdoor (discarded)</v>
      </c>
      <c r="H238" s="310" t="str">
        <v>Sea water (micro)</v>
      </c>
      <c r="I238" s="498" t="str">
        <v>Wall paint (DIY) outdoor</v>
      </c>
      <c r="J238" t="str">
        <v>Stormwater (macro)</v>
      </c>
    </row>
    <row r="239" spans="1:10" ht="15" thickBot="1">
      <c r="A239" s="74" t="str">
        <v>Wall paint (prof)</v>
      </c>
      <c r="B239" s="332" t="str">
        <f>IFERROR(VLOOKUP(A239,'Compartments_Kawecki&amp;Nowack19'!A:C,2,FALSE), IFERROR(VLOOKUP(A239,Compartments_Added!A:C,2,FALSE), "Not found"))</f>
        <v>Flow</v>
      </c>
      <c r="C239" s="332" t="str">
        <f>IFERROR(VLOOKUP(A239,'Compartments_Kawecki&amp;Nowack19'!A:C,3,FALSE), IFERROR(VLOOKUP(A239,Compartments_Added!A:C,3,FALSE), "Not found"))</f>
        <v>WallProf</v>
      </c>
      <c r="D239" s="95" t="str">
        <f>IFERROR(IF(VLOOKUP(A239,'Compartments_Kawecki&amp;Nowack19'!A:C,1,FALSE)=A239, "Kawecki","what?"),"Added/changed")</f>
        <v>Added/changed</v>
      </c>
      <c r="G239" s="310" t="str">
        <v>Wall paint (DIY) outdoor (in use)</v>
      </c>
      <c r="H239" s="310" t="str">
        <v>Highway</v>
      </c>
      <c r="I239" s="498" t="str">
        <v>Wall paint (DIY) outdoor (discarded)</v>
      </c>
      <c r="J239" t="str">
        <v>Stormwater (micro)</v>
      </c>
    </row>
    <row r="240" spans="1:10" ht="15" thickBot="1">
      <c r="A240" s="74" t="str">
        <v>Wall paint (prof) indoor</v>
      </c>
      <c r="B240" s="332" t="str">
        <f>IFERROR(VLOOKUP(A240,'Compartments_Kawecki&amp;Nowack19'!A:C,2,FALSE), IFERROR(VLOOKUP(A240,Compartments_Added!A:C,2,FALSE), "Not found"))</f>
        <v>Flow</v>
      </c>
      <c r="C240" s="332" t="str">
        <f>IFERROR(VLOOKUP(A240,'Compartments_Kawecki&amp;Nowack19'!A:C,3,FALSE), IFERROR(VLOOKUP(A240,Compartments_Added!A:C,3,FALSE), "Not found"))</f>
        <v>WallProfIn</v>
      </c>
      <c r="D240" s="95" t="str">
        <f>IFERROR(IF(VLOOKUP(A240,'Compartments_Kawecki&amp;Nowack19'!A:C,1,FALSE)=A240, "Kawecki","what?"),"Added/changed")</f>
        <v>Added/changed</v>
      </c>
      <c r="G240" s="310" t="str">
        <v>Wall paint (prof)</v>
      </c>
      <c r="H240" s="310" t="str">
        <v>Rural roads</v>
      </c>
      <c r="I240" s="498" t="str">
        <v>Wall paint (DIY) outdoor (in use)</v>
      </c>
      <c r="J240" t="str">
        <v>Sweaters and midlayers</v>
      </c>
    </row>
    <row r="241" spans="1:10" ht="15" thickBot="1">
      <c r="A241" s="74" t="str">
        <v>Wall paint (prof) indoor (discarded)</v>
      </c>
      <c r="B241" s="332" t="str">
        <f>IFERROR(VLOOKUP(A241,'Compartments_Kawecki&amp;Nowack19'!A:C,2,FALSE), IFERROR(VLOOKUP(A241,Compartments_Added!A:C,2,FALSE), "Not found"))</f>
        <v>Stock</v>
      </c>
      <c r="C241" s="332" t="str">
        <f>IFERROR(VLOOKUP(A241,'Compartments_Kawecki&amp;Nowack19'!A:C,3,FALSE), IFERROR(VLOOKUP(A241,Compartments_Added!A:C,3,FALSE), "Not found"))</f>
        <v>WallPaintProfInDis</v>
      </c>
      <c r="D241" s="95" t="str">
        <f>IFERROR(IF(VLOOKUP(A241,'Compartments_Kawecki&amp;Nowack19'!A:C,1,FALSE)=A241, "Kawecki","what?"),"Added/changed")</f>
        <v>Added/changed</v>
      </c>
      <c r="G241" s="310" t="str">
        <v>Wall paint (prof) indoor</v>
      </c>
      <c r="H241" s="310" t="str">
        <v>Road runoff</v>
      </c>
      <c r="I241" s="498" t="str">
        <v>Wall paint (prof)</v>
      </c>
      <c r="J241" t="str">
        <v>Swimwear</v>
      </c>
    </row>
    <row r="242" spans="1:10" ht="15" thickBot="1">
      <c r="A242" s="74" t="str">
        <v>Wall paint (prof) indoor (in use)</v>
      </c>
      <c r="B242" s="332" t="str">
        <f>IFERROR(VLOOKUP(A242,'Compartments_Kawecki&amp;Nowack19'!A:C,2,FALSE), IFERROR(VLOOKUP(A242,Compartments_Added!A:C,2,FALSE), "Not found"))</f>
        <v>Stock</v>
      </c>
      <c r="C242" s="332" t="str">
        <f>IFERROR(VLOOKUP(A242,'Compartments_Kawecki&amp;Nowack19'!A:C,3,FALSE), IFERROR(VLOOKUP(A242,Compartments_Added!A:C,3,FALSE), "Not found"))</f>
        <v>WallPaintProfInIU</v>
      </c>
      <c r="D242" s="95" t="str">
        <f>IFERROR(IF(VLOOKUP(A242,'Compartments_Kawecki&amp;Nowack19'!A:C,1,FALSE)=A242, "Kawecki","what?"),"Added/changed")</f>
        <v>Added/changed</v>
      </c>
      <c r="G242" s="310" t="str">
        <v>Wall paint (prof) indoor (discarded)</v>
      </c>
      <c r="H242" s="310" t="str">
        <v>Wall paint (DIY) outdoor</v>
      </c>
      <c r="I242" s="498" t="str">
        <v>Wall paint (prof) indoor</v>
      </c>
      <c r="J242" t="str">
        <v>Tampons</v>
      </c>
    </row>
    <row r="243" spans="1:10" ht="15" thickBot="1">
      <c r="A243" s="74" t="str">
        <v>Wall paint (prof) outdoor</v>
      </c>
      <c r="B243" s="332" t="str">
        <f>IFERROR(VLOOKUP(A243,'Compartments_Kawecki&amp;Nowack19'!A:C,2,FALSE), IFERROR(VLOOKUP(A243,Compartments_Added!A:C,2,FALSE), "Not found"))</f>
        <v>Flow</v>
      </c>
      <c r="C243" s="332" t="str">
        <f>IFERROR(VLOOKUP(A243,'Compartments_Kawecki&amp;Nowack19'!A:C,3,FALSE), IFERROR(VLOOKUP(A243,Compartments_Added!A:C,3,FALSE), "Not found"))</f>
        <v>WallProfOut</v>
      </c>
      <c r="D243" s="95" t="str">
        <f>IFERROR(IF(VLOOKUP(A243,'Compartments_Kawecki&amp;Nowack19'!A:C,1,FALSE)=A243, "Kawecki","what?"),"Added/changed")</f>
        <v>Added/changed</v>
      </c>
      <c r="G243" s="310" t="str">
        <v>Wall paint (prof) indoor (in use)</v>
      </c>
      <c r="H243" s="310" t="str">
        <v>Wall paint (DIY) indoor</v>
      </c>
      <c r="I243" s="498" t="str">
        <v>Wall paint (prof) indoor (discarded)</v>
      </c>
      <c r="J243" t="str">
        <v>Technical home textiles</v>
      </c>
    </row>
    <row r="244" spans="1:10" ht="15" thickBot="1">
      <c r="A244" s="74" t="str">
        <v>Wall paint (prof) outdoor (discarded)</v>
      </c>
      <c r="B244" s="332" t="str">
        <f>IFERROR(VLOOKUP(A244,'Compartments_Kawecki&amp;Nowack19'!A:C,2,FALSE), IFERROR(VLOOKUP(A244,Compartments_Added!A:C,2,FALSE), "Not found"))</f>
        <v>Stock</v>
      </c>
      <c r="C244" s="332" t="str">
        <f>IFERROR(VLOOKUP(A244,'Compartments_Kawecki&amp;Nowack19'!A:C,3,FALSE), IFERROR(VLOOKUP(A244,Compartments_Added!A:C,3,FALSE), "Not found"))</f>
        <v>WallPaintProfOutDis</v>
      </c>
      <c r="D244" s="95" t="str">
        <f>IFERROR(IF(VLOOKUP(A244,'Compartments_Kawecki&amp;Nowack19'!A:C,1,FALSE)=A244, "Kawecki","what?"),"Added/changed")</f>
        <v>Added/changed</v>
      </c>
      <c r="G244" s="310" t="str">
        <v>Wall paint (prof) outdoor</v>
      </c>
      <c r="H244" s="310" t="str">
        <v>Wall paint (DIY) indoor applied</v>
      </c>
      <c r="I244" s="498" t="str">
        <v>Wall paint (prof) indoor (in use)</v>
      </c>
      <c r="J244" t="str">
        <v>Technical home textiles (discarded)</v>
      </c>
    </row>
    <row r="245" spans="1:10" ht="15" thickBot="1">
      <c r="A245" s="74" t="str">
        <v>Wall paint (prof) outdoor (in use)</v>
      </c>
      <c r="B245" s="332" t="str">
        <f>IFERROR(VLOOKUP(A245,'Compartments_Kawecki&amp;Nowack19'!A:C,2,FALSE), IFERROR(VLOOKUP(A245,Compartments_Added!A:C,2,FALSE), "Not found"))</f>
        <v>Stock</v>
      </c>
      <c r="C245" s="332" t="str">
        <f>IFERROR(VLOOKUP(A245,'Compartments_Kawecki&amp;Nowack19'!A:C,3,FALSE), IFERROR(VLOOKUP(A245,Compartments_Added!A:C,3,FALSE), "Not found"))</f>
        <v>WallPaintProfOutIU</v>
      </c>
      <c r="D245" s="95" t="str">
        <f>IFERROR(IF(VLOOKUP(A245,'Compartments_Kawecki&amp;Nowack19'!A:C,1,FALSE)=A245, "Kawecki","what?"),"Added/changed")</f>
        <v>Added/changed</v>
      </c>
      <c r="G245" s="310" t="str">
        <v>Wall paint (prof) outdoor (discarded)</v>
      </c>
      <c r="H245" s="310" t="str">
        <v>Wall paint (DIY) indoor on brush</v>
      </c>
      <c r="I245" s="498" t="str">
        <v>Wall paint (prof) outdoor</v>
      </c>
      <c r="J245" t="str">
        <v>Technical home textiles (in use)</v>
      </c>
    </row>
    <row r="246" spans="1:10" ht="15" thickBot="1">
      <c r="A246" s="74" t="str">
        <v>Wastewater (macro)</v>
      </c>
      <c r="B246" s="332" t="str">
        <f>IFERROR(VLOOKUP(A246,'Compartments_Kawecki&amp;Nowack19'!A:C,2,FALSE), IFERROR(VLOOKUP(A246,Compartments_Added!A:C,2,FALSE), "Not found"))</f>
        <v>Flow</v>
      </c>
      <c r="C246" s="332" t="str">
        <f>IFERROR(VLOOKUP(A246,'Compartments_Kawecki&amp;Nowack19'!A:C,3,FALSE), IFERROR(VLOOKUP(A246,Compartments_Added!A:C,3,FALSE), "Not found"))</f>
        <v>WasteWaterMacro</v>
      </c>
      <c r="D246" s="95" t="str">
        <f>IFERROR(IF(VLOOKUP(A246,'Compartments_Kawecki&amp;Nowack19'!A:C,1,FALSE)=A246, "Kawecki","what?"),"Added/changed")</f>
        <v>Kawecki</v>
      </c>
      <c r="G246" s="310" t="str">
        <v>Wall paint (prof) outdoor (in use)</v>
      </c>
      <c r="H246" s="310" t="str">
        <v>Wall paint (DIY) indoor applied (in use)</v>
      </c>
      <c r="I246" s="498" t="str">
        <v>Wall paint (prof) outdoor (discarded)</v>
      </c>
      <c r="J246" t="str">
        <v>Technical textile waste collection</v>
      </c>
    </row>
    <row r="247" spans="1:10" ht="15" thickBot="1">
      <c r="A247" s="74" t="str">
        <v>Wastewater (micro)</v>
      </c>
      <c r="B247" s="332" t="str">
        <f>IFERROR(VLOOKUP(A247,'Compartments_Kawecki&amp;Nowack19'!A:C,2,FALSE), IFERROR(VLOOKUP(A247,Compartments_Added!A:C,2,FALSE), "Not found"))</f>
        <v>Flow</v>
      </c>
      <c r="C247" s="332" t="str">
        <f>IFERROR(VLOOKUP(A247,'Compartments_Kawecki&amp;Nowack19'!A:C,3,FALSE), IFERROR(VLOOKUP(A247,Compartments_Added!A:C,3,FALSE), "Not found"))</f>
        <v>WasteWaterMicro</v>
      </c>
      <c r="D247" s="95" t="str">
        <f>IFERROR(IF(VLOOKUP(A247,'Compartments_Kawecki&amp;Nowack19'!A:C,1,FALSE)=A247, "Kawecki","what?"),"Added/changed")</f>
        <v>Kawecki</v>
      </c>
      <c r="G247" s="310" t="str">
        <v>Wastewater (macro)</v>
      </c>
      <c r="H247" s="310" t="str">
        <v>Wall paint (DIY) indoor applied (discarded)</v>
      </c>
      <c r="I247" s="498" t="str">
        <v>Wall paint (prof) outdoor (in use)</v>
      </c>
      <c r="J247" t="str">
        <v>Technical textiles</v>
      </c>
    </row>
    <row r="248" spans="1:10" ht="15" thickBot="1">
      <c r="A248" s="609" t="str">
        <v>Wastewater treatment plant (macro)</v>
      </c>
      <c r="B248" s="307" t="str">
        <f>IFERROR(VLOOKUP(A248,'Compartments_Kawecki&amp;Nowack19'!A:C,2,FALSE), IFERROR(VLOOKUP(A248,Compartments_Added!A:C,2,FALSE), "Not found"))</f>
        <v>Flow</v>
      </c>
      <c r="C248" s="307" t="str">
        <f>IFERROR(VLOOKUP(A248,'Compartments_Kawecki&amp;Nowack19'!A:C,3,FALSE), IFERROR(VLOOKUP(A248,Compartments_Added!A:C,3,FALSE), "Not found"))</f>
        <v>WWTPMacro</v>
      </c>
      <c r="D248" s="95" t="str">
        <f>IFERROR(IF(VLOOKUP(A248,'Compartments_Kawecki&amp;Nowack19'!A:C,1,FALSE)=A248, "Kawecki","what?"),"Added/changed")</f>
        <v>Kawecki</v>
      </c>
      <c r="G248" s="310" t="str">
        <v>Wastewater (micro)</v>
      </c>
      <c r="H248" s="310" t="str">
        <v>Wall paint (DIY) outdoor (in use)</v>
      </c>
      <c r="I248" s="498" t="str">
        <v>Wastewater (macro)</v>
      </c>
      <c r="J248" t="str">
        <v>Tertiary water treatment (macro)</v>
      </c>
    </row>
    <row r="249" spans="1:10" ht="15" thickBot="1">
      <c r="A249" s="609" t="str">
        <v>Wastewater treatment plant (micro)</v>
      </c>
      <c r="B249" s="307" t="str">
        <f>IFERROR(VLOOKUP(A249,'Compartments_Kawecki&amp;Nowack19'!A:C,2,FALSE), IFERROR(VLOOKUP(A249,Compartments_Added!A:C,2,FALSE), "Not found"))</f>
        <v>Flow</v>
      </c>
      <c r="C249" s="307" t="str">
        <f>IFERROR(VLOOKUP(A249,'Compartments_Kawecki&amp;Nowack19'!A:C,3,FALSE), IFERROR(VLOOKUP(A249,Compartments_Added!A:C,3,FALSE), "Not found"))</f>
        <v>WWTPMicro</v>
      </c>
      <c r="D249" s="95" t="str">
        <f>IFERROR(IF(VLOOKUP(A249,'Compartments_Kawecki&amp;Nowack19'!A:C,1,FALSE)=A249, "Kawecki","what?"),"Added/changed")</f>
        <v>Kawecki</v>
      </c>
      <c r="G249" s="310" t="str">
        <v>Wastewater treatment plant (macro)</v>
      </c>
      <c r="H249" s="310" t="str">
        <v>Wall paint (DIY) outdoor (discarded)</v>
      </c>
      <c r="I249" s="498" t="str">
        <v>Wastewater (micro)</v>
      </c>
      <c r="J249" t="str">
        <v>Tertiary water treatment (micro)</v>
      </c>
    </row>
    <row r="250" spans="1:10" ht="15" thickBot="1">
      <c r="A250" s="609" t="str">
        <v>Wet wipes</v>
      </c>
      <c r="B250" s="307" t="str">
        <f>IFERROR(VLOOKUP(A250,'Compartments_Kawecki&amp;Nowack19'!A:C,2,FALSE), IFERROR(VLOOKUP(A250,Compartments_Added!A:C,2,FALSE), "Not found"))</f>
        <v>Flow</v>
      </c>
      <c r="C250" s="307" t="str">
        <f>IFERROR(VLOOKUP(A250,'Compartments_Kawecki&amp;Nowack19'!A:C,3,FALSE), IFERROR(VLOOKUP(A250,Compartments_Added!A:C,3,FALSE), "Not found"))</f>
        <v>WetWipes</v>
      </c>
      <c r="D250" s="95" t="str">
        <f>IFERROR(IF(VLOOKUP(A250,'Compartments_Kawecki&amp;Nowack19'!A:C,1,FALSE)=A250, "Kawecki","what?"),"Added/changed")</f>
        <v>Kawecki</v>
      </c>
      <c r="G250" s="310" t="str">
        <v>Wastewater treatment plant (micro)</v>
      </c>
      <c r="H250" s="310" t="str">
        <v>Wall paint (prof) outdoor</v>
      </c>
      <c r="I250" s="498" t="str">
        <v>Wastewater treatment plant (macro)</v>
      </c>
      <c r="J250" t="str">
        <v>Textile coating</v>
      </c>
    </row>
    <row r="251" spans="1:10" ht="15" thickBot="1">
      <c r="A251" s="876" t="str">
        <v>Wood stain (DIY)</v>
      </c>
      <c r="B251" s="877" t="str">
        <f>IFERROR(VLOOKUP(A251,'Compartments_Kawecki&amp;Nowack19'!A:C,2,FALSE), IFERROR(VLOOKUP(A251,Compartments_Added!A:C,2,FALSE), "Not found"))</f>
        <v>Flow</v>
      </c>
      <c r="C251" s="877" t="str">
        <f>IFERROR(VLOOKUP(A251,'Compartments_Kawecki&amp;Nowack19'!A:C,3,FALSE), IFERROR(VLOOKUP(A251,Compartments_Added!A:C,3,FALSE), "Not found"))</f>
        <v>WoodDiy</v>
      </c>
      <c r="D251" s="878" t="str">
        <f>IFERROR(IF(VLOOKUP(A251,'Compartments_Kawecki&amp;Nowack19'!A:C,1,FALSE)=A251, "Kawecki","what?"),"Added/changed")</f>
        <v>Added/changed</v>
      </c>
      <c r="G251" s="310" t="str">
        <v>Wet wipes</v>
      </c>
      <c r="H251" s="310" t="str">
        <v>Wall paint (prof) indoor</v>
      </c>
      <c r="I251" s="498" t="str">
        <v>Wastewater treatment plant (micro)</v>
      </c>
      <c r="J251" t="str">
        <v>Textile coating (discarded)</v>
      </c>
    </row>
    <row r="252" spans="1:10" ht="15" thickBot="1">
      <c r="A252" s="609" t="str">
        <v>Wood stain (DIY) indoor</v>
      </c>
      <c r="B252" s="307" t="str">
        <f>IFERROR(VLOOKUP(A252,'Compartments_Kawecki&amp;Nowack19'!A:C,2,FALSE), IFERROR(VLOOKUP(A252,Compartments_Added!A:C,2,FALSE), "Not found"))</f>
        <v>Flow</v>
      </c>
      <c r="C252" s="307" t="str">
        <f>IFERROR(VLOOKUP(A252,'Compartments_Kawecki&amp;Nowack19'!A:C,3,FALSE), IFERROR(VLOOKUP(A252,Compartments_Added!A:C,3,FALSE), "Not found"))</f>
        <v>WoodDiyIn</v>
      </c>
      <c r="D252" s="224" t="str">
        <f>IFERROR(IF(VLOOKUP(A252,'Compartments_Kawecki&amp;Nowack19'!A:C,1,FALSE)=A252, "Kawecki","what?"),"Added/changed")</f>
        <v>Added/changed</v>
      </c>
      <c r="G252" s="310" t="str">
        <v>Wood stain (DIY)</v>
      </c>
      <c r="H252" s="310" t="str">
        <v>Wall paint (prof) indoor (in use)</v>
      </c>
      <c r="I252" s="498" t="str">
        <v>Wet wipes</v>
      </c>
      <c r="J252" t="str">
        <v>Textile coating (in use)</v>
      </c>
    </row>
    <row r="253" spans="1:10" ht="15" thickBot="1">
      <c r="A253" s="609" t="str">
        <v>Wood stain (DIY) indoor (discarded)</v>
      </c>
      <c r="B253" s="307" t="str">
        <f>IFERROR(VLOOKUP(A253,'Compartments_Kawecki&amp;Nowack19'!A:C,2,FALSE), IFERROR(VLOOKUP(A253,Compartments_Added!A:C,2,FALSE), "Not found"))</f>
        <v>Stock</v>
      </c>
      <c r="C253" s="307" t="str">
        <f>IFERROR(VLOOKUP(A253,'Compartments_Kawecki&amp;Nowack19'!A:C,3,FALSE), IFERROR(VLOOKUP(A253,Compartments_Added!A:C,3,FALSE), "Not found"))</f>
        <v>WoodStainDiyInDis</v>
      </c>
      <c r="D253" s="224" t="str">
        <f>IFERROR(IF(VLOOKUP(A253,'Compartments_Kawecki&amp;Nowack19'!A:C,1,FALSE)=A253, "Kawecki","what?"),"Added/changed")</f>
        <v>Added/changed</v>
      </c>
      <c r="G253" s="310" t="str">
        <v>Wood stain (DIY) indoor</v>
      </c>
      <c r="H253" s="310" t="str">
        <v>Wall paint (prof) indoor (discarded)</v>
      </c>
      <c r="I253" s="498" t="str">
        <v>Wood stain (DIY)</v>
      </c>
      <c r="J253" t="str">
        <v>Textile recycling</v>
      </c>
    </row>
    <row r="254" spans="1:10" ht="15" thickBot="1">
      <c r="A254" s="609" t="str">
        <v>Wood stain (DIY) indoor (in use)</v>
      </c>
      <c r="B254" s="307" t="str">
        <f>IFERROR(VLOOKUP(A254,'Compartments_Kawecki&amp;Nowack19'!A:C,2,FALSE), IFERROR(VLOOKUP(A254,Compartments_Added!A:C,2,FALSE), "Not found"))</f>
        <v>Stock</v>
      </c>
      <c r="C254" s="307" t="str">
        <f>IFERROR(VLOOKUP(A254,'Compartments_Kawecki&amp;Nowack19'!A:C,3,FALSE), IFERROR(VLOOKUP(A254,Compartments_Added!A:C,3,FALSE), "Not found"))</f>
        <v>WoodStainDiyInIU</v>
      </c>
      <c r="D254" s="224" t="str">
        <f>IFERROR(IF(VLOOKUP(A254,'Compartments_Kawecki&amp;Nowack19'!A:C,1,FALSE)=A254, "Kawecki","what?"),"Added/changed")</f>
        <v>Added/changed</v>
      </c>
      <c r="G254" s="310" t="str">
        <v>Wood stain (DIY) indoor (discarded)</v>
      </c>
      <c r="H254" s="310" t="str">
        <v>Wall paint (prof) outdoor (in use)</v>
      </c>
      <c r="I254" s="498" t="str">
        <v>Wood stain (DIY) indoor</v>
      </c>
      <c r="J254" t="str">
        <v>Transport of primary plastics</v>
      </c>
    </row>
    <row r="255" spans="1:10" ht="15" thickBot="1">
      <c r="A255" s="609" t="str">
        <v>Wood stain (DIY) outdoor</v>
      </c>
      <c r="B255" s="307" t="str">
        <f>IFERROR(VLOOKUP(A255,'Compartments_Kawecki&amp;Nowack19'!A:C,2,FALSE), IFERROR(VLOOKUP(A255,Compartments_Added!A:C,2,FALSE), "Not found"))</f>
        <v>Flow</v>
      </c>
      <c r="C255" s="307" t="str">
        <f>IFERROR(VLOOKUP(A255,'Compartments_Kawecki&amp;Nowack19'!A:C,3,FALSE), IFERROR(VLOOKUP(A255,Compartments_Added!A:C,3,FALSE), "Not found"))</f>
        <v>WoodDiyOut</v>
      </c>
      <c r="D255" s="224" t="str">
        <f>IFERROR(IF(VLOOKUP(A255,'Compartments_Kawecki&amp;Nowack19'!A:C,1,FALSE)=A255, "Kawecki","what?"),"Added/changed")</f>
        <v>Added/changed</v>
      </c>
      <c r="G255" s="433" t="str">
        <v>Wood stain (DIY) indoor (in use)</v>
      </c>
      <c r="H255" s="310" t="str">
        <v>Wall paint (prof) outdoor (discarded)</v>
      </c>
      <c r="I255" s="498" t="str">
        <v>Wood stain (DIY) indoor (discarded)</v>
      </c>
      <c r="J255" t="str">
        <v>T-shirts</v>
      </c>
    </row>
    <row r="256" spans="1:10" ht="15" thickBot="1">
      <c r="A256" s="609" t="str">
        <v>Wood stain (DIY) outdoor (discarded)</v>
      </c>
      <c r="B256" s="307" t="str">
        <f>IFERROR(VLOOKUP(A256,'Compartments_Kawecki&amp;Nowack19'!A:C,2,FALSE), IFERROR(VLOOKUP(A256,Compartments_Added!A:C,2,FALSE), "Not found"))</f>
        <v>Stock</v>
      </c>
      <c r="C256" s="307" t="str">
        <f>IFERROR(VLOOKUP(A256,'Compartments_Kawecki&amp;Nowack19'!A:C,3,FALSE), IFERROR(VLOOKUP(A256,Compartments_Added!A:C,3,FALSE), "Not found"))</f>
        <v>WoodStainDiyOutDis</v>
      </c>
      <c r="D256" s="224" t="str">
        <f>IFERROR(IF(VLOOKUP(A256,'Compartments_Kawecki&amp;Nowack19'!A:C,1,FALSE)=A256, "Kawecki","what?"),"Added/changed")</f>
        <v>Added/changed</v>
      </c>
      <c r="G256" s="433" t="str">
        <v>Wood stain (DIY) outdoor</v>
      </c>
      <c r="H256" s="310" t="str">
        <v>On-site sewage facility (macro)</v>
      </c>
      <c r="I256" s="498" t="str">
        <v>Wood stain (DIY) indoor (in use)</v>
      </c>
      <c r="J256" t="str">
        <v>Tyre wear</v>
      </c>
    </row>
    <row r="257" spans="1:10" ht="15" thickBot="1">
      <c r="A257" s="609" t="str">
        <v>Wood stain (DIY) outdoor (in use)</v>
      </c>
      <c r="B257" s="307" t="str">
        <f>IFERROR(VLOOKUP(A257,'Compartments_Kawecki&amp;Nowack19'!A:C,2,FALSE), IFERROR(VLOOKUP(A257,Compartments_Added!A:C,2,FALSE), "Not found"))</f>
        <v>Stock</v>
      </c>
      <c r="C257" s="307" t="str">
        <f>IFERROR(VLOOKUP(A257,'Compartments_Kawecki&amp;Nowack19'!A:C,3,FALSE), IFERROR(VLOOKUP(A257,Compartments_Added!A:C,3,FALSE), "Not found"))</f>
        <v>WoodStainDiyOutIU</v>
      </c>
      <c r="D257" s="224" t="str">
        <f>IFERROR(IF(VLOOKUP(A257,'Compartments_Kawecki&amp;Nowack19'!A:C,1,FALSE)=A257, "Kawecki","what?"),"Added/changed")</f>
        <v>Added/changed</v>
      </c>
      <c r="G257" s="433" t="str">
        <v>Wood stain (DIY) outdoor (discarded)</v>
      </c>
      <c r="H257" s="310" t="str">
        <v>On-site sewage facility (micro)</v>
      </c>
      <c r="I257" s="498" t="str">
        <v>Wood stain (DIY) outdoor</v>
      </c>
      <c r="J257" t="str">
        <v>Underwear</v>
      </c>
    </row>
    <row r="258" spans="1:10" ht="15" thickBot="1">
      <c r="A258" s="609" t="str">
        <v>Wood stain (prof)</v>
      </c>
      <c r="B258" s="307" t="str">
        <f>IFERROR(VLOOKUP(A258,'Compartments_Kawecki&amp;Nowack19'!A:C,2,FALSE), IFERROR(VLOOKUP(A258,Compartments_Added!A:C,2,FALSE), "Not found"))</f>
        <v>Flow</v>
      </c>
      <c r="C258" s="307" t="str">
        <f>IFERROR(VLOOKUP(A258,'Compartments_Kawecki&amp;Nowack19'!A:C,3,FALSE), IFERROR(VLOOKUP(A258,Compartments_Added!A:C,3,FALSE), "Not found"))</f>
        <v>WoodProf</v>
      </c>
      <c r="D258" s="224" t="str">
        <f>IFERROR(IF(VLOOKUP(A258,'Compartments_Kawecki&amp;Nowack19'!A:C,1,FALSE)=A258, "Kawecki","what?"),"Added/changed")</f>
        <v>Added/changed</v>
      </c>
      <c r="G258" s="433" t="str">
        <v>Wood stain (DIY) outdoor (in use)</v>
      </c>
      <c r="H258" s="310" t="str">
        <v>Combined sewer overflow (macro)</v>
      </c>
      <c r="I258" s="498" t="str">
        <v>Wood stain (DIY) outdoor (discarded)</v>
      </c>
      <c r="J258" t="str">
        <v>Urban roads</v>
      </c>
    </row>
    <row r="259" spans="1:10" ht="15" thickBot="1">
      <c r="A259" s="609" t="str">
        <v>Wood stain (prof) indoor</v>
      </c>
      <c r="B259" s="307" t="str">
        <f>IFERROR(VLOOKUP(A259,'Compartments_Kawecki&amp;Nowack19'!A:C,2,FALSE), IFERROR(VLOOKUP(A259,Compartments_Added!A:C,2,FALSE), "Not found"))</f>
        <v>Flow</v>
      </c>
      <c r="C259" s="307" t="str">
        <f>IFERROR(VLOOKUP(A259,'Compartments_Kawecki&amp;Nowack19'!A:C,3,FALSE), IFERROR(VLOOKUP(A259,Compartments_Added!A:C,3,FALSE), "Not found"))</f>
        <v>WoodProfIn</v>
      </c>
      <c r="D259" s="224" t="str">
        <f>IFERROR(IF(VLOOKUP(A259,'Compartments_Kawecki&amp;Nowack19'!A:C,1,FALSE)=A259, "Kawecki","what?"),"Added/changed")</f>
        <v>Added/changed</v>
      </c>
      <c r="G259" s="433" t="str">
        <v>Wood stain (prof)</v>
      </c>
      <c r="H259" s="310" t="str">
        <v>Primary water treatment (macro)</v>
      </c>
      <c r="I259" s="498" t="str">
        <v>Wood stain (DIY) outdoor (in use)</v>
      </c>
      <c r="J259" t="str">
        <v>Wall paint (DIY)</v>
      </c>
    </row>
    <row r="260" spans="1:10" ht="15" thickBot="1">
      <c r="A260" s="609" t="str">
        <v>Wood stain (prof) indoor (discarded)</v>
      </c>
      <c r="B260" s="307" t="str">
        <f>IFERROR(VLOOKUP(A260,'Compartments_Kawecki&amp;Nowack19'!A:C,2,FALSE), IFERROR(VLOOKUP(A260,Compartments_Added!A:C,2,FALSE), "Not found"))</f>
        <v>Stock</v>
      </c>
      <c r="C260" s="307" t="str">
        <f>IFERROR(VLOOKUP(A260,'Compartments_Kawecki&amp;Nowack19'!A:C,3,FALSE), IFERROR(VLOOKUP(A260,Compartments_Added!A:C,3,FALSE), "Not found"))</f>
        <v>WoodStainProfInDis</v>
      </c>
      <c r="D260" s="224" t="str">
        <f>IFERROR(IF(VLOOKUP(A260,'Compartments_Kawecki&amp;Nowack19'!A:C,1,FALSE)=A260, "Kawecki","what?"),"Added/changed")</f>
        <v>Added/changed</v>
      </c>
      <c r="G260" s="433" t="str">
        <v>Wood stain (prof) indoor</v>
      </c>
      <c r="H260" s="310" t="str">
        <v>Combined sewer overflow (micro)</v>
      </c>
      <c r="I260" s="498" t="str">
        <v>Wood stain (prof)</v>
      </c>
      <c r="J260" t="str">
        <v>Wall paint (DIY) indoor</v>
      </c>
    </row>
    <row r="261" spans="1:10" ht="15" thickBot="1">
      <c r="A261" s="609" t="str">
        <v>Wood stain (prof) indoor (in use)</v>
      </c>
      <c r="B261" s="307" t="str">
        <f>IFERROR(VLOOKUP(A261,'Compartments_Kawecki&amp;Nowack19'!A:C,2,FALSE), IFERROR(VLOOKUP(A261,Compartments_Added!A:C,2,FALSE), "Not found"))</f>
        <v>Stock</v>
      </c>
      <c r="C261" s="307" t="str">
        <f>IFERROR(VLOOKUP(A261,'Compartments_Kawecki&amp;Nowack19'!A:C,3,FALSE), IFERROR(VLOOKUP(A261,Compartments_Added!A:C,3,FALSE), "Not found"))</f>
        <v>WoodStainProfInIU</v>
      </c>
      <c r="D261" s="224" t="str">
        <f>IFERROR(IF(VLOOKUP(A261,'Compartments_Kawecki&amp;Nowack19'!A:C,1,FALSE)=A261, "Kawecki","what?"),"Added/changed")</f>
        <v>Added/changed</v>
      </c>
      <c r="G261" s="433" t="str">
        <v>Wood stain (prof) indoor (discarded)</v>
      </c>
      <c r="H261" s="310" t="str">
        <v>Primary water treatment (micro)</v>
      </c>
      <c r="I261" s="498" t="str">
        <v>Wood stain (prof) indoor</v>
      </c>
      <c r="J261" t="str">
        <v>Wall paint (DIY) indoor applied</v>
      </c>
    </row>
    <row r="262" spans="1:10" ht="15" thickBot="1">
      <c r="A262" s="609" t="str">
        <v>Wood stain (prof) outdoor</v>
      </c>
      <c r="B262" s="307" t="str">
        <f>IFERROR(VLOOKUP(A262,'Compartments_Kawecki&amp;Nowack19'!A:C,2,FALSE), IFERROR(VLOOKUP(A262,Compartments_Added!A:C,2,FALSE), "Not found"))</f>
        <v>Flow</v>
      </c>
      <c r="C262" s="307" t="str">
        <f>IFERROR(VLOOKUP(A262,'Compartments_Kawecki&amp;Nowack19'!A:C,3,FALSE), IFERROR(VLOOKUP(A262,Compartments_Added!A:C,3,FALSE), "Not found"))</f>
        <v>WoodProfOut</v>
      </c>
      <c r="D262" s="224" t="str">
        <f>IFERROR(IF(VLOOKUP(A262,'Compartments_Kawecki&amp;Nowack19'!A:C,1,FALSE)=A262, "Kawecki","what?"),"Added/changed")</f>
        <v>Added/changed</v>
      </c>
      <c r="G262" s="433" t="str">
        <v>Wood stain (prof) indoor (in use)</v>
      </c>
      <c r="H262" s="433" t="str">
        <v>Wood stain (DIY) outdoor</v>
      </c>
      <c r="I262" s="430" t="str">
        <v>Wood stain (prof) indoor (discarded)</v>
      </c>
      <c r="J262" t="str">
        <v>Wall paint (DIY) indoor applied (discarded)</v>
      </c>
    </row>
    <row r="263" spans="1:10" ht="15" thickBot="1">
      <c r="A263" s="609" t="str">
        <v>Wood stain (prof) outdoor (discarded)</v>
      </c>
      <c r="B263" s="307" t="str">
        <f>IFERROR(VLOOKUP(A263,'Compartments_Kawecki&amp;Nowack19'!A:C,2,FALSE), IFERROR(VLOOKUP(A263,Compartments_Added!A:C,2,FALSE), "Not found"))</f>
        <v>Stock</v>
      </c>
      <c r="C263" s="307" t="str">
        <f>IFERROR(VLOOKUP(A263,'Compartments_Kawecki&amp;Nowack19'!A:C,3,FALSE), IFERROR(VLOOKUP(A263,Compartments_Added!A:C,3,FALSE), "Not found"))</f>
        <v>WoodStainProfOutDis</v>
      </c>
      <c r="D263" s="224" t="str">
        <f>IFERROR(IF(VLOOKUP(A263,'Compartments_Kawecki&amp;Nowack19'!A:C,1,FALSE)=A263, "Kawecki","what?"),"Added/changed")</f>
        <v>Added/changed</v>
      </c>
      <c r="G263" s="433" t="str">
        <v>Wood stain (prof) outdoor</v>
      </c>
      <c r="H263" s="433" t="str">
        <v>Wood stain (DIY) indoor</v>
      </c>
      <c r="I263" s="430" t="str">
        <v>Wood stain (prof) indoor (in use)</v>
      </c>
      <c r="J263" t="str">
        <v>Wall paint (DIY) indoor applied (in use)</v>
      </c>
    </row>
    <row r="264" spans="1:10" ht="15" thickBot="1">
      <c r="A264" s="609" t="str">
        <v>Wood stain (prof) outdoor (in use)</v>
      </c>
      <c r="B264" s="307" t="str">
        <f>IFERROR(VLOOKUP(A264,'Compartments_Kawecki&amp;Nowack19'!A:C,2,FALSE), IFERROR(VLOOKUP(A264,Compartments_Added!A:C,2,FALSE), "Not found"))</f>
        <v>Stock</v>
      </c>
      <c r="C264" s="307" t="str">
        <f>IFERROR(VLOOKUP(A264,'Compartments_Kawecki&amp;Nowack19'!A:C,3,FALSE), IFERROR(VLOOKUP(A264,Compartments_Added!A:C,3,FALSE), "Not found"))</f>
        <v>WoodStainProfOutIU</v>
      </c>
      <c r="D264" s="224" t="str">
        <f>IFERROR(IF(VLOOKUP(A264,'Compartments_Kawecki&amp;Nowack19'!A:C,1,FALSE)=A264, "Kawecki","what?"),"Added/changed")</f>
        <v>Added/changed</v>
      </c>
      <c r="G264" s="433" t="str">
        <v>Wood stain (prof) outdoor (discarded)</v>
      </c>
      <c r="H264" s="433" t="str">
        <v>Wood stain (DIY) indoor (in use)</v>
      </c>
      <c r="I264" s="430" t="str">
        <v>Wood stain (prof) outdoor</v>
      </c>
      <c r="J264" t="str">
        <v>Wall paint (DIY) indoor on brush</v>
      </c>
    </row>
    <row r="265" spans="1:10" ht="15" thickBot="1">
      <c r="A265" s="609" t="str">
        <v>Agricultural soil (macro)</v>
      </c>
      <c r="B265" s="307" t="str">
        <f>IFERROR(VLOOKUP(A265,'Compartments_Kawecki&amp;Nowack19'!A:C,2,FALSE), IFERROR(VLOOKUP(A265,Compartments_Added!A:C,2,FALSE), "Not found"))</f>
        <v>Sink</v>
      </c>
      <c r="C265" s="307" t="str">
        <f>IFERROR(VLOOKUP(A265,'Compartments_Kawecki&amp;Nowack19'!A:C,3,FALSE), IFERROR(VLOOKUP(A265,Compartments_Added!A:C,3,FALSE), "Not found"))</f>
        <v>AgriculturalSoilMacro</v>
      </c>
      <c r="D265" s="224" t="str">
        <f>IFERROR(IF(VLOOKUP(A265,'Compartments_Kawecki&amp;Nowack19'!A:C,1,FALSE)=A265, "Kawecki","what?"),"Added/changed")</f>
        <v>Kawecki</v>
      </c>
      <c r="G265" s="433" t="str">
        <v>Wood stain (prof) outdoor (in use)</v>
      </c>
      <c r="H265" s="433" t="str">
        <v>Wood stain (DIY) indoor (discarded)</v>
      </c>
      <c r="I265" s="430" t="str">
        <v>Wood stain (prof) outdoor (discarded)</v>
      </c>
      <c r="J265" t="str">
        <v>Wall paint (DIY) outdoor</v>
      </c>
    </row>
    <row r="266" spans="1:10" ht="15" thickBot="1">
      <c r="A266" s="609" t="str">
        <v>Agricultural soil (micro)</v>
      </c>
      <c r="B266" s="307" t="str">
        <f>IFERROR(VLOOKUP(A266,'Compartments_Kawecki&amp;Nowack19'!A:C,2,FALSE), IFERROR(VLOOKUP(A266,Compartments_Added!A:C,2,FALSE), "Not found"))</f>
        <v>Sink</v>
      </c>
      <c r="C266" s="307" t="str">
        <f>IFERROR(VLOOKUP(A266,'Compartments_Kawecki&amp;Nowack19'!A:C,3,FALSE), IFERROR(VLOOKUP(A266,Compartments_Added!A:C,3,FALSE), "Not found"))</f>
        <v>AgriculturalSoilMicro</v>
      </c>
      <c r="D266" s="224" t="str">
        <f>IFERROR(IF(VLOOKUP(A266,'Compartments_Kawecki&amp;Nowack19'!A:C,1,FALSE)=A266, "Kawecki","what?"),"Added/changed")</f>
        <v>Kawecki</v>
      </c>
      <c r="G266" s="433"/>
      <c r="H266" s="433" t="str">
        <v>Wood stain (DIY) outdoor (in use)</v>
      </c>
      <c r="I266" s="430" t="str">
        <v>Wood stain (prof) outdoor (in use)</v>
      </c>
      <c r="J266" t="str">
        <v>Wall paint (DIY) outdoor (discarded)</v>
      </c>
    </row>
    <row r="267" spans="1:10" ht="15" thickBot="1">
      <c r="A267" s="609" t="str">
        <v>Secondary material reuse</v>
      </c>
      <c r="B267" s="307" t="str">
        <f>IFERROR(VLOOKUP(A267,'Compartments_Kawecki&amp;Nowack19'!A:C,2,FALSE), IFERROR(VLOOKUP(A267,Compartments_Added!A:C,2,FALSE), "Not found"))</f>
        <v>Sink</v>
      </c>
      <c r="C267" s="307" t="str">
        <f>IFERROR(VLOOKUP(A267,'Compartments_Kawecki&amp;Nowack19'!A:C,3,FALSE), IFERROR(VLOOKUP(A267,Compartments_Added!A:C,3,FALSE), "Not found"))</f>
        <v>MaterialReuse</v>
      </c>
      <c r="D267" s="224" t="str">
        <f>IFERROR(IF(VLOOKUP(A267,'Compartments_Kawecki&amp;Nowack19'!A:C,1,FALSE)=A267, "Kawecki","what?"),"Added/changed")</f>
        <v>Kawecki</v>
      </c>
      <c r="G267" s="433"/>
      <c r="H267" s="433" t="str">
        <v>Wood stain (DIY) outdoor (discarded)</v>
      </c>
      <c r="I267" s="430" t="str">
        <v>Agricultural soil (macro)</v>
      </c>
      <c r="J267" t="str">
        <v>Wall paint (DIY) outdoor (in use)</v>
      </c>
    </row>
    <row r="268" spans="1:10" ht="15" thickBot="1">
      <c r="A268" s="609" t="str">
        <v>Residential soil (micro)</v>
      </c>
      <c r="B268" s="307" t="str">
        <f>IFERROR(VLOOKUP(A268,'Compartments_Kawecki&amp;Nowack19'!A:C,2,FALSE), IFERROR(VLOOKUP(A268,Compartments_Added!A:C,2,FALSE), "Not found"))</f>
        <v>Sink</v>
      </c>
      <c r="C268" s="307" t="str">
        <f>IFERROR(VLOOKUP(A268,'Compartments_Kawecki&amp;Nowack19'!A:C,3,FALSE), IFERROR(VLOOKUP(A268,Compartments_Added!A:C,3,FALSE), "Not found"))</f>
        <v>UrbanSoilMicro</v>
      </c>
      <c r="D268" s="224" t="str">
        <f>IFERROR(IF(VLOOKUP(A268,'Compartments_Kawecki&amp;Nowack19'!A:C,1,FALSE)=A268, "Kawecki","what?"),"Added/changed")</f>
        <v>Kawecki</v>
      </c>
      <c r="G268" s="433"/>
      <c r="H268" s="433" t="str">
        <v>Wood stain (prof) outdoor</v>
      </c>
      <c r="I268" s="430" t="str">
        <v>Agricultural soil (micro)</v>
      </c>
      <c r="J268" t="str">
        <v>Wall paint (prof)</v>
      </c>
    </row>
    <row r="269" spans="1:10" ht="15" thickBot="1">
      <c r="A269" s="609" t="str">
        <v>Landfill</v>
      </c>
      <c r="B269" s="307" t="str">
        <f>IFERROR(VLOOKUP(A269,'Compartments_Kawecki&amp;Nowack19'!A:C,2,FALSE), IFERROR(VLOOKUP(A269,Compartments_Added!A:C,2,FALSE), "Not found"))</f>
        <v>Sink</v>
      </c>
      <c r="C269" s="307" t="str">
        <f>IFERROR(VLOOKUP(A269,'Compartments_Kawecki&amp;Nowack19'!A:C,3,FALSE), IFERROR(VLOOKUP(A269,Compartments_Added!A:C,3,FALSE), "Not found"))</f>
        <v>Landfill</v>
      </c>
      <c r="D269" s="224" t="str">
        <f>IFERROR(IF(VLOOKUP(A269,'Compartments_Kawecki&amp;Nowack19'!A:C,1,FALSE)=A269, "Kawecki","what?"),"Added/changed")</f>
        <v>Kawecki</v>
      </c>
      <c r="G269" s="433"/>
      <c r="H269" s="433" t="str">
        <v>Wood stain (prof) indoor</v>
      </c>
      <c r="I269" s="430" t="str">
        <v>Secondary material reuse</v>
      </c>
      <c r="J269" t="str">
        <v>Wall paint (prof) indoor</v>
      </c>
    </row>
    <row r="270" spans="1:10" ht="15" thickBot="1">
      <c r="A270" s="609" t="str">
        <v>Residential soil (macro)</v>
      </c>
      <c r="B270" s="307" t="str">
        <f>IFERROR(VLOOKUP(A270,'Compartments_Kawecki&amp;Nowack19'!A:C,2,FALSE), IFERROR(VLOOKUP(A270,Compartments_Added!A:C,2,FALSE), "Not found"))</f>
        <v>Sink</v>
      </c>
      <c r="C270" s="307" t="str">
        <f>IFERROR(VLOOKUP(A270,'Compartments_Kawecki&amp;Nowack19'!A:C,3,FALSE), IFERROR(VLOOKUP(A270,Compartments_Added!A:C,3,FALSE), "Not found"))</f>
        <v>UrbanSoilMacro</v>
      </c>
      <c r="D270" s="224" t="str">
        <f>IFERROR(IF(VLOOKUP(A270,'Compartments_Kawecki&amp;Nowack19'!A:C,1,FALSE)=A270, "Kawecki","what?"),"Added/changed")</f>
        <v>Kawecki</v>
      </c>
      <c r="G270" s="433"/>
      <c r="H270" s="433" t="str">
        <v>Wood stain (prof) indoor (in use)</v>
      </c>
      <c r="I270" s="430" t="str">
        <v>Residential soil (micro)</v>
      </c>
      <c r="J270" t="str">
        <v>Wall paint (prof) indoor (discarded)</v>
      </c>
    </row>
    <row r="271" spans="1:10" ht="15" thickBot="1">
      <c r="A271" s="609" t="str">
        <v>Outdoor air (micro)</v>
      </c>
      <c r="B271" s="307" t="str">
        <f>IFERROR(VLOOKUP(A271,'Compartments_Kawecki&amp;Nowack19'!A:C,2,FALSE), IFERROR(VLOOKUP(A271,Compartments_Added!A:C,2,FALSE), "Not found"))</f>
        <v>Sink</v>
      </c>
      <c r="C271" s="307" t="str">
        <f>IFERROR(VLOOKUP(A271,'Compartments_Kawecki&amp;Nowack19'!A:C,3,FALSE), IFERROR(VLOOKUP(A271,Compartments_Added!A:C,3,FALSE), "Not found"))</f>
        <v>OutdoorAirMicro</v>
      </c>
      <c r="D271" s="224" t="str">
        <f>IFERROR(IF(VLOOKUP(A271,'Compartments_Kawecki&amp;Nowack19'!A:C,1,FALSE)=A271, "Kawecki","what?"),"Added/changed")</f>
        <v>Kawecki</v>
      </c>
      <c r="G271" s="433"/>
      <c r="H271" s="433" t="str">
        <v>Wood stain (prof) indoor (discarded)</v>
      </c>
      <c r="I271" s="430" t="str">
        <v>Landfill</v>
      </c>
      <c r="J271" t="str">
        <v>Wall paint (prof) indoor (in use)</v>
      </c>
    </row>
    <row r="272" spans="1:10" ht="15" thickBot="1">
      <c r="A272" s="609" t="str">
        <v>Textile reuse</v>
      </c>
      <c r="B272" s="307" t="str">
        <f>IFERROR(VLOOKUP(A272,'Compartments_Kawecki&amp;Nowack19'!A:C,2,FALSE), IFERROR(VLOOKUP(A272,Compartments_Added!A:C,2,FALSE), "Not found"))</f>
        <v>Sink</v>
      </c>
      <c r="C272" s="307" t="str">
        <f>IFERROR(VLOOKUP(A272,'Compartments_Kawecki&amp;Nowack19'!A:C,3,FALSE), IFERROR(VLOOKUP(A272,Compartments_Added!A:C,3,FALSE), "Not found"))</f>
        <v>TextileReuse</v>
      </c>
      <c r="D272" s="224" t="str">
        <f>IFERROR(IF(VLOOKUP(A272,'Compartments_Kawecki&amp;Nowack19'!A:C,1,FALSE)=A272, "Kawecki","what?"),"Added/changed")</f>
        <v>Kawecki</v>
      </c>
      <c r="G272" s="433"/>
      <c r="H272" s="433" t="str">
        <v>Wood stain (prof) outdoor (in use)</v>
      </c>
      <c r="I272" s="430" t="str">
        <v>Residential soil (macro)</v>
      </c>
      <c r="J272" t="str">
        <v>Wall paint (prof) outdoor</v>
      </c>
    </row>
    <row r="273" spans="1:10" ht="15" thickBot="1">
      <c r="A273" s="609" t="str">
        <v>Export</v>
      </c>
      <c r="B273" s="307" t="str">
        <f>IFERROR(VLOOKUP(A273,'Compartments_Kawecki&amp;Nowack19'!A:C,2,FALSE), IFERROR(VLOOKUP(A273,Compartments_Added!A:C,2,FALSE), "Not found"))</f>
        <v>Sink</v>
      </c>
      <c r="C273" s="307" t="str">
        <f>IFERROR(VLOOKUP(A273,'Compartments_Kawecki&amp;Nowack19'!A:C,3,FALSE), IFERROR(VLOOKUP(A273,Compartments_Added!A:C,3,FALSE), "Not found"))</f>
        <v>Export</v>
      </c>
      <c r="D273" s="224" t="str">
        <f>IFERROR(IF(VLOOKUP(A273,'Compartments_Kawecki&amp;Nowack19'!A:C,1,FALSE)=A273, "Kawecki","what?"),"Added/changed")</f>
        <v>Kawecki</v>
      </c>
      <c r="G273" s="433"/>
      <c r="H273" s="433" t="str">
        <v>Wood stain (prof) outdoor (discarded)</v>
      </c>
      <c r="I273" s="430" t="str">
        <v>Outdoor air (micro)</v>
      </c>
      <c r="J273" t="str">
        <v>Wall paint (prof) outdoor (discarded)</v>
      </c>
    </row>
    <row r="274" spans="1:10" ht="15" thickBot="1">
      <c r="A274" s="609" t="str">
        <v>Surface water (macro)</v>
      </c>
      <c r="B274" s="307" t="str">
        <f>IFERROR(VLOOKUP(A274,'Compartments_Kawecki&amp;Nowack19'!A:C,2,FALSE), IFERROR(VLOOKUP(A274,Compartments_Added!A:C,2,FALSE), "Not found"))</f>
        <v>Sink</v>
      </c>
      <c r="C274" s="307" t="str">
        <f>IFERROR(VLOOKUP(A274,'Compartments_Kawecki&amp;Nowack19'!A:C,3,FALSE), IFERROR(VLOOKUP(A274,Compartments_Added!A:C,3,FALSE), "Not found"))</f>
        <v>SurfaceWaterMacro</v>
      </c>
      <c r="D274" s="224" t="str">
        <f>IFERROR(IF(VLOOKUP(A274,'Compartments_Kawecki&amp;Nowack19'!A:C,1,FALSE)=A274, "Kawecki","what?"),"Added/changed")</f>
        <v>Kawecki</v>
      </c>
      <c r="G274" s="433"/>
      <c r="H274" s="433"/>
      <c r="I274" s="430" t="str">
        <v>Textile reuse</v>
      </c>
      <c r="J274" t="str">
        <v>Wall paint (prof) outdoor (in use)</v>
      </c>
    </row>
    <row r="275" spans="1:10" ht="15" thickBot="1">
      <c r="A275" s="609" t="str">
        <v>Surface water (micro)</v>
      </c>
      <c r="B275" s="307" t="str">
        <f>IFERROR(VLOOKUP(A275,'Compartments_Kawecki&amp;Nowack19'!A:C,2,FALSE), IFERROR(VLOOKUP(A275,Compartments_Added!A:C,2,FALSE), "Not found"))</f>
        <v>Sink</v>
      </c>
      <c r="C275" s="307" t="str">
        <f>IFERROR(VLOOKUP(A275,'Compartments_Kawecki&amp;Nowack19'!A:C,3,FALSE), IFERROR(VLOOKUP(A275,Compartments_Added!A:C,3,FALSE), "Not found"))</f>
        <v>SurfaceWaterMicro</v>
      </c>
      <c r="D275" s="224" t="str">
        <f>IFERROR(IF(VLOOKUP(A275,'Compartments_Kawecki&amp;Nowack19'!A:C,1,FALSE)=A275, "Kawecki","what?"),"Added/changed")</f>
        <v>Kawecki</v>
      </c>
      <c r="G275" s="433"/>
      <c r="H275" s="433"/>
      <c r="I275" s="430" t="str">
        <v>Export</v>
      </c>
      <c r="J275" t="str">
        <v>Wastewater (macro)</v>
      </c>
    </row>
    <row r="276" spans="1:10" ht="15" thickBot="1">
      <c r="A276" s="609" t="str">
        <v>Footwear reuse</v>
      </c>
      <c r="B276" s="307" t="str">
        <f>IFERROR(VLOOKUP(A276,'Compartments_Kawecki&amp;Nowack19'!A:C,2,FALSE), IFERROR(VLOOKUP(A276,Compartments_Added!A:C,2,FALSE), "Not found"))</f>
        <v>Sink</v>
      </c>
      <c r="C276" s="307" t="str">
        <f>IFERROR(VLOOKUP(A276,'Compartments_Kawecki&amp;Nowack19'!A:C,3,FALSE), IFERROR(VLOOKUP(A276,Compartments_Added!A:C,3,FALSE), "Not found"))</f>
        <v>FootwearReuse</v>
      </c>
      <c r="D276" s="224" t="str">
        <f>IFERROR(IF(VLOOKUP(A276,'Compartments_Kawecki&amp;Nowack19'!A:C,1,FALSE)=A276, "Kawecki","what?"),"Added/changed")</f>
        <v>Added/changed</v>
      </c>
      <c r="G276" s="433"/>
      <c r="H276" s="433"/>
      <c r="I276" s="430" t="str">
        <v>Surface water (macro)</v>
      </c>
      <c r="J276" t="str">
        <v>Wastewater (micro)</v>
      </c>
    </row>
    <row r="277" spans="1:10" ht="15" thickBot="1">
      <c r="A277" s="609" t="str">
        <v>Natural soil (micro)</v>
      </c>
      <c r="B277" s="307" t="str">
        <f>IFERROR(VLOOKUP(A277,'Compartments_Kawecki&amp;Nowack19'!A:C,2,FALSE), IFERROR(VLOOKUP(A277,Compartments_Added!A:C,2,FALSE), "Not found"))</f>
        <v>Sink</v>
      </c>
      <c r="C277" s="307" t="str">
        <f>IFERROR(VLOOKUP(A277,'Compartments_Kawecki&amp;Nowack19'!A:C,3,FALSE), IFERROR(VLOOKUP(A277,Compartments_Added!A:C,3,FALSE), "Not found"))</f>
        <v>RuralSoilMicro</v>
      </c>
      <c r="D277" s="224" t="str">
        <f>IFERROR(IF(VLOOKUP(A277,'Compartments_Kawecki&amp;Nowack19'!A:C,1,FALSE)=A277, "Kawecki","what?"),"Added/changed")</f>
        <v>Kawecki</v>
      </c>
      <c r="G277" s="433"/>
      <c r="H277" s="433"/>
      <c r="I277" s="430" t="str">
        <v>Surface water (micro)</v>
      </c>
      <c r="J277" t="str">
        <v>Wastewater treatment plant (macro)</v>
      </c>
    </row>
    <row r="278" spans="1:10" ht="15" thickBot="1">
      <c r="A278" s="609" t="str">
        <v>Sub-surface soil (micro)</v>
      </c>
      <c r="B278" s="307" t="str">
        <f>IFERROR(VLOOKUP(A278,'Compartments_Kawecki&amp;Nowack19'!A:C,2,FALSE), IFERROR(VLOOKUP(A278,Compartments_Added!A:C,2,FALSE), "Not found"))</f>
        <v>Sink</v>
      </c>
      <c r="C278" s="307" t="str">
        <f>IFERROR(VLOOKUP(A278,'Compartments_Kawecki&amp;Nowack19'!A:C,3,FALSE), IFERROR(VLOOKUP(A278,Compartments_Added!A:C,3,FALSE), "Not found"))</f>
        <v>DeepUrbanSoilMicro</v>
      </c>
      <c r="D278" s="224" t="str">
        <f>IFERROR(IF(VLOOKUP(A278,'Compartments_Kawecki&amp;Nowack19'!A:C,1,FALSE)=A278, "Kawecki","what?"),"Added/changed")</f>
        <v>Kawecki</v>
      </c>
      <c r="G278" s="433"/>
      <c r="H278" s="433"/>
      <c r="I278" s="430" t="str">
        <v>Footwear reuse</v>
      </c>
      <c r="J278" t="str">
        <v>Wastewater treatment plant (micro)</v>
      </c>
    </row>
    <row r="279" spans="1:10" ht="15" thickBot="1">
      <c r="A279" s="609" t="str">
        <v>Road side soil (micro)</v>
      </c>
      <c r="B279" s="307" t="str">
        <f>IFERROR(VLOOKUP(A279,'Compartments_Kawecki&amp;Nowack19'!A:C,2,FALSE), IFERROR(VLOOKUP(A279,Compartments_Added!A:C,2,FALSE), "Not found"))</f>
        <v>Sink</v>
      </c>
      <c r="C279" s="307" t="str">
        <f>IFERROR(VLOOKUP(A279,'Compartments_Kawecki&amp;Nowack19'!A:C,3,FALSE), IFERROR(VLOOKUP(A279,Compartments_Added!A:C,3,FALSE), "Not found"))</f>
        <v>RoadSideSoilMicro</v>
      </c>
      <c r="D279" s="224" t="str">
        <f>IFERROR(IF(VLOOKUP(A279,'Compartments_Kawecki&amp;Nowack19'!A:C,1,FALSE)=A279, "Kawecki","what?"),"Added/changed")</f>
        <v>Added/changed</v>
      </c>
      <c r="G279" s="433"/>
      <c r="H279" s="433"/>
      <c r="I279" s="430" t="str">
        <v>Natural soil (micro)</v>
      </c>
      <c r="J279" t="str">
        <v>Wet wipes</v>
      </c>
    </row>
    <row r="280" spans="1:10" ht="15" thickBot="1">
      <c r="A280" s="609" t="str">
        <v>Elimination</v>
      </c>
      <c r="B280" s="307" t="str">
        <f>IFERROR(VLOOKUP(A280,'Compartments_Kawecki&amp;Nowack19'!A:C,2,FALSE), IFERROR(VLOOKUP(A280,Compartments_Added!A:C,2,FALSE), "Not found"))</f>
        <v>Sink</v>
      </c>
      <c r="C280" s="307" t="str">
        <f>IFERROR(VLOOKUP(A280,'Compartments_Kawecki&amp;Nowack19'!A:C,3,FALSE), IFERROR(VLOOKUP(A280,Compartments_Added!A:C,3,FALSE), "Not found"))</f>
        <v>Elimination</v>
      </c>
      <c r="D280" s="224" t="str">
        <f>IFERROR(IF(VLOOKUP(A280,'Compartments_Kawecki&amp;Nowack19'!A:C,1,FALSE)=A280, "Kawecki","what?"),"Added/changed")</f>
        <v>Kawecki</v>
      </c>
      <c r="G280" s="433"/>
      <c r="H280" s="433"/>
      <c r="I280" s="430" t="str">
        <v>Sub-surface soil (micro)</v>
      </c>
      <c r="J280" t="str">
        <v>Wood stain (DIY)</v>
      </c>
    </row>
    <row r="281" spans="1:10" ht="15" thickBot="1">
      <c r="A281" s="609" t="str">
        <v>Natural soil (macro)</v>
      </c>
      <c r="B281" s="307" t="str">
        <f>IFERROR(VLOOKUP(A281,'Compartments_Kawecki&amp;Nowack19'!A:C,2,FALSE), IFERROR(VLOOKUP(A281,Compartments_Added!A:C,2,FALSE), "Not found"))</f>
        <v>Sink</v>
      </c>
      <c r="C281" s="307" t="str">
        <f>IFERROR(VLOOKUP(A281,'Compartments_Kawecki&amp;Nowack19'!A:C,3,FALSE), IFERROR(VLOOKUP(A281,Compartments_Added!A:C,3,FALSE), "Not found"))</f>
        <v>RuralSoilMacro</v>
      </c>
      <c r="D281" s="224" t="str">
        <f>IFERROR(IF(VLOOKUP(A281,'Compartments_Kawecki&amp;Nowack19'!A:C,1,FALSE)=A281, "Kawecki","what?"),"Added/changed")</f>
        <v>Kawecki</v>
      </c>
      <c r="G281" s="433"/>
      <c r="H281" s="433"/>
      <c r="I281" s="430" t="str">
        <v>Road side soil (micro)</v>
      </c>
      <c r="J281" t="str">
        <v>Wood stain (DIY) indoor</v>
      </c>
    </row>
    <row r="282" spans="1:10" ht="15" thickBot="1">
      <c r="A282" s="609" t="str">
        <v>Road side soil (macro)</v>
      </c>
      <c r="B282" s="307" t="str">
        <f>IFERROR(VLOOKUP(A282,'Compartments_Kawecki&amp;Nowack19'!A:C,2,FALSE), IFERROR(VLOOKUP(A282,Compartments_Added!A:C,2,FALSE), "Not found"))</f>
        <v>Sink</v>
      </c>
      <c r="C282" s="307" t="str">
        <f>IFERROR(VLOOKUP(A282,'Compartments_Kawecki&amp;Nowack19'!A:C,3,FALSE), IFERROR(VLOOKUP(A282,Compartments_Added!A:C,3,FALSE), "Not found"))</f>
        <v>RoadSideMacro</v>
      </c>
      <c r="D282" s="224" t="str">
        <f>IFERROR(IF(VLOOKUP(A282,'Compartments_Kawecki&amp;Nowack19'!A:C,1,FALSE)=A282, "Kawecki","what?"),"Added/changed")</f>
        <v>Kawecki</v>
      </c>
      <c r="G282" s="433"/>
      <c r="H282" s="433"/>
      <c r="I282" s="430" t="str">
        <v>Elimination</v>
      </c>
      <c r="J282" t="str">
        <v>Wood stain (DIY) indoor (discarded)</v>
      </c>
    </row>
    <row r="283" spans="1:10" ht="15" thickBot="1">
      <c r="A283" s="609" t="str">
        <v>Plastic products</v>
      </c>
      <c r="B283" s="307" t="str">
        <f>IFERROR(VLOOKUP(A283,'Compartments_Kawecki&amp;Nowack19'!A:C,2,FALSE), IFERROR(VLOOKUP(A283,Compartments_Added!A:C,2,FALSE), "Not found"))</f>
        <v>Sink</v>
      </c>
      <c r="C283" s="307" t="str">
        <f>IFERROR(VLOOKUP(A283,'Compartments_Kawecki&amp;Nowack19'!A:C,3,FALSE), IFERROR(VLOOKUP(A283,Compartments_Added!A:C,3,FALSE), "Not found"))</f>
        <v>PlasticProduct</v>
      </c>
      <c r="D283" s="224" t="str">
        <f>IFERROR(IF(VLOOKUP(A283,'Compartments_Kawecki&amp;Nowack19'!A:C,1,FALSE)=A283, "Kawecki","what?"),"Added/changed")</f>
        <v>Added/changed</v>
      </c>
      <c r="G283" s="433"/>
      <c r="H283" s="433"/>
      <c r="I283" s="430" t="str">
        <v>Natural soil (macro)</v>
      </c>
      <c r="J283" t="str">
        <v>Wood stain (DIY) indoor (in use)</v>
      </c>
    </row>
    <row r="284" spans="1:10" ht="15" thickBot="1">
      <c r="A284" s="609" t="str">
        <v>Export of primary plastics</v>
      </c>
      <c r="B284" s="307" t="str">
        <f>IFERROR(VLOOKUP(A284,'Compartments_Kawecki&amp;Nowack19'!A:C,2,FALSE), IFERROR(VLOOKUP(A284,Compartments_Added!A:C,2,FALSE), "Not found"))</f>
        <v>Sink</v>
      </c>
      <c r="C284" s="307" t="str">
        <f>IFERROR(VLOOKUP(A284,'Compartments_Kawecki&amp;Nowack19'!A:C,3,FALSE), IFERROR(VLOOKUP(A284,Compartments_Added!A:C,3,FALSE), "Not found"))</f>
        <v>ExportPrimPlastics</v>
      </c>
      <c r="D284" s="224" t="str">
        <f>IFERROR(IF(VLOOKUP(A284,'Compartments_Kawecki&amp;Nowack19'!A:C,1,FALSE)=A284, "Kawecki","what?"),"Added/changed")</f>
        <v>Added/changed</v>
      </c>
      <c r="G284" s="433"/>
      <c r="H284" s="433"/>
      <c r="I284" s="430" t="str">
        <v>Road side soil (macro)</v>
      </c>
      <c r="J284" t="str">
        <v>Wood stain (DIY) outdoor</v>
      </c>
    </row>
    <row r="285" spans="1:10" ht="15" thickBot="1">
      <c r="A285" s="609" t="str">
        <v>Sea water (micro)</v>
      </c>
      <c r="B285" s="307" t="str">
        <f>IFERROR(VLOOKUP(A285,'Compartments_Kawecki&amp;Nowack19'!A:C,2,FALSE), IFERROR(VLOOKUP(A285,Compartments_Added!A:C,2,FALSE), "Not found"))</f>
        <v>Sink</v>
      </c>
      <c r="C285" s="307" t="str">
        <f>IFERROR(VLOOKUP(A285,'Compartments_Kawecki&amp;Nowack19'!A:C,3,FALSE), IFERROR(VLOOKUP(A285,Compartments_Added!A:C,3,FALSE), "Not found"))</f>
        <v>SeaWaterMicro</v>
      </c>
      <c r="D285" s="224" t="str">
        <f>IFERROR(IF(VLOOKUP(A285,'Compartments_Kawecki&amp;Nowack19'!A:C,1,FALSE)=A285, "Kawecki","what?"),"Added/changed")</f>
        <v>Added/changed</v>
      </c>
      <c r="G285" s="433"/>
      <c r="H285" s="433"/>
      <c r="I285" s="430" t="str">
        <v>Plastic products</v>
      </c>
      <c r="J285" t="str">
        <v>Wood stain (DIY) outdoor (discarded)</v>
      </c>
    </row>
    <row r="286" spans="1:10" ht="15" thickBot="1">
      <c r="A286" s="609"/>
      <c r="B286" s="307"/>
      <c r="C286" s="307"/>
      <c r="D286" s="224"/>
      <c r="G286" s="433"/>
      <c r="H286" s="433"/>
      <c r="I286" s="430" t="str">
        <v>Export of primary plastics</v>
      </c>
      <c r="J286" t="str">
        <v>Wood stain (DIY) outdoor (in use)</v>
      </c>
    </row>
    <row r="287" spans="1:10" ht="15" thickBot="1">
      <c r="A287" s="609"/>
      <c r="B287" s="307"/>
      <c r="C287" s="307"/>
      <c r="D287" s="224"/>
      <c r="G287" s="433"/>
      <c r="H287" s="433"/>
      <c r="I287" s="430" t="str">
        <v>Sea water (micro)</v>
      </c>
      <c r="J287" t="str">
        <v>Wood stain (prof)</v>
      </c>
    </row>
    <row r="288" spans="1:10" ht="15" thickBot="1">
      <c r="A288" s="609"/>
      <c r="B288" s="307"/>
      <c r="C288" s="307"/>
      <c r="D288" s="224"/>
      <c r="G288" s="433"/>
      <c r="H288" s="433"/>
      <c r="I288" s="430">
        <v>0</v>
      </c>
      <c r="J288" t="str">
        <v>Wood stain (prof) indoor</v>
      </c>
    </row>
    <row r="289" spans="7:10" ht="15" thickBot="1">
      <c r="G289" s="433"/>
      <c r="H289" s="433"/>
      <c r="I289" s="430"/>
      <c r="J289" t="str">
        <v>Wood stain (prof) indoor (discarded)</v>
      </c>
    </row>
    <row r="290" spans="7:10" ht="15" thickBot="1">
      <c r="G290" s="433"/>
      <c r="H290" s="433"/>
      <c r="I290" s="430"/>
      <c r="J290" t="str">
        <v>Wood stain (prof) indoor (in use)</v>
      </c>
    </row>
    <row r="291" spans="7:10" ht="15" thickBot="1">
      <c r="G291" s="433"/>
      <c r="H291" s="433"/>
      <c r="I291" s="430"/>
      <c r="J291" t="str">
        <v>Wood stain (prof) outdoor</v>
      </c>
    </row>
    <row r="292" spans="7:10" ht="15" thickBot="1">
      <c r="G292" s="433"/>
      <c r="H292" s="433"/>
      <c r="I292" s="430"/>
      <c r="J292" t="str">
        <v>Wood stain (prof) outdoor (discarded)</v>
      </c>
    </row>
    <row r="293" spans="7:10" ht="15" thickBot="1">
      <c r="G293" s="433"/>
      <c r="H293" s="433"/>
      <c r="I293" s="430"/>
      <c r="J293" t="str">
        <v>Wood stain (prof) outdoor (in use)</v>
      </c>
    </row>
    <row r="294" spans="7:10" ht="15" thickBot="1">
      <c r="G294" s="433"/>
      <c r="H294" s="433"/>
      <c r="I294" s="430"/>
      <c r="J294">
        <v>0</v>
      </c>
    </row>
    <row r="295" spans="7:10" ht="15" thickBot="1">
      <c r="G295" s="433"/>
      <c r="H295" s="433"/>
      <c r="I295" s="430"/>
      <c r="J295">
        <v>0</v>
      </c>
    </row>
    <row r="296" spans="7:10" ht="15" thickBot="1">
      <c r="G296" s="433"/>
      <c r="H296" s="433"/>
      <c r="I296" s="430"/>
      <c r="J296">
        <v>0</v>
      </c>
    </row>
    <row r="297" spans="7:10" ht="15" thickBot="1">
      <c r="G297" s="433"/>
      <c r="H297" s="433"/>
      <c r="I297" s="430"/>
      <c r="J297">
        <v>0</v>
      </c>
    </row>
    <row r="298" spans="7:10" ht="15" thickBot="1">
      <c r="G298" s="433"/>
      <c r="H298" s="433"/>
      <c r="I298" s="430"/>
      <c r="J298">
        <v>0</v>
      </c>
    </row>
    <row r="299" spans="7:10" ht="15" thickBot="1">
      <c r="G299" s="433"/>
      <c r="H299" s="433"/>
      <c r="I299" s="430"/>
      <c r="J299">
        <v>0</v>
      </c>
    </row>
    <row r="300" spans="7:10" ht="15" thickBot="1">
      <c r="G300" s="433"/>
      <c r="H300" s="433"/>
      <c r="I300" s="430"/>
      <c r="J300">
        <v>0</v>
      </c>
    </row>
    <row r="301" spans="7:10" ht="15" thickBot="1">
      <c r="G301" s="433"/>
      <c r="H301" s="433"/>
      <c r="I301" s="430"/>
      <c r="J301">
        <v>0</v>
      </c>
    </row>
    <row r="302" spans="7:10" ht="15" thickBot="1">
      <c r="G302" s="433"/>
      <c r="H302" s="433"/>
      <c r="I302" s="430"/>
      <c r="J302">
        <v>0</v>
      </c>
    </row>
    <row r="303" spans="7:10" ht="15" thickBot="1">
      <c r="G303" s="433"/>
      <c r="H303" s="433"/>
      <c r="I303" s="430"/>
      <c r="J303">
        <v>0</v>
      </c>
    </row>
    <row r="304" spans="7:10" ht="15" thickBot="1">
      <c r="G304" s="433"/>
      <c r="H304" s="433"/>
      <c r="I304" s="430"/>
      <c r="J304">
        <v>0</v>
      </c>
    </row>
    <row r="305" spans="7:10" ht="15" thickBot="1">
      <c r="G305" s="433"/>
      <c r="H305" s="433"/>
      <c r="I305" s="430"/>
      <c r="J305">
        <v>0</v>
      </c>
    </row>
    <row r="306" spans="7:10" ht="15" thickBot="1">
      <c r="G306" s="433"/>
      <c r="H306" s="433"/>
      <c r="I306" s="430"/>
      <c r="J306">
        <v>0</v>
      </c>
    </row>
    <row r="307" spans="7:10" ht="15" thickBot="1">
      <c r="G307" s="433"/>
      <c r="H307" s="433"/>
      <c r="I307" s="430"/>
      <c r="J307">
        <v>0</v>
      </c>
    </row>
    <row r="308" spans="7:10" ht="15" thickBot="1">
      <c r="G308" s="433"/>
      <c r="H308" s="433"/>
      <c r="I308" s="430"/>
      <c r="J308">
        <v>0</v>
      </c>
    </row>
    <row r="309" spans="7:10" ht="15" thickBot="1">
      <c r="G309" s="433"/>
      <c r="H309" s="433"/>
      <c r="I309" s="430"/>
      <c r="J309">
        <v>0</v>
      </c>
    </row>
    <row r="310" spans="7:10" ht="15" thickBot="1">
      <c r="G310" s="433"/>
      <c r="H310" s="433"/>
      <c r="I310" s="430"/>
      <c r="J310">
        <v>0</v>
      </c>
    </row>
    <row r="311" spans="7:10" ht="15" thickBot="1">
      <c r="G311" s="433"/>
      <c r="H311" s="433"/>
      <c r="I311" s="430"/>
      <c r="J311">
        <v>0</v>
      </c>
    </row>
    <row r="312" spans="7:10" ht="15" thickBot="1">
      <c r="G312" s="433"/>
      <c r="H312" s="433"/>
      <c r="I312" s="430"/>
      <c r="J312">
        <v>0</v>
      </c>
    </row>
    <row r="313" spans="7:10" ht="15" thickBot="1">
      <c r="G313" s="433"/>
      <c r="H313" s="433"/>
      <c r="I313" s="430"/>
      <c r="J313">
        <v>0</v>
      </c>
    </row>
    <row r="314" spans="7:10" ht="15" thickBot="1">
      <c r="G314" s="433"/>
      <c r="H314" s="433"/>
      <c r="I314" s="430"/>
      <c r="J314">
        <v>0</v>
      </c>
    </row>
    <row r="315" spans="7:10" ht="15" thickBot="1">
      <c r="G315" s="433"/>
      <c r="H315" s="433"/>
      <c r="I315" s="430"/>
      <c r="J315">
        <v>0</v>
      </c>
    </row>
    <row r="316" spans="7:10" ht="15" thickBot="1">
      <c r="G316" s="433"/>
      <c r="H316" s="433"/>
      <c r="I316" s="430"/>
      <c r="J316">
        <v>0</v>
      </c>
    </row>
    <row r="317" spans="7:10" ht="15" thickBot="1">
      <c r="G317" s="433"/>
      <c r="H317" s="433"/>
      <c r="I317" s="430"/>
      <c r="J317">
        <v>0</v>
      </c>
    </row>
    <row r="318" spans="7:10" ht="15" thickBot="1">
      <c r="G318" s="433"/>
      <c r="H318" s="433"/>
      <c r="I318" s="430"/>
      <c r="J318">
        <v>0</v>
      </c>
    </row>
    <row r="319" spans="7:10" ht="15" thickBot="1">
      <c r="G319" s="433"/>
      <c r="H319" s="433"/>
      <c r="I319" s="430"/>
      <c r="J319">
        <v>0</v>
      </c>
    </row>
    <row r="320" spans="7:10" ht="15" thickBot="1">
      <c r="G320" s="433"/>
      <c r="H320" s="433"/>
      <c r="I320" s="430"/>
      <c r="J320">
        <v>0</v>
      </c>
    </row>
    <row r="321" spans="7:10" ht="15" thickBot="1">
      <c r="G321" s="433"/>
      <c r="H321" s="433"/>
      <c r="I321" s="430"/>
      <c r="J321">
        <v>0</v>
      </c>
    </row>
    <row r="322" spans="7:10" ht="15" thickBot="1">
      <c r="G322" s="433"/>
      <c r="H322" s="433"/>
      <c r="I322" s="430"/>
      <c r="J322">
        <v>0</v>
      </c>
    </row>
    <row r="323" spans="7:10" ht="15" thickBot="1">
      <c r="G323" s="433"/>
      <c r="H323" s="433"/>
      <c r="I323" s="430"/>
      <c r="J323">
        <v>0</v>
      </c>
    </row>
    <row r="324" spans="7:10" ht="15" thickBot="1">
      <c r="G324" s="433"/>
      <c r="H324" s="433"/>
      <c r="I324" s="430"/>
      <c r="J324">
        <v>0</v>
      </c>
    </row>
    <row r="325" spans="7:10" ht="15" thickBot="1">
      <c r="G325" s="433"/>
      <c r="H325" s="433"/>
      <c r="I325" s="430"/>
      <c r="J325">
        <v>0</v>
      </c>
    </row>
    <row r="326" spans="7:10" ht="15" thickBot="1">
      <c r="G326" s="433"/>
      <c r="H326" s="433"/>
      <c r="I326" s="430"/>
      <c r="J326">
        <v>0</v>
      </c>
    </row>
    <row r="327" spans="7:10" ht="15" thickBot="1">
      <c r="G327" s="433"/>
      <c r="H327" s="433"/>
      <c r="I327" s="430"/>
      <c r="J327">
        <v>0</v>
      </c>
    </row>
    <row r="328" spans="7:10" ht="15" thickBot="1">
      <c r="G328" s="433"/>
      <c r="H328" s="433"/>
      <c r="I328" s="430"/>
      <c r="J328">
        <v>0</v>
      </c>
    </row>
    <row r="329" spans="7:10" ht="15" thickBot="1">
      <c r="G329" s="433"/>
      <c r="H329" s="433"/>
      <c r="I329" s="430"/>
      <c r="J329" t="str">
        <v>Agricultural waste collection</v>
      </c>
    </row>
    <row r="330" spans="7:10" ht="15" thickBot="1">
      <c r="G330" s="433"/>
      <c r="H330" s="433"/>
      <c r="I330" s="430"/>
      <c r="J330" t="str">
        <v>Dumping</v>
      </c>
    </row>
    <row r="331" spans="7:10" ht="15" thickBot="1">
      <c r="G331" s="433"/>
      <c r="H331" s="433"/>
      <c r="I331" s="430"/>
      <c r="J331" t="str">
        <v>Agricultural soil (macro)</v>
      </c>
    </row>
    <row r="332" spans="7:10" ht="15" thickBot="1">
      <c r="G332" s="433"/>
      <c r="H332" s="433"/>
      <c r="I332" s="430"/>
      <c r="J332" t="str">
        <v>Agricultural soil (micro)</v>
      </c>
    </row>
    <row r="333" spans="7:10" ht="15" thickBot="1">
      <c r="G333" s="433"/>
      <c r="H333" s="433"/>
      <c r="I333" s="430"/>
      <c r="J333" t="str">
        <v>Collected organic waste</v>
      </c>
    </row>
    <row r="334" spans="7:10" ht="15" thickBot="1">
      <c r="G334" s="433"/>
      <c r="H334" s="433"/>
      <c r="I334" s="430"/>
      <c r="J334" t="str">
        <v>Incineration</v>
      </c>
    </row>
    <row r="335" spans="7:10" ht="15" thickBot="1">
      <c r="G335" s="433"/>
      <c r="H335" s="433"/>
      <c r="I335" s="430"/>
      <c r="J335" t="str">
        <v>Secondary material reuse</v>
      </c>
    </row>
    <row r="336" spans="7:10" ht="15" thickBot="1">
      <c r="G336" s="433"/>
      <c r="H336" s="433"/>
      <c r="I336" s="430"/>
      <c r="J336" t="str">
        <v>Residential soil (micro)</v>
      </c>
    </row>
    <row r="337" spans="7:10" ht="15" thickBot="1">
      <c r="G337" s="433"/>
      <c r="H337" s="433"/>
      <c r="I337" s="430"/>
      <c r="J337" t="str">
        <v>Landfill</v>
      </c>
    </row>
    <row r="338" spans="7:10" ht="15" thickBot="1">
      <c r="G338" s="433"/>
      <c r="H338" s="433"/>
      <c r="I338" s="430"/>
      <c r="J338" t="str">
        <v>Industrial stormwater (micro)</v>
      </c>
    </row>
    <row r="339" spans="7:10" ht="15" thickBot="1">
      <c r="G339" s="433"/>
      <c r="H339" s="433"/>
      <c r="I339" s="430"/>
      <c r="J339" t="str">
        <v>Agricultural plastic recycling</v>
      </c>
    </row>
    <row r="340" spans="7:10" ht="15" thickBot="1">
      <c r="G340" s="433"/>
      <c r="H340" s="433"/>
      <c r="I340" s="430"/>
      <c r="J340" t="str">
        <v>Residential soil (macro)</v>
      </c>
    </row>
    <row r="341" spans="7:10" ht="15" thickBot="1">
      <c r="G341" s="433"/>
      <c r="H341" s="433"/>
      <c r="I341" s="430"/>
      <c r="J341" t="str">
        <v>Agricultural greenhouse films (discarded)</v>
      </c>
    </row>
    <row r="342" spans="7:10" ht="15" thickBot="1">
      <c r="G342" s="433"/>
      <c r="H342" s="433"/>
      <c r="I342" s="430"/>
      <c r="J342" t="str">
        <v>Agricultural greenhouse films (in use)</v>
      </c>
    </row>
    <row r="343" spans="7:10" ht="15" thickBot="1">
      <c r="G343" s="433"/>
      <c r="H343" s="433"/>
      <c r="I343" s="430"/>
      <c r="J343" t="str">
        <v>Agricultural mulching films</v>
      </c>
    </row>
    <row r="344" spans="7:10" ht="15" thickBot="1">
      <c r="G344" s="433"/>
      <c r="H344" s="433"/>
      <c r="I344" s="430"/>
      <c r="J344" t="str">
        <v>Agricultural other</v>
      </c>
    </row>
    <row r="345" spans="7:10" ht="15" thickBot="1">
      <c r="G345" s="433"/>
      <c r="H345" s="433"/>
      <c r="I345" s="430"/>
      <c r="J345" t="str">
        <v>Agricultural pipes (discarded)</v>
      </c>
    </row>
    <row r="346" spans="7:10" ht="15" thickBot="1">
      <c r="G346" s="433"/>
      <c r="H346" s="433"/>
      <c r="I346" s="430"/>
      <c r="J346" t="str">
        <v>Agricultural pipes (in use)</v>
      </c>
    </row>
    <row r="347" spans="7:10" ht="15" thickBot="1">
      <c r="G347" s="433"/>
      <c r="H347" s="433"/>
      <c r="I347" s="430"/>
      <c r="J347" t="str">
        <v>Agrotextiles (discarded)</v>
      </c>
    </row>
    <row r="348" spans="7:10" ht="15" thickBot="1">
      <c r="G348" s="433"/>
      <c r="H348" s="433"/>
      <c r="I348" s="430"/>
      <c r="J348" t="str">
        <v>Agrotextiles (in use)</v>
      </c>
    </row>
    <row r="349" spans="7:10" ht="15" thickBot="1">
      <c r="G349" s="433"/>
      <c r="H349" s="433"/>
      <c r="I349" s="430"/>
      <c r="J349" t="str">
        <v>Clothing not washed (in use)</v>
      </c>
    </row>
    <row r="350" spans="7:10" ht="15" thickBot="1">
      <c r="G350" s="433"/>
      <c r="H350" s="433"/>
      <c r="I350" s="430"/>
      <c r="J350" t="str">
        <v>Clothing not washed (discarded)</v>
      </c>
    </row>
    <row r="351" spans="7:10" ht="15" thickBot="1">
      <c r="G351" s="433"/>
      <c r="H351" s="433"/>
      <c r="I351" s="430"/>
      <c r="J351" t="str">
        <v>Mixed waste collection</v>
      </c>
    </row>
    <row r="352" spans="7:10" ht="15" thickBot="1">
      <c r="G352" s="433"/>
      <c r="H352" s="433"/>
      <c r="I352" s="430"/>
      <c r="J352" t="str">
        <v>Footwear waste collection</v>
      </c>
    </row>
    <row r="353" spans="7:10" ht="15" thickBot="1">
      <c r="G353" s="433"/>
      <c r="H353" s="433"/>
      <c r="I353" s="430"/>
      <c r="J353" t="str">
        <v>Footwear wearing (soles)</v>
      </c>
    </row>
    <row r="354" spans="7:10" ht="15" thickBot="1">
      <c r="G354" s="433"/>
      <c r="H354" s="433"/>
      <c r="I354" s="430"/>
      <c r="J354" t="str">
        <v>Footwear wearing (uppers)</v>
      </c>
    </row>
    <row r="355" spans="7:10" ht="15" thickBot="1">
      <c r="G355" s="433"/>
      <c r="H355" s="433"/>
      <c r="I355" s="430"/>
      <c r="J355" t="str">
        <v>Construction and demolition incinerable waste collection</v>
      </c>
    </row>
    <row r="356" spans="7:10" ht="15" thickBot="1">
      <c r="G356" s="433"/>
      <c r="H356" s="433"/>
      <c r="I356" s="430"/>
      <c r="J356" t="str">
        <v>Litter in residential environments</v>
      </c>
    </row>
    <row r="357" spans="7:10" ht="15" thickBot="1">
      <c r="G357" s="433"/>
      <c r="H357" s="433"/>
      <c r="I357" s="430"/>
      <c r="J357" t="str">
        <v>Building textiles (discarded)</v>
      </c>
    </row>
    <row r="358" spans="7:10" ht="15" thickBot="1">
      <c r="G358" s="433"/>
      <c r="H358" s="433"/>
      <c r="I358" s="430"/>
      <c r="J358" t="str">
        <v>Building textiles (in use)</v>
      </c>
    </row>
    <row r="359" spans="7:10" ht="15" thickBot="1">
      <c r="G359" s="433"/>
      <c r="H359" s="433"/>
      <c r="I359" s="430"/>
      <c r="J359" t="str">
        <v>Mixed waste collection (micro)</v>
      </c>
    </row>
    <row r="360" spans="7:10" ht="15" thickBot="1">
      <c r="G360" s="433"/>
      <c r="H360" s="433"/>
      <c r="I360" s="430"/>
      <c r="J360" t="str">
        <v>Indoor air (micro)</v>
      </c>
    </row>
    <row r="361" spans="7:10" ht="15" thickBot="1">
      <c r="G361" s="433"/>
      <c r="H361" s="433"/>
      <c r="I361" s="430"/>
      <c r="J361" t="str">
        <v>Wastewater (micro)</v>
      </c>
    </row>
    <row r="362" spans="7:10" ht="15" thickBot="1">
      <c r="G362" s="433"/>
      <c r="H362" s="433"/>
      <c r="I362" s="430"/>
      <c r="J362" t="str">
        <v>Clothing washing</v>
      </c>
    </row>
    <row r="363" spans="7:10" ht="15" thickBot="1">
      <c r="G363" s="433"/>
      <c r="H363" s="433"/>
      <c r="I363" s="430"/>
      <c r="J363" t="str">
        <v>Apparel accessories</v>
      </c>
    </row>
    <row r="364" spans="7:10" ht="15" thickBot="1">
      <c r="G364" s="433"/>
      <c r="H364" s="433"/>
      <c r="I364" s="430"/>
      <c r="J364" t="str">
        <v>Boots</v>
      </c>
    </row>
    <row r="365" spans="7:10" ht="15" thickBot="1">
      <c r="G365" s="433"/>
      <c r="H365" s="433"/>
      <c r="I365" s="430"/>
      <c r="J365" t="str">
        <v>Closed-toed shoes</v>
      </c>
    </row>
    <row r="366" spans="7:10" ht="15" thickBot="1">
      <c r="G366" s="433"/>
      <c r="H366" s="433"/>
      <c r="I366" s="430"/>
      <c r="J366" t="str">
        <v>Dresses skirts and jumpsuits</v>
      </c>
    </row>
    <row r="367" spans="7:10" ht="15" thickBot="1">
      <c r="G367" s="433"/>
      <c r="H367" s="433"/>
      <c r="I367" s="430"/>
      <c r="J367" t="str">
        <v>Jackets and coats</v>
      </c>
    </row>
    <row r="368" spans="7:10" ht="15" thickBot="1">
      <c r="G368" s="433"/>
      <c r="H368" s="433"/>
      <c r="I368" s="430"/>
      <c r="J368" t="str">
        <v>Leggings stockings tights and socks</v>
      </c>
    </row>
    <row r="369" spans="7:10" ht="15" thickBot="1">
      <c r="G369" s="433"/>
      <c r="H369" s="433"/>
      <c r="I369" s="430"/>
      <c r="J369" t="str">
        <v>Open-toed shoes</v>
      </c>
    </row>
    <row r="370" spans="7:10" ht="15" thickBot="1">
      <c r="G370" s="433"/>
      <c r="H370" s="433"/>
      <c r="I370" s="430"/>
      <c r="J370" t="str">
        <v>Pants and shorts</v>
      </c>
    </row>
    <row r="371" spans="7:10" ht="15" thickBot="1">
      <c r="G371" s="433"/>
      <c r="H371" s="433"/>
      <c r="I371" s="430"/>
      <c r="J371" t="str">
        <v>Shirts and blouses</v>
      </c>
    </row>
    <row r="372" spans="7:10" ht="15" thickBot="1">
      <c r="G372" s="433"/>
      <c r="H372" s="433"/>
      <c r="I372" s="430"/>
      <c r="J372" t="str">
        <v>Sweaters and midlayers</v>
      </c>
    </row>
    <row r="373" spans="7:10" ht="15" thickBot="1">
      <c r="G373" s="433"/>
      <c r="H373" s="433"/>
      <c r="I373" s="430"/>
      <c r="J373" t="str">
        <v>Swimwear</v>
      </c>
    </row>
    <row r="374" spans="7:10" ht="15" thickBot="1">
      <c r="G374" s="433"/>
      <c r="H374" s="433"/>
      <c r="I374" s="430"/>
      <c r="J374" t="str">
        <v>T-shirts</v>
      </c>
    </row>
    <row r="375" spans="7:10" ht="15" thickBot="1">
      <c r="G375" s="433"/>
      <c r="H375" s="433"/>
      <c r="I375" s="430"/>
      <c r="J375" t="str">
        <v>Underwear</v>
      </c>
    </row>
    <row r="376" spans="7:10" ht="15" thickBot="1">
      <c r="G376" s="433"/>
      <c r="H376" s="433"/>
      <c r="I376" s="430"/>
      <c r="J376" t="str">
        <v>Clothing indoor drying</v>
      </c>
    </row>
    <row r="377" spans="7:10" ht="15" thickBot="1">
      <c r="G377" s="433"/>
      <c r="H377" s="433"/>
      <c r="I377" s="430"/>
      <c r="J377" t="str">
        <v>Clothing outdoor drying</v>
      </c>
    </row>
    <row r="378" spans="7:10" ht="15" thickBot="1">
      <c r="G378" s="433"/>
      <c r="H378" s="433"/>
      <c r="I378" s="430"/>
      <c r="J378" t="str">
        <v>Clothing drying VTD</v>
      </c>
    </row>
    <row r="379" spans="7:10" ht="15" thickBot="1">
      <c r="G379" s="433"/>
      <c r="H379" s="433"/>
      <c r="I379" s="430"/>
      <c r="J379" t="str">
        <v>Clothing drying CHPTD</v>
      </c>
    </row>
    <row r="380" spans="7:10" ht="15" thickBot="1">
      <c r="G380" s="433"/>
      <c r="H380" s="433"/>
      <c r="I380" s="430"/>
      <c r="J380" t="str">
        <v>Clothing drying CHETD</v>
      </c>
    </row>
    <row r="381" spans="7:10" ht="15" thickBot="1">
      <c r="G381" s="433"/>
      <c r="H381" s="433"/>
      <c r="I381" s="430"/>
      <c r="J381" t="str">
        <v>Clothing washer-dryer combo</v>
      </c>
    </row>
    <row r="382" spans="7:10" ht="15" thickBot="1">
      <c r="G382" s="433"/>
      <c r="H382" s="433"/>
      <c r="I382" s="430"/>
      <c r="J382" t="str">
        <v>Lint filter (CHETD)</v>
      </c>
    </row>
    <row r="383" spans="7:10" ht="15" thickBot="1">
      <c r="G383" s="433"/>
      <c r="H383" s="433"/>
      <c r="I383" s="430"/>
      <c r="J383" t="str">
        <v>Lint filter (CHPTD)</v>
      </c>
    </row>
    <row r="384" spans="7:10" ht="15" thickBot="1">
      <c r="G384" s="433"/>
      <c r="H384" s="433"/>
      <c r="I384" s="430"/>
      <c r="J384" t="str">
        <v>Outdoor air (micro)</v>
      </c>
    </row>
    <row r="385" spans="7:10" ht="15" thickBot="1">
      <c r="G385" s="433"/>
      <c r="H385" s="433"/>
      <c r="I385" s="430"/>
      <c r="J385" t="str">
        <v>Lint filter (VTD)</v>
      </c>
    </row>
    <row r="386" spans="7:10" ht="15" thickBot="1">
      <c r="G386" s="433"/>
      <c r="H386" s="433"/>
      <c r="I386" s="430"/>
      <c r="J386" t="str">
        <v>Indoor floors (micro)</v>
      </c>
    </row>
    <row r="387" spans="7:10" ht="15" thickBot="1">
      <c r="G387" s="433"/>
      <c r="H387" s="433"/>
      <c r="I387" s="430"/>
      <c r="J387" t="str">
        <v>Clothing waste collection</v>
      </c>
    </row>
    <row r="388" spans="7:10" ht="15" thickBot="1">
      <c r="G388" s="433"/>
      <c r="H388" s="433"/>
      <c r="I388" s="430"/>
      <c r="J388" t="str">
        <v>Clothing wearing</v>
      </c>
    </row>
    <row r="389" spans="7:10" ht="15" thickBot="1">
      <c r="G389" s="433"/>
      <c r="H389" s="433"/>
      <c r="I389" s="430"/>
      <c r="J389" t="str">
        <v>Clothing drying</v>
      </c>
    </row>
    <row r="390" spans="7:10" ht="15" thickBot="1">
      <c r="G390" s="433"/>
      <c r="H390" s="433"/>
      <c r="I390" s="430"/>
      <c r="J390" t="str">
        <v>Clothing washing machine (with external filter)</v>
      </c>
    </row>
    <row r="391" spans="7:10" ht="15" thickBot="1">
      <c r="G391" s="433"/>
      <c r="H391" s="433"/>
      <c r="I391" s="430"/>
      <c r="J391" t="str">
        <v>Clothing washing machine (without external filter)</v>
      </c>
    </row>
    <row r="392" spans="7:10" ht="15" thickBot="1">
      <c r="G392" s="433"/>
      <c r="H392" s="433"/>
      <c r="I392" s="430"/>
      <c r="J392" t="str">
        <v>Clothing washing by hand</v>
      </c>
    </row>
    <row r="393" spans="7:10" ht="15" thickBot="1">
      <c r="G393" s="433"/>
      <c r="H393" s="433"/>
      <c r="I393" s="430"/>
      <c r="J393" t="str">
        <v>Textile reuse</v>
      </c>
    </row>
    <row r="394" spans="7:10" ht="15" thickBot="1">
      <c r="G394" s="433"/>
      <c r="H394" s="433"/>
      <c r="I394" s="430"/>
      <c r="J394" t="str">
        <v>Textile recycling</v>
      </c>
    </row>
    <row r="395" spans="7:10" ht="15" thickBot="1">
      <c r="G395" s="433"/>
      <c r="H395" s="433"/>
      <c r="I395" s="430"/>
      <c r="J395" t="str">
        <v>Export</v>
      </c>
    </row>
    <row r="396" spans="7:10" ht="15" thickBot="1">
      <c r="G396" s="433"/>
      <c r="H396" s="433"/>
      <c r="I396" s="430"/>
      <c r="J396" t="str">
        <v>Collected organic waste (larger than 1 mm)</v>
      </c>
    </row>
    <row r="397" spans="7:10" ht="15" thickBot="1">
      <c r="G397" s="433"/>
      <c r="H397" s="433"/>
      <c r="I397" s="430"/>
      <c r="J397" t="str">
        <v>Collected organic waste (smaller than 1 mm)</v>
      </c>
    </row>
    <row r="398" spans="7:10" ht="15" thickBot="1">
      <c r="G398" s="433"/>
      <c r="H398" s="433"/>
      <c r="I398" s="430"/>
      <c r="J398" t="str">
        <v>Compost size separation (fictional process)</v>
      </c>
    </row>
    <row r="399" spans="7:10" ht="15" thickBot="1">
      <c r="G399" s="433"/>
      <c r="H399" s="433"/>
      <c r="I399" s="430"/>
      <c r="J399" t="str">
        <v>Compost (micro)</v>
      </c>
    </row>
    <row r="400" spans="7:10" ht="15" thickBot="1">
      <c r="G400" s="433"/>
      <c r="H400" s="433"/>
      <c r="I400" s="430"/>
      <c r="J400" t="str">
        <v>Surface water (macro)</v>
      </c>
    </row>
    <row r="401" spans="7:10" ht="15" thickBot="1">
      <c r="G401" s="433"/>
      <c r="H401" s="433"/>
      <c r="I401" s="430"/>
      <c r="J401" t="str">
        <v>Surface water (micro)</v>
      </c>
    </row>
    <row r="402" spans="7:10" ht="15" thickBot="1">
      <c r="G402" s="433"/>
      <c r="H402" s="433"/>
      <c r="I402" s="430"/>
      <c r="J402" t="str">
        <v>Compost (macro)</v>
      </c>
    </row>
    <row r="403" spans="7:10" ht="15" thickBot="1">
      <c r="G403" s="433"/>
      <c r="H403" s="433"/>
      <c r="I403" s="430"/>
      <c r="J403" t="str">
        <v>Concrete paint (prof) outdoor</v>
      </c>
    </row>
    <row r="404" spans="7:10" ht="15" thickBot="1">
      <c r="G404" s="433"/>
      <c r="H404" s="433"/>
      <c r="I404" s="430"/>
      <c r="J404" t="str">
        <v>Concrete paint (prof) indoor</v>
      </c>
    </row>
    <row r="405" spans="7:10" ht="15" thickBot="1">
      <c r="G405" s="433"/>
      <c r="H405" s="433"/>
      <c r="I405" s="430"/>
      <c r="J405" t="str">
        <v>Concrete paint (prof) indoor (in use)</v>
      </c>
    </row>
    <row r="406" spans="7:10" ht="15" thickBot="1">
      <c r="G406" s="433"/>
      <c r="H406" s="433"/>
      <c r="I406" s="430"/>
      <c r="J406" t="str">
        <v>Concrete paint (prof) indoor (discarded)</v>
      </c>
    </row>
    <row r="407" spans="7:10" ht="15" thickBot="1">
      <c r="G407" s="433"/>
      <c r="H407" s="433"/>
      <c r="I407" s="430"/>
      <c r="J407" t="str">
        <v>Concrete paint (prof) outdoor (in use)</v>
      </c>
    </row>
    <row r="408" spans="7:10" ht="15" thickBot="1">
      <c r="G408" s="433"/>
      <c r="H408" s="433"/>
      <c r="I408" s="430"/>
      <c r="J408" t="str">
        <v>Concrete paint (prof) outdoor (discarded)</v>
      </c>
    </row>
    <row r="409" spans="7:10" ht="15" thickBot="1">
      <c r="G409" s="433"/>
      <c r="H409" s="433"/>
      <c r="I409" s="430"/>
      <c r="J409" t="str">
        <v>Litter on road sides</v>
      </c>
    </row>
    <row r="410" spans="7:10" ht="15" thickBot="1">
      <c r="G410" s="433"/>
      <c r="H410" s="433"/>
      <c r="I410" s="430"/>
      <c r="J410" t="str">
        <v>On-the-go consumption</v>
      </c>
    </row>
    <row r="411" spans="7:10" ht="15" thickBot="1">
      <c r="G411" s="433"/>
      <c r="H411" s="433"/>
      <c r="I411" s="430"/>
      <c r="J411" t="str">
        <v>Packaging collection</v>
      </c>
    </row>
    <row r="412" spans="7:10" ht="15" thickBot="1">
      <c r="G412" s="433"/>
      <c r="H412" s="433"/>
      <c r="I412" s="430"/>
      <c r="J412" t="str">
        <v>Agricultural waste collection (micro)</v>
      </c>
    </row>
    <row r="413" spans="7:10" ht="15" thickBot="1">
      <c r="G413" s="433"/>
      <c r="H413" s="433"/>
      <c r="I413" s="430"/>
      <c r="J413" t="str">
        <v>Transport of primary plastics</v>
      </c>
    </row>
    <row r="414" spans="7:10" ht="15" thickBot="1">
      <c r="G414" s="433"/>
      <c r="H414" s="433"/>
      <c r="I414" s="430"/>
      <c r="J414" t="str">
        <v>Pellet losses industrial plants</v>
      </c>
    </row>
    <row r="415" spans="7:10" ht="15" thickBot="1">
      <c r="G415" s="433"/>
      <c r="H415" s="433"/>
      <c r="I415" s="430"/>
      <c r="J415" t="str">
        <v>Clothing washed (in use)</v>
      </c>
    </row>
    <row r="416" spans="7:10" ht="15" thickBot="1">
      <c r="G416" s="433"/>
      <c r="H416" s="433"/>
      <c r="I416" s="430"/>
      <c r="J416" t="str">
        <v>Clothing washed (discarded)</v>
      </c>
    </row>
    <row r="417" spans="7:10" ht="15" thickBot="1">
      <c r="G417" s="433"/>
      <c r="H417" s="433"/>
      <c r="I417" s="430"/>
      <c r="J417" t="str">
        <v>Litter in natural environments</v>
      </c>
    </row>
    <row r="418" spans="7:10" ht="15" thickBot="1">
      <c r="G418" s="433"/>
      <c r="H418" s="433"/>
      <c r="I418" s="430"/>
      <c r="J418" t="str">
        <v>Footwear reuse</v>
      </c>
    </row>
    <row r="419" spans="7:10" ht="15" thickBot="1">
      <c r="G419" s="433"/>
      <c r="H419" s="433"/>
      <c r="I419" s="430"/>
      <c r="J419" t="str">
        <v>Natural soil (micro)</v>
      </c>
    </row>
    <row r="420" spans="7:10" ht="15" thickBot="1">
      <c r="G420" s="433"/>
      <c r="H420" s="433"/>
      <c r="I420" s="430"/>
      <c r="J420" t="str">
        <v>Urban roads</v>
      </c>
    </row>
    <row r="421" spans="7:10" ht="15" thickBot="1">
      <c r="G421" s="433"/>
      <c r="H421" s="433"/>
      <c r="I421" s="430"/>
      <c r="J421" t="str">
        <v>Geotextiles (discarded)</v>
      </c>
    </row>
    <row r="422" spans="7:10" ht="15" thickBot="1">
      <c r="G422" s="433"/>
      <c r="H422" s="433"/>
      <c r="I422" s="430"/>
      <c r="J422" t="str">
        <v>Geotextiles (in use)</v>
      </c>
    </row>
    <row r="423" spans="7:10" ht="15" thickBot="1">
      <c r="G423" s="433"/>
      <c r="H423" s="433"/>
      <c r="I423" s="430"/>
      <c r="J423" t="str">
        <v>Sub-surface soil (micro)</v>
      </c>
    </row>
    <row r="424" spans="7:10" ht="15" thickBot="1">
      <c r="G424" s="433"/>
      <c r="H424" s="433"/>
      <c r="I424" s="430"/>
      <c r="J424" t="str">
        <v>Highway DAB</v>
      </c>
    </row>
    <row r="425" spans="7:10" ht="15" thickBot="1">
      <c r="G425" s="433"/>
      <c r="H425" s="433"/>
      <c r="I425" s="430"/>
      <c r="J425" t="str">
        <v>Highway ZOAB</v>
      </c>
    </row>
    <row r="426" spans="7:10" ht="15" thickBot="1">
      <c r="G426" s="433"/>
      <c r="H426" s="433"/>
      <c r="I426" s="430"/>
      <c r="J426" t="str">
        <v>Highway DAB non cleaned</v>
      </c>
    </row>
    <row r="427" spans="7:10" ht="15" thickBot="1">
      <c r="G427" s="433"/>
      <c r="H427" s="433"/>
      <c r="I427" s="430"/>
      <c r="J427" t="str">
        <v>Road cleaning</v>
      </c>
    </row>
    <row r="428" spans="7:10" ht="15" thickBot="1">
      <c r="G428" s="433"/>
      <c r="H428" s="433"/>
      <c r="I428" s="430"/>
      <c r="J428" t="str">
        <v>Road side soil (micro)</v>
      </c>
    </row>
    <row r="429" spans="7:10" ht="15" thickBot="1">
      <c r="G429" s="433"/>
      <c r="H429" s="433"/>
      <c r="I429" s="430"/>
      <c r="J429" t="str">
        <v>Highway ZOAB non cleaned</v>
      </c>
    </row>
    <row r="430" spans="7:10" ht="15" thickBot="1">
      <c r="G430" s="433"/>
      <c r="H430" s="433"/>
      <c r="I430" s="430"/>
      <c r="J430" t="str">
        <v>Home textiles (discarded)</v>
      </c>
    </row>
    <row r="431" spans="7:10" ht="15" thickBot="1">
      <c r="G431" s="433"/>
      <c r="H431" s="433"/>
      <c r="I431" s="430"/>
      <c r="J431" t="str">
        <v>Home textiles (in use)</v>
      </c>
    </row>
    <row r="432" spans="7:10" ht="15" thickBot="1">
      <c r="G432" s="433"/>
      <c r="H432" s="433"/>
      <c r="I432" s="430"/>
      <c r="J432" t="str">
        <v>Home textile waste collection</v>
      </c>
    </row>
    <row r="433" spans="7:10" ht="15" thickBot="1">
      <c r="G433" s="433"/>
      <c r="H433" s="433"/>
      <c r="I433" s="430"/>
      <c r="J433" t="str">
        <v>Disposable cleaning cloths</v>
      </c>
    </row>
    <row r="434" spans="7:10" ht="15" thickBot="1">
      <c r="G434" s="433"/>
      <c r="H434" s="433"/>
      <c r="I434" s="430"/>
      <c r="J434" t="str">
        <v>Home textiles</v>
      </c>
    </row>
    <row r="435" spans="7:10" ht="15" thickBot="1">
      <c r="G435" s="433"/>
      <c r="H435" s="433"/>
      <c r="I435" s="430"/>
      <c r="J435" t="str">
        <v>Panty liners</v>
      </c>
    </row>
    <row r="436" spans="7:10" ht="15" thickBot="1">
      <c r="G436" s="433"/>
      <c r="H436" s="433"/>
      <c r="I436" s="430"/>
      <c r="J436" t="str">
        <v>Sanitary pads</v>
      </c>
    </row>
    <row r="437" spans="7:10" ht="15" thickBot="1">
      <c r="G437" s="433"/>
      <c r="H437" s="433"/>
      <c r="I437" s="430"/>
      <c r="J437" t="str">
        <v>Tampons</v>
      </c>
    </row>
    <row r="438" spans="7:10" ht="15" thickBot="1">
      <c r="G438" s="433"/>
      <c r="H438" s="433"/>
      <c r="I438" s="430"/>
      <c r="J438" t="str">
        <v>Wet wipes</v>
      </c>
    </row>
    <row r="439" spans="7:10" ht="15" thickBot="1">
      <c r="G439" s="433"/>
      <c r="H439" s="433"/>
      <c r="I439" s="430"/>
      <c r="J439" t="str">
        <v>Clothing (product sector)</v>
      </c>
    </row>
    <row r="440" spans="7:10" ht="15" thickBot="1">
      <c r="G440" s="433"/>
      <c r="H440" s="433"/>
      <c r="I440" s="430"/>
      <c r="J440" t="str">
        <v>Manufacturing of clothing</v>
      </c>
    </row>
    <row r="441" spans="7:10" ht="15" thickBot="1">
      <c r="G441" s="433"/>
      <c r="H441" s="433"/>
      <c r="I441" s="430"/>
      <c r="J441" t="str">
        <v>Elimination</v>
      </c>
    </row>
    <row r="442" spans="7:10" ht="15" thickBot="1">
      <c r="G442" s="433"/>
      <c r="H442" s="433"/>
      <c r="I442" s="430"/>
      <c r="J442" t="str">
        <v>Wastewater treatment plant (micro)</v>
      </c>
    </row>
    <row r="443" spans="7:10" ht="15" thickBot="1">
      <c r="G443" s="433"/>
      <c r="H443" s="433"/>
      <c r="I443" s="430"/>
      <c r="J443" t="str">
        <v>Infill material sports fields (discarded)</v>
      </c>
    </row>
    <row r="444" spans="7:10" ht="15" thickBot="1">
      <c r="G444" s="433"/>
      <c r="H444" s="433"/>
      <c r="I444" s="430"/>
      <c r="J444" t="str">
        <v>Infill material sports fields (in use)</v>
      </c>
    </row>
    <row r="445" spans="7:10" ht="15" thickBot="1">
      <c r="G445" s="433"/>
      <c r="H445" s="433"/>
      <c r="I445" s="430"/>
      <c r="J445" t="str">
        <v>Controlled release fertilizer</v>
      </c>
    </row>
    <row r="446" spans="7:10" ht="15" thickBot="1">
      <c r="G446" s="433"/>
      <c r="H446" s="433"/>
      <c r="I446" s="430"/>
      <c r="J446" t="str">
        <v>Detergents and maintenance products</v>
      </c>
    </row>
    <row r="447" spans="7:10" ht="15" thickBot="1">
      <c r="G447" s="433"/>
      <c r="H447" s="433"/>
      <c r="I447" s="430"/>
      <c r="J447" t="str">
        <v>Fertilizer additives</v>
      </c>
    </row>
    <row r="448" spans="7:10" ht="15" thickBot="1">
      <c r="G448" s="433"/>
      <c r="H448" s="433"/>
      <c r="I448" s="430"/>
      <c r="J448" t="str">
        <v>Food additives</v>
      </c>
    </row>
    <row r="449" spans="7:10" ht="15" thickBot="1">
      <c r="G449" s="433"/>
      <c r="H449" s="433"/>
      <c r="I449" s="430"/>
      <c r="J449" t="str">
        <v>Infill material sports fields</v>
      </c>
    </row>
    <row r="450" spans="7:10" ht="15" thickBot="1">
      <c r="G450" s="433"/>
      <c r="H450" s="433"/>
      <c r="I450" s="430"/>
      <c r="J450" t="str">
        <v>Invitro diagnostic devices</v>
      </c>
    </row>
    <row r="451" spans="7:10" ht="15" thickBot="1">
      <c r="G451" s="433"/>
      <c r="H451" s="433"/>
      <c r="I451" s="430"/>
      <c r="J451" t="str">
        <v>Medicine diffusion limitation (slow release)</v>
      </c>
    </row>
    <row r="452" spans="7:10" ht="15" thickBot="1">
      <c r="G452" s="433"/>
      <c r="H452" s="433"/>
      <c r="I452" s="430"/>
      <c r="J452" t="str">
        <v>Offshore oil &amp; gas applications</v>
      </c>
    </row>
    <row r="453" spans="7:10" ht="15" thickBot="1">
      <c r="G453" s="433"/>
      <c r="H453" s="433"/>
      <c r="I453" s="430"/>
      <c r="J453" t="str">
        <v>PCCP</v>
      </c>
    </row>
    <row r="454" spans="7:10" ht="15" thickBot="1">
      <c r="G454" s="433"/>
      <c r="H454" s="433"/>
      <c r="I454" s="430"/>
      <c r="J454" t="str">
        <v>Plant protection products</v>
      </c>
    </row>
    <row r="455" spans="7:10" ht="15" thickBot="1">
      <c r="G455" s="433"/>
      <c r="H455" s="433"/>
      <c r="I455" s="430"/>
      <c r="J455" t="str">
        <v>Seed coating</v>
      </c>
    </row>
    <row r="456" spans="7:10" ht="15" thickBot="1">
      <c r="G456" s="433"/>
      <c r="H456" s="433"/>
      <c r="I456" s="430"/>
      <c r="J456" t="str">
        <v>Clothing rarely washed (in use)</v>
      </c>
    </row>
    <row r="457" spans="7:10" ht="15" thickBot="1">
      <c r="G457" s="433"/>
      <c r="H457" s="433"/>
      <c r="I457" s="430"/>
      <c r="J457" t="str">
        <v>Clothing rarely washed (discarded)</v>
      </c>
    </row>
    <row r="458" spans="7:10" ht="15" thickBot="1">
      <c r="G458" s="433"/>
      <c r="H458" s="433"/>
      <c r="I458" s="430"/>
      <c r="J458" t="str">
        <v>Lacquer (DIY) outdoor</v>
      </c>
    </row>
    <row r="459" spans="7:10" ht="15" thickBot="1">
      <c r="G459" s="433"/>
      <c r="H459" s="433"/>
      <c r="I459" s="430"/>
      <c r="J459" t="str">
        <v>Lacquer (DIY) indoor</v>
      </c>
    </row>
    <row r="460" spans="7:10">
      <c r="G460" s="433"/>
      <c r="H460" s="433"/>
      <c r="I460" s="430"/>
      <c r="J460" t="str">
        <v>Lacquer (DIY) indoor (in use)</v>
      </c>
    </row>
    <row r="461" spans="7:10">
      <c r="G461" s="433"/>
      <c r="H461" s="433"/>
      <c r="I461" s="227"/>
      <c r="J461" t="str">
        <v>Lacquer (DIY) indoor (discarded)</v>
      </c>
    </row>
    <row r="462" spans="7:10">
      <c r="G462" s="433"/>
      <c r="H462" s="433"/>
      <c r="I462" s="227"/>
      <c r="J462" t="str">
        <v>Lacquer (DIY) outdoor (in use)</v>
      </c>
    </row>
    <row r="463" spans="7:10">
      <c r="I463" s="68"/>
      <c r="J463" t="str">
        <v>Lacquer (DIY) outdoor (discarded)</v>
      </c>
    </row>
    <row r="464" spans="7:10" ht="15" thickBot="1">
      <c r="I464" s="72"/>
      <c r="J464" t="str">
        <v>Lacquer (prof) outdoor</v>
      </c>
    </row>
    <row r="465" spans="10:10">
      <c r="J465" t="str">
        <v>Lacquer (prof) indoor</v>
      </c>
    </row>
    <row r="466" spans="10:10">
      <c r="J466" t="str">
        <v>Lacquer (prof) indoor (in use)</v>
      </c>
    </row>
    <row r="467" spans="10:10">
      <c r="J467" t="str">
        <v>Lacquer (prof) indoor (discarded)</v>
      </c>
    </row>
    <row r="468" spans="10:10">
      <c r="J468" t="str">
        <v>Lacquer (prof) outdoor (in use)</v>
      </c>
    </row>
    <row r="469" spans="10:10">
      <c r="J469" t="str">
        <v>Lacquer (prof) outdoor (discarded)</v>
      </c>
    </row>
    <row r="470" spans="10:10">
      <c r="J470" t="str">
        <v>Clean lint filter by hand</v>
      </c>
    </row>
    <row r="471" spans="10:10">
      <c r="J471" t="str">
        <v>Clean lint filter under running water</v>
      </c>
    </row>
    <row r="472" spans="10:10">
      <c r="J472" t="str">
        <v>Natural soil (macro)</v>
      </c>
    </row>
    <row r="473" spans="10:10">
      <c r="J473" t="str">
        <v>Stormwater (macro)</v>
      </c>
    </row>
    <row r="474" spans="10:10">
      <c r="J474" t="str">
        <v>Road side soil (macro)</v>
      </c>
    </row>
    <row r="475" spans="10:10">
      <c r="J475" t="str">
        <v>ELV textiles collection</v>
      </c>
    </row>
    <row r="476" spans="10:10">
      <c r="J476" t="str">
        <v>Sludge (macro)</v>
      </c>
    </row>
    <row r="477" spans="10:10">
      <c r="J477" t="str">
        <v>Sludge (micro)</v>
      </c>
    </row>
    <row r="478" spans="10:10">
      <c r="J478" t="str">
        <v>On-the-go consumption (nature)</v>
      </c>
    </row>
    <row r="479" spans="10:10">
      <c r="J479" t="str">
        <v>On-the-go consumption (residential)</v>
      </c>
    </row>
    <row r="480" spans="10:10">
      <c r="J480" t="str">
        <v>On-the-go consumption (transport)</v>
      </c>
    </row>
    <row r="481" spans="10:10">
      <c r="J481" t="str">
        <v>Other paint uses (DIY) outdoor</v>
      </c>
    </row>
    <row r="482" spans="10:10">
      <c r="J482" t="str">
        <v>Other paint uses (DIY) indoor</v>
      </c>
    </row>
    <row r="483" spans="10:10">
      <c r="J483" t="str">
        <v>Other paint uses (DIY) indoor (in use)</v>
      </c>
    </row>
    <row r="484" spans="10:10">
      <c r="J484" t="str">
        <v>Other paint uses (DIY) indoor (discarded)</v>
      </c>
    </row>
    <row r="485" spans="10:10">
      <c r="J485" t="str">
        <v>Other paint uses (DIY) outdoor (in use)</v>
      </c>
    </row>
    <row r="486" spans="10:10">
      <c r="J486" t="str">
        <v>Other paint uses (DIY) outdoor (discarded)</v>
      </c>
    </row>
    <row r="487" spans="10:10">
      <c r="J487" t="str">
        <v>Other paint uses (prof) outdoor</v>
      </c>
    </row>
    <row r="488" spans="10:10">
      <c r="J488" t="str">
        <v>Other paint uses (prof) indoor</v>
      </c>
    </row>
    <row r="489" spans="10:10">
      <c r="J489" t="str">
        <v>Other paint uses (prof) indoor (in use)</v>
      </c>
    </row>
    <row r="490" spans="10:10">
      <c r="J490" t="str">
        <v>Other paint uses (prof) indoor (discarded)</v>
      </c>
    </row>
    <row r="491" spans="10:10">
      <c r="J491" t="str">
        <v>Other paint uses (prof) outdoor (in use)</v>
      </c>
    </row>
    <row r="492" spans="10:10">
      <c r="J492" t="str">
        <v>Other paint uses (prof) outdoor (discarded)</v>
      </c>
    </row>
    <row r="493" spans="10:10">
      <c r="J493" t="str">
        <v>Agricultural packaging bottles</v>
      </c>
    </row>
    <row r="494" spans="10:10">
      <c r="J494" t="str">
        <v>Agricultural packaging films</v>
      </c>
    </row>
    <row r="495" spans="10:10">
      <c r="J495" t="str">
        <v>Building packaging films</v>
      </c>
    </row>
    <row r="496" spans="10:10">
      <c r="J496" t="str">
        <v>Consumer bags</v>
      </c>
    </row>
    <row r="497" spans="10:10">
      <c r="J497" t="str">
        <v>Consumer bottles</v>
      </c>
    </row>
    <row r="498" spans="10:10">
      <c r="J498" t="str">
        <v>Consumer films</v>
      </c>
    </row>
    <row r="499" spans="10:10">
      <c r="J499" t="str">
        <v>Non-consumer bags</v>
      </c>
    </row>
    <row r="500" spans="10:10">
      <c r="J500" t="str">
        <v>Other consumer packaging</v>
      </c>
    </row>
    <row r="501" spans="10:10">
      <c r="J501" t="str">
        <v>Other non-consumer films</v>
      </c>
    </row>
    <row r="502" spans="10:10">
      <c r="J502" t="str">
        <v>Other non-consumer packaging</v>
      </c>
    </row>
    <row r="503" spans="10:10">
      <c r="J503" t="str">
        <v>Packaging recycling</v>
      </c>
    </row>
    <row r="504" spans="10:10">
      <c r="J504" t="str">
        <v>Concrete paint (prof)</v>
      </c>
    </row>
    <row r="505" spans="10:10">
      <c r="J505" t="str">
        <v>Lacquer (prof)</v>
      </c>
    </row>
    <row r="506" spans="10:10">
      <c r="J506" t="str">
        <v>Wood stain (prof)</v>
      </c>
    </row>
    <row r="507" spans="10:10">
      <c r="J507" t="str">
        <v>Wall paint (prof)</v>
      </c>
    </row>
    <row r="508" spans="10:10">
      <c r="J508" t="str">
        <v>Plaster (prof)</v>
      </c>
    </row>
    <row r="509" spans="10:10">
      <c r="J509" t="str">
        <v>Other paint uses (prof)</v>
      </c>
    </row>
    <row r="510" spans="10:10">
      <c r="J510" t="str">
        <v>Paints used in pre-made wooden products</v>
      </c>
    </row>
    <row r="511" spans="10:10">
      <c r="J511" t="str">
        <v>Lacquer (DIY)</v>
      </c>
    </row>
    <row r="512" spans="10:10">
      <c r="J512" t="str">
        <v>Wood stain (DIY)</v>
      </c>
    </row>
    <row r="513" spans="10:10">
      <c r="J513" t="str">
        <v>Wall paint (DIY)</v>
      </c>
    </row>
    <row r="514" spans="10:10">
      <c r="J514" t="str">
        <v>Plaster (DIY)</v>
      </c>
    </row>
    <row r="515" spans="10:10">
      <c r="J515" t="str">
        <v>Other paint uses (DIY)</v>
      </c>
    </row>
    <row r="516" spans="10:10">
      <c r="J516" t="str">
        <v>Ship paint (prof)</v>
      </c>
    </row>
    <row r="517" spans="10:10">
      <c r="J517" t="str">
        <v>Ship paint (recr)</v>
      </c>
    </row>
    <row r="518" spans="10:10">
      <c r="J518" t="str">
        <v>Paints used in pre-made wooden products outdoor</v>
      </c>
    </row>
    <row r="519" spans="10:10">
      <c r="J519" t="str">
        <v>Paints used in pre-made wooden products indoor</v>
      </c>
    </row>
    <row r="520" spans="10:10">
      <c r="J520" t="str">
        <v>Paints used in pre-made wooden products indoor (in use)</v>
      </c>
    </row>
    <row r="521" spans="10:10">
      <c r="J521" t="str">
        <v>Paints used in pre-made wooden products indoor (discarded)</v>
      </c>
    </row>
    <row r="522" spans="10:10">
      <c r="J522" t="str">
        <v>Paints used in pre-made wooden products outdoor (in use)</v>
      </c>
    </row>
    <row r="523" spans="10:10">
      <c r="J523" t="str">
        <v>Paints used in pre-made wooden products outdoor (discarded)</v>
      </c>
    </row>
    <row r="524" spans="10:10">
      <c r="J524" t="str">
        <v>Wastewater (macro)</v>
      </c>
    </row>
    <row r="525" spans="10:10">
      <c r="J525" t="str">
        <v>Plastic products</v>
      </c>
    </row>
    <row r="526" spans="10:10">
      <c r="J526" t="str">
        <v>Plaster (DIY) outdoor</v>
      </c>
    </row>
    <row r="527" spans="10:10">
      <c r="J527" t="str">
        <v>Plaster (DIY) indoor</v>
      </c>
    </row>
    <row r="528" spans="10:10">
      <c r="J528" t="str">
        <v>Plaster (DIY) indoor (in use)</v>
      </c>
    </row>
    <row r="529" spans="10:10">
      <c r="J529" t="str">
        <v>Plaster (DIY) indoor (discarded)</v>
      </c>
    </row>
    <row r="530" spans="10:10">
      <c r="J530" t="str">
        <v>Plaster (DIY) outdoor (in use)</v>
      </c>
    </row>
    <row r="531" spans="10:10">
      <c r="J531" t="str">
        <v>Plaster (DIY) outdoor (discarded)</v>
      </c>
    </row>
    <row r="532" spans="10:10">
      <c r="J532" t="str">
        <v>Plaster (prof) outdoor</v>
      </c>
    </row>
    <row r="533" spans="10:10">
      <c r="J533" t="str">
        <v>Plaster (prof) indoor</v>
      </c>
    </row>
    <row r="534" spans="10:10">
      <c r="J534" t="str">
        <v>Plaster (prof) indoor (in use)</v>
      </c>
    </row>
    <row r="535" spans="10:10">
      <c r="J535" t="str">
        <v>Plaster (prof) indoor (discarded)</v>
      </c>
    </row>
    <row r="536" spans="10:10">
      <c r="J536" t="str">
        <v>Plaster (prof) outdoor (in use)</v>
      </c>
    </row>
    <row r="537" spans="10:10">
      <c r="J537" t="str">
        <v>Plaster (prof) outdoor (discarded)</v>
      </c>
    </row>
    <row r="538" spans="10:10">
      <c r="J538" t="str">
        <v>Secondary water treatment (macro)</v>
      </c>
    </row>
    <row r="539" spans="10:10">
      <c r="J539" t="str">
        <v>Secondary water treatment (micro)</v>
      </c>
    </row>
    <row r="540" spans="10:10">
      <c r="J540" t="str">
        <v>Stormwater (micro)</v>
      </c>
    </row>
    <row r="541" spans="10:10">
      <c r="J541" t="str">
        <v>Tertiary water treatment (macro)</v>
      </c>
    </row>
    <row r="542" spans="10:10">
      <c r="J542" t="str">
        <v>Tertiary water treatment (micro)</v>
      </c>
    </row>
    <row r="543" spans="10:10">
      <c r="J543" t="str">
        <v>Ship paint (prof) (in use)</v>
      </c>
    </row>
    <row r="544" spans="10:10">
      <c r="J544" t="str">
        <v>Ship paint (prof) (discarded)</v>
      </c>
    </row>
    <row r="545" spans="10:10">
      <c r="J545" t="str">
        <v>Ship paint (recr) (in use)</v>
      </c>
    </row>
    <row r="546" spans="10:10">
      <c r="J546" t="str">
        <v>Ship paint (recr) (discarded)</v>
      </c>
    </row>
    <row r="547" spans="10:10">
      <c r="J547" t="str">
        <v>Wastewater treatment plant (macro)</v>
      </c>
    </row>
    <row r="548" spans="10:10">
      <c r="J548" t="str">
        <v>Technical home textiles (discarded)</v>
      </c>
    </row>
    <row r="549" spans="10:10">
      <c r="J549" t="str">
        <v>Technical home textiles (in use)</v>
      </c>
    </row>
    <row r="550" spans="10:10">
      <c r="J550" t="str">
        <v>Technical textile waste collection</v>
      </c>
    </row>
    <row r="551" spans="10:10">
      <c r="J551" t="str">
        <v>Agrotextiles</v>
      </c>
    </row>
    <row r="552" spans="10:10">
      <c r="J552" t="str">
        <v>Building textiles</v>
      </c>
    </row>
    <row r="553" spans="10:10">
      <c r="J553" t="str">
        <v>Geotextiles</v>
      </c>
    </row>
    <row r="554" spans="10:10">
      <c r="J554" t="str">
        <v>Medical textiles</v>
      </c>
    </row>
    <row r="555" spans="10:10">
      <c r="J555" t="str">
        <v>Mobility textiles</v>
      </c>
    </row>
    <row r="556" spans="10:10">
      <c r="J556" t="str">
        <v>Other technical textiles</v>
      </c>
    </row>
    <row r="557" spans="10:10">
      <c r="J557" t="str">
        <v>Technical home textiles</v>
      </c>
    </row>
    <row r="558" spans="10:10">
      <c r="J558" t="str">
        <v>Textile coating</v>
      </c>
    </row>
    <row r="559" spans="10:10">
      <c r="J559" t="str">
        <v>Textile coating (discarded)</v>
      </c>
    </row>
    <row r="560" spans="10:10">
      <c r="J560" t="str">
        <v>Textile coating (in use)</v>
      </c>
    </row>
    <row r="561" spans="10:10">
      <c r="J561" t="str">
        <v>Export of primary plastics</v>
      </c>
    </row>
    <row r="562" spans="10:10">
      <c r="J562" t="str">
        <v>Pellet conversion</v>
      </c>
    </row>
    <row r="563" spans="10:10">
      <c r="J563" t="str">
        <v>Pellet losses transport land</v>
      </c>
    </row>
    <row r="564" spans="10:10">
      <c r="J564" t="str">
        <v>Sea water (micro)</v>
      </c>
    </row>
    <row r="565" spans="10:10">
      <c r="J565" t="str">
        <v>Highway</v>
      </c>
    </row>
    <row r="566" spans="10:10">
      <c r="J566" t="str">
        <v>Rural roads</v>
      </c>
    </row>
    <row r="567" spans="10:10">
      <c r="J567" t="str">
        <v>Road runoff</v>
      </c>
    </row>
    <row r="568" spans="10:10">
      <c r="J568" t="str">
        <v>Wall paint (DIY) outdoor</v>
      </c>
    </row>
    <row r="569" spans="10:10">
      <c r="J569" t="str">
        <v>Wall paint (DIY) indoor</v>
      </c>
    </row>
    <row r="570" spans="10:10">
      <c r="J570" t="str">
        <v>Wall paint (DIY) indoor applied</v>
      </c>
    </row>
    <row r="571" spans="10:10">
      <c r="J571" t="str">
        <v>Wall paint (DIY) indoor on brush</v>
      </c>
    </row>
    <row r="572" spans="10:10">
      <c r="J572" t="str">
        <v>Wall paint (DIY) indoor applied (in use)</v>
      </c>
    </row>
    <row r="573" spans="10:10">
      <c r="J573" t="str">
        <v>Wall paint (DIY) indoor applied (discarded)</v>
      </c>
    </row>
    <row r="574" spans="10:10">
      <c r="J574" t="str">
        <v>Wall paint (DIY) outdoor (in use)</v>
      </c>
    </row>
    <row r="575" spans="10:10">
      <c r="J575" t="str">
        <v>Wall paint (DIY) outdoor (discarded)</v>
      </c>
    </row>
    <row r="576" spans="10:10">
      <c r="J576" t="str">
        <v>Wall paint (prof) outdoor</v>
      </c>
    </row>
    <row r="577" spans="10:10">
      <c r="J577" t="str">
        <v>Wall paint (prof) indoor</v>
      </c>
    </row>
    <row r="578" spans="10:10">
      <c r="J578" t="str">
        <v>Wall paint (prof) indoor (in use)</v>
      </c>
    </row>
    <row r="579" spans="10:10">
      <c r="J579" t="str">
        <v>Wall paint (prof) indoor (discarded)</v>
      </c>
    </row>
    <row r="580" spans="10:10">
      <c r="J580" t="str">
        <v>Wall paint (prof) outdoor (in use)</v>
      </c>
    </row>
    <row r="581" spans="10:10">
      <c r="J581" t="str">
        <v>Wall paint (prof) outdoor (discarded)</v>
      </c>
    </row>
    <row r="582" spans="10:10">
      <c r="J582" t="str">
        <v>On-site sewage facility (macro)</v>
      </c>
    </row>
    <row r="583" spans="10:10">
      <c r="J583" t="str">
        <v>On-site sewage facility (micro)</v>
      </c>
    </row>
    <row r="584" spans="10:10">
      <c r="J584" t="str">
        <v>Combined sewer overflow (macro)</v>
      </c>
    </row>
    <row r="585" spans="10:10">
      <c r="J585" t="str">
        <v>Primary water treatment (macro)</v>
      </c>
    </row>
    <row r="586" spans="10:10">
      <c r="J586" t="str">
        <v>Combined sewer overflow (micro)</v>
      </c>
    </row>
    <row r="587" spans="10:10">
      <c r="J587" t="str">
        <v>Primary water treatment (micro)</v>
      </c>
    </row>
    <row r="588" spans="10:10">
      <c r="J588" t="str">
        <v>Wood stain (DIY) outdoor</v>
      </c>
    </row>
    <row r="589" spans="10:10">
      <c r="J589" t="str">
        <v>Wood stain (DIY) indoor</v>
      </c>
    </row>
    <row r="590" spans="10:10">
      <c r="J590" t="str">
        <v>Wood stain (DIY) indoor (in use)</v>
      </c>
    </row>
    <row r="591" spans="10:10">
      <c r="J591" t="str">
        <v>Wood stain (DIY) indoor (discarded)</v>
      </c>
    </row>
    <row r="592" spans="10:10">
      <c r="J592" t="str">
        <v>Wood stain (DIY) outdoor (in use)</v>
      </c>
    </row>
    <row r="593" spans="10:10">
      <c r="J593" t="str">
        <v>Wood stain (DIY) outdoor (discarded)</v>
      </c>
    </row>
    <row r="594" spans="10:10">
      <c r="J594" t="str">
        <v>Wood stain (prof) outdoor</v>
      </c>
    </row>
    <row r="595" spans="10:10">
      <c r="J595" t="str">
        <v>Wood stain (prof) indoor</v>
      </c>
    </row>
    <row r="596" spans="10:10">
      <c r="J596" t="str">
        <v>Wood stain (prof) indoor (in use)</v>
      </c>
    </row>
    <row r="597" spans="10:10">
      <c r="J597" t="str">
        <v>Wood stain (prof) indoor (discarded)</v>
      </c>
    </row>
    <row r="598" spans="10:10">
      <c r="J598" t="str">
        <v>Wood stain (prof) outdoor (in use)</v>
      </c>
    </row>
    <row r="599" spans="10:10">
      <c r="J599" t="str">
        <v>Wood stain (prof) outdoor (discarded)</v>
      </c>
    </row>
    <row r="600" spans="10:10">
      <c r="J600">
        <v>0</v>
      </c>
    </row>
    <row r="601" spans="10:10">
      <c r="J601">
        <v>0</v>
      </c>
    </row>
    <row r="602" spans="10:10">
      <c r="J602">
        <v>0</v>
      </c>
    </row>
    <row r="603" spans="10:10">
      <c r="J603">
        <v>0</v>
      </c>
    </row>
    <row r="604" spans="10:10">
      <c r="J604">
        <v>0</v>
      </c>
    </row>
    <row r="605" spans="10:10">
      <c r="J605">
        <v>0</v>
      </c>
    </row>
    <row r="606" spans="10:10">
      <c r="J606">
        <v>0</v>
      </c>
    </row>
    <row r="607" spans="10:10">
      <c r="J607">
        <v>0</v>
      </c>
    </row>
    <row r="608" spans="10:10">
      <c r="J608">
        <v>0</v>
      </c>
    </row>
    <row r="609" spans="10:10">
      <c r="J609">
        <v>0</v>
      </c>
    </row>
    <row r="610" spans="10:10">
      <c r="J610">
        <v>0</v>
      </c>
    </row>
    <row r="611" spans="10:10">
      <c r="J611">
        <v>0</v>
      </c>
    </row>
    <row r="612" spans="10:10">
      <c r="J612">
        <v>0</v>
      </c>
    </row>
    <row r="613" spans="10:10">
      <c r="J613">
        <v>0</v>
      </c>
    </row>
    <row r="614" spans="10:10">
      <c r="J614">
        <v>0</v>
      </c>
    </row>
    <row r="615" spans="10:10">
      <c r="J615">
        <v>0</v>
      </c>
    </row>
    <row r="616" spans="10:10">
      <c r="J616">
        <v>0</v>
      </c>
    </row>
    <row r="617" spans="10:10">
      <c r="J617">
        <v>0</v>
      </c>
    </row>
    <row r="618" spans="10:10">
      <c r="J618">
        <v>0</v>
      </c>
    </row>
    <row r="619" spans="10:10">
      <c r="J619">
        <v>0</v>
      </c>
    </row>
    <row r="620" spans="10:10">
      <c r="J620">
        <v>0</v>
      </c>
    </row>
    <row r="621" spans="10:10">
      <c r="J621">
        <v>0</v>
      </c>
    </row>
    <row r="622" spans="10:10">
      <c r="J622">
        <v>0</v>
      </c>
    </row>
    <row r="623" spans="10:10">
      <c r="J623">
        <v>0</v>
      </c>
    </row>
    <row r="624" spans="10:10">
      <c r="J624">
        <v>0</v>
      </c>
    </row>
    <row r="625" spans="10:10">
      <c r="J625">
        <v>0</v>
      </c>
    </row>
    <row r="626" spans="10:10">
      <c r="J626">
        <v>0</v>
      </c>
    </row>
  </sheetData>
  <sortState xmlns:xlrd2="http://schemas.microsoft.com/office/spreadsheetml/2017/richdata2" ref="I3:I440">
    <sortCondition ref="I3:I440"/>
  </sortState>
  <mergeCells count="1">
    <mergeCell ref="G1:H1"/>
  </mergeCells>
  <conditionalFormatting sqref="B2:B288">
    <cfRule type="containsText" dxfId="25" priority="1" operator="containsText" text="stock">
      <formula>NOT(ISERROR(SEARCH("stock",B2)))</formula>
    </cfRule>
    <cfRule type="containsText" dxfId="24" priority="2" operator="containsText" text="Not found">
      <formula>NOT(ISERROR(SEARCH("Not found",B2)))</formula>
    </cfRule>
    <cfRule type="containsText" dxfId="23" priority="3" operator="containsText" text="Sink">
      <formula>NOT(ISERROR(SEARCH("Sink",B2)))</formula>
    </cfRule>
  </conditionalFormatting>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75452-2B1A-4461-B635-C388F58109C0}">
  <sheetPr>
    <tabColor rgb="FF92D050"/>
  </sheetPr>
  <dimension ref="A1:F1015"/>
  <sheetViews>
    <sheetView topLeftCell="A103" zoomScale="85" zoomScaleNormal="85" workbookViewId="0">
      <selection activeCell="E44" sqref="E44"/>
    </sheetView>
  </sheetViews>
  <sheetFormatPr defaultRowHeight="14.4"/>
  <cols>
    <col min="1" max="1" width="38.5546875" style="1" customWidth="1"/>
    <col min="2" max="2" width="20.5546875" bestFit="1" customWidth="1"/>
    <col min="3" max="3" width="55.33203125" bestFit="1" customWidth="1"/>
    <col min="4" max="4" width="32.88671875" style="6" customWidth="1"/>
    <col min="5" max="5" width="44.88671875" style="6" customWidth="1"/>
    <col min="6" max="6" width="50.6640625" style="6" customWidth="1"/>
  </cols>
  <sheetData>
    <row r="1" spans="1:6" s="4" customFormat="1" ht="30" customHeight="1" thickBot="1">
      <c r="A1" s="597" t="s">
        <v>1382</v>
      </c>
      <c r="B1" s="597" t="s">
        <v>1383</v>
      </c>
      <c r="C1" s="597" t="s">
        <v>1384</v>
      </c>
      <c r="D1" s="597" t="s">
        <v>1385</v>
      </c>
      <c r="E1" s="597"/>
      <c r="F1" s="597"/>
    </row>
    <row r="2" spans="1:6" s="16" customFormat="1" ht="30" customHeight="1" thickBot="1">
      <c r="A2" s="58" t="s">
        <v>1374</v>
      </c>
      <c r="B2" s="65" t="s">
        <v>1375</v>
      </c>
      <c r="C2" s="58" t="s">
        <v>1376</v>
      </c>
      <c r="D2" s="58" t="s">
        <v>1386</v>
      </c>
      <c r="E2" s="144" t="s">
        <v>1387</v>
      </c>
      <c r="F2" s="65" t="s">
        <v>1388</v>
      </c>
    </row>
    <row r="3" spans="1:6">
      <c r="A3" s="561" t="s">
        <v>1030</v>
      </c>
      <c r="B3" s="95" t="s">
        <v>1389</v>
      </c>
      <c r="C3" s="318" t="s">
        <v>1390</v>
      </c>
      <c r="D3" s="299" t="str">
        <f t="shared" ref="D3:D34" si="0">IF(B3=IF(COUNTIF($F$5:$F$209,C3),"Stock","Flow/Sink"),"OK",IF(B3="Stock","Compartment missing in Lifetimes_pairs",IF(IF(COUNTIF($F$5:$F$161,C3),"Stock","Flow/Sink")="Stock","Change Type of compartment to Stock","OK")))</f>
        <v>OK</v>
      </c>
      <c r="E3" s="36"/>
      <c r="F3" s="598" t="str">
        <f>Lifetimes!B1</f>
        <v>AgriculturalFilmsIU</v>
      </c>
    </row>
    <row r="4" spans="1:6">
      <c r="A4" s="562" t="s">
        <v>946</v>
      </c>
      <c r="B4" s="361" t="s">
        <v>1389</v>
      </c>
      <c r="C4" s="304" t="s">
        <v>1391</v>
      </c>
      <c r="D4" s="298" t="str">
        <f t="shared" si="0"/>
        <v>OK</v>
      </c>
      <c r="E4" s="37"/>
      <c r="F4" s="599" t="str">
        <f>Lifetimes!C1</f>
        <v>AgriculturalFilmsDis</v>
      </c>
    </row>
    <row r="5" spans="1:6">
      <c r="A5" s="562" t="s">
        <v>138</v>
      </c>
      <c r="B5" s="361" t="s">
        <v>1392</v>
      </c>
      <c r="C5" s="304" t="s">
        <v>1139</v>
      </c>
      <c r="D5" s="298" t="str">
        <f t="shared" si="0"/>
        <v>OK</v>
      </c>
      <c r="E5" s="37"/>
      <c r="F5" s="599" t="str">
        <f>Lifetimes!D1</f>
        <v>AgriculturalPackagingBottles</v>
      </c>
    </row>
    <row r="6" spans="1:6">
      <c r="A6" s="562" t="s">
        <v>142</v>
      </c>
      <c r="B6" s="361" t="s">
        <v>1392</v>
      </c>
      <c r="C6" s="304" t="s">
        <v>1142</v>
      </c>
      <c r="D6" s="298" t="str">
        <f t="shared" si="0"/>
        <v>OK</v>
      </c>
      <c r="E6" s="37"/>
      <c r="F6" s="599" t="str">
        <f>Lifetimes!E1</f>
        <v>AgriculturalPackagingFilms</v>
      </c>
    </row>
    <row r="7" spans="1:6">
      <c r="A7" s="563" t="s">
        <v>1032</v>
      </c>
      <c r="B7" s="68" t="s">
        <v>1389</v>
      </c>
      <c r="C7" s="304" t="s">
        <v>1393</v>
      </c>
      <c r="D7" s="298" t="str">
        <f t="shared" si="0"/>
        <v>OK</v>
      </c>
      <c r="E7" s="37"/>
      <c r="F7" s="599" t="str">
        <f>Lifetimes!F1</f>
        <v>AgriculturalPipesIU</v>
      </c>
    </row>
    <row r="8" spans="1:6">
      <c r="A8" s="322" t="s">
        <v>144</v>
      </c>
      <c r="B8" s="68" t="s">
        <v>1389</v>
      </c>
      <c r="C8" s="304" t="s">
        <v>1394</v>
      </c>
      <c r="D8" s="298" t="str">
        <f t="shared" si="0"/>
        <v>OK</v>
      </c>
      <c r="E8" s="37"/>
      <c r="F8" s="599" t="str">
        <f>Lifetimes!G1</f>
        <v>AgriculturalPipesDis</v>
      </c>
    </row>
    <row r="9" spans="1:6">
      <c r="A9" s="322" t="s">
        <v>146</v>
      </c>
      <c r="B9" s="68" t="s">
        <v>1395</v>
      </c>
      <c r="C9" s="304" t="s">
        <v>1396</v>
      </c>
      <c r="D9" s="298" t="str">
        <f t="shared" si="0"/>
        <v>OK</v>
      </c>
      <c r="E9" s="37"/>
      <c r="F9" s="599" t="str">
        <f>Lifetimes!H1</f>
        <v>AgriculturalPPP</v>
      </c>
    </row>
    <row r="10" spans="1:6">
      <c r="A10" s="322" t="s">
        <v>155</v>
      </c>
      <c r="B10" s="68" t="s">
        <v>1395</v>
      </c>
      <c r="C10" s="304" t="s">
        <v>1397</v>
      </c>
      <c r="D10" s="298" t="str">
        <f t="shared" si="0"/>
        <v>OK</v>
      </c>
      <c r="E10" s="37"/>
      <c r="F10" s="599" t="str">
        <f>Lifetimes!I1</f>
        <v>BuildingPackagingFilms</v>
      </c>
    </row>
    <row r="11" spans="1:6">
      <c r="A11" s="322" t="s">
        <v>165</v>
      </c>
      <c r="B11" s="68" t="s">
        <v>1389</v>
      </c>
      <c r="C11" s="304" t="s">
        <v>1398</v>
      </c>
      <c r="D11" s="298" t="str">
        <f t="shared" si="0"/>
        <v>OK</v>
      </c>
      <c r="E11" s="37"/>
      <c r="F11" s="599" t="str">
        <f>Lifetimes!J1</f>
        <v>ConsumerBags</v>
      </c>
    </row>
    <row r="12" spans="1:6">
      <c r="A12" s="322" t="s">
        <v>933</v>
      </c>
      <c r="B12" s="68" t="s">
        <v>1389</v>
      </c>
      <c r="C12" s="304" t="s">
        <v>933</v>
      </c>
      <c r="D12" s="298" t="str">
        <f t="shared" si="0"/>
        <v>OK</v>
      </c>
      <c r="E12" s="37"/>
      <c r="F12" s="599" t="str">
        <f>Lifetimes!K1</f>
        <v>ConsumerBottles</v>
      </c>
    </row>
    <row r="13" spans="1:6">
      <c r="A13" s="322" t="s">
        <v>152</v>
      </c>
      <c r="B13" s="68" t="s">
        <v>1389</v>
      </c>
      <c r="C13" s="304" t="s">
        <v>152</v>
      </c>
      <c r="D13" s="298" t="str">
        <f t="shared" si="0"/>
        <v>OK</v>
      </c>
      <c r="E13" s="37"/>
      <c r="F13" s="599" t="str">
        <f>Lifetimes!L1</f>
        <v>ConsumerFilms</v>
      </c>
    </row>
    <row r="14" spans="1:6">
      <c r="A14" s="322" t="s">
        <v>1153</v>
      </c>
      <c r="B14" s="68" t="s">
        <v>1389</v>
      </c>
      <c r="C14" s="304" t="s">
        <v>1399</v>
      </c>
      <c r="D14" s="298" t="str">
        <f t="shared" si="0"/>
        <v>OK</v>
      </c>
      <c r="E14" s="37"/>
      <c r="F14" s="599" t="str">
        <f>Lifetimes!M1</f>
        <v>ConsumerOther</v>
      </c>
    </row>
    <row r="15" spans="1:6">
      <c r="A15" s="322" t="s">
        <v>1400</v>
      </c>
      <c r="B15" s="68" t="s">
        <v>1389</v>
      </c>
      <c r="C15" s="304" t="s">
        <v>1400</v>
      </c>
      <c r="D15" s="298" t="str">
        <f t="shared" si="0"/>
        <v>OK</v>
      </c>
      <c r="E15" s="37"/>
      <c r="F15" s="599" t="str">
        <f>Lifetimes!N1</f>
        <v>Cosmetics</v>
      </c>
    </row>
    <row r="16" spans="1:6">
      <c r="A16" s="322" t="s">
        <v>1401</v>
      </c>
      <c r="B16" s="68" t="s">
        <v>1389</v>
      </c>
      <c r="C16" s="304" t="s">
        <v>1402</v>
      </c>
      <c r="D16" s="298" t="str">
        <f t="shared" si="0"/>
        <v>OK</v>
      </c>
      <c r="E16" s="37"/>
      <c r="F16" s="599" t="str">
        <f>Lifetimes!O1</f>
        <v>Household</v>
      </c>
    </row>
    <row r="17" spans="1:6">
      <c r="A17" s="322" t="s">
        <v>1152</v>
      </c>
      <c r="B17" s="68" t="s">
        <v>1389</v>
      </c>
      <c r="C17" s="304" t="s">
        <v>1403</v>
      </c>
      <c r="D17" s="298" t="str">
        <f t="shared" si="0"/>
        <v>OK</v>
      </c>
      <c r="E17" s="37"/>
      <c r="F17" s="599" t="str">
        <f>Lifetimes!P1</f>
        <v>NonConsumerBags</v>
      </c>
    </row>
    <row r="18" spans="1:6">
      <c r="A18" s="322" t="s">
        <v>1404</v>
      </c>
      <c r="B18" s="68" t="s">
        <v>1395</v>
      </c>
      <c r="C18" s="304" t="s">
        <v>1405</v>
      </c>
      <c r="D18" s="298" t="str">
        <f t="shared" si="0"/>
        <v>OK</v>
      </c>
      <c r="E18" s="37"/>
      <c r="F18" s="599" t="str">
        <f>Lifetimes!Q1</f>
        <v>NonConsumerOther</v>
      </c>
    </row>
    <row r="19" spans="1:6">
      <c r="A19" s="322" t="s">
        <v>1406</v>
      </c>
      <c r="B19" s="68" t="s">
        <v>1389</v>
      </c>
      <c r="C19" s="304" t="s">
        <v>1407</v>
      </c>
      <c r="D19" s="298" t="str">
        <f t="shared" si="0"/>
        <v>OK</v>
      </c>
      <c r="E19" s="37"/>
      <c r="F19" s="599" t="str">
        <f>Lifetimes!R1</f>
        <v>OtherNonConsumerFilms</v>
      </c>
    </row>
    <row r="20" spans="1:6">
      <c r="A20" s="322" t="s">
        <v>183</v>
      </c>
      <c r="B20" s="68" t="s">
        <v>1389</v>
      </c>
      <c r="C20" s="304" t="s">
        <v>1143</v>
      </c>
      <c r="D20" s="298" t="str">
        <f t="shared" si="0"/>
        <v>Change Type of compartment to Stock</v>
      </c>
      <c r="E20" s="37" t="s">
        <v>1408</v>
      </c>
      <c r="F20" s="599" t="str">
        <f>Lifetimes!S1</f>
        <v>OtherOther</v>
      </c>
    </row>
    <row r="21" spans="1:6">
      <c r="A21" s="322" t="s">
        <v>170</v>
      </c>
      <c r="B21" s="68" t="s">
        <v>1389</v>
      </c>
      <c r="C21" s="304" t="s">
        <v>1409</v>
      </c>
      <c r="D21" s="298" t="str">
        <f t="shared" si="0"/>
        <v>OK</v>
      </c>
      <c r="E21" s="37"/>
      <c r="F21" s="599" t="str">
        <f>Lifetimes!T1</f>
        <v>PipesDucts</v>
      </c>
    </row>
    <row r="22" spans="1:6">
      <c r="A22" s="322" t="s">
        <v>1410</v>
      </c>
      <c r="B22" s="68" t="s">
        <v>1389</v>
      </c>
      <c r="C22" s="304" t="s">
        <v>1411</v>
      </c>
      <c r="D22" s="298" t="str">
        <f t="shared" si="0"/>
        <v>OK</v>
      </c>
      <c r="E22" s="37"/>
      <c r="F22" s="599" t="str">
        <f>Lifetimes!U1</f>
        <v>OtherOilGas</v>
      </c>
    </row>
    <row r="23" spans="1:6">
      <c r="A23" s="322" t="s">
        <v>108</v>
      </c>
      <c r="B23" s="68" t="s">
        <v>1389</v>
      </c>
      <c r="C23" s="564" t="s">
        <v>1412</v>
      </c>
      <c r="D23" s="298" t="str">
        <f t="shared" si="0"/>
        <v>OK</v>
      </c>
      <c r="E23" s="37"/>
      <c r="F23" s="599" t="str">
        <f>Lifetimes!V1</f>
        <v>InfillSportsFieldDis</v>
      </c>
    </row>
    <row r="24" spans="1:6">
      <c r="A24" s="322" t="s">
        <v>1413</v>
      </c>
      <c r="B24" s="68" t="s">
        <v>1389</v>
      </c>
      <c r="C24" s="304" t="s">
        <v>1414</v>
      </c>
      <c r="D24" s="298" t="str">
        <f t="shared" si="0"/>
        <v>OK</v>
      </c>
      <c r="E24" s="37"/>
      <c r="F24" s="599" t="str">
        <f>Lifetimes!W1</f>
        <v>InfillSportsFieldU</v>
      </c>
    </row>
    <row r="25" spans="1:6">
      <c r="A25" s="322" t="s">
        <v>1415</v>
      </c>
      <c r="B25" s="68" t="s">
        <v>1389</v>
      </c>
      <c r="C25" s="304" t="s">
        <v>1416</v>
      </c>
      <c r="D25" s="298" t="str">
        <f t="shared" si="0"/>
        <v>OK</v>
      </c>
      <c r="E25" s="37"/>
      <c r="F25" s="599" t="str">
        <f>Lifetimes!AE1</f>
        <v>ClothingDis</v>
      </c>
    </row>
    <row r="26" spans="1:6">
      <c r="A26" s="322" t="s">
        <v>1417</v>
      </c>
      <c r="B26" s="68" t="s">
        <v>1389</v>
      </c>
      <c r="C26" s="304" t="s">
        <v>1418</v>
      </c>
      <c r="D26" s="298" t="str">
        <f t="shared" si="0"/>
        <v>OK</v>
      </c>
      <c r="E26" s="37"/>
      <c r="F26" s="599" t="str">
        <f>Lifetimes!AF1</f>
        <v>ClothingIUWearTear</v>
      </c>
    </row>
    <row r="27" spans="1:6">
      <c r="A27" s="322" t="s">
        <v>149</v>
      </c>
      <c r="B27" s="68" t="s">
        <v>1389</v>
      </c>
      <c r="C27" s="304" t="s">
        <v>1419</v>
      </c>
      <c r="D27" s="298" t="str">
        <f t="shared" si="0"/>
        <v>OK</v>
      </c>
      <c r="E27" s="37"/>
      <c r="F27" s="599" t="str">
        <f>Lifetimes!AG1</f>
        <v>ClothingIUWashDry</v>
      </c>
    </row>
    <row r="28" spans="1:6">
      <c r="A28" s="322" t="s">
        <v>154</v>
      </c>
      <c r="B28" s="68" t="s">
        <v>1389</v>
      </c>
      <c r="C28" s="304" t="s">
        <v>1420</v>
      </c>
      <c r="D28" s="298" t="str">
        <f t="shared" si="0"/>
        <v>OK</v>
      </c>
      <c r="E28" s="37"/>
      <c r="F28" s="599" t="str">
        <f>Lifetimes!AH1</f>
        <v>HomeTextilesDis</v>
      </c>
    </row>
    <row r="29" spans="1:6">
      <c r="A29" s="322" t="s">
        <v>1421</v>
      </c>
      <c r="B29" s="68" t="s">
        <v>1389</v>
      </c>
      <c r="C29" s="304" t="s">
        <v>1422</v>
      </c>
      <c r="D29" s="298" t="str">
        <f t="shared" si="0"/>
        <v>OK</v>
      </c>
      <c r="E29" s="37"/>
      <c r="F29" s="599" t="str">
        <f>Lifetimes!AI1</f>
        <v>HomeTextilesIU</v>
      </c>
    </row>
    <row r="30" spans="1:6">
      <c r="A30" s="322" t="s">
        <v>1423</v>
      </c>
      <c r="B30" s="68" t="s">
        <v>1389</v>
      </c>
      <c r="C30" s="304" t="s">
        <v>1424</v>
      </c>
      <c r="D30" s="298" t="str">
        <f t="shared" si="0"/>
        <v>OK</v>
      </c>
      <c r="E30" s="37"/>
      <c r="F30" s="599" t="str">
        <f>Lifetimes!AJ1</f>
        <v>TechHomeTextilesDis</v>
      </c>
    </row>
    <row r="31" spans="1:6">
      <c r="A31" s="322" t="s">
        <v>218</v>
      </c>
      <c r="B31" s="68" t="s">
        <v>1389</v>
      </c>
      <c r="C31" s="304" t="s">
        <v>1425</v>
      </c>
      <c r="D31" s="298" t="str">
        <f t="shared" si="0"/>
        <v>OK</v>
      </c>
      <c r="E31" s="37"/>
      <c r="F31" s="599" t="str">
        <f>Lifetimes!AK1</f>
        <v>TechHomeTextilesIU</v>
      </c>
    </row>
    <row r="32" spans="1:6">
      <c r="A32" s="322" t="s">
        <v>175</v>
      </c>
      <c r="B32" s="68" t="s">
        <v>1389</v>
      </c>
      <c r="C32" s="304" t="s">
        <v>1426</v>
      </c>
      <c r="D32" s="298" t="str">
        <f t="shared" si="0"/>
        <v>OK</v>
      </c>
      <c r="E32" s="37"/>
      <c r="F32" s="599" t="str">
        <f>Lifetimes!AL1</f>
        <v>MedicalTextiles</v>
      </c>
    </row>
    <row r="33" spans="1:6">
      <c r="A33" s="322" t="s">
        <v>1150</v>
      </c>
      <c r="B33" s="68" t="s">
        <v>1389</v>
      </c>
      <c r="C33" s="304" t="s">
        <v>1427</v>
      </c>
      <c r="D33" s="298" t="str">
        <f t="shared" si="0"/>
        <v>OK</v>
      </c>
      <c r="E33" s="37"/>
      <c r="F33" s="599" t="str">
        <f>Lifetimes!AM1</f>
        <v>AgrotextilesDis</v>
      </c>
    </row>
    <row r="34" spans="1:6">
      <c r="A34" s="322" t="s">
        <v>1428</v>
      </c>
      <c r="B34" s="68" t="s">
        <v>1389</v>
      </c>
      <c r="C34" s="304" t="s">
        <v>1429</v>
      </c>
      <c r="D34" s="298" t="str">
        <f t="shared" si="0"/>
        <v>OK</v>
      </c>
      <c r="E34" s="37"/>
      <c r="F34" s="599" t="str">
        <f>Lifetimes!AN1</f>
        <v>AgrotextilesIU</v>
      </c>
    </row>
    <row r="35" spans="1:6">
      <c r="A35" s="322" t="s">
        <v>1430</v>
      </c>
      <c r="B35" s="68" t="s">
        <v>1389</v>
      </c>
      <c r="C35" s="304" t="s">
        <v>1237</v>
      </c>
      <c r="D35" s="298" t="str">
        <f t="shared" ref="D35:D66" si="1">IF(B35=IF(COUNTIF($F$5:$F$209,C35),"Stock","Flow/Sink"),"OK",IF(B35="Stock","Compartment missing in Lifetimes_pairs",IF(IF(COUNTIF($F$5:$F$161,C35),"Stock","Flow/Sink")="Stock","Change Type of compartment to Stock","OK")))</f>
        <v>Change Type of compartment to Stock</v>
      </c>
      <c r="E35" s="37" t="s">
        <v>1408</v>
      </c>
      <c r="F35" s="599" t="str">
        <f>Lifetimes!AO1</f>
        <v>MobilityTextiles</v>
      </c>
    </row>
    <row r="36" spans="1:6">
      <c r="A36" s="322" t="s">
        <v>200</v>
      </c>
      <c r="B36" s="68" t="s">
        <v>1392</v>
      </c>
      <c r="C36" s="304" t="s">
        <v>1144</v>
      </c>
      <c r="D36" s="298" t="str">
        <f t="shared" si="1"/>
        <v>OK</v>
      </c>
      <c r="E36" s="576" t="s">
        <v>1431</v>
      </c>
      <c r="F36" s="599" t="str">
        <f>Lifetimes!AP1</f>
        <v>GeotextilesDis</v>
      </c>
    </row>
    <row r="37" spans="1:6">
      <c r="A37" s="322" t="s">
        <v>201</v>
      </c>
      <c r="B37" s="68" t="s">
        <v>1392</v>
      </c>
      <c r="C37" s="304" t="s">
        <v>1234</v>
      </c>
      <c r="D37" s="298" t="str">
        <f t="shared" si="1"/>
        <v>OK</v>
      </c>
      <c r="E37" s="576" t="s">
        <v>1431</v>
      </c>
      <c r="F37" s="599" t="str">
        <f>Lifetimes!AQ1</f>
        <v>GeotextilesIU</v>
      </c>
    </row>
    <row r="38" spans="1:6">
      <c r="A38" s="322" t="s">
        <v>202</v>
      </c>
      <c r="B38" s="68" t="s">
        <v>1392</v>
      </c>
      <c r="C38" s="304" t="s">
        <v>1145</v>
      </c>
      <c r="D38" s="298" t="str">
        <f t="shared" si="1"/>
        <v>OK</v>
      </c>
      <c r="E38" s="576" t="s">
        <v>1431</v>
      </c>
      <c r="F38" s="599" t="str">
        <f>Lifetimes!AR1</f>
        <v>BuildingTextilesDis</v>
      </c>
    </row>
    <row r="39" spans="1:6">
      <c r="A39" s="322" t="s">
        <v>1432</v>
      </c>
      <c r="B39" s="68" t="s">
        <v>1389</v>
      </c>
      <c r="C39" s="304" t="s">
        <v>1433</v>
      </c>
      <c r="D39" s="298" t="str">
        <f t="shared" si="1"/>
        <v>OK</v>
      </c>
      <c r="E39" s="37"/>
      <c r="F39" s="599" t="str">
        <f>Lifetimes!AS1</f>
        <v>BuildingTextilesIU</v>
      </c>
    </row>
    <row r="40" spans="1:6">
      <c r="A40" s="322" t="s">
        <v>1434</v>
      </c>
      <c r="B40" s="68" t="s">
        <v>1389</v>
      </c>
      <c r="C40" s="304" t="s">
        <v>1435</v>
      </c>
      <c r="D40" s="298" t="str">
        <f t="shared" si="1"/>
        <v>OK</v>
      </c>
      <c r="E40" s="37"/>
      <c r="F40" s="599" t="str">
        <f>Lifetimes!AT1</f>
        <v>OtherTechnicalTextiles</v>
      </c>
    </row>
    <row r="41" spans="1:6">
      <c r="A41" s="322" t="s">
        <v>1436</v>
      </c>
      <c r="B41" s="68" t="s">
        <v>1389</v>
      </c>
      <c r="C41" s="304" t="s">
        <v>1436</v>
      </c>
      <c r="D41" s="298" t="str">
        <f t="shared" si="1"/>
        <v>OK</v>
      </c>
      <c r="E41" s="37"/>
      <c r="F41" s="599" t="str">
        <f>Lifetimes!AU1</f>
        <v>TextileCoatingDis</v>
      </c>
    </row>
    <row r="42" spans="1:6">
      <c r="A42" s="322" t="s">
        <v>234</v>
      </c>
      <c r="B42" s="68" t="s">
        <v>1389</v>
      </c>
      <c r="C42" s="304" t="s">
        <v>1437</v>
      </c>
      <c r="D42" s="298" t="str">
        <f t="shared" si="1"/>
        <v>OK</v>
      </c>
      <c r="E42" s="37"/>
      <c r="F42" s="599" t="str">
        <f>Lifetimes!AV1</f>
        <v>TextileCoatingIU</v>
      </c>
    </row>
    <row r="43" spans="1:6">
      <c r="A43" s="322" t="s">
        <v>204</v>
      </c>
      <c r="B43" s="68" t="s">
        <v>1389</v>
      </c>
      <c r="C43" s="304" t="s">
        <v>204</v>
      </c>
      <c r="D43" s="298" t="str">
        <f t="shared" si="1"/>
        <v>OK</v>
      </c>
      <c r="E43" s="37"/>
      <c r="F43" s="599" t="str">
        <f>Lifetimes!AW1</f>
        <v>ConcreteProfInDis</v>
      </c>
    </row>
    <row r="44" spans="1:6">
      <c r="A44" s="322" t="s">
        <v>1438</v>
      </c>
      <c r="B44" s="68" t="s">
        <v>1389</v>
      </c>
      <c r="C44" s="304" t="s">
        <v>1438</v>
      </c>
      <c r="D44" s="298" t="str">
        <f t="shared" si="1"/>
        <v>OK</v>
      </c>
      <c r="E44" s="37"/>
      <c r="F44" s="599" t="str">
        <f>Lifetimes!AX1</f>
        <v>ConcreteProfInIU</v>
      </c>
    </row>
    <row r="45" spans="1:6">
      <c r="A45" s="322" t="s">
        <v>1439</v>
      </c>
      <c r="B45" s="68" t="s">
        <v>1389</v>
      </c>
      <c r="C45" s="304" t="s">
        <v>1440</v>
      </c>
      <c r="D45" s="298" t="str">
        <f t="shared" si="1"/>
        <v>OK</v>
      </c>
      <c r="E45" s="37"/>
      <c r="F45" s="599" t="str">
        <f>Lifetimes!AY1</f>
        <v>ConcreteProfOutDis</v>
      </c>
    </row>
    <row r="46" spans="1:6">
      <c r="A46" s="322" t="s">
        <v>243</v>
      </c>
      <c r="B46" s="68" t="s">
        <v>1395</v>
      </c>
      <c r="C46" s="304" t="s">
        <v>243</v>
      </c>
      <c r="D46" s="298" t="str">
        <f t="shared" si="1"/>
        <v>OK</v>
      </c>
      <c r="E46" s="37"/>
      <c r="F46" s="599" t="str">
        <f>Lifetimes!AZ1</f>
        <v>ConcreteProfOutIU</v>
      </c>
    </row>
    <row r="47" spans="1:6">
      <c r="A47" s="322" t="s">
        <v>1441</v>
      </c>
      <c r="B47" s="68" t="s">
        <v>1389</v>
      </c>
      <c r="C47" s="304" t="s">
        <v>1442</v>
      </c>
      <c r="D47" s="298" t="str">
        <f t="shared" si="1"/>
        <v>OK</v>
      </c>
      <c r="E47" s="37"/>
      <c r="F47" s="599" t="str">
        <f>Lifetimes!BA1</f>
        <v>LacquerDiyInDis</v>
      </c>
    </row>
    <row r="48" spans="1:6">
      <c r="A48" s="322" t="s">
        <v>178</v>
      </c>
      <c r="B48" s="68" t="s">
        <v>1389</v>
      </c>
      <c r="C48" s="304" t="s">
        <v>1443</v>
      </c>
      <c r="D48" s="298" t="str">
        <f t="shared" si="1"/>
        <v>OK</v>
      </c>
      <c r="E48" s="37"/>
      <c r="F48" s="599" t="str">
        <f>Lifetimes!BB1</f>
        <v>LacquerDiyInIU</v>
      </c>
    </row>
    <row r="49" spans="1:6">
      <c r="A49" s="492" t="s">
        <v>245</v>
      </c>
      <c r="B49" s="68" t="s">
        <v>1395</v>
      </c>
      <c r="C49" s="304" t="s">
        <v>245</v>
      </c>
      <c r="D49" s="298" t="str">
        <f t="shared" si="1"/>
        <v>OK</v>
      </c>
      <c r="E49" s="37"/>
      <c r="F49" s="599" t="str">
        <f>Lifetimes!BC1</f>
        <v>LacquerDiyOutDis</v>
      </c>
    </row>
    <row r="50" spans="1:6">
      <c r="A50" s="322" t="s">
        <v>1444</v>
      </c>
      <c r="B50" s="68" t="s">
        <v>1389</v>
      </c>
      <c r="C50" s="304" t="s">
        <v>1445</v>
      </c>
      <c r="D50" s="298" t="str">
        <f t="shared" si="1"/>
        <v>OK</v>
      </c>
      <c r="E50" s="37"/>
      <c r="F50" s="599" t="str">
        <f>Lifetimes!BD1</f>
        <v>LacquerDiyOutIU</v>
      </c>
    </row>
    <row r="51" spans="1:6">
      <c r="A51" s="322" t="s">
        <v>1446</v>
      </c>
      <c r="B51" s="68" t="s">
        <v>1389</v>
      </c>
      <c r="C51" s="304" t="s">
        <v>1447</v>
      </c>
      <c r="D51" s="298" t="str">
        <f t="shared" si="1"/>
        <v>OK</v>
      </c>
      <c r="E51" s="37"/>
      <c r="F51" s="599" t="str">
        <f>Lifetimes!BE1</f>
        <v>LacquerProfInDis</v>
      </c>
    </row>
    <row r="52" spans="1:6">
      <c r="A52" s="322" t="s">
        <v>1448</v>
      </c>
      <c r="B52" s="68" t="s">
        <v>1389</v>
      </c>
      <c r="C52" s="304" t="s">
        <v>1448</v>
      </c>
      <c r="D52" s="298" t="str">
        <f t="shared" si="1"/>
        <v>OK</v>
      </c>
      <c r="E52" s="37"/>
      <c r="F52" s="599" t="str">
        <f>Lifetimes!BF1</f>
        <v>LacquerProfInIU</v>
      </c>
    </row>
    <row r="53" spans="1:6">
      <c r="A53" s="322" t="s">
        <v>185</v>
      </c>
      <c r="B53" s="68" t="s">
        <v>1389</v>
      </c>
      <c r="C53" s="304" t="s">
        <v>185</v>
      </c>
      <c r="D53" s="298" t="str">
        <f t="shared" si="1"/>
        <v>OK</v>
      </c>
      <c r="E53" s="37"/>
      <c r="F53" s="599" t="str">
        <f>Lifetimes!BG1</f>
        <v>LacquerProfOutDis</v>
      </c>
    </row>
    <row r="54" spans="1:6">
      <c r="A54" s="322" t="s">
        <v>1449</v>
      </c>
      <c r="B54" s="68" t="s">
        <v>1389</v>
      </c>
      <c r="C54" s="304" t="s">
        <v>1235</v>
      </c>
      <c r="D54" s="298" t="str">
        <f t="shared" si="1"/>
        <v>Change Type of compartment to Stock</v>
      </c>
      <c r="E54" s="37" t="s">
        <v>1408</v>
      </c>
      <c r="F54" s="599" t="str">
        <f>Lifetimes!BH1</f>
        <v>LacquerProfOutIU</v>
      </c>
    </row>
    <row r="55" spans="1:6">
      <c r="A55" s="322" t="s">
        <v>1450</v>
      </c>
      <c r="B55" s="68" t="s">
        <v>1389</v>
      </c>
      <c r="C55" s="304" t="s">
        <v>1451</v>
      </c>
      <c r="D55" s="298" t="str">
        <f t="shared" si="1"/>
        <v>OK</v>
      </c>
      <c r="E55" s="37"/>
      <c r="F55" s="599" t="str">
        <f>Lifetimes!BI1</f>
        <v>OtherPaintUsesDiyInDis</v>
      </c>
    </row>
    <row r="56" spans="1:6">
      <c r="A56" s="322" t="s">
        <v>112</v>
      </c>
      <c r="B56" s="68" t="s">
        <v>1389</v>
      </c>
      <c r="C56" s="304" t="s">
        <v>1452</v>
      </c>
      <c r="D56" s="298" t="str">
        <f t="shared" si="1"/>
        <v>OK</v>
      </c>
      <c r="E56" s="37"/>
      <c r="F56" s="599" t="str">
        <f>Lifetimes!BJ1</f>
        <v>OtherPaintUsesDiyInIU</v>
      </c>
    </row>
    <row r="57" spans="1:6">
      <c r="A57" s="322" t="s">
        <v>1453</v>
      </c>
      <c r="B57" s="68" t="s">
        <v>1389</v>
      </c>
      <c r="C57" s="304" t="s">
        <v>1454</v>
      </c>
      <c r="D57" s="298" t="str">
        <f t="shared" si="1"/>
        <v>OK</v>
      </c>
      <c r="E57" s="37"/>
      <c r="F57" s="599" t="str">
        <f>Lifetimes!BK1</f>
        <v>OtherPaintUsesDiyOutDis</v>
      </c>
    </row>
    <row r="58" spans="1:6">
      <c r="A58" s="322" t="s">
        <v>179</v>
      </c>
      <c r="B58" s="68" t="s">
        <v>1389</v>
      </c>
      <c r="C58" s="304" t="s">
        <v>179</v>
      </c>
      <c r="D58" s="298" t="str">
        <f t="shared" si="1"/>
        <v>OK</v>
      </c>
      <c r="E58" s="37"/>
      <c r="F58" s="599" t="str">
        <f>Lifetimes!BL1</f>
        <v>OtherPaintUsesDiyOutIU</v>
      </c>
    </row>
    <row r="59" spans="1:6">
      <c r="A59" s="322" t="s">
        <v>228</v>
      </c>
      <c r="B59" s="68" t="s">
        <v>1389</v>
      </c>
      <c r="C59" s="304" t="s">
        <v>1455</v>
      </c>
      <c r="D59" s="298" t="str">
        <f t="shared" si="1"/>
        <v>OK</v>
      </c>
      <c r="E59" s="37"/>
      <c r="F59" s="599" t="str">
        <f>Lifetimes!BM1</f>
        <v>OtherPaintUsesProfInDis</v>
      </c>
    </row>
    <row r="60" spans="1:6">
      <c r="A60" s="322" t="s">
        <v>297</v>
      </c>
      <c r="B60" s="68" t="s">
        <v>1389</v>
      </c>
      <c r="C60" s="304" t="s">
        <v>1456</v>
      </c>
      <c r="D60" s="298" t="str">
        <f t="shared" si="1"/>
        <v>OK</v>
      </c>
      <c r="E60" s="37"/>
      <c r="F60" s="599" t="str">
        <f>Lifetimes!BN1</f>
        <v>OtherPaintUsesProfInIU</v>
      </c>
    </row>
    <row r="61" spans="1:6">
      <c r="A61" s="322" t="s">
        <v>1149</v>
      </c>
      <c r="B61" s="68" t="s">
        <v>1389</v>
      </c>
      <c r="C61" s="304" t="s">
        <v>1457</v>
      </c>
      <c r="D61" s="298" t="str">
        <f t="shared" si="1"/>
        <v>OK</v>
      </c>
      <c r="E61" s="37"/>
      <c r="F61" s="599" t="str">
        <f>Lifetimes!BO1</f>
        <v>OtherPaintUsesProfOutDis</v>
      </c>
    </row>
    <row r="62" spans="1:6">
      <c r="A62" s="322" t="s">
        <v>1458</v>
      </c>
      <c r="B62" s="68" t="s">
        <v>1389</v>
      </c>
      <c r="C62" s="304" t="s">
        <v>1459</v>
      </c>
      <c r="D62" s="298" t="str">
        <f t="shared" si="1"/>
        <v>OK</v>
      </c>
      <c r="E62" s="37"/>
      <c r="F62" s="599" t="str">
        <f>Lifetimes!BP1</f>
        <v>OtherPaintUsesProfOutIU</v>
      </c>
    </row>
    <row r="63" spans="1:6">
      <c r="A63" s="322" t="s">
        <v>184</v>
      </c>
      <c r="B63" s="68" t="s">
        <v>1395</v>
      </c>
      <c r="C63" s="304" t="s">
        <v>184</v>
      </c>
      <c r="D63" s="298" t="str">
        <f t="shared" si="1"/>
        <v>OK</v>
      </c>
      <c r="E63" s="37"/>
      <c r="F63" s="599" t="str">
        <f>Lifetimes!BQ1</f>
        <v>PaintsPreMadeWoodInDis</v>
      </c>
    </row>
    <row r="64" spans="1:6">
      <c r="A64" s="322" t="s">
        <v>1460</v>
      </c>
      <c r="B64" s="68" t="s">
        <v>1389</v>
      </c>
      <c r="C64" s="304" t="s">
        <v>1461</v>
      </c>
      <c r="D64" s="298" t="str">
        <f t="shared" si="1"/>
        <v>OK</v>
      </c>
      <c r="E64" s="37"/>
      <c r="F64" s="599" t="str">
        <f>Lifetimes!BR1</f>
        <v>PaintsPreMadeWoodInIU</v>
      </c>
    </row>
    <row r="65" spans="1:6">
      <c r="A65" s="322" t="s">
        <v>315</v>
      </c>
      <c r="B65" s="68" t="s">
        <v>1389</v>
      </c>
      <c r="C65" s="304" t="s">
        <v>1462</v>
      </c>
      <c r="D65" s="298" t="str">
        <f t="shared" si="1"/>
        <v>OK</v>
      </c>
      <c r="E65" s="37"/>
      <c r="F65" s="599" t="str">
        <f>Lifetimes!BS1</f>
        <v>PaintsPreMadeWoodOutDis</v>
      </c>
    </row>
    <row r="66" spans="1:6">
      <c r="A66" s="322" t="s">
        <v>319</v>
      </c>
      <c r="B66" s="68" t="s">
        <v>1389</v>
      </c>
      <c r="C66" s="304" t="s">
        <v>1463</v>
      </c>
      <c r="D66" s="298" t="str">
        <f t="shared" si="1"/>
        <v>OK</v>
      </c>
      <c r="E66" s="37"/>
      <c r="F66" s="599" t="str">
        <f>Lifetimes!BT1</f>
        <v>PaintsPreMadeWoodOutIU</v>
      </c>
    </row>
    <row r="67" spans="1:6">
      <c r="A67" s="322" t="s">
        <v>308</v>
      </c>
      <c r="B67" s="68" t="s">
        <v>1389</v>
      </c>
      <c r="C67" s="304" t="s">
        <v>1464</v>
      </c>
      <c r="D67" s="298" t="str">
        <f t="shared" ref="D67:D98" si="2">IF(B67=IF(COUNTIF($F$5:$F$209,C67),"Stock","Flow/Sink"),"OK",IF(B67="Stock","Compartment missing in Lifetimes_pairs",IF(IF(COUNTIF($F$5:$F$161,C67),"Stock","Flow/Sink")="Stock","Change Type of compartment to Stock","OK")))</f>
        <v>OK</v>
      </c>
      <c r="E67" s="37"/>
      <c r="F67" s="599" t="str">
        <f>Lifetimes!BU1</f>
        <v>PlasterDiyInDis</v>
      </c>
    </row>
    <row r="68" spans="1:6">
      <c r="A68" s="322" t="s">
        <v>223</v>
      </c>
      <c r="B68" s="68" t="s">
        <v>1389</v>
      </c>
      <c r="C68" s="304" t="s">
        <v>1465</v>
      </c>
      <c r="D68" s="298" t="str">
        <f t="shared" si="2"/>
        <v>OK</v>
      </c>
      <c r="E68" s="37"/>
      <c r="F68" s="599" t="str">
        <f>Lifetimes!BV1</f>
        <v>PlasterDiyInIU</v>
      </c>
    </row>
    <row r="69" spans="1:6">
      <c r="A69" s="322" t="s">
        <v>341</v>
      </c>
      <c r="B69" s="68" t="s">
        <v>1392</v>
      </c>
      <c r="C69" s="304" t="s">
        <v>1250</v>
      </c>
      <c r="D69" s="298" t="str">
        <f t="shared" si="2"/>
        <v>OK</v>
      </c>
      <c r="E69" s="37"/>
      <c r="F69" s="599" t="str">
        <f>Lifetimes!BW1</f>
        <v>PlasterDiyOutDis</v>
      </c>
    </row>
    <row r="70" spans="1:6">
      <c r="A70" s="322" t="s">
        <v>335</v>
      </c>
      <c r="B70" s="68" t="s">
        <v>1395</v>
      </c>
      <c r="C70" s="304" t="s">
        <v>1466</v>
      </c>
      <c r="D70" s="298" t="str">
        <f t="shared" si="2"/>
        <v>OK</v>
      </c>
      <c r="E70" s="37"/>
      <c r="F70" s="599" t="str">
        <f>Lifetimes!BX1</f>
        <v>PlasterDiyOutIU</v>
      </c>
    </row>
    <row r="71" spans="1:6">
      <c r="A71" s="322" t="s">
        <v>354</v>
      </c>
      <c r="B71" s="68" t="s">
        <v>1395</v>
      </c>
      <c r="C71" s="304" t="s">
        <v>1467</v>
      </c>
      <c r="D71" s="298" t="str">
        <f t="shared" si="2"/>
        <v>OK</v>
      </c>
      <c r="E71" s="37"/>
      <c r="F71" s="599" t="str">
        <f>Lifetimes!BY1</f>
        <v>PlasterProfInDis</v>
      </c>
    </row>
    <row r="72" spans="1:6">
      <c r="A72" s="322" t="s">
        <v>235</v>
      </c>
      <c r="B72" s="68" t="s">
        <v>1392</v>
      </c>
      <c r="C72" s="304" t="s">
        <v>1146</v>
      </c>
      <c r="D72" s="298" t="str">
        <f t="shared" si="2"/>
        <v>OK</v>
      </c>
      <c r="E72" s="576"/>
      <c r="F72" s="599" t="str">
        <f>Lifetimes!BZ1</f>
        <v>PlasterProfInIU</v>
      </c>
    </row>
    <row r="73" spans="1:6">
      <c r="A73" s="322" t="s">
        <v>1468</v>
      </c>
      <c r="B73" s="68" t="s">
        <v>1389</v>
      </c>
      <c r="C73" s="304" t="s">
        <v>1469</v>
      </c>
      <c r="D73" s="298" t="str">
        <f t="shared" si="2"/>
        <v>OK</v>
      </c>
      <c r="E73" s="37"/>
      <c r="F73" s="599" t="str">
        <f>Lifetimes!CA1</f>
        <v>PlasterProfOutDis</v>
      </c>
    </row>
    <row r="74" spans="1:6">
      <c r="A74" s="322" t="s">
        <v>1470</v>
      </c>
      <c r="B74" s="68" t="s">
        <v>1389</v>
      </c>
      <c r="C74" s="304" t="s">
        <v>1471</v>
      </c>
      <c r="D74" s="298" t="str">
        <f t="shared" si="2"/>
        <v>OK</v>
      </c>
      <c r="E74" s="37"/>
      <c r="F74" s="599" t="str">
        <f>Lifetimes!CB1</f>
        <v>PlasterProfOutIU</v>
      </c>
    </row>
    <row r="75" spans="1:6">
      <c r="A75" s="322" t="s">
        <v>1472</v>
      </c>
      <c r="B75" s="68" t="s">
        <v>1389</v>
      </c>
      <c r="C75" s="304" t="s">
        <v>1473</v>
      </c>
      <c r="D75" s="298" t="str">
        <f t="shared" si="2"/>
        <v>OK</v>
      </c>
      <c r="E75" s="37"/>
      <c r="F75" s="599" t="str">
        <f>Lifetimes!CC1</f>
        <v>ShipProfDis</v>
      </c>
    </row>
    <row r="76" spans="1:6">
      <c r="A76" s="322" t="s">
        <v>361</v>
      </c>
      <c r="B76" s="68" t="s">
        <v>1389</v>
      </c>
      <c r="C76" s="304" t="s">
        <v>1474</v>
      </c>
      <c r="D76" s="298" t="str">
        <f t="shared" si="2"/>
        <v>OK</v>
      </c>
      <c r="E76" s="37"/>
      <c r="F76" s="599" t="str">
        <f>Lifetimes!CD1</f>
        <v>ShipProfIU</v>
      </c>
    </row>
    <row r="77" spans="1:6">
      <c r="A77" s="322" t="s">
        <v>317</v>
      </c>
      <c r="B77" s="68" t="s">
        <v>1389</v>
      </c>
      <c r="C77" s="304" t="s">
        <v>1475</v>
      </c>
      <c r="D77" s="298" t="str">
        <f t="shared" si="2"/>
        <v>OK</v>
      </c>
      <c r="E77" s="37"/>
      <c r="F77" s="599" t="str">
        <f>Lifetimes!CE1</f>
        <v>ShipDiyDis</v>
      </c>
    </row>
    <row r="78" spans="1:6">
      <c r="A78" s="322" t="s">
        <v>320</v>
      </c>
      <c r="B78" s="68" t="s">
        <v>1389</v>
      </c>
      <c r="C78" s="304" t="s">
        <v>1476</v>
      </c>
      <c r="D78" s="298" t="str">
        <f t="shared" si="2"/>
        <v>OK</v>
      </c>
      <c r="E78" s="37"/>
      <c r="F78" s="599" t="str">
        <f>Lifetimes!CF1</f>
        <v>ShipDiyIU</v>
      </c>
    </row>
    <row r="79" spans="1:6">
      <c r="A79" s="322" t="s">
        <v>328</v>
      </c>
      <c r="B79" s="68" t="s">
        <v>1389</v>
      </c>
      <c r="C79" s="304" t="s">
        <v>1477</v>
      </c>
      <c r="D79" s="298" t="str">
        <f t="shared" si="2"/>
        <v>OK</v>
      </c>
      <c r="E79" s="37"/>
      <c r="F79" s="599" t="str">
        <f>Lifetimes!CG1</f>
        <v>WallPaintDiyIndoorAppliedDis</v>
      </c>
    </row>
    <row r="80" spans="1:6">
      <c r="A80" s="322" t="s">
        <v>203</v>
      </c>
      <c r="B80" s="68" t="s">
        <v>1392</v>
      </c>
      <c r="C80" s="304" t="s">
        <v>1054</v>
      </c>
      <c r="D80" s="298" t="str">
        <f t="shared" si="2"/>
        <v>OK</v>
      </c>
      <c r="E80" s="576"/>
      <c r="F80" s="599" t="str">
        <f>Lifetimes!CH1</f>
        <v>WallPaintDiyIndoorAppliedIU</v>
      </c>
    </row>
    <row r="81" spans="1:6">
      <c r="A81" s="322" t="s">
        <v>236</v>
      </c>
      <c r="B81" s="68" t="s">
        <v>1392</v>
      </c>
      <c r="C81" s="304" t="s">
        <v>1148</v>
      </c>
      <c r="D81" s="298" t="str">
        <f t="shared" si="2"/>
        <v>OK</v>
      </c>
      <c r="E81" s="576"/>
      <c r="F81" s="599" t="str">
        <f>Lifetimes!CI1</f>
        <v>WallPaintDiyOutDis</v>
      </c>
    </row>
    <row r="82" spans="1:6">
      <c r="A82" s="322" t="s">
        <v>237</v>
      </c>
      <c r="B82" s="68" t="s">
        <v>1392</v>
      </c>
      <c r="C82" s="304" t="s">
        <v>1147</v>
      </c>
      <c r="D82" s="298" t="str">
        <f t="shared" si="2"/>
        <v>OK</v>
      </c>
      <c r="E82" s="576"/>
      <c r="F82" s="600" t="str">
        <f>Lifetimes!CJ1</f>
        <v>WallPaintDiyOutIU</v>
      </c>
    </row>
    <row r="83" spans="1:6">
      <c r="A83" s="322" t="s">
        <v>1478</v>
      </c>
      <c r="B83" s="68" t="s">
        <v>1389</v>
      </c>
      <c r="C83" s="304" t="s">
        <v>127</v>
      </c>
      <c r="D83" s="298" t="str">
        <f t="shared" si="2"/>
        <v>OK</v>
      </c>
      <c r="E83" s="37"/>
      <c r="F83" s="600" t="str">
        <f>Lifetimes!CK1</f>
        <v>WallPaintProfInDis</v>
      </c>
    </row>
    <row r="84" spans="1:6">
      <c r="A84" s="322" t="s">
        <v>1479</v>
      </c>
      <c r="B84" s="68" t="s">
        <v>1389</v>
      </c>
      <c r="C84" s="304" t="s">
        <v>1236</v>
      </c>
      <c r="D84" s="298" t="str">
        <f t="shared" si="2"/>
        <v>Change Type of compartment to Stock</v>
      </c>
      <c r="E84" s="37" t="s">
        <v>1408</v>
      </c>
      <c r="F84" s="600" t="str">
        <f>Lifetimes!CL1</f>
        <v>WallPaintProfInIU</v>
      </c>
    </row>
    <row r="85" spans="1:6">
      <c r="A85" s="322" t="s">
        <v>238</v>
      </c>
      <c r="B85" s="68" t="s">
        <v>1392</v>
      </c>
      <c r="C85" s="304" t="s">
        <v>1255</v>
      </c>
      <c r="D85" s="298" t="str">
        <f t="shared" si="2"/>
        <v>OK</v>
      </c>
      <c r="E85" s="37"/>
      <c r="F85" s="600" t="str">
        <f>Lifetimes!CM1</f>
        <v>WallPaintProfOutDis</v>
      </c>
    </row>
    <row r="86" spans="1:6">
      <c r="A86" s="322" t="s">
        <v>231</v>
      </c>
      <c r="B86" s="361" t="s">
        <v>1395</v>
      </c>
      <c r="C86" s="304" t="s">
        <v>1480</v>
      </c>
      <c r="D86" s="298" t="str">
        <f t="shared" si="2"/>
        <v>OK</v>
      </c>
      <c r="E86" s="37"/>
      <c r="F86" s="600" t="str">
        <f>Lifetimes!CN1</f>
        <v>WallPaintProfOutIU</v>
      </c>
    </row>
    <row r="87" spans="1:6">
      <c r="A87" s="322" t="s">
        <v>39</v>
      </c>
      <c r="B87" s="68" t="s">
        <v>1389</v>
      </c>
      <c r="C87" s="304" t="s">
        <v>39</v>
      </c>
      <c r="D87" s="298" t="str">
        <f t="shared" si="2"/>
        <v>OK</v>
      </c>
      <c r="E87" s="37"/>
      <c r="F87" s="600" t="str">
        <f>Lifetimes!CO1</f>
        <v>WoodStainDiyInDis</v>
      </c>
    </row>
    <row r="88" spans="1:6">
      <c r="A88" s="322" t="s">
        <v>244</v>
      </c>
      <c r="B88" s="68" t="s">
        <v>1389</v>
      </c>
      <c r="C88" s="304" t="s">
        <v>1481</v>
      </c>
      <c r="D88" s="298" t="str">
        <f t="shared" si="2"/>
        <v>OK</v>
      </c>
      <c r="E88" s="37"/>
      <c r="F88" s="600" t="str">
        <f>Lifetimes!CP1</f>
        <v>WoodStainDiyInIU</v>
      </c>
    </row>
    <row r="89" spans="1:6">
      <c r="A89" s="322" t="s">
        <v>283</v>
      </c>
      <c r="B89" s="68" t="s">
        <v>1389</v>
      </c>
      <c r="C89" s="304" t="s">
        <v>1482</v>
      </c>
      <c r="D89" s="298" t="str">
        <f t="shared" si="2"/>
        <v>OK</v>
      </c>
      <c r="E89" s="37"/>
      <c r="F89" s="600" t="str">
        <f>Lifetimes!CQ1</f>
        <v>WoodStainDiyOutDis</v>
      </c>
    </row>
    <row r="90" spans="1:6">
      <c r="A90" s="322" t="s">
        <v>239</v>
      </c>
      <c r="B90" s="68" t="s">
        <v>1389</v>
      </c>
      <c r="C90" s="304" t="s">
        <v>1483</v>
      </c>
      <c r="D90" s="298" t="str">
        <f t="shared" si="2"/>
        <v>OK</v>
      </c>
      <c r="E90" s="37"/>
      <c r="F90" s="600" t="str">
        <f>Lifetimes!CR1</f>
        <v>WoodStainDiyOutIU</v>
      </c>
    </row>
    <row r="91" spans="1:6">
      <c r="A91" s="322" t="s">
        <v>347</v>
      </c>
      <c r="B91" s="68" t="s">
        <v>1389</v>
      </c>
      <c r="C91" s="304" t="s">
        <v>347</v>
      </c>
      <c r="D91" s="298" t="str">
        <f t="shared" si="2"/>
        <v>OK</v>
      </c>
      <c r="E91" s="576"/>
      <c r="F91" s="600" t="str">
        <f>Lifetimes!CS1</f>
        <v>WoodStainProfInDis</v>
      </c>
    </row>
    <row r="92" spans="1:6">
      <c r="A92" s="322" t="s">
        <v>1484</v>
      </c>
      <c r="B92" s="68" t="s">
        <v>1389</v>
      </c>
      <c r="C92" s="304" t="s">
        <v>1485</v>
      </c>
      <c r="D92" s="298" t="str">
        <f t="shared" si="2"/>
        <v>OK</v>
      </c>
      <c r="E92" s="37"/>
      <c r="F92" s="600" t="str">
        <f>Lifetimes!CT1</f>
        <v>WoodStainProfInIU</v>
      </c>
    </row>
    <row r="93" spans="1:6">
      <c r="A93" s="322" t="s">
        <v>1486</v>
      </c>
      <c r="B93" s="68" t="s">
        <v>1389</v>
      </c>
      <c r="C93" s="304" t="s">
        <v>1487</v>
      </c>
      <c r="D93" s="298" t="str">
        <f t="shared" si="2"/>
        <v>OK</v>
      </c>
      <c r="E93" s="37"/>
      <c r="F93" s="600" t="str">
        <f>Lifetimes!CU1</f>
        <v>WoodStainProfOutDis</v>
      </c>
    </row>
    <row r="94" spans="1:6" ht="15" thickBot="1">
      <c r="A94" s="322" t="s">
        <v>1154</v>
      </c>
      <c r="B94" s="68" t="s">
        <v>1389</v>
      </c>
      <c r="C94" s="304" t="s">
        <v>1488</v>
      </c>
      <c r="D94" s="298" t="str">
        <f t="shared" si="2"/>
        <v>OK</v>
      </c>
      <c r="E94" s="37"/>
      <c r="F94" s="601" t="str">
        <f>Lifetimes!CV1</f>
        <v>WoodStainProfOutIU</v>
      </c>
    </row>
    <row r="95" spans="1:6">
      <c r="A95" s="322" t="s">
        <v>378</v>
      </c>
      <c r="B95" s="68" t="s">
        <v>1389</v>
      </c>
      <c r="C95" s="304" t="s">
        <v>1489</v>
      </c>
      <c r="D95" s="298" t="str">
        <f t="shared" si="2"/>
        <v>OK</v>
      </c>
      <c r="E95" s="37"/>
      <c r="F95"/>
    </row>
    <row r="96" spans="1:6">
      <c r="A96" s="322" t="s">
        <v>379</v>
      </c>
      <c r="B96" s="68" t="s">
        <v>1389</v>
      </c>
      <c r="C96" s="304" t="s">
        <v>1490</v>
      </c>
      <c r="D96" s="298" t="str">
        <f t="shared" si="2"/>
        <v>OK</v>
      </c>
      <c r="E96" s="37"/>
      <c r="F96"/>
    </row>
    <row r="97" spans="1:6">
      <c r="A97" s="322" t="s">
        <v>1491</v>
      </c>
      <c r="B97" s="68" t="s">
        <v>1389</v>
      </c>
      <c r="C97" s="304" t="s">
        <v>1492</v>
      </c>
      <c r="D97" s="298" t="str">
        <f t="shared" si="2"/>
        <v>OK</v>
      </c>
      <c r="E97" s="37"/>
      <c r="F97"/>
    </row>
    <row r="98" spans="1:6">
      <c r="A98" s="322" t="s">
        <v>176</v>
      </c>
      <c r="B98" s="68" t="s">
        <v>1395</v>
      </c>
      <c r="C98" s="304" t="s">
        <v>1493</v>
      </c>
      <c r="D98" s="298" t="str">
        <f t="shared" si="2"/>
        <v>OK</v>
      </c>
      <c r="E98" s="37"/>
      <c r="F98"/>
    </row>
    <row r="99" spans="1:6">
      <c r="A99" s="322" t="s">
        <v>251</v>
      </c>
      <c r="B99" s="68" t="s">
        <v>1395</v>
      </c>
      <c r="C99" s="304" t="s">
        <v>1494</v>
      </c>
      <c r="D99" s="298" t="str">
        <f t="shared" ref="D99:D130" si="3">IF(B99=IF(COUNTIF($F$5:$F$209,C99),"Stock","Flow/Sink"),"OK",IF(B99="Stock","Compartment missing in Lifetimes_pairs",IF(IF(COUNTIF($F$5:$F$161,C99),"Stock","Flow/Sink")="Stock","Change Type of compartment to Stock","OK")))</f>
        <v>OK</v>
      </c>
      <c r="E99" s="37"/>
      <c r="F99"/>
    </row>
    <row r="100" spans="1:6">
      <c r="A100" s="322" t="s">
        <v>400</v>
      </c>
      <c r="B100" s="68" t="s">
        <v>1395</v>
      </c>
      <c r="C100" s="304" t="s">
        <v>1495</v>
      </c>
      <c r="D100" s="298" t="str">
        <f t="shared" si="3"/>
        <v>OK</v>
      </c>
      <c r="E100" s="37"/>
      <c r="F100"/>
    </row>
    <row r="101" spans="1:6">
      <c r="A101" s="322" t="s">
        <v>1496</v>
      </c>
      <c r="B101" s="68" t="s">
        <v>1389</v>
      </c>
      <c r="C101" s="304" t="s">
        <v>1497</v>
      </c>
      <c r="D101" s="298" t="str">
        <f t="shared" si="3"/>
        <v>OK</v>
      </c>
      <c r="E101" s="37"/>
      <c r="F101"/>
    </row>
    <row r="102" spans="1:6">
      <c r="A102" s="322" t="s">
        <v>1498</v>
      </c>
      <c r="B102" s="68" t="s">
        <v>1389</v>
      </c>
      <c r="C102" s="304" t="s">
        <v>1499</v>
      </c>
      <c r="D102" s="298" t="str">
        <f t="shared" si="3"/>
        <v>OK</v>
      </c>
      <c r="E102" s="37"/>
      <c r="F102"/>
    </row>
    <row r="103" spans="1:6">
      <c r="A103" s="322" t="s">
        <v>248</v>
      </c>
      <c r="B103" s="68" t="s">
        <v>1395</v>
      </c>
      <c r="C103" s="304" t="s">
        <v>1500</v>
      </c>
      <c r="D103" s="298" t="str">
        <f t="shared" si="3"/>
        <v>OK</v>
      </c>
      <c r="E103" s="37"/>
      <c r="F103"/>
    </row>
    <row r="104" spans="1:6">
      <c r="A104" s="322" t="s">
        <v>393</v>
      </c>
      <c r="B104" s="68" t="s">
        <v>1389</v>
      </c>
      <c r="C104" s="304" t="s">
        <v>1501</v>
      </c>
      <c r="D104" s="298" t="str">
        <f t="shared" si="3"/>
        <v>OK</v>
      </c>
      <c r="E104" s="37"/>
      <c r="F104"/>
    </row>
    <row r="105" spans="1:6">
      <c r="A105" s="322" t="s">
        <v>394</v>
      </c>
      <c r="B105" s="68" t="s">
        <v>1389</v>
      </c>
      <c r="C105" s="304" t="s">
        <v>1502</v>
      </c>
      <c r="D105" s="298" t="str">
        <f t="shared" si="3"/>
        <v>OK</v>
      </c>
      <c r="E105" s="37"/>
      <c r="F105"/>
    </row>
    <row r="106" spans="1:6">
      <c r="A106" s="322" t="s">
        <v>1503</v>
      </c>
      <c r="B106" s="68" t="s">
        <v>1389</v>
      </c>
      <c r="C106" s="304" t="s">
        <v>1504</v>
      </c>
      <c r="D106" s="298" t="str">
        <f t="shared" si="3"/>
        <v>OK</v>
      </c>
      <c r="E106" s="37"/>
      <c r="F106"/>
    </row>
    <row r="107" spans="1:6">
      <c r="A107" s="322" t="s">
        <v>1505</v>
      </c>
      <c r="B107" s="68" t="s">
        <v>1389</v>
      </c>
      <c r="C107" s="304" t="s">
        <v>1506</v>
      </c>
      <c r="D107" s="298" t="str">
        <f t="shared" si="3"/>
        <v>OK</v>
      </c>
      <c r="E107" s="37"/>
      <c r="F107"/>
    </row>
    <row r="108" spans="1:6">
      <c r="A108" s="322" t="s">
        <v>284</v>
      </c>
      <c r="B108" s="68" t="s">
        <v>1389</v>
      </c>
      <c r="C108" s="304" t="s">
        <v>1507</v>
      </c>
      <c r="D108" s="298" t="str">
        <f t="shared" si="3"/>
        <v>OK</v>
      </c>
      <c r="E108" s="37"/>
      <c r="F108"/>
    </row>
    <row r="109" spans="1:6">
      <c r="A109" s="322" t="s">
        <v>286</v>
      </c>
      <c r="B109" s="68" t="s">
        <v>1389</v>
      </c>
      <c r="C109" s="304" t="s">
        <v>1508</v>
      </c>
      <c r="D109" s="298" t="str">
        <f t="shared" si="3"/>
        <v>OK</v>
      </c>
      <c r="E109" s="37"/>
      <c r="F109"/>
    </row>
    <row r="110" spans="1:6">
      <c r="A110" s="322" t="s">
        <v>264</v>
      </c>
      <c r="B110" s="68" t="s">
        <v>1389</v>
      </c>
      <c r="C110" s="304" t="s">
        <v>1509</v>
      </c>
      <c r="D110" s="298" t="str">
        <f t="shared" si="3"/>
        <v>OK</v>
      </c>
      <c r="E110" s="37"/>
      <c r="F110"/>
    </row>
    <row r="111" spans="1:6">
      <c r="A111" s="322" t="s">
        <v>266</v>
      </c>
      <c r="B111" s="68" t="s">
        <v>1389</v>
      </c>
      <c r="C111" s="304" t="s">
        <v>1510</v>
      </c>
      <c r="D111" s="298" t="str">
        <f t="shared" si="3"/>
        <v>OK</v>
      </c>
      <c r="E111" s="37"/>
      <c r="F111"/>
    </row>
    <row r="112" spans="1:6">
      <c r="A112" s="322" t="s">
        <v>1511</v>
      </c>
      <c r="B112" s="68" t="s">
        <v>1389</v>
      </c>
      <c r="C112" s="304" t="s">
        <v>1511</v>
      </c>
      <c r="D112" s="298" t="str">
        <f t="shared" si="3"/>
        <v>OK</v>
      </c>
      <c r="E112" s="37"/>
      <c r="F112"/>
    </row>
    <row r="113" spans="1:6">
      <c r="A113" s="322" t="s">
        <v>188</v>
      </c>
      <c r="B113" s="68" t="s">
        <v>1395</v>
      </c>
      <c r="C113" s="304" t="s">
        <v>1512</v>
      </c>
      <c r="D113" s="298" t="str">
        <f t="shared" si="3"/>
        <v>OK</v>
      </c>
      <c r="E113" s="37"/>
      <c r="F113"/>
    </row>
    <row r="114" spans="1:6">
      <c r="A114" s="322" t="s">
        <v>265</v>
      </c>
      <c r="B114" s="68" t="s">
        <v>1395</v>
      </c>
      <c r="C114" s="304" t="s">
        <v>1513</v>
      </c>
      <c r="D114" s="298" t="str">
        <f t="shared" si="3"/>
        <v>OK</v>
      </c>
      <c r="E114" s="37"/>
      <c r="F114"/>
    </row>
    <row r="115" spans="1:6">
      <c r="A115" s="322" t="s">
        <v>258</v>
      </c>
      <c r="B115" s="68" t="s">
        <v>1395</v>
      </c>
      <c r="C115" s="304" t="s">
        <v>1514</v>
      </c>
      <c r="D115" s="298" t="str">
        <f t="shared" si="3"/>
        <v>OK</v>
      </c>
      <c r="E115" s="37"/>
      <c r="F115"/>
    </row>
    <row r="116" spans="1:6">
      <c r="A116" s="322" t="s">
        <v>1515</v>
      </c>
      <c r="B116" s="68" t="s">
        <v>1389</v>
      </c>
      <c r="C116" s="304" t="s">
        <v>1516</v>
      </c>
      <c r="D116" s="298" t="str">
        <f t="shared" si="3"/>
        <v>OK</v>
      </c>
      <c r="E116" s="37"/>
      <c r="F116"/>
    </row>
    <row r="117" spans="1:6">
      <c r="A117" s="322" t="s">
        <v>241</v>
      </c>
      <c r="B117" s="68" t="s">
        <v>1389</v>
      </c>
      <c r="C117" s="304" t="s">
        <v>241</v>
      </c>
      <c r="D117" s="298" t="str">
        <f t="shared" si="3"/>
        <v>OK</v>
      </c>
      <c r="E117" s="37"/>
      <c r="F117"/>
    </row>
    <row r="118" spans="1:6">
      <c r="A118" s="322" t="s">
        <v>1517</v>
      </c>
      <c r="B118" s="68" t="s">
        <v>1389</v>
      </c>
      <c r="C118" s="304" t="s">
        <v>1518</v>
      </c>
      <c r="D118" s="298" t="str">
        <f t="shared" si="3"/>
        <v>OK</v>
      </c>
      <c r="E118" s="37"/>
      <c r="F118"/>
    </row>
    <row r="119" spans="1:6">
      <c r="A119" s="322" t="s">
        <v>1519</v>
      </c>
      <c r="B119" s="68" t="s">
        <v>1389</v>
      </c>
      <c r="C119" s="304" t="s">
        <v>1520</v>
      </c>
      <c r="D119" s="298" t="str">
        <f t="shared" si="3"/>
        <v>OK</v>
      </c>
      <c r="E119" s="37" t="s">
        <v>1521</v>
      </c>
      <c r="F119"/>
    </row>
    <row r="120" spans="1:6">
      <c r="A120" s="322" t="s">
        <v>121</v>
      </c>
      <c r="B120" s="68" t="s">
        <v>1389</v>
      </c>
      <c r="C120" s="304" t="s">
        <v>1522</v>
      </c>
      <c r="D120" s="298" t="str">
        <f t="shared" si="3"/>
        <v>OK</v>
      </c>
      <c r="E120" s="37"/>
      <c r="F120"/>
    </row>
    <row r="121" spans="1:6">
      <c r="A121" s="322" t="s">
        <v>287</v>
      </c>
      <c r="B121" s="68" t="s">
        <v>1389</v>
      </c>
      <c r="C121" s="304" t="s">
        <v>1523</v>
      </c>
      <c r="D121" s="298" t="str">
        <f t="shared" si="3"/>
        <v>OK</v>
      </c>
      <c r="E121" s="37"/>
      <c r="F121"/>
    </row>
    <row r="122" spans="1:6">
      <c r="A122" s="322" t="s">
        <v>288</v>
      </c>
      <c r="B122" s="68" t="s">
        <v>1389</v>
      </c>
      <c r="C122" s="304" t="s">
        <v>1524</v>
      </c>
      <c r="D122" s="298" t="str">
        <f t="shared" si="3"/>
        <v>OK</v>
      </c>
      <c r="E122" s="37"/>
      <c r="F122"/>
    </row>
    <row r="123" spans="1:6">
      <c r="A123" s="322" t="s">
        <v>1525</v>
      </c>
      <c r="B123" s="68" t="s">
        <v>1389</v>
      </c>
      <c r="C123" s="304" t="s">
        <v>1526</v>
      </c>
      <c r="D123" s="298" t="str">
        <f t="shared" si="3"/>
        <v>OK</v>
      </c>
      <c r="E123" s="37"/>
      <c r="F123"/>
    </row>
    <row r="124" spans="1:6">
      <c r="A124" s="322" t="s">
        <v>404</v>
      </c>
      <c r="B124" s="68" t="s">
        <v>1395</v>
      </c>
      <c r="C124" s="304" t="s">
        <v>1527</v>
      </c>
      <c r="D124" s="298" t="str">
        <f t="shared" si="3"/>
        <v>OK</v>
      </c>
      <c r="E124" s="37"/>
      <c r="F124"/>
    </row>
    <row r="125" spans="1:6">
      <c r="A125" s="322" t="s">
        <v>225</v>
      </c>
      <c r="B125" s="68" t="s">
        <v>1389</v>
      </c>
      <c r="C125" s="304" t="s">
        <v>1528</v>
      </c>
      <c r="D125" s="298" t="str">
        <f t="shared" si="3"/>
        <v>OK</v>
      </c>
      <c r="E125" s="37"/>
      <c r="F125"/>
    </row>
    <row r="126" spans="1:6">
      <c r="A126" s="322" t="s">
        <v>1529</v>
      </c>
      <c r="B126" s="68" t="s">
        <v>1389</v>
      </c>
      <c r="C126" s="304" t="s">
        <v>1529</v>
      </c>
      <c r="D126" s="298" t="str">
        <f t="shared" si="3"/>
        <v>OK</v>
      </c>
      <c r="E126" s="37"/>
      <c r="F126"/>
    </row>
    <row r="127" spans="1:6">
      <c r="A127" s="322" t="s">
        <v>209</v>
      </c>
      <c r="B127" s="68" t="s">
        <v>1389</v>
      </c>
      <c r="C127" s="304" t="s">
        <v>1530</v>
      </c>
      <c r="D127" s="298" t="str">
        <f t="shared" si="3"/>
        <v>OK</v>
      </c>
      <c r="E127" s="37"/>
      <c r="F127"/>
    </row>
    <row r="128" spans="1:6">
      <c r="A128" s="322" t="s">
        <v>215</v>
      </c>
      <c r="B128" s="68" t="s">
        <v>1389</v>
      </c>
      <c r="C128" s="304" t="s">
        <v>1531</v>
      </c>
      <c r="D128" s="298" t="str">
        <f t="shared" si="3"/>
        <v>OK</v>
      </c>
      <c r="E128" s="37"/>
      <c r="F128"/>
    </row>
    <row r="129" spans="1:6">
      <c r="A129" s="322" t="s">
        <v>356</v>
      </c>
      <c r="B129" s="68" t="s">
        <v>1389</v>
      </c>
      <c r="C129" s="304" t="s">
        <v>1532</v>
      </c>
      <c r="D129" s="298" t="str">
        <f t="shared" si="3"/>
        <v>OK</v>
      </c>
      <c r="E129" s="37"/>
      <c r="F129"/>
    </row>
    <row r="130" spans="1:6">
      <c r="A130" s="322" t="s">
        <v>232</v>
      </c>
      <c r="B130" s="68" t="s">
        <v>1389</v>
      </c>
      <c r="C130" s="304" t="s">
        <v>1533</v>
      </c>
      <c r="D130" s="298" t="str">
        <f t="shared" si="3"/>
        <v>OK</v>
      </c>
      <c r="E130" s="37"/>
      <c r="F130"/>
    </row>
    <row r="131" spans="1:6">
      <c r="A131" s="322" t="s">
        <v>1534</v>
      </c>
      <c r="B131" s="68" t="s">
        <v>1389</v>
      </c>
      <c r="C131" s="304" t="s">
        <v>1535</v>
      </c>
      <c r="D131" s="298" t="str">
        <f t="shared" ref="D131:D136" si="4">IF(B131=IF(COUNTIF($F$5:$F$209,C131),"Stock","Flow/Sink"),"OK",IF(B131="Stock","Compartment missing in Lifetimes_pairs",IF(IF(COUNTIF($F$5:$F$161,C131),"Stock","Flow/Sink")="Stock","Change Type of compartment to Stock","OK")))</f>
        <v>OK</v>
      </c>
      <c r="E131" s="37"/>
      <c r="F131"/>
    </row>
    <row r="132" spans="1:6">
      <c r="A132" s="322" t="s">
        <v>1536</v>
      </c>
      <c r="B132" s="68" t="s">
        <v>1389</v>
      </c>
      <c r="C132" s="304" t="s">
        <v>1537</v>
      </c>
      <c r="D132" s="298" t="str">
        <f t="shared" si="4"/>
        <v>OK</v>
      </c>
      <c r="E132" s="37"/>
      <c r="F132"/>
    </row>
    <row r="133" spans="1:6">
      <c r="A133" s="322" t="s">
        <v>1151</v>
      </c>
      <c r="B133" s="68" t="s">
        <v>1389</v>
      </c>
      <c r="C133" s="304" t="s">
        <v>1538</v>
      </c>
      <c r="D133" s="298" t="str">
        <f t="shared" si="4"/>
        <v>OK</v>
      </c>
      <c r="E133" s="37"/>
      <c r="F133"/>
    </row>
    <row r="134" spans="1:6">
      <c r="A134" s="322" t="s">
        <v>330</v>
      </c>
      <c r="B134" s="68" t="s">
        <v>1389</v>
      </c>
      <c r="C134" s="304" t="s">
        <v>1539</v>
      </c>
      <c r="D134" s="298" t="str">
        <f t="shared" si="4"/>
        <v>OK</v>
      </c>
      <c r="E134" s="37"/>
      <c r="F134"/>
    </row>
    <row r="135" spans="1:6">
      <c r="A135" s="322" t="s">
        <v>1540</v>
      </c>
      <c r="B135" s="68" t="s">
        <v>1389</v>
      </c>
      <c r="C135" s="304" t="s">
        <v>1541</v>
      </c>
      <c r="D135" s="298" t="str">
        <f t="shared" si="4"/>
        <v>OK</v>
      </c>
      <c r="E135" s="37"/>
      <c r="F135"/>
    </row>
    <row r="136" spans="1:6" ht="15" thickBot="1">
      <c r="A136" s="440" t="s">
        <v>1542</v>
      </c>
      <c r="B136" s="72" t="s">
        <v>1389</v>
      </c>
      <c r="C136" s="317" t="s">
        <v>1542</v>
      </c>
      <c r="D136" s="565" t="str">
        <f t="shared" si="4"/>
        <v>OK</v>
      </c>
      <c r="E136" s="38"/>
      <c r="F136"/>
    </row>
    <row r="137" spans="1:6">
      <c r="A137"/>
      <c r="F137"/>
    </row>
    <row r="138" spans="1:6">
      <c r="A138"/>
      <c r="F138"/>
    </row>
    <row r="139" spans="1:6">
      <c r="A139"/>
      <c r="F139"/>
    </row>
    <row r="140" spans="1:6">
      <c r="A140"/>
      <c r="F140"/>
    </row>
    <row r="141" spans="1:6">
      <c r="A141"/>
      <c r="F141"/>
    </row>
    <row r="142" spans="1:6">
      <c r="A142"/>
      <c r="F142"/>
    </row>
    <row r="143" spans="1:6">
      <c r="A143"/>
      <c r="F143"/>
    </row>
    <row r="144" spans="1:6">
      <c r="A144"/>
      <c r="F144"/>
    </row>
    <row r="145" spans="1:6">
      <c r="A145"/>
      <c r="F145"/>
    </row>
    <row r="146" spans="1:6">
      <c r="A146"/>
      <c r="F146"/>
    </row>
    <row r="147" spans="1:6">
      <c r="A147"/>
      <c r="F147"/>
    </row>
    <row r="148" spans="1:6">
      <c r="A148"/>
      <c r="F148"/>
    </row>
    <row r="149" spans="1:6">
      <c r="A149"/>
      <c r="F149"/>
    </row>
    <row r="150" spans="1:6">
      <c r="A150"/>
      <c r="F150"/>
    </row>
    <row r="151" spans="1:6">
      <c r="A151"/>
      <c r="F151"/>
    </row>
    <row r="152" spans="1:6">
      <c r="A152"/>
      <c r="F152"/>
    </row>
    <row r="153" spans="1:6">
      <c r="A153"/>
      <c r="F153"/>
    </row>
    <row r="154" spans="1:6">
      <c r="A154"/>
      <c r="F154"/>
    </row>
    <row r="155" spans="1:6">
      <c r="A155"/>
      <c r="F155"/>
    </row>
    <row r="156" spans="1:6">
      <c r="A156"/>
      <c r="F156"/>
    </row>
    <row r="157" spans="1:6">
      <c r="A157"/>
      <c r="F157"/>
    </row>
    <row r="158" spans="1:6">
      <c r="A158"/>
      <c r="F158"/>
    </row>
    <row r="159" spans="1:6">
      <c r="A159"/>
      <c r="F159"/>
    </row>
    <row r="160" spans="1:6">
      <c r="A160"/>
      <c r="F160"/>
    </row>
    <row r="161" spans="1:6">
      <c r="A161"/>
      <c r="F161"/>
    </row>
    <row r="162" spans="1:6">
      <c r="A162"/>
      <c r="F162"/>
    </row>
    <row r="163" spans="1:6">
      <c r="A163"/>
      <c r="F163"/>
    </row>
    <row r="164" spans="1:6">
      <c r="A164"/>
      <c r="F164"/>
    </row>
    <row r="165" spans="1:6">
      <c r="A165"/>
      <c r="F165"/>
    </row>
    <row r="166" spans="1:6">
      <c r="A166"/>
      <c r="F166"/>
    </row>
    <row r="167" spans="1:6">
      <c r="A167"/>
      <c r="F167"/>
    </row>
    <row r="168" spans="1:6">
      <c r="A168"/>
      <c r="F168"/>
    </row>
    <row r="169" spans="1:6">
      <c r="A169"/>
      <c r="F169"/>
    </row>
    <row r="170" spans="1:6">
      <c r="A170"/>
      <c r="F170"/>
    </row>
    <row r="171" spans="1:6">
      <c r="A171"/>
      <c r="F171"/>
    </row>
    <row r="172" spans="1:6">
      <c r="A172"/>
      <c r="F172"/>
    </row>
    <row r="173" spans="1:6">
      <c r="A173"/>
      <c r="F173"/>
    </row>
    <row r="174" spans="1:6">
      <c r="A174"/>
      <c r="F174"/>
    </row>
    <row r="175" spans="1:6">
      <c r="A175"/>
      <c r="F175"/>
    </row>
    <row r="176" spans="1:6">
      <c r="A176"/>
      <c r="F176"/>
    </row>
    <row r="177" spans="1:6">
      <c r="A177"/>
      <c r="F177"/>
    </row>
    <row r="178" spans="1:6">
      <c r="A178"/>
      <c r="F178"/>
    </row>
    <row r="179" spans="1:6">
      <c r="A179"/>
      <c r="F179"/>
    </row>
    <row r="180" spans="1:6">
      <c r="A180"/>
      <c r="F180"/>
    </row>
    <row r="181" spans="1:6">
      <c r="A181"/>
      <c r="F181"/>
    </row>
    <row r="182" spans="1:6">
      <c r="A182"/>
      <c r="F182"/>
    </row>
    <row r="183" spans="1:6">
      <c r="A183"/>
      <c r="F183"/>
    </row>
    <row r="184" spans="1:6">
      <c r="A184"/>
      <c r="F184"/>
    </row>
    <row r="185" spans="1:6">
      <c r="A185"/>
      <c r="F185"/>
    </row>
    <row r="186" spans="1:6">
      <c r="A186"/>
      <c r="F186"/>
    </row>
    <row r="187" spans="1:6">
      <c r="A187"/>
      <c r="F187"/>
    </row>
    <row r="188" spans="1:6">
      <c r="A188"/>
      <c r="F188"/>
    </row>
    <row r="189" spans="1:6">
      <c r="A189"/>
      <c r="F189"/>
    </row>
    <row r="190" spans="1:6">
      <c r="A190"/>
      <c r="F190"/>
    </row>
    <row r="191" spans="1:6">
      <c r="A191"/>
      <c r="F191"/>
    </row>
    <row r="192" spans="1:6">
      <c r="A192"/>
      <c r="F192"/>
    </row>
    <row r="193" spans="1:6">
      <c r="A193"/>
      <c r="F193"/>
    </row>
    <row r="194" spans="1:6">
      <c r="A194"/>
      <c r="F194"/>
    </row>
    <row r="195" spans="1:6">
      <c r="A195"/>
      <c r="F195"/>
    </row>
    <row r="196" spans="1:6">
      <c r="A196"/>
      <c r="F196"/>
    </row>
    <row r="197" spans="1:6">
      <c r="A197"/>
      <c r="F197"/>
    </row>
    <row r="198" spans="1:6">
      <c r="A198"/>
      <c r="F198"/>
    </row>
    <row r="199" spans="1:6">
      <c r="A199"/>
      <c r="F199"/>
    </row>
    <row r="200" spans="1:6">
      <c r="A200"/>
      <c r="F200"/>
    </row>
    <row r="201" spans="1:6">
      <c r="A201"/>
      <c r="F201"/>
    </row>
    <row r="202" spans="1:6">
      <c r="A202"/>
      <c r="F202"/>
    </row>
    <row r="203" spans="1:6">
      <c r="A203"/>
      <c r="F203"/>
    </row>
    <row r="204" spans="1:6">
      <c r="A204"/>
      <c r="F204"/>
    </row>
    <row r="205" spans="1:6">
      <c r="A205"/>
      <c r="F205"/>
    </row>
    <row r="206" spans="1:6">
      <c r="A206"/>
      <c r="F206"/>
    </row>
    <row r="207" spans="1:6">
      <c r="A207"/>
      <c r="F207"/>
    </row>
    <row r="208" spans="1:6">
      <c r="A208"/>
      <c r="F208"/>
    </row>
    <row r="209" spans="1:6">
      <c r="A209"/>
      <c r="F209"/>
    </row>
    <row r="210" spans="1:6">
      <c r="A210"/>
      <c r="F210"/>
    </row>
    <row r="211" spans="1:6">
      <c r="A211"/>
      <c r="F211"/>
    </row>
    <row r="212" spans="1:6">
      <c r="A212"/>
      <c r="F212"/>
    </row>
    <row r="213" spans="1:6">
      <c r="A213"/>
      <c r="F213"/>
    </row>
    <row r="214" spans="1:6">
      <c r="A214"/>
      <c r="F214"/>
    </row>
    <row r="215" spans="1:6">
      <c r="A215"/>
      <c r="F215"/>
    </row>
    <row r="216" spans="1:6">
      <c r="A216"/>
      <c r="F216"/>
    </row>
    <row r="217" spans="1:6">
      <c r="A217"/>
      <c r="F217"/>
    </row>
    <row r="218" spans="1:6">
      <c r="A218"/>
      <c r="F218"/>
    </row>
    <row r="219" spans="1:6">
      <c r="A219"/>
      <c r="F219"/>
    </row>
    <row r="220" spans="1:6">
      <c r="A220"/>
      <c r="F220"/>
    </row>
    <row r="221" spans="1:6">
      <c r="A221"/>
      <c r="F221"/>
    </row>
    <row r="222" spans="1:6">
      <c r="A222"/>
      <c r="F222"/>
    </row>
    <row r="223" spans="1:6">
      <c r="A223"/>
      <c r="F223"/>
    </row>
    <row r="224" spans="1:6">
      <c r="A224"/>
      <c r="F224"/>
    </row>
    <row r="225" spans="1:6">
      <c r="A225"/>
      <c r="F225"/>
    </row>
    <row r="226" spans="1:6">
      <c r="A226"/>
      <c r="F226"/>
    </row>
    <row r="227" spans="1:6">
      <c r="A227"/>
      <c r="F227"/>
    </row>
    <row r="228" spans="1:6">
      <c r="A228"/>
      <c r="F228"/>
    </row>
    <row r="229" spans="1:6">
      <c r="A229"/>
      <c r="F229"/>
    </row>
    <row r="230" spans="1:6">
      <c r="A230"/>
      <c r="F230"/>
    </row>
    <row r="231" spans="1:6">
      <c r="A231"/>
      <c r="F231"/>
    </row>
    <row r="232" spans="1:6">
      <c r="A232"/>
      <c r="F232"/>
    </row>
    <row r="233" spans="1:6">
      <c r="A233"/>
      <c r="F233"/>
    </row>
    <row r="234" spans="1:6">
      <c r="A234"/>
      <c r="F234"/>
    </row>
    <row r="235" spans="1:6">
      <c r="A235"/>
      <c r="F235"/>
    </row>
    <row r="236" spans="1:6">
      <c r="A236"/>
      <c r="F236"/>
    </row>
    <row r="237" spans="1:6">
      <c r="A237"/>
      <c r="F237"/>
    </row>
    <row r="238" spans="1:6">
      <c r="A238"/>
      <c r="F238"/>
    </row>
    <row r="239" spans="1:6">
      <c r="A239"/>
      <c r="F239"/>
    </row>
    <row r="240" spans="1:6">
      <c r="A240"/>
      <c r="F240"/>
    </row>
    <row r="241" spans="1:6">
      <c r="A241"/>
      <c r="F241"/>
    </row>
    <row r="242" spans="1:6">
      <c r="A242"/>
      <c r="F242"/>
    </row>
    <row r="243" spans="1:6">
      <c r="A243"/>
      <c r="F243"/>
    </row>
    <row r="244" spans="1:6">
      <c r="A244"/>
      <c r="F244"/>
    </row>
    <row r="245" spans="1:6">
      <c r="A245"/>
      <c r="F245"/>
    </row>
    <row r="246" spans="1:6">
      <c r="A246"/>
      <c r="F246"/>
    </row>
    <row r="247" spans="1:6">
      <c r="A247"/>
      <c r="F247"/>
    </row>
    <row r="248" spans="1:6">
      <c r="A248"/>
      <c r="F248"/>
    </row>
    <row r="249" spans="1:6">
      <c r="A249"/>
      <c r="F249"/>
    </row>
    <row r="250" spans="1:6">
      <c r="A250"/>
      <c r="F250"/>
    </row>
    <row r="251" spans="1:6">
      <c r="A251"/>
      <c r="F251"/>
    </row>
    <row r="252" spans="1:6">
      <c r="A252"/>
      <c r="F252"/>
    </row>
    <row r="253" spans="1:6">
      <c r="A253"/>
      <c r="F253"/>
    </row>
    <row r="254" spans="1:6">
      <c r="A254"/>
      <c r="F254"/>
    </row>
    <row r="255" spans="1:6">
      <c r="A255"/>
      <c r="F255"/>
    </row>
    <row r="256" spans="1:6">
      <c r="A256"/>
      <c r="F256"/>
    </row>
    <row r="257" spans="1:6">
      <c r="A257"/>
      <c r="F257"/>
    </row>
    <row r="258" spans="1:6">
      <c r="A258"/>
      <c r="F258"/>
    </row>
    <row r="259" spans="1:6">
      <c r="A259"/>
      <c r="F259"/>
    </row>
    <row r="260" spans="1:6">
      <c r="A260"/>
      <c r="F260"/>
    </row>
    <row r="261" spans="1:6">
      <c r="A261"/>
      <c r="F261"/>
    </row>
    <row r="262" spans="1:6">
      <c r="A262"/>
      <c r="F262"/>
    </row>
    <row r="263" spans="1:6">
      <c r="A263"/>
      <c r="F263"/>
    </row>
    <row r="264" spans="1:6">
      <c r="A264"/>
      <c r="F264"/>
    </row>
    <row r="265" spans="1:6">
      <c r="A265"/>
      <c r="F265"/>
    </row>
    <row r="266" spans="1:6">
      <c r="A266"/>
      <c r="F266"/>
    </row>
    <row r="267" spans="1:6">
      <c r="A267"/>
      <c r="F267"/>
    </row>
    <row r="268" spans="1:6">
      <c r="A268"/>
      <c r="F268"/>
    </row>
    <row r="269" spans="1:6">
      <c r="A269"/>
      <c r="F269"/>
    </row>
    <row r="270" spans="1:6">
      <c r="A270"/>
      <c r="F270"/>
    </row>
    <row r="271" spans="1:6">
      <c r="A271"/>
      <c r="F271"/>
    </row>
    <row r="272" spans="1:6">
      <c r="A272"/>
      <c r="F272"/>
    </row>
    <row r="273" spans="1:6">
      <c r="A273"/>
      <c r="F273"/>
    </row>
    <row r="274" spans="1:6">
      <c r="A274"/>
      <c r="F274"/>
    </row>
    <row r="275" spans="1:6">
      <c r="A275"/>
      <c r="F275"/>
    </row>
    <row r="276" spans="1:6">
      <c r="A276"/>
      <c r="F276"/>
    </row>
    <row r="277" spans="1:6">
      <c r="A277"/>
      <c r="F277"/>
    </row>
    <row r="278" spans="1:6">
      <c r="A278"/>
      <c r="F278"/>
    </row>
    <row r="279" spans="1:6">
      <c r="A279"/>
      <c r="F279"/>
    </row>
    <row r="280" spans="1:6">
      <c r="A280"/>
      <c r="F280"/>
    </row>
    <row r="281" spans="1:6">
      <c r="A281"/>
      <c r="F281"/>
    </row>
    <row r="282" spans="1:6">
      <c r="A282"/>
      <c r="F282"/>
    </row>
    <row r="283" spans="1:6">
      <c r="A283"/>
      <c r="F283"/>
    </row>
    <row r="284" spans="1:6">
      <c r="A284"/>
      <c r="F284"/>
    </row>
    <row r="285" spans="1:6">
      <c r="A285"/>
      <c r="F285"/>
    </row>
    <row r="286" spans="1:6">
      <c r="A286"/>
      <c r="F286"/>
    </row>
    <row r="287" spans="1:6">
      <c r="A287"/>
      <c r="F287"/>
    </row>
    <row r="288" spans="1:6">
      <c r="A288"/>
      <c r="F288"/>
    </row>
    <row r="289" spans="1:6">
      <c r="A289"/>
      <c r="F289"/>
    </row>
    <row r="290" spans="1:6">
      <c r="A290"/>
      <c r="F290"/>
    </row>
    <row r="291" spans="1:6">
      <c r="A291"/>
      <c r="F291"/>
    </row>
    <row r="292" spans="1:6">
      <c r="A292"/>
      <c r="F292"/>
    </row>
    <row r="293" spans="1:6">
      <c r="A293"/>
      <c r="F293"/>
    </row>
    <row r="294" spans="1:6">
      <c r="A294"/>
      <c r="F294"/>
    </row>
    <row r="295" spans="1:6">
      <c r="A295"/>
      <c r="F295"/>
    </row>
    <row r="296" spans="1:6">
      <c r="A296"/>
      <c r="F296"/>
    </row>
    <row r="297" spans="1:6">
      <c r="A297"/>
      <c r="F297"/>
    </row>
    <row r="298" spans="1:6">
      <c r="A298"/>
      <c r="F298"/>
    </row>
    <row r="299" spans="1:6">
      <c r="A299"/>
      <c r="F299"/>
    </row>
    <row r="300" spans="1:6">
      <c r="A300"/>
      <c r="F300"/>
    </row>
    <row r="301" spans="1:6">
      <c r="A301"/>
      <c r="F301"/>
    </row>
    <row r="302" spans="1:6">
      <c r="A302"/>
      <c r="F302"/>
    </row>
    <row r="303" spans="1:6">
      <c r="A303"/>
      <c r="F303"/>
    </row>
    <row r="304" spans="1:6">
      <c r="A304"/>
      <c r="F304"/>
    </row>
    <row r="305" spans="1:6">
      <c r="A305"/>
      <c r="F305"/>
    </row>
    <row r="306" spans="1:6">
      <c r="A306"/>
      <c r="F306"/>
    </row>
    <row r="307" spans="1:6">
      <c r="A307"/>
      <c r="F307"/>
    </row>
    <row r="308" spans="1:6">
      <c r="A308"/>
      <c r="F308"/>
    </row>
    <row r="309" spans="1:6">
      <c r="A309"/>
      <c r="F309"/>
    </row>
    <row r="310" spans="1:6">
      <c r="A310"/>
      <c r="F310"/>
    </row>
    <row r="311" spans="1:6">
      <c r="A311"/>
      <c r="F311"/>
    </row>
    <row r="312" spans="1:6">
      <c r="A312"/>
      <c r="F312"/>
    </row>
    <row r="313" spans="1:6">
      <c r="A313"/>
      <c r="F313"/>
    </row>
    <row r="314" spans="1:6">
      <c r="A314"/>
      <c r="F314"/>
    </row>
    <row r="315" spans="1:6">
      <c r="A315"/>
      <c r="F315"/>
    </row>
    <row r="316" spans="1:6">
      <c r="A316"/>
      <c r="F316"/>
    </row>
    <row r="317" spans="1:6">
      <c r="A317"/>
      <c r="F317"/>
    </row>
    <row r="318" spans="1:6">
      <c r="A318"/>
      <c r="F318"/>
    </row>
    <row r="319" spans="1:6">
      <c r="A319"/>
      <c r="F319"/>
    </row>
    <row r="320" spans="1:6">
      <c r="A320"/>
      <c r="F320"/>
    </row>
    <row r="321" spans="1:6">
      <c r="A321"/>
      <c r="F321"/>
    </row>
    <row r="322" spans="1:6">
      <c r="A322"/>
      <c r="F322"/>
    </row>
    <row r="323" spans="1:6">
      <c r="A323"/>
      <c r="F323"/>
    </row>
    <row r="324" spans="1:6">
      <c r="A324"/>
      <c r="F324"/>
    </row>
    <row r="325" spans="1:6">
      <c r="A325"/>
      <c r="F325"/>
    </row>
    <row r="326" spans="1:6">
      <c r="A326"/>
      <c r="F326"/>
    </row>
    <row r="327" spans="1:6">
      <c r="A327"/>
      <c r="F327"/>
    </row>
    <row r="328" spans="1:6">
      <c r="A328"/>
      <c r="F328"/>
    </row>
    <row r="329" spans="1:6">
      <c r="A329"/>
      <c r="F329"/>
    </row>
    <row r="330" spans="1:6">
      <c r="A330"/>
      <c r="F330"/>
    </row>
    <row r="331" spans="1:6">
      <c r="A331"/>
      <c r="F331"/>
    </row>
    <row r="332" spans="1:6">
      <c r="A332"/>
      <c r="F332"/>
    </row>
    <row r="333" spans="1:6">
      <c r="A333"/>
      <c r="F333"/>
    </row>
    <row r="334" spans="1:6">
      <c r="A334"/>
      <c r="F334"/>
    </row>
    <row r="335" spans="1:6">
      <c r="A335"/>
      <c r="F335"/>
    </row>
    <row r="336" spans="1:6">
      <c r="A336"/>
      <c r="F336"/>
    </row>
    <row r="337" spans="1:6">
      <c r="A337"/>
      <c r="F337"/>
    </row>
    <row r="338" spans="1:6">
      <c r="A338"/>
      <c r="F338"/>
    </row>
    <row r="339" spans="1:6">
      <c r="A339"/>
      <c r="F339"/>
    </row>
    <row r="340" spans="1:6">
      <c r="A340"/>
      <c r="F340"/>
    </row>
    <row r="341" spans="1:6">
      <c r="A341"/>
      <c r="F341"/>
    </row>
    <row r="342" spans="1:6">
      <c r="A342"/>
      <c r="F342"/>
    </row>
    <row r="343" spans="1:6">
      <c r="A343"/>
      <c r="F343"/>
    </row>
    <row r="344" spans="1:6">
      <c r="A344"/>
      <c r="F344"/>
    </row>
    <row r="345" spans="1:6">
      <c r="A345"/>
      <c r="F345"/>
    </row>
    <row r="346" spans="1:6">
      <c r="A346"/>
      <c r="F346"/>
    </row>
    <row r="347" spans="1:6">
      <c r="A347"/>
      <c r="F347"/>
    </row>
    <row r="348" spans="1:6">
      <c r="A348"/>
      <c r="F348"/>
    </row>
    <row r="349" spans="1:6">
      <c r="A349"/>
      <c r="F349"/>
    </row>
    <row r="350" spans="1:6">
      <c r="A350"/>
      <c r="F350"/>
    </row>
    <row r="351" spans="1:6">
      <c r="A351"/>
      <c r="F351"/>
    </row>
    <row r="352" spans="1:6">
      <c r="A352"/>
      <c r="F352"/>
    </row>
    <row r="353" spans="1:6">
      <c r="A353"/>
      <c r="F353"/>
    </row>
    <row r="354" spans="1:6">
      <c r="A354"/>
      <c r="F354"/>
    </row>
    <row r="355" spans="1:6">
      <c r="A355"/>
      <c r="F355"/>
    </row>
    <row r="356" spans="1:6">
      <c r="A356"/>
      <c r="F356"/>
    </row>
    <row r="357" spans="1:6">
      <c r="A357"/>
      <c r="F357"/>
    </row>
    <row r="358" spans="1:6">
      <c r="A358"/>
      <c r="F358"/>
    </row>
    <row r="359" spans="1:6">
      <c r="A359"/>
      <c r="F359"/>
    </row>
    <row r="360" spans="1:6">
      <c r="A360"/>
      <c r="F360"/>
    </row>
    <row r="361" spans="1:6">
      <c r="A361"/>
      <c r="F361"/>
    </row>
    <row r="362" spans="1:6">
      <c r="A362"/>
      <c r="F362"/>
    </row>
    <row r="363" spans="1:6">
      <c r="A363"/>
      <c r="F363"/>
    </row>
    <row r="364" spans="1:6">
      <c r="A364"/>
      <c r="F364"/>
    </row>
    <row r="365" spans="1:6">
      <c r="A365"/>
      <c r="F365"/>
    </row>
    <row r="366" spans="1:6">
      <c r="A366"/>
      <c r="F366"/>
    </row>
    <row r="367" spans="1:6">
      <c r="A367"/>
      <c r="F367"/>
    </row>
    <row r="368" spans="1:6">
      <c r="A368"/>
      <c r="F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sheetData>
  <autoFilter ref="A2:F136" xr:uid="{3B175452-2B1A-4461-B635-C388F58109C0}"/>
  <sortState xmlns:xlrd2="http://schemas.microsoft.com/office/spreadsheetml/2017/richdata2" ref="A3:C136">
    <sortCondition ref="A3:A136"/>
  </sortState>
  <conditionalFormatting sqref="D3:D136">
    <cfRule type="containsText" dxfId="22" priority="1" operator="containsText" text="change">
      <formula>NOT(ISERROR(SEARCH("change",D3)))</formula>
    </cfRule>
  </conditionalFormatting>
  <conditionalFormatting sqref="D3:E136">
    <cfRule type="containsText" dxfId="21" priority="2" operator="containsText" text="OK">
      <formula>NOT(ISERROR(SEARCH("OK",D3)))</formula>
    </cfRule>
  </conditionalFormatting>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CA69-2DC7-473A-9435-80DA0225099E}">
  <sheetPr>
    <tabColor rgb="FF92D050"/>
  </sheetPr>
  <dimension ref="A1:F244"/>
  <sheetViews>
    <sheetView topLeftCell="A189" zoomScaleNormal="100" workbookViewId="0">
      <selection activeCell="A213" sqref="A213"/>
    </sheetView>
  </sheetViews>
  <sheetFormatPr defaultRowHeight="14.4"/>
  <cols>
    <col min="1" max="1" width="56.33203125" bestFit="1" customWidth="1"/>
    <col min="2" max="2" width="22.33203125" bestFit="1" customWidth="1"/>
    <col min="3" max="3" width="56" bestFit="1" customWidth="1"/>
    <col min="4" max="4" width="11.109375" customWidth="1"/>
    <col min="5" max="5" width="35.6640625" style="6" customWidth="1"/>
    <col min="6" max="6" width="27.6640625" style="6" bestFit="1" customWidth="1"/>
  </cols>
  <sheetData>
    <row r="1" spans="1:6" s="4" customFormat="1" ht="30" customHeight="1" thickBot="1">
      <c r="A1" s="597" t="s">
        <v>1543</v>
      </c>
      <c r="B1" s="597" t="s">
        <v>1383</v>
      </c>
      <c r="C1" s="597" t="s">
        <v>1384</v>
      </c>
      <c r="D1" s="597" t="s">
        <v>1385</v>
      </c>
      <c r="E1" s="597"/>
      <c r="F1" s="597"/>
    </row>
    <row r="2" spans="1:6" ht="30" customHeight="1" thickBot="1">
      <c r="A2" s="144" t="s">
        <v>1374</v>
      </c>
      <c r="B2" s="65" t="s">
        <v>1375</v>
      </c>
      <c r="C2" s="145" t="s">
        <v>1376</v>
      </c>
      <c r="D2" s="65" t="s">
        <v>1386</v>
      </c>
      <c r="E2" s="65" t="s">
        <v>1387</v>
      </c>
      <c r="F2" s="58" t="s">
        <v>1388</v>
      </c>
    </row>
    <row r="3" spans="1:6" ht="15" customHeight="1" thickBot="1">
      <c r="A3" s="491" t="s">
        <v>949</v>
      </c>
      <c r="B3" s="96" t="s">
        <v>1392</v>
      </c>
      <c r="C3" s="96" t="s">
        <v>1232</v>
      </c>
      <c r="D3" s="101" t="str">
        <f t="shared" ref="D3:D66" si="0">IF(B3=IF(COUNTIF($F$3:$F$150,C3),"Stock","Flow/Sink"),"OK",IF(B3="Stock","Compartment missing in Lifetimes, available as pair?",IF(IF(COUNTIF($F$3:$F$150,C3),"Stock","Flow/Sink")="Stock","Change Type of compartment to Stock","OK")))</f>
        <v>OK</v>
      </c>
      <c r="E3" s="566"/>
      <c r="F3" s="602" t="str">
        <f>Lifetimes!B1</f>
        <v>AgriculturalFilmsIU</v>
      </c>
    </row>
    <row r="4" spans="1:6" ht="15" customHeight="1" thickBot="1">
      <c r="A4" s="322" t="s">
        <v>947</v>
      </c>
      <c r="B4" s="97" t="s">
        <v>1392</v>
      </c>
      <c r="C4" s="97" t="s">
        <v>963</v>
      </c>
      <c r="D4" s="101" t="str">
        <f t="shared" si="0"/>
        <v>OK</v>
      </c>
      <c r="E4" s="82"/>
      <c r="F4" s="603" t="str">
        <f>Lifetimes!C1</f>
        <v>AgriculturalFilmsDis</v>
      </c>
    </row>
    <row r="5" spans="1:6" ht="15" customHeight="1" thickBot="1">
      <c r="A5" s="322" t="s">
        <v>950</v>
      </c>
      <c r="B5" s="97" t="s">
        <v>1389</v>
      </c>
      <c r="C5" s="97" t="s">
        <v>1544</v>
      </c>
      <c r="D5" s="101" t="str">
        <f t="shared" si="0"/>
        <v>OK</v>
      </c>
      <c r="E5" s="82"/>
      <c r="F5" s="603" t="str">
        <f>Lifetimes!D1</f>
        <v>AgriculturalPackagingBottles</v>
      </c>
    </row>
    <row r="6" spans="1:6" ht="15" customHeight="1" thickBot="1">
      <c r="A6" s="322" t="s">
        <v>943</v>
      </c>
      <c r="B6" s="97" t="s">
        <v>1392</v>
      </c>
      <c r="C6" s="97" t="s">
        <v>1233</v>
      </c>
      <c r="D6" s="101" t="str">
        <f t="shared" si="0"/>
        <v>OK</v>
      </c>
      <c r="E6" s="82"/>
      <c r="F6" s="603" t="str">
        <f>Lifetimes!E1</f>
        <v>AgriculturalPackagingFilms</v>
      </c>
    </row>
    <row r="7" spans="1:6" ht="15" customHeight="1" thickBot="1">
      <c r="A7" s="322" t="s">
        <v>948</v>
      </c>
      <c r="B7" s="97" t="s">
        <v>1392</v>
      </c>
      <c r="C7" s="97" t="s">
        <v>958</v>
      </c>
      <c r="D7" s="101" t="str">
        <f t="shared" si="0"/>
        <v>OK</v>
      </c>
      <c r="E7" s="82"/>
      <c r="F7" s="603" t="str">
        <f>Lifetimes!F1</f>
        <v>AgriculturalPipesIU</v>
      </c>
    </row>
    <row r="8" spans="1:6" ht="15" customHeight="1" thickBot="1">
      <c r="A8" s="74" t="s">
        <v>153</v>
      </c>
      <c r="B8" s="97" t="s">
        <v>1392</v>
      </c>
      <c r="C8" s="97" t="s">
        <v>1248</v>
      </c>
      <c r="D8" s="101" t="str">
        <f t="shared" si="0"/>
        <v>OK</v>
      </c>
      <c r="E8" s="82"/>
      <c r="F8" s="603" t="str">
        <f>Lifetimes!G1</f>
        <v>AgriculturalPipesDis</v>
      </c>
    </row>
    <row r="9" spans="1:6" s="16" customFormat="1" ht="15" thickBot="1">
      <c r="A9" s="74" t="s">
        <v>162</v>
      </c>
      <c r="B9" s="97" t="s">
        <v>1392</v>
      </c>
      <c r="C9" s="97" t="s">
        <v>1249</v>
      </c>
      <c r="D9" s="101" t="str">
        <f t="shared" si="0"/>
        <v>OK</v>
      </c>
      <c r="E9" s="82"/>
      <c r="F9" s="603" t="str">
        <f>Lifetimes!H1</f>
        <v>AgriculturalPPP</v>
      </c>
    </row>
    <row r="10" spans="1:6" ht="15" thickBot="1">
      <c r="A10" s="74" t="s">
        <v>171</v>
      </c>
      <c r="B10" s="97" t="s">
        <v>1392</v>
      </c>
      <c r="C10" s="97" t="s">
        <v>1253</v>
      </c>
      <c r="D10" s="101" t="str">
        <f t="shared" si="0"/>
        <v>OK</v>
      </c>
      <c r="E10" s="82"/>
      <c r="F10" s="603" t="str">
        <f>Lifetimes!I1</f>
        <v>BuildingPackagingFilms</v>
      </c>
    </row>
    <row r="11" spans="1:6" ht="15" thickBot="1">
      <c r="A11" s="74" t="s">
        <v>172</v>
      </c>
      <c r="B11" s="97" t="s">
        <v>1392</v>
      </c>
      <c r="C11" s="97" t="s">
        <v>1254</v>
      </c>
      <c r="D11" s="101" t="str">
        <f t="shared" si="0"/>
        <v>OK</v>
      </c>
      <c r="E11" s="82"/>
      <c r="F11" s="603" t="str">
        <f>Lifetimes!J1</f>
        <v>ConsumerBags</v>
      </c>
    </row>
    <row r="12" spans="1:6" ht="15" thickBot="1">
      <c r="A12" s="74" t="s">
        <v>194</v>
      </c>
      <c r="B12" s="97" t="s">
        <v>1392</v>
      </c>
      <c r="C12" s="97" t="s">
        <v>1240</v>
      </c>
      <c r="D12" s="101" t="str">
        <f t="shared" si="0"/>
        <v>OK</v>
      </c>
      <c r="E12" s="82"/>
      <c r="F12" s="603" t="str">
        <f>Lifetimes!K1</f>
        <v>ConsumerBottles</v>
      </c>
    </row>
    <row r="13" spans="1:6" ht="15" thickBot="1">
      <c r="A13" s="74" t="s">
        <v>196</v>
      </c>
      <c r="B13" s="493" t="s">
        <v>1389</v>
      </c>
      <c r="C13" s="97" t="s">
        <v>1545</v>
      </c>
      <c r="D13" s="101" t="str">
        <f t="shared" si="0"/>
        <v>OK</v>
      </c>
      <c r="E13" s="82"/>
      <c r="F13" s="603" t="str">
        <f>Lifetimes!L1</f>
        <v>ConsumerFilms</v>
      </c>
    </row>
    <row r="14" spans="1:6" ht="15" thickBot="1">
      <c r="A14" s="492" t="s">
        <v>197</v>
      </c>
      <c r="B14" s="493" t="s">
        <v>1392</v>
      </c>
      <c r="C14" s="97" t="s">
        <v>1242</v>
      </c>
      <c r="D14" s="101" t="str">
        <f t="shared" si="0"/>
        <v>OK</v>
      </c>
      <c r="E14" s="82"/>
      <c r="F14" s="603" t="str">
        <f>Lifetimes!M1</f>
        <v>ConsumerOther</v>
      </c>
    </row>
    <row r="15" spans="1:6" ht="15" thickBot="1">
      <c r="A15" s="492" t="s">
        <v>198</v>
      </c>
      <c r="B15" s="493" t="s">
        <v>1392</v>
      </c>
      <c r="C15" s="97" t="s">
        <v>1241</v>
      </c>
      <c r="D15" s="101" t="str">
        <f t="shared" si="0"/>
        <v>OK</v>
      </c>
      <c r="E15" s="82"/>
      <c r="F15" s="603" t="str">
        <f>Lifetimes!N1</f>
        <v>Cosmetics</v>
      </c>
    </row>
    <row r="16" spans="1:6" ht="15" thickBot="1">
      <c r="A16" s="359" t="s">
        <v>167</v>
      </c>
      <c r="B16" s="493" t="s">
        <v>1389</v>
      </c>
      <c r="C16" s="493" t="s">
        <v>1546</v>
      </c>
      <c r="D16" s="101" t="str">
        <f t="shared" si="0"/>
        <v>OK</v>
      </c>
      <c r="E16" s="82"/>
      <c r="F16" s="603" t="str">
        <f>Lifetimes!O1</f>
        <v>Household</v>
      </c>
    </row>
    <row r="17" spans="1:6" ht="15" thickBot="1">
      <c r="A17" s="359" t="s">
        <v>206</v>
      </c>
      <c r="B17" s="493" t="s">
        <v>1389</v>
      </c>
      <c r="C17" s="493" t="s">
        <v>1547</v>
      </c>
      <c r="D17" s="101" t="str">
        <f t="shared" si="0"/>
        <v>OK</v>
      </c>
      <c r="E17" s="82"/>
      <c r="F17" s="603" t="str">
        <f>Lifetimes!P1</f>
        <v>NonConsumerBags</v>
      </c>
    </row>
    <row r="18" spans="1:6" ht="15" thickBot="1">
      <c r="A18" s="359" t="s">
        <v>207</v>
      </c>
      <c r="B18" s="493" t="s">
        <v>1389</v>
      </c>
      <c r="C18" s="493" t="s">
        <v>1548</v>
      </c>
      <c r="D18" s="101" t="str">
        <f t="shared" si="0"/>
        <v>OK</v>
      </c>
      <c r="E18" s="82"/>
      <c r="F18" s="603" t="str">
        <f>Lifetimes!Q1</f>
        <v>NonConsumerOther</v>
      </c>
    </row>
    <row r="19" spans="1:6" ht="15" thickBot="1">
      <c r="A19" s="74" t="s">
        <v>411</v>
      </c>
      <c r="B19" s="97" t="s">
        <v>1389</v>
      </c>
      <c r="C19" s="97" t="s">
        <v>1549</v>
      </c>
      <c r="D19" s="101" t="str">
        <f t="shared" si="0"/>
        <v>OK</v>
      </c>
      <c r="E19" s="82"/>
      <c r="F19" s="603" t="str">
        <f>Lifetimes!R1</f>
        <v>OtherNonConsumerFilms</v>
      </c>
    </row>
    <row r="20" spans="1:6" ht="15" thickBot="1">
      <c r="A20" s="322" t="s">
        <v>432</v>
      </c>
      <c r="B20" s="97" t="s">
        <v>1389</v>
      </c>
      <c r="C20" s="97" t="s">
        <v>1550</v>
      </c>
      <c r="D20" s="101" t="str">
        <f t="shared" si="0"/>
        <v>OK</v>
      </c>
      <c r="E20" s="82"/>
      <c r="F20" s="603" t="str">
        <f>Lifetimes!S1</f>
        <v>OtherOther</v>
      </c>
    </row>
    <row r="21" spans="1:6" ht="15" thickBot="1">
      <c r="A21" s="322" t="s">
        <v>430</v>
      </c>
      <c r="B21" s="97" t="s">
        <v>1392</v>
      </c>
      <c r="C21" s="97" t="s">
        <v>1258</v>
      </c>
      <c r="D21" s="101" t="str">
        <f t="shared" si="0"/>
        <v>OK</v>
      </c>
      <c r="E21" s="82"/>
      <c r="F21" s="603" t="str">
        <f>Lifetimes!T1</f>
        <v>PipesDucts</v>
      </c>
    </row>
    <row r="22" spans="1:6" ht="15" thickBot="1">
      <c r="A22" s="322" t="s">
        <v>435</v>
      </c>
      <c r="B22" s="97" t="s">
        <v>1392</v>
      </c>
      <c r="C22" s="97" t="s">
        <v>1259</v>
      </c>
      <c r="D22" s="101" t="str">
        <f t="shared" si="0"/>
        <v>OK</v>
      </c>
      <c r="E22" s="82"/>
      <c r="F22" s="603" t="str">
        <f>Lifetimes!U1</f>
        <v>OtherOilGas</v>
      </c>
    </row>
    <row r="23" spans="1:6" ht="15" thickBot="1">
      <c r="A23" s="322" t="s">
        <v>431</v>
      </c>
      <c r="B23" s="97" t="s">
        <v>1389</v>
      </c>
      <c r="C23" s="97" t="s">
        <v>1551</v>
      </c>
      <c r="D23" s="101" t="str">
        <f t="shared" si="0"/>
        <v>OK</v>
      </c>
      <c r="E23" s="82"/>
      <c r="F23" s="603" t="str">
        <f>Lifetimes!V1</f>
        <v>InfillSportsFieldDis</v>
      </c>
    </row>
    <row r="24" spans="1:6" ht="15" thickBot="1">
      <c r="A24" s="322" t="s">
        <v>433</v>
      </c>
      <c r="B24" s="97" t="s">
        <v>1392</v>
      </c>
      <c r="C24" s="97" t="s">
        <v>1260</v>
      </c>
      <c r="D24" s="101" t="str">
        <f t="shared" si="0"/>
        <v>OK</v>
      </c>
      <c r="E24" s="82"/>
      <c r="F24" s="603" t="str">
        <f>Lifetimes!W1</f>
        <v>InfillSportsFieldU</v>
      </c>
    </row>
    <row r="25" spans="1:6" ht="15" thickBot="1">
      <c r="A25" s="322" t="s">
        <v>434</v>
      </c>
      <c r="B25" s="97" t="s">
        <v>1392</v>
      </c>
      <c r="C25" s="97" t="s">
        <v>1261</v>
      </c>
      <c r="D25" s="101" t="str">
        <f t="shared" si="0"/>
        <v>OK</v>
      </c>
      <c r="E25" s="82"/>
      <c r="F25" s="603" t="str">
        <f>Lifetimes!AE1</f>
        <v>ClothingDis</v>
      </c>
    </row>
    <row r="26" spans="1:6" ht="15" thickBot="1">
      <c r="A26" s="74" t="s">
        <v>156</v>
      </c>
      <c r="B26" s="97" t="s">
        <v>1389</v>
      </c>
      <c r="C26" s="97" t="s">
        <v>1552</v>
      </c>
      <c r="D26" s="101" t="str">
        <f t="shared" si="0"/>
        <v>OK</v>
      </c>
      <c r="E26" s="82"/>
      <c r="F26" s="603" t="str">
        <f>Lifetimes!AF1</f>
        <v>ClothingIUWearTear</v>
      </c>
    </row>
    <row r="27" spans="1:6" ht="15" thickBot="1">
      <c r="A27" s="74" t="s">
        <v>227</v>
      </c>
      <c r="B27" s="97" t="s">
        <v>1389</v>
      </c>
      <c r="C27" s="97" t="s">
        <v>1553</v>
      </c>
      <c r="D27" s="101" t="str">
        <f t="shared" si="0"/>
        <v>OK</v>
      </c>
      <c r="E27" s="82"/>
      <c r="F27" s="603" t="str">
        <f>Lifetimes!AG1</f>
        <v>ClothingIUWashDry</v>
      </c>
    </row>
    <row r="28" spans="1:6" ht="15" thickBot="1">
      <c r="A28" s="74" t="s">
        <v>109</v>
      </c>
      <c r="B28" s="97" t="s">
        <v>1389</v>
      </c>
      <c r="C28" s="97" t="s">
        <v>1554</v>
      </c>
      <c r="D28" s="101" t="str">
        <f t="shared" si="0"/>
        <v>OK</v>
      </c>
      <c r="E28" s="82"/>
      <c r="F28" s="603" t="str">
        <f>Lifetimes!AH1</f>
        <v>HomeTextilesDis</v>
      </c>
    </row>
    <row r="29" spans="1:6" ht="15" thickBot="1">
      <c r="A29" s="74" t="s">
        <v>267</v>
      </c>
      <c r="B29" s="97" t="s">
        <v>1395</v>
      </c>
      <c r="C29" s="97" t="s">
        <v>1555</v>
      </c>
      <c r="D29" s="101" t="str">
        <f t="shared" si="0"/>
        <v>OK</v>
      </c>
      <c r="E29" s="82"/>
      <c r="F29" s="603" t="str">
        <f>Lifetimes!AI1</f>
        <v>HomeTextilesIU</v>
      </c>
    </row>
    <row r="30" spans="1:6" ht="15" thickBot="1">
      <c r="A30" s="74" t="s">
        <v>159</v>
      </c>
      <c r="B30" s="97" t="s">
        <v>1389</v>
      </c>
      <c r="C30" s="97" t="s">
        <v>1556</v>
      </c>
      <c r="D30" s="101" t="str">
        <f t="shared" si="0"/>
        <v>OK</v>
      </c>
      <c r="E30" s="82"/>
      <c r="F30" s="603" t="str">
        <f>Lifetimes!AJ1</f>
        <v>TechHomeTextilesDis</v>
      </c>
    </row>
    <row r="31" spans="1:6" ht="15" thickBot="1">
      <c r="A31" s="74" t="s">
        <v>268</v>
      </c>
      <c r="B31" s="97" t="s">
        <v>1389</v>
      </c>
      <c r="C31" s="97" t="s">
        <v>1557</v>
      </c>
      <c r="D31" s="101" t="str">
        <f t="shared" si="0"/>
        <v>OK</v>
      </c>
      <c r="E31" s="82"/>
      <c r="F31" s="603" t="str">
        <f>Lifetimes!AK1</f>
        <v>TechHomeTextilesIU</v>
      </c>
    </row>
    <row r="32" spans="1:6" ht="15" thickBot="1">
      <c r="A32" s="74" t="s">
        <v>186</v>
      </c>
      <c r="B32" s="97" t="s">
        <v>1392</v>
      </c>
      <c r="C32" s="97" t="s">
        <v>1251</v>
      </c>
      <c r="D32" s="101" t="str">
        <f t="shared" si="0"/>
        <v>OK</v>
      </c>
      <c r="E32" s="82"/>
      <c r="F32" s="603" t="str">
        <f>Lifetimes!AL1</f>
        <v>MedicalTextiles</v>
      </c>
    </row>
    <row r="33" spans="1:6" ht="15" thickBot="1">
      <c r="A33" s="74" t="s">
        <v>187</v>
      </c>
      <c r="B33" s="97" t="s">
        <v>1392</v>
      </c>
      <c r="C33" s="97" t="s">
        <v>1252</v>
      </c>
      <c r="D33" s="101" t="str">
        <f t="shared" si="0"/>
        <v>OK</v>
      </c>
      <c r="E33" s="82"/>
      <c r="F33" s="603" t="str">
        <f>Lifetimes!AM1</f>
        <v>AgrotextilesDis</v>
      </c>
    </row>
    <row r="34" spans="1:6" ht="15" thickBot="1">
      <c r="A34" s="322" t="s">
        <v>269</v>
      </c>
      <c r="B34" s="97" t="s">
        <v>1389</v>
      </c>
      <c r="C34" s="97" t="s">
        <v>269</v>
      </c>
      <c r="D34" s="101" t="str">
        <f t="shared" si="0"/>
        <v>OK</v>
      </c>
      <c r="E34" s="82"/>
      <c r="F34" s="603" t="str">
        <f>Lifetimes!AN1</f>
        <v>AgrotextilesIU</v>
      </c>
    </row>
    <row r="35" spans="1:6" ht="15" thickBot="1">
      <c r="A35" s="322" t="s">
        <v>270</v>
      </c>
      <c r="B35" s="97" t="s">
        <v>1389</v>
      </c>
      <c r="C35" s="97" t="s">
        <v>1558</v>
      </c>
      <c r="D35" s="101" t="str">
        <f t="shared" si="0"/>
        <v>OK</v>
      </c>
      <c r="E35" s="82"/>
      <c r="F35" s="603" t="str">
        <f>Lifetimes!AO1</f>
        <v>MobilityTextiles</v>
      </c>
    </row>
    <row r="36" spans="1:6" ht="15" thickBot="1">
      <c r="A36" s="322" t="s">
        <v>271</v>
      </c>
      <c r="B36" s="97" t="s">
        <v>1389</v>
      </c>
      <c r="C36" s="97" t="s">
        <v>1559</v>
      </c>
      <c r="D36" s="101" t="str">
        <f t="shared" si="0"/>
        <v>OK</v>
      </c>
      <c r="E36" s="82"/>
      <c r="F36" s="603" t="str">
        <f>Lifetimes!AP1</f>
        <v>GeotextilesDis</v>
      </c>
    </row>
    <row r="37" spans="1:6" ht="15" thickBot="1">
      <c r="A37" s="322" t="s">
        <v>373</v>
      </c>
      <c r="B37" s="97" t="s">
        <v>1389</v>
      </c>
      <c r="C37" s="97" t="s">
        <v>1560</v>
      </c>
      <c r="D37" s="101" t="str">
        <f t="shared" si="0"/>
        <v>OK</v>
      </c>
      <c r="E37" s="82"/>
      <c r="F37" s="603" t="str">
        <f>Lifetimes!AQ1</f>
        <v>GeotextilesIU</v>
      </c>
    </row>
    <row r="38" spans="1:6" ht="15" thickBot="1">
      <c r="A38" s="322" t="s">
        <v>275</v>
      </c>
      <c r="B38" s="97" t="s">
        <v>1389</v>
      </c>
      <c r="C38" s="97" t="s">
        <v>1561</v>
      </c>
      <c r="D38" s="101" t="str">
        <f t="shared" si="0"/>
        <v>OK</v>
      </c>
      <c r="E38" s="82"/>
      <c r="F38" s="603" t="str">
        <f>Lifetimes!AR1</f>
        <v>BuildingTextilesDis</v>
      </c>
    </row>
    <row r="39" spans="1:6" ht="15" thickBot="1">
      <c r="A39" s="492" t="s">
        <v>189</v>
      </c>
      <c r="B39" s="97" t="s">
        <v>1389</v>
      </c>
      <c r="C39" s="97" t="s">
        <v>1562</v>
      </c>
      <c r="D39" s="101" t="str">
        <f t="shared" si="0"/>
        <v>OK</v>
      </c>
      <c r="E39" s="82"/>
      <c r="F39" s="603" t="str">
        <f>Lifetimes!AS1</f>
        <v>BuildingTextilesIU</v>
      </c>
    </row>
    <row r="40" spans="1:6" ht="15" thickBot="1">
      <c r="A40" s="74" t="s">
        <v>190</v>
      </c>
      <c r="B40" s="97" t="s">
        <v>1392</v>
      </c>
      <c r="C40" s="97" t="s">
        <v>1243</v>
      </c>
      <c r="D40" s="101" t="str">
        <f t="shared" si="0"/>
        <v>OK</v>
      </c>
      <c r="E40" s="82"/>
      <c r="F40" s="603" t="str">
        <f>Lifetimes!AT1</f>
        <v>OtherTechnicalTextiles</v>
      </c>
    </row>
    <row r="41" spans="1:6" ht="15" thickBot="1">
      <c r="A41" s="74" t="s">
        <v>191</v>
      </c>
      <c r="B41" s="97" t="s">
        <v>1392</v>
      </c>
      <c r="C41" s="97" t="s">
        <v>1244</v>
      </c>
      <c r="D41" s="101" t="str">
        <f t="shared" si="0"/>
        <v>OK</v>
      </c>
      <c r="E41" s="82"/>
      <c r="F41" s="603" t="str">
        <f>Lifetimes!AU1</f>
        <v>TextileCoatingDis</v>
      </c>
    </row>
    <row r="42" spans="1:6" ht="15" thickBot="1">
      <c r="A42" s="74" t="s">
        <v>114</v>
      </c>
      <c r="B42" s="97" t="s">
        <v>1389</v>
      </c>
      <c r="C42" s="97" t="s">
        <v>1563</v>
      </c>
      <c r="D42" s="101" t="str">
        <f t="shared" si="0"/>
        <v>OK</v>
      </c>
      <c r="E42" s="82"/>
      <c r="F42" s="603" t="str">
        <f>Lifetimes!AV1</f>
        <v>TextileCoatingIU</v>
      </c>
    </row>
    <row r="43" spans="1:6" ht="15" thickBot="1">
      <c r="A43" s="74" t="s">
        <v>1564</v>
      </c>
      <c r="B43" s="97" t="s">
        <v>1389</v>
      </c>
      <c r="C43" s="97" t="s">
        <v>1565</v>
      </c>
      <c r="D43" s="101" t="str">
        <f t="shared" si="0"/>
        <v>OK</v>
      </c>
      <c r="E43" s="82"/>
      <c r="F43" s="603" t="str">
        <f>Lifetimes!AW1</f>
        <v>ConcreteProfInDis</v>
      </c>
    </row>
    <row r="44" spans="1:6" ht="15" thickBot="1">
      <c r="A44" s="74" t="s">
        <v>1566</v>
      </c>
      <c r="B44" s="97" t="s">
        <v>1389</v>
      </c>
      <c r="C44" s="97" t="s">
        <v>1567</v>
      </c>
      <c r="D44" s="101" t="str">
        <f t="shared" si="0"/>
        <v>OK</v>
      </c>
      <c r="E44" s="82"/>
      <c r="F44" s="603" t="str">
        <f>Lifetimes!AX1</f>
        <v>ConcreteProfInIU</v>
      </c>
    </row>
    <row r="45" spans="1:6" ht="15" thickBot="1">
      <c r="A45" s="74" t="s">
        <v>1568</v>
      </c>
      <c r="B45" s="97" t="s">
        <v>1389</v>
      </c>
      <c r="C45" s="97" t="s">
        <v>1569</v>
      </c>
      <c r="D45" s="101" t="str">
        <f t="shared" si="0"/>
        <v>OK</v>
      </c>
      <c r="E45" s="82"/>
      <c r="F45" s="603" t="str">
        <f>Lifetimes!AY1</f>
        <v>ConcreteProfOutDis</v>
      </c>
    </row>
    <row r="46" spans="1:6" ht="15" thickBot="1">
      <c r="A46" s="74" t="s">
        <v>1570</v>
      </c>
      <c r="B46" s="97" t="s">
        <v>1389</v>
      </c>
      <c r="C46" s="97" t="s">
        <v>1571</v>
      </c>
      <c r="D46" s="101" t="str">
        <f t="shared" si="0"/>
        <v>OK</v>
      </c>
      <c r="E46" s="82"/>
      <c r="F46" s="603" t="str">
        <f>Lifetimes!AZ1</f>
        <v>ConcreteProfOutIU</v>
      </c>
    </row>
    <row r="47" spans="1:6" ht="15" thickBot="1">
      <c r="A47" s="74" t="s">
        <v>1572</v>
      </c>
      <c r="B47" s="97" t="s">
        <v>1389</v>
      </c>
      <c r="C47" s="97" t="s">
        <v>1573</v>
      </c>
      <c r="D47" s="101" t="str">
        <f t="shared" si="0"/>
        <v>OK</v>
      </c>
      <c r="E47" s="82"/>
      <c r="F47" s="603" t="str">
        <f>Lifetimes!BA1</f>
        <v>LacquerDiyInDis</v>
      </c>
    </row>
    <row r="48" spans="1:6" ht="15" thickBot="1">
      <c r="A48" s="74" t="s">
        <v>1574</v>
      </c>
      <c r="B48" s="97" t="s">
        <v>1389</v>
      </c>
      <c r="C48" s="97" t="s">
        <v>1575</v>
      </c>
      <c r="D48" s="101" t="str">
        <f t="shared" si="0"/>
        <v>OK</v>
      </c>
      <c r="E48" s="82"/>
      <c r="F48" s="603" t="str">
        <f>Lifetimes!BB1</f>
        <v>LacquerDiyInIU</v>
      </c>
    </row>
    <row r="49" spans="1:6" ht="15" thickBot="1">
      <c r="A49" s="74" t="s">
        <v>1576</v>
      </c>
      <c r="B49" s="97" t="s">
        <v>1389</v>
      </c>
      <c r="C49" s="97" t="s">
        <v>1577</v>
      </c>
      <c r="D49" s="101" t="str">
        <f t="shared" si="0"/>
        <v>OK</v>
      </c>
      <c r="E49" s="82"/>
      <c r="F49" s="603" t="str">
        <f>Lifetimes!BC1</f>
        <v>LacquerDiyOutDis</v>
      </c>
    </row>
    <row r="50" spans="1:6" ht="15" thickBot="1">
      <c r="A50" s="74" t="s">
        <v>1578</v>
      </c>
      <c r="B50" s="97" t="s">
        <v>1389</v>
      </c>
      <c r="C50" s="97" t="s">
        <v>1579</v>
      </c>
      <c r="D50" s="101" t="str">
        <f t="shared" si="0"/>
        <v>OK</v>
      </c>
      <c r="E50" s="82"/>
      <c r="F50" s="603" t="str">
        <f>Lifetimes!BD1</f>
        <v>LacquerDiyOutIU</v>
      </c>
    </row>
    <row r="51" spans="1:6" ht="15" thickBot="1">
      <c r="A51" s="74" t="s">
        <v>1580</v>
      </c>
      <c r="B51" s="97" t="s">
        <v>1389</v>
      </c>
      <c r="C51" s="97" t="s">
        <v>1581</v>
      </c>
      <c r="D51" s="101" t="str">
        <f t="shared" si="0"/>
        <v>OK</v>
      </c>
      <c r="E51" s="82"/>
      <c r="F51" s="603" t="str">
        <f>Lifetimes!BE1</f>
        <v>LacquerProfInDis</v>
      </c>
    </row>
    <row r="52" spans="1:6" ht="15" thickBot="1">
      <c r="A52" s="74" t="s">
        <v>1582</v>
      </c>
      <c r="B52" s="97" t="s">
        <v>1389</v>
      </c>
      <c r="C52" s="97" t="s">
        <v>1583</v>
      </c>
      <c r="D52" s="101" t="str">
        <f t="shared" si="0"/>
        <v>OK</v>
      </c>
      <c r="E52" s="82"/>
      <c r="F52" s="603" t="str">
        <f>Lifetimes!BF1</f>
        <v>LacquerProfInIU</v>
      </c>
    </row>
    <row r="53" spans="1:6" ht="15" thickBot="1">
      <c r="A53" s="74" t="s">
        <v>1584</v>
      </c>
      <c r="B53" s="97" t="s">
        <v>1389</v>
      </c>
      <c r="C53" s="97" t="s">
        <v>1585</v>
      </c>
      <c r="D53" s="101" t="str">
        <f t="shared" si="0"/>
        <v>OK</v>
      </c>
      <c r="E53" s="82"/>
      <c r="F53" s="603" t="str">
        <f>Lifetimes!BG1</f>
        <v>LacquerProfOutDis</v>
      </c>
    </row>
    <row r="54" spans="1:6" ht="15" thickBot="1">
      <c r="A54" s="74" t="s">
        <v>254</v>
      </c>
      <c r="B54" s="97" t="s">
        <v>1395</v>
      </c>
      <c r="C54" s="97" t="s">
        <v>1586</v>
      </c>
      <c r="D54" s="101" t="str">
        <f t="shared" si="0"/>
        <v>OK</v>
      </c>
      <c r="E54" s="82"/>
      <c r="F54" s="603" t="str">
        <f>Lifetimes!BH1</f>
        <v>LacquerProfOutIU</v>
      </c>
    </row>
    <row r="55" spans="1:6" ht="15" thickBot="1">
      <c r="A55" s="74" t="s">
        <v>302</v>
      </c>
      <c r="B55" s="97" t="s">
        <v>1389</v>
      </c>
      <c r="C55" s="97" t="s">
        <v>1587</v>
      </c>
      <c r="D55" s="101" t="str">
        <f t="shared" si="0"/>
        <v>OK</v>
      </c>
      <c r="E55" s="82"/>
      <c r="F55" s="603" t="str">
        <f>Lifetimes!BI1</f>
        <v>OtherPaintUsesDiyInDis</v>
      </c>
    </row>
    <row r="56" spans="1:6" ht="15" thickBot="1">
      <c r="A56" s="74" t="s">
        <v>304</v>
      </c>
      <c r="B56" s="97" t="s">
        <v>1392</v>
      </c>
      <c r="C56" s="97" t="s">
        <v>1238</v>
      </c>
      <c r="D56" s="101" t="str">
        <f t="shared" si="0"/>
        <v>OK</v>
      </c>
      <c r="E56" s="82"/>
      <c r="F56" s="603" t="str">
        <f>Lifetimes!BJ1</f>
        <v>OtherPaintUsesDiyInIU</v>
      </c>
    </row>
    <row r="57" spans="1:6" ht="15" thickBot="1">
      <c r="A57" s="74" t="s">
        <v>305</v>
      </c>
      <c r="B57" s="97" t="s">
        <v>1392</v>
      </c>
      <c r="C57" s="97" t="s">
        <v>1239</v>
      </c>
      <c r="D57" s="101" t="str">
        <f t="shared" si="0"/>
        <v>OK</v>
      </c>
      <c r="E57" s="82"/>
      <c r="F57" s="603" t="str">
        <f>Lifetimes!BK1</f>
        <v>OtherPaintUsesDiyOutDis</v>
      </c>
    </row>
    <row r="58" spans="1:6" ht="15" thickBot="1">
      <c r="A58" s="74" t="s">
        <v>37</v>
      </c>
      <c r="B58" s="97" t="s">
        <v>1389</v>
      </c>
      <c r="C58" s="97" t="s">
        <v>1588</v>
      </c>
      <c r="D58" s="101" t="str">
        <f t="shared" si="0"/>
        <v>OK</v>
      </c>
      <c r="E58" s="82"/>
      <c r="F58" s="603" t="str">
        <f>Lifetimes!BL1</f>
        <v>OtherPaintUsesDiyOutIU</v>
      </c>
    </row>
    <row r="59" spans="1:6" ht="15" thickBot="1">
      <c r="A59" s="74" t="s">
        <v>1589</v>
      </c>
      <c r="B59" s="97" t="s">
        <v>1389</v>
      </c>
      <c r="C59" s="97" t="s">
        <v>1590</v>
      </c>
      <c r="D59" s="101" t="str">
        <f t="shared" si="0"/>
        <v>OK</v>
      </c>
      <c r="E59" s="82"/>
      <c r="F59" s="603" t="str">
        <f>Lifetimes!BM1</f>
        <v>OtherPaintUsesProfInDis</v>
      </c>
    </row>
    <row r="60" spans="1:6" ht="15" thickBot="1">
      <c r="A60" s="74" t="s">
        <v>1591</v>
      </c>
      <c r="B60" s="97" t="s">
        <v>1389</v>
      </c>
      <c r="C60" s="97" t="s">
        <v>1592</v>
      </c>
      <c r="D60" s="101" t="str">
        <f t="shared" si="0"/>
        <v>OK</v>
      </c>
      <c r="E60" s="82"/>
      <c r="F60" s="603" t="str">
        <f>Lifetimes!BN1</f>
        <v>OtherPaintUsesProfInIU</v>
      </c>
    </row>
    <row r="61" spans="1:6" ht="15" thickBot="1">
      <c r="A61" s="74" t="s">
        <v>1593</v>
      </c>
      <c r="B61" s="97" t="s">
        <v>1389</v>
      </c>
      <c r="C61" s="97" t="s">
        <v>1594</v>
      </c>
      <c r="D61" s="101" t="str">
        <f t="shared" si="0"/>
        <v>OK</v>
      </c>
      <c r="E61" s="82"/>
      <c r="F61" s="603" t="str">
        <f>Lifetimes!BO1</f>
        <v>OtherPaintUsesProfOutDis</v>
      </c>
    </row>
    <row r="62" spans="1:6" ht="15" thickBot="1">
      <c r="A62" s="74" t="s">
        <v>1595</v>
      </c>
      <c r="B62" s="97" t="s">
        <v>1389</v>
      </c>
      <c r="C62" s="97" t="s">
        <v>1596</v>
      </c>
      <c r="D62" s="101" t="str">
        <f t="shared" si="0"/>
        <v>OK</v>
      </c>
      <c r="E62" s="82"/>
      <c r="F62" s="603" t="str">
        <f>Lifetimes!BP1</f>
        <v>OtherPaintUsesProfOutIU</v>
      </c>
    </row>
    <row r="63" spans="1:6" ht="15" thickBot="1">
      <c r="A63" s="74" t="s">
        <v>307</v>
      </c>
      <c r="B63" s="97" t="s">
        <v>1389</v>
      </c>
      <c r="C63" s="97" t="s">
        <v>1597</v>
      </c>
      <c r="D63" s="101" t="str">
        <f t="shared" si="0"/>
        <v>OK</v>
      </c>
      <c r="E63" s="82"/>
      <c r="F63" s="603" t="str">
        <f>Lifetimes!BQ1</f>
        <v>PaintsPreMadeWoodInDis</v>
      </c>
    </row>
    <row r="64" spans="1:6" ht="15" thickBot="1">
      <c r="A64" s="74" t="s">
        <v>419</v>
      </c>
      <c r="B64" s="97" t="s">
        <v>1389</v>
      </c>
      <c r="C64" s="97" t="s">
        <v>1598</v>
      </c>
      <c r="D64" s="101" t="str">
        <f t="shared" si="0"/>
        <v>OK</v>
      </c>
      <c r="E64" s="82"/>
      <c r="F64" s="603" t="str">
        <f>Lifetimes!BR1</f>
        <v>PaintsPreMadeWoodInIU</v>
      </c>
    </row>
    <row r="65" spans="1:6" ht="15" thickBot="1">
      <c r="A65" s="322" t="s">
        <v>475</v>
      </c>
      <c r="B65" s="97" t="s">
        <v>1389</v>
      </c>
      <c r="C65" s="97" t="s">
        <v>1599</v>
      </c>
      <c r="D65" s="101" t="str">
        <f t="shared" si="0"/>
        <v>OK</v>
      </c>
      <c r="E65" s="82"/>
      <c r="F65" s="603" t="str">
        <f>Lifetimes!BS1</f>
        <v>PaintsPreMadeWoodOutDis</v>
      </c>
    </row>
    <row r="66" spans="1:6" ht="15" thickBot="1">
      <c r="A66" s="322" t="s">
        <v>479</v>
      </c>
      <c r="B66" s="97" t="s">
        <v>1392</v>
      </c>
      <c r="C66" s="97" t="s">
        <v>1262</v>
      </c>
      <c r="D66" s="101" t="str">
        <f t="shared" si="0"/>
        <v>OK</v>
      </c>
      <c r="E66" s="82"/>
      <c r="F66" s="603" t="str">
        <f>Lifetimes!BT1</f>
        <v>PaintsPreMadeWoodOutIU</v>
      </c>
    </row>
    <row r="67" spans="1:6" ht="15" thickBot="1">
      <c r="A67" s="322" t="s">
        <v>478</v>
      </c>
      <c r="B67" s="97" t="s">
        <v>1392</v>
      </c>
      <c r="C67" s="97" t="s">
        <v>1263</v>
      </c>
      <c r="D67" s="101" t="str">
        <f t="shared" ref="D67:D130" si="1">IF(B67=IF(COUNTIF($F$3:$F$150,C67),"Stock","Flow/Sink"),"OK",IF(B67="Stock","Compartment missing in Lifetimes, available as pair?",IF(IF(COUNTIF($F$3:$F$150,C67),"Stock","Flow/Sink")="Stock","Change Type of compartment to Stock","OK")))</f>
        <v>OK</v>
      </c>
      <c r="E67" s="82"/>
      <c r="F67" s="603" t="str">
        <f>Lifetimes!BU1</f>
        <v>PlasterDiyInDis</v>
      </c>
    </row>
    <row r="68" spans="1:6" ht="15" thickBot="1">
      <c r="A68" s="322" t="s">
        <v>474</v>
      </c>
      <c r="B68" s="97" t="s">
        <v>1389</v>
      </c>
      <c r="C68" s="97" t="s">
        <v>1600</v>
      </c>
      <c r="D68" s="101" t="str">
        <f t="shared" si="1"/>
        <v>OK</v>
      </c>
      <c r="E68" s="82"/>
      <c r="F68" s="603" t="str">
        <f>Lifetimes!BV1</f>
        <v>PlasterDiyInIU</v>
      </c>
    </row>
    <row r="69" spans="1:6" ht="15" thickBot="1">
      <c r="A69" s="322" t="s">
        <v>477</v>
      </c>
      <c r="B69" s="97" t="s">
        <v>1392</v>
      </c>
      <c r="C69" s="97" t="s">
        <v>1264</v>
      </c>
      <c r="D69" s="101" t="str">
        <f t="shared" si="1"/>
        <v>OK</v>
      </c>
      <c r="E69" s="82"/>
      <c r="F69" s="603" t="str">
        <f>Lifetimes!BW1</f>
        <v>PlasterDiyOutDis</v>
      </c>
    </row>
    <row r="70" spans="1:6" ht="15" thickBot="1">
      <c r="A70" s="322" t="s">
        <v>476</v>
      </c>
      <c r="B70" s="97" t="s">
        <v>1392</v>
      </c>
      <c r="C70" s="97" t="s">
        <v>1265</v>
      </c>
      <c r="D70" s="101" t="str">
        <f t="shared" si="1"/>
        <v>OK</v>
      </c>
      <c r="E70" s="82"/>
      <c r="F70" s="603" t="str">
        <f>Lifetimes!BX1</f>
        <v>PlasterDiyOutIU</v>
      </c>
    </row>
    <row r="71" spans="1:6" ht="15" thickBot="1">
      <c r="A71" s="74" t="s">
        <v>413</v>
      </c>
      <c r="B71" s="97" t="s">
        <v>1389</v>
      </c>
      <c r="C71" s="97" t="s">
        <v>1601</v>
      </c>
      <c r="D71" s="101" t="str">
        <f t="shared" si="1"/>
        <v>OK</v>
      </c>
      <c r="E71" s="82"/>
      <c r="F71" s="603" t="str">
        <f>Lifetimes!BY1</f>
        <v>PlasterProfInDis</v>
      </c>
    </row>
    <row r="72" spans="1:6" ht="15" thickBot="1">
      <c r="A72" s="322" t="s">
        <v>437</v>
      </c>
      <c r="B72" s="97" t="s">
        <v>1389</v>
      </c>
      <c r="C72" s="97" t="s">
        <v>1602</v>
      </c>
      <c r="D72" s="101" t="str">
        <f t="shared" si="1"/>
        <v>OK</v>
      </c>
      <c r="E72" s="82"/>
      <c r="F72" s="603" t="str">
        <f>Lifetimes!BZ1</f>
        <v>PlasterProfInIU</v>
      </c>
    </row>
    <row r="73" spans="1:6" ht="15" thickBot="1">
      <c r="A73" s="322" t="s">
        <v>441</v>
      </c>
      <c r="B73" s="97" t="s">
        <v>1392</v>
      </c>
      <c r="C73" s="97" t="s">
        <v>1266</v>
      </c>
      <c r="D73" s="101" t="str">
        <f t="shared" si="1"/>
        <v>OK</v>
      </c>
      <c r="E73" s="82"/>
      <c r="F73" s="603" t="str">
        <f>Lifetimes!CA1</f>
        <v>PlasterProfOutDis</v>
      </c>
    </row>
    <row r="74" spans="1:6" ht="15" thickBot="1">
      <c r="A74" s="322" t="s">
        <v>440</v>
      </c>
      <c r="B74" s="97" t="s">
        <v>1392</v>
      </c>
      <c r="C74" s="97" t="s">
        <v>1267</v>
      </c>
      <c r="D74" s="101" t="str">
        <f t="shared" si="1"/>
        <v>OK</v>
      </c>
      <c r="E74" s="82"/>
      <c r="F74" s="603" t="str">
        <f>Lifetimes!CB1</f>
        <v>PlasterProfOutIU</v>
      </c>
    </row>
    <row r="75" spans="1:6" ht="15" thickBot="1">
      <c r="A75" s="322" t="s">
        <v>436</v>
      </c>
      <c r="B75" s="97" t="s">
        <v>1389</v>
      </c>
      <c r="C75" s="97" t="s">
        <v>1603</v>
      </c>
      <c r="D75" s="101" t="str">
        <f t="shared" si="1"/>
        <v>OK</v>
      </c>
      <c r="E75" s="82"/>
      <c r="F75" s="603" t="str">
        <f>Lifetimes!CC1</f>
        <v>ShipProfDis</v>
      </c>
    </row>
    <row r="76" spans="1:6" ht="15" thickBot="1">
      <c r="A76" s="322" t="s">
        <v>439</v>
      </c>
      <c r="B76" s="97" t="s">
        <v>1392</v>
      </c>
      <c r="C76" s="97" t="s">
        <v>1268</v>
      </c>
      <c r="D76" s="101" t="str">
        <f t="shared" si="1"/>
        <v>OK</v>
      </c>
      <c r="E76" s="82"/>
      <c r="F76" s="603" t="str">
        <f>Lifetimes!CD1</f>
        <v>ShipProfIU</v>
      </c>
    </row>
    <row r="77" spans="1:6" ht="15" thickBot="1">
      <c r="A77" s="322" t="s">
        <v>438</v>
      </c>
      <c r="B77" s="97" t="s">
        <v>1392</v>
      </c>
      <c r="C77" s="97" t="s">
        <v>1269</v>
      </c>
      <c r="D77" s="101" t="str">
        <f t="shared" si="1"/>
        <v>OK</v>
      </c>
      <c r="E77" s="82"/>
      <c r="F77" s="603" t="str">
        <f>Lifetimes!CE1</f>
        <v>ShipDiyDis</v>
      </c>
    </row>
    <row r="78" spans="1:6" ht="15" thickBot="1">
      <c r="A78" s="74" t="s">
        <v>1604</v>
      </c>
      <c r="B78" s="97" t="s">
        <v>1389</v>
      </c>
      <c r="C78" s="97" t="s">
        <v>1605</v>
      </c>
      <c r="D78" s="101" t="str">
        <f t="shared" si="1"/>
        <v>OK</v>
      </c>
      <c r="E78" s="82"/>
      <c r="F78" s="603" t="str">
        <f>Lifetimes!CF1</f>
        <v>ShipDiyIU</v>
      </c>
    </row>
    <row r="79" spans="1:6" ht="15" thickBot="1">
      <c r="A79" s="74" t="s">
        <v>1606</v>
      </c>
      <c r="B79" s="97" t="s">
        <v>1389</v>
      </c>
      <c r="C79" s="97" t="s">
        <v>1607</v>
      </c>
      <c r="D79" s="101" t="str">
        <f t="shared" si="1"/>
        <v>OK</v>
      </c>
      <c r="E79" s="82"/>
      <c r="F79" s="603" t="str">
        <f>Lifetimes!CG1</f>
        <v>WallPaintDiyIndoorAppliedDis</v>
      </c>
    </row>
    <row r="80" spans="1:6" ht="15" thickBot="1">
      <c r="A80" s="74" t="s">
        <v>1608</v>
      </c>
      <c r="B80" s="97" t="s">
        <v>1389</v>
      </c>
      <c r="C80" s="97" t="s">
        <v>1609</v>
      </c>
      <c r="D80" s="101" t="str">
        <f t="shared" si="1"/>
        <v>OK</v>
      </c>
      <c r="E80" s="82"/>
      <c r="F80" s="604" t="str">
        <f>Lifetimes!CH1</f>
        <v>WallPaintDiyIndoorAppliedIU</v>
      </c>
    </row>
    <row r="81" spans="1:6" ht="15" thickBot="1">
      <c r="A81" s="74" t="s">
        <v>1610</v>
      </c>
      <c r="B81" s="97" t="s">
        <v>1389</v>
      </c>
      <c r="C81" s="97" t="s">
        <v>1611</v>
      </c>
      <c r="D81" s="101" t="str">
        <f t="shared" si="1"/>
        <v>OK</v>
      </c>
      <c r="E81" s="82"/>
      <c r="F81" s="604" t="str">
        <f>Lifetimes!CI1</f>
        <v>WallPaintDiyOutDis</v>
      </c>
    </row>
    <row r="82" spans="1:6" ht="15" thickBot="1">
      <c r="A82" s="74" t="s">
        <v>339</v>
      </c>
      <c r="B82" s="97" t="s">
        <v>1392</v>
      </c>
      <c r="C82" s="97" t="s">
        <v>1247</v>
      </c>
      <c r="D82" s="101" t="str">
        <f t="shared" si="1"/>
        <v>OK</v>
      </c>
      <c r="E82" s="82"/>
      <c r="F82" s="604" t="str">
        <f>Lifetimes!CJ1</f>
        <v>WallPaintDiyOutIU</v>
      </c>
    </row>
    <row r="83" spans="1:6" ht="15" thickBot="1">
      <c r="A83" s="74" t="s">
        <v>331</v>
      </c>
      <c r="B83" s="97" t="s">
        <v>1389</v>
      </c>
      <c r="C83" s="97" t="s">
        <v>1612</v>
      </c>
      <c r="D83" s="101" t="str">
        <f t="shared" si="1"/>
        <v>OK</v>
      </c>
      <c r="E83" s="82"/>
      <c r="F83" s="604" t="str">
        <f>Lifetimes!CK1</f>
        <v>WallPaintProfInDis</v>
      </c>
    </row>
    <row r="84" spans="1:6" ht="15" thickBot="1">
      <c r="A84" s="74" t="s">
        <v>327</v>
      </c>
      <c r="B84" s="97" t="s">
        <v>1389</v>
      </c>
      <c r="C84" s="97" t="s">
        <v>1613</v>
      </c>
      <c r="D84" s="101" t="str">
        <f t="shared" si="1"/>
        <v>OK</v>
      </c>
      <c r="E84" s="82"/>
      <c r="F84" s="604" t="str">
        <f>Lifetimes!CL1</f>
        <v>WallPaintProfInIU</v>
      </c>
    </row>
    <row r="85" spans="1:6" ht="15" thickBot="1">
      <c r="A85" s="74" t="s">
        <v>355</v>
      </c>
      <c r="B85" s="97" t="s">
        <v>1389</v>
      </c>
      <c r="C85" s="97" t="s">
        <v>1614</v>
      </c>
      <c r="D85" s="101" t="str">
        <f t="shared" si="1"/>
        <v>OK</v>
      </c>
      <c r="E85" s="82"/>
      <c r="F85" s="604" t="str">
        <f>Lifetimes!CM1</f>
        <v>WallPaintProfOutDis</v>
      </c>
    </row>
    <row r="86" spans="1:6" ht="15" thickBot="1">
      <c r="A86" s="74" t="s">
        <v>423</v>
      </c>
      <c r="B86" s="97" t="s">
        <v>1389</v>
      </c>
      <c r="C86" s="97" t="s">
        <v>1615</v>
      </c>
      <c r="D86" s="101" t="str">
        <f t="shared" si="1"/>
        <v>OK</v>
      </c>
      <c r="E86" s="82"/>
      <c r="F86" s="604" t="str">
        <f>Lifetimes!CN1</f>
        <v>WallPaintProfOutIU</v>
      </c>
    </row>
    <row r="87" spans="1:6" ht="15" thickBot="1">
      <c r="A87" s="322" t="s">
        <v>501</v>
      </c>
      <c r="B87" s="97" t="s">
        <v>1389</v>
      </c>
      <c r="C87" s="97" t="s">
        <v>1616</v>
      </c>
      <c r="D87" s="101" t="str">
        <f t="shared" si="1"/>
        <v>OK</v>
      </c>
      <c r="E87" s="82"/>
      <c r="F87" s="604" t="str">
        <f>Lifetimes!CO1</f>
        <v>WoodStainDiyInDis</v>
      </c>
    </row>
    <row r="88" spans="1:6" ht="15" thickBot="1">
      <c r="A88" s="322" t="s">
        <v>444</v>
      </c>
      <c r="B88" s="97" t="s">
        <v>1392</v>
      </c>
      <c r="C88" s="97" t="s">
        <v>1270</v>
      </c>
      <c r="D88" s="101" t="str">
        <f t="shared" si="1"/>
        <v>OK</v>
      </c>
      <c r="E88" s="82"/>
      <c r="F88" s="604" t="str">
        <f>Lifetimes!CP1</f>
        <v>WoodStainDiyInIU</v>
      </c>
    </row>
    <row r="89" spans="1:6" ht="15" thickBot="1">
      <c r="A89" s="322" t="s">
        <v>503</v>
      </c>
      <c r="B89" s="97" t="s">
        <v>1392</v>
      </c>
      <c r="C89" s="97" t="s">
        <v>1271</v>
      </c>
      <c r="D89" s="101" t="str">
        <f t="shared" si="1"/>
        <v>OK</v>
      </c>
      <c r="E89" s="82"/>
      <c r="F89" s="604" t="str">
        <f>Lifetimes!CQ1</f>
        <v>WoodStainDiyOutDis</v>
      </c>
    </row>
    <row r="90" spans="1:6" ht="15" thickBot="1">
      <c r="A90" s="322" t="s">
        <v>500</v>
      </c>
      <c r="B90" s="97" t="s">
        <v>1389</v>
      </c>
      <c r="C90" s="97" t="s">
        <v>1617</v>
      </c>
      <c r="D90" s="101" t="str">
        <f t="shared" si="1"/>
        <v>OK</v>
      </c>
      <c r="E90" s="82"/>
      <c r="F90" s="604" t="str">
        <f>Lifetimes!CR1</f>
        <v>WoodStainDiyOutIU</v>
      </c>
    </row>
    <row r="91" spans="1:6" ht="15" thickBot="1">
      <c r="A91" s="322" t="s">
        <v>451</v>
      </c>
      <c r="B91" s="97" t="s">
        <v>1392</v>
      </c>
      <c r="C91" s="97" t="s">
        <v>1272</v>
      </c>
      <c r="D91" s="101" t="str">
        <f t="shared" si="1"/>
        <v>OK</v>
      </c>
      <c r="E91" s="82"/>
      <c r="F91" s="604" t="str">
        <f>Lifetimes!CS1</f>
        <v>WoodStainProfInDis</v>
      </c>
    </row>
    <row r="92" spans="1:6" ht="15" thickBot="1">
      <c r="A92" s="322" t="s">
        <v>502</v>
      </c>
      <c r="B92" s="97" t="s">
        <v>1392</v>
      </c>
      <c r="C92" s="97" t="s">
        <v>1273</v>
      </c>
      <c r="D92" s="101" t="str">
        <f t="shared" si="1"/>
        <v>OK</v>
      </c>
      <c r="E92" s="82"/>
      <c r="F92" s="604" t="str">
        <f>Lifetimes!CT1</f>
        <v>WoodStainProfInIU</v>
      </c>
    </row>
    <row r="93" spans="1:6" ht="15" thickBot="1">
      <c r="A93" s="74" t="s">
        <v>417</v>
      </c>
      <c r="B93" s="97" t="s">
        <v>1389</v>
      </c>
      <c r="C93" s="97" t="s">
        <v>1618</v>
      </c>
      <c r="D93" s="101" t="str">
        <f t="shared" si="1"/>
        <v>OK</v>
      </c>
      <c r="E93" s="82"/>
      <c r="F93" s="604" t="str">
        <f>Lifetimes!CU1</f>
        <v>WoodStainProfOutDis</v>
      </c>
    </row>
    <row r="94" spans="1:6" ht="15" thickBot="1">
      <c r="A94" s="322" t="s">
        <v>465</v>
      </c>
      <c r="B94" s="97" t="s">
        <v>1389</v>
      </c>
      <c r="C94" s="97" t="s">
        <v>1619</v>
      </c>
      <c r="D94" s="101" t="str">
        <f t="shared" si="1"/>
        <v>OK</v>
      </c>
      <c r="E94" s="82"/>
      <c r="F94" s="605" t="str">
        <f>Lifetimes!CV1</f>
        <v>WoodStainProfOutIU</v>
      </c>
    </row>
    <row r="95" spans="1:6" ht="15" thickBot="1">
      <c r="A95" s="322" t="s">
        <v>456</v>
      </c>
      <c r="B95" s="97" t="s">
        <v>1392</v>
      </c>
      <c r="C95" s="97" t="s">
        <v>1274</v>
      </c>
      <c r="D95" s="101" t="str">
        <f t="shared" si="1"/>
        <v>OK</v>
      </c>
      <c r="E95" s="82"/>
      <c r="F95">
        <f>Lifetimes!CW1</f>
        <v>0</v>
      </c>
    </row>
    <row r="96" spans="1:6" ht="15" thickBot="1">
      <c r="A96" s="322" t="s">
        <v>467</v>
      </c>
      <c r="B96" s="97" t="s">
        <v>1392</v>
      </c>
      <c r="C96" s="97" t="s">
        <v>1275</v>
      </c>
      <c r="D96" s="101" t="str">
        <f t="shared" si="1"/>
        <v>OK</v>
      </c>
      <c r="E96" s="82"/>
      <c r="F96">
        <f>Lifetimes!CX1</f>
        <v>0</v>
      </c>
    </row>
    <row r="97" spans="1:6" ht="15" thickBot="1">
      <c r="A97" s="322" t="s">
        <v>464</v>
      </c>
      <c r="B97" s="97" t="s">
        <v>1389</v>
      </c>
      <c r="C97" s="97" t="s">
        <v>1620</v>
      </c>
      <c r="D97" s="101" t="str">
        <f t="shared" si="1"/>
        <v>OK</v>
      </c>
      <c r="E97" s="82"/>
      <c r="F97">
        <f>Lifetimes!CY1</f>
        <v>0</v>
      </c>
    </row>
    <row r="98" spans="1:6" ht="15" thickBot="1">
      <c r="A98" s="322" t="s">
        <v>459</v>
      </c>
      <c r="B98" s="97" t="s">
        <v>1392</v>
      </c>
      <c r="C98" s="97" t="s">
        <v>1276</v>
      </c>
      <c r="D98" s="101" t="str">
        <f t="shared" si="1"/>
        <v>OK</v>
      </c>
      <c r="E98" s="82"/>
      <c r="F98">
        <f>Lifetimes!CZ1</f>
        <v>0</v>
      </c>
    </row>
    <row r="99" spans="1:6" ht="15" thickBot="1">
      <c r="A99" s="322" t="s">
        <v>466</v>
      </c>
      <c r="B99" s="97" t="s">
        <v>1392</v>
      </c>
      <c r="C99" s="97" t="s">
        <v>1277</v>
      </c>
      <c r="D99" s="101" t="str">
        <f t="shared" si="1"/>
        <v>OK</v>
      </c>
      <c r="E99" s="82"/>
      <c r="F99">
        <f>Lifetimes!DA1</f>
        <v>0</v>
      </c>
    </row>
    <row r="100" spans="1:6" ht="15" thickBot="1">
      <c r="A100" s="74" t="s">
        <v>1621</v>
      </c>
      <c r="B100" s="97" t="s">
        <v>1389</v>
      </c>
      <c r="C100" s="97" t="s">
        <v>1622</v>
      </c>
      <c r="D100" s="101" t="str">
        <f t="shared" si="1"/>
        <v>OK</v>
      </c>
      <c r="E100" s="82"/>
      <c r="F100">
        <f>Lifetimes!DB1</f>
        <v>0</v>
      </c>
    </row>
    <row r="101" spans="1:6" ht="15" thickBot="1">
      <c r="A101" s="74" t="s">
        <v>1623</v>
      </c>
      <c r="B101" s="97" t="s">
        <v>1389</v>
      </c>
      <c r="C101" s="97" t="s">
        <v>1624</v>
      </c>
      <c r="D101" s="101" t="str">
        <f t="shared" si="1"/>
        <v>OK</v>
      </c>
      <c r="E101" s="82"/>
      <c r="F101">
        <f>Lifetimes!DC1</f>
        <v>0</v>
      </c>
    </row>
    <row r="102" spans="1:6" ht="15" thickBot="1">
      <c r="A102" s="74" t="s">
        <v>1625</v>
      </c>
      <c r="B102" s="97" t="s">
        <v>1389</v>
      </c>
      <c r="C102" s="97" t="s">
        <v>1626</v>
      </c>
      <c r="D102" s="101" t="str">
        <f t="shared" si="1"/>
        <v>OK</v>
      </c>
      <c r="E102" s="82"/>
      <c r="F102">
        <f>Lifetimes!DD1</f>
        <v>0</v>
      </c>
    </row>
    <row r="103" spans="1:6" ht="15" thickBot="1">
      <c r="A103" s="74" t="s">
        <v>1627</v>
      </c>
      <c r="B103" s="97" t="s">
        <v>1389</v>
      </c>
      <c r="C103" s="97" t="s">
        <v>1628</v>
      </c>
      <c r="D103" s="101" t="str">
        <f t="shared" si="1"/>
        <v>OK</v>
      </c>
      <c r="E103" s="82"/>
      <c r="F103">
        <f>Lifetimes!DE1</f>
        <v>0</v>
      </c>
    </row>
    <row r="104" spans="1:6" ht="15" thickBot="1">
      <c r="A104" s="74" t="s">
        <v>1629</v>
      </c>
      <c r="B104" s="97" t="s">
        <v>1389</v>
      </c>
      <c r="C104" s="97" t="s">
        <v>1630</v>
      </c>
      <c r="D104" s="101" t="str">
        <f t="shared" si="1"/>
        <v>OK</v>
      </c>
      <c r="E104" s="82"/>
      <c r="F104">
        <f>Lifetimes!DF1</f>
        <v>0</v>
      </c>
    </row>
    <row r="105" spans="1:6" ht="15" thickBot="1">
      <c r="A105" s="74" t="s">
        <v>1631</v>
      </c>
      <c r="B105" s="97" t="s">
        <v>1389</v>
      </c>
      <c r="C105" s="97" t="s">
        <v>1632</v>
      </c>
      <c r="D105" s="101" t="str">
        <f t="shared" si="1"/>
        <v>OK</v>
      </c>
      <c r="E105" s="82"/>
      <c r="F105">
        <f>Lifetimes!DG1</f>
        <v>0</v>
      </c>
    </row>
    <row r="106" spans="1:6" ht="15" thickBot="1">
      <c r="A106" s="74" t="s">
        <v>1633</v>
      </c>
      <c r="B106" s="97" t="s">
        <v>1389</v>
      </c>
      <c r="C106" s="97" t="s">
        <v>1634</v>
      </c>
      <c r="D106" s="101" t="str">
        <f t="shared" si="1"/>
        <v>OK</v>
      </c>
      <c r="E106" s="82"/>
      <c r="F106">
        <f>Lifetimes!DH1</f>
        <v>0</v>
      </c>
    </row>
    <row r="107" spans="1:6" ht="15" thickBot="1">
      <c r="A107" s="74" t="s">
        <v>1635</v>
      </c>
      <c r="B107" s="97" t="s">
        <v>1389</v>
      </c>
      <c r="C107" s="97" t="s">
        <v>1636</v>
      </c>
      <c r="D107" s="101" t="str">
        <f t="shared" si="1"/>
        <v>OK</v>
      </c>
      <c r="E107" s="82"/>
      <c r="F107">
        <f>Lifetimes!DI1</f>
        <v>0</v>
      </c>
    </row>
    <row r="108" spans="1:6" ht="15" thickBot="1">
      <c r="A108" s="74" t="s">
        <v>1637</v>
      </c>
      <c r="B108" s="97" t="s">
        <v>1389</v>
      </c>
      <c r="C108" s="97" t="s">
        <v>1638</v>
      </c>
      <c r="D108" s="101" t="str">
        <f t="shared" si="1"/>
        <v>OK</v>
      </c>
      <c r="E108" s="82"/>
      <c r="F108">
        <f>Lifetimes!DJ1</f>
        <v>0</v>
      </c>
    </row>
    <row r="109" spans="1:6" ht="15" thickBot="1">
      <c r="A109" s="74" t="s">
        <v>1639</v>
      </c>
      <c r="B109" s="97" t="s">
        <v>1389</v>
      </c>
      <c r="C109" s="97" t="s">
        <v>1640</v>
      </c>
      <c r="D109" s="101" t="str">
        <f t="shared" si="1"/>
        <v>OK</v>
      </c>
      <c r="E109" s="82"/>
      <c r="F109">
        <f>Lifetimes!DK1</f>
        <v>0</v>
      </c>
    </row>
    <row r="110" spans="1:6" ht="15" thickBot="1">
      <c r="A110" s="74" t="s">
        <v>1641</v>
      </c>
      <c r="B110" s="97" t="s">
        <v>1389</v>
      </c>
      <c r="C110" s="97" t="s">
        <v>1642</v>
      </c>
      <c r="D110" s="101" t="str">
        <f t="shared" si="1"/>
        <v>OK</v>
      </c>
      <c r="E110" s="82"/>
      <c r="F110">
        <f>Lifetimes!DL1</f>
        <v>0</v>
      </c>
    </row>
    <row r="111" spans="1:6" ht="15" thickBot="1">
      <c r="A111" s="74" t="s">
        <v>118</v>
      </c>
      <c r="B111" s="97" t="s">
        <v>1389</v>
      </c>
      <c r="C111" s="97" t="s">
        <v>118</v>
      </c>
      <c r="D111" s="101" t="str">
        <f t="shared" si="1"/>
        <v>OK</v>
      </c>
      <c r="E111" s="82"/>
      <c r="F111">
        <f>Lifetimes!DM1</f>
        <v>0</v>
      </c>
    </row>
    <row r="112" spans="1:6" ht="15" thickBot="1">
      <c r="A112" s="322" t="s">
        <v>418</v>
      </c>
      <c r="B112" s="97" t="s">
        <v>1389</v>
      </c>
      <c r="C112" s="97" t="s">
        <v>1643</v>
      </c>
      <c r="D112" s="101" t="str">
        <f t="shared" si="1"/>
        <v>OK</v>
      </c>
      <c r="E112" s="82"/>
      <c r="F112">
        <f>Lifetimes!DN1</f>
        <v>0</v>
      </c>
    </row>
    <row r="113" spans="1:6" ht="15" thickBot="1">
      <c r="A113" s="322" t="s">
        <v>471</v>
      </c>
      <c r="B113" s="97" t="s">
        <v>1389</v>
      </c>
      <c r="C113" s="97" t="s">
        <v>1644</v>
      </c>
      <c r="D113" s="101" t="str">
        <f t="shared" si="1"/>
        <v>OK</v>
      </c>
      <c r="E113" s="82"/>
      <c r="F113">
        <f>Lifetimes!DO1</f>
        <v>0</v>
      </c>
    </row>
    <row r="114" spans="1:6" ht="15" thickBot="1">
      <c r="A114" s="322" t="s">
        <v>468</v>
      </c>
      <c r="B114" s="97" t="s">
        <v>1392</v>
      </c>
      <c r="C114" s="97" t="s">
        <v>1278</v>
      </c>
      <c r="D114" s="101" t="str">
        <f t="shared" si="1"/>
        <v>OK</v>
      </c>
      <c r="E114" s="82"/>
      <c r="F114">
        <f>Lifetimes!DP1</f>
        <v>0</v>
      </c>
    </row>
    <row r="115" spans="1:6" ht="15" thickBot="1">
      <c r="A115" s="322" t="s">
        <v>473</v>
      </c>
      <c r="B115" s="97" t="s">
        <v>1392</v>
      </c>
      <c r="C115" s="97" t="s">
        <v>1279</v>
      </c>
      <c r="D115" s="101" t="str">
        <f t="shared" si="1"/>
        <v>OK</v>
      </c>
      <c r="E115" s="82"/>
      <c r="F115">
        <f>Lifetimes!DQ1</f>
        <v>0</v>
      </c>
    </row>
    <row r="116" spans="1:6" ht="15" thickBot="1">
      <c r="A116" s="322" t="s">
        <v>470</v>
      </c>
      <c r="B116" s="97" t="s">
        <v>1389</v>
      </c>
      <c r="C116" s="97" t="s">
        <v>1645</v>
      </c>
      <c r="D116" s="101" t="str">
        <f t="shared" si="1"/>
        <v>OK</v>
      </c>
      <c r="E116" s="82"/>
      <c r="F116">
        <f>Lifetimes!DR1</f>
        <v>0</v>
      </c>
    </row>
    <row r="117" spans="1:6" ht="15" thickBot="1">
      <c r="A117" s="322" t="s">
        <v>469</v>
      </c>
      <c r="B117" s="97" t="s">
        <v>1392</v>
      </c>
      <c r="C117" s="97" t="s">
        <v>1280</v>
      </c>
      <c r="D117" s="101" t="str">
        <f t="shared" si="1"/>
        <v>OK</v>
      </c>
      <c r="E117" s="82"/>
      <c r="F117">
        <f>Lifetimes!DS1</f>
        <v>0</v>
      </c>
    </row>
    <row r="118" spans="1:6" ht="15" thickBot="1">
      <c r="A118" s="322" t="s">
        <v>472</v>
      </c>
      <c r="B118" s="97" t="s">
        <v>1392</v>
      </c>
      <c r="C118" s="97" t="s">
        <v>1281</v>
      </c>
      <c r="D118" s="101" t="str">
        <f t="shared" si="1"/>
        <v>OK</v>
      </c>
      <c r="E118" s="82"/>
      <c r="F118">
        <f>Lifetimes!DT1</f>
        <v>0</v>
      </c>
    </row>
    <row r="119" spans="1:6" ht="15" thickBot="1">
      <c r="A119" s="74" t="s">
        <v>259</v>
      </c>
      <c r="B119" s="97" t="s">
        <v>1389</v>
      </c>
      <c r="C119" s="97" t="s">
        <v>1646</v>
      </c>
      <c r="D119" s="101" t="str">
        <f t="shared" si="1"/>
        <v>OK</v>
      </c>
      <c r="E119" s="82"/>
      <c r="F119">
        <f>Lifetimes!DU1</f>
        <v>0</v>
      </c>
    </row>
    <row r="120" spans="1:6" ht="15" thickBot="1">
      <c r="A120" s="74" t="s">
        <v>261</v>
      </c>
      <c r="B120" s="97" t="s">
        <v>1389</v>
      </c>
      <c r="C120" s="97" t="s">
        <v>1647</v>
      </c>
      <c r="D120" s="101" t="str">
        <f t="shared" si="1"/>
        <v>OK</v>
      </c>
      <c r="E120" s="82"/>
      <c r="F120">
        <f>Lifetimes!DV1</f>
        <v>0</v>
      </c>
    </row>
    <row r="121" spans="1:6" ht="15" thickBot="1">
      <c r="A121" s="74" t="s">
        <v>262</v>
      </c>
      <c r="B121" s="97" t="s">
        <v>1389</v>
      </c>
      <c r="C121" s="97" t="s">
        <v>1648</v>
      </c>
      <c r="D121" s="101" t="str">
        <f t="shared" si="1"/>
        <v>OK</v>
      </c>
      <c r="E121" s="82"/>
      <c r="F121">
        <f>Lifetimes!DW1</f>
        <v>0</v>
      </c>
    </row>
    <row r="122" spans="1:6" ht="15" thickBot="1">
      <c r="A122" s="74" t="s">
        <v>160</v>
      </c>
      <c r="B122" s="97" t="s">
        <v>1389</v>
      </c>
      <c r="C122" s="97" t="s">
        <v>1649</v>
      </c>
      <c r="D122" s="101" t="str">
        <f t="shared" si="1"/>
        <v>OK</v>
      </c>
      <c r="E122" s="82"/>
      <c r="F122">
        <f>Lifetimes!DX1</f>
        <v>0</v>
      </c>
    </row>
    <row r="123" spans="1:6" ht="15" thickBot="1">
      <c r="A123" s="74" t="s">
        <v>422</v>
      </c>
      <c r="B123" s="97" t="s">
        <v>1389</v>
      </c>
      <c r="C123" s="97" t="s">
        <v>1650</v>
      </c>
      <c r="D123" s="101" t="str">
        <f t="shared" si="1"/>
        <v>OK</v>
      </c>
      <c r="E123" s="82"/>
      <c r="F123">
        <f>Lifetimes!DY1</f>
        <v>0</v>
      </c>
    </row>
    <row r="124" spans="1:6" ht="15" thickBot="1">
      <c r="A124" s="322" t="s">
        <v>495</v>
      </c>
      <c r="B124" s="97" t="s">
        <v>1389</v>
      </c>
      <c r="C124" s="97" t="s">
        <v>1651</v>
      </c>
      <c r="D124" s="101" t="str">
        <f t="shared" si="1"/>
        <v>OK</v>
      </c>
      <c r="E124" s="82"/>
      <c r="F124">
        <f>Lifetimes!DZ1</f>
        <v>0</v>
      </c>
    </row>
    <row r="125" spans="1:6" ht="15" thickBot="1">
      <c r="A125" s="322" t="s">
        <v>499</v>
      </c>
      <c r="B125" s="97" t="s">
        <v>1392</v>
      </c>
      <c r="C125" s="97" t="s">
        <v>1282</v>
      </c>
      <c r="D125" s="101" t="str">
        <f t="shared" si="1"/>
        <v>OK</v>
      </c>
      <c r="E125" s="82"/>
      <c r="F125">
        <f>Lifetimes!EA1</f>
        <v>0</v>
      </c>
    </row>
    <row r="126" spans="1:6" ht="15" thickBot="1">
      <c r="A126" s="322" t="s">
        <v>498</v>
      </c>
      <c r="B126" s="97" t="s">
        <v>1392</v>
      </c>
      <c r="C126" s="97" t="s">
        <v>1283</v>
      </c>
      <c r="D126" s="101" t="str">
        <f t="shared" si="1"/>
        <v>OK</v>
      </c>
      <c r="E126" s="82"/>
      <c r="F126">
        <f>Lifetimes!EB1</f>
        <v>0</v>
      </c>
    </row>
    <row r="127" spans="1:6" ht="15" thickBot="1">
      <c r="A127" s="322" t="s">
        <v>494</v>
      </c>
      <c r="B127" s="97" t="s">
        <v>1389</v>
      </c>
      <c r="C127" s="97" t="s">
        <v>1652</v>
      </c>
      <c r="D127" s="101" t="str">
        <f t="shared" si="1"/>
        <v>OK</v>
      </c>
      <c r="E127" s="82"/>
      <c r="F127">
        <f>Lifetimes!EC1</f>
        <v>0</v>
      </c>
    </row>
    <row r="128" spans="1:6" ht="15" thickBot="1">
      <c r="A128" s="322" t="s">
        <v>497</v>
      </c>
      <c r="B128" s="97" t="s">
        <v>1392</v>
      </c>
      <c r="C128" s="97" t="s">
        <v>1284</v>
      </c>
      <c r="D128" s="101" t="str">
        <f t="shared" si="1"/>
        <v>OK</v>
      </c>
      <c r="E128" s="82"/>
      <c r="F128">
        <f>Lifetimes!ED1</f>
        <v>0</v>
      </c>
    </row>
    <row r="129" spans="1:6" ht="15" thickBot="1">
      <c r="A129" s="322" t="s">
        <v>496</v>
      </c>
      <c r="B129" s="97" t="s">
        <v>1392</v>
      </c>
      <c r="C129" s="97" t="s">
        <v>1285</v>
      </c>
      <c r="D129" s="101" t="str">
        <f t="shared" si="1"/>
        <v>OK</v>
      </c>
      <c r="E129" s="82"/>
      <c r="F129">
        <f>Lifetimes!EE1</f>
        <v>0</v>
      </c>
    </row>
    <row r="130" spans="1:6" ht="15" thickBot="1">
      <c r="A130" s="74" t="s">
        <v>416</v>
      </c>
      <c r="B130" s="97" t="s">
        <v>1389</v>
      </c>
      <c r="C130" s="97" t="s">
        <v>1653</v>
      </c>
      <c r="D130" s="101" t="str">
        <f t="shared" si="1"/>
        <v>OK</v>
      </c>
      <c r="E130" s="82"/>
      <c r="F130">
        <f>Lifetimes!EF1</f>
        <v>0</v>
      </c>
    </row>
    <row r="131" spans="1:6" ht="15" thickBot="1">
      <c r="A131" s="322" t="s">
        <v>458</v>
      </c>
      <c r="B131" s="97" t="s">
        <v>1389</v>
      </c>
      <c r="C131" s="97" t="s">
        <v>1654</v>
      </c>
      <c r="D131" s="101" t="str">
        <f t="shared" ref="D131:D194" si="2">IF(B131=IF(COUNTIF($F$3:$F$150,C131),"Stock","Flow/Sink"),"OK",IF(B131="Stock","Compartment missing in Lifetimes, available as pair?",IF(IF(COUNTIF($F$3:$F$150,C131),"Stock","Flow/Sink")="Stock","Change Type of compartment to Stock","OK")))</f>
        <v>OK</v>
      </c>
      <c r="E131" s="82"/>
      <c r="F131">
        <f>Lifetimes!EG1</f>
        <v>0</v>
      </c>
    </row>
    <row r="132" spans="1:6" ht="15" thickBot="1">
      <c r="A132" s="322" t="s">
        <v>463</v>
      </c>
      <c r="B132" s="97" t="s">
        <v>1392</v>
      </c>
      <c r="C132" s="97" t="s">
        <v>1286</v>
      </c>
      <c r="D132" s="101" t="str">
        <f t="shared" si="2"/>
        <v>OK</v>
      </c>
      <c r="E132" s="82"/>
      <c r="F132">
        <f>Lifetimes!EH1</f>
        <v>0</v>
      </c>
    </row>
    <row r="133" spans="1:6" ht="15" thickBot="1">
      <c r="A133" s="322" t="s">
        <v>462</v>
      </c>
      <c r="B133" s="97" t="s">
        <v>1392</v>
      </c>
      <c r="C133" s="97" t="s">
        <v>1287</v>
      </c>
      <c r="D133" s="101" t="str">
        <f t="shared" si="2"/>
        <v>OK</v>
      </c>
      <c r="E133" s="82"/>
      <c r="F133">
        <f>Lifetimes!EI1</f>
        <v>0</v>
      </c>
    </row>
    <row r="134" spans="1:6" ht="15" thickBot="1">
      <c r="A134" s="322" t="s">
        <v>457</v>
      </c>
      <c r="B134" s="97" t="s">
        <v>1389</v>
      </c>
      <c r="C134" s="97" t="s">
        <v>1655</v>
      </c>
      <c r="D134" s="101" t="str">
        <f t="shared" si="2"/>
        <v>OK</v>
      </c>
      <c r="E134" s="82"/>
      <c r="F134">
        <f>Lifetimes!EJ1</f>
        <v>0</v>
      </c>
    </row>
    <row r="135" spans="1:6" ht="15" thickBot="1">
      <c r="A135" s="322" t="s">
        <v>461</v>
      </c>
      <c r="B135" s="97" t="s">
        <v>1392</v>
      </c>
      <c r="C135" s="97" t="s">
        <v>1288</v>
      </c>
      <c r="D135" s="101" t="str">
        <f t="shared" si="2"/>
        <v>OK</v>
      </c>
      <c r="E135" s="82"/>
      <c r="F135">
        <f>Lifetimes!EK1</f>
        <v>0</v>
      </c>
    </row>
    <row r="136" spans="1:6" ht="15" thickBot="1">
      <c r="A136" s="322" t="s">
        <v>460</v>
      </c>
      <c r="B136" s="97" t="s">
        <v>1392</v>
      </c>
      <c r="C136" s="97" t="s">
        <v>1289</v>
      </c>
      <c r="D136" s="101" t="str">
        <f t="shared" si="2"/>
        <v>OK</v>
      </c>
      <c r="E136" s="82"/>
      <c r="F136">
        <f>Lifetimes!EL1</f>
        <v>0</v>
      </c>
    </row>
    <row r="137" spans="1:6" ht="15" thickBot="1">
      <c r="A137" s="74" t="s">
        <v>260</v>
      </c>
      <c r="B137" s="97" t="s">
        <v>1395</v>
      </c>
      <c r="C137" s="97" t="s">
        <v>1656</v>
      </c>
      <c r="D137" s="101" t="str">
        <f t="shared" si="2"/>
        <v>OK</v>
      </c>
      <c r="E137" s="83"/>
      <c r="F137">
        <f>Lifetimes!EM1</f>
        <v>0</v>
      </c>
    </row>
    <row r="138" spans="1:6" ht="15" thickBot="1">
      <c r="A138" s="74" t="s">
        <v>1657</v>
      </c>
      <c r="B138" s="97" t="s">
        <v>1389</v>
      </c>
      <c r="C138" s="97" t="s">
        <v>1658</v>
      </c>
      <c r="D138" s="101" t="str">
        <f t="shared" si="2"/>
        <v>OK</v>
      </c>
      <c r="F138">
        <f>Lifetimes!EN1</f>
        <v>0</v>
      </c>
    </row>
    <row r="139" spans="1:6" ht="15" thickBot="1">
      <c r="A139" s="322" t="s">
        <v>294</v>
      </c>
      <c r="B139" s="97" t="s">
        <v>1389</v>
      </c>
      <c r="C139" s="97" t="s">
        <v>1659</v>
      </c>
      <c r="D139" s="101" t="str">
        <f t="shared" si="2"/>
        <v>OK</v>
      </c>
      <c r="F139">
        <f>Lifetimes!EO1</f>
        <v>0</v>
      </c>
    </row>
    <row r="140" spans="1:6" ht="15" thickBot="1">
      <c r="A140" s="322" t="s">
        <v>387</v>
      </c>
      <c r="B140" s="97" t="s">
        <v>1389</v>
      </c>
      <c r="C140" s="97" t="s">
        <v>1660</v>
      </c>
      <c r="D140" s="101" t="str">
        <f t="shared" si="2"/>
        <v>OK</v>
      </c>
      <c r="F140">
        <f>Lifetimes!EP1</f>
        <v>0</v>
      </c>
    </row>
    <row r="141" spans="1:6" ht="15" thickBot="1">
      <c r="A141" s="322" t="s">
        <v>371</v>
      </c>
      <c r="B141" s="97" t="s">
        <v>1395</v>
      </c>
      <c r="C141" s="97" t="s">
        <v>1661</v>
      </c>
      <c r="D141" s="101" t="str">
        <f t="shared" si="2"/>
        <v>OK</v>
      </c>
      <c r="F141">
        <f>Lifetimes!EQ1</f>
        <v>0</v>
      </c>
    </row>
    <row r="142" spans="1:6" ht="15" thickBot="1">
      <c r="A142" s="322" t="s">
        <v>388</v>
      </c>
      <c r="B142" s="97" t="s">
        <v>1389</v>
      </c>
      <c r="C142" s="97" t="s">
        <v>1662</v>
      </c>
      <c r="D142" s="101" t="str">
        <f t="shared" si="2"/>
        <v>OK</v>
      </c>
      <c r="F142">
        <f>Lifetimes!ER1</f>
        <v>0</v>
      </c>
    </row>
    <row r="143" spans="1:6" ht="15" thickBot="1">
      <c r="A143" s="74" t="s">
        <v>240</v>
      </c>
      <c r="B143" s="97" t="s">
        <v>1389</v>
      </c>
      <c r="C143" s="97" t="s">
        <v>1663</v>
      </c>
      <c r="D143" s="101" t="str">
        <f t="shared" si="2"/>
        <v>OK</v>
      </c>
      <c r="F143">
        <f>Lifetimes!ES1</f>
        <v>0</v>
      </c>
    </row>
    <row r="144" spans="1:6" ht="15" thickBot="1">
      <c r="A144" s="322" t="s">
        <v>410</v>
      </c>
      <c r="B144" s="97" t="s">
        <v>1395</v>
      </c>
      <c r="C144" s="97" t="s">
        <v>1664</v>
      </c>
      <c r="D144" s="101" t="str">
        <f t="shared" si="2"/>
        <v>OK</v>
      </c>
      <c r="F144">
        <f>Lifetimes!ET1</f>
        <v>0</v>
      </c>
    </row>
    <row r="145" spans="1:6" ht="15" thickBot="1">
      <c r="A145" s="74" t="s">
        <v>161</v>
      </c>
      <c r="B145" s="97" t="s">
        <v>1389</v>
      </c>
      <c r="C145" s="97" t="s">
        <v>1665</v>
      </c>
      <c r="D145" s="101" t="str">
        <f t="shared" si="2"/>
        <v>OK</v>
      </c>
      <c r="F145">
        <f>Lifetimes!EU1</f>
        <v>0</v>
      </c>
    </row>
    <row r="146" spans="1:6" ht="15" thickBot="1">
      <c r="A146" s="74" t="s">
        <v>424</v>
      </c>
      <c r="B146" s="97" t="s">
        <v>1389</v>
      </c>
      <c r="C146" s="97" t="s">
        <v>1666</v>
      </c>
      <c r="D146" s="101" t="str">
        <f t="shared" si="2"/>
        <v>OK</v>
      </c>
      <c r="F146">
        <f>Lifetimes!EV1</f>
        <v>0</v>
      </c>
    </row>
    <row r="147" spans="1:6" ht="15" thickBot="1">
      <c r="A147" s="74" t="s">
        <v>427</v>
      </c>
      <c r="B147" s="97" t="s">
        <v>1392</v>
      </c>
      <c r="C147" s="97" t="s">
        <v>1290</v>
      </c>
      <c r="D147" s="101" t="str">
        <f t="shared" si="2"/>
        <v>OK</v>
      </c>
      <c r="F147">
        <f>Lifetimes!EW1</f>
        <v>0</v>
      </c>
    </row>
    <row r="148" spans="1:6" ht="15" thickBot="1">
      <c r="A148" s="359" t="s">
        <v>426</v>
      </c>
      <c r="B148" s="97" t="s">
        <v>1392</v>
      </c>
      <c r="C148" s="493" t="s">
        <v>1291</v>
      </c>
      <c r="D148" s="101" t="str">
        <f t="shared" si="2"/>
        <v>OK</v>
      </c>
      <c r="F148">
        <f>Lifetimes!EX1</f>
        <v>0</v>
      </c>
    </row>
    <row r="149" spans="1:6" ht="15" thickBot="1">
      <c r="A149" s="74" t="s">
        <v>425</v>
      </c>
      <c r="B149" s="97" t="s">
        <v>1389</v>
      </c>
      <c r="C149" s="97" t="s">
        <v>1667</v>
      </c>
      <c r="D149" s="101" t="str">
        <f t="shared" si="2"/>
        <v>OK</v>
      </c>
      <c r="F149">
        <f>Lifetimes!EY1</f>
        <v>0</v>
      </c>
    </row>
    <row r="150" spans="1:6" ht="15" thickBot="1">
      <c r="A150" s="74" t="s">
        <v>429</v>
      </c>
      <c r="B150" s="97" t="s">
        <v>1392</v>
      </c>
      <c r="C150" s="97" t="s">
        <v>1292</v>
      </c>
      <c r="D150" s="101" t="str">
        <f t="shared" si="2"/>
        <v>OK</v>
      </c>
      <c r="F150">
        <f>Lifetimes!EZ1</f>
        <v>0</v>
      </c>
    </row>
    <row r="151" spans="1:6" ht="15" thickBot="1">
      <c r="A151" s="359" t="s">
        <v>428</v>
      </c>
      <c r="B151" s="97" t="s">
        <v>1392</v>
      </c>
      <c r="C151" s="97" t="s">
        <v>1293</v>
      </c>
      <c r="D151" s="101" t="str">
        <f t="shared" si="2"/>
        <v>OK</v>
      </c>
      <c r="F151">
        <f>Lifetimes!FA1</f>
        <v>0</v>
      </c>
    </row>
    <row r="152" spans="1:6" ht="15" thickBot="1">
      <c r="A152" s="492" t="s">
        <v>348</v>
      </c>
      <c r="B152" s="97" t="s">
        <v>1389</v>
      </c>
      <c r="C152" s="97" t="s">
        <v>1668</v>
      </c>
      <c r="D152" s="101" t="str">
        <f t="shared" si="2"/>
        <v>OK</v>
      </c>
      <c r="F152">
        <f>Lifetimes!FB1</f>
        <v>0</v>
      </c>
    </row>
    <row r="153" spans="1:6" ht="15" thickBot="1">
      <c r="A153" s="74" t="s">
        <v>242</v>
      </c>
      <c r="B153" s="97" t="s">
        <v>1392</v>
      </c>
      <c r="C153" s="97" t="s">
        <v>1245</v>
      </c>
      <c r="D153" s="101" t="str">
        <f t="shared" si="2"/>
        <v>OK</v>
      </c>
      <c r="F153">
        <f>Lifetimes!FC1</f>
        <v>0</v>
      </c>
    </row>
    <row r="154" spans="1:6" ht="15" thickBot="1">
      <c r="A154" s="74" t="s">
        <v>349</v>
      </c>
      <c r="B154" s="97" t="s">
        <v>1392</v>
      </c>
      <c r="C154" s="97" t="s">
        <v>1246</v>
      </c>
      <c r="D154" s="101" t="str">
        <f t="shared" si="2"/>
        <v>OK</v>
      </c>
      <c r="F154">
        <f>Lifetimes!FD1</f>
        <v>0</v>
      </c>
    </row>
    <row r="155" spans="1:6" ht="15" thickBot="1">
      <c r="A155" s="492" t="s">
        <v>401</v>
      </c>
      <c r="B155" s="97" t="s">
        <v>1389</v>
      </c>
      <c r="C155" s="97" t="s">
        <v>1669</v>
      </c>
      <c r="D155" s="101" t="str">
        <f t="shared" si="2"/>
        <v>OK</v>
      </c>
      <c r="F155">
        <f>Lifetimes!FE1</f>
        <v>0</v>
      </c>
    </row>
    <row r="156" spans="1:6" ht="15" thickBot="1">
      <c r="A156" s="74" t="s">
        <v>343</v>
      </c>
      <c r="B156" s="97" t="s">
        <v>1392</v>
      </c>
      <c r="C156" s="97" t="s">
        <v>1256</v>
      </c>
      <c r="D156" s="101" t="str">
        <f t="shared" si="2"/>
        <v>OK</v>
      </c>
      <c r="F156">
        <f>Lifetimes!FF1</f>
        <v>0</v>
      </c>
    </row>
    <row r="157" spans="1:6" ht="15" thickBot="1">
      <c r="A157" s="74" t="s">
        <v>353</v>
      </c>
      <c r="B157" s="97" t="s">
        <v>1392</v>
      </c>
      <c r="C157" s="97" t="s">
        <v>1257</v>
      </c>
      <c r="D157" s="101" t="str">
        <f t="shared" si="2"/>
        <v>OK</v>
      </c>
      <c r="F157">
        <f>Lifetimes!FG1</f>
        <v>0</v>
      </c>
    </row>
    <row r="158" spans="1:6" ht="15" thickBot="1">
      <c r="A158" s="74" t="s">
        <v>256</v>
      </c>
      <c r="B158" s="97" t="s">
        <v>1389</v>
      </c>
      <c r="C158" s="97" t="s">
        <v>1670</v>
      </c>
      <c r="D158" s="101" t="str">
        <f t="shared" si="2"/>
        <v>OK</v>
      </c>
      <c r="F158">
        <f>Lifetimes!FH1</f>
        <v>0</v>
      </c>
    </row>
    <row r="159" spans="1:6" ht="15" thickBot="1">
      <c r="A159" s="322" t="s">
        <v>389</v>
      </c>
      <c r="B159" s="97" t="s">
        <v>1389</v>
      </c>
      <c r="C159" s="97" t="s">
        <v>1671</v>
      </c>
      <c r="D159" s="101" t="str">
        <f t="shared" si="2"/>
        <v>OK</v>
      </c>
      <c r="F159">
        <f>Lifetimes!FI1</f>
        <v>0</v>
      </c>
    </row>
    <row r="160" spans="1:6" ht="15" thickBot="1">
      <c r="A160" s="322" t="s">
        <v>391</v>
      </c>
      <c r="B160" s="97" t="s">
        <v>1389</v>
      </c>
      <c r="C160" s="97" t="s">
        <v>1672</v>
      </c>
      <c r="D160" s="101" t="str">
        <f t="shared" si="2"/>
        <v>OK</v>
      </c>
      <c r="F160">
        <f>Lifetimes!FJ1</f>
        <v>0</v>
      </c>
    </row>
    <row r="161" spans="1:6" ht="15" thickBot="1">
      <c r="A161" s="74" t="s">
        <v>421</v>
      </c>
      <c r="B161" s="97" t="s">
        <v>1389</v>
      </c>
      <c r="C161" s="97" t="s">
        <v>1673</v>
      </c>
      <c r="D161" s="101" t="str">
        <f t="shared" si="2"/>
        <v>OK</v>
      </c>
      <c r="F161">
        <f>Lifetimes!FK1</f>
        <v>0</v>
      </c>
    </row>
    <row r="162" spans="1:6" ht="15" thickBot="1">
      <c r="A162" s="322" t="s">
        <v>487</v>
      </c>
      <c r="B162" s="97" t="s">
        <v>1389</v>
      </c>
      <c r="C162" s="97" t="s">
        <v>1674</v>
      </c>
      <c r="D162" s="101" t="str">
        <f t="shared" si="2"/>
        <v>OK</v>
      </c>
      <c r="F162">
        <f>Lifetimes!FL1</f>
        <v>0</v>
      </c>
    </row>
    <row r="163" spans="1:6" ht="15" thickBot="1">
      <c r="A163" s="74" t="s">
        <v>491</v>
      </c>
      <c r="B163" s="97" t="s">
        <v>1389</v>
      </c>
      <c r="C163" s="97" t="s">
        <v>1675</v>
      </c>
      <c r="D163" s="101" t="str">
        <f t="shared" si="2"/>
        <v>OK</v>
      </c>
      <c r="F163">
        <f>Lifetimes!FM1</f>
        <v>0</v>
      </c>
    </row>
    <row r="164" spans="1:6" ht="15" thickBot="1">
      <c r="A164" s="322" t="s">
        <v>488</v>
      </c>
      <c r="B164" s="97" t="s">
        <v>1392</v>
      </c>
      <c r="C164" s="97" t="s">
        <v>1294</v>
      </c>
      <c r="D164" s="101" t="str">
        <f t="shared" si="2"/>
        <v>OK</v>
      </c>
      <c r="F164">
        <f>Lifetimes!FN1</f>
        <v>0</v>
      </c>
    </row>
    <row r="165" spans="1:6" ht="15" thickBot="1">
      <c r="A165" s="322" t="s">
        <v>493</v>
      </c>
      <c r="B165" s="97" t="s">
        <v>1392</v>
      </c>
      <c r="C165" s="97" t="s">
        <v>1295</v>
      </c>
      <c r="D165" s="101" t="str">
        <f t="shared" si="2"/>
        <v>OK</v>
      </c>
      <c r="F165">
        <f>Lifetimes!FO1</f>
        <v>0</v>
      </c>
    </row>
    <row r="166" spans="1:6" ht="15" thickBot="1">
      <c r="A166" s="74" t="s">
        <v>492</v>
      </c>
      <c r="B166" s="97" t="s">
        <v>1389</v>
      </c>
      <c r="C166" s="97" t="s">
        <v>1676</v>
      </c>
      <c r="D166" s="101" t="str">
        <f t="shared" si="2"/>
        <v>OK</v>
      </c>
      <c r="F166">
        <f>Lifetimes!FP1</f>
        <v>0</v>
      </c>
    </row>
    <row r="167" spans="1:6" ht="15" thickBot="1">
      <c r="A167" s="322" t="s">
        <v>486</v>
      </c>
      <c r="B167" s="97" t="s">
        <v>1389</v>
      </c>
      <c r="C167" s="97" t="s">
        <v>1677</v>
      </c>
      <c r="D167" s="101" t="str">
        <f t="shared" si="2"/>
        <v>OK</v>
      </c>
      <c r="F167">
        <f>Lifetimes!FQ1</f>
        <v>0</v>
      </c>
    </row>
    <row r="168" spans="1:6" ht="15" thickBot="1">
      <c r="A168" s="322" t="s">
        <v>490</v>
      </c>
      <c r="B168" s="97" t="s">
        <v>1392</v>
      </c>
      <c r="C168" s="97" t="s">
        <v>1296</v>
      </c>
      <c r="D168" s="101" t="str">
        <f t="shared" si="2"/>
        <v>OK</v>
      </c>
      <c r="F168">
        <f>Lifetimes!FR1</f>
        <v>0</v>
      </c>
    </row>
    <row r="169" spans="1:6" ht="15" thickBot="1">
      <c r="A169" s="322" t="s">
        <v>489</v>
      </c>
      <c r="B169" s="97" t="s">
        <v>1392</v>
      </c>
      <c r="C169" s="97" t="s">
        <v>1297</v>
      </c>
      <c r="D169" s="101" t="str">
        <f t="shared" si="2"/>
        <v>OK</v>
      </c>
      <c r="F169">
        <f>Lifetimes!FS1</f>
        <v>0</v>
      </c>
    </row>
    <row r="170" spans="1:6" ht="15" thickBot="1">
      <c r="A170" s="74" t="s">
        <v>415</v>
      </c>
      <c r="B170" s="97" t="s">
        <v>1389</v>
      </c>
      <c r="C170" s="97" t="s">
        <v>1678</v>
      </c>
      <c r="D170" s="101" t="str">
        <f t="shared" si="2"/>
        <v>OK</v>
      </c>
      <c r="F170">
        <f>Lifetimes!FT1</f>
        <v>0</v>
      </c>
    </row>
    <row r="171" spans="1:6" ht="15" thickBot="1">
      <c r="A171" s="322" t="s">
        <v>450</v>
      </c>
      <c r="B171" s="97" t="s">
        <v>1389</v>
      </c>
      <c r="C171" s="97" t="s">
        <v>1679</v>
      </c>
      <c r="D171" s="101" t="str">
        <f t="shared" si="2"/>
        <v>OK</v>
      </c>
      <c r="F171">
        <f>Lifetimes!FU1</f>
        <v>0</v>
      </c>
    </row>
    <row r="172" spans="1:6" ht="15" thickBot="1">
      <c r="A172" s="322" t="s">
        <v>455</v>
      </c>
      <c r="B172" s="97" t="s">
        <v>1392</v>
      </c>
      <c r="C172" s="97" t="s">
        <v>1298</v>
      </c>
      <c r="D172" s="101" t="str">
        <f t="shared" si="2"/>
        <v>OK</v>
      </c>
      <c r="F172">
        <f>Lifetimes!FV1</f>
        <v>0</v>
      </c>
    </row>
    <row r="173" spans="1:6" ht="15" thickBot="1">
      <c r="A173" s="322" t="s">
        <v>454</v>
      </c>
      <c r="B173" s="97" t="s">
        <v>1392</v>
      </c>
      <c r="C173" s="97" t="s">
        <v>1299</v>
      </c>
      <c r="D173" s="101" t="str">
        <f t="shared" si="2"/>
        <v>OK</v>
      </c>
      <c r="F173">
        <f>Lifetimes!FW1</f>
        <v>0</v>
      </c>
    </row>
    <row r="174" spans="1:6" ht="15" thickBot="1">
      <c r="A174" s="322" t="s">
        <v>449</v>
      </c>
      <c r="B174" s="97" t="s">
        <v>1389</v>
      </c>
      <c r="C174" s="97" t="s">
        <v>1680</v>
      </c>
      <c r="D174" s="101" t="str">
        <f t="shared" si="2"/>
        <v>OK</v>
      </c>
      <c r="F174">
        <f>Lifetimes!FX1</f>
        <v>0</v>
      </c>
    </row>
    <row r="175" spans="1:6" ht="15" thickBot="1">
      <c r="A175" s="322" t="s">
        <v>453</v>
      </c>
      <c r="B175" s="97" t="s">
        <v>1392</v>
      </c>
      <c r="C175" s="97" t="s">
        <v>1300</v>
      </c>
      <c r="D175" s="101" t="str">
        <f t="shared" si="2"/>
        <v>OK</v>
      </c>
      <c r="F175">
        <f>Lifetimes!FY1</f>
        <v>0</v>
      </c>
    </row>
    <row r="176" spans="1:6" ht="15" thickBot="1">
      <c r="A176" s="322" t="s">
        <v>452</v>
      </c>
      <c r="B176" s="97" t="s">
        <v>1392</v>
      </c>
      <c r="C176" s="97" t="s">
        <v>1301</v>
      </c>
      <c r="D176" s="101" t="str">
        <f t="shared" si="2"/>
        <v>OK</v>
      </c>
      <c r="F176">
        <f>Lifetimes!FZ1</f>
        <v>0</v>
      </c>
    </row>
    <row r="177" spans="1:6" ht="15" thickBot="1">
      <c r="A177" s="74" t="s">
        <v>1681</v>
      </c>
      <c r="B177" s="97" t="s">
        <v>1389</v>
      </c>
      <c r="C177" s="97" t="s">
        <v>1682</v>
      </c>
      <c r="D177" s="101" t="str">
        <f t="shared" si="2"/>
        <v>OK</v>
      </c>
      <c r="F177">
        <f>Lifetimes!GA1</f>
        <v>0</v>
      </c>
    </row>
    <row r="178" spans="1:6" ht="15" thickBot="1">
      <c r="A178" s="74" t="s">
        <v>1683</v>
      </c>
      <c r="B178" s="97" t="s">
        <v>1389</v>
      </c>
      <c r="C178" s="97" t="s">
        <v>1684</v>
      </c>
      <c r="D178" s="101" t="str">
        <f t="shared" si="2"/>
        <v>OK</v>
      </c>
      <c r="F178">
        <f>Lifetimes!GB1</f>
        <v>0</v>
      </c>
    </row>
    <row r="179" spans="1:6" ht="15" thickBot="1">
      <c r="A179" s="74" t="s">
        <v>1685</v>
      </c>
      <c r="B179" s="97" t="s">
        <v>1389</v>
      </c>
      <c r="C179" s="97" t="s">
        <v>1686</v>
      </c>
      <c r="D179" s="101" t="str">
        <f t="shared" si="2"/>
        <v>OK</v>
      </c>
      <c r="F179">
        <f>Lifetimes!GC1</f>
        <v>0</v>
      </c>
    </row>
    <row r="180" spans="1:6" ht="15" thickBot="1">
      <c r="A180" s="74" t="s">
        <v>1687</v>
      </c>
      <c r="B180" s="97" t="s">
        <v>1389</v>
      </c>
      <c r="C180" s="97" t="s">
        <v>1688</v>
      </c>
      <c r="D180" s="101" t="str">
        <f t="shared" si="2"/>
        <v>OK</v>
      </c>
      <c r="F180">
        <f>Lifetimes!GD1</f>
        <v>0</v>
      </c>
    </row>
    <row r="181" spans="1:6" ht="15" thickBot="1">
      <c r="A181" s="74" t="s">
        <v>420</v>
      </c>
      <c r="B181" s="97" t="s">
        <v>1389</v>
      </c>
      <c r="C181" s="97" t="s">
        <v>1689</v>
      </c>
      <c r="D181" s="101" t="str">
        <f t="shared" si="2"/>
        <v>OK</v>
      </c>
      <c r="F181">
        <f>Lifetimes!GE1</f>
        <v>0</v>
      </c>
    </row>
    <row r="182" spans="1:6" ht="15" thickBot="1">
      <c r="A182" s="322" t="s">
        <v>481</v>
      </c>
      <c r="B182" s="97" t="s">
        <v>1389</v>
      </c>
      <c r="C182" s="97" t="s">
        <v>1690</v>
      </c>
      <c r="D182" s="101" t="str">
        <f t="shared" si="2"/>
        <v>OK</v>
      </c>
      <c r="F182">
        <f>Lifetimes!GF1</f>
        <v>0</v>
      </c>
    </row>
    <row r="183" spans="1:6" ht="15" thickBot="1">
      <c r="A183" s="322" t="s">
        <v>485</v>
      </c>
      <c r="B183" s="97" t="s">
        <v>1392</v>
      </c>
      <c r="C183" s="97" t="s">
        <v>1302</v>
      </c>
      <c r="D183" s="101" t="str">
        <f t="shared" si="2"/>
        <v>OK</v>
      </c>
      <c r="F183">
        <f>Lifetimes!GG1</f>
        <v>0</v>
      </c>
    </row>
    <row r="184" spans="1:6" ht="15" thickBot="1">
      <c r="A184" s="322" t="s">
        <v>484</v>
      </c>
      <c r="B184" s="97" t="s">
        <v>1392</v>
      </c>
      <c r="C184" s="97" t="s">
        <v>1303</v>
      </c>
      <c r="D184" s="101" t="str">
        <f t="shared" si="2"/>
        <v>OK</v>
      </c>
      <c r="F184">
        <f>Lifetimes!GH1</f>
        <v>0</v>
      </c>
    </row>
    <row r="185" spans="1:6" ht="15" thickBot="1">
      <c r="A185" s="322" t="s">
        <v>480</v>
      </c>
      <c r="B185" s="97" t="s">
        <v>1389</v>
      </c>
      <c r="C185" s="97" t="s">
        <v>1691</v>
      </c>
      <c r="D185" s="101" t="str">
        <f t="shared" si="2"/>
        <v>OK</v>
      </c>
      <c r="F185">
        <f>Lifetimes!GI1</f>
        <v>0</v>
      </c>
    </row>
    <row r="186" spans="1:6" ht="15" thickBot="1">
      <c r="A186" s="322" t="s">
        <v>483</v>
      </c>
      <c r="B186" s="97" t="s">
        <v>1392</v>
      </c>
      <c r="C186" s="97" t="s">
        <v>1304</v>
      </c>
      <c r="D186" s="101" t="str">
        <f t="shared" si="2"/>
        <v>OK</v>
      </c>
      <c r="F186">
        <f>Lifetimes!GJ1</f>
        <v>0</v>
      </c>
    </row>
    <row r="187" spans="1:6" ht="15" thickBot="1">
      <c r="A187" s="322" t="s">
        <v>482</v>
      </c>
      <c r="B187" s="97" t="s">
        <v>1392</v>
      </c>
      <c r="C187" s="97" t="s">
        <v>1305</v>
      </c>
      <c r="D187" s="101" t="str">
        <f t="shared" si="2"/>
        <v>OK</v>
      </c>
      <c r="F187">
        <f>Lifetimes!GK1</f>
        <v>0</v>
      </c>
    </row>
    <row r="188" spans="1:6" ht="15" thickBot="1">
      <c r="A188" s="74" t="s">
        <v>414</v>
      </c>
      <c r="B188" s="97" t="s">
        <v>1389</v>
      </c>
      <c r="C188" s="97" t="s">
        <v>1692</v>
      </c>
      <c r="D188" s="101" t="str">
        <f t="shared" si="2"/>
        <v>OK</v>
      </c>
      <c r="F188">
        <f>Lifetimes!GL1</f>
        <v>0</v>
      </c>
    </row>
    <row r="189" spans="1:6" ht="15" thickBot="1">
      <c r="A189" s="322" t="s">
        <v>443</v>
      </c>
      <c r="B189" s="97" t="s">
        <v>1389</v>
      </c>
      <c r="C189" s="97" t="s">
        <v>1693</v>
      </c>
      <c r="D189" s="101" t="str">
        <f t="shared" si="2"/>
        <v>OK</v>
      </c>
      <c r="F189">
        <f>Lifetimes!GM1</f>
        <v>0</v>
      </c>
    </row>
    <row r="190" spans="1:6" ht="15" thickBot="1">
      <c r="A190" s="322" t="s">
        <v>448</v>
      </c>
      <c r="B190" s="97" t="s">
        <v>1392</v>
      </c>
      <c r="C190" s="97" t="s">
        <v>1306</v>
      </c>
      <c r="D190" s="101" t="str">
        <f t="shared" si="2"/>
        <v>OK</v>
      </c>
      <c r="F190">
        <f>Lifetimes!GN1</f>
        <v>0</v>
      </c>
    </row>
    <row r="191" spans="1:6" ht="15" thickBot="1">
      <c r="A191" s="322" t="s">
        <v>447</v>
      </c>
      <c r="B191" s="97" t="s">
        <v>1392</v>
      </c>
      <c r="C191" s="97" t="s">
        <v>1307</v>
      </c>
      <c r="D191" s="101" t="str">
        <f t="shared" si="2"/>
        <v>OK</v>
      </c>
      <c r="F191">
        <f>Lifetimes!GO1</f>
        <v>0</v>
      </c>
    </row>
    <row r="192" spans="1:6" ht="15" thickBot="1">
      <c r="A192" s="322" t="s">
        <v>442</v>
      </c>
      <c r="B192" s="97" t="s">
        <v>1389</v>
      </c>
      <c r="C192" s="97" t="s">
        <v>1694</v>
      </c>
      <c r="D192" s="101" t="str">
        <f t="shared" si="2"/>
        <v>OK</v>
      </c>
      <c r="F192">
        <f>Lifetimes!GP1</f>
        <v>0</v>
      </c>
    </row>
    <row r="193" spans="1:6" ht="15" thickBot="1">
      <c r="A193" s="322" t="s">
        <v>446</v>
      </c>
      <c r="B193" s="97" t="s">
        <v>1392</v>
      </c>
      <c r="C193" s="97" t="s">
        <v>1308</v>
      </c>
      <c r="D193" s="101" t="str">
        <f t="shared" si="2"/>
        <v>OK</v>
      </c>
      <c r="F193">
        <f>Lifetimes!GQ1</f>
        <v>0</v>
      </c>
    </row>
    <row r="194" spans="1:6" ht="15" thickBot="1">
      <c r="A194" s="322" t="s">
        <v>445</v>
      </c>
      <c r="B194" s="97" t="s">
        <v>1392</v>
      </c>
      <c r="C194" s="68" t="s">
        <v>1309</v>
      </c>
      <c r="D194" s="101" t="str">
        <f t="shared" si="2"/>
        <v>OK</v>
      </c>
      <c r="F194">
        <f>Lifetimes!GR1</f>
        <v>0</v>
      </c>
    </row>
    <row r="195" spans="1:6" ht="15" thickBot="1">
      <c r="A195" s="865" t="s">
        <v>143</v>
      </c>
      <c r="B195" s="607" t="s">
        <v>1389</v>
      </c>
      <c r="C195" s="866" t="s">
        <v>1695</v>
      </c>
      <c r="D195" s="101" t="str">
        <f t="shared" ref="D195:D244" si="3">IF(B195=IF(COUNTIF($F$3:$F$150,C195),"Stock","Flow/Sink"),"OK",IF(B195="Stock","Compartment missing in Lifetimes, available as pair?",IF(IF(COUNTIF($F$3:$F$150,C195),"Stock","Flow/Sink")="Stock","Change Type of compartment to Stock","OK")))</f>
        <v>OK</v>
      </c>
      <c r="F195">
        <f>Lifetimes!GS1</f>
        <v>0</v>
      </c>
    </row>
    <row r="196" spans="1:6" ht="15" thickBot="1">
      <c r="A196" s="867" t="s">
        <v>399</v>
      </c>
      <c r="B196" s="224" t="s">
        <v>1389</v>
      </c>
      <c r="C196" s="224" t="s">
        <v>1696</v>
      </c>
      <c r="D196" s="864" t="str">
        <f t="shared" si="3"/>
        <v>OK</v>
      </c>
      <c r="F196">
        <f>Lifetimes!GT1</f>
        <v>0</v>
      </c>
    </row>
    <row r="197" spans="1:6" ht="15" thickBot="1">
      <c r="A197" s="868" t="s">
        <v>2018</v>
      </c>
      <c r="B197" s="224" t="s">
        <v>1389</v>
      </c>
      <c r="C197" s="224" t="s">
        <v>2090</v>
      </c>
      <c r="D197" s="864" t="str">
        <f t="shared" si="3"/>
        <v>OK</v>
      </c>
      <c r="E197"/>
      <c r="F197"/>
    </row>
    <row r="198" spans="1:6" ht="15" thickBot="1">
      <c r="A198" s="868" t="s">
        <v>2021</v>
      </c>
      <c r="B198" s="224" t="s">
        <v>1389</v>
      </c>
      <c r="C198" s="224" t="s">
        <v>2091</v>
      </c>
      <c r="D198" s="864" t="str">
        <f t="shared" si="3"/>
        <v>OK</v>
      </c>
      <c r="E198"/>
      <c r="F198"/>
    </row>
    <row r="199" spans="1:6" ht="15" thickBot="1">
      <c r="A199" s="868" t="s">
        <v>2029</v>
      </c>
      <c r="B199" s="224" t="s">
        <v>1392</v>
      </c>
      <c r="C199" s="224" t="s">
        <v>2096</v>
      </c>
      <c r="D199" s="864" t="str">
        <f t="shared" si="3"/>
        <v>Compartment missing in Lifetimes, available as pair?</v>
      </c>
      <c r="E199"/>
      <c r="F199"/>
    </row>
    <row r="200" spans="1:6" ht="15" thickBot="1">
      <c r="A200" s="868" t="s">
        <v>2031</v>
      </c>
      <c r="B200" s="224" t="s">
        <v>1392</v>
      </c>
      <c r="C200" s="224" t="s">
        <v>2031</v>
      </c>
      <c r="D200" s="864" t="str">
        <f t="shared" si="3"/>
        <v>Compartment missing in Lifetimes, available as pair?</v>
      </c>
      <c r="E200"/>
      <c r="F200"/>
    </row>
    <row r="201" spans="1:6" ht="15" thickBot="1">
      <c r="A201" s="868" t="s">
        <v>2032</v>
      </c>
      <c r="B201" s="224" t="s">
        <v>1392</v>
      </c>
      <c r="C201" s="224" t="s">
        <v>2105</v>
      </c>
      <c r="D201" s="864" t="str">
        <f t="shared" si="3"/>
        <v>Compartment missing in Lifetimes, available as pair?</v>
      </c>
      <c r="E201"/>
      <c r="F201"/>
    </row>
    <row r="202" spans="1:6" ht="15" thickBot="1">
      <c r="A202" s="868" t="s">
        <v>2152</v>
      </c>
      <c r="B202" s="224" t="s">
        <v>1392</v>
      </c>
      <c r="C202" s="224" t="s">
        <v>2101</v>
      </c>
      <c r="D202" s="864" t="str">
        <f t="shared" si="3"/>
        <v>Compartment missing in Lifetimes, available as pair?</v>
      </c>
      <c r="E202"/>
      <c r="F202"/>
    </row>
    <row r="203" spans="1:6" ht="15" thickBot="1">
      <c r="A203" s="868" t="s">
        <v>2033</v>
      </c>
      <c r="B203" s="224" t="s">
        <v>1392</v>
      </c>
      <c r="C203" s="224" t="s">
        <v>2100</v>
      </c>
      <c r="D203" s="864" t="str">
        <f t="shared" si="3"/>
        <v>Compartment missing in Lifetimes, available as pair?</v>
      </c>
      <c r="E203"/>
      <c r="F203"/>
    </row>
    <row r="204" spans="1:6" ht="15" thickBot="1">
      <c r="A204" s="868" t="s">
        <v>2151</v>
      </c>
      <c r="B204" s="224" t="s">
        <v>1392</v>
      </c>
      <c r="C204" s="224" t="s">
        <v>2108</v>
      </c>
      <c r="D204" s="864" t="str">
        <f t="shared" si="3"/>
        <v>Compartment missing in Lifetimes, available as pair?</v>
      </c>
      <c r="E204"/>
      <c r="F204"/>
    </row>
    <row r="205" spans="1:6" ht="15" thickBot="1">
      <c r="A205" s="868" t="s">
        <v>2153</v>
      </c>
      <c r="B205" s="224" t="s">
        <v>1392</v>
      </c>
      <c r="C205" s="224" t="s">
        <v>2109</v>
      </c>
      <c r="D205" s="864" t="str">
        <f t="shared" si="3"/>
        <v>Compartment missing in Lifetimes, available as pair?</v>
      </c>
      <c r="E205"/>
      <c r="F205"/>
    </row>
    <row r="206" spans="1:6" ht="15" thickBot="1">
      <c r="A206" s="868" t="s">
        <v>2154</v>
      </c>
      <c r="B206" s="224" t="s">
        <v>1392</v>
      </c>
      <c r="C206" s="224" t="s">
        <v>2102</v>
      </c>
      <c r="D206" s="864" t="str">
        <f t="shared" si="3"/>
        <v>Compartment missing in Lifetimes, available as pair?</v>
      </c>
      <c r="E206"/>
      <c r="F206"/>
    </row>
    <row r="207" spans="1:6" ht="15" thickBot="1">
      <c r="A207" s="868" t="s">
        <v>2155</v>
      </c>
      <c r="B207" s="224" t="s">
        <v>1392</v>
      </c>
      <c r="C207" s="224" t="s">
        <v>2103</v>
      </c>
      <c r="D207" s="864" t="str">
        <f t="shared" si="3"/>
        <v>Compartment missing in Lifetimes, available as pair?</v>
      </c>
      <c r="E207"/>
      <c r="F207"/>
    </row>
    <row r="208" spans="1:6" ht="15" thickBot="1">
      <c r="A208" s="868" t="s">
        <v>2156</v>
      </c>
      <c r="B208" s="224" t="s">
        <v>1392</v>
      </c>
      <c r="C208" s="224" t="s">
        <v>2104</v>
      </c>
      <c r="D208" s="864" t="str">
        <f t="shared" si="3"/>
        <v>Compartment missing in Lifetimes, available as pair?</v>
      </c>
      <c r="E208"/>
      <c r="F208"/>
    </row>
    <row r="209" spans="1:4" ht="15" thickBot="1">
      <c r="A209" s="868" t="s">
        <v>2034</v>
      </c>
      <c r="B209" s="224" t="s">
        <v>1392</v>
      </c>
      <c r="C209" s="224" t="s">
        <v>2034</v>
      </c>
      <c r="D209" s="864" t="str">
        <f t="shared" si="3"/>
        <v>Compartment missing in Lifetimes, available as pair?</v>
      </c>
    </row>
    <row r="210" spans="1:4" ht="15" thickBot="1">
      <c r="A210" s="868" t="s">
        <v>2035</v>
      </c>
      <c r="B210" s="224" t="s">
        <v>1392</v>
      </c>
      <c r="C210" s="224" t="s">
        <v>2095</v>
      </c>
      <c r="D210" s="864" t="str">
        <f t="shared" si="3"/>
        <v>Compartment missing in Lifetimes, available as pair?</v>
      </c>
    </row>
    <row r="211" spans="1:4" ht="15" thickBot="1">
      <c r="A211" s="868" t="s">
        <v>2036</v>
      </c>
      <c r="B211" s="224" t="s">
        <v>1392</v>
      </c>
      <c r="C211" s="224" t="s">
        <v>2036</v>
      </c>
      <c r="D211" s="864" t="str">
        <f t="shared" si="3"/>
        <v>Compartment missing in Lifetimes, available as pair?</v>
      </c>
    </row>
    <row r="212" spans="1:4" ht="15" thickBot="1">
      <c r="A212" s="868" t="s">
        <v>2047</v>
      </c>
      <c r="B212" s="224" t="s">
        <v>1389</v>
      </c>
      <c r="C212" s="224" t="s">
        <v>2097</v>
      </c>
      <c r="D212" s="864" t="str">
        <f t="shared" si="3"/>
        <v>OK</v>
      </c>
    </row>
    <row r="213" spans="1:4" ht="15" thickBot="1">
      <c r="A213" s="868" t="s">
        <v>2050</v>
      </c>
      <c r="B213" s="224" t="s">
        <v>1389</v>
      </c>
      <c r="C213" s="224" t="s">
        <v>2110</v>
      </c>
      <c r="D213" s="864" t="str">
        <f t="shared" si="3"/>
        <v>OK</v>
      </c>
    </row>
    <row r="214" spans="1:4" ht="15" thickBot="1">
      <c r="A214" s="868" t="s">
        <v>2051</v>
      </c>
      <c r="B214" s="224" t="s">
        <v>1389</v>
      </c>
      <c r="C214" s="224" t="s">
        <v>2114</v>
      </c>
      <c r="D214" s="864" t="str">
        <f t="shared" si="3"/>
        <v>OK</v>
      </c>
    </row>
    <row r="215" spans="1:4" ht="15" thickBot="1">
      <c r="A215" s="868" t="s">
        <v>2052</v>
      </c>
      <c r="B215" s="224" t="s">
        <v>1389</v>
      </c>
      <c r="C215" s="224" t="s">
        <v>2111</v>
      </c>
      <c r="D215" s="864" t="str">
        <f t="shared" si="3"/>
        <v>OK</v>
      </c>
    </row>
    <row r="216" spans="1:4" ht="15" thickBot="1">
      <c r="A216" s="868" t="s">
        <v>2048</v>
      </c>
      <c r="B216" s="224" t="s">
        <v>1389</v>
      </c>
      <c r="C216" s="224" t="s">
        <v>2098</v>
      </c>
      <c r="D216" s="864" t="str">
        <f t="shared" si="3"/>
        <v>OK</v>
      </c>
    </row>
    <row r="217" spans="1:4" ht="15" thickBot="1">
      <c r="A217" s="868" t="s">
        <v>2049</v>
      </c>
      <c r="B217" s="224" t="s">
        <v>1389</v>
      </c>
      <c r="C217" s="224" t="s">
        <v>2099</v>
      </c>
      <c r="D217" s="864" t="str">
        <f t="shared" si="3"/>
        <v>OK</v>
      </c>
    </row>
    <row r="218" spans="1:4" ht="15" thickBot="1">
      <c r="A218" s="868" t="s">
        <v>2057</v>
      </c>
      <c r="B218" s="224" t="s">
        <v>1389</v>
      </c>
      <c r="C218" s="224" t="s">
        <v>2106</v>
      </c>
      <c r="D218" s="864" t="str">
        <f t="shared" si="3"/>
        <v>OK</v>
      </c>
    </row>
    <row r="219" spans="1:4" ht="15" thickBot="1">
      <c r="A219" s="868" t="s">
        <v>2058</v>
      </c>
      <c r="B219" s="224" t="s">
        <v>1389</v>
      </c>
      <c r="C219" s="224" t="s">
        <v>2107</v>
      </c>
      <c r="D219" s="864" t="str">
        <f t="shared" si="3"/>
        <v>OK</v>
      </c>
    </row>
    <row r="220" spans="1:4" ht="15" thickBot="1">
      <c r="A220" s="868" t="s">
        <v>2059</v>
      </c>
      <c r="B220" s="224" t="s">
        <v>1389</v>
      </c>
      <c r="C220" s="224" t="s">
        <v>2115</v>
      </c>
      <c r="D220" s="864" t="str">
        <f t="shared" si="3"/>
        <v>OK</v>
      </c>
    </row>
    <row r="221" spans="1:4" ht="15" thickBot="1">
      <c r="A221" s="868" t="s">
        <v>2060</v>
      </c>
      <c r="B221" s="224" t="s">
        <v>1389</v>
      </c>
      <c r="C221" s="224" t="s">
        <v>2116</v>
      </c>
      <c r="D221" s="864" t="str">
        <f t="shared" si="3"/>
        <v>OK</v>
      </c>
    </row>
    <row r="222" spans="1:4" ht="15" thickBot="1">
      <c r="A222" s="868" t="s">
        <v>2061</v>
      </c>
      <c r="B222" s="224" t="s">
        <v>1389</v>
      </c>
      <c r="C222" s="224" t="s">
        <v>2117</v>
      </c>
      <c r="D222" s="864" t="str">
        <f t="shared" si="3"/>
        <v>OK</v>
      </c>
    </row>
    <row r="223" spans="1:4" ht="15" thickBot="1">
      <c r="A223" s="868" t="s">
        <v>2062</v>
      </c>
      <c r="B223" s="224" t="s">
        <v>1389</v>
      </c>
      <c r="C223" s="224" t="s">
        <v>2118</v>
      </c>
      <c r="D223" s="864" t="str">
        <f t="shared" si="3"/>
        <v>OK</v>
      </c>
    </row>
    <row r="224" spans="1:4" ht="15" thickBot="1">
      <c r="A224" s="868" t="s">
        <v>2083</v>
      </c>
      <c r="B224" s="224" t="s">
        <v>1389</v>
      </c>
      <c r="C224" s="224" t="s">
        <v>2092</v>
      </c>
      <c r="D224" s="864" t="str">
        <f t="shared" si="3"/>
        <v>OK</v>
      </c>
    </row>
    <row r="225" spans="1:4" ht="15" thickBot="1">
      <c r="A225" s="868" t="s">
        <v>2084</v>
      </c>
      <c r="B225" s="224" t="s">
        <v>1389</v>
      </c>
      <c r="C225" s="224" t="s">
        <v>2093</v>
      </c>
      <c r="D225" s="864" t="str">
        <f t="shared" si="3"/>
        <v>OK</v>
      </c>
    </row>
    <row r="226" spans="1:4" ht="15" thickBot="1">
      <c r="A226" s="868" t="s">
        <v>2085</v>
      </c>
      <c r="B226" s="224" t="s">
        <v>1389</v>
      </c>
      <c r="C226" s="224" t="s">
        <v>2094</v>
      </c>
      <c r="D226" s="864" t="str">
        <f t="shared" si="3"/>
        <v>OK</v>
      </c>
    </row>
    <row r="227" spans="1:4" ht="15" thickBot="1">
      <c r="A227" s="868" t="s">
        <v>2086</v>
      </c>
      <c r="B227" s="224" t="s">
        <v>1389</v>
      </c>
      <c r="C227" s="224" t="s">
        <v>2112</v>
      </c>
      <c r="D227" s="864" t="str">
        <f t="shared" si="3"/>
        <v>OK</v>
      </c>
    </row>
    <row r="228" spans="1:4" ht="15" thickBot="1">
      <c r="A228" s="868" t="s">
        <v>2088</v>
      </c>
      <c r="B228" s="224" t="s">
        <v>1389</v>
      </c>
      <c r="C228" s="224" t="s">
        <v>2113</v>
      </c>
      <c r="D228" s="864" t="str">
        <f t="shared" si="3"/>
        <v>OK</v>
      </c>
    </row>
    <row r="229" spans="1:4" ht="15" thickBot="1">
      <c r="A229" s="609" t="s">
        <v>2130</v>
      </c>
      <c r="B229" s="224" t="s">
        <v>1389</v>
      </c>
      <c r="C229" s="224" t="s">
        <v>2139</v>
      </c>
      <c r="D229" s="864" t="str">
        <f t="shared" si="3"/>
        <v>OK</v>
      </c>
    </row>
    <row r="230" spans="1:4" ht="15" thickBot="1">
      <c r="A230" s="609" t="s">
        <v>2136</v>
      </c>
      <c r="B230" s="224" t="s">
        <v>1389</v>
      </c>
      <c r="C230" s="224" t="s">
        <v>2140</v>
      </c>
      <c r="D230" s="864" t="str">
        <f t="shared" si="3"/>
        <v>OK</v>
      </c>
    </row>
    <row r="231" spans="1:4" ht="15" thickBot="1">
      <c r="A231" s="609" t="s">
        <v>2135</v>
      </c>
      <c r="B231" s="224" t="s">
        <v>1389</v>
      </c>
      <c r="C231" s="224" t="s">
        <v>2141</v>
      </c>
      <c r="D231" s="864" t="str">
        <f t="shared" si="3"/>
        <v>OK</v>
      </c>
    </row>
    <row r="232" spans="1:4" ht="15" thickBot="1">
      <c r="A232" s="609" t="s">
        <v>2181</v>
      </c>
      <c r="B232" s="224" t="s">
        <v>1389</v>
      </c>
      <c r="C232" s="224" t="s">
        <v>2187</v>
      </c>
      <c r="D232" s="864" t="str">
        <f t="shared" si="3"/>
        <v>OK</v>
      </c>
    </row>
    <row r="233" spans="1:4" ht="15" thickBot="1">
      <c r="A233" s="609" t="s">
        <v>2179</v>
      </c>
      <c r="B233" s="224" t="s">
        <v>1389</v>
      </c>
      <c r="C233" s="224" t="s">
        <v>2188</v>
      </c>
      <c r="D233" s="864" t="str">
        <f t="shared" si="3"/>
        <v>OK</v>
      </c>
    </row>
    <row r="234" spans="1:4" ht="15" thickBot="1">
      <c r="A234" s="609" t="s">
        <v>2180</v>
      </c>
      <c r="B234" s="224" t="s">
        <v>1389</v>
      </c>
      <c r="C234" s="224" t="s">
        <v>2189</v>
      </c>
      <c r="D234" s="864" t="str">
        <f t="shared" si="3"/>
        <v>OK</v>
      </c>
    </row>
    <row r="235" spans="1:4" ht="15" thickBot="1">
      <c r="A235" s="609" t="s">
        <v>2182</v>
      </c>
      <c r="B235" s="224" t="s">
        <v>1395</v>
      </c>
      <c r="C235" s="224" t="s">
        <v>2190</v>
      </c>
      <c r="D235" s="864" t="str">
        <f t="shared" si="3"/>
        <v>OK</v>
      </c>
    </row>
    <row r="236" spans="1:4" ht="15" thickBot="1">
      <c r="A236" s="609" t="s">
        <v>2201</v>
      </c>
      <c r="B236" s="224" t="s">
        <v>1389</v>
      </c>
      <c r="C236" s="224" t="s">
        <v>2207</v>
      </c>
      <c r="D236" s="864" t="str">
        <f t="shared" si="3"/>
        <v>OK</v>
      </c>
    </row>
    <row r="237" spans="1:4" ht="15" thickBot="1">
      <c r="A237" s="609" t="s">
        <v>2203</v>
      </c>
      <c r="B237" s="224" t="s">
        <v>1389</v>
      </c>
      <c r="C237" s="224" t="s">
        <v>2208</v>
      </c>
      <c r="D237" s="864" t="str">
        <f t="shared" si="3"/>
        <v>OK</v>
      </c>
    </row>
    <row r="238" spans="1:4">
      <c r="A238" s="609" t="s">
        <v>2204</v>
      </c>
      <c r="B238" s="224" t="s">
        <v>1389</v>
      </c>
      <c r="C238" s="224" t="s">
        <v>2209</v>
      </c>
      <c r="D238" s="864" t="str">
        <f t="shared" si="3"/>
        <v>OK</v>
      </c>
    </row>
    <row r="239" spans="1:4">
      <c r="A239" s="609" t="s">
        <v>2216</v>
      </c>
      <c r="B239" s="224" t="s">
        <v>1389</v>
      </c>
      <c r="C239" s="224" t="s">
        <v>2226</v>
      </c>
      <c r="D239" s="307" t="str">
        <f t="shared" si="3"/>
        <v>OK</v>
      </c>
    </row>
    <row r="240" spans="1:4">
      <c r="A240" s="609" t="s">
        <v>2217</v>
      </c>
      <c r="B240" s="224" t="s">
        <v>1389</v>
      </c>
      <c r="C240" s="224" t="s">
        <v>2227</v>
      </c>
      <c r="D240" s="307" t="str">
        <f t="shared" si="3"/>
        <v>OK</v>
      </c>
    </row>
    <row r="241" spans="1:4">
      <c r="A241" s="609" t="s">
        <v>2220</v>
      </c>
      <c r="B241" s="224" t="s">
        <v>1389</v>
      </c>
      <c r="C241" s="224" t="s">
        <v>2228</v>
      </c>
      <c r="D241" s="307" t="str">
        <f t="shared" si="3"/>
        <v>OK</v>
      </c>
    </row>
    <row r="242" spans="1:4">
      <c r="A242" s="609" t="s">
        <v>2221</v>
      </c>
      <c r="B242" s="224" t="s">
        <v>1389</v>
      </c>
      <c r="C242" s="224" t="s">
        <v>2229</v>
      </c>
      <c r="D242" s="307" t="str">
        <f t="shared" si="3"/>
        <v>OK</v>
      </c>
    </row>
    <row r="243" spans="1:4">
      <c r="A243" s="609" t="s">
        <v>2218</v>
      </c>
      <c r="B243" s="224" t="s">
        <v>1389</v>
      </c>
      <c r="C243" s="224" t="s">
        <v>2230</v>
      </c>
      <c r="D243" s="307" t="str">
        <f t="shared" si="3"/>
        <v>OK</v>
      </c>
    </row>
    <row r="244" spans="1:4">
      <c r="A244" s="609" t="s">
        <v>2219</v>
      </c>
      <c r="B244" s="224" t="s">
        <v>1389</v>
      </c>
      <c r="C244" s="224" t="s">
        <v>2231</v>
      </c>
      <c r="D244" s="307" t="str">
        <f t="shared" si="3"/>
        <v>OK</v>
      </c>
    </row>
  </sheetData>
  <autoFilter ref="A2:C197" xr:uid="{5B2DCA69-2DC7-473A-9435-80DA0225099E}">
    <sortState xmlns:xlrd2="http://schemas.microsoft.com/office/spreadsheetml/2017/richdata2" ref="A3:C197">
      <sortCondition ref="A2:A197"/>
    </sortState>
  </autoFilter>
  <sortState xmlns:xlrd2="http://schemas.microsoft.com/office/spreadsheetml/2017/richdata2" ref="B9:C64">
    <sortCondition ref="B9:B64"/>
  </sortState>
  <conditionalFormatting sqref="D3:E3 D4:D244">
    <cfRule type="containsText" dxfId="20" priority="3" operator="containsText" text="OK">
      <formula>NOT(ISERROR(SEARCH("OK",D3)))</formula>
    </cfRule>
  </conditionalFormatting>
  <conditionalFormatting sqref="E4:E137">
    <cfRule type="containsText" dxfId="19" priority="1" operator="containsText" text="OK">
      <formula>NOT(ISERROR(SEARCH("OK",E4)))</formula>
    </cfRule>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28055-9BB1-4954-8166-2676409C811E}">
  <sheetPr>
    <tabColor rgb="FF92D050"/>
  </sheetPr>
  <dimension ref="A1:AA275"/>
  <sheetViews>
    <sheetView zoomScale="90" zoomScaleNormal="90" workbookViewId="0">
      <pane ySplit="2" topLeftCell="A236" activePane="bottomLeft" state="frozen"/>
      <selection pane="bottomLeft" activeCell="L255" sqref="L255"/>
    </sheetView>
  </sheetViews>
  <sheetFormatPr defaultRowHeight="14.4"/>
  <cols>
    <col min="1" max="1" width="9.109375" style="6" bestFit="1" customWidth="1"/>
    <col min="2" max="3" width="9" style="6" bestFit="1" customWidth="1"/>
    <col min="4" max="4" width="5.6640625" customWidth="1"/>
    <col min="5" max="5" width="35.33203125" bestFit="1" customWidth="1"/>
    <col min="6" max="6" width="16.88671875" bestFit="1" customWidth="1"/>
    <col min="7" max="7" width="35.33203125" bestFit="1" customWidth="1"/>
    <col min="8" max="8" width="16.109375" bestFit="1" customWidth="1"/>
    <col min="9" max="9" width="8.6640625" customWidth="1"/>
    <col min="10" max="10" width="36.44140625" style="16" customWidth="1"/>
    <col min="11" max="11" width="27.109375" style="4" customWidth="1"/>
    <col min="12" max="12" width="32.44140625" customWidth="1"/>
    <col min="13" max="13" width="18.44140625" customWidth="1"/>
    <col min="14" max="14" width="9" customWidth="1"/>
    <col min="15" max="15" width="55.6640625" bestFit="1" customWidth="1"/>
    <col min="16" max="16" width="30.88671875" customWidth="1"/>
    <col min="17" max="17" width="29.33203125" customWidth="1"/>
    <col min="18" max="18" width="20.6640625" customWidth="1"/>
    <col min="27" max="27" width="80.6640625" style="16" customWidth="1"/>
  </cols>
  <sheetData>
    <row r="1" spans="1:27" ht="30" customHeight="1" thickBot="1">
      <c r="A1" s="1164" t="s">
        <v>7</v>
      </c>
      <c r="B1" s="1165"/>
      <c r="C1" s="1166"/>
      <c r="E1" s="1164" t="s">
        <v>1697</v>
      </c>
      <c r="F1" s="1165"/>
      <c r="G1" s="1165"/>
      <c r="H1" s="1166"/>
      <c r="J1" s="1167" t="s">
        <v>1698</v>
      </c>
      <c r="K1" s="1168"/>
      <c r="L1" s="1168"/>
      <c r="M1" s="1169"/>
      <c r="N1" s="93"/>
      <c r="O1" s="93"/>
      <c r="P1" s="93"/>
    </row>
    <row r="2" spans="1:27" s="6" customFormat="1" ht="115.5" customHeight="1" thickBot="1">
      <c r="A2" s="48" t="s">
        <v>9</v>
      </c>
      <c r="B2" s="48" t="s">
        <v>12</v>
      </c>
      <c r="C2" s="84" t="s">
        <v>1130</v>
      </c>
      <c r="E2" s="48" t="s">
        <v>9</v>
      </c>
      <c r="F2" s="48" t="s">
        <v>1699</v>
      </c>
      <c r="G2" s="48" t="s">
        <v>12</v>
      </c>
      <c r="H2" s="91" t="s">
        <v>1700</v>
      </c>
      <c r="J2" s="86" t="s">
        <v>1701</v>
      </c>
      <c r="K2" s="94" t="s">
        <v>1702</v>
      </c>
      <c r="L2" s="86" t="s">
        <v>1703</v>
      </c>
      <c r="M2" s="94" t="s">
        <v>1704</v>
      </c>
      <c r="N2" s="86"/>
      <c r="O2" s="86" t="s">
        <v>1314</v>
      </c>
      <c r="P2" s="86" t="s">
        <v>1705</v>
      </c>
      <c r="Q2" s="608" t="s">
        <v>1706</v>
      </c>
      <c r="R2" s="608" t="s">
        <v>1707</v>
      </c>
      <c r="AA2" s="454" t="s">
        <v>1708</v>
      </c>
    </row>
    <row r="3" spans="1:27" ht="15" thickBot="1">
      <c r="A3" s="79" t="str" cm="1">
        <f t="array" ref="A3:A19">_xlfn.UNIQUE(Input_EU!C:C)</f>
        <v>Material</v>
      </c>
      <c r="B3" s="79" t="str" cm="1">
        <f t="array" ref="B3:B19">_xlfn.UNIQUE(Input_NL!C:C)</f>
        <v>Material</v>
      </c>
      <c r="C3" s="80" t="str" cm="1">
        <f t="array" ref="C3:C21">_xlfn.UNIQUE('Transfer coefficients'!D:D)</f>
        <v>Material</v>
      </c>
      <c r="E3" s="87" t="str" cm="1">
        <f t="array" ref="E3:E16">_xlfn.UNIQUE(Input_EU!A:A)</f>
        <v>Compartment</v>
      </c>
      <c r="F3" s="90"/>
      <c r="G3" s="87" t="str" cm="1">
        <f t="array" ref="G3:G15">_xlfn.UNIQUE(Input_NL!A:A)</f>
        <v>Compartment</v>
      </c>
      <c r="H3" s="92"/>
      <c r="J3" s="302" t="str" cm="1">
        <f t="array" ref="J3:J267">_xlfn.UNIQUE('Transfer coefficients'!A:A)</f>
        <v>From</v>
      </c>
      <c r="K3" s="300"/>
      <c r="L3" s="302" t="str" cm="1">
        <f t="array" ref="L3:L275">_xlfn.UNIQUE('Transfer coefficients'!B:B)</f>
        <v>To</v>
      </c>
      <c r="M3" s="85"/>
      <c r="N3" s="6"/>
      <c r="O3" s="6"/>
      <c r="P3" s="6"/>
      <c r="AA3" s="455" t="s">
        <v>1709</v>
      </c>
    </row>
    <row r="4" spans="1:27">
      <c r="A4" s="67" t="str">
        <v>PS</v>
      </c>
      <c r="B4" s="67" t="str">
        <v>LDPE</v>
      </c>
      <c r="C4" s="81" t="str">
        <v>any</v>
      </c>
      <c r="E4" s="88" t="str">
        <v>Agriculture</v>
      </c>
      <c r="F4" s="101" t="str">
        <f t="shared" ref="F4:F8" si="0">IF(COUNTIF(G:G,E4), "OK", "Missing")</f>
        <v>OK</v>
      </c>
      <c r="G4" s="88" t="str">
        <v>Agriculture</v>
      </c>
      <c r="H4" s="101" t="str">
        <f>IF(COUNTIF(E:E,G4), "OK", "Missing")</f>
        <v>OK</v>
      </c>
      <c r="J4" s="299" t="str">
        <v>Agricultural greenhouse films (discarded)</v>
      </c>
      <c r="K4" s="303" t="str">
        <f>IF(ISBLANK(J4),"",IF(COUNTIF(L:L,J4),IF(_xlfn.XLOOKUP(J4,'Compartments_Kawecki&amp;Nowack19'!A:A,'Compartments_Kawecki&amp;Nowack19'!B:B,_xlfn.XLOOKUP(J4,Compartments_Added!A:A,Compartments_Added!B:B))="Stock","OK stock","OK flow"),IF(COUNTIF($G$4:$G$18,J4),IF(COUNTIF($E$4:$E$18,J4),"OK input","Missing"),"Missing")))</f>
        <v>OK stock</v>
      </c>
      <c r="L4" s="299" t="str">
        <v>Agricultural waste collection</v>
      </c>
      <c r="M4" s="303" t="str">
        <f>IF(COUNTIF(J:J,L4),IF(_xlfn.XLOOKUP(L4,'Compartments_Kawecki&amp;Nowack19'!A:A,'Compartments_Kawecki&amp;Nowack19'!B:B,_xlfn.XLOOKUP(L4,Compartments_Added!A:A,Compartments_Added!B:B))="Stock","OK stock","OK flow"),IF(_xlfn.XLOOKUP(L4,'Compartments_Kawecki&amp;Nowack19'!A:A,'Compartments_Kawecki&amp;Nowack19'!B:B,_xlfn.XLOOKUP(L4,Compartments_Added!A:A,Compartments_Added!B:B))="Sink","OK, Sink","Missing"))</f>
        <v>OK flow</v>
      </c>
      <c r="N4" s="6"/>
      <c r="O4" s="6" t="str">
        <f>Lifetimes_pairs!A2</f>
        <v>Agricultural packaging bottles</v>
      </c>
      <c r="P4" s="6" t="str">
        <f>Lifetimes_pairs!B2</f>
        <v>AgriculturalPackagingBottles</v>
      </c>
      <c r="Q4" t="str">
        <f>Lifetimes!B1</f>
        <v>AgriculturalFilmsIU</v>
      </c>
      <c r="R4" t="str">
        <f>IF(COUNTIF(P:P,Q4), "OK", "Missing")</f>
        <v>OK</v>
      </c>
      <c r="AA4" s="455" t="s">
        <v>1710</v>
      </c>
    </row>
    <row r="5" spans="1:27">
      <c r="A5" s="37" t="str">
        <v>PP</v>
      </c>
      <c r="B5" s="37" t="str">
        <v>PVC</v>
      </c>
      <c r="C5" s="82" t="str">
        <v>PVC</v>
      </c>
      <c r="E5" s="69" t="str">
        <v>Domestic primary plastic production</v>
      </c>
      <c r="F5" s="69" t="str">
        <f t="shared" si="0"/>
        <v>OK</v>
      </c>
      <c r="G5" s="69" t="str">
        <v>Domestic primary plastic production</v>
      </c>
      <c r="H5" s="69" t="str">
        <f t="shared" ref="H5:H15" si="1">IF(COUNTIF(E:E,G5), "OK", "Missing")</f>
        <v>OK</v>
      </c>
      <c r="J5" s="298" t="str">
        <v>Agricultural greenhouse films (in use)</v>
      </c>
      <c r="K5" s="303" t="str">
        <f>IF(ISBLANK(J5),"",IF(COUNTIF(L:L,J5),IF(_xlfn.XLOOKUP(J5,'Compartments_Kawecki&amp;Nowack19'!A:A,'Compartments_Kawecki&amp;Nowack19'!B:B,_xlfn.XLOOKUP(J5,Compartments_Added!A:A,Compartments_Added!B:B))="Stock","OK stock","OK flow"),IF(COUNTIF($G$4:$G$18,J5),IF(COUNTIF($E$4:$E$18,J5),"OK input","Missing"),"Missing")))</f>
        <v>OK stock</v>
      </c>
      <c r="L5" s="298" t="str">
        <v>Dumping</v>
      </c>
      <c r="M5" s="303" t="str">
        <f>IF(COUNTIF(J:J,L5),IF(_xlfn.XLOOKUP(L5,'Compartments_Kawecki&amp;Nowack19'!A:A,'Compartments_Kawecki&amp;Nowack19'!B:B,_xlfn.XLOOKUP(L5,Compartments_Added!A:A,Compartments_Added!B:B))="Stock","OK stock","OK flow"),IF(_xlfn.XLOOKUP(L5,'Compartments_Kawecki&amp;Nowack19'!A:A,'Compartments_Kawecki&amp;Nowack19'!B:B,_xlfn.XLOOKUP(L5,Compartments_Added!A:A,Compartments_Added!B:B))="Sink","OK, Sink","Missing"))</f>
        <v>OK flow</v>
      </c>
      <c r="N5" s="6"/>
      <c r="O5" s="6" t="str">
        <f>Lifetimes_pairs!A3</f>
        <v>Ship paint (prof) (in use)</v>
      </c>
      <c r="P5" s="6" t="str">
        <f>Lifetimes_pairs!B3</f>
        <v>ShipProfIU</v>
      </c>
      <c r="Q5" t="str">
        <f>Lifetimes!C1</f>
        <v>AgriculturalFilmsDis</v>
      </c>
      <c r="R5" t="str">
        <f t="shared" ref="R5:R68" si="2">IF(COUNTIF(P:P,Q5), "OK", "Missing")</f>
        <v>OK</v>
      </c>
      <c r="AA5" s="455" t="s">
        <v>1711</v>
      </c>
    </row>
    <row r="6" spans="1:27">
      <c r="A6" s="37" t="str">
        <v>HDPE</v>
      </c>
      <c r="B6" s="37" t="str">
        <v>HDPE</v>
      </c>
      <c r="C6" s="82" t="str">
        <v>PS</v>
      </c>
      <c r="E6" s="69" t="str">
        <v>Household textiles (product sector)</v>
      </c>
      <c r="F6" s="69" t="str">
        <f t="shared" si="0"/>
        <v>OK</v>
      </c>
      <c r="G6" s="69" t="str">
        <v>Household textiles (product sector)</v>
      </c>
      <c r="H6" s="69" t="str">
        <f t="shared" si="1"/>
        <v>OK</v>
      </c>
      <c r="J6" s="298" t="str">
        <v>Agricultural mulching films</v>
      </c>
      <c r="K6" s="303" t="str">
        <f>IF(ISBLANK(J6),"",IF(COUNTIF(L:L,J6),IF(_xlfn.XLOOKUP(J6,'Compartments_Kawecki&amp;Nowack19'!A:A,'Compartments_Kawecki&amp;Nowack19'!B:B,_xlfn.XLOOKUP(J6,Compartments_Added!A:A,Compartments_Added!B:B))="Stock","OK stock","OK flow"),IF(COUNTIF($G$4:$G$18,J6),IF(COUNTIF($E$4:$E$18,J6),"OK input","Missing"),"Missing")))</f>
        <v>OK flow</v>
      </c>
      <c r="L6" s="298" t="str">
        <v>Agricultural soil (macro)</v>
      </c>
      <c r="M6" s="303" t="str">
        <f>IF(COUNTIF(J:J,L6),IF(_xlfn.XLOOKUP(L6,'Compartments_Kawecki&amp;Nowack19'!A:A,'Compartments_Kawecki&amp;Nowack19'!B:B,_xlfn.XLOOKUP(L6,Compartments_Added!A:A,Compartments_Added!B:B))="Stock","OK stock","OK flow"),IF(_xlfn.XLOOKUP(L6,'Compartments_Kawecki&amp;Nowack19'!A:A,'Compartments_Kawecki&amp;Nowack19'!B:B,_xlfn.XLOOKUP(L6,Compartments_Added!A:A,Compartments_Added!B:B))="Sink","OK, Sink","Missing"))</f>
        <v>OK, Sink</v>
      </c>
      <c r="N6" s="6"/>
      <c r="O6" s="6" t="str">
        <f>Lifetimes_pairs!A4</f>
        <v>Ship paint (recr) (in use)</v>
      </c>
      <c r="P6" s="6" t="str">
        <f>Lifetimes_pairs!B4</f>
        <v>ShipDiyIU</v>
      </c>
      <c r="Q6" t="str">
        <f>Lifetimes!D1</f>
        <v>AgriculturalPackagingBottles</v>
      </c>
      <c r="R6" t="str">
        <f t="shared" si="2"/>
        <v>OK</v>
      </c>
      <c r="AA6" s="455" t="s">
        <v>1712</v>
      </c>
    </row>
    <row r="7" spans="1:27">
      <c r="A7" s="37" t="str">
        <v>PVC</v>
      </c>
      <c r="B7" s="37" t="str">
        <v>PS</v>
      </c>
      <c r="C7" s="82" t="str">
        <v>PP</v>
      </c>
      <c r="E7" s="69" t="str">
        <v>Import of primary plastics</v>
      </c>
      <c r="F7" s="69" t="str">
        <f t="shared" si="0"/>
        <v>OK</v>
      </c>
      <c r="G7" s="69" t="str">
        <v>Import of primary plastics</v>
      </c>
      <c r="H7" s="69" t="str">
        <f t="shared" si="1"/>
        <v>OK</v>
      </c>
      <c r="J7" s="298" t="str">
        <v>Agricultural other</v>
      </c>
      <c r="K7" s="303" t="str">
        <f>IF(ISBLANK(J7),"",IF(COUNTIF(L:L,J7),IF(_xlfn.XLOOKUP(J7,'Compartments_Kawecki&amp;Nowack19'!A:A,'Compartments_Kawecki&amp;Nowack19'!B:B,_xlfn.XLOOKUP(J7,Compartments_Added!A:A,Compartments_Added!B:B))="Stock","OK stock","OK flow"),IF(COUNTIF($G$4:$G$18,J7),IF(COUNTIF($E$4:$E$18,J7),"OK input","Missing"),"Missing")))</f>
        <v>OK flow</v>
      </c>
      <c r="L7" s="298" t="str">
        <v>Agricultural soil (micro)</v>
      </c>
      <c r="M7" s="303" t="str">
        <f>IF(COUNTIF(J:J,L7),IF(_xlfn.XLOOKUP(L7,'Compartments_Kawecki&amp;Nowack19'!A:A,'Compartments_Kawecki&amp;Nowack19'!B:B,_xlfn.XLOOKUP(L7,Compartments_Added!A:A,Compartments_Added!B:B))="Stock","OK stock","OK flow"),IF(_xlfn.XLOOKUP(L7,'Compartments_Kawecki&amp;Nowack19'!A:A,'Compartments_Kawecki&amp;Nowack19'!B:B,_xlfn.XLOOKUP(L7,Compartments_Added!A:A,Compartments_Added!B:B))="Sink","OK, Sink","Missing"))</f>
        <v>OK, Sink</v>
      </c>
      <c r="N7" s="6"/>
      <c r="O7" s="6" t="str">
        <f>Lifetimes_pairs!A5</f>
        <v>Ship paint (prof) (discarded)</v>
      </c>
      <c r="P7" s="6" t="str">
        <f>Lifetimes_pairs!B5</f>
        <v>ShipProfDis</v>
      </c>
      <c r="Q7" t="str">
        <f>Lifetimes!E1</f>
        <v>AgriculturalPackagingFilms</v>
      </c>
      <c r="R7" t="str">
        <f t="shared" si="2"/>
        <v>OK</v>
      </c>
      <c r="AA7" s="455" t="s">
        <v>1713</v>
      </c>
    </row>
    <row r="8" spans="1:27">
      <c r="A8" s="37" t="str">
        <v>LDPE</v>
      </c>
      <c r="B8" s="37" t="str">
        <v>PP</v>
      </c>
      <c r="C8" s="82" t="str">
        <v>LDPE</v>
      </c>
      <c r="E8" s="69" t="str">
        <v>Intentionally produced microparticles</v>
      </c>
      <c r="F8" s="69" t="str">
        <f t="shared" si="0"/>
        <v>OK</v>
      </c>
      <c r="G8" s="69" t="str">
        <v>Intentionally produced microparticles</v>
      </c>
      <c r="H8" s="69" t="str">
        <f t="shared" si="1"/>
        <v>OK</v>
      </c>
      <c r="J8" s="298" t="str">
        <v>Agricultural packaging bottles</v>
      </c>
      <c r="K8" s="303" t="str">
        <f>IF(ISBLANK(J8),"",IF(COUNTIF(L:L,J8),IF(_xlfn.XLOOKUP(J8,'Compartments_Kawecki&amp;Nowack19'!A:A,'Compartments_Kawecki&amp;Nowack19'!B:B,_xlfn.XLOOKUP(J8,Compartments_Added!A:A,Compartments_Added!B:B))="Stock","OK stock","OK flow"),IF(COUNTIF($G$4:$G$18,J8),IF(COUNTIF($E$4:$E$18,J8),"OK input","Missing"),"Missing")))</f>
        <v>OK stock</v>
      </c>
      <c r="L8" s="298" t="str">
        <v>Collected organic waste</v>
      </c>
      <c r="M8" s="303" t="str">
        <f>IF(COUNTIF(J:J,L8),IF(_xlfn.XLOOKUP(L8,'Compartments_Kawecki&amp;Nowack19'!A:A,'Compartments_Kawecki&amp;Nowack19'!B:B,_xlfn.XLOOKUP(L8,Compartments_Added!A:A,Compartments_Added!B:B))="Stock","OK stock","OK flow"),IF(_xlfn.XLOOKUP(L8,'Compartments_Kawecki&amp;Nowack19'!A:A,'Compartments_Kawecki&amp;Nowack19'!B:B,_xlfn.XLOOKUP(L8,Compartments_Added!A:A,Compartments_Added!B:B))="Sink","OK, Sink","Missing"))</f>
        <v>OK flow</v>
      </c>
      <c r="N8" s="6"/>
      <c r="O8" s="6" t="str">
        <f>Lifetimes_pairs!A6</f>
        <v>Ship paint (recr) (discarded)</v>
      </c>
      <c r="P8" s="6" t="str">
        <f>Lifetimes_pairs!B6</f>
        <v>ShipDiyDis</v>
      </c>
      <c r="Q8" t="str">
        <f>Lifetimes!F1</f>
        <v>AgriculturalPipesIU</v>
      </c>
      <c r="R8" t="str">
        <f t="shared" si="2"/>
        <v>OK</v>
      </c>
      <c r="AA8" s="455" t="s">
        <v>1714</v>
      </c>
    </row>
    <row r="9" spans="1:27">
      <c r="A9" s="37" t="str">
        <v>ABS</v>
      </c>
      <c r="B9" s="37" t="str">
        <v>EPS</v>
      </c>
      <c r="C9" s="82" t="str">
        <v>HDPE</v>
      </c>
      <c r="E9" s="69" t="str">
        <v>Packaging</v>
      </c>
      <c r="F9" s="69" t="str">
        <f>IF(COUNTIF(G:G,E9), "OK", "Missing")</f>
        <v>OK</v>
      </c>
      <c r="G9" s="69" t="str">
        <v>Packaging</v>
      </c>
      <c r="H9" s="69" t="str">
        <f t="shared" si="1"/>
        <v>OK</v>
      </c>
      <c r="J9" s="298" t="str">
        <v>Agricultural packaging films</v>
      </c>
      <c r="K9" s="303" t="str">
        <f>IF(ISBLANK(J9),"",IF(COUNTIF(L:L,J9),IF(_xlfn.XLOOKUP(J9,'Compartments_Kawecki&amp;Nowack19'!A:A,'Compartments_Kawecki&amp;Nowack19'!B:B,_xlfn.XLOOKUP(J9,Compartments_Added!A:A,Compartments_Added!B:B))="Stock","OK stock","OK flow"),IF(COUNTIF($G$4:$G$18,J9),IF(COUNTIF($E$4:$E$18,J9),"OK input","Missing"),"Missing")))</f>
        <v>OK stock</v>
      </c>
      <c r="L9" s="298" t="str">
        <v>Incineration</v>
      </c>
      <c r="M9" s="303" t="str">
        <f>IF(COUNTIF(J:J,L9),IF(_xlfn.XLOOKUP(L9,'Compartments_Kawecki&amp;Nowack19'!A:A,'Compartments_Kawecki&amp;Nowack19'!B:B,_xlfn.XLOOKUP(L9,Compartments_Added!A:A,Compartments_Added!B:B))="Stock","OK stock","OK flow"),IF(_xlfn.XLOOKUP(L9,'Compartments_Kawecki&amp;Nowack19'!A:A,'Compartments_Kawecki&amp;Nowack19'!B:B,_xlfn.XLOOKUP(L9,Compartments_Added!A:A,Compartments_Added!B:B))="Sink","OK, Sink","Missing"))</f>
        <v>OK flow</v>
      </c>
      <c r="N9" s="6"/>
      <c r="O9" s="6" t="str">
        <f>Lifetimes_pairs!A7</f>
        <v>Concrete paint (prof) outdoor (in use)</v>
      </c>
      <c r="P9" s="6" t="str">
        <f>Lifetimes_pairs!B7</f>
        <v>ConcreteProfOutIU</v>
      </c>
      <c r="Q9" t="str">
        <f>Lifetimes!G1</f>
        <v>AgriculturalPipesDis</v>
      </c>
      <c r="R9" t="str">
        <f t="shared" si="2"/>
        <v>OK</v>
      </c>
      <c r="AA9" s="455" t="s">
        <v>1715</v>
      </c>
    </row>
    <row r="10" spans="1:27">
      <c r="A10" s="37" t="str">
        <v>PC</v>
      </c>
      <c r="B10" s="37" t="str">
        <v>PET</v>
      </c>
      <c r="C10" s="82" t="str">
        <v>RUBBER</v>
      </c>
      <c r="E10" s="69" t="str">
        <v>Paint</v>
      </c>
      <c r="F10" s="69" t="str">
        <f>IF(COUNTIF(G:G,E10), "OK", "Missing")</f>
        <v>OK</v>
      </c>
      <c r="G10" s="69" t="str">
        <v>Paint</v>
      </c>
      <c r="H10" s="69" t="str">
        <f t="shared" si="1"/>
        <v>OK</v>
      </c>
      <c r="J10" s="298" t="str">
        <v>Agricultural pipes (discarded)</v>
      </c>
      <c r="K10" s="303" t="str">
        <f>IF(ISBLANK(J10),"",IF(COUNTIF(L:L,J10),IF(_xlfn.XLOOKUP(J10,'Compartments_Kawecki&amp;Nowack19'!A:A,'Compartments_Kawecki&amp;Nowack19'!B:B,_xlfn.XLOOKUP(J10,Compartments_Added!A:A,Compartments_Added!B:B))="Stock","OK stock","OK flow"),IF(COUNTIF($G$4:$G$18,J10),IF(COUNTIF($E$4:$E$18,J10),"OK input","Missing"),"Missing")))</f>
        <v>OK stock</v>
      </c>
      <c r="L10" s="298" t="str">
        <v>Secondary material reuse</v>
      </c>
      <c r="M10" s="303" t="str">
        <f>IF(COUNTIF(J:J,L10),IF(_xlfn.XLOOKUP(L10,'Compartments_Kawecki&amp;Nowack19'!A:A,'Compartments_Kawecki&amp;Nowack19'!B:B,_xlfn.XLOOKUP(L10,Compartments_Added!A:A,Compartments_Added!B:B))="Stock","OK stock","OK flow"),IF(_xlfn.XLOOKUP(L10,'Compartments_Kawecki&amp;Nowack19'!A:A,'Compartments_Kawecki&amp;Nowack19'!B:B,_xlfn.XLOOKUP(L10,Compartments_Added!A:A,Compartments_Added!B:B))="Sink","OK, Sink","Missing"))</f>
        <v>OK, Sink</v>
      </c>
      <c r="N10" s="6"/>
      <c r="O10" s="6" t="str">
        <f>Lifetimes_pairs!A8</f>
        <v>Concrete paint (prof) indoor (in use)</v>
      </c>
      <c r="P10" s="6" t="str">
        <f>Lifetimes_pairs!B8</f>
        <v>ConcreteProfInIU</v>
      </c>
      <c r="Q10" t="str">
        <f>Lifetimes!H1</f>
        <v>AgriculturalPPP</v>
      </c>
      <c r="R10" t="str">
        <f t="shared" si="2"/>
        <v>Missing</v>
      </c>
      <c r="AA10" s="455" t="s">
        <v>1716</v>
      </c>
    </row>
    <row r="11" spans="1:27">
      <c r="A11" s="37" t="str">
        <v>EPS</v>
      </c>
      <c r="B11" s="37" t="str">
        <v>ABS</v>
      </c>
      <c r="C11" s="82" t="str">
        <v>PUR</v>
      </c>
      <c r="E11" s="69" t="str">
        <v>Technical textiles</v>
      </c>
      <c r="F11" s="69" t="str">
        <f t="shared" ref="F11:F18" si="3">IF(COUNTIF(G:G,E11), "OK", "Missing")</f>
        <v>OK</v>
      </c>
      <c r="G11" s="69" t="str">
        <v>Technical textiles</v>
      </c>
      <c r="H11" s="69" t="str">
        <f t="shared" si="1"/>
        <v>OK</v>
      </c>
      <c r="J11" s="298" t="str">
        <v>Agricultural pipes (in use)</v>
      </c>
      <c r="K11" s="303" t="str">
        <f>IF(ISBLANK(J11),"",IF(COUNTIF(L:L,J11),IF(_xlfn.XLOOKUP(J11,'Compartments_Kawecki&amp;Nowack19'!A:A,'Compartments_Kawecki&amp;Nowack19'!B:B,_xlfn.XLOOKUP(J11,Compartments_Added!A:A,Compartments_Added!B:B))="Stock","OK stock","OK flow"),IF(COUNTIF($G$4:$G$18,J11),IF(COUNTIF($E$4:$E$18,J11),"OK input","Missing"),"Missing")))</f>
        <v>OK stock</v>
      </c>
      <c r="L11" s="298" t="str">
        <v>Residential soil (micro)</v>
      </c>
      <c r="M11" s="303" t="str">
        <f>IF(COUNTIF(J:J,L11),IF(_xlfn.XLOOKUP(L11,'Compartments_Kawecki&amp;Nowack19'!A:A,'Compartments_Kawecki&amp;Nowack19'!B:B,_xlfn.XLOOKUP(L11,Compartments_Added!A:A,Compartments_Added!B:B))="Stock","OK stock","OK flow"),IF(_xlfn.XLOOKUP(L11,'Compartments_Kawecki&amp;Nowack19'!A:A,'Compartments_Kawecki&amp;Nowack19'!B:B,_xlfn.XLOOKUP(L11,Compartments_Added!A:A,Compartments_Added!B:B))="Sink","OK, Sink","Missing"))</f>
        <v>OK, Sink</v>
      </c>
      <c r="N11" s="6"/>
      <c r="O11" s="6" t="str">
        <f>Lifetimes_pairs!A9</f>
        <v>Concrete paint (prof) outdoor (discarded)</v>
      </c>
      <c r="P11" s="6" t="str">
        <f>Lifetimes_pairs!B9</f>
        <v>ConcreteProfOutDis</v>
      </c>
      <c r="Q11" t="str">
        <f>Lifetimes!I1</f>
        <v>BuildingPackagingFilms</v>
      </c>
      <c r="R11" t="str">
        <f t="shared" si="2"/>
        <v>Missing</v>
      </c>
      <c r="AA11" s="455" t="s">
        <v>1717</v>
      </c>
    </row>
    <row r="12" spans="1:27">
      <c r="A12" s="37" t="str">
        <v>PA</v>
      </c>
      <c r="B12" s="37" t="str">
        <v>PC</v>
      </c>
      <c r="C12" s="82" t="str">
        <v>EVA</v>
      </c>
      <c r="E12" s="69" t="str">
        <v>Tyre wear</v>
      </c>
      <c r="F12" s="69" t="str">
        <f t="shared" si="3"/>
        <v>OK</v>
      </c>
      <c r="G12" s="69" t="str">
        <v>Tyre wear</v>
      </c>
      <c r="H12" s="69" t="str">
        <f t="shared" si="1"/>
        <v>OK</v>
      </c>
      <c r="J12" s="298" t="str">
        <v>Agricultural plastic recycling</v>
      </c>
      <c r="K12" s="303" t="str">
        <f>IF(ISBLANK(J12),"",IF(COUNTIF(L:L,J12),IF(_xlfn.XLOOKUP(J12,'Compartments_Kawecki&amp;Nowack19'!A:A,'Compartments_Kawecki&amp;Nowack19'!B:B,_xlfn.XLOOKUP(J12,Compartments_Added!A:A,Compartments_Added!B:B))="Stock","OK stock","OK flow"),IF(COUNTIF($G$4:$G$18,J12),IF(COUNTIF($E$4:$E$18,J12),"OK input","Missing"),"Missing")))</f>
        <v>OK flow</v>
      </c>
      <c r="L12" s="298" t="str">
        <v>Landfill</v>
      </c>
      <c r="M12" s="303" t="str">
        <f>IF(COUNTIF(J:J,L12),IF(_xlfn.XLOOKUP(L12,'Compartments_Kawecki&amp;Nowack19'!A:A,'Compartments_Kawecki&amp;Nowack19'!B:B,_xlfn.XLOOKUP(L12,Compartments_Added!A:A,Compartments_Added!B:B))="Stock","OK stock","OK flow"),IF(_xlfn.XLOOKUP(L12,'Compartments_Kawecki&amp;Nowack19'!A:A,'Compartments_Kawecki&amp;Nowack19'!B:B,_xlfn.XLOOKUP(L12,Compartments_Added!A:A,Compartments_Added!B:B))="Sink","OK, Sink","Missing"))</f>
        <v>OK, Sink</v>
      </c>
      <c r="N12" s="6"/>
      <c r="O12" s="6" t="str">
        <f>Lifetimes_pairs!A10</f>
        <v>Concrete paint (prof) indoor (discarded)</v>
      </c>
      <c r="P12" s="6" t="str">
        <f>Lifetimes_pairs!B10</f>
        <v>ConcreteProfInDis</v>
      </c>
      <c r="Q12" t="str">
        <f>Lifetimes!J1</f>
        <v>ConsumerBags</v>
      </c>
      <c r="R12" t="str">
        <f t="shared" si="2"/>
        <v>OK</v>
      </c>
      <c r="AA12" s="455" t="s">
        <v>1718</v>
      </c>
    </row>
    <row r="13" spans="1:27">
      <c r="A13" s="37" t="str">
        <v>PMMA</v>
      </c>
      <c r="B13" s="37" t="str">
        <v>PMMA</v>
      </c>
      <c r="C13" s="82" t="str">
        <v>PA</v>
      </c>
      <c r="E13" s="69" t="str">
        <v>Import of clothing (Global)</v>
      </c>
      <c r="F13" s="69" t="str">
        <f>IF(COUNTIF(G:G,E13), "OK", "Missing")</f>
        <v>OK</v>
      </c>
      <c r="G13" s="69" t="str">
        <v>Import of clothing (EU)</v>
      </c>
      <c r="H13" s="69" t="str">
        <f t="shared" si="1"/>
        <v>Missing</v>
      </c>
      <c r="J13" s="298" t="str">
        <v>Agricultural waste collection</v>
      </c>
      <c r="K13" s="303" t="str">
        <f>IF(ISBLANK(J13),"",IF(COUNTIF(L:L,J13),IF(_xlfn.XLOOKUP(J13,'Compartments_Kawecki&amp;Nowack19'!A:A,'Compartments_Kawecki&amp;Nowack19'!B:B,_xlfn.XLOOKUP(J13,Compartments_Added!A:A,Compartments_Added!B:B))="Stock","OK stock","OK flow"),IF(COUNTIF($G$4:$G$18,J13),IF(COUNTIF($E$4:$E$18,J13),"OK input","Missing"),"Missing")))</f>
        <v>OK flow</v>
      </c>
      <c r="L13" s="298" t="str">
        <v>Industrial stormwater (micro)</v>
      </c>
      <c r="M13" s="303" t="str">
        <f>IF(COUNTIF(J:J,L13),IF(_xlfn.XLOOKUP(L13,'Compartments_Kawecki&amp;Nowack19'!A:A,'Compartments_Kawecki&amp;Nowack19'!B:B,_xlfn.XLOOKUP(L13,Compartments_Added!A:A,Compartments_Added!B:B))="Stock","OK stock","OK flow"),IF(_xlfn.XLOOKUP(L13,'Compartments_Kawecki&amp;Nowack19'!A:A,'Compartments_Kawecki&amp;Nowack19'!B:B,_xlfn.XLOOKUP(L13,Compartments_Added!A:A,Compartments_Added!B:B))="Sink","OK, Sink","Missing"))</f>
        <v>OK flow</v>
      </c>
      <c r="N13" s="6"/>
      <c r="O13" s="6" t="str">
        <f>Lifetimes_pairs!A11</f>
        <v>Lacquer (prof) outdoor (in use)</v>
      </c>
      <c r="P13" s="6" t="str">
        <f>Lifetimes_pairs!B11</f>
        <v>LacquerProfOutIU</v>
      </c>
      <c r="Q13" t="str">
        <f>Lifetimes!K1</f>
        <v>ConsumerBottles</v>
      </c>
      <c r="R13" t="str">
        <f t="shared" si="2"/>
        <v>OK</v>
      </c>
      <c r="AA13" s="455" t="s">
        <v>1719</v>
      </c>
    </row>
    <row r="14" spans="1:27">
      <c r="A14" s="37" t="str">
        <v>PUR</v>
      </c>
      <c r="B14" s="37" t="str">
        <v>PA</v>
      </c>
      <c r="C14" s="82" t="str">
        <v>PET</v>
      </c>
      <c r="E14" s="69" t="str">
        <v>Import of plastic sheets</v>
      </c>
      <c r="F14" s="69" t="str">
        <f t="shared" si="3"/>
        <v>Missing</v>
      </c>
      <c r="G14" s="69" t="str">
        <v>Import of clothing (Global)</v>
      </c>
      <c r="H14" s="69" t="str">
        <f t="shared" si="1"/>
        <v>OK</v>
      </c>
      <c r="J14" s="298" t="str">
        <v>Agricultural waste collection (micro)</v>
      </c>
      <c r="K14" s="303" t="str">
        <f>IF(ISBLANK(J14),"",IF(COUNTIF(L:L,J14),IF(_xlfn.XLOOKUP(J14,'Compartments_Kawecki&amp;Nowack19'!A:A,'Compartments_Kawecki&amp;Nowack19'!B:B,_xlfn.XLOOKUP(J14,Compartments_Added!A:A,Compartments_Added!B:B))="Stock","OK stock","OK flow"),IF(COUNTIF($G$4:$G$18,J14),IF(COUNTIF($E$4:$E$18,J14),"OK input","Missing"),"Missing")))</f>
        <v>OK flow</v>
      </c>
      <c r="L14" s="298" t="str">
        <v>Agricultural plastic recycling</v>
      </c>
      <c r="M14" s="303" t="str">
        <f>IF(COUNTIF(J:J,L14),IF(_xlfn.XLOOKUP(L14,'Compartments_Kawecki&amp;Nowack19'!A:A,'Compartments_Kawecki&amp;Nowack19'!B:B,_xlfn.XLOOKUP(L14,Compartments_Added!A:A,Compartments_Added!B:B))="Stock","OK stock","OK flow"),IF(_xlfn.XLOOKUP(L14,'Compartments_Kawecki&amp;Nowack19'!A:A,'Compartments_Kawecki&amp;Nowack19'!B:B,_xlfn.XLOOKUP(L14,Compartments_Added!A:A,Compartments_Added!B:B))="Sink","OK, Sink","Missing"))</f>
        <v>OK flow</v>
      </c>
      <c r="N14" s="6"/>
      <c r="O14" s="6" t="str">
        <f>Lifetimes_pairs!A12</f>
        <v>Lacquer (prof) indoor (in use)</v>
      </c>
      <c r="P14" s="6" t="str">
        <f>Lifetimes_pairs!B12</f>
        <v>LacquerProfInIU</v>
      </c>
      <c r="Q14" t="str">
        <f>Lifetimes!L1</f>
        <v>ConsumerFilms</v>
      </c>
      <c r="R14" t="str">
        <f t="shared" si="2"/>
        <v>OK</v>
      </c>
      <c r="AA14" s="455" t="s">
        <v>1720</v>
      </c>
    </row>
    <row r="15" spans="1:27">
      <c r="A15" s="37" t="str">
        <v>PET</v>
      </c>
      <c r="B15" s="37" t="str">
        <v>PUR</v>
      </c>
      <c r="C15" s="82" t="str">
        <v>Acryl</v>
      </c>
      <c r="E15" s="69" t="str">
        <v>Import of yarn</v>
      </c>
      <c r="F15" s="69" t="str">
        <f t="shared" si="3"/>
        <v>Missing</v>
      </c>
      <c r="G15" s="69">
        <v>0</v>
      </c>
      <c r="H15" s="69" t="str">
        <f t="shared" si="1"/>
        <v>OK</v>
      </c>
      <c r="J15" s="298" t="str">
        <v>Agriculture</v>
      </c>
      <c r="K15" s="303" t="str">
        <f>IF(ISBLANK(J15),"",IF(COUNTIF(L:L,J15),IF(_xlfn.XLOOKUP(J15,'Compartments_Kawecki&amp;Nowack19'!A:A,'Compartments_Kawecki&amp;Nowack19'!B:B,_xlfn.XLOOKUP(J15,Compartments_Added!A:A,Compartments_Added!B:B))="Stock","OK stock","OK flow"),IF(COUNTIF($G$4:$G$18,J15),IF(COUNTIF($E$4:$E$18,J15),"OK input","Missing"),"Missing")))</f>
        <v>OK input</v>
      </c>
      <c r="L15" s="298" t="str">
        <v>Residential soil (macro)</v>
      </c>
      <c r="M15" s="303" t="str">
        <f>IF(COUNTIF(J:J,L15),IF(_xlfn.XLOOKUP(L15,'Compartments_Kawecki&amp;Nowack19'!A:A,'Compartments_Kawecki&amp;Nowack19'!B:B,_xlfn.XLOOKUP(L15,Compartments_Added!A:A,Compartments_Added!B:B))="Stock","OK stock","OK flow"),IF(_xlfn.XLOOKUP(L15,'Compartments_Kawecki&amp;Nowack19'!A:A,'Compartments_Kawecki&amp;Nowack19'!B:B,_xlfn.XLOOKUP(L15,Compartments_Added!A:A,Compartments_Added!B:B))="Sink","OK, Sink","Missing"))</f>
        <v>OK, Sink</v>
      </c>
      <c r="N15" s="6"/>
      <c r="O15" s="6" t="str">
        <f>Lifetimes_pairs!A13</f>
        <v>Lacquer (prof) outdoor (discarded)</v>
      </c>
      <c r="P15" s="6" t="str">
        <f>Lifetimes_pairs!B13</f>
        <v>LacquerProfOutDis</v>
      </c>
      <c r="Q15" t="str">
        <f>Lifetimes!M1</f>
        <v>ConsumerOther</v>
      </c>
      <c r="R15" t="str">
        <f t="shared" si="2"/>
        <v>OK</v>
      </c>
      <c r="AA15" s="455" t="s">
        <v>1721</v>
      </c>
    </row>
    <row r="16" spans="1:27">
      <c r="A16" s="37" t="str">
        <v>OTHER</v>
      </c>
      <c r="B16" s="37" t="str">
        <v>OTHER</v>
      </c>
      <c r="C16" s="82" t="str">
        <v>OTHER</v>
      </c>
      <c r="E16" s="69">
        <v>0</v>
      </c>
      <c r="F16" s="69" t="str">
        <f t="shared" si="3"/>
        <v>OK</v>
      </c>
      <c r="G16" s="69"/>
      <c r="H16" s="69" t="str">
        <f>IF(COUNTIF(E:E,G16), "OK", "Missing")</f>
        <v>OK</v>
      </c>
      <c r="J16" s="298" t="str">
        <v>Agrotextiles</v>
      </c>
      <c r="K16" s="303" t="str">
        <f>IF(ISBLANK(J16),"",IF(COUNTIF(L:L,J16),IF(_xlfn.XLOOKUP(J16,'Compartments_Kawecki&amp;Nowack19'!A:A,'Compartments_Kawecki&amp;Nowack19'!B:B,_xlfn.XLOOKUP(J16,Compartments_Added!A:A,Compartments_Added!B:B))="Stock","OK stock","OK flow"),IF(COUNTIF($G$4:$G$18,J16),IF(COUNTIF($E$4:$E$18,J16),"OK input","Missing"),"Missing")))</f>
        <v>OK flow</v>
      </c>
      <c r="L16" s="298" t="str">
        <v>Agricultural greenhouse films (discarded)</v>
      </c>
      <c r="M16" s="303" t="str">
        <f>IF(COUNTIF(J:J,L16),IF(_xlfn.XLOOKUP(L16,'Compartments_Kawecki&amp;Nowack19'!A:A,'Compartments_Kawecki&amp;Nowack19'!B:B,_xlfn.XLOOKUP(L16,Compartments_Added!A:A,Compartments_Added!B:B))="Stock","OK stock","OK flow"),IF(_xlfn.XLOOKUP(L16,'Compartments_Kawecki&amp;Nowack19'!A:A,'Compartments_Kawecki&amp;Nowack19'!B:B,_xlfn.XLOOKUP(L16,Compartments_Added!A:A,Compartments_Added!B:B))="Sink","OK, Sink","Missing"))</f>
        <v>OK stock</v>
      </c>
      <c r="N16" s="6"/>
      <c r="O16" s="6" t="str">
        <f>Lifetimes_pairs!A14</f>
        <v>Lacquer (prof) indoor (discarded)</v>
      </c>
      <c r="P16" s="6" t="str">
        <f>Lifetimes_pairs!B14</f>
        <v>LacquerProfInDis</v>
      </c>
      <c r="Q16" t="str">
        <f>Lifetimes!N1</f>
        <v>Cosmetics</v>
      </c>
      <c r="R16" t="str">
        <f t="shared" si="2"/>
        <v>Missing</v>
      </c>
      <c r="AA16" s="455" t="s">
        <v>1722</v>
      </c>
    </row>
    <row r="17" spans="1:27">
      <c r="A17" s="37" t="str">
        <v>Acryl</v>
      </c>
      <c r="B17" s="37" t="str">
        <v>Acryl</v>
      </c>
      <c r="C17" s="82" t="str">
        <v>EPS</v>
      </c>
      <c r="E17" s="69"/>
      <c r="F17" s="69" t="str">
        <f t="shared" si="3"/>
        <v>OK</v>
      </c>
      <c r="G17" s="69"/>
      <c r="H17" s="69" t="str">
        <f t="shared" ref="H17:H18" si="4">IF(COUNTIF(E:E,G17), "OK", "Missing")</f>
        <v>OK</v>
      </c>
      <c r="J17" s="298" t="str">
        <v>Agrotextiles (discarded)</v>
      </c>
      <c r="K17" s="303" t="str">
        <f>IF(ISBLANK(J17),"",IF(COUNTIF(L:L,J17),IF(_xlfn.XLOOKUP(J17,'Compartments_Kawecki&amp;Nowack19'!A:A,'Compartments_Kawecki&amp;Nowack19'!B:B,_xlfn.XLOOKUP(J17,Compartments_Added!A:A,Compartments_Added!B:B))="Stock","OK stock","OK flow"),IF(COUNTIF($G$4:$G$18,J17),IF(COUNTIF($E$4:$E$18,J17),"OK input","Missing"),"Missing")))</f>
        <v>OK stock</v>
      </c>
      <c r="L17" s="298" t="str">
        <v>Agricultural greenhouse films (in use)</v>
      </c>
      <c r="M17" s="303" t="str">
        <f>IF(COUNTIF(J:J,L17),IF(_xlfn.XLOOKUP(L17,'Compartments_Kawecki&amp;Nowack19'!A:A,'Compartments_Kawecki&amp;Nowack19'!B:B,_xlfn.XLOOKUP(L17,Compartments_Added!A:A,Compartments_Added!B:B))="Stock","OK stock","OK flow"),IF(_xlfn.XLOOKUP(L17,'Compartments_Kawecki&amp;Nowack19'!A:A,'Compartments_Kawecki&amp;Nowack19'!B:B,_xlfn.XLOOKUP(L17,Compartments_Added!A:A,Compartments_Added!B:B))="Sink","OK, Sink","Missing"))</f>
        <v>OK stock</v>
      </c>
      <c r="N17" s="6"/>
      <c r="O17" s="6" t="str">
        <f>Lifetimes_pairs!A15</f>
        <v>Wood stain (prof) outdoor (in use)</v>
      </c>
      <c r="P17" s="6" t="str">
        <f>Lifetimes_pairs!B15</f>
        <v>WoodStainProfOutIU</v>
      </c>
      <c r="Q17" t="str">
        <f>Lifetimes!O1</f>
        <v>Household</v>
      </c>
      <c r="R17" t="str">
        <f t="shared" si="2"/>
        <v>Missing</v>
      </c>
      <c r="AA17" s="455" t="s">
        <v>1723</v>
      </c>
    </row>
    <row r="18" spans="1:27" ht="15" thickBot="1">
      <c r="A18" s="37" t="str">
        <v>RUBBER</v>
      </c>
      <c r="B18" s="37" t="str">
        <v>RUBBER</v>
      </c>
      <c r="C18" s="82" t="str">
        <v>ABS</v>
      </c>
      <c r="E18" s="89"/>
      <c r="F18" s="89" t="str">
        <f t="shared" si="3"/>
        <v>OK</v>
      </c>
      <c r="G18" s="89"/>
      <c r="H18" s="89" t="str">
        <f t="shared" si="4"/>
        <v>OK</v>
      </c>
      <c r="J18" s="298" t="str">
        <v>Agrotextiles (in use)</v>
      </c>
      <c r="K18" s="303" t="str">
        <f>IF(ISBLANK(J18),"",IF(COUNTIF(L:L,J18),IF(_xlfn.XLOOKUP(J18,'Compartments_Kawecki&amp;Nowack19'!A:A,'Compartments_Kawecki&amp;Nowack19'!B:B,_xlfn.XLOOKUP(J18,Compartments_Added!A:A,Compartments_Added!B:B))="Stock","OK stock","OK flow"),IF(COUNTIF($G$4:$G$18,J18),IF(COUNTIF($E$4:$E$18,J18),"OK input","Missing"),"Missing")))</f>
        <v>OK stock</v>
      </c>
      <c r="L18" s="298" t="str">
        <v>Agricultural mulching films</v>
      </c>
      <c r="M18" s="303" t="str">
        <f>IF(COUNTIF(J:J,L18),IF(_xlfn.XLOOKUP(L18,'Compartments_Kawecki&amp;Nowack19'!A:A,'Compartments_Kawecki&amp;Nowack19'!B:B,_xlfn.XLOOKUP(L18,Compartments_Added!A:A,Compartments_Added!B:B))="Stock","OK stock","OK flow"),IF(_xlfn.XLOOKUP(L18,'Compartments_Kawecki&amp;Nowack19'!A:A,'Compartments_Kawecki&amp;Nowack19'!B:B,_xlfn.XLOOKUP(L18,Compartments_Added!A:A,Compartments_Added!B:B))="Sink","OK, Sink","Missing"))</f>
        <v>OK flow</v>
      </c>
      <c r="N18" s="6"/>
      <c r="O18" s="6" t="str">
        <f>Lifetimes_pairs!A16</f>
        <v>Wood stain (prof) indoor (in use)</v>
      </c>
      <c r="P18" s="6" t="str">
        <f>Lifetimes_pairs!B16</f>
        <v>WoodStainProfInIU</v>
      </c>
      <c r="Q18" t="str">
        <f>Lifetimes!P1</f>
        <v>NonConsumerBags</v>
      </c>
      <c r="R18" t="str">
        <f t="shared" si="2"/>
        <v>OK</v>
      </c>
      <c r="AA18" s="455" t="s">
        <v>1724</v>
      </c>
    </row>
    <row r="19" spans="1:27">
      <c r="A19" s="37">
        <v>0</v>
      </c>
      <c r="B19" s="37">
        <v>0</v>
      </c>
      <c r="C19" s="82" t="str">
        <v>PC</v>
      </c>
      <c r="J19" s="298" t="str">
        <v>Apparel accessories</v>
      </c>
      <c r="K19" s="303" t="str">
        <f>IF(ISBLANK(J19),"",IF(COUNTIF(L:L,J19),IF(_xlfn.XLOOKUP(J19,'Compartments_Kawecki&amp;Nowack19'!A:A,'Compartments_Kawecki&amp;Nowack19'!B:B,_xlfn.XLOOKUP(J19,Compartments_Added!A:A,Compartments_Added!B:B))="Stock","OK stock","OK flow"),IF(COUNTIF($G$4:$G$18,J19),IF(COUNTIF($E$4:$E$18,J19),"OK input","Missing"),"Missing")))</f>
        <v>OK stock</v>
      </c>
      <c r="L19" s="298" t="str">
        <v>Agricultural other</v>
      </c>
      <c r="M19" s="303" t="str">
        <f>IF(COUNTIF(J:J,L19),IF(_xlfn.XLOOKUP(L19,'Compartments_Kawecki&amp;Nowack19'!A:A,'Compartments_Kawecki&amp;Nowack19'!B:B,_xlfn.XLOOKUP(L19,Compartments_Added!A:A,Compartments_Added!B:B))="Stock","OK stock","OK flow"),IF(_xlfn.XLOOKUP(L19,'Compartments_Kawecki&amp;Nowack19'!A:A,'Compartments_Kawecki&amp;Nowack19'!B:B,_xlfn.XLOOKUP(L19,Compartments_Added!A:A,Compartments_Added!B:B))="Sink","OK, Sink","Missing"))</f>
        <v>OK flow</v>
      </c>
      <c r="N19" s="6"/>
      <c r="O19" s="6" t="str">
        <f>Lifetimes_pairs!A17</f>
        <v>Wood stain (prof) outdoor (discarded)</v>
      </c>
      <c r="P19" s="6" t="str">
        <f>Lifetimes_pairs!B17</f>
        <v>WoodStainProfOutDis</v>
      </c>
      <c r="Q19" t="str">
        <f>Lifetimes!Q1</f>
        <v>NonConsumerOther</v>
      </c>
      <c r="R19" t="str">
        <f t="shared" si="2"/>
        <v>OK</v>
      </c>
      <c r="AA19" s="455" t="s">
        <v>1725</v>
      </c>
    </row>
    <row r="20" spans="1:27" ht="15" thickBot="1">
      <c r="A20" s="38"/>
      <c r="B20" s="38"/>
      <c r="C20" s="83" t="str">
        <v>PMMA</v>
      </c>
      <c r="J20" s="298" t="str">
        <v>Boots</v>
      </c>
      <c r="K20" s="303" t="str">
        <f>IF(ISBLANK(J20),"",IF(COUNTIF(L:L,J20),IF(_xlfn.XLOOKUP(J20,'Compartments_Kawecki&amp;Nowack19'!A:A,'Compartments_Kawecki&amp;Nowack19'!B:B,_xlfn.XLOOKUP(J20,Compartments_Added!A:A,Compartments_Added!B:B))="Stock","OK stock","OK flow"),IF(COUNTIF($G$4:$G$18,J20),IF(COUNTIF($E$4:$E$18,J20),"OK input","Missing"),"Missing")))</f>
        <v>OK stock</v>
      </c>
      <c r="L20" s="298" t="str">
        <v>Agricultural pipes (discarded)</v>
      </c>
      <c r="M20" s="303" t="str">
        <f>IF(COUNTIF(J:J,L20),IF(_xlfn.XLOOKUP(L20,'Compartments_Kawecki&amp;Nowack19'!A:A,'Compartments_Kawecki&amp;Nowack19'!B:B,_xlfn.XLOOKUP(L20,Compartments_Added!A:A,Compartments_Added!B:B))="Stock","OK stock","OK flow"),IF(_xlfn.XLOOKUP(L20,'Compartments_Kawecki&amp;Nowack19'!A:A,'Compartments_Kawecki&amp;Nowack19'!B:B,_xlfn.XLOOKUP(L20,Compartments_Added!A:A,Compartments_Added!B:B))="Sink","OK, Sink","Missing"))</f>
        <v>OK stock</v>
      </c>
      <c r="N20" s="6"/>
      <c r="O20" s="6" t="str">
        <f>Lifetimes_pairs!A18</f>
        <v>Wood stain (prof) indoor (discarded)</v>
      </c>
      <c r="P20" s="6" t="str">
        <f>Lifetimes_pairs!B18</f>
        <v>WoodStainProfInDis</v>
      </c>
      <c r="Q20" t="str">
        <f>Lifetimes!R1</f>
        <v>OtherNonConsumerFilms</v>
      </c>
      <c r="R20" t="str">
        <f t="shared" si="2"/>
        <v>OK</v>
      </c>
      <c r="AA20" s="455" t="s">
        <v>1726</v>
      </c>
    </row>
    <row r="21" spans="1:27">
      <c r="C21" s="6">
        <v>0</v>
      </c>
      <c r="J21" s="298" t="str">
        <v>Building packaging films</v>
      </c>
      <c r="K21" s="303" t="str">
        <f>IF(ISBLANK(J21),"",IF(COUNTIF(L:L,J21),IF(_xlfn.XLOOKUP(J21,'Compartments_Kawecki&amp;Nowack19'!A:A,'Compartments_Kawecki&amp;Nowack19'!B:B,_xlfn.XLOOKUP(J21,Compartments_Added!A:A,Compartments_Added!B:B))="Stock","OK stock","OK flow"),IF(COUNTIF($G$4:$G$18,J21),IF(COUNTIF($E$4:$E$18,J21),"OK input","Missing"),"Missing")))</f>
        <v>OK flow</v>
      </c>
      <c r="L21" s="298" t="str">
        <v>Agricultural pipes (in use)</v>
      </c>
      <c r="M21" s="303" t="str">
        <f>IF(COUNTIF(J:J,L21),IF(_xlfn.XLOOKUP(L21,'Compartments_Kawecki&amp;Nowack19'!A:A,'Compartments_Kawecki&amp;Nowack19'!B:B,_xlfn.XLOOKUP(L21,Compartments_Added!A:A,Compartments_Added!B:B))="Stock","OK stock","OK flow"),IF(_xlfn.XLOOKUP(L21,'Compartments_Kawecki&amp;Nowack19'!A:A,'Compartments_Kawecki&amp;Nowack19'!B:B,_xlfn.XLOOKUP(L21,Compartments_Added!A:A,Compartments_Added!B:B))="Sink","OK, Sink","Missing"))</f>
        <v>OK stock</v>
      </c>
      <c r="N21" s="6"/>
      <c r="O21" s="6" t="str">
        <f>Lifetimes_pairs!A19</f>
        <v>Wall paint (prof) outdoor (in use)</v>
      </c>
      <c r="P21" s="6" t="str">
        <f>Lifetimes_pairs!B19</f>
        <v>WallPaintProfOutIU</v>
      </c>
      <c r="Q21" t="str">
        <f>Lifetimes!S1</f>
        <v>OtherOther</v>
      </c>
      <c r="R21" t="str">
        <f t="shared" si="2"/>
        <v>Missing</v>
      </c>
      <c r="AA21" s="455" t="s">
        <v>1727</v>
      </c>
    </row>
    <row r="22" spans="1:27">
      <c r="J22" s="298" t="str">
        <v>Building textiles</v>
      </c>
      <c r="K22" s="303" t="str">
        <f>IF(ISBLANK(J22),"",IF(COUNTIF(L:L,J22),IF(_xlfn.XLOOKUP(J22,'Compartments_Kawecki&amp;Nowack19'!A:A,'Compartments_Kawecki&amp;Nowack19'!B:B,_xlfn.XLOOKUP(J22,Compartments_Added!A:A,Compartments_Added!B:B))="Stock","OK stock","OK flow"),IF(COUNTIF($G$4:$G$18,J22),IF(COUNTIF($E$4:$E$18,J22),"OK input","Missing"),"Missing")))</f>
        <v>OK flow</v>
      </c>
      <c r="L22" s="298" t="str">
        <v>Agrotextiles (discarded)</v>
      </c>
      <c r="M22" s="303" t="str">
        <f>IF(COUNTIF(J:J,L22),IF(_xlfn.XLOOKUP(L22,'Compartments_Kawecki&amp;Nowack19'!A:A,'Compartments_Kawecki&amp;Nowack19'!B:B,_xlfn.XLOOKUP(L22,Compartments_Added!A:A,Compartments_Added!B:B))="Stock","OK stock","OK flow"),IF(_xlfn.XLOOKUP(L22,'Compartments_Kawecki&amp;Nowack19'!A:A,'Compartments_Kawecki&amp;Nowack19'!B:B,_xlfn.XLOOKUP(L22,Compartments_Added!A:A,Compartments_Added!B:B))="Sink","OK, Sink","Missing"))</f>
        <v>OK stock</v>
      </c>
      <c r="N22" s="6"/>
      <c r="O22" s="6" t="str">
        <f>Lifetimes_pairs!A20</f>
        <v>Wall paint (prof) indoor (in use)</v>
      </c>
      <c r="P22" s="6" t="str">
        <f>Lifetimes_pairs!B20</f>
        <v>WallPaintProfInIU</v>
      </c>
      <c r="Q22" t="str">
        <f>Lifetimes!T1</f>
        <v>PipesDucts</v>
      </c>
      <c r="R22" t="str">
        <f t="shared" si="2"/>
        <v>Missing</v>
      </c>
      <c r="AA22" s="455" t="s">
        <v>1728</v>
      </c>
    </row>
    <row r="23" spans="1:27">
      <c r="J23" s="298" t="str">
        <v>Building textiles (discarded)</v>
      </c>
      <c r="K23" s="303" t="str">
        <f>IF(ISBLANK(J23),"",IF(COUNTIF(L:L,J23),IF(_xlfn.XLOOKUP(J23,'Compartments_Kawecki&amp;Nowack19'!A:A,'Compartments_Kawecki&amp;Nowack19'!B:B,_xlfn.XLOOKUP(J23,Compartments_Added!A:A,Compartments_Added!B:B))="Stock","OK stock","OK flow"),IF(COUNTIF($G$4:$G$18,J23),IF(COUNTIF($E$4:$E$18,J23),"OK input","Missing"),"Missing")))</f>
        <v>OK stock</v>
      </c>
      <c r="L23" s="298" t="str">
        <v>Agrotextiles (in use)</v>
      </c>
      <c r="M23" s="303" t="str">
        <f>IF(COUNTIF(J:J,L23),IF(_xlfn.XLOOKUP(L23,'Compartments_Kawecki&amp;Nowack19'!A:A,'Compartments_Kawecki&amp;Nowack19'!B:B,_xlfn.XLOOKUP(L23,Compartments_Added!A:A,Compartments_Added!B:B))="Stock","OK stock","OK flow"),IF(_xlfn.XLOOKUP(L23,'Compartments_Kawecki&amp;Nowack19'!A:A,'Compartments_Kawecki&amp;Nowack19'!B:B,_xlfn.XLOOKUP(L23,Compartments_Added!A:A,Compartments_Added!B:B))="Sink","OK, Sink","Missing"))</f>
        <v>OK stock</v>
      </c>
      <c r="N23" s="6"/>
      <c r="O23" s="6" t="str">
        <f>Lifetimes_pairs!A21</f>
        <v>Wall paint (prof) outdoor (discarded)</v>
      </c>
      <c r="P23" s="6" t="str">
        <f>Lifetimes_pairs!B21</f>
        <v>WallPaintProfOutDis</v>
      </c>
      <c r="Q23" t="str">
        <f>Lifetimes!U1</f>
        <v>OtherOilGas</v>
      </c>
      <c r="R23" t="str">
        <f t="shared" si="2"/>
        <v>Missing</v>
      </c>
      <c r="AA23" s="455" t="s">
        <v>1729</v>
      </c>
    </row>
    <row r="24" spans="1:27">
      <c r="J24" s="298" t="str">
        <v>Building textiles (in use)</v>
      </c>
      <c r="K24" s="303" t="str">
        <f>IF(ISBLANK(J24),"",IF(COUNTIF(L:L,J24),IF(_xlfn.XLOOKUP(J24,'Compartments_Kawecki&amp;Nowack19'!A:A,'Compartments_Kawecki&amp;Nowack19'!B:B,_xlfn.XLOOKUP(J24,Compartments_Added!A:A,Compartments_Added!B:B))="Stock","OK stock","OK flow"),IF(COUNTIF($G$4:$G$18,J24),IF(COUNTIF($E$4:$E$18,J24),"OK input","Missing"),"Missing")))</f>
        <v>OK stock</v>
      </c>
      <c r="L24" s="298" t="str">
        <v>Clothing not washed (in use)</v>
      </c>
      <c r="M24" s="303" t="str">
        <f>IF(COUNTIF(J:J,L24),IF(_xlfn.XLOOKUP(L24,'Compartments_Kawecki&amp;Nowack19'!A:A,'Compartments_Kawecki&amp;Nowack19'!B:B,_xlfn.XLOOKUP(L24,Compartments_Added!A:A,Compartments_Added!B:B))="Stock","OK stock","OK flow"),IF(_xlfn.XLOOKUP(L24,'Compartments_Kawecki&amp;Nowack19'!A:A,'Compartments_Kawecki&amp;Nowack19'!B:B,_xlfn.XLOOKUP(L24,Compartments_Added!A:A,Compartments_Added!B:B))="Sink","OK, Sink","Missing"))</f>
        <v>OK flow</v>
      </c>
      <c r="N24" s="6"/>
      <c r="O24" s="6" t="str">
        <f>Lifetimes_pairs!A22</f>
        <v>Wall paint (prof) indoor (discarded)</v>
      </c>
      <c r="P24" s="6" t="str">
        <f>Lifetimes_pairs!B22</f>
        <v>WallPaintProfInDis</v>
      </c>
      <c r="Q24" t="str">
        <f>Lifetimes!V1</f>
        <v>InfillSportsFieldDis</v>
      </c>
      <c r="R24" t="str">
        <f t="shared" si="2"/>
        <v>OK</v>
      </c>
      <c r="S24" t="s">
        <v>1989</v>
      </c>
      <c r="AA24" s="455" t="s">
        <v>1730</v>
      </c>
    </row>
    <row r="25" spans="1:27">
      <c r="J25" s="298" t="str">
        <v>Clean lint filter by hand</v>
      </c>
      <c r="K25" s="303" t="str">
        <f>IF(ISBLANK(J25),"",IF(COUNTIF(L:L,J25),IF(_xlfn.XLOOKUP(J25,'Compartments_Kawecki&amp;Nowack19'!A:A,'Compartments_Kawecki&amp;Nowack19'!B:B,_xlfn.XLOOKUP(J25,Compartments_Added!A:A,Compartments_Added!B:B))="Stock","OK stock","OK flow"),IF(COUNTIF($G$4:$G$18,J25),IF(COUNTIF($E$4:$E$18,J25),"OK input","Missing"),"Missing")))</f>
        <v>OK flow</v>
      </c>
      <c r="L25" s="298" t="str">
        <v>Clothing not washed (discarded)</v>
      </c>
      <c r="M25" s="303" t="str">
        <f>IF(COUNTIF(J:J,L25),IF(_xlfn.XLOOKUP(L25,'Compartments_Kawecki&amp;Nowack19'!A:A,'Compartments_Kawecki&amp;Nowack19'!B:B,_xlfn.XLOOKUP(L25,Compartments_Added!A:A,Compartments_Added!B:B))="Stock","OK stock","OK flow"),IF(_xlfn.XLOOKUP(L25,'Compartments_Kawecki&amp;Nowack19'!A:A,'Compartments_Kawecki&amp;Nowack19'!B:B,_xlfn.XLOOKUP(L25,Compartments_Added!A:A,Compartments_Added!B:B))="Sink","OK, Sink","Missing"))</f>
        <v>OK flow</v>
      </c>
      <c r="N25" s="6"/>
      <c r="O25" s="6" t="str">
        <f>Lifetimes_pairs!A23</f>
        <v>Plaster (prof) outdoor (in use)</v>
      </c>
      <c r="P25" s="6" t="str">
        <f>Lifetimes_pairs!B23</f>
        <v>PlasterProfOutIU</v>
      </c>
      <c r="Q25" t="str">
        <f>Lifetimes!W1</f>
        <v>InfillSportsFieldU</v>
      </c>
      <c r="R25" t="str">
        <f t="shared" si="2"/>
        <v>OK</v>
      </c>
      <c r="AA25" s="455" t="s">
        <v>1731</v>
      </c>
    </row>
    <row r="26" spans="1:27">
      <c r="J26" s="298" t="str">
        <v>Clean lint filter under running water</v>
      </c>
      <c r="K26" s="303" t="str">
        <f>IF(ISBLANK(J26),"",IF(COUNTIF(L:L,J26),IF(_xlfn.XLOOKUP(J26,'Compartments_Kawecki&amp;Nowack19'!A:A,'Compartments_Kawecki&amp;Nowack19'!B:B,_xlfn.XLOOKUP(J26,Compartments_Added!A:A,Compartments_Added!B:B))="Stock","OK stock","OK flow"),IF(COUNTIF($G$4:$G$18,J26),IF(COUNTIF($E$4:$E$18,J26),"OK input","Missing"),"Missing")))</f>
        <v>OK flow</v>
      </c>
      <c r="L26" s="298" t="str">
        <v>Mixed waste collection</v>
      </c>
      <c r="M26" s="303" t="str">
        <f>IF(COUNTIF(J:J,L26),IF(_xlfn.XLOOKUP(L26,'Compartments_Kawecki&amp;Nowack19'!A:A,'Compartments_Kawecki&amp;Nowack19'!B:B,_xlfn.XLOOKUP(L26,Compartments_Added!A:A,Compartments_Added!B:B))="Stock","OK stock","OK flow"),IF(_xlfn.XLOOKUP(L26,'Compartments_Kawecki&amp;Nowack19'!A:A,'Compartments_Kawecki&amp;Nowack19'!B:B,_xlfn.XLOOKUP(L26,Compartments_Added!A:A,Compartments_Added!B:B))="Sink","OK, Sink","Missing"))</f>
        <v>OK flow</v>
      </c>
      <c r="N26" s="6"/>
      <c r="O26" s="6" t="str">
        <f>Lifetimes_pairs!A24</f>
        <v>Plaster (prof) indoor (in use)</v>
      </c>
      <c r="P26" s="6" t="str">
        <f>Lifetimes_pairs!B24</f>
        <v>PlasterProfInIU</v>
      </c>
      <c r="Q26" t="str">
        <f>Lifetimes!AE1</f>
        <v>ClothingDis</v>
      </c>
      <c r="R26" t="str">
        <f t="shared" si="2"/>
        <v>OK</v>
      </c>
      <c r="AA26" s="455" t="s">
        <v>1732</v>
      </c>
    </row>
    <row r="27" spans="1:27">
      <c r="J27" s="298" t="str">
        <v>Closed-toed shoes</v>
      </c>
      <c r="K27" s="303" t="str">
        <f>IF(ISBLANK(J27),"",IF(COUNTIF(L:L,J27),IF(_xlfn.XLOOKUP(J27,'Compartments_Kawecki&amp;Nowack19'!A:A,'Compartments_Kawecki&amp;Nowack19'!B:B,_xlfn.XLOOKUP(J27,Compartments_Added!A:A,Compartments_Added!B:B))="Stock","OK stock","OK flow"),IF(COUNTIF($G$4:$G$18,J27),IF(COUNTIF($E$4:$E$18,J27),"OK input","Missing"),"Missing")))</f>
        <v>OK stock</v>
      </c>
      <c r="L27" s="298" t="str">
        <v>Footwear waste collection</v>
      </c>
      <c r="M27" s="303" t="str">
        <f>IF(COUNTIF(J:J,L27),IF(_xlfn.XLOOKUP(L27,'Compartments_Kawecki&amp;Nowack19'!A:A,'Compartments_Kawecki&amp;Nowack19'!B:B,_xlfn.XLOOKUP(L27,Compartments_Added!A:A,Compartments_Added!B:B))="Stock","OK stock","OK flow"),IF(_xlfn.XLOOKUP(L27,'Compartments_Kawecki&amp;Nowack19'!A:A,'Compartments_Kawecki&amp;Nowack19'!B:B,_xlfn.XLOOKUP(L27,Compartments_Added!A:A,Compartments_Added!B:B))="Sink","OK, Sink","Missing"))</f>
        <v>OK flow</v>
      </c>
      <c r="N27" s="6"/>
      <c r="O27" s="6" t="str">
        <f>Lifetimes_pairs!A25</f>
        <v>Plaster (prof) outdoor (discarded)</v>
      </c>
      <c r="P27" s="6" t="str">
        <f>Lifetimes_pairs!B25</f>
        <v>PlasterProfOutDis</v>
      </c>
      <c r="Q27" t="str">
        <f>Lifetimes!AF1</f>
        <v>ClothingIUWearTear</v>
      </c>
      <c r="R27" t="str">
        <f t="shared" si="2"/>
        <v>OK</v>
      </c>
      <c r="AA27" s="455" t="s">
        <v>1733</v>
      </c>
    </row>
    <row r="28" spans="1:27">
      <c r="J28" s="298" t="str">
        <v>Clothing (product sector)</v>
      </c>
      <c r="K28" s="303" t="str">
        <f>IF(ISBLANK(J28),"",IF(COUNTIF(L:L,J28),IF(_xlfn.XLOOKUP(J28,'Compartments_Kawecki&amp;Nowack19'!A:A,'Compartments_Kawecki&amp;Nowack19'!B:B,_xlfn.XLOOKUP(J28,Compartments_Added!A:A,Compartments_Added!B:B))="Stock","OK stock","OK flow"),IF(COUNTIF($G$4:$G$18,J28),IF(COUNTIF($E$4:$E$18,J28),"OK input","Missing"),"Missing")))</f>
        <v>OK flow</v>
      </c>
      <c r="L28" s="298" t="str">
        <v>Footwear wearing (soles)</v>
      </c>
      <c r="M28" s="303" t="str">
        <f>IF(COUNTIF(J:J,L28),IF(_xlfn.XLOOKUP(L28,'Compartments_Kawecki&amp;Nowack19'!A:A,'Compartments_Kawecki&amp;Nowack19'!B:B,_xlfn.XLOOKUP(L28,Compartments_Added!A:A,Compartments_Added!B:B))="Stock","OK stock","OK flow"),IF(_xlfn.XLOOKUP(L28,'Compartments_Kawecki&amp;Nowack19'!A:A,'Compartments_Kawecki&amp;Nowack19'!B:B,_xlfn.XLOOKUP(L28,Compartments_Added!A:A,Compartments_Added!B:B))="Sink","OK, Sink","Missing"))</f>
        <v>OK flow</v>
      </c>
      <c r="N28" s="6"/>
      <c r="O28" s="6" t="str">
        <f>Lifetimes_pairs!A26</f>
        <v>Plaster (prof) indoor (discarded)</v>
      </c>
      <c r="P28" s="6" t="str">
        <f>Lifetimes_pairs!B26</f>
        <v>PlasterProfInDis</v>
      </c>
      <c r="Q28" t="str">
        <f>Lifetimes!AG1</f>
        <v>ClothingIUWashDry</v>
      </c>
      <c r="R28" t="str">
        <f t="shared" si="2"/>
        <v>OK</v>
      </c>
      <c r="AA28" s="455" t="s">
        <v>1734</v>
      </c>
    </row>
    <row r="29" spans="1:27">
      <c r="J29" s="298" t="str">
        <v>Clothing drying</v>
      </c>
      <c r="K29" s="303" t="str">
        <f>IF(ISBLANK(J29),"",IF(COUNTIF(L:L,J29),IF(_xlfn.XLOOKUP(J29,'Compartments_Kawecki&amp;Nowack19'!A:A,'Compartments_Kawecki&amp;Nowack19'!B:B,_xlfn.XLOOKUP(J29,Compartments_Added!A:A,Compartments_Added!B:B))="Stock","OK stock","OK flow"),IF(COUNTIF($G$4:$G$18,J29),IF(COUNTIF($E$4:$E$18,J29),"OK input","Missing"),"Missing")))</f>
        <v>OK flow</v>
      </c>
      <c r="L29" s="298" t="str">
        <v>Footwear wearing (uppers)</v>
      </c>
      <c r="M29" s="303" t="str">
        <f>IF(COUNTIF(J:J,L29),IF(_xlfn.XLOOKUP(L29,'Compartments_Kawecki&amp;Nowack19'!A:A,'Compartments_Kawecki&amp;Nowack19'!B:B,_xlfn.XLOOKUP(L29,Compartments_Added!A:A,Compartments_Added!B:B))="Stock","OK stock","OK flow"),IF(_xlfn.XLOOKUP(L29,'Compartments_Kawecki&amp;Nowack19'!A:A,'Compartments_Kawecki&amp;Nowack19'!B:B,_xlfn.XLOOKUP(L29,Compartments_Added!A:A,Compartments_Added!B:B))="Sink","OK, Sink","Missing"))</f>
        <v>OK flow</v>
      </c>
      <c r="N29" s="6"/>
      <c r="O29" s="6" t="str">
        <f>Lifetimes_pairs!A27</f>
        <v>Other paint uses (prof) outdoor (in use)</v>
      </c>
      <c r="P29" s="6" t="str">
        <f>Lifetimes_pairs!B27</f>
        <v>OtherPaintUsesProfOutIU</v>
      </c>
      <c r="Q29" t="str">
        <f>Lifetimes!AH1</f>
        <v>HomeTextilesDis</v>
      </c>
      <c r="R29" t="str">
        <f t="shared" si="2"/>
        <v>OK</v>
      </c>
      <c r="AA29" s="455" t="s">
        <v>1735</v>
      </c>
    </row>
    <row r="30" spans="1:27">
      <c r="J30" s="298" t="str">
        <v>Clothing drying CHETD</v>
      </c>
      <c r="K30" s="303" t="str">
        <f>IF(ISBLANK(J30),"",IF(COUNTIF(L:L,J30),IF(_xlfn.XLOOKUP(J30,'Compartments_Kawecki&amp;Nowack19'!A:A,'Compartments_Kawecki&amp;Nowack19'!B:B,_xlfn.XLOOKUP(J30,Compartments_Added!A:A,Compartments_Added!B:B))="Stock","OK stock","OK flow"),IF(COUNTIF($G$4:$G$18,J30),IF(COUNTIF($E$4:$E$18,J30),"OK input","Missing"),"Missing")))</f>
        <v>OK flow</v>
      </c>
      <c r="L30" s="298" t="str">
        <v>Construction and demolition incinerable waste collection</v>
      </c>
      <c r="M30" s="303" t="str">
        <f>IF(COUNTIF(J:J,L30),IF(_xlfn.XLOOKUP(L30,'Compartments_Kawecki&amp;Nowack19'!A:A,'Compartments_Kawecki&amp;Nowack19'!B:B,_xlfn.XLOOKUP(L30,Compartments_Added!A:A,Compartments_Added!B:B))="Stock","OK stock","OK flow"),IF(_xlfn.XLOOKUP(L30,'Compartments_Kawecki&amp;Nowack19'!A:A,'Compartments_Kawecki&amp;Nowack19'!B:B,_xlfn.XLOOKUP(L30,Compartments_Added!A:A,Compartments_Added!B:B))="Sink","OK, Sink","Missing"))</f>
        <v>OK flow</v>
      </c>
      <c r="N30" s="6"/>
      <c r="O30" s="6" t="str">
        <f>Lifetimes_pairs!A28</f>
        <v>Other paint uses (prof) indoor (in use)</v>
      </c>
      <c r="P30" s="6" t="str">
        <f>Lifetimes_pairs!B28</f>
        <v>OtherPaintUsesProfInIU</v>
      </c>
      <c r="Q30" t="str">
        <f>Lifetimes!AI1</f>
        <v>HomeTextilesIU</v>
      </c>
      <c r="R30" t="str">
        <f t="shared" si="2"/>
        <v>OK</v>
      </c>
      <c r="AA30" s="455" t="s">
        <v>1736</v>
      </c>
    </row>
    <row r="31" spans="1:27">
      <c r="J31" s="298" t="str">
        <v>Clothing drying CHPTD</v>
      </c>
      <c r="K31" s="303" t="str">
        <f>IF(ISBLANK(J31),"",IF(COUNTIF(L:L,J31),IF(_xlfn.XLOOKUP(J31,'Compartments_Kawecki&amp;Nowack19'!A:A,'Compartments_Kawecki&amp;Nowack19'!B:B,_xlfn.XLOOKUP(J31,Compartments_Added!A:A,Compartments_Added!B:B))="Stock","OK stock","OK flow"),IF(COUNTIF($G$4:$G$18,J31),IF(COUNTIF($E$4:$E$18,J31),"OK input","Missing"),"Missing")))</f>
        <v>OK flow</v>
      </c>
      <c r="L31" s="298" t="str">
        <v>Litter in residential environments</v>
      </c>
      <c r="M31" s="303" t="str">
        <f>IF(COUNTIF(J:J,L31),IF(_xlfn.XLOOKUP(L31,'Compartments_Kawecki&amp;Nowack19'!A:A,'Compartments_Kawecki&amp;Nowack19'!B:B,_xlfn.XLOOKUP(L31,Compartments_Added!A:A,Compartments_Added!B:B))="Stock","OK stock","OK flow"),IF(_xlfn.XLOOKUP(L31,'Compartments_Kawecki&amp;Nowack19'!A:A,'Compartments_Kawecki&amp;Nowack19'!B:B,_xlfn.XLOOKUP(L31,Compartments_Added!A:A,Compartments_Added!B:B))="Sink","OK, Sink","Missing"))</f>
        <v>OK flow</v>
      </c>
      <c r="N31" s="6"/>
      <c r="O31" s="6" t="str">
        <f>Lifetimes_pairs!A29</f>
        <v>Other paint uses (prof) outdoor (discarded)</v>
      </c>
      <c r="P31" s="6" t="str">
        <f>Lifetimes_pairs!B29</f>
        <v>OtherPaintUsesProfOutDis</v>
      </c>
      <c r="Q31" t="str">
        <f>Lifetimes!AJ1</f>
        <v>TechHomeTextilesDis</v>
      </c>
      <c r="R31" t="str">
        <f t="shared" si="2"/>
        <v>OK</v>
      </c>
      <c r="AA31" s="455" t="s">
        <v>1737</v>
      </c>
    </row>
    <row r="32" spans="1:27">
      <c r="J32" s="298" t="str">
        <v>Clothing drying VTD</v>
      </c>
      <c r="K32" s="303" t="str">
        <f>IF(ISBLANK(J32),"",IF(COUNTIF(L:L,J32),IF(_xlfn.XLOOKUP(J32,'Compartments_Kawecki&amp;Nowack19'!A:A,'Compartments_Kawecki&amp;Nowack19'!B:B,_xlfn.XLOOKUP(J32,Compartments_Added!A:A,Compartments_Added!B:B))="Stock","OK stock","OK flow"),IF(COUNTIF($G$4:$G$18,J32),IF(COUNTIF($E$4:$E$18,J32),"OK input","Missing"),"Missing")))</f>
        <v>OK flow</v>
      </c>
      <c r="L32" s="298" t="str">
        <v>Building textiles (discarded)</v>
      </c>
      <c r="M32" s="303" t="str">
        <f>IF(COUNTIF(J:J,L32),IF(_xlfn.XLOOKUP(L32,'Compartments_Kawecki&amp;Nowack19'!A:A,'Compartments_Kawecki&amp;Nowack19'!B:B,_xlfn.XLOOKUP(L32,Compartments_Added!A:A,Compartments_Added!B:B))="Stock","OK stock","OK flow"),IF(_xlfn.XLOOKUP(L32,'Compartments_Kawecki&amp;Nowack19'!A:A,'Compartments_Kawecki&amp;Nowack19'!B:B,_xlfn.XLOOKUP(L32,Compartments_Added!A:A,Compartments_Added!B:B))="Sink","OK, Sink","Missing"))</f>
        <v>OK stock</v>
      </c>
      <c r="N32" s="6"/>
      <c r="O32" s="6" t="str">
        <f>Lifetimes_pairs!A30</f>
        <v>Other paint uses (prof) indoor (discarded)</v>
      </c>
      <c r="P32" s="6" t="str">
        <f>Lifetimes_pairs!B30</f>
        <v>OtherPaintUsesProfInDis</v>
      </c>
      <c r="Q32" t="str">
        <f>Lifetimes!AK1</f>
        <v>TechHomeTextilesIU</v>
      </c>
      <c r="R32" t="str">
        <f t="shared" si="2"/>
        <v>OK</v>
      </c>
      <c r="AA32" s="455" t="s">
        <v>1738</v>
      </c>
    </row>
    <row r="33" spans="10:27">
      <c r="J33" s="298" t="str">
        <v>Clothing indoor drying</v>
      </c>
      <c r="K33" s="303" t="str">
        <f>IF(ISBLANK(J33),"",IF(COUNTIF(L:L,J33),IF(_xlfn.XLOOKUP(J33,'Compartments_Kawecki&amp;Nowack19'!A:A,'Compartments_Kawecki&amp;Nowack19'!B:B,_xlfn.XLOOKUP(J33,Compartments_Added!A:A,Compartments_Added!B:B))="Stock","OK stock","OK flow"),IF(COUNTIF($G$4:$G$18,J33),IF(COUNTIF($E$4:$E$18,J33),"OK input","Missing"),"Missing")))</f>
        <v>OK flow</v>
      </c>
      <c r="L33" s="298" t="str">
        <v>Building textiles (in use)</v>
      </c>
      <c r="M33" s="303" t="str">
        <f>IF(COUNTIF(J:J,L33),IF(_xlfn.XLOOKUP(L33,'Compartments_Kawecki&amp;Nowack19'!A:A,'Compartments_Kawecki&amp;Nowack19'!B:B,_xlfn.XLOOKUP(L33,Compartments_Added!A:A,Compartments_Added!B:B))="Stock","OK stock","OK flow"),IF(_xlfn.XLOOKUP(L33,'Compartments_Kawecki&amp;Nowack19'!A:A,'Compartments_Kawecki&amp;Nowack19'!B:B,_xlfn.XLOOKUP(L33,Compartments_Added!A:A,Compartments_Added!B:B))="Sink","OK, Sink","Missing"))</f>
        <v>OK stock</v>
      </c>
      <c r="N33" s="6"/>
      <c r="O33" s="6" t="str">
        <f>Lifetimes_pairs!A31</f>
        <v>Paints used in pre-made wooden products outdoor (in use)</v>
      </c>
      <c r="P33" s="6" t="str">
        <f>Lifetimes_pairs!B31</f>
        <v>PaintsPreMadeWoodOutIU</v>
      </c>
      <c r="Q33" t="str">
        <f>Lifetimes!AL1</f>
        <v>MedicalTextiles</v>
      </c>
      <c r="R33" t="str">
        <f t="shared" si="2"/>
        <v>OK</v>
      </c>
      <c r="AA33" s="455" t="s">
        <v>1739</v>
      </c>
    </row>
    <row r="34" spans="10:27">
      <c r="J34" s="298" t="str">
        <v>Clothing not washed (discarded)</v>
      </c>
      <c r="K34" s="303" t="str">
        <f>IF(ISBLANK(J34),"",IF(COUNTIF(L:L,J34),IF(_xlfn.XLOOKUP(J34,'Compartments_Kawecki&amp;Nowack19'!A:A,'Compartments_Kawecki&amp;Nowack19'!B:B,_xlfn.XLOOKUP(J34,Compartments_Added!A:A,Compartments_Added!B:B))="Stock","OK stock","OK flow"),IF(COUNTIF($G$4:$G$18,J34),IF(COUNTIF($E$4:$E$18,J34),"OK input","Missing"),"Missing")))</f>
        <v>OK flow</v>
      </c>
      <c r="L34" s="298" t="str">
        <v>Mixed waste collection (micro)</v>
      </c>
      <c r="M34" s="303" t="str">
        <f>IF(COUNTIF(J:J,L34),IF(_xlfn.XLOOKUP(L34,'Compartments_Kawecki&amp;Nowack19'!A:A,'Compartments_Kawecki&amp;Nowack19'!B:B,_xlfn.XLOOKUP(L34,Compartments_Added!A:A,Compartments_Added!B:B))="Stock","OK stock","OK flow"),IF(_xlfn.XLOOKUP(L34,'Compartments_Kawecki&amp;Nowack19'!A:A,'Compartments_Kawecki&amp;Nowack19'!B:B,_xlfn.XLOOKUP(L34,Compartments_Added!A:A,Compartments_Added!B:B))="Sink","OK, Sink","Missing"))</f>
        <v>OK flow</v>
      </c>
      <c r="N34" s="6"/>
      <c r="O34" s="6" t="str">
        <f>Lifetimes_pairs!A32</f>
        <v>Paints used in pre-made wooden products indoor (in use)</v>
      </c>
      <c r="P34" s="6" t="str">
        <f>Lifetimes_pairs!B32</f>
        <v>PaintsPreMadeWoodInIU</v>
      </c>
      <c r="Q34" t="str">
        <f>Lifetimes!AM1</f>
        <v>AgrotextilesDis</v>
      </c>
      <c r="R34" t="str">
        <f t="shared" si="2"/>
        <v>OK</v>
      </c>
      <c r="AA34" s="455" t="s">
        <v>1740</v>
      </c>
    </row>
    <row r="35" spans="10:27">
      <c r="J35" s="298" t="str">
        <v>Clothing not washed (in use)</v>
      </c>
      <c r="K35" s="303" t="str">
        <f>IF(ISBLANK(J35),"",IF(COUNTIF(L:L,J35),IF(_xlfn.XLOOKUP(J35,'Compartments_Kawecki&amp;Nowack19'!A:A,'Compartments_Kawecki&amp;Nowack19'!B:B,_xlfn.XLOOKUP(J35,Compartments_Added!A:A,Compartments_Added!B:B))="Stock","OK stock","OK flow"),IF(COUNTIF($G$4:$G$18,J35),IF(COUNTIF($E$4:$E$18,J35),"OK input","Missing"),"Missing")))</f>
        <v>OK flow</v>
      </c>
      <c r="L35" s="298" t="str">
        <v>Indoor air (micro)</v>
      </c>
      <c r="M35" s="303" t="str">
        <f>IF(COUNTIF(J:J,L35),IF(_xlfn.XLOOKUP(L35,'Compartments_Kawecki&amp;Nowack19'!A:A,'Compartments_Kawecki&amp;Nowack19'!B:B,_xlfn.XLOOKUP(L35,Compartments_Added!A:A,Compartments_Added!B:B))="Stock","OK stock","OK flow"),IF(_xlfn.XLOOKUP(L35,'Compartments_Kawecki&amp;Nowack19'!A:A,'Compartments_Kawecki&amp;Nowack19'!B:B,_xlfn.XLOOKUP(L35,Compartments_Added!A:A,Compartments_Added!B:B))="Sink","OK, Sink","Missing"))</f>
        <v>OK flow</v>
      </c>
      <c r="N35" s="6"/>
      <c r="O35" s="6" t="str">
        <f>Lifetimes_pairs!A33</f>
        <v>Paints used in pre-made wooden products outdoor (discarded)</v>
      </c>
      <c r="P35" s="6" t="str">
        <f>Lifetimes_pairs!B33</f>
        <v>PaintsPreMadeWoodOutDis</v>
      </c>
      <c r="Q35" t="str">
        <f>Lifetimes!AN1</f>
        <v>AgrotextilesIU</v>
      </c>
      <c r="R35" t="str">
        <f t="shared" si="2"/>
        <v>OK</v>
      </c>
      <c r="AA35" s="455" t="s">
        <v>1741</v>
      </c>
    </row>
    <row r="36" spans="10:27">
      <c r="J36" s="298" t="str">
        <v>Clothing outdoor drying</v>
      </c>
      <c r="K36" s="303" t="str">
        <f>IF(ISBLANK(J36),"",IF(COUNTIF(L:L,J36),IF(_xlfn.XLOOKUP(J36,'Compartments_Kawecki&amp;Nowack19'!A:A,'Compartments_Kawecki&amp;Nowack19'!B:B,_xlfn.XLOOKUP(J36,Compartments_Added!A:A,Compartments_Added!B:B))="Stock","OK stock","OK flow"),IF(COUNTIF($G$4:$G$18,J36),IF(COUNTIF($E$4:$E$18,J36),"OK input","Missing"),"Missing")))</f>
        <v>OK flow</v>
      </c>
      <c r="L36" s="298" t="str">
        <v>Wastewater (micro)</v>
      </c>
      <c r="M36" s="303" t="str">
        <f>IF(COUNTIF(J:J,L36),IF(_xlfn.XLOOKUP(L36,'Compartments_Kawecki&amp;Nowack19'!A:A,'Compartments_Kawecki&amp;Nowack19'!B:B,_xlfn.XLOOKUP(L36,Compartments_Added!A:A,Compartments_Added!B:B))="Stock","OK stock","OK flow"),IF(_xlfn.XLOOKUP(L36,'Compartments_Kawecki&amp;Nowack19'!A:A,'Compartments_Kawecki&amp;Nowack19'!B:B,_xlfn.XLOOKUP(L36,Compartments_Added!A:A,Compartments_Added!B:B))="Sink","OK, Sink","Missing"))</f>
        <v>OK flow</v>
      </c>
      <c r="N36" s="6"/>
      <c r="O36" s="6" t="str">
        <f>Lifetimes_pairs!A34</f>
        <v>Paints used in pre-made wooden products indoor (discarded)</v>
      </c>
      <c r="P36" s="6" t="str">
        <f>Lifetimes_pairs!B34</f>
        <v>PaintsPreMadeWoodInDis</v>
      </c>
      <c r="Q36" t="str">
        <f>Lifetimes!AO1</f>
        <v>MobilityTextiles</v>
      </c>
      <c r="R36" t="str">
        <f t="shared" si="2"/>
        <v>OK</v>
      </c>
      <c r="AA36" s="455" t="s">
        <v>1742</v>
      </c>
    </row>
    <row r="37" spans="10:27">
      <c r="J37" s="298" t="str">
        <v>Clothing rarely washed (discarded)</v>
      </c>
      <c r="K37" s="303" t="str">
        <f>IF(ISBLANK(J37),"",IF(COUNTIF(L:L,J37),IF(_xlfn.XLOOKUP(J37,'Compartments_Kawecki&amp;Nowack19'!A:A,'Compartments_Kawecki&amp;Nowack19'!B:B,_xlfn.XLOOKUP(J37,Compartments_Added!A:A,Compartments_Added!B:B))="Stock","OK stock","OK flow"),IF(COUNTIF($G$4:$G$18,J37),IF(COUNTIF($E$4:$E$18,J37),"OK input","Missing"),"Missing")))</f>
        <v>OK flow</v>
      </c>
      <c r="L37" s="298" t="str">
        <v>Clothing washing</v>
      </c>
      <c r="M37" s="303" t="str">
        <f>IF(COUNTIF(J:J,L37),IF(_xlfn.XLOOKUP(L37,'Compartments_Kawecki&amp;Nowack19'!A:A,'Compartments_Kawecki&amp;Nowack19'!B:B,_xlfn.XLOOKUP(L37,Compartments_Added!A:A,Compartments_Added!B:B))="Stock","OK stock","OK flow"),IF(_xlfn.XLOOKUP(L37,'Compartments_Kawecki&amp;Nowack19'!A:A,'Compartments_Kawecki&amp;Nowack19'!B:B,_xlfn.XLOOKUP(L37,Compartments_Added!A:A,Compartments_Added!B:B))="Sink","OK, Sink","Missing"))</f>
        <v>OK flow</v>
      </c>
      <c r="N37" s="6"/>
      <c r="O37" s="6" t="str">
        <f>Lifetimes_pairs!A35</f>
        <v>Lacquer (DIY) outdoor (in use)</v>
      </c>
      <c r="P37" s="6" t="str">
        <f>Lifetimes_pairs!B35</f>
        <v>LacquerDiyOutIU</v>
      </c>
      <c r="Q37" t="str">
        <f>Lifetimes!AP1</f>
        <v>GeotextilesDis</v>
      </c>
      <c r="R37" t="str">
        <f t="shared" si="2"/>
        <v>OK</v>
      </c>
      <c r="AA37" s="455" t="s">
        <v>1743</v>
      </c>
    </row>
    <row r="38" spans="10:27">
      <c r="J38" s="298" t="str">
        <v>Clothing rarely washed (in use)</v>
      </c>
      <c r="K38" s="303" t="str">
        <f>IF(ISBLANK(J38),"",IF(COUNTIF(L:L,J38),IF(_xlfn.XLOOKUP(J38,'Compartments_Kawecki&amp;Nowack19'!A:A,'Compartments_Kawecki&amp;Nowack19'!B:B,_xlfn.XLOOKUP(J38,Compartments_Added!A:A,Compartments_Added!B:B))="Stock","OK stock","OK flow"),IF(COUNTIF($G$4:$G$18,J38),IF(COUNTIF($E$4:$E$18,J38),"OK input","Missing"),"Missing")))</f>
        <v>OK flow</v>
      </c>
      <c r="L38" s="298" t="str">
        <v>Apparel accessories</v>
      </c>
      <c r="M38" s="303" t="str">
        <f>IF(COUNTIF(J:J,L38),IF(_xlfn.XLOOKUP(L38,'Compartments_Kawecki&amp;Nowack19'!A:A,'Compartments_Kawecki&amp;Nowack19'!B:B,_xlfn.XLOOKUP(L38,Compartments_Added!A:A,Compartments_Added!B:B))="Stock","OK stock","OK flow"),IF(_xlfn.XLOOKUP(L38,'Compartments_Kawecki&amp;Nowack19'!A:A,'Compartments_Kawecki&amp;Nowack19'!B:B,_xlfn.XLOOKUP(L38,Compartments_Added!A:A,Compartments_Added!B:B))="Sink","OK, Sink","Missing"))</f>
        <v>OK stock</v>
      </c>
      <c r="N38" s="6"/>
      <c r="O38" s="6" t="str">
        <f>Lifetimes_pairs!A36</f>
        <v>Lacquer (DIY) indoor (in use)</v>
      </c>
      <c r="P38" s="6" t="str">
        <f>Lifetimes_pairs!B36</f>
        <v>LacquerDiyInIU</v>
      </c>
      <c r="Q38" t="str">
        <f>Lifetimes!AQ1</f>
        <v>GeotextilesIU</v>
      </c>
      <c r="R38" t="str">
        <f t="shared" si="2"/>
        <v>OK</v>
      </c>
      <c r="AA38" s="455" t="s">
        <v>1744</v>
      </c>
    </row>
    <row r="39" spans="10:27">
      <c r="J39" s="298" t="str">
        <v>Clothing washed (discarded)</v>
      </c>
      <c r="K39" s="303" t="str">
        <f>IF(ISBLANK(J39),"",IF(COUNTIF(L:L,J39),IF(_xlfn.XLOOKUP(J39,'Compartments_Kawecki&amp;Nowack19'!A:A,'Compartments_Kawecki&amp;Nowack19'!B:B,_xlfn.XLOOKUP(J39,Compartments_Added!A:A,Compartments_Added!B:B))="Stock","OK stock","OK flow"),IF(COUNTIF($G$4:$G$18,J39),IF(COUNTIF($E$4:$E$18,J39),"OK input","Missing"),"Missing")))</f>
        <v>OK flow</v>
      </c>
      <c r="L39" s="298" t="str">
        <v>Boots</v>
      </c>
      <c r="M39" s="303" t="str">
        <f>IF(COUNTIF(J:J,L39),IF(_xlfn.XLOOKUP(L39,'Compartments_Kawecki&amp;Nowack19'!A:A,'Compartments_Kawecki&amp;Nowack19'!B:B,_xlfn.XLOOKUP(L39,Compartments_Added!A:A,Compartments_Added!B:B))="Stock","OK stock","OK flow"),IF(_xlfn.XLOOKUP(L39,'Compartments_Kawecki&amp;Nowack19'!A:A,'Compartments_Kawecki&amp;Nowack19'!B:B,_xlfn.XLOOKUP(L39,Compartments_Added!A:A,Compartments_Added!B:B))="Sink","OK, Sink","Missing"))</f>
        <v>OK stock</v>
      </c>
      <c r="N39" s="6"/>
      <c r="O39" s="6" t="str">
        <f>Lifetimes_pairs!A37</f>
        <v>Lacquer (DIY) outdoor (discarded)</v>
      </c>
      <c r="P39" s="6" t="str">
        <f>Lifetimes_pairs!B37</f>
        <v>LacquerDiyOutDis</v>
      </c>
      <c r="Q39" t="str">
        <f>Lifetimes!AR1</f>
        <v>BuildingTextilesDis</v>
      </c>
      <c r="R39" t="str">
        <f t="shared" si="2"/>
        <v>OK</v>
      </c>
      <c r="AA39" s="455" t="s">
        <v>1745</v>
      </c>
    </row>
    <row r="40" spans="10:27">
      <c r="J40" s="298" t="str">
        <v>Clothing washed (in use)</v>
      </c>
      <c r="K40" s="303" t="str">
        <f>IF(ISBLANK(J40),"",IF(COUNTIF(L:L,J40),IF(_xlfn.XLOOKUP(J40,'Compartments_Kawecki&amp;Nowack19'!A:A,'Compartments_Kawecki&amp;Nowack19'!B:B,_xlfn.XLOOKUP(J40,Compartments_Added!A:A,Compartments_Added!B:B))="Stock","OK stock","OK flow"),IF(COUNTIF($G$4:$G$18,J40),IF(COUNTIF($E$4:$E$18,J40),"OK input","Missing"),"Missing")))</f>
        <v>OK flow</v>
      </c>
      <c r="L40" s="298" t="str">
        <v>Closed-toed shoes</v>
      </c>
      <c r="M40" s="303" t="str">
        <f>IF(COUNTIF(J:J,L40),IF(_xlfn.XLOOKUP(L40,'Compartments_Kawecki&amp;Nowack19'!A:A,'Compartments_Kawecki&amp;Nowack19'!B:B,_xlfn.XLOOKUP(L40,Compartments_Added!A:A,Compartments_Added!B:B))="Stock","OK stock","OK flow"),IF(_xlfn.XLOOKUP(L40,'Compartments_Kawecki&amp;Nowack19'!A:A,'Compartments_Kawecki&amp;Nowack19'!B:B,_xlfn.XLOOKUP(L40,Compartments_Added!A:A,Compartments_Added!B:B))="Sink","OK, Sink","Missing"))</f>
        <v>OK stock</v>
      </c>
      <c r="N40" s="6"/>
      <c r="O40" s="6" t="str">
        <f>Lifetimes_pairs!A38</f>
        <v>Lacquer (DIY) indoor (discarded)</v>
      </c>
      <c r="P40" s="6" t="str">
        <f>Lifetimes_pairs!B38</f>
        <v>LacquerDiyInDis</v>
      </c>
      <c r="Q40" t="str">
        <f>Lifetimes!AS1</f>
        <v>BuildingTextilesIU</v>
      </c>
      <c r="R40" t="str">
        <f t="shared" si="2"/>
        <v>OK</v>
      </c>
      <c r="AA40" s="455" t="s">
        <v>1746</v>
      </c>
    </row>
    <row r="41" spans="10:27">
      <c r="J41" s="298" t="str">
        <v>Clothing washer-dryer combo</v>
      </c>
      <c r="K41" s="303" t="str">
        <f>IF(ISBLANK(J41),"",IF(COUNTIF(L:L,J41),IF(_xlfn.XLOOKUP(J41,'Compartments_Kawecki&amp;Nowack19'!A:A,'Compartments_Kawecki&amp;Nowack19'!B:B,_xlfn.XLOOKUP(J41,Compartments_Added!A:A,Compartments_Added!B:B))="Stock","OK stock","OK flow"),IF(COUNTIF($G$4:$G$18,J41),IF(COUNTIF($E$4:$E$18,J41),"OK input","Missing"),"Missing")))</f>
        <v>OK flow</v>
      </c>
      <c r="L41" s="298" t="str">
        <v>Dresses skirts and jumpsuits</v>
      </c>
      <c r="M41" s="303" t="str">
        <f>IF(COUNTIF(J:J,L41),IF(_xlfn.XLOOKUP(L41,'Compartments_Kawecki&amp;Nowack19'!A:A,'Compartments_Kawecki&amp;Nowack19'!B:B,_xlfn.XLOOKUP(L41,Compartments_Added!A:A,Compartments_Added!B:B))="Stock","OK stock","OK flow"),IF(_xlfn.XLOOKUP(L41,'Compartments_Kawecki&amp;Nowack19'!A:A,'Compartments_Kawecki&amp;Nowack19'!B:B,_xlfn.XLOOKUP(L41,Compartments_Added!A:A,Compartments_Added!B:B))="Sink","OK, Sink","Missing"))</f>
        <v>OK stock</v>
      </c>
      <c r="N41" s="6"/>
      <c r="O41" s="6" t="str">
        <f>Lifetimes_pairs!A39</f>
        <v>Wood stain (DIY) outdoor (in use)</v>
      </c>
      <c r="P41" s="6" t="str">
        <f>Lifetimes_pairs!B39</f>
        <v>WoodStainDiyOutIU</v>
      </c>
      <c r="Q41" t="str">
        <f>Lifetimes!AT1</f>
        <v>OtherTechnicalTextiles</v>
      </c>
      <c r="R41" t="str">
        <f t="shared" si="2"/>
        <v>OK</v>
      </c>
      <c r="AA41" s="508" t="s">
        <v>1747</v>
      </c>
    </row>
    <row r="42" spans="10:27">
      <c r="J42" s="298" t="str">
        <v>Clothing washing</v>
      </c>
      <c r="K42" s="303" t="str">
        <f>IF(ISBLANK(J42),"",IF(COUNTIF(L:L,J42),IF(_xlfn.XLOOKUP(J42,'Compartments_Kawecki&amp;Nowack19'!A:A,'Compartments_Kawecki&amp;Nowack19'!B:B,_xlfn.XLOOKUP(J42,Compartments_Added!A:A,Compartments_Added!B:B))="Stock","OK stock","OK flow"),IF(COUNTIF($G$4:$G$18,J42),IF(COUNTIF($E$4:$E$18,J42),"OK input","Missing"),"Missing")))</f>
        <v>OK flow</v>
      </c>
      <c r="L42" s="298" t="str">
        <v>Jackets and coats</v>
      </c>
      <c r="M42" s="303" t="str">
        <f>IF(COUNTIF(J:J,L42),IF(_xlfn.XLOOKUP(L42,'Compartments_Kawecki&amp;Nowack19'!A:A,'Compartments_Kawecki&amp;Nowack19'!B:B,_xlfn.XLOOKUP(L42,Compartments_Added!A:A,Compartments_Added!B:B))="Stock","OK stock","OK flow"),IF(_xlfn.XLOOKUP(L42,'Compartments_Kawecki&amp;Nowack19'!A:A,'Compartments_Kawecki&amp;Nowack19'!B:B,_xlfn.XLOOKUP(L42,Compartments_Added!A:A,Compartments_Added!B:B))="Sink","OK, Sink","Missing"))</f>
        <v>OK stock</v>
      </c>
      <c r="N42" s="6"/>
      <c r="O42" s="6" t="str">
        <f>Lifetimes_pairs!A40</f>
        <v>Wood stain (DIY) indoor (in use)</v>
      </c>
      <c r="P42" s="6" t="str">
        <f>Lifetimes_pairs!B40</f>
        <v>WoodStainDiyInIU</v>
      </c>
      <c r="Q42" t="str">
        <f>Lifetimes!AU1</f>
        <v>TextileCoatingDis</v>
      </c>
      <c r="R42" t="str">
        <f t="shared" si="2"/>
        <v>OK</v>
      </c>
      <c r="AA42" s="508" t="s">
        <v>1748</v>
      </c>
    </row>
    <row r="43" spans="10:27">
      <c r="J43" s="298" t="str">
        <v>Clothing washing by hand</v>
      </c>
      <c r="K43" s="303" t="str">
        <f>IF(ISBLANK(J43),"",IF(COUNTIF(L:L,J43),IF(_xlfn.XLOOKUP(J43,'Compartments_Kawecki&amp;Nowack19'!A:A,'Compartments_Kawecki&amp;Nowack19'!B:B,_xlfn.XLOOKUP(J43,Compartments_Added!A:A,Compartments_Added!B:B))="Stock","OK stock","OK flow"),IF(COUNTIF($G$4:$G$18,J43),IF(COUNTIF($E$4:$E$18,J43),"OK input","Missing"),"Missing")))</f>
        <v>OK flow</v>
      </c>
      <c r="L43" s="298" t="str">
        <v>Leggings stockings tights and socks</v>
      </c>
      <c r="M43" s="303" t="str">
        <f>IF(COUNTIF(J:J,L43),IF(_xlfn.XLOOKUP(L43,'Compartments_Kawecki&amp;Nowack19'!A:A,'Compartments_Kawecki&amp;Nowack19'!B:B,_xlfn.XLOOKUP(L43,Compartments_Added!A:A,Compartments_Added!B:B))="Stock","OK stock","OK flow"),IF(_xlfn.XLOOKUP(L43,'Compartments_Kawecki&amp;Nowack19'!A:A,'Compartments_Kawecki&amp;Nowack19'!B:B,_xlfn.XLOOKUP(L43,Compartments_Added!A:A,Compartments_Added!B:B))="Sink","OK, Sink","Missing"))</f>
        <v>OK stock</v>
      </c>
      <c r="N43" s="6"/>
      <c r="O43" s="6" t="str">
        <f>Lifetimes_pairs!A41</f>
        <v>Wood stain (DIY) outdoor (discarded)</v>
      </c>
      <c r="P43" s="6" t="str">
        <f>Lifetimes_pairs!B41</f>
        <v>WoodStainDiyOutDis</v>
      </c>
      <c r="Q43" t="str">
        <f>Lifetimes!AV1</f>
        <v>TextileCoatingIU</v>
      </c>
      <c r="R43" t="str">
        <f t="shared" si="2"/>
        <v>OK</v>
      </c>
      <c r="AA43" s="508" t="s">
        <v>1749</v>
      </c>
    </row>
    <row r="44" spans="10:27">
      <c r="J44" s="298" t="str">
        <v>Clothing washing machine (with external filter)</v>
      </c>
      <c r="K44" s="303" t="str">
        <f>IF(ISBLANK(J44),"",IF(COUNTIF(L:L,J44),IF(_xlfn.XLOOKUP(J44,'Compartments_Kawecki&amp;Nowack19'!A:A,'Compartments_Kawecki&amp;Nowack19'!B:B,_xlfn.XLOOKUP(J44,Compartments_Added!A:A,Compartments_Added!B:B))="Stock","OK stock","OK flow"),IF(COUNTIF($G$4:$G$18,J44),IF(COUNTIF($E$4:$E$18,J44),"OK input","Missing"),"Missing")))</f>
        <v>OK flow</v>
      </c>
      <c r="L44" s="298" t="str">
        <v>Open-toed shoes</v>
      </c>
      <c r="M44" s="303" t="str">
        <f>IF(COUNTIF(J:J,L44),IF(_xlfn.XLOOKUP(L44,'Compartments_Kawecki&amp;Nowack19'!A:A,'Compartments_Kawecki&amp;Nowack19'!B:B,_xlfn.XLOOKUP(L44,Compartments_Added!A:A,Compartments_Added!B:B))="Stock","OK stock","OK flow"),IF(_xlfn.XLOOKUP(L44,'Compartments_Kawecki&amp;Nowack19'!A:A,'Compartments_Kawecki&amp;Nowack19'!B:B,_xlfn.XLOOKUP(L44,Compartments_Added!A:A,Compartments_Added!B:B))="Sink","OK, Sink","Missing"))</f>
        <v>OK stock</v>
      </c>
      <c r="N44" s="6"/>
      <c r="O44" s="6" t="str">
        <f>Lifetimes_pairs!A42</f>
        <v>Wood stain (DIY) indoor (discarded)</v>
      </c>
      <c r="P44" s="6" t="str">
        <f>Lifetimes_pairs!B42</f>
        <v>WoodStainDiyInDis</v>
      </c>
      <c r="Q44" t="str">
        <f>Lifetimes!AW1</f>
        <v>ConcreteProfInDis</v>
      </c>
      <c r="R44" t="str">
        <f t="shared" si="2"/>
        <v>OK</v>
      </c>
      <c r="AA44" s="508" t="s">
        <v>1750</v>
      </c>
    </row>
    <row r="45" spans="10:27">
      <c r="J45" s="298" t="str">
        <v>Clothing washing machine (without external filter)</v>
      </c>
      <c r="K45" s="303" t="str">
        <f>IF(ISBLANK(J45),"",IF(COUNTIF(L:L,J45),IF(_xlfn.XLOOKUP(J45,'Compartments_Kawecki&amp;Nowack19'!A:A,'Compartments_Kawecki&amp;Nowack19'!B:B,_xlfn.XLOOKUP(J45,Compartments_Added!A:A,Compartments_Added!B:B))="Stock","OK stock","OK flow"),IF(COUNTIF($G$4:$G$18,J45),IF(COUNTIF($E$4:$E$18,J45),"OK input","Missing"),"Missing")))</f>
        <v>OK flow</v>
      </c>
      <c r="L45" s="298" t="str">
        <v>Pants and shorts</v>
      </c>
      <c r="M45" s="303" t="str">
        <f>IF(COUNTIF(J:J,L45),IF(_xlfn.XLOOKUP(L45,'Compartments_Kawecki&amp;Nowack19'!A:A,'Compartments_Kawecki&amp;Nowack19'!B:B,_xlfn.XLOOKUP(L45,Compartments_Added!A:A,Compartments_Added!B:B))="Stock","OK stock","OK flow"),IF(_xlfn.XLOOKUP(L45,'Compartments_Kawecki&amp;Nowack19'!A:A,'Compartments_Kawecki&amp;Nowack19'!B:B,_xlfn.XLOOKUP(L45,Compartments_Added!A:A,Compartments_Added!B:B))="Sink","OK, Sink","Missing"))</f>
        <v>OK stock</v>
      </c>
      <c r="N45" s="6"/>
      <c r="O45" s="6" t="str">
        <f>Lifetimes_pairs!A43</f>
        <v>Wall paint (DIY) outdoor (in use)</v>
      </c>
      <c r="P45" s="6" t="str">
        <f>Lifetimes_pairs!B43</f>
        <v>WallPaintDiyOutIU</v>
      </c>
      <c r="Q45" t="str">
        <f>Lifetimes!AX1</f>
        <v>ConcreteProfInIU</v>
      </c>
      <c r="R45" t="str">
        <f t="shared" si="2"/>
        <v>OK</v>
      </c>
      <c r="AA45" s="508" t="s">
        <v>1751</v>
      </c>
    </row>
    <row r="46" spans="10:27">
      <c r="J46" s="298" t="str">
        <v>Clothing waste collection</v>
      </c>
      <c r="K46" s="303" t="str">
        <f>IF(ISBLANK(J46),"",IF(COUNTIF(L:L,J46),IF(_xlfn.XLOOKUP(J46,'Compartments_Kawecki&amp;Nowack19'!A:A,'Compartments_Kawecki&amp;Nowack19'!B:B,_xlfn.XLOOKUP(J46,Compartments_Added!A:A,Compartments_Added!B:B))="Stock","OK stock","OK flow"),IF(COUNTIF($G$4:$G$18,J46),IF(COUNTIF($E$4:$E$18,J46),"OK input","Missing"),"Missing")))</f>
        <v>OK flow</v>
      </c>
      <c r="L46" s="298" t="str">
        <v>Shirts and blouses</v>
      </c>
      <c r="M46" s="303" t="str">
        <f>IF(COUNTIF(J:J,L46),IF(_xlfn.XLOOKUP(L46,'Compartments_Kawecki&amp;Nowack19'!A:A,'Compartments_Kawecki&amp;Nowack19'!B:B,_xlfn.XLOOKUP(L46,Compartments_Added!A:A,Compartments_Added!B:B))="Stock","OK stock","OK flow"),IF(_xlfn.XLOOKUP(L46,'Compartments_Kawecki&amp;Nowack19'!A:A,'Compartments_Kawecki&amp;Nowack19'!B:B,_xlfn.XLOOKUP(L46,Compartments_Added!A:A,Compartments_Added!B:B))="Sink","OK, Sink","Missing"))</f>
        <v>OK stock</v>
      </c>
      <c r="N46" s="6"/>
      <c r="O46" s="6" t="str">
        <f>Lifetimes_pairs!A44</f>
        <v>Wall paint (DIY) indoor applied (in use)</v>
      </c>
      <c r="P46" s="6" t="str">
        <f>Lifetimes_pairs!B44</f>
        <v>WallPaintDiyIndoorAppliedIU</v>
      </c>
      <c r="Q46" t="str">
        <f>Lifetimes!AY1</f>
        <v>ConcreteProfOutDis</v>
      </c>
      <c r="R46" t="str">
        <f t="shared" si="2"/>
        <v>OK</v>
      </c>
      <c r="AA46" s="508" t="s">
        <v>1752</v>
      </c>
    </row>
    <row r="47" spans="10:27">
      <c r="J47" s="298" t="str">
        <v>Clothing wearing</v>
      </c>
      <c r="K47" s="303" t="str">
        <f>IF(ISBLANK(J47),"",IF(COUNTIF(L:L,J47),IF(_xlfn.XLOOKUP(J47,'Compartments_Kawecki&amp;Nowack19'!A:A,'Compartments_Kawecki&amp;Nowack19'!B:B,_xlfn.XLOOKUP(J47,Compartments_Added!A:A,Compartments_Added!B:B))="Stock","OK stock","OK flow"),IF(COUNTIF($G$4:$G$18,J47),IF(COUNTIF($E$4:$E$18,J47),"OK input","Missing"),"Missing")))</f>
        <v>OK flow</v>
      </c>
      <c r="L47" s="298" t="str">
        <v>Sweaters and midlayers</v>
      </c>
      <c r="M47" s="303" t="str">
        <f>IF(COUNTIF(J:J,L47),IF(_xlfn.XLOOKUP(L47,'Compartments_Kawecki&amp;Nowack19'!A:A,'Compartments_Kawecki&amp;Nowack19'!B:B,_xlfn.XLOOKUP(L47,Compartments_Added!A:A,Compartments_Added!B:B))="Stock","OK stock","OK flow"),IF(_xlfn.XLOOKUP(L47,'Compartments_Kawecki&amp;Nowack19'!A:A,'Compartments_Kawecki&amp;Nowack19'!B:B,_xlfn.XLOOKUP(L47,Compartments_Added!A:A,Compartments_Added!B:B))="Sink","OK, Sink","Missing"))</f>
        <v>OK stock</v>
      </c>
      <c r="N47" s="6"/>
      <c r="O47" s="6" t="str">
        <f>Lifetimes_pairs!A45</f>
        <v>Wall paint (DIY) outdoor (discarded)</v>
      </c>
      <c r="P47" s="6" t="str">
        <f>Lifetimes_pairs!B45</f>
        <v>WallPaintDiyOutDis</v>
      </c>
      <c r="Q47" t="str">
        <f>Lifetimes!AZ1</f>
        <v>ConcreteProfOutIU</v>
      </c>
      <c r="R47" t="str">
        <f t="shared" si="2"/>
        <v>OK</v>
      </c>
      <c r="AA47" s="508" t="s">
        <v>1753</v>
      </c>
    </row>
    <row r="48" spans="10:27">
      <c r="J48" s="298" t="str">
        <v>Collected organic waste</v>
      </c>
      <c r="K48" s="303" t="str">
        <f>IF(ISBLANK(J48),"",IF(COUNTIF(L:L,J48),IF(_xlfn.XLOOKUP(J48,'Compartments_Kawecki&amp;Nowack19'!A:A,'Compartments_Kawecki&amp;Nowack19'!B:B,_xlfn.XLOOKUP(J48,Compartments_Added!A:A,Compartments_Added!B:B))="Stock","OK stock","OK flow"),IF(COUNTIF($G$4:$G$18,J48),IF(COUNTIF($E$4:$E$18,J48),"OK input","Missing"),"Missing")))</f>
        <v>OK flow</v>
      </c>
      <c r="L48" s="298" t="str">
        <v>Swimwear</v>
      </c>
      <c r="M48" s="303" t="str">
        <f>IF(COUNTIF(J:J,L48),IF(_xlfn.XLOOKUP(L48,'Compartments_Kawecki&amp;Nowack19'!A:A,'Compartments_Kawecki&amp;Nowack19'!B:B,_xlfn.XLOOKUP(L48,Compartments_Added!A:A,Compartments_Added!B:B))="Stock","OK stock","OK flow"),IF(_xlfn.XLOOKUP(L48,'Compartments_Kawecki&amp;Nowack19'!A:A,'Compartments_Kawecki&amp;Nowack19'!B:B,_xlfn.XLOOKUP(L48,Compartments_Added!A:A,Compartments_Added!B:B))="Sink","OK, Sink","Missing"))</f>
        <v>OK stock</v>
      </c>
      <c r="N48" s="6"/>
      <c r="O48" s="6" t="str">
        <f>Lifetimes_pairs!A46</f>
        <v>Wall paint (DIY) indoor applied (discarded)</v>
      </c>
      <c r="P48" s="6" t="str">
        <f>Lifetimes_pairs!B46</f>
        <v>WallPaintDiyIndoorAppliedDis</v>
      </c>
      <c r="Q48" t="str">
        <f>Lifetimes!BA1</f>
        <v>LacquerDiyInDis</v>
      </c>
      <c r="R48" t="str">
        <f t="shared" si="2"/>
        <v>OK</v>
      </c>
      <c r="AA48" s="508" t="s">
        <v>1754</v>
      </c>
    </row>
    <row r="49" spans="10:27">
      <c r="J49" s="298" t="str">
        <v>Collected organic waste (larger than 1 mm)</v>
      </c>
      <c r="K49" s="303" t="str">
        <f>IF(ISBLANK(J49),"",IF(COUNTIF(L:L,J49),IF(_xlfn.XLOOKUP(J49,'Compartments_Kawecki&amp;Nowack19'!A:A,'Compartments_Kawecki&amp;Nowack19'!B:B,_xlfn.XLOOKUP(J49,Compartments_Added!A:A,Compartments_Added!B:B))="Stock","OK stock","OK flow"),IF(COUNTIF($G$4:$G$18,J49),IF(COUNTIF($E$4:$E$18,J49),"OK input","Missing"),"Missing")))</f>
        <v>OK flow</v>
      </c>
      <c r="L49" s="298" t="str">
        <v>T-shirts</v>
      </c>
      <c r="M49" s="303" t="str">
        <f>IF(COUNTIF(J:J,L49),IF(_xlfn.XLOOKUP(L49,'Compartments_Kawecki&amp;Nowack19'!A:A,'Compartments_Kawecki&amp;Nowack19'!B:B,_xlfn.XLOOKUP(L49,Compartments_Added!A:A,Compartments_Added!B:B))="Stock","OK stock","OK flow"),IF(_xlfn.XLOOKUP(L49,'Compartments_Kawecki&amp;Nowack19'!A:A,'Compartments_Kawecki&amp;Nowack19'!B:B,_xlfn.XLOOKUP(L49,Compartments_Added!A:A,Compartments_Added!B:B))="Sink","OK, Sink","Missing"))</f>
        <v>OK stock</v>
      </c>
      <c r="N49" s="6"/>
      <c r="O49" s="6" t="str">
        <f>Lifetimes_pairs!A47</f>
        <v>Plaster (DIY) outdoor (in use)</v>
      </c>
      <c r="P49" s="6" t="str">
        <f>Lifetimes_pairs!B47</f>
        <v>PlasterDiyOutIU</v>
      </c>
      <c r="Q49" t="str">
        <f>Lifetimes!BB1</f>
        <v>LacquerDiyInIU</v>
      </c>
      <c r="R49" t="str">
        <f t="shared" si="2"/>
        <v>OK</v>
      </c>
      <c r="AA49" s="508" t="s">
        <v>1755</v>
      </c>
    </row>
    <row r="50" spans="10:27">
      <c r="J50" s="298" t="str">
        <v>Collected organic waste (smaller than 1 mm)</v>
      </c>
      <c r="K50" s="303" t="str">
        <f>IF(ISBLANK(J50),"",IF(COUNTIF(L:L,J50),IF(_xlfn.XLOOKUP(J50,'Compartments_Kawecki&amp;Nowack19'!A:A,'Compartments_Kawecki&amp;Nowack19'!B:B,_xlfn.XLOOKUP(J50,Compartments_Added!A:A,Compartments_Added!B:B))="Stock","OK stock","OK flow"),IF(COUNTIF($G$4:$G$18,J50),IF(COUNTIF($E$4:$E$18,J50),"OK input","Missing"),"Missing")))</f>
        <v>OK flow</v>
      </c>
      <c r="L50" s="298" t="str">
        <v>Underwear</v>
      </c>
      <c r="M50" s="303" t="str">
        <f>IF(COUNTIF(J:J,L50),IF(_xlfn.XLOOKUP(L50,'Compartments_Kawecki&amp;Nowack19'!A:A,'Compartments_Kawecki&amp;Nowack19'!B:B,_xlfn.XLOOKUP(L50,Compartments_Added!A:A,Compartments_Added!B:B))="Stock","OK stock","OK flow"),IF(_xlfn.XLOOKUP(L50,'Compartments_Kawecki&amp;Nowack19'!A:A,'Compartments_Kawecki&amp;Nowack19'!B:B,_xlfn.XLOOKUP(L50,Compartments_Added!A:A,Compartments_Added!B:B))="Sink","OK, Sink","Missing"))</f>
        <v>OK stock</v>
      </c>
      <c r="N50" s="6"/>
      <c r="O50" s="6" t="str">
        <f>Lifetimes_pairs!A48</f>
        <v>Plaster (DIY) indoor (in use)</v>
      </c>
      <c r="P50" s="6" t="str">
        <f>Lifetimes_pairs!B48</f>
        <v>PlasterDiyInIU</v>
      </c>
      <c r="Q50" t="str">
        <f>Lifetimes!BC1</f>
        <v>LacquerDiyOutDis</v>
      </c>
      <c r="R50" t="str">
        <f t="shared" si="2"/>
        <v>OK</v>
      </c>
      <c r="AA50" s="508" t="s">
        <v>1756</v>
      </c>
    </row>
    <row r="51" spans="10:27">
      <c r="J51" s="298" t="str">
        <v>Combined sewer overflow (macro)</v>
      </c>
      <c r="K51" s="303" t="str">
        <f>IF(ISBLANK(J51),"",IF(COUNTIF(L:L,J51),IF(_xlfn.XLOOKUP(J51,'Compartments_Kawecki&amp;Nowack19'!A:A,'Compartments_Kawecki&amp;Nowack19'!B:B,_xlfn.XLOOKUP(J51,Compartments_Added!A:A,Compartments_Added!B:B))="Stock","OK stock","OK flow"),IF(COUNTIF($G$4:$G$18,J51),IF(COUNTIF($E$4:$E$18,J51),"OK input","Missing"),"Missing")))</f>
        <v>OK flow</v>
      </c>
      <c r="L51" s="298" t="str">
        <v>Clothing indoor drying</v>
      </c>
      <c r="M51" s="303" t="str">
        <f>IF(COUNTIF(J:J,L51),IF(_xlfn.XLOOKUP(L51,'Compartments_Kawecki&amp;Nowack19'!A:A,'Compartments_Kawecki&amp;Nowack19'!B:B,_xlfn.XLOOKUP(L51,Compartments_Added!A:A,Compartments_Added!B:B))="Stock","OK stock","OK flow"),IF(_xlfn.XLOOKUP(L51,'Compartments_Kawecki&amp;Nowack19'!A:A,'Compartments_Kawecki&amp;Nowack19'!B:B,_xlfn.XLOOKUP(L51,Compartments_Added!A:A,Compartments_Added!B:B))="Sink","OK, Sink","Missing"))</f>
        <v>OK flow</v>
      </c>
      <c r="N51" s="6"/>
      <c r="O51" s="6" t="str">
        <f>Lifetimes_pairs!A49</f>
        <v>Plaster (DIY) outdoor (discarded)</v>
      </c>
      <c r="P51" s="6" t="str">
        <f>Lifetimes_pairs!B49</f>
        <v>PlasterDiyOutDis</v>
      </c>
      <c r="Q51" t="str">
        <f>Lifetimes!BD1</f>
        <v>LacquerDiyOutIU</v>
      </c>
      <c r="R51" t="str">
        <f t="shared" si="2"/>
        <v>OK</v>
      </c>
      <c r="AA51" s="508" t="s">
        <v>1757</v>
      </c>
    </row>
    <row r="52" spans="10:27">
      <c r="J52" s="298" t="str">
        <v>Combined sewer overflow (micro)</v>
      </c>
      <c r="K52" s="303" t="str">
        <f>IF(ISBLANK(J52),"",IF(COUNTIF(L:L,J52),IF(_xlfn.XLOOKUP(J52,'Compartments_Kawecki&amp;Nowack19'!A:A,'Compartments_Kawecki&amp;Nowack19'!B:B,_xlfn.XLOOKUP(J52,Compartments_Added!A:A,Compartments_Added!B:B))="Stock","OK stock","OK flow"),IF(COUNTIF($G$4:$G$18,J52),IF(COUNTIF($E$4:$E$18,J52),"OK input","Missing"),"Missing")))</f>
        <v>OK flow</v>
      </c>
      <c r="L52" s="298" t="str">
        <v>Clothing outdoor drying</v>
      </c>
      <c r="M52" s="303" t="str">
        <f>IF(COUNTIF(J:J,L52),IF(_xlfn.XLOOKUP(L52,'Compartments_Kawecki&amp;Nowack19'!A:A,'Compartments_Kawecki&amp;Nowack19'!B:B,_xlfn.XLOOKUP(L52,Compartments_Added!A:A,Compartments_Added!B:B))="Stock","OK stock","OK flow"),IF(_xlfn.XLOOKUP(L52,'Compartments_Kawecki&amp;Nowack19'!A:A,'Compartments_Kawecki&amp;Nowack19'!B:B,_xlfn.XLOOKUP(L52,Compartments_Added!A:A,Compartments_Added!B:B))="Sink","OK, Sink","Missing"))</f>
        <v>OK flow</v>
      </c>
      <c r="N52" s="6"/>
      <c r="O52" s="6" t="str">
        <f>Lifetimes_pairs!A50</f>
        <v>Plaster (DIY) indoor (discarded)</v>
      </c>
      <c r="P52" s="6" t="str">
        <f>Lifetimes_pairs!B50</f>
        <v>PlasterDiyInDis</v>
      </c>
      <c r="Q52" t="str">
        <f>Lifetimes!BE1</f>
        <v>LacquerProfInDis</v>
      </c>
      <c r="R52" t="str">
        <f t="shared" si="2"/>
        <v>OK</v>
      </c>
      <c r="AA52" s="508" t="s">
        <v>1758</v>
      </c>
    </row>
    <row r="53" spans="10:27">
      <c r="J53" s="298" t="str">
        <v>Compost (macro)</v>
      </c>
      <c r="K53" s="303" t="str">
        <f>IF(ISBLANK(J53),"",IF(COUNTIF(L:L,J53),IF(_xlfn.XLOOKUP(J53,'Compartments_Kawecki&amp;Nowack19'!A:A,'Compartments_Kawecki&amp;Nowack19'!B:B,_xlfn.XLOOKUP(J53,Compartments_Added!A:A,Compartments_Added!B:B))="Stock","OK stock","OK flow"),IF(COUNTIF($G$4:$G$18,J53),IF(COUNTIF($E$4:$E$18,J53),"OK input","Missing"),"Missing")))</f>
        <v>OK flow</v>
      </c>
      <c r="L53" s="298" t="str">
        <v>Clothing drying VTD</v>
      </c>
      <c r="M53" s="303" t="str">
        <f>IF(COUNTIF(J:J,L53),IF(_xlfn.XLOOKUP(L53,'Compartments_Kawecki&amp;Nowack19'!A:A,'Compartments_Kawecki&amp;Nowack19'!B:B,_xlfn.XLOOKUP(L53,Compartments_Added!A:A,Compartments_Added!B:B))="Stock","OK stock","OK flow"),IF(_xlfn.XLOOKUP(L53,'Compartments_Kawecki&amp;Nowack19'!A:A,'Compartments_Kawecki&amp;Nowack19'!B:B,_xlfn.XLOOKUP(L53,Compartments_Added!A:A,Compartments_Added!B:B))="Sink","OK, Sink","Missing"))</f>
        <v>OK flow</v>
      </c>
      <c r="N53" s="6"/>
      <c r="O53" s="6" t="str">
        <f>Lifetimes_pairs!A51</f>
        <v>Other paint uses (DIY) outdoor (in use)</v>
      </c>
      <c r="P53" s="6" t="str">
        <f>Lifetimes_pairs!B51</f>
        <v>OtherPaintUsesDiyOutIU</v>
      </c>
      <c r="Q53" t="str">
        <f>Lifetimes!BF1</f>
        <v>LacquerProfInIU</v>
      </c>
      <c r="R53" t="str">
        <f t="shared" si="2"/>
        <v>OK</v>
      </c>
      <c r="AA53" s="508" t="s">
        <v>1759</v>
      </c>
    </row>
    <row r="54" spans="10:27">
      <c r="J54" s="298" t="str">
        <v>Compost (micro)</v>
      </c>
      <c r="K54" s="303" t="str">
        <f>IF(ISBLANK(J54),"",IF(COUNTIF(L:L,J54),IF(_xlfn.XLOOKUP(J54,'Compartments_Kawecki&amp;Nowack19'!A:A,'Compartments_Kawecki&amp;Nowack19'!B:B,_xlfn.XLOOKUP(J54,Compartments_Added!A:A,Compartments_Added!B:B))="Stock","OK stock","OK flow"),IF(COUNTIF($G$4:$G$18,J54),IF(COUNTIF($E$4:$E$18,J54),"OK input","Missing"),"Missing")))</f>
        <v>OK flow</v>
      </c>
      <c r="L54" s="298" t="str">
        <v>Clothing drying CHPTD</v>
      </c>
      <c r="M54" s="303" t="str">
        <f>IF(COUNTIF(J:J,L54),IF(_xlfn.XLOOKUP(L54,'Compartments_Kawecki&amp;Nowack19'!A:A,'Compartments_Kawecki&amp;Nowack19'!B:B,_xlfn.XLOOKUP(L54,Compartments_Added!A:A,Compartments_Added!B:B))="Stock","OK stock","OK flow"),IF(_xlfn.XLOOKUP(L54,'Compartments_Kawecki&amp;Nowack19'!A:A,'Compartments_Kawecki&amp;Nowack19'!B:B,_xlfn.XLOOKUP(L54,Compartments_Added!A:A,Compartments_Added!B:B))="Sink","OK, Sink","Missing"))</f>
        <v>OK flow</v>
      </c>
      <c r="N54" s="6"/>
      <c r="O54" s="6" t="str">
        <f>Lifetimes_pairs!A52</f>
        <v>Other paint uses (DIY) indoor (in use)</v>
      </c>
      <c r="P54" s="6" t="str">
        <f>Lifetimes_pairs!B52</f>
        <v>OtherPaintUsesDiyInIU</v>
      </c>
      <c r="Q54" t="str">
        <f>Lifetimes!BG1</f>
        <v>LacquerProfOutDis</v>
      </c>
      <c r="R54" t="str">
        <f t="shared" si="2"/>
        <v>OK</v>
      </c>
      <c r="AA54" s="508" t="s">
        <v>1760</v>
      </c>
    </row>
    <row r="55" spans="10:27">
      <c r="J55" s="298" t="str">
        <v>Compost size separation (fictional process)</v>
      </c>
      <c r="K55" s="303" t="str">
        <f>IF(ISBLANK(J55),"",IF(COUNTIF(L:L,J55),IF(_xlfn.XLOOKUP(J55,'Compartments_Kawecki&amp;Nowack19'!A:A,'Compartments_Kawecki&amp;Nowack19'!B:B,_xlfn.XLOOKUP(J55,Compartments_Added!A:A,Compartments_Added!B:B))="Stock","OK stock","OK flow"),IF(COUNTIF($G$4:$G$18,J55),IF(COUNTIF($E$4:$E$18,J55),"OK input","Missing"),"Missing")))</f>
        <v>OK flow</v>
      </c>
      <c r="L55" s="298" t="str">
        <v>Clothing drying CHETD</v>
      </c>
      <c r="M55" s="303" t="str">
        <f>IF(COUNTIF(J:J,L55),IF(_xlfn.XLOOKUP(L55,'Compartments_Kawecki&amp;Nowack19'!A:A,'Compartments_Kawecki&amp;Nowack19'!B:B,_xlfn.XLOOKUP(L55,Compartments_Added!A:A,Compartments_Added!B:B))="Stock","OK stock","OK flow"),IF(_xlfn.XLOOKUP(L55,'Compartments_Kawecki&amp;Nowack19'!A:A,'Compartments_Kawecki&amp;Nowack19'!B:B,_xlfn.XLOOKUP(L55,Compartments_Added!A:A,Compartments_Added!B:B))="Sink","OK, Sink","Missing"))</f>
        <v>OK flow</v>
      </c>
      <c r="N55" s="6"/>
      <c r="O55" s="6" t="str">
        <f>Lifetimes_pairs!A53</f>
        <v>Other paint uses (DIY) outdoor (discarded)</v>
      </c>
      <c r="P55" s="6" t="str">
        <f>Lifetimes_pairs!B53</f>
        <v>OtherPaintUsesDiyOutDis</v>
      </c>
      <c r="Q55" t="str">
        <f>Lifetimes!BH1</f>
        <v>LacquerProfOutIU</v>
      </c>
      <c r="R55" t="str">
        <f t="shared" si="2"/>
        <v>OK</v>
      </c>
      <c r="AA55" s="508" t="s">
        <v>1761</v>
      </c>
    </row>
    <row r="56" spans="10:27">
      <c r="J56" s="298" t="str">
        <v>Concrete paint (prof)</v>
      </c>
      <c r="K56" s="303" t="str">
        <f>IF(ISBLANK(J56),"",IF(COUNTIF(L:L,J56),IF(_xlfn.XLOOKUP(J56,'Compartments_Kawecki&amp;Nowack19'!A:A,'Compartments_Kawecki&amp;Nowack19'!B:B,_xlfn.XLOOKUP(J56,Compartments_Added!A:A,Compartments_Added!B:B))="Stock","OK stock","OK flow"),IF(COUNTIF($G$4:$G$18,J56),IF(COUNTIF($E$4:$E$18,J56),"OK input","Missing"),"Missing")))</f>
        <v>OK flow</v>
      </c>
      <c r="L56" s="298" t="str">
        <v>Clothing washer-dryer combo</v>
      </c>
      <c r="M56" s="303" t="str">
        <f>IF(COUNTIF(J:J,L56),IF(_xlfn.XLOOKUP(L56,'Compartments_Kawecki&amp;Nowack19'!A:A,'Compartments_Kawecki&amp;Nowack19'!B:B,_xlfn.XLOOKUP(L56,Compartments_Added!A:A,Compartments_Added!B:B))="Stock","OK stock","OK flow"),IF(_xlfn.XLOOKUP(L56,'Compartments_Kawecki&amp;Nowack19'!A:A,'Compartments_Kawecki&amp;Nowack19'!B:B,_xlfn.XLOOKUP(L56,Compartments_Added!A:A,Compartments_Added!B:B))="Sink","OK, Sink","Missing"))</f>
        <v>OK flow</v>
      </c>
      <c r="N56" s="6"/>
      <c r="O56" s="6" t="str">
        <f>Lifetimes_pairs!A54</f>
        <v>Other paint uses (DIY) indoor (discarded)</v>
      </c>
      <c r="P56" s="6" t="str">
        <f>Lifetimes_pairs!B54</f>
        <v>OtherPaintUsesDiyInDis</v>
      </c>
      <c r="Q56" t="str">
        <f>Lifetimes!BI1</f>
        <v>OtherPaintUsesDiyInDis</v>
      </c>
      <c r="R56" t="str">
        <f t="shared" si="2"/>
        <v>OK</v>
      </c>
      <c r="AA56" s="508" t="s">
        <v>1762</v>
      </c>
    </row>
    <row r="57" spans="10:27">
      <c r="J57" s="298" t="str">
        <v>Concrete paint (prof) indoor</v>
      </c>
      <c r="K57" s="303" t="str">
        <f>IF(ISBLANK(J57),"",IF(COUNTIF(L:L,J57),IF(_xlfn.XLOOKUP(J57,'Compartments_Kawecki&amp;Nowack19'!A:A,'Compartments_Kawecki&amp;Nowack19'!B:B,_xlfn.XLOOKUP(J57,Compartments_Added!A:A,Compartments_Added!B:B))="Stock","OK stock","OK flow"),IF(COUNTIF($G$4:$G$18,J57),IF(COUNTIF($E$4:$E$18,J57),"OK input","Missing"),"Missing")))</f>
        <v>OK flow</v>
      </c>
      <c r="L57" s="298" t="str">
        <v>Lint filter (CHETD)</v>
      </c>
      <c r="M57" s="303" t="str">
        <f>IF(COUNTIF(J:J,L57),IF(_xlfn.XLOOKUP(L57,'Compartments_Kawecki&amp;Nowack19'!A:A,'Compartments_Kawecki&amp;Nowack19'!B:B,_xlfn.XLOOKUP(L57,Compartments_Added!A:A,Compartments_Added!B:B))="Stock","OK stock","OK flow"),IF(_xlfn.XLOOKUP(L57,'Compartments_Kawecki&amp;Nowack19'!A:A,'Compartments_Kawecki&amp;Nowack19'!B:B,_xlfn.XLOOKUP(L57,Compartments_Added!A:A,Compartments_Added!B:B))="Sink","OK, Sink","Missing"))</f>
        <v>OK flow</v>
      </c>
      <c r="N57" s="6"/>
      <c r="O57" s="6" t="str">
        <f>Lifetimes_pairs!A55</f>
        <v>Agricultural pipes (in use)</v>
      </c>
      <c r="P57" s="6" t="str">
        <f>Lifetimes_pairs!B55</f>
        <v>AgriculturalPipesIU</v>
      </c>
      <c r="Q57" t="str">
        <f>Lifetimes!BJ1</f>
        <v>OtherPaintUsesDiyInIU</v>
      </c>
      <c r="R57" t="str">
        <f t="shared" si="2"/>
        <v>OK</v>
      </c>
      <c r="AA57" s="508" t="s">
        <v>1763</v>
      </c>
    </row>
    <row r="58" spans="10:27">
      <c r="J58" s="298" t="str">
        <v>Concrete paint (prof) indoor (discarded)</v>
      </c>
      <c r="K58" s="303" t="str">
        <f>IF(ISBLANK(J58),"",IF(COUNTIF(L:L,J58),IF(_xlfn.XLOOKUP(J58,'Compartments_Kawecki&amp;Nowack19'!A:A,'Compartments_Kawecki&amp;Nowack19'!B:B,_xlfn.XLOOKUP(J58,Compartments_Added!A:A,Compartments_Added!B:B))="Stock","OK stock","OK flow"),IF(COUNTIF($G$4:$G$18,J58),IF(COUNTIF($E$4:$E$18,J58),"OK input","Missing"),"Missing")))</f>
        <v>OK stock</v>
      </c>
      <c r="L58" s="298" t="str">
        <v>Lint filter (CHPTD)</v>
      </c>
      <c r="M58" s="303" t="str">
        <f>IF(COUNTIF(J:J,L58),IF(_xlfn.XLOOKUP(L58,'Compartments_Kawecki&amp;Nowack19'!A:A,'Compartments_Kawecki&amp;Nowack19'!B:B,_xlfn.XLOOKUP(L58,Compartments_Added!A:A,Compartments_Added!B:B))="Stock","OK stock","OK flow"),IF(_xlfn.XLOOKUP(L58,'Compartments_Kawecki&amp;Nowack19'!A:A,'Compartments_Kawecki&amp;Nowack19'!B:B,_xlfn.XLOOKUP(L58,Compartments_Added!A:A,Compartments_Added!B:B))="Sink","OK, Sink","Missing"))</f>
        <v>OK flow</v>
      </c>
      <c r="N58" s="6"/>
      <c r="O58" s="6" t="str">
        <f>Lifetimes_pairs!A56</f>
        <v>Agricultural greenhouse films (in use)</v>
      </c>
      <c r="P58" s="6" t="str">
        <f>Lifetimes_pairs!B56</f>
        <v>AgriculturalFilmsIU</v>
      </c>
      <c r="Q58" t="str">
        <f>Lifetimes!BK1</f>
        <v>OtherPaintUsesDiyOutDis</v>
      </c>
      <c r="R58" t="str">
        <f t="shared" si="2"/>
        <v>OK</v>
      </c>
      <c r="AA58" s="508" t="s">
        <v>1764</v>
      </c>
    </row>
    <row r="59" spans="10:27">
      <c r="J59" s="298" t="str">
        <v>Concrete paint (prof) indoor (in use)</v>
      </c>
      <c r="K59" s="303" t="str">
        <f>IF(ISBLANK(J59),"",IF(COUNTIF(L:L,J59),IF(_xlfn.XLOOKUP(J59,'Compartments_Kawecki&amp;Nowack19'!A:A,'Compartments_Kawecki&amp;Nowack19'!B:B,_xlfn.XLOOKUP(J59,Compartments_Added!A:A,Compartments_Added!B:B))="Stock","OK stock","OK flow"),IF(COUNTIF($G$4:$G$18,J59),IF(COUNTIF($E$4:$E$18,J59),"OK input","Missing"),"Missing")))</f>
        <v>OK stock</v>
      </c>
      <c r="L59" s="298" t="str">
        <v>Outdoor air (micro)</v>
      </c>
      <c r="M59" s="303" t="str">
        <f>IF(COUNTIF(J:J,L59),IF(_xlfn.XLOOKUP(L59,'Compartments_Kawecki&amp;Nowack19'!A:A,'Compartments_Kawecki&amp;Nowack19'!B:B,_xlfn.XLOOKUP(L59,Compartments_Added!A:A,Compartments_Added!B:B))="Stock","OK stock","OK flow"),IF(_xlfn.XLOOKUP(L59,'Compartments_Kawecki&amp;Nowack19'!A:A,'Compartments_Kawecki&amp;Nowack19'!B:B,_xlfn.XLOOKUP(L59,Compartments_Added!A:A,Compartments_Added!B:B))="Sink","OK, Sink","Missing"))</f>
        <v>OK, Sink</v>
      </c>
      <c r="N59" s="6"/>
      <c r="O59" s="6" t="str">
        <f>Lifetimes_pairs!A57</f>
        <v>Agricultural pipes (discarded)</v>
      </c>
      <c r="P59" s="6" t="str">
        <f>Lifetimes_pairs!B57</f>
        <v>AgriculturalPipesDis</v>
      </c>
      <c r="Q59" t="str">
        <f>Lifetimes!BL1</f>
        <v>OtherPaintUsesDiyOutIU</v>
      </c>
      <c r="R59" t="str">
        <f t="shared" si="2"/>
        <v>OK</v>
      </c>
      <c r="AA59" s="508" t="s">
        <v>1765</v>
      </c>
    </row>
    <row r="60" spans="10:27">
      <c r="J60" s="298" t="str">
        <v>Concrete paint (prof) outdoor</v>
      </c>
      <c r="K60" s="303" t="str">
        <f>IF(ISBLANK(J60),"",IF(COUNTIF(L:L,J60),IF(_xlfn.XLOOKUP(J60,'Compartments_Kawecki&amp;Nowack19'!A:A,'Compartments_Kawecki&amp;Nowack19'!B:B,_xlfn.XLOOKUP(J60,Compartments_Added!A:A,Compartments_Added!B:B))="Stock","OK stock","OK flow"),IF(COUNTIF($G$4:$G$18,J60),IF(COUNTIF($E$4:$E$18,J60),"OK input","Missing"),"Missing")))</f>
        <v>OK flow</v>
      </c>
      <c r="L60" s="298" t="str">
        <v>Lint filter (VTD)</v>
      </c>
      <c r="M60" s="303" t="str">
        <f>IF(COUNTIF(J:J,L60),IF(_xlfn.XLOOKUP(L60,'Compartments_Kawecki&amp;Nowack19'!A:A,'Compartments_Kawecki&amp;Nowack19'!B:B,_xlfn.XLOOKUP(L60,Compartments_Added!A:A,Compartments_Added!B:B))="Stock","OK stock","OK flow"),IF(_xlfn.XLOOKUP(L60,'Compartments_Kawecki&amp;Nowack19'!A:A,'Compartments_Kawecki&amp;Nowack19'!B:B,_xlfn.XLOOKUP(L60,Compartments_Added!A:A,Compartments_Added!B:B))="Sink","OK, Sink","Missing"))</f>
        <v>OK flow</v>
      </c>
      <c r="N60" s="6"/>
      <c r="O60" s="6" t="str">
        <f>Lifetimes_pairs!A58</f>
        <v>Agricultural greenhouse films (discarded)</v>
      </c>
      <c r="P60" s="6" t="str">
        <f>Lifetimes_pairs!B58</f>
        <v>AgriculturalFilmsDis</v>
      </c>
      <c r="Q60" t="str">
        <f>Lifetimes!BM1</f>
        <v>OtherPaintUsesProfInDis</v>
      </c>
      <c r="R60" t="str">
        <f t="shared" si="2"/>
        <v>OK</v>
      </c>
      <c r="AA60" s="508" t="s">
        <v>1766</v>
      </c>
    </row>
    <row r="61" spans="10:27">
      <c r="J61" s="298" t="str">
        <v>Concrete paint (prof) outdoor (discarded)</v>
      </c>
      <c r="K61" s="303" t="str">
        <f>IF(ISBLANK(J61),"",IF(COUNTIF(L:L,J61),IF(_xlfn.XLOOKUP(J61,'Compartments_Kawecki&amp;Nowack19'!A:A,'Compartments_Kawecki&amp;Nowack19'!B:B,_xlfn.XLOOKUP(J61,Compartments_Added!A:A,Compartments_Added!B:B))="Stock","OK stock","OK flow"),IF(COUNTIF($G$4:$G$18,J61),IF(COUNTIF($E$4:$E$18,J61),"OK input","Missing"),"Missing")))</f>
        <v>OK stock</v>
      </c>
      <c r="L61" s="298" t="str">
        <v>Indoor floors (micro)</v>
      </c>
      <c r="M61" s="303" t="str">
        <f>IF(COUNTIF(J:J,L61),IF(_xlfn.XLOOKUP(L61,'Compartments_Kawecki&amp;Nowack19'!A:A,'Compartments_Kawecki&amp;Nowack19'!B:B,_xlfn.XLOOKUP(L61,Compartments_Added!A:A,Compartments_Added!B:B))="Stock","OK stock","OK flow"),IF(_xlfn.XLOOKUP(L61,'Compartments_Kawecki&amp;Nowack19'!A:A,'Compartments_Kawecki&amp;Nowack19'!B:B,_xlfn.XLOOKUP(L61,Compartments_Added!A:A,Compartments_Added!B:B))="Sink","OK, Sink","Missing"))</f>
        <v>OK flow</v>
      </c>
      <c r="N61" s="6"/>
      <c r="O61" s="6" t="str">
        <f>Lifetimes_pairs!A59</f>
        <v>Clothing (discarded)</v>
      </c>
      <c r="P61" s="6" t="str">
        <f>Lifetimes_pairs!B59</f>
        <v>ClothingDis</v>
      </c>
      <c r="Q61" t="str">
        <f>Lifetimes!BN1</f>
        <v>OtherPaintUsesProfInIU</v>
      </c>
      <c r="R61" t="str">
        <f t="shared" si="2"/>
        <v>OK</v>
      </c>
      <c r="AA61" s="508" t="s">
        <v>1767</v>
      </c>
    </row>
    <row r="62" spans="10:27">
      <c r="J62" s="298" t="str">
        <v>Concrete paint (prof) outdoor (in use)</v>
      </c>
      <c r="K62" s="303" t="str">
        <f>IF(ISBLANK(J62),"",IF(COUNTIF(L:L,J62),IF(_xlfn.XLOOKUP(J62,'Compartments_Kawecki&amp;Nowack19'!A:A,'Compartments_Kawecki&amp;Nowack19'!B:B,_xlfn.XLOOKUP(J62,Compartments_Added!A:A,Compartments_Added!B:B))="Stock","OK stock","OK flow"),IF(COUNTIF($G$4:$G$18,J62),IF(COUNTIF($E$4:$E$18,J62),"OK input","Missing"),"Missing")))</f>
        <v>OK stock</v>
      </c>
      <c r="L62" s="298" t="str">
        <v>Clothing waste collection</v>
      </c>
      <c r="M62" s="303" t="str">
        <f>IF(COUNTIF(J:J,L62),IF(_xlfn.XLOOKUP(L62,'Compartments_Kawecki&amp;Nowack19'!A:A,'Compartments_Kawecki&amp;Nowack19'!B:B,_xlfn.XLOOKUP(L62,Compartments_Added!A:A,Compartments_Added!B:B))="Stock","OK stock","OK flow"),IF(_xlfn.XLOOKUP(L62,'Compartments_Kawecki&amp;Nowack19'!A:A,'Compartments_Kawecki&amp;Nowack19'!B:B,_xlfn.XLOOKUP(L62,Compartments_Added!A:A,Compartments_Added!B:B))="Sink","OK, Sink","Missing"))</f>
        <v>OK flow</v>
      </c>
      <c r="N62" s="6"/>
      <c r="O62" s="6" t="str">
        <f>Lifetimes_pairs!A60</f>
        <v>Home textiles (in use)</v>
      </c>
      <c r="P62" s="6" t="str">
        <f>Lifetimes_pairs!B60</f>
        <v>HomeTextilesIU</v>
      </c>
      <c r="Q62" t="str">
        <f>Lifetimes!BO1</f>
        <v>OtherPaintUsesProfOutDis</v>
      </c>
      <c r="R62" t="str">
        <f t="shared" si="2"/>
        <v>OK</v>
      </c>
      <c r="AA62" s="508" t="s">
        <v>1768</v>
      </c>
    </row>
    <row r="63" spans="10:27">
      <c r="J63" s="298" t="str">
        <v>Construction and demolition incinerable waste collection</v>
      </c>
      <c r="K63" s="303" t="str">
        <f>IF(ISBLANK(J63),"",IF(COUNTIF(L:L,J63),IF(_xlfn.XLOOKUP(J63,'Compartments_Kawecki&amp;Nowack19'!A:A,'Compartments_Kawecki&amp;Nowack19'!B:B,_xlfn.XLOOKUP(J63,Compartments_Added!A:A,Compartments_Added!B:B))="Stock","OK stock","OK flow"),IF(COUNTIF($G$4:$G$18,J63),IF(COUNTIF($E$4:$E$18,J63),"OK input","Missing"),"Missing")))</f>
        <v>OK flow</v>
      </c>
      <c r="L63" s="298" t="str">
        <v>Clothing wearing</v>
      </c>
      <c r="M63" s="303" t="str">
        <f>IF(COUNTIF(J:J,L63),IF(_xlfn.XLOOKUP(L63,'Compartments_Kawecki&amp;Nowack19'!A:A,'Compartments_Kawecki&amp;Nowack19'!B:B,_xlfn.XLOOKUP(L63,Compartments_Added!A:A,Compartments_Added!B:B))="Stock","OK stock","OK flow"),IF(_xlfn.XLOOKUP(L63,'Compartments_Kawecki&amp;Nowack19'!A:A,'Compartments_Kawecki&amp;Nowack19'!B:B,_xlfn.XLOOKUP(L63,Compartments_Added!A:A,Compartments_Added!B:B))="Sink","OK, Sink","Missing"))</f>
        <v>OK flow</v>
      </c>
      <c r="N63" s="6"/>
      <c r="O63" s="6" t="str">
        <f>Lifetimes_pairs!A61</f>
        <v>Home textiles (discarded)</v>
      </c>
      <c r="P63" s="6" t="str">
        <f>Lifetimes_pairs!B61</f>
        <v>HomeTextilesDis</v>
      </c>
      <c r="Q63" t="str">
        <f>Lifetimes!BP1</f>
        <v>OtherPaintUsesProfOutIU</v>
      </c>
      <c r="R63" t="str">
        <f t="shared" si="2"/>
        <v>OK</v>
      </c>
      <c r="AA63" s="508" t="s">
        <v>1769</v>
      </c>
    </row>
    <row r="64" spans="10:27">
      <c r="J64" s="298" t="str">
        <v>Consumer bags</v>
      </c>
      <c r="K64" s="303" t="str">
        <f>IF(ISBLANK(J64),"",IF(COUNTIF(L:L,J64),IF(_xlfn.XLOOKUP(J64,'Compartments_Kawecki&amp;Nowack19'!A:A,'Compartments_Kawecki&amp;Nowack19'!B:B,_xlfn.XLOOKUP(J64,Compartments_Added!A:A,Compartments_Added!B:B))="Stock","OK stock","OK flow"),IF(COUNTIF($G$4:$G$18,J64),IF(COUNTIF($E$4:$E$18,J64),"OK input","Missing"),"Missing")))</f>
        <v>OK stock</v>
      </c>
      <c r="L64" s="298" t="str">
        <v>Clothing drying</v>
      </c>
      <c r="M64" s="303" t="str">
        <f>IF(COUNTIF(J:J,L64),IF(_xlfn.XLOOKUP(L64,'Compartments_Kawecki&amp;Nowack19'!A:A,'Compartments_Kawecki&amp;Nowack19'!B:B,_xlfn.XLOOKUP(L64,Compartments_Added!A:A,Compartments_Added!B:B))="Stock","OK stock","OK flow"),IF(_xlfn.XLOOKUP(L64,'Compartments_Kawecki&amp;Nowack19'!A:A,'Compartments_Kawecki&amp;Nowack19'!B:B,_xlfn.XLOOKUP(L64,Compartments_Added!A:A,Compartments_Added!B:B))="Sink","OK, Sink","Missing"))</f>
        <v>OK flow</v>
      </c>
      <c r="N64" s="6"/>
      <c r="O64" s="6" t="str">
        <f>Lifetimes_pairs!A62</f>
        <v>Technical home textiles (in use)</v>
      </c>
      <c r="P64" s="6" t="str">
        <f>Lifetimes_pairs!B62</f>
        <v>TechHomeTextilesIU</v>
      </c>
      <c r="Q64" t="str">
        <f>Lifetimes!BQ1</f>
        <v>PaintsPreMadeWoodInDis</v>
      </c>
      <c r="R64" t="str">
        <f t="shared" si="2"/>
        <v>OK</v>
      </c>
      <c r="AA64" s="508" t="s">
        <v>1770</v>
      </c>
    </row>
    <row r="65" spans="10:27">
      <c r="J65" s="298" t="str">
        <v>Consumer bottles</v>
      </c>
      <c r="K65" s="303" t="str">
        <f>IF(ISBLANK(J65),"",IF(COUNTIF(L:L,J65),IF(_xlfn.XLOOKUP(J65,'Compartments_Kawecki&amp;Nowack19'!A:A,'Compartments_Kawecki&amp;Nowack19'!B:B,_xlfn.XLOOKUP(J65,Compartments_Added!A:A,Compartments_Added!B:B))="Stock","OK stock","OK flow"),IF(COUNTIF($G$4:$G$18,J65),IF(COUNTIF($E$4:$E$18,J65),"OK input","Missing"),"Missing")))</f>
        <v>OK stock</v>
      </c>
      <c r="L65" s="298" t="str">
        <v>Clothing washing machine (with external filter)</v>
      </c>
      <c r="M65" s="303" t="str">
        <f>IF(COUNTIF(J:J,L65),IF(_xlfn.XLOOKUP(L65,'Compartments_Kawecki&amp;Nowack19'!A:A,'Compartments_Kawecki&amp;Nowack19'!B:B,_xlfn.XLOOKUP(L65,Compartments_Added!A:A,Compartments_Added!B:B))="Stock","OK stock","OK flow"),IF(_xlfn.XLOOKUP(L65,'Compartments_Kawecki&amp;Nowack19'!A:A,'Compartments_Kawecki&amp;Nowack19'!B:B,_xlfn.XLOOKUP(L65,Compartments_Added!A:A,Compartments_Added!B:B))="Sink","OK, Sink","Missing"))</f>
        <v>OK flow</v>
      </c>
      <c r="N65" s="6"/>
      <c r="O65" s="6" t="str">
        <f>Lifetimes_pairs!A63</f>
        <v>Technical home textiles (discarded)</v>
      </c>
      <c r="P65" s="6" t="str">
        <f>Lifetimes_pairs!B63</f>
        <v>TechHomeTextilesDis</v>
      </c>
      <c r="Q65" t="str">
        <f>Lifetimes!BR1</f>
        <v>PaintsPreMadeWoodInIU</v>
      </c>
      <c r="R65" t="str">
        <f t="shared" si="2"/>
        <v>OK</v>
      </c>
      <c r="AA65" s="508" t="s">
        <v>1771</v>
      </c>
    </row>
    <row r="66" spans="10:27">
      <c r="J66" s="298" t="str">
        <v>Consumer films</v>
      </c>
      <c r="K66" s="303" t="str">
        <f>IF(ISBLANK(J66),"",IF(COUNTIF(L:L,J66),IF(_xlfn.XLOOKUP(J66,'Compartments_Kawecki&amp;Nowack19'!A:A,'Compartments_Kawecki&amp;Nowack19'!B:B,_xlfn.XLOOKUP(J66,Compartments_Added!A:A,Compartments_Added!B:B))="Stock","OK stock","OK flow"),IF(COUNTIF($G$4:$G$18,J66),IF(COUNTIF($E$4:$E$18,J66),"OK input","Missing"),"Missing")))</f>
        <v>OK stock</v>
      </c>
      <c r="L66" s="298" t="str">
        <v>Clothing washing machine (without external filter)</v>
      </c>
      <c r="M66" s="303" t="str">
        <f>IF(COUNTIF(J:J,L66),IF(_xlfn.XLOOKUP(L66,'Compartments_Kawecki&amp;Nowack19'!A:A,'Compartments_Kawecki&amp;Nowack19'!B:B,_xlfn.XLOOKUP(L66,Compartments_Added!A:A,Compartments_Added!B:B))="Stock","OK stock","OK flow"),IF(_xlfn.XLOOKUP(L66,'Compartments_Kawecki&amp;Nowack19'!A:A,'Compartments_Kawecki&amp;Nowack19'!B:B,_xlfn.XLOOKUP(L66,Compartments_Added!A:A,Compartments_Added!B:B))="Sink","OK, Sink","Missing"))</f>
        <v>OK flow</v>
      </c>
      <c r="N66" s="6"/>
      <c r="O66" s="6" t="str">
        <f>Lifetimes_pairs!A64</f>
        <v>Building textiles (in use)</v>
      </c>
      <c r="P66" s="6" t="str">
        <f>Lifetimes_pairs!B64</f>
        <v>BuildingTextilesIU</v>
      </c>
      <c r="Q66" t="str">
        <f>Lifetimes!BS1</f>
        <v>PaintsPreMadeWoodOutDis</v>
      </c>
      <c r="R66" t="str">
        <f t="shared" si="2"/>
        <v>OK</v>
      </c>
      <c r="AA66" s="508" t="s">
        <v>1772</v>
      </c>
    </row>
    <row r="67" spans="10:27" ht="15" customHeight="1">
      <c r="J67" s="298" t="str">
        <v>Controlled release fertilizer</v>
      </c>
      <c r="K67" s="303" t="str">
        <f>IF(ISBLANK(J67),"",IF(COUNTIF(L:L,J67),IF(_xlfn.XLOOKUP(J67,'Compartments_Kawecki&amp;Nowack19'!A:A,'Compartments_Kawecki&amp;Nowack19'!B:B,_xlfn.XLOOKUP(J67,Compartments_Added!A:A,Compartments_Added!B:B))="Stock","OK stock","OK flow"),IF(COUNTIF($G$4:$G$18,J67),IF(COUNTIF($E$4:$E$18,J67),"OK input","Missing"),"Missing")))</f>
        <v>OK flow</v>
      </c>
      <c r="L67" s="298" t="str">
        <v>Clothing washing by hand</v>
      </c>
      <c r="M67" s="303" t="str">
        <f>IF(COUNTIF(J:J,L67),IF(_xlfn.XLOOKUP(L67,'Compartments_Kawecki&amp;Nowack19'!A:A,'Compartments_Kawecki&amp;Nowack19'!B:B,_xlfn.XLOOKUP(L67,Compartments_Added!A:A,Compartments_Added!B:B))="Stock","OK stock","OK flow"),IF(_xlfn.XLOOKUP(L67,'Compartments_Kawecki&amp;Nowack19'!A:A,'Compartments_Kawecki&amp;Nowack19'!B:B,_xlfn.XLOOKUP(L67,Compartments_Added!A:A,Compartments_Added!B:B))="Sink","OK, Sink","Missing"))</f>
        <v>OK flow</v>
      </c>
      <c r="N67" s="6"/>
      <c r="O67" s="6" t="str">
        <f>Lifetimes_pairs!A65</f>
        <v>Building textiles (discarded)</v>
      </c>
      <c r="P67" s="6" t="str">
        <f>Lifetimes_pairs!B65</f>
        <v>BuildingTextilesDis</v>
      </c>
      <c r="Q67" t="str">
        <f>Lifetimes!BT1</f>
        <v>PaintsPreMadeWoodOutIU</v>
      </c>
      <c r="R67" t="str">
        <f t="shared" si="2"/>
        <v>OK</v>
      </c>
      <c r="AA67" s="508" t="s">
        <v>1773</v>
      </c>
    </row>
    <row r="68" spans="10:27" ht="15" customHeight="1">
      <c r="J68" s="298" t="str">
        <v>Detergents and maintenance products</v>
      </c>
      <c r="K68" s="303" t="str">
        <f>IF(ISBLANK(J68),"",IF(COUNTIF(L:L,J68),IF(_xlfn.XLOOKUP(J68,'Compartments_Kawecki&amp;Nowack19'!A:A,'Compartments_Kawecki&amp;Nowack19'!B:B,_xlfn.XLOOKUP(J68,Compartments_Added!A:A,Compartments_Added!B:B))="Stock","OK stock","OK flow"),IF(COUNTIF($G$4:$G$18,J68),IF(COUNTIF($E$4:$E$18,J68),"OK input","Missing"),"Missing")))</f>
        <v>OK flow</v>
      </c>
      <c r="L68" s="298" t="str">
        <v>Textile reuse</v>
      </c>
      <c r="M68" s="303" t="str">
        <f>IF(COUNTIF(J:J,L68),IF(_xlfn.XLOOKUP(L68,'Compartments_Kawecki&amp;Nowack19'!A:A,'Compartments_Kawecki&amp;Nowack19'!B:B,_xlfn.XLOOKUP(L68,Compartments_Added!A:A,Compartments_Added!B:B))="Stock","OK stock","OK flow"),IF(_xlfn.XLOOKUP(L68,'Compartments_Kawecki&amp;Nowack19'!A:A,'Compartments_Kawecki&amp;Nowack19'!B:B,_xlfn.XLOOKUP(L68,Compartments_Added!A:A,Compartments_Added!B:B))="Sink","OK, Sink","Missing"))</f>
        <v>OK, Sink</v>
      </c>
      <c r="N68" s="6"/>
      <c r="O68" s="6" t="str">
        <f>Lifetimes_pairs!A66</f>
        <v>Agrotextiles (in use)</v>
      </c>
      <c r="P68" s="6" t="str">
        <f>Lifetimes_pairs!B66</f>
        <v>AgrotextilesIU</v>
      </c>
      <c r="Q68" t="str">
        <f>Lifetimes!BU1</f>
        <v>PlasterDiyInDis</v>
      </c>
      <c r="R68" t="str">
        <f t="shared" si="2"/>
        <v>OK</v>
      </c>
      <c r="AA68" s="456" t="s">
        <v>1774</v>
      </c>
    </row>
    <row r="69" spans="10:27">
      <c r="J69" s="298" t="str">
        <v>Disposable cleaning cloths</v>
      </c>
      <c r="K69" s="303" t="str">
        <f>IF(ISBLANK(J69),"",IF(COUNTIF(L:L,J69),IF(_xlfn.XLOOKUP(J69,'Compartments_Kawecki&amp;Nowack19'!A:A,'Compartments_Kawecki&amp;Nowack19'!B:B,_xlfn.XLOOKUP(J69,Compartments_Added!A:A,Compartments_Added!B:B))="Stock","OK stock","OK flow"),IF(COUNTIF($G$4:$G$18,J69),IF(COUNTIF($E$4:$E$18,J69),"OK input","Missing"),"Missing")))</f>
        <v>OK flow</v>
      </c>
      <c r="L69" s="298" t="str">
        <v>Textile recycling</v>
      </c>
      <c r="M69" s="303" t="str">
        <f>IF(COUNTIF(J:J,L69),IF(_xlfn.XLOOKUP(L69,'Compartments_Kawecki&amp;Nowack19'!A:A,'Compartments_Kawecki&amp;Nowack19'!B:B,_xlfn.XLOOKUP(L69,Compartments_Added!A:A,Compartments_Added!B:B))="Stock","OK stock","OK flow"),IF(_xlfn.XLOOKUP(L69,'Compartments_Kawecki&amp;Nowack19'!A:A,'Compartments_Kawecki&amp;Nowack19'!B:B,_xlfn.XLOOKUP(L69,Compartments_Added!A:A,Compartments_Added!B:B))="Sink","OK, Sink","Missing"))</f>
        <v>OK flow</v>
      </c>
      <c r="N69" s="6"/>
      <c r="O69" s="6" t="str">
        <f>Lifetimes_pairs!A67</f>
        <v>Agrotextiles (discarded)</v>
      </c>
      <c r="P69" s="6" t="str">
        <f>Lifetimes_pairs!B67</f>
        <v>AgrotextilesDis</v>
      </c>
      <c r="Q69" t="str">
        <f>Lifetimes!BV1</f>
        <v>PlasterDiyInIU</v>
      </c>
      <c r="R69" t="str">
        <f t="shared" ref="R69:R132" si="5">IF(COUNTIF(P:P,Q69), "OK", "Missing")</f>
        <v>OK</v>
      </c>
      <c r="AA69" s="456" t="s">
        <v>1775</v>
      </c>
    </row>
    <row r="70" spans="10:27">
      <c r="J70" s="298" t="str">
        <v>Domestic primary plastic production</v>
      </c>
      <c r="K70" s="303" t="str">
        <f>IF(ISBLANK(J70),"",IF(COUNTIF(L:L,J70),IF(_xlfn.XLOOKUP(J70,'Compartments_Kawecki&amp;Nowack19'!A:A,'Compartments_Kawecki&amp;Nowack19'!B:B,_xlfn.XLOOKUP(J70,Compartments_Added!A:A,Compartments_Added!B:B))="Stock","OK stock","OK flow"),IF(COUNTIF($G$4:$G$18,J70),IF(COUNTIF($E$4:$E$18,J70),"OK input","Missing"),"Missing")))</f>
        <v>OK input</v>
      </c>
      <c r="L70" s="298" t="str">
        <v>Export</v>
      </c>
      <c r="M70" s="303" t="str">
        <f>IF(COUNTIF(J:J,L70),IF(_xlfn.XLOOKUP(L70,'Compartments_Kawecki&amp;Nowack19'!A:A,'Compartments_Kawecki&amp;Nowack19'!B:B,_xlfn.XLOOKUP(L70,Compartments_Added!A:A,Compartments_Added!B:B))="Stock","OK stock","OK flow"),IF(_xlfn.XLOOKUP(L70,'Compartments_Kawecki&amp;Nowack19'!A:A,'Compartments_Kawecki&amp;Nowack19'!B:B,_xlfn.XLOOKUP(L70,Compartments_Added!A:A,Compartments_Added!B:B))="Sink","OK, Sink","Missing"))</f>
        <v>OK, Sink</v>
      </c>
      <c r="N70" s="6"/>
      <c r="O70" s="6" t="str">
        <f>Lifetimes_pairs!A68</f>
        <v>Geotextiles (in use)</v>
      </c>
      <c r="P70" s="6" t="str">
        <f>Lifetimes_pairs!B68</f>
        <v>GeotextilesIU</v>
      </c>
      <c r="Q70" t="str">
        <f>Lifetimes!BW1</f>
        <v>PlasterDiyOutDis</v>
      </c>
      <c r="R70" t="str">
        <f t="shared" si="5"/>
        <v>OK</v>
      </c>
      <c r="AA70" s="456" t="s">
        <v>1776</v>
      </c>
    </row>
    <row r="71" spans="10:27">
      <c r="J71" s="298" t="str">
        <v>Dresses skirts and jumpsuits</v>
      </c>
      <c r="K71" s="303" t="str">
        <f>IF(ISBLANK(J71),"",IF(COUNTIF(L:L,J71),IF(_xlfn.XLOOKUP(J71,'Compartments_Kawecki&amp;Nowack19'!A:A,'Compartments_Kawecki&amp;Nowack19'!B:B,_xlfn.XLOOKUP(J71,Compartments_Added!A:A,Compartments_Added!B:B))="Stock","OK stock","OK flow"),IF(COUNTIF($G$4:$G$18,J71),IF(COUNTIF($E$4:$E$18,J71),"OK input","Missing"),"Missing")))</f>
        <v>OK stock</v>
      </c>
      <c r="L71" s="298" t="str">
        <v>Collected organic waste (larger than 1 mm)</v>
      </c>
      <c r="M71" s="303" t="str">
        <f>IF(COUNTIF(J:J,L71),IF(_xlfn.XLOOKUP(L71,'Compartments_Kawecki&amp;Nowack19'!A:A,'Compartments_Kawecki&amp;Nowack19'!B:B,_xlfn.XLOOKUP(L71,Compartments_Added!A:A,Compartments_Added!B:B))="Stock","OK stock","OK flow"),IF(_xlfn.XLOOKUP(L71,'Compartments_Kawecki&amp;Nowack19'!A:A,'Compartments_Kawecki&amp;Nowack19'!B:B,_xlfn.XLOOKUP(L71,Compartments_Added!A:A,Compartments_Added!B:B))="Sink","OK, Sink","Missing"))</f>
        <v>OK flow</v>
      </c>
      <c r="N71" s="6"/>
      <c r="O71" s="6" t="str">
        <f>Lifetimes_pairs!A69</f>
        <v>Geotextiles (discarded)</v>
      </c>
      <c r="P71" s="6" t="str">
        <f>Lifetimes_pairs!B69</f>
        <v>GeotextilesDis</v>
      </c>
      <c r="Q71" t="str">
        <f>Lifetimes!BX1</f>
        <v>PlasterDiyOutIU</v>
      </c>
      <c r="R71" t="str">
        <f t="shared" si="5"/>
        <v>OK</v>
      </c>
      <c r="AA71" s="456" t="s">
        <v>1777</v>
      </c>
    </row>
    <row r="72" spans="10:27">
      <c r="J72" s="298" t="str">
        <v>Dumping</v>
      </c>
      <c r="K72" s="303" t="str">
        <f>IF(ISBLANK(J72),"",IF(COUNTIF(L:L,J72),IF(_xlfn.XLOOKUP(J72,'Compartments_Kawecki&amp;Nowack19'!A:A,'Compartments_Kawecki&amp;Nowack19'!B:B,_xlfn.XLOOKUP(J72,Compartments_Added!A:A,Compartments_Added!B:B))="Stock","OK stock","OK flow"),IF(COUNTIF($G$4:$G$18,J72),IF(COUNTIF($E$4:$E$18,J72),"OK input","Missing"),"Missing")))</f>
        <v>OK flow</v>
      </c>
      <c r="L72" s="298" t="str">
        <v>Collected organic waste (smaller than 1 mm)</v>
      </c>
      <c r="M72" s="303" t="str">
        <f>IF(COUNTIF(J:J,L72),IF(_xlfn.XLOOKUP(L72,'Compartments_Kawecki&amp;Nowack19'!A:A,'Compartments_Kawecki&amp;Nowack19'!B:B,_xlfn.XLOOKUP(L72,Compartments_Added!A:A,Compartments_Added!B:B))="Stock","OK stock","OK flow"),IF(_xlfn.XLOOKUP(L72,'Compartments_Kawecki&amp;Nowack19'!A:A,'Compartments_Kawecki&amp;Nowack19'!B:B,_xlfn.XLOOKUP(L72,Compartments_Added!A:A,Compartments_Added!B:B))="Sink","OK, Sink","Missing"))</f>
        <v>OK flow</v>
      </c>
      <c r="N72" s="6"/>
      <c r="O72" s="6" t="str">
        <f>Lifetimes_pairs!A70</f>
        <v>Textile coating (in use)</v>
      </c>
      <c r="P72" s="6" t="str">
        <f>Lifetimes_pairs!B70</f>
        <v>TextileCoatingIU</v>
      </c>
      <c r="Q72" t="str">
        <f>Lifetimes!BY1</f>
        <v>PlasterProfInDis</v>
      </c>
      <c r="R72" t="str">
        <f t="shared" si="5"/>
        <v>OK</v>
      </c>
      <c r="AA72" s="456" t="s">
        <v>1778</v>
      </c>
    </row>
    <row r="73" spans="10:27">
      <c r="J73" s="298" t="str">
        <v>ELV textiles collection</v>
      </c>
      <c r="K73" s="303" t="str">
        <f>IF(ISBLANK(J73),"",IF(COUNTIF(L:L,J73),IF(_xlfn.XLOOKUP(J73,'Compartments_Kawecki&amp;Nowack19'!A:A,'Compartments_Kawecki&amp;Nowack19'!B:B,_xlfn.XLOOKUP(J73,Compartments_Added!A:A,Compartments_Added!B:B))="Stock","OK stock","OK flow"),IF(COUNTIF($G$4:$G$18,J73),IF(COUNTIF($E$4:$E$18,J73),"OK input","Missing"),"Missing")))</f>
        <v>OK flow</v>
      </c>
      <c r="L73" s="298" t="str">
        <v>Compost size separation (fictional process)</v>
      </c>
      <c r="M73" s="303" t="str">
        <f>IF(COUNTIF(J:J,L73),IF(_xlfn.XLOOKUP(L73,'Compartments_Kawecki&amp;Nowack19'!A:A,'Compartments_Kawecki&amp;Nowack19'!B:B,_xlfn.XLOOKUP(L73,Compartments_Added!A:A,Compartments_Added!B:B))="Stock","OK stock","OK flow"),IF(_xlfn.XLOOKUP(L73,'Compartments_Kawecki&amp;Nowack19'!A:A,'Compartments_Kawecki&amp;Nowack19'!B:B,_xlfn.XLOOKUP(L73,Compartments_Added!A:A,Compartments_Added!B:B))="Sink","OK, Sink","Missing"))</f>
        <v>OK flow</v>
      </c>
      <c r="N73" s="6"/>
      <c r="O73" s="6" t="str">
        <f>Lifetimes_pairs!A71</f>
        <v>Textile coating (discarded)</v>
      </c>
      <c r="P73" s="6" t="str">
        <f>Lifetimes_pairs!B71</f>
        <v>TextileCoatingDis</v>
      </c>
      <c r="Q73" t="str">
        <f>Lifetimes!BZ1</f>
        <v>PlasterProfInIU</v>
      </c>
      <c r="R73" t="str">
        <f t="shared" si="5"/>
        <v>OK</v>
      </c>
      <c r="AA73" s="456" t="s">
        <v>1779</v>
      </c>
    </row>
    <row r="74" spans="10:27">
      <c r="J74" s="298" t="str">
        <v>Fertilizer additives</v>
      </c>
      <c r="K74" s="303" t="str">
        <f>IF(ISBLANK(J74),"",IF(COUNTIF(L:L,J74),IF(_xlfn.XLOOKUP(J74,'Compartments_Kawecki&amp;Nowack19'!A:A,'Compartments_Kawecki&amp;Nowack19'!B:B,_xlfn.XLOOKUP(J74,Compartments_Added!A:A,Compartments_Added!B:B))="Stock","OK stock","OK flow"),IF(COUNTIF($G$4:$G$18,J74),IF(COUNTIF($E$4:$E$18,J74),"OK input","Missing"),"Missing")))</f>
        <v>OK flow</v>
      </c>
      <c r="L74" s="298" t="str">
        <v>Compost (micro)</v>
      </c>
      <c r="M74" s="303" t="str">
        <f>IF(COUNTIF(J:J,L74),IF(_xlfn.XLOOKUP(L74,'Compartments_Kawecki&amp;Nowack19'!A:A,'Compartments_Kawecki&amp;Nowack19'!B:B,_xlfn.XLOOKUP(L74,Compartments_Added!A:A,Compartments_Added!B:B))="Stock","OK stock","OK flow"),IF(_xlfn.XLOOKUP(L74,'Compartments_Kawecki&amp;Nowack19'!A:A,'Compartments_Kawecki&amp;Nowack19'!B:B,_xlfn.XLOOKUP(L74,Compartments_Added!A:A,Compartments_Added!B:B))="Sink","OK, Sink","Missing"))</f>
        <v>OK flow</v>
      </c>
      <c r="N74" s="6"/>
      <c r="O74" s="6" t="str">
        <f>Lifetimes_pairs!A72</f>
        <v>Infill material sports fields (discarded)</v>
      </c>
      <c r="P74" s="6" t="str">
        <f>Lifetimes_pairs!B72</f>
        <v>InfillSportsFieldDis</v>
      </c>
      <c r="Q74" t="str">
        <f>Lifetimes!CA1</f>
        <v>PlasterProfOutDis</v>
      </c>
      <c r="R74" t="str">
        <f t="shared" si="5"/>
        <v>OK</v>
      </c>
      <c r="AA74" s="456" t="s">
        <v>1780</v>
      </c>
    </row>
    <row r="75" spans="10:27">
      <c r="J75" s="298" t="str">
        <v>Food additives</v>
      </c>
      <c r="K75" s="303" t="str">
        <f>IF(ISBLANK(J75),"",IF(COUNTIF(L:L,J75),IF(_xlfn.XLOOKUP(J75,'Compartments_Kawecki&amp;Nowack19'!A:A,'Compartments_Kawecki&amp;Nowack19'!B:B,_xlfn.XLOOKUP(J75,Compartments_Added!A:A,Compartments_Added!B:B))="Stock","OK stock","OK flow"),IF(COUNTIF($G$4:$G$18,J75),IF(COUNTIF($E$4:$E$18,J75),"OK input","Missing"),"Missing")))</f>
        <v>OK flow</v>
      </c>
      <c r="L75" s="298" t="str">
        <v>Surface water (macro)</v>
      </c>
      <c r="M75" s="303" t="str">
        <f>IF(COUNTIF(J:J,L75),IF(_xlfn.XLOOKUP(L75,'Compartments_Kawecki&amp;Nowack19'!A:A,'Compartments_Kawecki&amp;Nowack19'!B:B,_xlfn.XLOOKUP(L75,Compartments_Added!A:A,Compartments_Added!B:B))="Stock","OK stock","OK flow"),IF(_xlfn.XLOOKUP(L75,'Compartments_Kawecki&amp;Nowack19'!A:A,'Compartments_Kawecki&amp;Nowack19'!B:B,_xlfn.XLOOKUP(L75,Compartments_Added!A:A,Compartments_Added!B:B))="Sink","OK, Sink","Missing"))</f>
        <v>OK, Sink</v>
      </c>
      <c r="N75" s="6"/>
      <c r="O75" s="6" t="str">
        <f>Lifetimes_pairs!A73</f>
        <v>Infill material sports fields (in use)</v>
      </c>
      <c r="P75" s="6" t="str">
        <f>Lifetimes_pairs!B73</f>
        <v>InfillSportsFieldU</v>
      </c>
      <c r="Q75" t="str">
        <f>Lifetimes!CB1</f>
        <v>PlasterProfOutIU</v>
      </c>
      <c r="R75" t="str">
        <f t="shared" si="5"/>
        <v>OK</v>
      </c>
      <c r="AA75" s="456" t="s">
        <v>1781</v>
      </c>
    </row>
    <row r="76" spans="10:27">
      <c r="J76" s="298" t="str">
        <v>Footwear waste collection</v>
      </c>
      <c r="K76" s="303" t="str">
        <f>IF(ISBLANK(J76),"",IF(COUNTIF(L:L,J76),IF(_xlfn.XLOOKUP(J76,'Compartments_Kawecki&amp;Nowack19'!A:A,'Compartments_Kawecki&amp;Nowack19'!B:B,_xlfn.XLOOKUP(J76,Compartments_Added!A:A,Compartments_Added!B:B))="Stock","OK stock","OK flow"),IF(COUNTIF($G$4:$G$18,J76),IF(COUNTIF($E$4:$E$18,J76),"OK input","Missing"),"Missing")))</f>
        <v>OK flow</v>
      </c>
      <c r="L76" s="151" t="str">
        <v>Surface water (micro)</v>
      </c>
      <c r="M76" s="303" t="str">
        <f>IF(COUNTIF(J:J,L76),IF(_xlfn.XLOOKUP(L76,'Compartments_Kawecki&amp;Nowack19'!A:A,'Compartments_Kawecki&amp;Nowack19'!B:B,_xlfn.XLOOKUP(L76,Compartments_Added!A:A,Compartments_Added!B:B))="Stock","OK stock","OK flow"),IF(_xlfn.XLOOKUP(L76,'Compartments_Kawecki&amp;Nowack19'!A:A,'Compartments_Kawecki&amp;Nowack19'!B:B,_xlfn.XLOOKUP(L76,Compartments_Added!A:A,Compartments_Added!B:B))="Sink","OK, Sink","Missing"))</f>
        <v>OK, Sink</v>
      </c>
      <c r="N76" s="7"/>
      <c r="O76" s="6" t="str">
        <f>Lifetimes_pairs!A74</f>
        <v>Consumer bags</v>
      </c>
      <c r="P76" s="6" t="str">
        <f>Lifetimes_pairs!B74</f>
        <v>ConsumerBags</v>
      </c>
      <c r="Q76" t="str">
        <f>Lifetimes!CC1</f>
        <v>ShipProfDis</v>
      </c>
      <c r="R76" t="str">
        <f t="shared" si="5"/>
        <v>OK</v>
      </c>
      <c r="AA76" s="456" t="s">
        <v>1782</v>
      </c>
    </row>
    <row r="77" spans="10:27" ht="15" customHeight="1">
      <c r="J77" s="298" t="str">
        <v>Footwear wearing (soles)</v>
      </c>
      <c r="K77" s="303" t="str">
        <f>IF(ISBLANK(J77),"",IF(COUNTIF(L:L,J77),IF(_xlfn.XLOOKUP(J77,'Compartments_Kawecki&amp;Nowack19'!A:A,'Compartments_Kawecki&amp;Nowack19'!B:B,_xlfn.XLOOKUP(J77,Compartments_Added!A:A,Compartments_Added!B:B))="Stock","OK stock","OK flow"),IF(COUNTIF($G$4:$G$18,J77),IF(COUNTIF($E$4:$E$18,J77),"OK input","Missing"),"Missing")))</f>
        <v>OK flow</v>
      </c>
      <c r="L77" s="298" t="str">
        <v>Compost (macro)</v>
      </c>
      <c r="M77" s="303" t="str">
        <f>IF(COUNTIF(J:J,L77),IF(_xlfn.XLOOKUP(L77,'Compartments_Kawecki&amp;Nowack19'!A:A,'Compartments_Kawecki&amp;Nowack19'!B:B,_xlfn.XLOOKUP(L77,Compartments_Added!A:A,Compartments_Added!B:B))="Stock","OK stock","OK flow"),IF(_xlfn.XLOOKUP(L77,'Compartments_Kawecki&amp;Nowack19'!A:A,'Compartments_Kawecki&amp;Nowack19'!B:B,_xlfn.XLOOKUP(L77,Compartments_Added!A:A,Compartments_Added!B:B))="Sink","OK, Sink","Missing"))</f>
        <v>OK flow</v>
      </c>
      <c r="N77" s="6"/>
      <c r="O77" s="6" t="str">
        <f>Lifetimes_pairs!A75</f>
        <v>Consumer bottles</v>
      </c>
      <c r="P77" s="6" t="str">
        <f>Lifetimes_pairs!B75</f>
        <v>ConsumerBottles</v>
      </c>
      <c r="Q77" t="str">
        <f>Lifetimes!CD1</f>
        <v>ShipProfIU</v>
      </c>
      <c r="R77" t="str">
        <f t="shared" si="5"/>
        <v>OK</v>
      </c>
      <c r="AA77" s="456" t="s">
        <v>1783</v>
      </c>
    </row>
    <row r="78" spans="10:27" ht="15" customHeight="1">
      <c r="J78" s="298" t="str">
        <v>Footwear wearing (uppers)</v>
      </c>
      <c r="K78" s="303" t="str">
        <f>IF(ISBLANK(J78),"",IF(COUNTIF(L:L,J78),IF(_xlfn.XLOOKUP(J78,'Compartments_Kawecki&amp;Nowack19'!A:A,'Compartments_Kawecki&amp;Nowack19'!B:B,_xlfn.XLOOKUP(J78,Compartments_Added!A:A,Compartments_Added!B:B))="Stock","OK stock","OK flow"),IF(COUNTIF($G$4:$G$18,J78),IF(COUNTIF($E$4:$E$18,J78),"OK input","Missing"),"Missing")))</f>
        <v>OK flow</v>
      </c>
      <c r="L78" s="298" t="str">
        <v>Concrete paint (prof) outdoor</v>
      </c>
      <c r="M78" s="303" t="str">
        <f>IF(COUNTIF(J:J,L78),IF(_xlfn.XLOOKUP(L78,'Compartments_Kawecki&amp;Nowack19'!A:A,'Compartments_Kawecki&amp;Nowack19'!B:B,_xlfn.XLOOKUP(L78,Compartments_Added!A:A,Compartments_Added!B:B))="Stock","OK stock","OK flow"),IF(_xlfn.XLOOKUP(L78,'Compartments_Kawecki&amp;Nowack19'!A:A,'Compartments_Kawecki&amp;Nowack19'!B:B,_xlfn.XLOOKUP(L78,Compartments_Added!A:A,Compartments_Added!B:B))="Sink","OK, Sink","Missing"))</f>
        <v>OK flow</v>
      </c>
      <c r="N78" s="6"/>
      <c r="O78" s="6" t="str">
        <f>Lifetimes_pairs!A76</f>
        <v>Consumer films</v>
      </c>
      <c r="P78" s="6" t="str">
        <f>Lifetimes_pairs!B76</f>
        <v>ConsumerFilms</v>
      </c>
      <c r="Q78" t="str">
        <f>Lifetimes!CE1</f>
        <v>ShipDiyDis</v>
      </c>
      <c r="R78" t="str">
        <f t="shared" si="5"/>
        <v>OK</v>
      </c>
      <c r="AA78" s="456" t="s">
        <v>1784</v>
      </c>
    </row>
    <row r="79" spans="10:27" ht="15" customHeight="1">
      <c r="J79" s="298" t="str">
        <v>Geotextiles</v>
      </c>
      <c r="K79" s="303" t="str">
        <f>IF(ISBLANK(J79),"",IF(COUNTIF(L:L,J79),IF(_xlfn.XLOOKUP(J79,'Compartments_Kawecki&amp;Nowack19'!A:A,'Compartments_Kawecki&amp;Nowack19'!B:B,_xlfn.XLOOKUP(J79,Compartments_Added!A:A,Compartments_Added!B:B))="Stock","OK stock","OK flow"),IF(COUNTIF($G$4:$G$18,J79),IF(COUNTIF($E$4:$E$18,J79),"OK input","Missing"),"Missing")))</f>
        <v>OK flow</v>
      </c>
      <c r="L79" s="298" t="str">
        <v>Concrete paint (prof) indoor</v>
      </c>
      <c r="M79" s="303" t="str">
        <f>IF(COUNTIF(J:J,L79),IF(_xlfn.XLOOKUP(L79,'Compartments_Kawecki&amp;Nowack19'!A:A,'Compartments_Kawecki&amp;Nowack19'!B:B,_xlfn.XLOOKUP(L79,Compartments_Added!A:A,Compartments_Added!B:B))="Stock","OK stock","OK flow"),IF(_xlfn.XLOOKUP(L79,'Compartments_Kawecki&amp;Nowack19'!A:A,'Compartments_Kawecki&amp;Nowack19'!B:B,_xlfn.XLOOKUP(L79,Compartments_Added!A:A,Compartments_Added!B:B))="Sink","OK, Sink","Missing"))</f>
        <v>OK flow</v>
      </c>
      <c r="N79" s="6"/>
      <c r="O79" s="6" t="str">
        <f>Lifetimes_pairs!A77</f>
        <v>Non-consumer bags</v>
      </c>
      <c r="P79" s="6" t="str">
        <f>Lifetimes_pairs!B77</f>
        <v>NonConsumerBags</v>
      </c>
      <c r="Q79" t="str">
        <f>Lifetimes!CF1</f>
        <v>ShipDiyIU</v>
      </c>
      <c r="R79" t="str">
        <f t="shared" si="5"/>
        <v>OK</v>
      </c>
      <c r="AA79" s="456" t="s">
        <v>1785</v>
      </c>
    </row>
    <row r="80" spans="10:27" ht="15" customHeight="1">
      <c r="J80" s="298" t="str">
        <v>Geotextiles (discarded)</v>
      </c>
      <c r="K80" s="303" t="str">
        <f>IF(ISBLANK(J80),"",IF(COUNTIF(L:L,J80),IF(_xlfn.XLOOKUP(J80,'Compartments_Kawecki&amp;Nowack19'!A:A,'Compartments_Kawecki&amp;Nowack19'!B:B,_xlfn.XLOOKUP(J80,Compartments_Added!A:A,Compartments_Added!B:B))="Stock","OK stock","OK flow"),IF(COUNTIF($G$4:$G$18,J80),IF(COUNTIF($E$4:$E$18,J80),"OK input","Missing"),"Missing")))</f>
        <v>OK stock</v>
      </c>
      <c r="L80" s="298" t="str">
        <v>Concrete paint (prof) indoor (in use)</v>
      </c>
      <c r="M80" s="303" t="str">
        <f>IF(COUNTIF(J:J,L80),IF(_xlfn.XLOOKUP(L80,'Compartments_Kawecki&amp;Nowack19'!A:A,'Compartments_Kawecki&amp;Nowack19'!B:B,_xlfn.XLOOKUP(L80,Compartments_Added!A:A,Compartments_Added!B:B))="Stock","OK stock","OK flow"),IF(_xlfn.XLOOKUP(L80,'Compartments_Kawecki&amp;Nowack19'!A:A,'Compartments_Kawecki&amp;Nowack19'!B:B,_xlfn.XLOOKUP(L80,Compartments_Added!A:A,Compartments_Added!B:B))="Sink","OK, Sink","Missing"))</f>
        <v>OK stock</v>
      </c>
      <c r="N80" s="6"/>
      <c r="O80" s="6" t="str">
        <f>Lifetimes_pairs!A78</f>
        <v>Other consumer packaging</v>
      </c>
      <c r="P80" s="6" t="str">
        <f>Lifetimes_pairs!B78</f>
        <v>ConsumerOther</v>
      </c>
      <c r="Q80" t="str">
        <f>Lifetimes!CG1</f>
        <v>WallPaintDiyIndoorAppliedDis</v>
      </c>
      <c r="R80" t="str">
        <f t="shared" si="5"/>
        <v>OK</v>
      </c>
      <c r="AA80" t="s">
        <v>1786</v>
      </c>
    </row>
    <row r="81" spans="10:27" ht="15" customHeight="1">
      <c r="J81" s="298" t="str">
        <v>Geotextiles (in use)</v>
      </c>
      <c r="K81" s="303" t="str">
        <f>IF(ISBLANK(J81),"",IF(COUNTIF(L:L,J81),IF(_xlfn.XLOOKUP(J81,'Compartments_Kawecki&amp;Nowack19'!A:A,'Compartments_Kawecki&amp;Nowack19'!B:B,_xlfn.XLOOKUP(J81,Compartments_Added!A:A,Compartments_Added!B:B))="Stock","OK stock","OK flow"),IF(COUNTIF($G$4:$G$18,J81),IF(COUNTIF($E$4:$E$18,J81),"OK input","Missing"),"Missing")))</f>
        <v>OK stock</v>
      </c>
      <c r="L81" s="298" t="str">
        <v>Concrete paint (prof) indoor (discarded)</v>
      </c>
      <c r="M81" s="303" t="str">
        <f>IF(COUNTIF(J:J,L81),IF(_xlfn.XLOOKUP(L81,'Compartments_Kawecki&amp;Nowack19'!A:A,'Compartments_Kawecki&amp;Nowack19'!B:B,_xlfn.XLOOKUP(L81,Compartments_Added!A:A,Compartments_Added!B:B))="Stock","OK stock","OK flow"),IF(_xlfn.XLOOKUP(L81,'Compartments_Kawecki&amp;Nowack19'!A:A,'Compartments_Kawecki&amp;Nowack19'!B:B,_xlfn.XLOOKUP(L81,Compartments_Added!A:A,Compartments_Added!B:B))="Sink","OK, Sink","Missing"))</f>
        <v>OK stock</v>
      </c>
      <c r="N81" s="6"/>
      <c r="O81" s="6" t="str">
        <f>Lifetimes_pairs!A79</f>
        <v>Other non-consumer films</v>
      </c>
      <c r="P81" s="6" t="str">
        <f>Lifetimes_pairs!B79</f>
        <v>OtherNonConsumerFilms</v>
      </c>
      <c r="Q81" t="str">
        <f>Lifetimes!CH1</f>
        <v>WallPaintDiyIndoorAppliedIU</v>
      </c>
      <c r="R81" t="str">
        <f t="shared" si="5"/>
        <v>OK</v>
      </c>
      <c r="AA81" t="s">
        <v>1787</v>
      </c>
    </row>
    <row r="82" spans="10:27">
      <c r="J82" s="298" t="str">
        <v>Highway</v>
      </c>
      <c r="K82" s="303" t="str">
        <f>IF(ISBLANK(J82),"",IF(COUNTIF(L:L,J82),IF(_xlfn.XLOOKUP(J82,'Compartments_Kawecki&amp;Nowack19'!A:A,'Compartments_Kawecki&amp;Nowack19'!B:B,_xlfn.XLOOKUP(J82,Compartments_Added!A:A,Compartments_Added!B:B))="Stock","OK stock","OK flow"),IF(COUNTIF($G$4:$G$18,J82),IF(COUNTIF($E$4:$E$18,J82),"OK input","Missing"),"Missing")))</f>
        <v>OK flow</v>
      </c>
      <c r="L82" s="298" t="str">
        <v>Concrete paint (prof) outdoor (in use)</v>
      </c>
      <c r="M82" s="303" t="str">
        <f>IF(COUNTIF(J:J,L82),IF(_xlfn.XLOOKUP(L82,'Compartments_Kawecki&amp;Nowack19'!A:A,'Compartments_Kawecki&amp;Nowack19'!B:B,_xlfn.XLOOKUP(L82,Compartments_Added!A:A,Compartments_Added!B:B))="Stock","OK stock","OK flow"),IF(_xlfn.XLOOKUP(L82,'Compartments_Kawecki&amp;Nowack19'!A:A,'Compartments_Kawecki&amp;Nowack19'!B:B,_xlfn.XLOOKUP(L82,Compartments_Added!A:A,Compartments_Added!B:B))="Sink","OK, Sink","Missing"))</f>
        <v>OK stock</v>
      </c>
      <c r="N82" s="6"/>
      <c r="O82" s="6" t="str">
        <f>Lifetimes_pairs!A80</f>
        <v>Other non-consumer packaging</v>
      </c>
      <c r="P82" s="6" t="str">
        <f>Lifetimes_pairs!B80</f>
        <v>NonConsumerOther</v>
      </c>
      <c r="Q82" t="str">
        <f>Lifetimes!CI1</f>
        <v>WallPaintDiyOutDis</v>
      </c>
      <c r="R82" t="str">
        <f t="shared" si="5"/>
        <v>OK</v>
      </c>
      <c r="AA82" t="s">
        <v>1788</v>
      </c>
    </row>
    <row r="83" spans="10:27">
      <c r="J83" s="298" t="str">
        <v>Highway DAB</v>
      </c>
      <c r="K83" s="303" t="str">
        <f>IF(ISBLANK(J83),"",IF(COUNTIF(L:L,J83),IF(_xlfn.XLOOKUP(J83,'Compartments_Kawecki&amp;Nowack19'!A:A,'Compartments_Kawecki&amp;Nowack19'!B:B,_xlfn.XLOOKUP(J83,Compartments_Added!A:A,Compartments_Added!B:B))="Stock","OK stock","OK flow"),IF(COUNTIF($G$4:$G$18,J83),IF(COUNTIF($E$4:$E$18,J83),"OK input","Missing"),"Missing")))</f>
        <v>OK flow</v>
      </c>
      <c r="L83" s="298" t="str">
        <v>Concrete paint (prof) outdoor (discarded)</v>
      </c>
      <c r="M83" s="303" t="str">
        <f>IF(COUNTIF(J:J,L83),IF(_xlfn.XLOOKUP(L83,'Compartments_Kawecki&amp;Nowack19'!A:A,'Compartments_Kawecki&amp;Nowack19'!B:B,_xlfn.XLOOKUP(L83,Compartments_Added!A:A,Compartments_Added!B:B))="Stock","OK stock","OK flow"),IF(_xlfn.XLOOKUP(L83,'Compartments_Kawecki&amp;Nowack19'!A:A,'Compartments_Kawecki&amp;Nowack19'!B:B,_xlfn.XLOOKUP(L83,Compartments_Added!A:A,Compartments_Added!B:B))="Sink","OK, Sink","Missing"))</f>
        <v>OK stock</v>
      </c>
      <c r="N83" s="6"/>
      <c r="O83" s="6" t="str">
        <f>Lifetimes_pairs!A81</f>
        <v>Agricultural packaging films</v>
      </c>
      <c r="P83" s="6" t="str">
        <f>Lifetimes_pairs!B81</f>
        <v>AgriculturalPackagingFilms</v>
      </c>
      <c r="Q83" t="str">
        <f>Lifetimes!CJ1</f>
        <v>WallPaintDiyOutIU</v>
      </c>
      <c r="R83" t="str">
        <f t="shared" si="5"/>
        <v>OK</v>
      </c>
      <c r="AA83" t="s">
        <v>1789</v>
      </c>
    </row>
    <row r="84" spans="10:27">
      <c r="J84" s="298" t="str">
        <v>Highway DAB non cleaned</v>
      </c>
      <c r="K84" s="303" t="str">
        <f>IF(ISBLANK(J84),"",IF(COUNTIF(L:L,J84),IF(_xlfn.XLOOKUP(J84,'Compartments_Kawecki&amp;Nowack19'!A:A,'Compartments_Kawecki&amp;Nowack19'!B:B,_xlfn.XLOOKUP(J84,Compartments_Added!A:A,Compartments_Added!B:B))="Stock","OK stock","OK flow"),IF(COUNTIF($G$4:$G$18,J84),IF(COUNTIF($E$4:$E$18,J84),"OK input","Missing"),"Missing")))</f>
        <v>OK flow</v>
      </c>
      <c r="L84" s="298" t="str">
        <v>Litter on road sides</v>
      </c>
      <c r="M84" s="303" t="str">
        <f>IF(COUNTIF(J:J,L84),IF(_xlfn.XLOOKUP(L84,'Compartments_Kawecki&amp;Nowack19'!A:A,'Compartments_Kawecki&amp;Nowack19'!B:B,_xlfn.XLOOKUP(L84,Compartments_Added!A:A,Compartments_Added!B:B))="Stock","OK stock","OK flow"),IF(_xlfn.XLOOKUP(L84,'Compartments_Kawecki&amp;Nowack19'!A:A,'Compartments_Kawecki&amp;Nowack19'!B:B,_xlfn.XLOOKUP(L84,Compartments_Added!A:A,Compartments_Added!B:B))="Sink","OK, Sink","Missing"))</f>
        <v>OK flow</v>
      </c>
      <c r="N84" s="6"/>
      <c r="O84" s="6" t="str">
        <f>Lifetimes_pairs!A82</f>
        <v>Clothing (in use) wear &amp; tear</v>
      </c>
      <c r="P84" s="6" t="str">
        <f>Lifetimes_pairs!B82</f>
        <v>ClothingIUWearTear</v>
      </c>
      <c r="Q84" t="str">
        <f>Lifetimes!CK1</f>
        <v>WallPaintProfInDis</v>
      </c>
      <c r="R84" t="str">
        <f t="shared" si="5"/>
        <v>OK</v>
      </c>
      <c r="AA84" t="s">
        <v>1790</v>
      </c>
    </row>
    <row r="85" spans="10:27">
      <c r="J85" s="298" t="str">
        <v>Highway ZOAB</v>
      </c>
      <c r="K85" s="303" t="str">
        <f>IF(ISBLANK(J85),"",IF(COUNTIF(L:L,J85),IF(_xlfn.XLOOKUP(J85,'Compartments_Kawecki&amp;Nowack19'!A:A,'Compartments_Kawecki&amp;Nowack19'!B:B,_xlfn.XLOOKUP(J85,Compartments_Added!A:A,Compartments_Added!B:B))="Stock","OK stock","OK flow"),IF(COUNTIF($G$4:$G$18,J85),IF(COUNTIF($E$4:$E$18,J85),"OK input","Missing"),"Missing")))</f>
        <v>OK flow</v>
      </c>
      <c r="L85" s="298" t="str">
        <v>On-the-go consumption</v>
      </c>
      <c r="M85" s="303" t="str">
        <f>IF(COUNTIF(J:J,L85),IF(_xlfn.XLOOKUP(L85,'Compartments_Kawecki&amp;Nowack19'!A:A,'Compartments_Kawecki&amp;Nowack19'!B:B,_xlfn.XLOOKUP(L85,Compartments_Added!A:A,Compartments_Added!B:B))="Stock","OK stock","OK flow"),IF(_xlfn.XLOOKUP(L85,'Compartments_Kawecki&amp;Nowack19'!A:A,'Compartments_Kawecki&amp;Nowack19'!B:B,_xlfn.XLOOKUP(L85,Compartments_Added!A:A,Compartments_Added!B:B))="Sink","OK, Sink","Missing"))</f>
        <v>OK flow</v>
      </c>
      <c r="N85" s="6"/>
      <c r="O85" s="6" t="str">
        <f>Lifetimes_pairs!A83</f>
        <v>Home textiles (discarded)</v>
      </c>
      <c r="P85" s="6" t="str">
        <f>Lifetimes_pairs!B83</f>
        <v>HomeTextilesDis</v>
      </c>
      <c r="Q85" t="str">
        <f>Lifetimes!CL1</f>
        <v>WallPaintProfInIU</v>
      </c>
      <c r="R85" t="str">
        <f t="shared" si="5"/>
        <v>OK</v>
      </c>
      <c r="AA85" t="s">
        <v>1791</v>
      </c>
    </row>
    <row r="86" spans="10:27">
      <c r="J86" s="298" t="str">
        <v>Highway ZOAB non cleaned</v>
      </c>
      <c r="K86" s="303" t="str">
        <f>IF(ISBLANK(J86),"",IF(COUNTIF(L:L,J86),IF(_xlfn.XLOOKUP(J86,'Compartments_Kawecki&amp;Nowack19'!A:A,'Compartments_Kawecki&amp;Nowack19'!B:B,_xlfn.XLOOKUP(J86,Compartments_Added!A:A,Compartments_Added!B:B))="Stock","OK stock","OK flow"),IF(COUNTIF($G$4:$G$18,J86),IF(COUNTIF($E$4:$E$18,J86),"OK input","Missing"),"Missing")))</f>
        <v>OK flow</v>
      </c>
      <c r="L86" s="298" t="str">
        <v>Packaging collection</v>
      </c>
      <c r="M86" s="303" t="str">
        <f>IF(COUNTIF(J:J,L86),IF(_xlfn.XLOOKUP(L86,'Compartments_Kawecki&amp;Nowack19'!A:A,'Compartments_Kawecki&amp;Nowack19'!B:B,_xlfn.XLOOKUP(L86,Compartments_Added!A:A,Compartments_Added!B:B))="Stock","OK stock","OK flow"),IF(_xlfn.XLOOKUP(L86,'Compartments_Kawecki&amp;Nowack19'!A:A,'Compartments_Kawecki&amp;Nowack19'!B:B,_xlfn.XLOOKUP(L86,Compartments_Added!A:A,Compartments_Added!B:B))="Sink","OK, Sink","Missing"))</f>
        <v>OK flow</v>
      </c>
      <c r="N86" s="6"/>
      <c r="O86" s="6" t="str">
        <f>Lifetimes_pairs!A84</f>
        <v>Medical textiles</v>
      </c>
      <c r="P86" s="6" t="str">
        <f>Lifetimes_pairs!B84</f>
        <v>MedicalTextiles</v>
      </c>
      <c r="Q86" t="str">
        <f>Lifetimes!CM1</f>
        <v>WallPaintProfOutDis</v>
      </c>
      <c r="R86" t="str">
        <f t="shared" si="5"/>
        <v>OK</v>
      </c>
      <c r="AA86" t="s">
        <v>1792</v>
      </c>
    </row>
    <row r="87" spans="10:27">
      <c r="J87" s="298" t="str">
        <v>Home textile waste collection</v>
      </c>
      <c r="K87" s="303" t="str">
        <f>IF(ISBLANK(J87),"",IF(COUNTIF(L:L,J87),IF(_xlfn.XLOOKUP(J87,'Compartments_Kawecki&amp;Nowack19'!A:A,'Compartments_Kawecki&amp;Nowack19'!B:B,_xlfn.XLOOKUP(J87,Compartments_Added!A:A,Compartments_Added!B:B))="Stock","OK stock","OK flow"),IF(COUNTIF($G$4:$G$18,J87),IF(COUNTIF($E$4:$E$18,J87),"OK input","Missing"),"Missing")))</f>
        <v>OK flow</v>
      </c>
      <c r="L87" s="298" t="str">
        <v>Agricultural waste collection (micro)</v>
      </c>
      <c r="M87" s="303" t="str">
        <f>IF(COUNTIF(J:J,L87),IF(_xlfn.XLOOKUP(L87,'Compartments_Kawecki&amp;Nowack19'!A:A,'Compartments_Kawecki&amp;Nowack19'!B:B,_xlfn.XLOOKUP(L87,Compartments_Added!A:A,Compartments_Added!B:B))="Stock","OK stock","OK flow"),IF(_xlfn.XLOOKUP(L87,'Compartments_Kawecki&amp;Nowack19'!A:A,'Compartments_Kawecki&amp;Nowack19'!B:B,_xlfn.XLOOKUP(L87,Compartments_Added!A:A,Compartments_Added!B:B))="Sink","OK, Sink","Missing"))</f>
        <v>OK flow</v>
      </c>
      <c r="N87" s="6"/>
      <c r="O87" s="6" t="str">
        <f>Lifetimes_pairs!A85</f>
        <v>Mobility textiles</v>
      </c>
      <c r="P87" s="6" t="str">
        <f>Lifetimes_pairs!B85</f>
        <v>MobilityTextiles</v>
      </c>
      <c r="Q87" t="str">
        <f>Lifetimes!CN1</f>
        <v>WallPaintProfOutIU</v>
      </c>
      <c r="R87" t="str">
        <f t="shared" si="5"/>
        <v>OK</v>
      </c>
      <c r="AA87" t="s">
        <v>1793</v>
      </c>
    </row>
    <row r="88" spans="10:27">
      <c r="J88" s="298" t="str">
        <v>Home textiles</v>
      </c>
      <c r="K88" s="303" t="str">
        <f>IF(ISBLANK(J88),"",IF(COUNTIF(L:L,J88),IF(_xlfn.XLOOKUP(J88,'Compartments_Kawecki&amp;Nowack19'!A:A,'Compartments_Kawecki&amp;Nowack19'!B:B,_xlfn.XLOOKUP(J88,Compartments_Added!A:A,Compartments_Added!B:B))="Stock","OK stock","OK flow"),IF(COUNTIF($G$4:$G$18,J88),IF(COUNTIF($E$4:$E$18,J88),"OK input","Missing"),"Missing")))</f>
        <v>OK flow</v>
      </c>
      <c r="L88" s="298" t="str">
        <v>Transport of primary plastics</v>
      </c>
      <c r="M88" s="303" t="str">
        <f>IF(COUNTIF(J:J,L88),IF(_xlfn.XLOOKUP(L88,'Compartments_Kawecki&amp;Nowack19'!A:A,'Compartments_Kawecki&amp;Nowack19'!B:B,_xlfn.XLOOKUP(L88,Compartments_Added!A:A,Compartments_Added!B:B))="Stock","OK stock","OK flow"),IF(_xlfn.XLOOKUP(L88,'Compartments_Kawecki&amp;Nowack19'!A:A,'Compartments_Kawecki&amp;Nowack19'!B:B,_xlfn.XLOOKUP(L88,Compartments_Added!A:A,Compartments_Added!B:B))="Sink","OK, Sink","Missing"))</f>
        <v>OK flow</v>
      </c>
      <c r="N88" s="6"/>
      <c r="O88" s="6" t="str">
        <f>Lifetimes_pairs!A86</f>
        <v>Other technical textiles</v>
      </c>
      <c r="P88" s="6" t="str">
        <f>Lifetimes_pairs!B86</f>
        <v>OtherTechnicalTextiles</v>
      </c>
      <c r="Q88" t="str">
        <f>Lifetimes!CO1</f>
        <v>WoodStainDiyInDis</v>
      </c>
      <c r="R88" t="str">
        <f t="shared" si="5"/>
        <v>OK</v>
      </c>
      <c r="AA88" t="s">
        <v>1794</v>
      </c>
    </row>
    <row r="89" spans="10:27">
      <c r="J89" s="298" t="str">
        <v>Home textiles (discarded)</v>
      </c>
      <c r="K89" s="303" t="str">
        <f>IF(ISBLANK(J89),"",IF(COUNTIF(L:L,J89),IF(_xlfn.XLOOKUP(J89,'Compartments_Kawecki&amp;Nowack19'!A:A,'Compartments_Kawecki&amp;Nowack19'!B:B,_xlfn.XLOOKUP(J89,Compartments_Added!A:A,Compartments_Added!B:B))="Stock","OK stock","OK flow"),IF(COUNTIF($G$4:$G$18,J89),IF(COUNTIF($E$4:$E$18,J89),"OK input","Missing"),"Missing")))</f>
        <v>OK stock</v>
      </c>
      <c r="L89" s="298" t="str">
        <v>Pellet losses industrial plants</v>
      </c>
      <c r="M89" s="303" t="str">
        <f>IF(COUNTIF(J:J,L89),IF(_xlfn.XLOOKUP(L89,'Compartments_Kawecki&amp;Nowack19'!A:A,'Compartments_Kawecki&amp;Nowack19'!B:B,_xlfn.XLOOKUP(L89,Compartments_Added!A:A,Compartments_Added!B:B))="Stock","OK stock","OK flow"),IF(_xlfn.XLOOKUP(L89,'Compartments_Kawecki&amp;Nowack19'!A:A,'Compartments_Kawecki&amp;Nowack19'!B:B,_xlfn.XLOOKUP(L89,Compartments_Added!A:A,Compartments_Added!B:B))="Sink","OK, Sink","Missing"))</f>
        <v>OK flow</v>
      </c>
      <c r="N89" s="6"/>
      <c r="O89" s="6" t="str">
        <f>Lifetimes_pairs!A87</f>
        <v>Clothing (in use) wash &amp; dry</v>
      </c>
      <c r="P89" s="6" t="str">
        <f>Lifetimes_pairs!B87</f>
        <v>ClothingIUWashDry</v>
      </c>
      <c r="Q89" t="str">
        <f>Lifetimes!CP1</f>
        <v>WoodStainDiyInIU</v>
      </c>
      <c r="R89" t="str">
        <f t="shared" si="5"/>
        <v>OK</v>
      </c>
      <c r="AA89" t="s">
        <v>1795</v>
      </c>
    </row>
    <row r="90" spans="10:27">
      <c r="J90" s="298" t="str">
        <v>Home textiles (in use)</v>
      </c>
      <c r="K90" s="303" t="str">
        <f>IF(ISBLANK(J90),"",IF(COUNTIF(L:L,J90),IF(_xlfn.XLOOKUP(J90,'Compartments_Kawecki&amp;Nowack19'!A:A,'Compartments_Kawecki&amp;Nowack19'!B:B,_xlfn.XLOOKUP(J90,Compartments_Added!A:A,Compartments_Added!B:B))="Stock","OK stock","OK flow"),IF(COUNTIF($G$4:$G$18,J90),IF(COUNTIF($E$4:$E$18,J90),"OK input","Missing"),"Missing")))</f>
        <v>OK stock</v>
      </c>
      <c r="L90" s="298" t="str">
        <v>Clothing washed (in use)</v>
      </c>
      <c r="M90" s="303" t="str">
        <f>IF(COUNTIF(J:J,L90),IF(_xlfn.XLOOKUP(L90,'Compartments_Kawecki&amp;Nowack19'!A:A,'Compartments_Kawecki&amp;Nowack19'!B:B,_xlfn.XLOOKUP(L90,Compartments_Added!A:A,Compartments_Added!B:B))="Stock","OK stock","OK flow"),IF(_xlfn.XLOOKUP(L90,'Compartments_Kawecki&amp;Nowack19'!A:A,'Compartments_Kawecki&amp;Nowack19'!B:B,_xlfn.XLOOKUP(L90,Compartments_Added!A:A,Compartments_Added!B:B))="Sink","OK, Sink","Missing"))</f>
        <v>OK flow</v>
      </c>
      <c r="N90" s="6"/>
      <c r="O90" s="6" t="str">
        <f>Lifetimes_pairs!A88</f>
        <v>Apparel accessories</v>
      </c>
      <c r="P90" s="6" t="str">
        <f>Lifetimes_pairs!B88</f>
        <v>ClothingTwoYears</v>
      </c>
      <c r="Q90" t="str">
        <f>Lifetimes!CQ1</f>
        <v>WoodStainDiyOutDis</v>
      </c>
      <c r="R90" t="str">
        <f t="shared" si="5"/>
        <v>OK</v>
      </c>
      <c r="AA90" t="s">
        <v>1796</v>
      </c>
    </row>
    <row r="91" spans="10:27">
      <c r="J91" s="298" t="str">
        <v>Household textiles (product sector)</v>
      </c>
      <c r="K91" s="303" t="str">
        <f>IF(ISBLANK(J91),"",IF(COUNTIF(L:L,J91),IF(_xlfn.XLOOKUP(J91,'Compartments_Kawecki&amp;Nowack19'!A:A,'Compartments_Kawecki&amp;Nowack19'!B:B,_xlfn.XLOOKUP(J91,Compartments_Added!A:A,Compartments_Added!B:B))="Stock","OK stock","OK flow"),IF(COUNTIF($G$4:$G$18,J91),IF(COUNTIF($E$4:$E$18,J91),"OK input","Missing"),"Missing")))</f>
        <v>OK input</v>
      </c>
      <c r="L91" s="298" t="str">
        <v>Clothing washed (discarded)</v>
      </c>
      <c r="M91" s="303" t="str">
        <f>IF(COUNTIF(J:J,L91),IF(_xlfn.XLOOKUP(L91,'Compartments_Kawecki&amp;Nowack19'!A:A,'Compartments_Kawecki&amp;Nowack19'!B:B,_xlfn.XLOOKUP(L91,Compartments_Added!A:A,Compartments_Added!B:B))="Stock","OK stock","OK flow"),IF(_xlfn.XLOOKUP(L91,'Compartments_Kawecki&amp;Nowack19'!A:A,'Compartments_Kawecki&amp;Nowack19'!B:B,_xlfn.XLOOKUP(L91,Compartments_Added!A:A,Compartments_Added!B:B))="Sink","OK, Sink","Missing"))</f>
        <v>OK flow</v>
      </c>
      <c r="N91" s="6"/>
      <c r="O91" s="6" t="str">
        <f>Lifetimes_pairs!A89</f>
        <v>Boots</v>
      </c>
      <c r="P91" s="6" t="str">
        <f>Lifetimes_pairs!B89</f>
        <v>ClothingFiveYears</v>
      </c>
      <c r="Q91" t="str">
        <f>Lifetimes!CR1</f>
        <v>WoodStainDiyOutIU</v>
      </c>
      <c r="R91" t="str">
        <f t="shared" si="5"/>
        <v>OK</v>
      </c>
      <c r="AA91" t="s">
        <v>1797</v>
      </c>
    </row>
    <row r="92" spans="10:27">
      <c r="J92" s="298" t="str">
        <v>Import of clothing (EU)</v>
      </c>
      <c r="K92" s="303" t="str">
        <f>IF(ISBLANK(J92),"",IF(COUNTIF(L:L,J92),IF(_xlfn.XLOOKUP(J92,'Compartments_Kawecki&amp;Nowack19'!A:A,'Compartments_Kawecki&amp;Nowack19'!B:B,_xlfn.XLOOKUP(J92,Compartments_Added!A:A,Compartments_Added!B:B))="Stock","OK stock","OK flow"),IF(COUNTIF($G$4:$G$18,J92),IF(COUNTIF($E$4:$E$18,J92),"OK input","Missing"),"Missing")))</f>
        <v>Missing</v>
      </c>
      <c r="L92" s="298" t="str">
        <v>Litter in natural environments</v>
      </c>
      <c r="M92" s="303" t="str">
        <f>IF(COUNTIF(J:J,L92),IF(_xlfn.XLOOKUP(L92,'Compartments_Kawecki&amp;Nowack19'!A:A,'Compartments_Kawecki&amp;Nowack19'!B:B,_xlfn.XLOOKUP(L92,Compartments_Added!A:A,Compartments_Added!B:B))="Stock","OK stock","OK flow"),IF(_xlfn.XLOOKUP(L92,'Compartments_Kawecki&amp;Nowack19'!A:A,'Compartments_Kawecki&amp;Nowack19'!B:B,_xlfn.XLOOKUP(L92,Compartments_Added!A:A,Compartments_Added!B:B))="Sink","OK, Sink","Missing"))</f>
        <v>OK flow</v>
      </c>
      <c r="N92" s="6"/>
      <c r="O92" s="6" t="str">
        <f>Lifetimes_pairs!A90</f>
        <v>Closed-toed shoes</v>
      </c>
      <c r="P92" s="6" t="str">
        <f>Lifetimes_pairs!B90</f>
        <v>ClothingFiveYears</v>
      </c>
      <c r="Q92" t="str">
        <f>Lifetimes!CS1</f>
        <v>WoodStainProfInDis</v>
      </c>
      <c r="R92" t="str">
        <f t="shared" si="5"/>
        <v>OK</v>
      </c>
      <c r="AA92" t="s">
        <v>1798</v>
      </c>
    </row>
    <row r="93" spans="10:27">
      <c r="J93" s="298" t="str">
        <v>Import of clothing (Global)</v>
      </c>
      <c r="K93" s="303" t="str">
        <f>IF(ISBLANK(J93),"",IF(COUNTIF(L:L,J93),IF(_xlfn.XLOOKUP(J93,'Compartments_Kawecki&amp;Nowack19'!A:A,'Compartments_Kawecki&amp;Nowack19'!B:B,_xlfn.XLOOKUP(J93,Compartments_Added!A:A,Compartments_Added!B:B))="Stock","OK stock","OK flow"),IF(COUNTIF($G$4:$G$18,J93),IF(COUNTIF($E$4:$E$18,J93),"OK input","Missing"),"Missing")))</f>
        <v>OK input</v>
      </c>
      <c r="L93" s="298" t="str">
        <v>Footwear reuse</v>
      </c>
      <c r="M93" s="303" t="str">
        <f>IF(COUNTIF(J:J,L93),IF(_xlfn.XLOOKUP(L93,'Compartments_Kawecki&amp;Nowack19'!A:A,'Compartments_Kawecki&amp;Nowack19'!B:B,_xlfn.XLOOKUP(L93,Compartments_Added!A:A,Compartments_Added!B:B))="Stock","OK stock","OK flow"),IF(_xlfn.XLOOKUP(L93,'Compartments_Kawecki&amp;Nowack19'!A:A,'Compartments_Kawecki&amp;Nowack19'!B:B,_xlfn.XLOOKUP(L93,Compartments_Added!A:A,Compartments_Added!B:B))="Sink","OK, Sink","Missing"))</f>
        <v>OK, Sink</v>
      </c>
      <c r="N93" s="6"/>
      <c r="O93" s="6" t="str">
        <f>Lifetimes_pairs!A91</f>
        <v>Dresses skirts and jumpsuits</v>
      </c>
      <c r="P93" s="6" t="str">
        <f>Lifetimes_pairs!B91</f>
        <v>ClothingEightYears</v>
      </c>
      <c r="Q93" t="str">
        <f>Lifetimes!CT1</f>
        <v>WoodStainProfInIU</v>
      </c>
      <c r="R93" t="str">
        <f t="shared" si="5"/>
        <v>OK</v>
      </c>
      <c r="AA93" t="s">
        <v>1799</v>
      </c>
    </row>
    <row r="94" spans="10:27">
      <c r="J94" s="298" t="str">
        <v>Import of plastic sheets</v>
      </c>
      <c r="K94" s="303" t="str">
        <f>IF(ISBLANK(J94),"",IF(COUNTIF(L:L,J94),IF(_xlfn.XLOOKUP(J94,'Compartments_Kawecki&amp;Nowack19'!A:A,'Compartments_Kawecki&amp;Nowack19'!B:B,_xlfn.XLOOKUP(J94,Compartments_Added!A:A,Compartments_Added!B:B))="Stock","OK stock","OK flow"),IF(COUNTIF($G$4:$G$18,J94),IF(COUNTIF($E$4:$E$18,J94),"OK input","Missing"),"Missing")))</f>
        <v>Missing</v>
      </c>
      <c r="L94" s="298" t="str">
        <v>Natural soil (micro)</v>
      </c>
      <c r="M94" s="303" t="str">
        <f>IF(COUNTIF(J:J,L94),IF(_xlfn.XLOOKUP(L94,'Compartments_Kawecki&amp;Nowack19'!A:A,'Compartments_Kawecki&amp;Nowack19'!B:B,_xlfn.XLOOKUP(L94,Compartments_Added!A:A,Compartments_Added!B:B))="Stock","OK stock","OK flow"),IF(_xlfn.XLOOKUP(L94,'Compartments_Kawecki&amp;Nowack19'!A:A,'Compartments_Kawecki&amp;Nowack19'!B:B,_xlfn.XLOOKUP(L94,Compartments_Added!A:A,Compartments_Added!B:B))="Sink","OK, Sink","Missing"))</f>
        <v>OK, Sink</v>
      </c>
      <c r="N94" s="6"/>
      <c r="O94" s="6" t="str">
        <f>Lifetimes_pairs!A92</f>
        <v>Jackets and coats</v>
      </c>
      <c r="P94" s="6" t="str">
        <f>Lifetimes_pairs!B92</f>
        <v>ClothingSevenYears</v>
      </c>
      <c r="Q94" t="str">
        <f>Lifetimes!CU1</f>
        <v>WoodStainProfOutDis</v>
      </c>
      <c r="R94" t="str">
        <f t="shared" si="5"/>
        <v>OK</v>
      </c>
      <c r="AA94" t="s">
        <v>1800</v>
      </c>
    </row>
    <row r="95" spans="10:27">
      <c r="J95" s="298" t="str">
        <v>Import of primary plastics</v>
      </c>
      <c r="K95" s="303" t="str">
        <f>IF(ISBLANK(J95),"",IF(COUNTIF(L:L,J95),IF(_xlfn.XLOOKUP(J95,'Compartments_Kawecki&amp;Nowack19'!A:A,'Compartments_Kawecki&amp;Nowack19'!B:B,_xlfn.XLOOKUP(J95,Compartments_Added!A:A,Compartments_Added!B:B))="Stock","OK stock","OK flow"),IF(COUNTIF($G$4:$G$18,J95),IF(COUNTIF($E$4:$E$18,J95),"OK input","Missing"),"Missing")))</f>
        <v>OK input</v>
      </c>
      <c r="L95" s="298" t="str">
        <v>Urban roads</v>
      </c>
      <c r="M95" s="303" t="str">
        <f>IF(COUNTIF(J:J,L95),IF(_xlfn.XLOOKUP(L95,'Compartments_Kawecki&amp;Nowack19'!A:A,'Compartments_Kawecki&amp;Nowack19'!B:B,_xlfn.XLOOKUP(L95,Compartments_Added!A:A,Compartments_Added!B:B))="Stock","OK stock","OK flow"),IF(_xlfn.XLOOKUP(L95,'Compartments_Kawecki&amp;Nowack19'!A:A,'Compartments_Kawecki&amp;Nowack19'!B:B,_xlfn.XLOOKUP(L95,Compartments_Added!A:A,Compartments_Added!B:B))="Sink","OK, Sink","Missing"))</f>
        <v>OK flow</v>
      </c>
      <c r="N95" s="6"/>
      <c r="O95" s="6" t="str">
        <f>Lifetimes_pairs!A93</f>
        <v>Leggings stockings tights and socks</v>
      </c>
      <c r="P95" s="6" t="str">
        <f>Lifetimes_pairs!B93</f>
        <v>ClothingThreeYears</v>
      </c>
      <c r="Q95" t="str">
        <f>Lifetimes!CV1</f>
        <v>WoodStainProfOutIU</v>
      </c>
      <c r="R95" t="str">
        <f t="shared" si="5"/>
        <v>OK</v>
      </c>
      <c r="AA95" t="s">
        <v>1801</v>
      </c>
    </row>
    <row r="96" spans="10:27">
      <c r="J96" s="298" t="str">
        <v>Import of yarn</v>
      </c>
      <c r="K96" s="303" t="str">
        <f>IF(ISBLANK(J96),"",IF(COUNTIF(L:L,J96),IF(_xlfn.XLOOKUP(J96,'Compartments_Kawecki&amp;Nowack19'!A:A,'Compartments_Kawecki&amp;Nowack19'!B:B,_xlfn.XLOOKUP(J96,Compartments_Added!A:A,Compartments_Added!B:B))="Stock","OK stock","OK flow"),IF(COUNTIF($G$4:$G$18,J96),IF(COUNTIF($E$4:$E$18,J96),"OK input","Missing"),"Missing")))</f>
        <v>Missing</v>
      </c>
      <c r="L96" s="298" t="str">
        <v>Geotextiles (discarded)</v>
      </c>
      <c r="M96" s="303" t="str">
        <f>IF(COUNTIF(J:J,L96),IF(_xlfn.XLOOKUP(L96,'Compartments_Kawecki&amp;Nowack19'!A:A,'Compartments_Kawecki&amp;Nowack19'!B:B,_xlfn.XLOOKUP(L96,Compartments_Added!A:A,Compartments_Added!B:B))="Stock","OK stock","OK flow"),IF(_xlfn.XLOOKUP(L96,'Compartments_Kawecki&amp;Nowack19'!A:A,'Compartments_Kawecki&amp;Nowack19'!B:B,_xlfn.XLOOKUP(L96,Compartments_Added!A:A,Compartments_Added!B:B))="Sink","OK, Sink","Missing"))</f>
        <v>OK stock</v>
      </c>
      <c r="N96" s="6"/>
      <c r="O96" s="6" t="str">
        <f>Lifetimes_pairs!A94</f>
        <v>Open-toed shoes</v>
      </c>
      <c r="P96" s="6" t="str">
        <f>Lifetimes_pairs!B94</f>
        <v>ClothingFiveYears</v>
      </c>
      <c r="Q96">
        <f>Lifetimes!CW1</f>
        <v>0</v>
      </c>
      <c r="R96" t="str">
        <f t="shared" si="5"/>
        <v>OK</v>
      </c>
      <c r="AA96" t="s">
        <v>1802</v>
      </c>
    </row>
    <row r="97" spans="10:27">
      <c r="J97" s="298" t="str">
        <v>Incineration</v>
      </c>
      <c r="K97" s="303" t="str">
        <f>IF(ISBLANK(J97),"",IF(COUNTIF(L:L,J97),IF(_xlfn.XLOOKUP(J97,'Compartments_Kawecki&amp;Nowack19'!A:A,'Compartments_Kawecki&amp;Nowack19'!B:B,_xlfn.XLOOKUP(J97,Compartments_Added!A:A,Compartments_Added!B:B))="Stock","OK stock","OK flow"),IF(COUNTIF($G$4:$G$18,J97),IF(COUNTIF($E$4:$E$18,J97),"OK input","Missing"),"Missing")))</f>
        <v>OK flow</v>
      </c>
      <c r="L97" s="298" t="str">
        <v>Geotextiles (in use)</v>
      </c>
      <c r="M97" s="303" t="str">
        <f>IF(COUNTIF(J:J,L97),IF(_xlfn.XLOOKUP(L97,'Compartments_Kawecki&amp;Nowack19'!A:A,'Compartments_Kawecki&amp;Nowack19'!B:B,_xlfn.XLOOKUP(L97,Compartments_Added!A:A,Compartments_Added!B:B))="Stock","OK stock","OK flow"),IF(_xlfn.XLOOKUP(L97,'Compartments_Kawecki&amp;Nowack19'!A:A,'Compartments_Kawecki&amp;Nowack19'!B:B,_xlfn.XLOOKUP(L97,Compartments_Added!A:A,Compartments_Added!B:B))="Sink","OK, Sink","Missing"))</f>
        <v>OK stock</v>
      </c>
      <c r="N97" s="6"/>
      <c r="O97" s="6" t="str">
        <f>Lifetimes_pairs!A95</f>
        <v>Pants and shorts</v>
      </c>
      <c r="P97" s="6" t="str">
        <f>Lifetimes_pairs!B95</f>
        <v>ClothingFourYears</v>
      </c>
      <c r="Q97">
        <f>Lifetimes!CX1</f>
        <v>0</v>
      </c>
      <c r="R97" t="str">
        <f t="shared" si="5"/>
        <v>OK</v>
      </c>
      <c r="AA97" t="s">
        <v>1803</v>
      </c>
    </row>
    <row r="98" spans="10:27">
      <c r="J98" s="298" t="str">
        <v>Indoor air (micro)</v>
      </c>
      <c r="K98" s="303" t="str">
        <f>IF(ISBLANK(J98),"",IF(COUNTIF(L:L,J98),IF(_xlfn.XLOOKUP(J98,'Compartments_Kawecki&amp;Nowack19'!A:A,'Compartments_Kawecki&amp;Nowack19'!B:B,_xlfn.XLOOKUP(J98,Compartments_Added!A:A,Compartments_Added!B:B))="Stock","OK stock","OK flow"),IF(COUNTIF($G$4:$G$18,J98),IF(COUNTIF($E$4:$E$18,J98),"OK input","Missing"),"Missing")))</f>
        <v>OK flow</v>
      </c>
      <c r="L98" s="298" t="str">
        <v>Sub-surface soil (micro)</v>
      </c>
      <c r="M98" s="303" t="str">
        <f>IF(COUNTIF(J:J,L98),IF(_xlfn.XLOOKUP(L98,'Compartments_Kawecki&amp;Nowack19'!A:A,'Compartments_Kawecki&amp;Nowack19'!B:B,_xlfn.XLOOKUP(L98,Compartments_Added!A:A,Compartments_Added!B:B))="Stock","OK stock","OK flow"),IF(_xlfn.XLOOKUP(L98,'Compartments_Kawecki&amp;Nowack19'!A:A,'Compartments_Kawecki&amp;Nowack19'!B:B,_xlfn.XLOOKUP(L98,Compartments_Added!A:A,Compartments_Added!B:B))="Sink","OK, Sink","Missing"))</f>
        <v>OK, Sink</v>
      </c>
      <c r="N98" s="6"/>
      <c r="O98" s="6" t="str">
        <f>Lifetimes_pairs!A96</f>
        <v>Shirts and blouses</v>
      </c>
      <c r="P98" s="6" t="str">
        <f>Lifetimes_pairs!B96</f>
        <v>ClothingFiveYears</v>
      </c>
      <c r="Q98">
        <f>Lifetimes!CY1</f>
        <v>0</v>
      </c>
      <c r="R98" t="str">
        <f t="shared" si="5"/>
        <v>OK</v>
      </c>
      <c r="AA98" t="s">
        <v>1804</v>
      </c>
    </row>
    <row r="99" spans="10:27">
      <c r="J99" s="298" t="str">
        <v>Indoor floors (micro)</v>
      </c>
      <c r="K99" s="303" t="str">
        <f>IF(ISBLANK(J99),"",IF(COUNTIF(L:L,J99),IF(_xlfn.XLOOKUP(J99,'Compartments_Kawecki&amp;Nowack19'!A:A,'Compartments_Kawecki&amp;Nowack19'!B:B,_xlfn.XLOOKUP(J99,Compartments_Added!A:A,Compartments_Added!B:B))="Stock","OK stock","OK flow"),IF(COUNTIF($G$4:$G$18,J99),IF(COUNTIF($E$4:$E$18,J99),"OK input","Missing"),"Missing")))</f>
        <v>OK flow</v>
      </c>
      <c r="L99" s="298" t="str">
        <v>Highway DAB</v>
      </c>
      <c r="M99" s="303" t="str">
        <f>IF(COUNTIF(J:J,L99),IF(_xlfn.XLOOKUP(L99,'Compartments_Kawecki&amp;Nowack19'!A:A,'Compartments_Kawecki&amp;Nowack19'!B:B,_xlfn.XLOOKUP(L99,Compartments_Added!A:A,Compartments_Added!B:B))="Stock","OK stock","OK flow"),IF(_xlfn.XLOOKUP(L99,'Compartments_Kawecki&amp;Nowack19'!A:A,'Compartments_Kawecki&amp;Nowack19'!B:B,_xlfn.XLOOKUP(L99,Compartments_Added!A:A,Compartments_Added!B:B))="Sink","OK, Sink","Missing"))</f>
        <v>OK flow</v>
      </c>
      <c r="N99" s="6"/>
      <c r="O99" s="6" t="str">
        <f>Lifetimes_pairs!A97</f>
        <v>Sweaters and midlayers</v>
      </c>
      <c r="P99" s="6" t="str">
        <f>Lifetimes_pairs!B97</f>
        <v>ClothingSixYears</v>
      </c>
      <c r="Q99">
        <f>Lifetimes!CZ1</f>
        <v>0</v>
      </c>
      <c r="R99" t="str">
        <f t="shared" si="5"/>
        <v>OK</v>
      </c>
      <c r="AA99" t="s">
        <v>1805</v>
      </c>
    </row>
    <row r="100" spans="10:27">
      <c r="J100" s="298" t="str">
        <v>Industrial stormwater (micro)</v>
      </c>
      <c r="K100" s="303" t="str">
        <f>IF(ISBLANK(J100),"",IF(COUNTIF(L:L,J100),IF(_xlfn.XLOOKUP(J100,'Compartments_Kawecki&amp;Nowack19'!A:A,'Compartments_Kawecki&amp;Nowack19'!B:B,_xlfn.XLOOKUP(J100,Compartments_Added!A:A,Compartments_Added!B:B))="Stock","OK stock","OK flow"),IF(COUNTIF($G$4:$G$18,J100),IF(COUNTIF($E$4:$E$18,J100),"OK input","Missing"),"Missing")))</f>
        <v>OK flow</v>
      </c>
      <c r="L100" s="298" t="str">
        <v>Highway ZOAB</v>
      </c>
      <c r="M100" s="303" t="str">
        <f>IF(COUNTIF(J:J,L100),IF(_xlfn.XLOOKUP(L100,'Compartments_Kawecki&amp;Nowack19'!A:A,'Compartments_Kawecki&amp;Nowack19'!B:B,_xlfn.XLOOKUP(L100,Compartments_Added!A:A,Compartments_Added!B:B))="Stock","OK stock","OK flow"),IF(_xlfn.XLOOKUP(L100,'Compartments_Kawecki&amp;Nowack19'!A:A,'Compartments_Kawecki&amp;Nowack19'!B:B,_xlfn.XLOOKUP(L100,Compartments_Added!A:A,Compartments_Added!B:B))="Sink","OK, Sink","Missing"))</f>
        <v>OK flow</v>
      </c>
      <c r="N100" s="6"/>
      <c r="O100" s="6" t="str">
        <f>Lifetimes_pairs!A98</f>
        <v>Swimwear</v>
      </c>
      <c r="P100" s="6" t="str">
        <f>Lifetimes_pairs!B98</f>
        <v>ClothingTwoYears</v>
      </c>
      <c r="Q100">
        <f>Lifetimes!DA1</f>
        <v>0</v>
      </c>
      <c r="R100" t="str">
        <f t="shared" si="5"/>
        <v>OK</v>
      </c>
      <c r="AA100" t="s">
        <v>1806</v>
      </c>
    </row>
    <row r="101" spans="10:27">
      <c r="J101" s="298" t="str">
        <v>Infill material sports fields</v>
      </c>
      <c r="K101" s="303" t="str">
        <f>IF(ISBLANK(J101),"",IF(COUNTIF(L:L,J101),IF(_xlfn.XLOOKUP(J101,'Compartments_Kawecki&amp;Nowack19'!A:A,'Compartments_Kawecki&amp;Nowack19'!B:B,_xlfn.XLOOKUP(J101,Compartments_Added!A:A,Compartments_Added!B:B))="Stock","OK stock","OK flow"),IF(COUNTIF($G$4:$G$18,J101),IF(COUNTIF($E$4:$E$18,J101),"OK input","Missing"),"Missing")))</f>
        <v>OK flow</v>
      </c>
      <c r="L101" s="298" t="str">
        <v>Highway DAB non cleaned</v>
      </c>
      <c r="M101" s="303" t="str">
        <f>IF(COUNTIF(J:J,L101),IF(_xlfn.XLOOKUP(L101,'Compartments_Kawecki&amp;Nowack19'!A:A,'Compartments_Kawecki&amp;Nowack19'!B:B,_xlfn.XLOOKUP(L101,Compartments_Added!A:A,Compartments_Added!B:B))="Stock","OK stock","OK flow"),IF(_xlfn.XLOOKUP(L101,'Compartments_Kawecki&amp;Nowack19'!A:A,'Compartments_Kawecki&amp;Nowack19'!B:B,_xlfn.XLOOKUP(L101,Compartments_Added!A:A,Compartments_Added!B:B))="Sink","OK, Sink","Missing"))</f>
        <v>OK flow</v>
      </c>
      <c r="N101" s="6"/>
      <c r="O101" s="6" t="str">
        <f>Lifetimes_pairs!A99</f>
        <v>T-shirts</v>
      </c>
      <c r="P101" s="6" t="str">
        <f>Lifetimes_pairs!B99</f>
        <v>ClothingFiveYears</v>
      </c>
      <c r="Q101">
        <f>Lifetimes!DB1</f>
        <v>0</v>
      </c>
      <c r="R101" t="str">
        <f t="shared" si="5"/>
        <v>OK</v>
      </c>
      <c r="AA101" t="s">
        <v>1807</v>
      </c>
    </row>
    <row r="102" spans="10:27">
      <c r="J102" s="298" t="str">
        <v>Infill material sports fields (discarded)</v>
      </c>
      <c r="K102" s="303" t="str">
        <f>IF(ISBLANK(J102),"",IF(COUNTIF(L:L,J102),IF(_xlfn.XLOOKUP(J102,'Compartments_Kawecki&amp;Nowack19'!A:A,'Compartments_Kawecki&amp;Nowack19'!B:B,_xlfn.XLOOKUP(J102,Compartments_Added!A:A,Compartments_Added!B:B))="Stock","OK stock","OK flow"),IF(COUNTIF($G$4:$G$18,J102),IF(COUNTIF($E$4:$E$18,J102),"OK input","Missing"),"Missing")))</f>
        <v>OK stock</v>
      </c>
      <c r="L102" s="298" t="str">
        <v>Road cleaning</v>
      </c>
      <c r="M102" s="303" t="str">
        <f>IF(COUNTIF(J:J,L102),IF(_xlfn.XLOOKUP(L102,'Compartments_Kawecki&amp;Nowack19'!A:A,'Compartments_Kawecki&amp;Nowack19'!B:B,_xlfn.XLOOKUP(L102,Compartments_Added!A:A,Compartments_Added!B:B))="Stock","OK stock","OK flow"),IF(_xlfn.XLOOKUP(L102,'Compartments_Kawecki&amp;Nowack19'!A:A,'Compartments_Kawecki&amp;Nowack19'!B:B,_xlfn.XLOOKUP(L102,Compartments_Added!A:A,Compartments_Added!B:B))="Sink","OK, Sink","Missing"))</f>
        <v>OK flow</v>
      </c>
      <c r="N102" s="6"/>
      <c r="O102" s="6" t="str">
        <f>Lifetimes_pairs!A100</f>
        <v>Underwear</v>
      </c>
      <c r="P102" s="6" t="str">
        <f>Lifetimes_pairs!B100</f>
        <v>ClothingThreeYears</v>
      </c>
      <c r="Q102">
        <f>Lifetimes!DC1</f>
        <v>0</v>
      </c>
      <c r="R102" t="str">
        <f t="shared" si="5"/>
        <v>OK</v>
      </c>
      <c r="AA102" t="s">
        <v>1808</v>
      </c>
    </row>
    <row r="103" spans="10:27">
      <c r="J103" s="298" t="str">
        <v>Infill material sports fields (in use)</v>
      </c>
      <c r="K103" s="303" t="str">
        <f>IF(ISBLANK(J103),"",IF(COUNTIF(L:L,J103),IF(_xlfn.XLOOKUP(J103,'Compartments_Kawecki&amp;Nowack19'!A:A,'Compartments_Kawecki&amp;Nowack19'!B:B,_xlfn.XLOOKUP(J103,Compartments_Added!A:A,Compartments_Added!B:B))="Stock","OK stock","OK flow"),IF(COUNTIF($G$4:$G$18,J103),IF(COUNTIF($E$4:$E$18,J103),"OK input","Missing"),"Missing")))</f>
        <v>OK stock</v>
      </c>
      <c r="L103" s="298" t="str">
        <v>Road side soil (micro)</v>
      </c>
      <c r="M103" s="303" t="str">
        <f>IF(COUNTIF(J:J,L103),IF(_xlfn.XLOOKUP(L103,'Compartments_Kawecki&amp;Nowack19'!A:A,'Compartments_Kawecki&amp;Nowack19'!B:B,_xlfn.XLOOKUP(L103,Compartments_Added!A:A,Compartments_Added!B:B))="Stock","OK stock","OK flow"),IF(_xlfn.XLOOKUP(L103,'Compartments_Kawecki&amp;Nowack19'!A:A,'Compartments_Kawecki&amp;Nowack19'!B:B,_xlfn.XLOOKUP(L103,Compartments_Added!A:A,Compartments_Added!B:B))="Sink","OK, Sink","Missing"))</f>
        <v>OK, Sink</v>
      </c>
      <c r="N103" s="6"/>
      <c r="O103" s="6">
        <f>Lifetimes_pairs!A101</f>
        <v>0</v>
      </c>
      <c r="P103" s="6">
        <f>Lifetimes_pairs!B101</f>
        <v>0</v>
      </c>
      <c r="Q103">
        <f>Lifetimes!DD1</f>
        <v>0</v>
      </c>
      <c r="R103" t="str">
        <f t="shared" si="5"/>
        <v>OK</v>
      </c>
      <c r="AA103" t="s">
        <v>1809</v>
      </c>
    </row>
    <row r="104" spans="10:27">
      <c r="J104" s="298" t="str">
        <v>Intentionally produced microparticles</v>
      </c>
      <c r="K104" s="303" t="str">
        <f>IF(ISBLANK(J104),"",IF(COUNTIF(L:L,J104),IF(_xlfn.XLOOKUP(J104,'Compartments_Kawecki&amp;Nowack19'!A:A,'Compartments_Kawecki&amp;Nowack19'!B:B,_xlfn.XLOOKUP(J104,Compartments_Added!A:A,Compartments_Added!B:B))="Stock","OK stock","OK flow"),IF(COUNTIF($G$4:$G$18,J104),IF(COUNTIF($E$4:$E$18,J104),"OK input","Missing"),"Missing")))</f>
        <v>OK input</v>
      </c>
      <c r="L104" s="298" t="str">
        <v>Highway ZOAB non cleaned</v>
      </c>
      <c r="M104" s="303" t="str">
        <f>IF(COUNTIF(J:J,L104),IF(_xlfn.XLOOKUP(L104,'Compartments_Kawecki&amp;Nowack19'!A:A,'Compartments_Kawecki&amp;Nowack19'!B:B,_xlfn.XLOOKUP(L104,Compartments_Added!A:A,Compartments_Added!B:B))="Stock","OK stock","OK flow"),IF(_xlfn.XLOOKUP(L104,'Compartments_Kawecki&amp;Nowack19'!A:A,'Compartments_Kawecki&amp;Nowack19'!B:B,_xlfn.XLOOKUP(L104,Compartments_Added!A:A,Compartments_Added!B:B))="Sink","OK, Sink","Missing"))</f>
        <v>OK flow</v>
      </c>
      <c r="N104" s="6"/>
      <c r="O104" s="6">
        <f>Lifetimes_pairs!A102</f>
        <v>0</v>
      </c>
      <c r="P104" s="6">
        <f>Lifetimes_pairs!B102</f>
        <v>0</v>
      </c>
      <c r="Q104">
        <f>Lifetimes!DE1</f>
        <v>0</v>
      </c>
      <c r="R104" t="str">
        <f t="shared" si="5"/>
        <v>OK</v>
      </c>
      <c r="AA104" t="s">
        <v>1810</v>
      </c>
    </row>
    <row r="105" spans="10:27">
      <c r="J105" s="298" t="str">
        <v>Invitro diagnostic devices</v>
      </c>
      <c r="K105" s="303" t="str">
        <f>IF(ISBLANK(J105),"",IF(COUNTIF(L:L,J105),IF(_xlfn.XLOOKUP(J105,'Compartments_Kawecki&amp;Nowack19'!A:A,'Compartments_Kawecki&amp;Nowack19'!B:B,_xlfn.XLOOKUP(J105,Compartments_Added!A:A,Compartments_Added!B:B))="Stock","OK stock","OK flow"),IF(COUNTIF($G$4:$G$18,J105),IF(COUNTIF($E$4:$E$18,J105),"OK input","Missing"),"Missing")))</f>
        <v>OK flow</v>
      </c>
      <c r="L105" s="298" t="str">
        <v>Home textiles (discarded)</v>
      </c>
      <c r="M105" s="303" t="str">
        <f>IF(COUNTIF(J:J,L105),IF(_xlfn.XLOOKUP(L105,'Compartments_Kawecki&amp;Nowack19'!A:A,'Compartments_Kawecki&amp;Nowack19'!B:B,_xlfn.XLOOKUP(L105,Compartments_Added!A:A,Compartments_Added!B:B))="Stock","OK stock","OK flow"),IF(_xlfn.XLOOKUP(L105,'Compartments_Kawecki&amp;Nowack19'!A:A,'Compartments_Kawecki&amp;Nowack19'!B:B,_xlfn.XLOOKUP(L105,Compartments_Added!A:A,Compartments_Added!B:B))="Sink","OK, Sink","Missing"))</f>
        <v>OK stock</v>
      </c>
      <c r="N105" s="6"/>
      <c r="O105" s="6">
        <f>Lifetimes_pairs!A103</f>
        <v>0</v>
      </c>
      <c r="P105" s="6">
        <f>Lifetimes_pairs!B103</f>
        <v>0</v>
      </c>
      <c r="Q105">
        <f>Lifetimes!DF1</f>
        <v>0</v>
      </c>
      <c r="R105" t="str">
        <f t="shared" si="5"/>
        <v>OK</v>
      </c>
      <c r="AA105" t="s">
        <v>1811</v>
      </c>
    </row>
    <row r="106" spans="10:27">
      <c r="J106" s="298" t="str">
        <v>Jackets and coats</v>
      </c>
      <c r="K106" s="303" t="str">
        <f>IF(ISBLANK(J106),"",IF(COUNTIF(L:L,J106),IF(_xlfn.XLOOKUP(J106,'Compartments_Kawecki&amp;Nowack19'!A:A,'Compartments_Kawecki&amp;Nowack19'!B:B,_xlfn.XLOOKUP(J106,Compartments_Added!A:A,Compartments_Added!B:B))="Stock","OK stock","OK flow"),IF(COUNTIF($G$4:$G$18,J106),IF(COUNTIF($E$4:$E$18,J106),"OK input","Missing"),"Missing")))</f>
        <v>OK stock</v>
      </c>
      <c r="L106" s="298" t="str">
        <v>Home textiles (in use)</v>
      </c>
      <c r="M106" s="303" t="str">
        <f>IF(COUNTIF(J:J,L106),IF(_xlfn.XLOOKUP(L106,'Compartments_Kawecki&amp;Nowack19'!A:A,'Compartments_Kawecki&amp;Nowack19'!B:B,_xlfn.XLOOKUP(L106,Compartments_Added!A:A,Compartments_Added!B:B))="Stock","OK stock","OK flow"),IF(_xlfn.XLOOKUP(L106,'Compartments_Kawecki&amp;Nowack19'!A:A,'Compartments_Kawecki&amp;Nowack19'!B:B,_xlfn.XLOOKUP(L106,Compartments_Added!A:A,Compartments_Added!B:B))="Sink","OK, Sink","Missing"))</f>
        <v>OK stock</v>
      </c>
      <c r="N106" s="6"/>
      <c r="O106" s="6">
        <f>Lifetimes_pairs!A104</f>
        <v>0</v>
      </c>
      <c r="P106" s="6">
        <f>Lifetimes_pairs!B104</f>
        <v>0</v>
      </c>
      <c r="Q106">
        <f>Lifetimes!DG1</f>
        <v>0</v>
      </c>
      <c r="R106" t="str">
        <f t="shared" si="5"/>
        <v>OK</v>
      </c>
      <c r="AA106" t="s">
        <v>1812</v>
      </c>
    </row>
    <row r="107" spans="10:27">
      <c r="J107" s="298" t="str">
        <v>Lacquer (DIY)</v>
      </c>
      <c r="K107" s="303" t="str">
        <f>IF(ISBLANK(J107),"",IF(COUNTIF(L:L,J107),IF(_xlfn.XLOOKUP(J107,'Compartments_Kawecki&amp;Nowack19'!A:A,'Compartments_Kawecki&amp;Nowack19'!B:B,_xlfn.XLOOKUP(J107,Compartments_Added!A:A,Compartments_Added!B:B))="Stock","OK stock","OK flow"),IF(COUNTIF($G$4:$G$18,J107),IF(COUNTIF($E$4:$E$18,J107),"OK input","Missing"),"Missing")))</f>
        <v>OK flow</v>
      </c>
      <c r="L107" s="298" t="str">
        <v>Home textile waste collection</v>
      </c>
      <c r="M107" s="303" t="str">
        <f>IF(COUNTIF(J:J,L107),IF(_xlfn.XLOOKUP(L107,'Compartments_Kawecki&amp;Nowack19'!A:A,'Compartments_Kawecki&amp;Nowack19'!B:B,_xlfn.XLOOKUP(L107,Compartments_Added!A:A,Compartments_Added!B:B))="Stock","OK stock","OK flow"),IF(_xlfn.XLOOKUP(L107,'Compartments_Kawecki&amp;Nowack19'!A:A,'Compartments_Kawecki&amp;Nowack19'!B:B,_xlfn.XLOOKUP(L107,Compartments_Added!A:A,Compartments_Added!B:B))="Sink","OK, Sink","Missing"))</f>
        <v>OK flow</v>
      </c>
      <c r="N107" s="6"/>
      <c r="O107" s="6">
        <f>Lifetimes_pairs!A105</f>
        <v>0</v>
      </c>
      <c r="P107" s="6">
        <f>Lifetimes_pairs!B105</f>
        <v>0</v>
      </c>
      <c r="Q107">
        <f>Lifetimes!DH1</f>
        <v>0</v>
      </c>
      <c r="R107" t="str">
        <f t="shared" si="5"/>
        <v>OK</v>
      </c>
      <c r="AA107" t="s">
        <v>1813</v>
      </c>
    </row>
    <row r="108" spans="10:27">
      <c r="J108" s="298" t="str">
        <v>Lacquer (DIY) indoor</v>
      </c>
      <c r="K108" s="303" t="str">
        <f>IF(ISBLANK(J108),"",IF(COUNTIF(L:L,J108),IF(_xlfn.XLOOKUP(J108,'Compartments_Kawecki&amp;Nowack19'!A:A,'Compartments_Kawecki&amp;Nowack19'!B:B,_xlfn.XLOOKUP(J108,Compartments_Added!A:A,Compartments_Added!B:B))="Stock","OK stock","OK flow"),IF(COUNTIF($G$4:$G$18,J108),IF(COUNTIF($E$4:$E$18,J108),"OK input","Missing"),"Missing")))</f>
        <v>OK flow</v>
      </c>
      <c r="L108" s="298" t="str">
        <v>Disposable cleaning cloths</v>
      </c>
      <c r="M108" s="303" t="str">
        <f>IF(COUNTIF(J:J,L108),IF(_xlfn.XLOOKUP(L108,'Compartments_Kawecki&amp;Nowack19'!A:A,'Compartments_Kawecki&amp;Nowack19'!B:B,_xlfn.XLOOKUP(L108,Compartments_Added!A:A,Compartments_Added!B:B))="Stock","OK stock","OK flow"),IF(_xlfn.XLOOKUP(L108,'Compartments_Kawecki&amp;Nowack19'!A:A,'Compartments_Kawecki&amp;Nowack19'!B:B,_xlfn.XLOOKUP(L108,Compartments_Added!A:A,Compartments_Added!B:B))="Sink","OK, Sink","Missing"))</f>
        <v>OK flow</v>
      </c>
      <c r="N108" s="6"/>
      <c r="O108" s="6">
        <f>Lifetimes_pairs!A106</f>
        <v>0</v>
      </c>
      <c r="P108" s="6">
        <f>Lifetimes_pairs!B106</f>
        <v>0</v>
      </c>
      <c r="Q108">
        <f>Lifetimes!DI1</f>
        <v>0</v>
      </c>
      <c r="R108" t="str">
        <f t="shared" si="5"/>
        <v>OK</v>
      </c>
      <c r="AA108" t="s">
        <v>1814</v>
      </c>
    </row>
    <row r="109" spans="10:27">
      <c r="J109" s="298" t="str">
        <v>Lacquer (DIY) indoor (discarded)</v>
      </c>
      <c r="K109" s="303" t="str">
        <f>IF(ISBLANK(J109),"",IF(COUNTIF(L:L,J109),IF(_xlfn.XLOOKUP(J109,'Compartments_Kawecki&amp;Nowack19'!A:A,'Compartments_Kawecki&amp;Nowack19'!B:B,_xlfn.XLOOKUP(J109,Compartments_Added!A:A,Compartments_Added!B:B))="Stock","OK stock","OK flow"),IF(COUNTIF($G$4:$G$18,J109),IF(COUNTIF($E$4:$E$18,J109),"OK input","Missing"),"Missing")))</f>
        <v>OK stock</v>
      </c>
      <c r="L109" s="298" t="str">
        <v>Home textiles</v>
      </c>
      <c r="M109" s="303" t="str">
        <f>IF(COUNTIF(J:J,L109),IF(_xlfn.XLOOKUP(L109,'Compartments_Kawecki&amp;Nowack19'!A:A,'Compartments_Kawecki&amp;Nowack19'!B:B,_xlfn.XLOOKUP(L109,Compartments_Added!A:A,Compartments_Added!B:B))="Stock","OK stock","OK flow"),IF(_xlfn.XLOOKUP(L109,'Compartments_Kawecki&amp;Nowack19'!A:A,'Compartments_Kawecki&amp;Nowack19'!B:B,_xlfn.XLOOKUP(L109,Compartments_Added!A:A,Compartments_Added!B:B))="Sink","OK, Sink","Missing"))</f>
        <v>OK flow</v>
      </c>
      <c r="N109" s="6"/>
      <c r="O109" s="6">
        <f>Lifetimes_pairs!A107</f>
        <v>0</v>
      </c>
      <c r="P109" s="6">
        <f>Lifetimes_pairs!B107</f>
        <v>0</v>
      </c>
      <c r="Q109">
        <f>Lifetimes!DJ1</f>
        <v>0</v>
      </c>
      <c r="R109" t="str">
        <f t="shared" si="5"/>
        <v>OK</v>
      </c>
      <c r="AA109" t="s">
        <v>1815</v>
      </c>
    </row>
    <row r="110" spans="10:27">
      <c r="J110" s="298" t="str">
        <v>Lacquer (DIY) indoor (in use)</v>
      </c>
      <c r="K110" s="303" t="str">
        <f>IF(ISBLANK(J110),"",IF(COUNTIF(L:L,J110),IF(_xlfn.XLOOKUP(J110,'Compartments_Kawecki&amp;Nowack19'!A:A,'Compartments_Kawecki&amp;Nowack19'!B:B,_xlfn.XLOOKUP(J110,Compartments_Added!A:A,Compartments_Added!B:B))="Stock","OK stock","OK flow"),IF(COUNTIF($G$4:$G$18,J110),IF(COUNTIF($E$4:$E$18,J110),"OK input","Missing"),"Missing")))</f>
        <v>OK stock</v>
      </c>
      <c r="L110" s="298" t="str">
        <v>Panty liners</v>
      </c>
      <c r="M110" s="303" t="str">
        <f>IF(COUNTIF(J:J,L110),IF(_xlfn.XLOOKUP(L110,'Compartments_Kawecki&amp;Nowack19'!A:A,'Compartments_Kawecki&amp;Nowack19'!B:B,_xlfn.XLOOKUP(L110,Compartments_Added!A:A,Compartments_Added!B:B))="Stock","OK stock","OK flow"),IF(_xlfn.XLOOKUP(L110,'Compartments_Kawecki&amp;Nowack19'!A:A,'Compartments_Kawecki&amp;Nowack19'!B:B,_xlfn.XLOOKUP(L110,Compartments_Added!A:A,Compartments_Added!B:B))="Sink","OK, Sink","Missing"))</f>
        <v>OK flow</v>
      </c>
      <c r="N110" s="6"/>
      <c r="O110" s="6">
        <f>Lifetimes_pairs!A108</f>
        <v>0</v>
      </c>
      <c r="P110" s="6">
        <f>Lifetimes_pairs!B108</f>
        <v>0</v>
      </c>
      <c r="Q110">
        <f>Lifetimes!DK1</f>
        <v>0</v>
      </c>
      <c r="R110" t="str">
        <f t="shared" si="5"/>
        <v>OK</v>
      </c>
      <c r="AA110" t="s">
        <v>1816</v>
      </c>
    </row>
    <row r="111" spans="10:27">
      <c r="J111" s="298" t="str">
        <v>Lacquer (DIY) outdoor</v>
      </c>
      <c r="K111" s="303" t="str">
        <f>IF(ISBLANK(J111),"",IF(COUNTIF(L:L,J111),IF(_xlfn.XLOOKUP(J111,'Compartments_Kawecki&amp;Nowack19'!A:A,'Compartments_Kawecki&amp;Nowack19'!B:B,_xlfn.XLOOKUP(J111,Compartments_Added!A:A,Compartments_Added!B:B))="Stock","OK stock","OK flow"),IF(COUNTIF($G$4:$G$18,J111),IF(COUNTIF($E$4:$E$18,J111),"OK input","Missing"),"Missing")))</f>
        <v>OK flow</v>
      </c>
      <c r="L111" s="298" t="str">
        <v>Sanitary pads</v>
      </c>
      <c r="M111" s="303" t="str">
        <f>IF(COUNTIF(J:J,L111),IF(_xlfn.XLOOKUP(L111,'Compartments_Kawecki&amp;Nowack19'!A:A,'Compartments_Kawecki&amp;Nowack19'!B:B,_xlfn.XLOOKUP(L111,Compartments_Added!A:A,Compartments_Added!B:B))="Stock","OK stock","OK flow"),IF(_xlfn.XLOOKUP(L111,'Compartments_Kawecki&amp;Nowack19'!A:A,'Compartments_Kawecki&amp;Nowack19'!B:B,_xlfn.XLOOKUP(L111,Compartments_Added!A:A,Compartments_Added!B:B))="Sink","OK, Sink","Missing"))</f>
        <v>OK flow</v>
      </c>
      <c r="N111" s="6"/>
      <c r="O111" s="6">
        <f>Lifetimes_pairs!A109</f>
        <v>0</v>
      </c>
      <c r="P111" s="6">
        <f>Lifetimes_pairs!B109</f>
        <v>0</v>
      </c>
      <c r="Q111">
        <f>Lifetimes!DL1</f>
        <v>0</v>
      </c>
      <c r="R111" t="str">
        <f t="shared" si="5"/>
        <v>OK</v>
      </c>
      <c r="AA111" t="s">
        <v>1817</v>
      </c>
    </row>
    <row r="112" spans="10:27">
      <c r="J112" s="298" t="str">
        <v>Lacquer (DIY) outdoor (discarded)</v>
      </c>
      <c r="K112" s="303" t="str">
        <f>IF(ISBLANK(J112),"",IF(COUNTIF(L:L,J112),IF(_xlfn.XLOOKUP(J112,'Compartments_Kawecki&amp;Nowack19'!A:A,'Compartments_Kawecki&amp;Nowack19'!B:B,_xlfn.XLOOKUP(J112,Compartments_Added!A:A,Compartments_Added!B:B))="Stock","OK stock","OK flow"),IF(COUNTIF($G$4:$G$18,J112),IF(COUNTIF($E$4:$E$18,J112),"OK input","Missing"),"Missing")))</f>
        <v>OK stock</v>
      </c>
      <c r="L112" s="298" t="str">
        <v>Tampons</v>
      </c>
      <c r="M112" s="303" t="str">
        <f>IF(COUNTIF(J:J,L112),IF(_xlfn.XLOOKUP(L112,'Compartments_Kawecki&amp;Nowack19'!A:A,'Compartments_Kawecki&amp;Nowack19'!B:B,_xlfn.XLOOKUP(L112,Compartments_Added!A:A,Compartments_Added!B:B))="Stock","OK stock","OK flow"),IF(_xlfn.XLOOKUP(L112,'Compartments_Kawecki&amp;Nowack19'!A:A,'Compartments_Kawecki&amp;Nowack19'!B:B,_xlfn.XLOOKUP(L112,Compartments_Added!A:A,Compartments_Added!B:B))="Sink","OK, Sink","Missing"))</f>
        <v>OK flow</v>
      </c>
      <c r="N112" s="6"/>
      <c r="O112" s="6">
        <f>Lifetimes_pairs!A110</f>
        <v>0</v>
      </c>
      <c r="P112" s="6">
        <f>Lifetimes_pairs!B110</f>
        <v>0</v>
      </c>
      <c r="Q112">
        <f>Lifetimes!DM1</f>
        <v>0</v>
      </c>
      <c r="R112" t="str">
        <f t="shared" si="5"/>
        <v>OK</v>
      </c>
      <c r="AA112" t="s">
        <v>1818</v>
      </c>
    </row>
    <row r="113" spans="10:27">
      <c r="J113" s="298" t="str">
        <v>Lacquer (DIY) outdoor (in use)</v>
      </c>
      <c r="K113" s="303" t="str">
        <f>IF(ISBLANK(J113),"",IF(COUNTIF(L:L,J113),IF(_xlfn.XLOOKUP(J113,'Compartments_Kawecki&amp;Nowack19'!A:A,'Compartments_Kawecki&amp;Nowack19'!B:B,_xlfn.XLOOKUP(J113,Compartments_Added!A:A,Compartments_Added!B:B))="Stock","OK stock","OK flow"),IF(COUNTIF($G$4:$G$18,J113),IF(COUNTIF($E$4:$E$18,J113),"OK input","Missing"),"Missing")))</f>
        <v>OK stock</v>
      </c>
      <c r="L113" s="298" t="str">
        <v>Wet wipes</v>
      </c>
      <c r="M113" s="303" t="str">
        <f>IF(COUNTIF(J:J,L113),IF(_xlfn.XLOOKUP(L113,'Compartments_Kawecki&amp;Nowack19'!A:A,'Compartments_Kawecki&amp;Nowack19'!B:B,_xlfn.XLOOKUP(L113,Compartments_Added!A:A,Compartments_Added!B:B))="Stock","OK stock","OK flow"),IF(_xlfn.XLOOKUP(L113,'Compartments_Kawecki&amp;Nowack19'!A:A,'Compartments_Kawecki&amp;Nowack19'!B:B,_xlfn.XLOOKUP(L113,Compartments_Added!A:A,Compartments_Added!B:B))="Sink","OK, Sink","Missing"))</f>
        <v>OK flow</v>
      </c>
      <c r="N113" s="6"/>
      <c r="O113" s="6">
        <f>Lifetimes_pairs!A111</f>
        <v>0</v>
      </c>
      <c r="P113" s="6">
        <f>Lifetimes_pairs!B111</f>
        <v>0</v>
      </c>
      <c r="Q113">
        <f>Lifetimes!DN1</f>
        <v>0</v>
      </c>
      <c r="R113" t="str">
        <f t="shared" si="5"/>
        <v>OK</v>
      </c>
      <c r="AA113" t="s">
        <v>1819</v>
      </c>
    </row>
    <row r="114" spans="10:27">
      <c r="J114" s="298" t="str">
        <v>Lacquer (prof)</v>
      </c>
      <c r="K114" s="303" t="str">
        <f>IF(ISBLANK(J114),"",IF(COUNTIF(L:L,J114),IF(_xlfn.XLOOKUP(J114,'Compartments_Kawecki&amp;Nowack19'!A:A,'Compartments_Kawecki&amp;Nowack19'!B:B,_xlfn.XLOOKUP(J114,Compartments_Added!A:A,Compartments_Added!B:B))="Stock","OK stock","OK flow"),IF(COUNTIF($G$4:$G$18,J114),IF(COUNTIF($E$4:$E$18,J114),"OK input","Missing"),"Missing")))</f>
        <v>OK flow</v>
      </c>
      <c r="L114" s="298" t="str">
        <v>Clothing (product sector)</v>
      </c>
      <c r="M114" s="303" t="str">
        <f>IF(COUNTIF(J:J,L114),IF(_xlfn.XLOOKUP(L114,'Compartments_Kawecki&amp;Nowack19'!A:A,'Compartments_Kawecki&amp;Nowack19'!B:B,_xlfn.XLOOKUP(L114,Compartments_Added!A:A,Compartments_Added!B:B))="Stock","OK stock","OK flow"),IF(_xlfn.XLOOKUP(L114,'Compartments_Kawecki&amp;Nowack19'!A:A,'Compartments_Kawecki&amp;Nowack19'!B:B,_xlfn.XLOOKUP(L114,Compartments_Added!A:A,Compartments_Added!B:B))="Sink","OK, Sink","Missing"))</f>
        <v>OK flow</v>
      </c>
      <c r="N114" s="6"/>
      <c r="O114" s="6">
        <f>Lifetimes_pairs!A112</f>
        <v>0</v>
      </c>
      <c r="P114" s="6">
        <f>Lifetimes_pairs!B112</f>
        <v>0</v>
      </c>
      <c r="Q114">
        <f>Lifetimes!DO1</f>
        <v>0</v>
      </c>
      <c r="R114" t="str">
        <f t="shared" si="5"/>
        <v>OK</v>
      </c>
      <c r="AA114" t="s">
        <v>1820</v>
      </c>
    </row>
    <row r="115" spans="10:27">
      <c r="J115" s="298" t="str">
        <v>Lacquer (prof) indoor</v>
      </c>
      <c r="K115" s="303" t="str">
        <f>IF(ISBLANK(J115),"",IF(COUNTIF(L:L,J115),IF(_xlfn.XLOOKUP(J115,'Compartments_Kawecki&amp;Nowack19'!A:A,'Compartments_Kawecki&amp;Nowack19'!B:B,_xlfn.XLOOKUP(J115,Compartments_Added!A:A,Compartments_Added!B:B))="Stock","OK stock","OK flow"),IF(COUNTIF($G$4:$G$18,J115),IF(COUNTIF($E$4:$E$18,J115),"OK input","Missing"),"Missing")))</f>
        <v>OK flow</v>
      </c>
      <c r="L115" s="298" t="str">
        <v>Manufacturing of clothing</v>
      </c>
      <c r="M115" s="303" t="str">
        <f>IF(COUNTIF(J:J,L115),IF(_xlfn.XLOOKUP(L115,'Compartments_Kawecki&amp;Nowack19'!A:A,'Compartments_Kawecki&amp;Nowack19'!B:B,_xlfn.XLOOKUP(L115,Compartments_Added!A:A,Compartments_Added!B:B))="Stock","OK stock","OK flow"),IF(_xlfn.XLOOKUP(L115,'Compartments_Kawecki&amp;Nowack19'!A:A,'Compartments_Kawecki&amp;Nowack19'!B:B,_xlfn.XLOOKUP(L115,Compartments_Added!A:A,Compartments_Added!B:B))="Sink","OK, Sink","Missing"))</f>
        <v>OK flow</v>
      </c>
      <c r="N115" s="6"/>
      <c r="O115" s="6">
        <f>Lifetimes_pairs!A113</f>
        <v>0</v>
      </c>
      <c r="P115" s="6">
        <f>Lifetimes_pairs!B113</f>
        <v>0</v>
      </c>
      <c r="Q115">
        <f>Lifetimes!DP1</f>
        <v>0</v>
      </c>
      <c r="R115" t="str">
        <f t="shared" si="5"/>
        <v>OK</v>
      </c>
      <c r="AA115" t="s">
        <v>1821</v>
      </c>
    </row>
    <row r="116" spans="10:27">
      <c r="J116" s="298" t="str">
        <v>Lacquer (prof) indoor (discarded)</v>
      </c>
      <c r="K116" s="303" t="str">
        <f>IF(ISBLANK(J116),"",IF(COUNTIF(L:L,J116),IF(_xlfn.XLOOKUP(J116,'Compartments_Kawecki&amp;Nowack19'!A:A,'Compartments_Kawecki&amp;Nowack19'!B:B,_xlfn.XLOOKUP(J116,Compartments_Added!A:A,Compartments_Added!B:B))="Stock","OK stock","OK flow"),IF(COUNTIF($G$4:$G$18,J116),IF(COUNTIF($E$4:$E$18,J116),"OK input","Missing"),"Missing")))</f>
        <v>OK stock</v>
      </c>
      <c r="L116" s="298" t="str">
        <v>Elimination</v>
      </c>
      <c r="M116" s="303" t="str">
        <f>IF(COUNTIF(J:J,L116),IF(_xlfn.XLOOKUP(L116,'Compartments_Kawecki&amp;Nowack19'!A:A,'Compartments_Kawecki&amp;Nowack19'!B:B,_xlfn.XLOOKUP(L116,Compartments_Added!A:A,Compartments_Added!B:B))="Stock","OK stock","OK flow"),IF(_xlfn.XLOOKUP(L116,'Compartments_Kawecki&amp;Nowack19'!A:A,'Compartments_Kawecki&amp;Nowack19'!B:B,_xlfn.XLOOKUP(L116,Compartments_Added!A:A,Compartments_Added!B:B))="Sink","OK, Sink","Missing"))</f>
        <v>OK, Sink</v>
      </c>
      <c r="N116" s="6"/>
      <c r="O116" s="6">
        <f>Lifetimes_pairs!A114</f>
        <v>0</v>
      </c>
      <c r="P116" s="6">
        <f>Lifetimes_pairs!B114</f>
        <v>0</v>
      </c>
      <c r="Q116">
        <f>Lifetimes!DQ1</f>
        <v>0</v>
      </c>
      <c r="R116" t="str">
        <f t="shared" si="5"/>
        <v>OK</v>
      </c>
      <c r="AA116" t="s">
        <v>1822</v>
      </c>
    </row>
    <row r="117" spans="10:27">
      <c r="J117" s="298" t="str">
        <v>Lacquer (prof) indoor (in use)</v>
      </c>
      <c r="K117" s="303" t="str">
        <f>IF(ISBLANK(J117),"",IF(COUNTIF(L:L,J117),IF(_xlfn.XLOOKUP(J117,'Compartments_Kawecki&amp;Nowack19'!A:A,'Compartments_Kawecki&amp;Nowack19'!B:B,_xlfn.XLOOKUP(J117,Compartments_Added!A:A,Compartments_Added!B:B))="Stock","OK stock","OK flow"),IF(COUNTIF($G$4:$G$18,J117),IF(COUNTIF($E$4:$E$18,J117),"OK input","Missing"),"Missing")))</f>
        <v>OK stock</v>
      </c>
      <c r="L117" s="298" t="str">
        <v>Wastewater treatment plant (micro)</v>
      </c>
      <c r="M117" s="303" t="str">
        <f>IF(COUNTIF(J:J,L117),IF(_xlfn.XLOOKUP(L117,'Compartments_Kawecki&amp;Nowack19'!A:A,'Compartments_Kawecki&amp;Nowack19'!B:B,_xlfn.XLOOKUP(L117,Compartments_Added!A:A,Compartments_Added!B:B))="Stock","OK stock","OK flow"),IF(_xlfn.XLOOKUP(L117,'Compartments_Kawecki&amp;Nowack19'!A:A,'Compartments_Kawecki&amp;Nowack19'!B:B,_xlfn.XLOOKUP(L117,Compartments_Added!A:A,Compartments_Added!B:B))="Sink","OK, Sink","Missing"))</f>
        <v>OK flow</v>
      </c>
      <c r="N117" s="6"/>
      <c r="O117" s="6">
        <f>Lifetimes_pairs!A115</f>
        <v>0</v>
      </c>
      <c r="P117" s="6">
        <f>Lifetimes_pairs!B115</f>
        <v>0</v>
      </c>
      <c r="Q117">
        <f>Lifetimes!DR1</f>
        <v>0</v>
      </c>
      <c r="R117" t="str">
        <f t="shared" si="5"/>
        <v>OK</v>
      </c>
      <c r="AA117" t="s">
        <v>1823</v>
      </c>
    </row>
    <row r="118" spans="10:27">
      <c r="J118" s="298" t="str">
        <v>Lacquer (prof) outdoor</v>
      </c>
      <c r="K118" s="303" t="str">
        <f>IF(ISBLANK(J118),"",IF(COUNTIF(L:L,J118),IF(_xlfn.XLOOKUP(J118,'Compartments_Kawecki&amp;Nowack19'!A:A,'Compartments_Kawecki&amp;Nowack19'!B:B,_xlfn.XLOOKUP(J118,Compartments_Added!A:A,Compartments_Added!B:B))="Stock","OK stock","OK flow"),IF(COUNTIF($G$4:$G$18,J118),IF(COUNTIF($E$4:$E$18,J118),"OK input","Missing"),"Missing")))</f>
        <v>OK flow</v>
      </c>
      <c r="L118" s="298" t="str">
        <v>Infill material sports fields (discarded)</v>
      </c>
      <c r="M118" s="303" t="str">
        <f>IF(COUNTIF(J:J,L118),IF(_xlfn.XLOOKUP(L118,'Compartments_Kawecki&amp;Nowack19'!A:A,'Compartments_Kawecki&amp;Nowack19'!B:B,_xlfn.XLOOKUP(L118,Compartments_Added!A:A,Compartments_Added!B:B))="Stock","OK stock","OK flow"),IF(_xlfn.XLOOKUP(L118,'Compartments_Kawecki&amp;Nowack19'!A:A,'Compartments_Kawecki&amp;Nowack19'!B:B,_xlfn.XLOOKUP(L118,Compartments_Added!A:A,Compartments_Added!B:B))="Sink","OK, Sink","Missing"))</f>
        <v>OK stock</v>
      </c>
      <c r="N118" s="6"/>
      <c r="O118" s="6">
        <f>Lifetimes_pairs!A116</f>
        <v>0</v>
      </c>
      <c r="P118" s="6">
        <f>Lifetimes_pairs!B116</f>
        <v>0</v>
      </c>
      <c r="Q118">
        <f>Lifetimes!DS1</f>
        <v>0</v>
      </c>
      <c r="R118" t="str">
        <f t="shared" si="5"/>
        <v>OK</v>
      </c>
      <c r="AA118" t="s">
        <v>1824</v>
      </c>
    </row>
    <row r="119" spans="10:27">
      <c r="J119" s="298" t="str">
        <v>Lacquer (prof) outdoor (discarded)</v>
      </c>
      <c r="K119" s="303" t="str">
        <f>IF(ISBLANK(J119),"",IF(COUNTIF(L:L,J119),IF(_xlfn.XLOOKUP(J119,'Compartments_Kawecki&amp;Nowack19'!A:A,'Compartments_Kawecki&amp;Nowack19'!B:B,_xlfn.XLOOKUP(J119,Compartments_Added!A:A,Compartments_Added!B:B))="Stock","OK stock","OK flow"),IF(COUNTIF($G$4:$G$18,J119),IF(COUNTIF($E$4:$E$18,J119),"OK input","Missing"),"Missing")))</f>
        <v>OK stock</v>
      </c>
      <c r="L119" s="298" t="str">
        <v>Infill material sports fields (in use)</v>
      </c>
      <c r="M119" s="303" t="str">
        <f>IF(COUNTIF(J:J,L119),IF(_xlfn.XLOOKUP(L119,'Compartments_Kawecki&amp;Nowack19'!A:A,'Compartments_Kawecki&amp;Nowack19'!B:B,_xlfn.XLOOKUP(L119,Compartments_Added!A:A,Compartments_Added!B:B))="Stock","OK stock","OK flow"),IF(_xlfn.XLOOKUP(L119,'Compartments_Kawecki&amp;Nowack19'!A:A,'Compartments_Kawecki&amp;Nowack19'!B:B,_xlfn.XLOOKUP(L119,Compartments_Added!A:A,Compartments_Added!B:B))="Sink","OK, Sink","Missing"))</f>
        <v>OK stock</v>
      </c>
      <c r="N119" s="6"/>
      <c r="O119" s="6">
        <f>Lifetimes_pairs!A117</f>
        <v>0</v>
      </c>
      <c r="P119" s="6">
        <f>Lifetimes_pairs!B117</f>
        <v>0</v>
      </c>
      <c r="Q119">
        <f>Lifetimes!DT1</f>
        <v>0</v>
      </c>
      <c r="R119" t="str">
        <f t="shared" si="5"/>
        <v>OK</v>
      </c>
      <c r="AA119" t="s">
        <v>1825</v>
      </c>
    </row>
    <row r="120" spans="10:27">
      <c r="J120" s="298" t="str">
        <v>Lacquer (prof) outdoor (in use)</v>
      </c>
      <c r="K120" s="303" t="str">
        <f>IF(ISBLANK(J120),"",IF(COUNTIF(L:L,J120),IF(_xlfn.XLOOKUP(J120,'Compartments_Kawecki&amp;Nowack19'!A:A,'Compartments_Kawecki&amp;Nowack19'!B:B,_xlfn.XLOOKUP(J120,Compartments_Added!A:A,Compartments_Added!B:B))="Stock","OK stock","OK flow"),IF(COUNTIF($G$4:$G$18,J120),IF(COUNTIF($E$4:$E$18,J120),"OK input","Missing"),"Missing")))</f>
        <v>OK stock</v>
      </c>
      <c r="L120" s="298" t="str">
        <v>Controlled release fertilizer</v>
      </c>
      <c r="M120" s="303" t="str">
        <f>IF(COUNTIF(J:J,L120),IF(_xlfn.XLOOKUP(L120,'Compartments_Kawecki&amp;Nowack19'!A:A,'Compartments_Kawecki&amp;Nowack19'!B:B,_xlfn.XLOOKUP(L120,Compartments_Added!A:A,Compartments_Added!B:B))="Stock","OK stock","OK flow"),IF(_xlfn.XLOOKUP(L120,'Compartments_Kawecki&amp;Nowack19'!A:A,'Compartments_Kawecki&amp;Nowack19'!B:B,_xlfn.XLOOKUP(L120,Compartments_Added!A:A,Compartments_Added!B:B))="Sink","OK, Sink","Missing"))</f>
        <v>OK flow</v>
      </c>
      <c r="N120" s="6"/>
      <c r="O120" s="6">
        <f>Lifetimes_pairs!A118</f>
        <v>0</v>
      </c>
      <c r="P120" s="6">
        <f>Lifetimes_pairs!B118</f>
        <v>0</v>
      </c>
      <c r="Q120">
        <f>Lifetimes!DU1</f>
        <v>0</v>
      </c>
      <c r="R120" t="str">
        <f t="shared" si="5"/>
        <v>OK</v>
      </c>
      <c r="AA120" t="s">
        <v>1826</v>
      </c>
    </row>
    <row r="121" spans="10:27">
      <c r="J121" s="298" t="str">
        <v>Leggings stockings tights and socks</v>
      </c>
      <c r="K121" s="303" t="str">
        <f>IF(ISBLANK(J121),"",IF(COUNTIF(L:L,J121),IF(_xlfn.XLOOKUP(J121,'Compartments_Kawecki&amp;Nowack19'!A:A,'Compartments_Kawecki&amp;Nowack19'!B:B,_xlfn.XLOOKUP(J121,Compartments_Added!A:A,Compartments_Added!B:B))="Stock","OK stock","OK flow"),IF(COUNTIF($G$4:$G$18,J121),IF(COUNTIF($E$4:$E$18,J121),"OK input","Missing"),"Missing")))</f>
        <v>OK stock</v>
      </c>
      <c r="L121" s="298" t="str">
        <v>Detergents and maintenance products</v>
      </c>
      <c r="M121" s="303" t="str">
        <f>IF(COUNTIF(J:J,L121),IF(_xlfn.XLOOKUP(L121,'Compartments_Kawecki&amp;Nowack19'!A:A,'Compartments_Kawecki&amp;Nowack19'!B:B,_xlfn.XLOOKUP(L121,Compartments_Added!A:A,Compartments_Added!B:B))="Stock","OK stock","OK flow"),IF(_xlfn.XLOOKUP(L121,'Compartments_Kawecki&amp;Nowack19'!A:A,'Compartments_Kawecki&amp;Nowack19'!B:B,_xlfn.XLOOKUP(L121,Compartments_Added!A:A,Compartments_Added!B:B))="Sink","OK, Sink","Missing"))</f>
        <v>OK flow</v>
      </c>
      <c r="N121" s="6"/>
      <c r="O121" s="6">
        <f>Lifetimes_pairs!A119</f>
        <v>0</v>
      </c>
      <c r="P121" s="6">
        <f>Lifetimes_pairs!B119</f>
        <v>0</v>
      </c>
      <c r="Q121">
        <f>Lifetimes!DV1</f>
        <v>0</v>
      </c>
      <c r="R121" t="str">
        <f t="shared" si="5"/>
        <v>OK</v>
      </c>
      <c r="AA121" t="s">
        <v>1827</v>
      </c>
    </row>
    <row r="122" spans="10:27">
      <c r="J122" s="298" t="str">
        <v>Lint filter (CHETD)</v>
      </c>
      <c r="K122" s="303" t="str">
        <f>IF(ISBLANK(J122),"",IF(COUNTIF(L:L,J122),IF(_xlfn.XLOOKUP(J122,'Compartments_Kawecki&amp;Nowack19'!A:A,'Compartments_Kawecki&amp;Nowack19'!B:B,_xlfn.XLOOKUP(J122,Compartments_Added!A:A,Compartments_Added!B:B))="Stock","OK stock","OK flow"),IF(COUNTIF($G$4:$G$18,J122),IF(COUNTIF($E$4:$E$18,J122),"OK input","Missing"),"Missing")))</f>
        <v>OK flow</v>
      </c>
      <c r="L122" s="298" t="str">
        <v>Fertilizer additives</v>
      </c>
      <c r="M122" s="303" t="str">
        <f>IF(COUNTIF(J:J,L122),IF(_xlfn.XLOOKUP(L122,'Compartments_Kawecki&amp;Nowack19'!A:A,'Compartments_Kawecki&amp;Nowack19'!B:B,_xlfn.XLOOKUP(L122,Compartments_Added!A:A,Compartments_Added!B:B))="Stock","OK stock","OK flow"),IF(_xlfn.XLOOKUP(L122,'Compartments_Kawecki&amp;Nowack19'!A:A,'Compartments_Kawecki&amp;Nowack19'!B:B,_xlfn.XLOOKUP(L122,Compartments_Added!A:A,Compartments_Added!B:B))="Sink","OK, Sink","Missing"))</f>
        <v>OK flow</v>
      </c>
      <c r="N122" s="6"/>
      <c r="O122" s="6">
        <f>Lifetimes_pairs!A120</f>
        <v>0</v>
      </c>
      <c r="P122" s="6">
        <f>Lifetimes_pairs!B120</f>
        <v>0</v>
      </c>
      <c r="Q122">
        <f>Lifetimes!DW1</f>
        <v>0</v>
      </c>
      <c r="R122" t="str">
        <f t="shared" si="5"/>
        <v>OK</v>
      </c>
      <c r="AA122" t="s">
        <v>1828</v>
      </c>
    </row>
    <row r="123" spans="10:27">
      <c r="J123" s="298" t="str">
        <v>Lint filter (CHPTD)</v>
      </c>
      <c r="K123" s="303" t="str">
        <f>IF(ISBLANK(J123),"",IF(COUNTIF(L:L,J123),IF(_xlfn.XLOOKUP(J123,'Compartments_Kawecki&amp;Nowack19'!A:A,'Compartments_Kawecki&amp;Nowack19'!B:B,_xlfn.XLOOKUP(J123,Compartments_Added!A:A,Compartments_Added!B:B))="Stock","OK stock","OK flow"),IF(COUNTIF($G$4:$G$18,J123),IF(COUNTIF($E$4:$E$18,J123),"OK input","Missing"),"Missing")))</f>
        <v>OK flow</v>
      </c>
      <c r="L123" s="298" t="str">
        <v>Food additives</v>
      </c>
      <c r="M123" s="303" t="str">
        <f>IF(COUNTIF(J:J,L123),IF(_xlfn.XLOOKUP(L123,'Compartments_Kawecki&amp;Nowack19'!A:A,'Compartments_Kawecki&amp;Nowack19'!B:B,_xlfn.XLOOKUP(L123,Compartments_Added!A:A,Compartments_Added!B:B))="Stock","OK stock","OK flow"),IF(_xlfn.XLOOKUP(L123,'Compartments_Kawecki&amp;Nowack19'!A:A,'Compartments_Kawecki&amp;Nowack19'!B:B,_xlfn.XLOOKUP(L123,Compartments_Added!A:A,Compartments_Added!B:B))="Sink","OK, Sink","Missing"))</f>
        <v>OK flow</v>
      </c>
      <c r="N123" s="6"/>
      <c r="O123" s="6">
        <f>Lifetimes_pairs!A121</f>
        <v>0</v>
      </c>
      <c r="P123" s="6">
        <f>Lifetimes_pairs!B121</f>
        <v>0</v>
      </c>
      <c r="Q123">
        <f>Lifetimes!DX1</f>
        <v>0</v>
      </c>
      <c r="R123" t="str">
        <f t="shared" si="5"/>
        <v>OK</v>
      </c>
      <c r="AA123" t="s">
        <v>1829</v>
      </c>
    </row>
    <row r="124" spans="10:27">
      <c r="J124" s="298" t="str">
        <v>Lint filter (VTD)</v>
      </c>
      <c r="K124" s="303" t="str">
        <f>IF(ISBLANK(J124),"",IF(COUNTIF(L:L,J124),IF(_xlfn.XLOOKUP(J124,'Compartments_Kawecki&amp;Nowack19'!A:A,'Compartments_Kawecki&amp;Nowack19'!B:B,_xlfn.XLOOKUP(J124,Compartments_Added!A:A,Compartments_Added!B:B))="Stock","OK stock","OK flow"),IF(COUNTIF($G$4:$G$18,J124),IF(COUNTIF($E$4:$E$18,J124),"OK input","Missing"),"Missing")))</f>
        <v>OK flow</v>
      </c>
      <c r="L124" s="298" t="str">
        <v>Infill material sports fields</v>
      </c>
      <c r="M124" s="303" t="str">
        <f>IF(COUNTIF(J:J,L124),IF(_xlfn.XLOOKUP(L124,'Compartments_Kawecki&amp;Nowack19'!A:A,'Compartments_Kawecki&amp;Nowack19'!B:B,_xlfn.XLOOKUP(L124,Compartments_Added!A:A,Compartments_Added!B:B))="Stock","OK stock","OK flow"),IF(_xlfn.XLOOKUP(L124,'Compartments_Kawecki&amp;Nowack19'!A:A,'Compartments_Kawecki&amp;Nowack19'!B:B,_xlfn.XLOOKUP(L124,Compartments_Added!A:A,Compartments_Added!B:B))="Sink","OK, Sink","Missing"))</f>
        <v>OK flow</v>
      </c>
      <c r="N124" s="6"/>
      <c r="O124" s="6">
        <f>Lifetimes_pairs!A122</f>
        <v>0</v>
      </c>
      <c r="P124" s="6">
        <f>Lifetimes_pairs!B122</f>
        <v>0</v>
      </c>
      <c r="Q124">
        <f>Lifetimes!DY1</f>
        <v>0</v>
      </c>
      <c r="R124" t="str">
        <f t="shared" si="5"/>
        <v>OK</v>
      </c>
      <c r="AA124" t="s">
        <v>1830</v>
      </c>
    </row>
    <row r="125" spans="10:27">
      <c r="J125" s="298" t="str">
        <v>Litter in natural environments</v>
      </c>
      <c r="K125" s="303" t="str">
        <f>IF(ISBLANK(J125),"",IF(COUNTIF(L:L,J125),IF(_xlfn.XLOOKUP(J125,'Compartments_Kawecki&amp;Nowack19'!A:A,'Compartments_Kawecki&amp;Nowack19'!B:B,_xlfn.XLOOKUP(J125,Compartments_Added!A:A,Compartments_Added!B:B))="Stock","OK stock","OK flow"),IF(COUNTIF($G$4:$G$18,J125),IF(COUNTIF($E$4:$E$18,J125),"OK input","Missing"),"Missing")))</f>
        <v>OK flow</v>
      </c>
      <c r="L125" s="298" t="str">
        <v>Invitro diagnostic devices</v>
      </c>
      <c r="M125" s="303" t="str">
        <f>IF(COUNTIF(J:J,L125),IF(_xlfn.XLOOKUP(L125,'Compartments_Kawecki&amp;Nowack19'!A:A,'Compartments_Kawecki&amp;Nowack19'!B:B,_xlfn.XLOOKUP(L125,Compartments_Added!A:A,Compartments_Added!B:B))="Stock","OK stock","OK flow"),IF(_xlfn.XLOOKUP(L125,'Compartments_Kawecki&amp;Nowack19'!A:A,'Compartments_Kawecki&amp;Nowack19'!B:B,_xlfn.XLOOKUP(L125,Compartments_Added!A:A,Compartments_Added!B:B))="Sink","OK, Sink","Missing"))</f>
        <v>OK flow</v>
      </c>
      <c r="N125" s="6"/>
      <c r="O125" s="6">
        <f>Lifetimes_pairs!A123</f>
        <v>0</v>
      </c>
      <c r="P125" s="6">
        <f>Lifetimes_pairs!B123</f>
        <v>0</v>
      </c>
      <c r="Q125">
        <f>Lifetimes!DZ1</f>
        <v>0</v>
      </c>
      <c r="R125" t="str">
        <f t="shared" si="5"/>
        <v>OK</v>
      </c>
      <c r="AA125" t="s">
        <v>1831</v>
      </c>
    </row>
    <row r="126" spans="10:27">
      <c r="J126" s="298" t="str">
        <v>Litter in residential environments</v>
      </c>
      <c r="K126" s="303" t="str">
        <f>IF(ISBLANK(J126),"",IF(COUNTIF(L:L,J126),IF(_xlfn.XLOOKUP(J126,'Compartments_Kawecki&amp;Nowack19'!A:A,'Compartments_Kawecki&amp;Nowack19'!B:B,_xlfn.XLOOKUP(J126,Compartments_Added!A:A,Compartments_Added!B:B))="Stock","OK stock","OK flow"),IF(COUNTIF($G$4:$G$18,J126),IF(COUNTIF($E$4:$E$18,J126),"OK input","Missing"),"Missing")))</f>
        <v>OK flow</v>
      </c>
      <c r="L126" s="298" t="str">
        <v>Medicine diffusion limitation (slow release)</v>
      </c>
      <c r="M126" s="303" t="str">
        <f>IF(COUNTIF(J:J,L126),IF(_xlfn.XLOOKUP(L126,'Compartments_Kawecki&amp;Nowack19'!A:A,'Compartments_Kawecki&amp;Nowack19'!B:B,_xlfn.XLOOKUP(L126,Compartments_Added!A:A,Compartments_Added!B:B))="Stock","OK stock","OK flow"),IF(_xlfn.XLOOKUP(L126,'Compartments_Kawecki&amp;Nowack19'!A:A,'Compartments_Kawecki&amp;Nowack19'!B:B,_xlfn.XLOOKUP(L126,Compartments_Added!A:A,Compartments_Added!B:B))="Sink","OK, Sink","Missing"))</f>
        <v>OK flow</v>
      </c>
      <c r="N126" s="6"/>
      <c r="O126" s="6">
        <f>Lifetimes_pairs!A124</f>
        <v>0</v>
      </c>
      <c r="P126" s="6">
        <f>Lifetimes_pairs!B124</f>
        <v>0</v>
      </c>
      <c r="Q126">
        <f>Lifetimes!EA1</f>
        <v>0</v>
      </c>
      <c r="R126" t="str">
        <f t="shared" si="5"/>
        <v>OK</v>
      </c>
      <c r="AA126" t="s">
        <v>1832</v>
      </c>
    </row>
    <row r="127" spans="10:27">
      <c r="J127" s="298" t="str">
        <v>Litter on road sides</v>
      </c>
      <c r="K127" s="303" t="str">
        <f>IF(ISBLANK(J127),"",IF(COUNTIF(L:L,J127),IF(_xlfn.XLOOKUP(J127,'Compartments_Kawecki&amp;Nowack19'!A:A,'Compartments_Kawecki&amp;Nowack19'!B:B,_xlfn.XLOOKUP(J127,Compartments_Added!A:A,Compartments_Added!B:B))="Stock","OK stock","OK flow"),IF(COUNTIF($G$4:$G$18,J127),IF(COUNTIF($E$4:$E$18,J127),"OK input","Missing"),"Missing")))</f>
        <v>OK flow</v>
      </c>
      <c r="L127" s="298" t="str">
        <v>Offshore oil &amp; gas applications</v>
      </c>
      <c r="M127" s="303" t="str">
        <f>IF(COUNTIF(J:J,L127),IF(_xlfn.XLOOKUP(L127,'Compartments_Kawecki&amp;Nowack19'!A:A,'Compartments_Kawecki&amp;Nowack19'!B:B,_xlfn.XLOOKUP(L127,Compartments_Added!A:A,Compartments_Added!B:B))="Stock","OK stock","OK flow"),IF(_xlfn.XLOOKUP(L127,'Compartments_Kawecki&amp;Nowack19'!A:A,'Compartments_Kawecki&amp;Nowack19'!B:B,_xlfn.XLOOKUP(L127,Compartments_Added!A:A,Compartments_Added!B:B))="Sink","OK, Sink","Missing"))</f>
        <v>OK flow</v>
      </c>
      <c r="N127" s="6"/>
      <c r="O127" s="6">
        <f>Lifetimes_pairs!A125</f>
        <v>0</v>
      </c>
      <c r="P127" s="6">
        <f>Lifetimes_pairs!B125</f>
        <v>0</v>
      </c>
      <c r="Q127">
        <f>Lifetimes!EB1</f>
        <v>0</v>
      </c>
      <c r="R127" t="str">
        <f t="shared" si="5"/>
        <v>OK</v>
      </c>
      <c r="AA127" t="s">
        <v>1833</v>
      </c>
    </row>
    <row r="128" spans="10:27">
      <c r="J128" s="298" t="str">
        <v>Manufacturing of clothing</v>
      </c>
      <c r="K128" s="303" t="str">
        <f>IF(ISBLANK(J128),"",IF(COUNTIF(L:L,J128),IF(_xlfn.XLOOKUP(J128,'Compartments_Kawecki&amp;Nowack19'!A:A,'Compartments_Kawecki&amp;Nowack19'!B:B,_xlfn.XLOOKUP(J128,Compartments_Added!A:A,Compartments_Added!B:B))="Stock","OK stock","OK flow"),IF(COUNTIF($G$4:$G$18,J128),IF(COUNTIF($E$4:$E$18,J128),"OK input","Missing"),"Missing")))</f>
        <v>OK flow</v>
      </c>
      <c r="L128" s="298" t="str">
        <v>PCCP</v>
      </c>
      <c r="M128" s="303" t="str">
        <f>IF(COUNTIF(J:J,L128),IF(_xlfn.XLOOKUP(L128,'Compartments_Kawecki&amp;Nowack19'!A:A,'Compartments_Kawecki&amp;Nowack19'!B:B,_xlfn.XLOOKUP(L128,Compartments_Added!A:A,Compartments_Added!B:B))="Stock","OK stock","OK flow"),IF(_xlfn.XLOOKUP(L128,'Compartments_Kawecki&amp;Nowack19'!A:A,'Compartments_Kawecki&amp;Nowack19'!B:B,_xlfn.XLOOKUP(L128,Compartments_Added!A:A,Compartments_Added!B:B))="Sink","OK, Sink","Missing"))</f>
        <v>OK flow</v>
      </c>
      <c r="N128" s="6"/>
      <c r="O128" s="6">
        <f>Lifetimes_pairs!A126</f>
        <v>0</v>
      </c>
      <c r="P128" s="6">
        <f>Lifetimes_pairs!B126</f>
        <v>0</v>
      </c>
      <c r="Q128">
        <f>Lifetimes!EC1</f>
        <v>0</v>
      </c>
      <c r="R128" t="str">
        <f t="shared" si="5"/>
        <v>OK</v>
      </c>
      <c r="AA128" t="s">
        <v>1834</v>
      </c>
    </row>
    <row r="129" spans="10:27">
      <c r="J129" s="298" t="str">
        <v>Medical textiles</v>
      </c>
      <c r="K129" s="303" t="str">
        <f>IF(ISBLANK(J129),"",IF(COUNTIF(L:L,J129),IF(_xlfn.XLOOKUP(J129,'Compartments_Kawecki&amp;Nowack19'!A:A,'Compartments_Kawecki&amp;Nowack19'!B:B,_xlfn.XLOOKUP(J129,Compartments_Added!A:A,Compartments_Added!B:B))="Stock","OK stock","OK flow"),IF(COUNTIF($G$4:$G$18,J129),IF(COUNTIF($E$4:$E$18,J129),"OK input","Missing"),"Missing")))</f>
        <v>OK stock</v>
      </c>
      <c r="L129" s="298" t="str">
        <v>Plant protection products</v>
      </c>
      <c r="M129" s="303" t="str">
        <f>IF(COUNTIF(J:J,L129),IF(_xlfn.XLOOKUP(L129,'Compartments_Kawecki&amp;Nowack19'!A:A,'Compartments_Kawecki&amp;Nowack19'!B:B,_xlfn.XLOOKUP(L129,Compartments_Added!A:A,Compartments_Added!B:B))="Stock","OK stock","OK flow"),IF(_xlfn.XLOOKUP(L129,'Compartments_Kawecki&amp;Nowack19'!A:A,'Compartments_Kawecki&amp;Nowack19'!B:B,_xlfn.XLOOKUP(L129,Compartments_Added!A:A,Compartments_Added!B:B))="Sink","OK, Sink","Missing"))</f>
        <v>OK flow</v>
      </c>
      <c r="N129" s="6"/>
      <c r="O129" s="6">
        <f>Lifetimes_pairs!A127</f>
        <v>0</v>
      </c>
      <c r="P129" s="6">
        <f>Lifetimes_pairs!B127</f>
        <v>0</v>
      </c>
      <c r="Q129">
        <f>Lifetimes!ED1</f>
        <v>0</v>
      </c>
      <c r="R129" t="str">
        <f t="shared" si="5"/>
        <v>OK</v>
      </c>
      <c r="AA129" t="s">
        <v>1835</v>
      </c>
    </row>
    <row r="130" spans="10:27">
      <c r="J130" s="298" t="str">
        <v>Medicine diffusion limitation (slow release)</v>
      </c>
      <c r="K130" s="303" t="str">
        <f>IF(ISBLANK(J130),"",IF(COUNTIF(L:L,J130),IF(_xlfn.XLOOKUP(J130,'Compartments_Kawecki&amp;Nowack19'!A:A,'Compartments_Kawecki&amp;Nowack19'!B:B,_xlfn.XLOOKUP(J130,Compartments_Added!A:A,Compartments_Added!B:B))="Stock","OK stock","OK flow"),IF(COUNTIF($G$4:$G$18,J130),IF(COUNTIF($E$4:$E$18,J130),"OK input","Missing"),"Missing")))</f>
        <v>OK flow</v>
      </c>
      <c r="L130" s="298" t="str">
        <v>Seed coating</v>
      </c>
      <c r="M130" s="303" t="str">
        <f>IF(COUNTIF(J:J,L130),IF(_xlfn.XLOOKUP(L130,'Compartments_Kawecki&amp;Nowack19'!A:A,'Compartments_Kawecki&amp;Nowack19'!B:B,_xlfn.XLOOKUP(L130,Compartments_Added!A:A,Compartments_Added!B:B))="Stock","OK stock","OK flow"),IF(_xlfn.XLOOKUP(L130,'Compartments_Kawecki&amp;Nowack19'!A:A,'Compartments_Kawecki&amp;Nowack19'!B:B,_xlfn.XLOOKUP(L130,Compartments_Added!A:A,Compartments_Added!B:B))="Sink","OK, Sink","Missing"))</f>
        <v>OK flow</v>
      </c>
      <c r="N130" s="6"/>
      <c r="O130" s="6">
        <f>Lifetimes_pairs!A128</f>
        <v>0</v>
      </c>
      <c r="P130" s="6">
        <f>Lifetimes_pairs!B128</f>
        <v>0</v>
      </c>
      <c r="Q130">
        <f>Lifetimes!EE1</f>
        <v>0</v>
      </c>
      <c r="R130" t="str">
        <f t="shared" si="5"/>
        <v>OK</v>
      </c>
      <c r="AA130" t="s">
        <v>1836</v>
      </c>
    </row>
    <row r="131" spans="10:27">
      <c r="J131" s="298" t="str">
        <v>Mixed waste collection</v>
      </c>
      <c r="K131" s="303" t="str">
        <f>IF(ISBLANK(J131),"",IF(COUNTIF(L:L,J131),IF(_xlfn.XLOOKUP(J131,'Compartments_Kawecki&amp;Nowack19'!A:A,'Compartments_Kawecki&amp;Nowack19'!B:B,_xlfn.XLOOKUP(J131,Compartments_Added!A:A,Compartments_Added!B:B))="Stock","OK stock","OK flow"),IF(COUNTIF($G$4:$G$18,J131),IF(COUNTIF($E$4:$E$18,J131),"OK input","Missing"),"Missing")))</f>
        <v>OK flow</v>
      </c>
      <c r="L131" s="298" t="str">
        <v>Clothing rarely washed (in use)</v>
      </c>
      <c r="M131" s="303" t="str">
        <f>IF(COUNTIF(J:J,L131),IF(_xlfn.XLOOKUP(L131,'Compartments_Kawecki&amp;Nowack19'!A:A,'Compartments_Kawecki&amp;Nowack19'!B:B,_xlfn.XLOOKUP(L131,Compartments_Added!A:A,Compartments_Added!B:B))="Stock","OK stock","OK flow"),IF(_xlfn.XLOOKUP(L131,'Compartments_Kawecki&amp;Nowack19'!A:A,'Compartments_Kawecki&amp;Nowack19'!B:B,_xlfn.XLOOKUP(L131,Compartments_Added!A:A,Compartments_Added!B:B))="Sink","OK, Sink","Missing"))</f>
        <v>OK flow</v>
      </c>
      <c r="N131" s="6"/>
      <c r="O131" s="6">
        <f>Lifetimes_pairs!A129</f>
        <v>0</v>
      </c>
      <c r="P131" s="6">
        <f>Lifetimes_pairs!B129</f>
        <v>0</v>
      </c>
      <c r="Q131">
        <f>Lifetimes!EF1</f>
        <v>0</v>
      </c>
      <c r="R131" t="str">
        <f t="shared" si="5"/>
        <v>OK</v>
      </c>
      <c r="AA131" t="s">
        <v>1837</v>
      </c>
    </row>
    <row r="132" spans="10:27">
      <c r="J132" s="298" t="str">
        <v>Mixed waste collection (micro)</v>
      </c>
      <c r="K132" s="303" t="str">
        <f>IF(ISBLANK(J132),"",IF(COUNTIF(L:L,J132),IF(_xlfn.XLOOKUP(J132,'Compartments_Kawecki&amp;Nowack19'!A:A,'Compartments_Kawecki&amp;Nowack19'!B:B,_xlfn.XLOOKUP(J132,Compartments_Added!A:A,Compartments_Added!B:B))="Stock","OK stock","OK flow"),IF(COUNTIF($G$4:$G$18,J132),IF(COUNTIF($E$4:$E$18,J132),"OK input","Missing"),"Missing")))</f>
        <v>OK flow</v>
      </c>
      <c r="L132" s="298" t="str">
        <v>Clothing rarely washed (discarded)</v>
      </c>
      <c r="M132" s="303" t="str">
        <f>IF(COUNTIF(J:J,L132),IF(_xlfn.XLOOKUP(L132,'Compartments_Kawecki&amp;Nowack19'!A:A,'Compartments_Kawecki&amp;Nowack19'!B:B,_xlfn.XLOOKUP(L132,Compartments_Added!A:A,Compartments_Added!B:B))="Stock","OK stock","OK flow"),IF(_xlfn.XLOOKUP(L132,'Compartments_Kawecki&amp;Nowack19'!A:A,'Compartments_Kawecki&amp;Nowack19'!B:B,_xlfn.XLOOKUP(L132,Compartments_Added!A:A,Compartments_Added!B:B))="Sink","OK, Sink","Missing"))</f>
        <v>OK flow</v>
      </c>
      <c r="N132" s="6"/>
      <c r="O132" s="6">
        <f>Lifetimes_pairs!A130</f>
        <v>0</v>
      </c>
      <c r="P132" s="6">
        <f>Lifetimes_pairs!B130</f>
        <v>0</v>
      </c>
      <c r="Q132">
        <f>Lifetimes!EG1</f>
        <v>0</v>
      </c>
      <c r="R132" t="str">
        <f t="shared" si="5"/>
        <v>OK</v>
      </c>
      <c r="AA132" t="s">
        <v>1838</v>
      </c>
    </row>
    <row r="133" spans="10:27">
      <c r="J133" s="298" t="str">
        <v>Mobility textiles</v>
      </c>
      <c r="K133" s="303" t="str">
        <f>IF(ISBLANK(J133),"",IF(COUNTIF(L:L,J133),IF(_xlfn.XLOOKUP(J133,'Compartments_Kawecki&amp;Nowack19'!A:A,'Compartments_Kawecki&amp;Nowack19'!B:B,_xlfn.XLOOKUP(J133,Compartments_Added!A:A,Compartments_Added!B:B))="Stock","OK stock","OK flow"),IF(COUNTIF($G$4:$G$18,J133),IF(COUNTIF($E$4:$E$18,J133),"OK input","Missing"),"Missing")))</f>
        <v>OK stock</v>
      </c>
      <c r="L133" s="298" t="str">
        <v>Lacquer (DIY) outdoor</v>
      </c>
      <c r="M133" s="303" t="str">
        <f>IF(COUNTIF(J:J,L133),IF(_xlfn.XLOOKUP(L133,'Compartments_Kawecki&amp;Nowack19'!A:A,'Compartments_Kawecki&amp;Nowack19'!B:B,_xlfn.XLOOKUP(L133,Compartments_Added!A:A,Compartments_Added!B:B))="Stock","OK stock","OK flow"),IF(_xlfn.XLOOKUP(L133,'Compartments_Kawecki&amp;Nowack19'!A:A,'Compartments_Kawecki&amp;Nowack19'!B:B,_xlfn.XLOOKUP(L133,Compartments_Added!A:A,Compartments_Added!B:B))="Sink","OK, Sink","Missing"))</f>
        <v>OK flow</v>
      </c>
      <c r="N133" s="6"/>
      <c r="O133" s="6">
        <f>Lifetimes_pairs!A131</f>
        <v>0</v>
      </c>
      <c r="P133" s="6">
        <f>Lifetimes_pairs!B131</f>
        <v>0</v>
      </c>
      <c r="Q133">
        <f>Lifetimes!EH1</f>
        <v>0</v>
      </c>
      <c r="R133" t="str">
        <f t="shared" ref="R133:R196" si="6">IF(COUNTIF(P:P,Q133), "OK", "Missing")</f>
        <v>OK</v>
      </c>
      <c r="AA133" t="s">
        <v>1839</v>
      </c>
    </row>
    <row r="134" spans="10:27">
      <c r="J134" s="298" t="str">
        <v>Non-consumer bags</v>
      </c>
      <c r="K134" s="303" t="str">
        <f>IF(ISBLANK(J134),"",IF(COUNTIF(L:L,J134),IF(_xlfn.XLOOKUP(J134,'Compartments_Kawecki&amp;Nowack19'!A:A,'Compartments_Kawecki&amp;Nowack19'!B:B,_xlfn.XLOOKUP(J134,Compartments_Added!A:A,Compartments_Added!B:B))="Stock","OK stock","OK flow"),IF(COUNTIF($G$4:$G$18,J134),IF(COUNTIF($E$4:$E$18,J134),"OK input","Missing"),"Missing")))</f>
        <v>OK stock</v>
      </c>
      <c r="L134" s="298" t="str">
        <v>Lacquer (DIY) indoor</v>
      </c>
      <c r="M134" s="303" t="str">
        <f>IF(COUNTIF(J:J,L134),IF(_xlfn.XLOOKUP(L134,'Compartments_Kawecki&amp;Nowack19'!A:A,'Compartments_Kawecki&amp;Nowack19'!B:B,_xlfn.XLOOKUP(L134,Compartments_Added!A:A,Compartments_Added!B:B))="Stock","OK stock","OK flow"),IF(_xlfn.XLOOKUP(L134,'Compartments_Kawecki&amp;Nowack19'!A:A,'Compartments_Kawecki&amp;Nowack19'!B:B,_xlfn.XLOOKUP(L134,Compartments_Added!A:A,Compartments_Added!B:B))="Sink","OK, Sink","Missing"))</f>
        <v>OK flow</v>
      </c>
      <c r="N134" s="6"/>
      <c r="O134" s="6">
        <f>Lifetimes_pairs!A132</f>
        <v>0</v>
      </c>
      <c r="P134" s="6">
        <f>Lifetimes_pairs!B132</f>
        <v>0</v>
      </c>
      <c r="Q134">
        <f>Lifetimes!EI1</f>
        <v>0</v>
      </c>
      <c r="R134" t="str">
        <f t="shared" si="6"/>
        <v>OK</v>
      </c>
      <c r="AA134" t="s">
        <v>1840</v>
      </c>
    </row>
    <row r="135" spans="10:27">
      <c r="J135" s="298" t="str">
        <v>Offshore oil &amp; gas applications</v>
      </c>
      <c r="K135" s="303" t="str">
        <f>IF(ISBLANK(J135),"",IF(COUNTIF(L:L,J135),IF(_xlfn.XLOOKUP(J135,'Compartments_Kawecki&amp;Nowack19'!A:A,'Compartments_Kawecki&amp;Nowack19'!B:B,_xlfn.XLOOKUP(J135,Compartments_Added!A:A,Compartments_Added!B:B))="Stock","OK stock","OK flow"),IF(COUNTIF($G$4:$G$18,J135),IF(COUNTIF($E$4:$E$18,J135),"OK input","Missing"),"Missing")))</f>
        <v>OK flow</v>
      </c>
      <c r="L135" s="298" t="str">
        <v>Lacquer (DIY) indoor (in use)</v>
      </c>
      <c r="M135" s="303" t="str">
        <f>IF(COUNTIF(J:J,L135),IF(_xlfn.XLOOKUP(L135,'Compartments_Kawecki&amp;Nowack19'!A:A,'Compartments_Kawecki&amp;Nowack19'!B:B,_xlfn.XLOOKUP(L135,Compartments_Added!A:A,Compartments_Added!B:B))="Stock","OK stock","OK flow"),IF(_xlfn.XLOOKUP(L135,'Compartments_Kawecki&amp;Nowack19'!A:A,'Compartments_Kawecki&amp;Nowack19'!B:B,_xlfn.XLOOKUP(L135,Compartments_Added!A:A,Compartments_Added!B:B))="Sink","OK, Sink","Missing"))</f>
        <v>OK stock</v>
      </c>
      <c r="N135" s="6"/>
      <c r="O135" s="6">
        <f>Lifetimes_pairs!A133</f>
        <v>0</v>
      </c>
      <c r="P135" s="6">
        <f>Lifetimes_pairs!B133</f>
        <v>0</v>
      </c>
      <c r="Q135">
        <f>Lifetimes!EJ1</f>
        <v>0</v>
      </c>
      <c r="R135" t="str">
        <f t="shared" si="6"/>
        <v>OK</v>
      </c>
      <c r="AA135" t="s">
        <v>1841</v>
      </c>
    </row>
    <row r="136" spans="10:27">
      <c r="J136" s="298" t="str">
        <v>On-site sewage facility (macro)</v>
      </c>
      <c r="K136" s="303" t="str">
        <f>IF(ISBLANK(J136),"",IF(COUNTIF(L:L,J136),IF(_xlfn.XLOOKUP(J136,'Compartments_Kawecki&amp;Nowack19'!A:A,'Compartments_Kawecki&amp;Nowack19'!B:B,_xlfn.XLOOKUP(J136,Compartments_Added!A:A,Compartments_Added!B:B))="Stock","OK stock","OK flow"),IF(COUNTIF($G$4:$G$18,J136),IF(COUNTIF($E$4:$E$18,J136),"OK input","Missing"),"Missing")))</f>
        <v>OK flow</v>
      </c>
      <c r="L136" s="298" t="str">
        <v>Lacquer (DIY) indoor (discarded)</v>
      </c>
      <c r="M136" s="303" t="str">
        <f>IF(COUNTIF(J:J,L136),IF(_xlfn.XLOOKUP(L136,'Compartments_Kawecki&amp;Nowack19'!A:A,'Compartments_Kawecki&amp;Nowack19'!B:B,_xlfn.XLOOKUP(L136,Compartments_Added!A:A,Compartments_Added!B:B))="Stock","OK stock","OK flow"),IF(_xlfn.XLOOKUP(L136,'Compartments_Kawecki&amp;Nowack19'!A:A,'Compartments_Kawecki&amp;Nowack19'!B:B,_xlfn.XLOOKUP(L136,Compartments_Added!A:A,Compartments_Added!B:B))="Sink","OK, Sink","Missing"))</f>
        <v>OK stock</v>
      </c>
      <c r="N136" s="6"/>
      <c r="O136" s="6">
        <f>Lifetimes_pairs!A134</f>
        <v>0</v>
      </c>
      <c r="P136" s="6">
        <f>Lifetimes_pairs!B134</f>
        <v>0</v>
      </c>
      <c r="Q136">
        <f>Lifetimes!EK1</f>
        <v>0</v>
      </c>
      <c r="R136" t="str">
        <f t="shared" si="6"/>
        <v>OK</v>
      </c>
      <c r="AA136" t="s">
        <v>1842</v>
      </c>
    </row>
    <row r="137" spans="10:27">
      <c r="J137" s="298" t="str">
        <v>On-site sewage facility (micro)</v>
      </c>
      <c r="K137" s="303" t="str">
        <f>IF(ISBLANK(J137),"",IF(COUNTIF(L:L,J137),IF(_xlfn.XLOOKUP(J137,'Compartments_Kawecki&amp;Nowack19'!A:A,'Compartments_Kawecki&amp;Nowack19'!B:B,_xlfn.XLOOKUP(J137,Compartments_Added!A:A,Compartments_Added!B:B))="Stock","OK stock","OK flow"),IF(COUNTIF($G$4:$G$18,J137),IF(COUNTIF($E$4:$E$18,J137),"OK input","Missing"),"Missing")))</f>
        <v>OK flow</v>
      </c>
      <c r="L137" s="298" t="str">
        <v>Lacquer (DIY) outdoor (in use)</v>
      </c>
      <c r="M137" s="303" t="str">
        <f>IF(COUNTIF(J:J,L137),IF(_xlfn.XLOOKUP(L137,'Compartments_Kawecki&amp;Nowack19'!A:A,'Compartments_Kawecki&amp;Nowack19'!B:B,_xlfn.XLOOKUP(L137,Compartments_Added!A:A,Compartments_Added!B:B))="Stock","OK stock","OK flow"),IF(_xlfn.XLOOKUP(L137,'Compartments_Kawecki&amp;Nowack19'!A:A,'Compartments_Kawecki&amp;Nowack19'!B:B,_xlfn.XLOOKUP(L137,Compartments_Added!A:A,Compartments_Added!B:B))="Sink","OK, Sink","Missing"))</f>
        <v>OK stock</v>
      </c>
      <c r="N137" s="6"/>
      <c r="O137" s="6">
        <f>Lifetimes_pairs!A135</f>
        <v>0</v>
      </c>
      <c r="P137" s="6">
        <f>Lifetimes_pairs!B135</f>
        <v>0</v>
      </c>
      <c r="Q137">
        <f>Lifetimes!EL1</f>
        <v>0</v>
      </c>
      <c r="R137" t="str">
        <f t="shared" si="6"/>
        <v>OK</v>
      </c>
      <c r="AA137" t="s">
        <v>1843</v>
      </c>
    </row>
    <row r="138" spans="10:27">
      <c r="J138" s="298" t="str">
        <v>On-the-go consumption</v>
      </c>
      <c r="K138" s="303" t="str">
        <f>IF(ISBLANK(J138),"",IF(COUNTIF(L:L,J138),IF(_xlfn.XLOOKUP(J138,'Compartments_Kawecki&amp;Nowack19'!A:A,'Compartments_Kawecki&amp;Nowack19'!B:B,_xlfn.XLOOKUP(J138,Compartments_Added!A:A,Compartments_Added!B:B))="Stock","OK stock","OK flow"),IF(COUNTIF($G$4:$G$18,J138),IF(COUNTIF($E$4:$E$18,J138),"OK input","Missing"),"Missing")))</f>
        <v>OK flow</v>
      </c>
      <c r="L138" s="298" t="str">
        <v>Lacquer (DIY) outdoor (discarded)</v>
      </c>
      <c r="M138" s="303" t="str">
        <f>IF(COUNTIF(J:J,L138),IF(_xlfn.XLOOKUP(L138,'Compartments_Kawecki&amp;Nowack19'!A:A,'Compartments_Kawecki&amp;Nowack19'!B:B,_xlfn.XLOOKUP(L138,Compartments_Added!A:A,Compartments_Added!B:B))="Stock","OK stock","OK flow"),IF(_xlfn.XLOOKUP(L138,'Compartments_Kawecki&amp;Nowack19'!A:A,'Compartments_Kawecki&amp;Nowack19'!B:B,_xlfn.XLOOKUP(L138,Compartments_Added!A:A,Compartments_Added!B:B))="Sink","OK, Sink","Missing"))</f>
        <v>OK stock</v>
      </c>
      <c r="N138" s="6"/>
      <c r="O138" s="6">
        <f>Lifetimes_pairs!A136</f>
        <v>0</v>
      </c>
      <c r="P138" s="6">
        <f>Lifetimes_pairs!B136</f>
        <v>0</v>
      </c>
      <c r="Q138">
        <f>Lifetimes!EM1</f>
        <v>0</v>
      </c>
      <c r="R138" t="str">
        <f t="shared" si="6"/>
        <v>OK</v>
      </c>
      <c r="AA138" t="s">
        <v>1844</v>
      </c>
    </row>
    <row r="139" spans="10:27">
      <c r="J139" s="298" t="str">
        <v>On-the-go consumption (nature)</v>
      </c>
      <c r="K139" s="303" t="str">
        <f>IF(ISBLANK(J139),"",IF(COUNTIF(L:L,J139),IF(_xlfn.XLOOKUP(J139,'Compartments_Kawecki&amp;Nowack19'!A:A,'Compartments_Kawecki&amp;Nowack19'!B:B,_xlfn.XLOOKUP(J139,Compartments_Added!A:A,Compartments_Added!B:B))="Stock","OK stock","OK flow"),IF(COUNTIF($G$4:$G$18,J139),IF(COUNTIF($E$4:$E$18,J139),"OK input","Missing"),"Missing")))</f>
        <v>OK flow</v>
      </c>
      <c r="L139" s="298" t="str">
        <v>Lacquer (prof) outdoor</v>
      </c>
      <c r="M139" s="303" t="str">
        <f>IF(COUNTIF(J:J,L139),IF(_xlfn.XLOOKUP(L139,'Compartments_Kawecki&amp;Nowack19'!A:A,'Compartments_Kawecki&amp;Nowack19'!B:B,_xlfn.XLOOKUP(L139,Compartments_Added!A:A,Compartments_Added!B:B))="Stock","OK stock","OK flow"),IF(_xlfn.XLOOKUP(L139,'Compartments_Kawecki&amp;Nowack19'!A:A,'Compartments_Kawecki&amp;Nowack19'!B:B,_xlfn.XLOOKUP(L139,Compartments_Added!A:A,Compartments_Added!B:B))="Sink","OK, Sink","Missing"))</f>
        <v>OK flow</v>
      </c>
      <c r="N139" s="6"/>
      <c r="O139" s="6">
        <f>Lifetimes_pairs!A137</f>
        <v>0</v>
      </c>
      <c r="P139" s="6">
        <f>Lifetimes_pairs!B137</f>
        <v>0</v>
      </c>
      <c r="Q139">
        <f>Lifetimes!EN1</f>
        <v>0</v>
      </c>
      <c r="R139" t="str">
        <f t="shared" si="6"/>
        <v>OK</v>
      </c>
      <c r="AA139" t="s">
        <v>1845</v>
      </c>
    </row>
    <row r="140" spans="10:27">
      <c r="J140" s="298" t="str">
        <v>On-the-go consumption (residential)</v>
      </c>
      <c r="K140" s="303" t="str">
        <f>IF(ISBLANK(J140),"",IF(COUNTIF(L:L,J140),IF(_xlfn.XLOOKUP(J140,'Compartments_Kawecki&amp;Nowack19'!A:A,'Compartments_Kawecki&amp;Nowack19'!B:B,_xlfn.XLOOKUP(J140,Compartments_Added!A:A,Compartments_Added!B:B))="Stock","OK stock","OK flow"),IF(COUNTIF($G$4:$G$18,J140),IF(COUNTIF($E$4:$E$18,J140),"OK input","Missing"),"Missing")))</f>
        <v>OK flow</v>
      </c>
      <c r="L140" s="298" t="str">
        <v>Lacquer (prof) indoor</v>
      </c>
      <c r="M140" s="303" t="str">
        <f>IF(COUNTIF(J:J,L140),IF(_xlfn.XLOOKUP(L140,'Compartments_Kawecki&amp;Nowack19'!A:A,'Compartments_Kawecki&amp;Nowack19'!B:B,_xlfn.XLOOKUP(L140,Compartments_Added!A:A,Compartments_Added!B:B))="Stock","OK stock","OK flow"),IF(_xlfn.XLOOKUP(L140,'Compartments_Kawecki&amp;Nowack19'!A:A,'Compartments_Kawecki&amp;Nowack19'!B:B,_xlfn.XLOOKUP(L140,Compartments_Added!A:A,Compartments_Added!B:B))="Sink","OK, Sink","Missing"))</f>
        <v>OK flow</v>
      </c>
      <c r="N140" s="6"/>
      <c r="O140" s="6">
        <f>Lifetimes_pairs!A138</f>
        <v>0</v>
      </c>
      <c r="P140" s="6">
        <f>Lifetimes_pairs!B138</f>
        <v>0</v>
      </c>
      <c r="Q140">
        <f>Lifetimes!EO1</f>
        <v>0</v>
      </c>
      <c r="R140" t="str">
        <f t="shared" si="6"/>
        <v>OK</v>
      </c>
      <c r="AA140" t="s">
        <v>1846</v>
      </c>
    </row>
    <row r="141" spans="10:27">
      <c r="J141" s="298" t="str">
        <v>On-the-go consumption (transport)</v>
      </c>
      <c r="K141" s="303" t="str">
        <f>IF(ISBLANK(J141),"",IF(COUNTIF(L:L,J141),IF(_xlfn.XLOOKUP(J141,'Compartments_Kawecki&amp;Nowack19'!A:A,'Compartments_Kawecki&amp;Nowack19'!B:B,_xlfn.XLOOKUP(J141,Compartments_Added!A:A,Compartments_Added!B:B))="Stock","OK stock","OK flow"),IF(COUNTIF($G$4:$G$18,J141),IF(COUNTIF($E$4:$E$18,J141),"OK input","Missing"),"Missing")))</f>
        <v>OK flow</v>
      </c>
      <c r="L141" s="298" t="str">
        <v>Lacquer (prof) indoor (in use)</v>
      </c>
      <c r="M141" s="303" t="str">
        <f>IF(COUNTIF(J:J,L141),IF(_xlfn.XLOOKUP(L141,'Compartments_Kawecki&amp;Nowack19'!A:A,'Compartments_Kawecki&amp;Nowack19'!B:B,_xlfn.XLOOKUP(L141,Compartments_Added!A:A,Compartments_Added!B:B))="Stock","OK stock","OK flow"),IF(_xlfn.XLOOKUP(L141,'Compartments_Kawecki&amp;Nowack19'!A:A,'Compartments_Kawecki&amp;Nowack19'!B:B,_xlfn.XLOOKUP(L141,Compartments_Added!A:A,Compartments_Added!B:B))="Sink","OK, Sink","Missing"))</f>
        <v>OK stock</v>
      </c>
      <c r="N141" s="6"/>
      <c r="O141" s="6">
        <f>Lifetimes_pairs!A139</f>
        <v>0</v>
      </c>
      <c r="P141" s="6">
        <f>Lifetimes_pairs!B139</f>
        <v>0</v>
      </c>
      <c r="Q141">
        <f>Lifetimes!EP1</f>
        <v>0</v>
      </c>
      <c r="R141" t="str">
        <f t="shared" si="6"/>
        <v>OK</v>
      </c>
      <c r="AA141" t="s">
        <v>1847</v>
      </c>
    </row>
    <row r="142" spans="10:27" ht="14.4" customHeight="1">
      <c r="J142" s="298" t="str">
        <v>Open-toed shoes</v>
      </c>
      <c r="K142" s="303" t="str">
        <f>IF(ISBLANK(J142),"",IF(COUNTIF(L:L,J142),IF(_xlfn.XLOOKUP(J142,'Compartments_Kawecki&amp;Nowack19'!A:A,'Compartments_Kawecki&amp;Nowack19'!B:B,_xlfn.XLOOKUP(J142,Compartments_Added!A:A,Compartments_Added!B:B))="Stock","OK stock","OK flow"),IF(COUNTIF($G$4:$G$18,J142),IF(COUNTIF($E$4:$E$18,J142),"OK input","Missing"),"Missing")))</f>
        <v>OK stock</v>
      </c>
      <c r="L142" s="298" t="str">
        <v>Lacquer (prof) indoor (discarded)</v>
      </c>
      <c r="M142" s="303" t="str">
        <f>IF(COUNTIF(J:J,L142),IF(_xlfn.XLOOKUP(L142,'Compartments_Kawecki&amp;Nowack19'!A:A,'Compartments_Kawecki&amp;Nowack19'!B:B,_xlfn.XLOOKUP(L142,Compartments_Added!A:A,Compartments_Added!B:B))="Stock","OK stock","OK flow"),IF(_xlfn.XLOOKUP(L142,'Compartments_Kawecki&amp;Nowack19'!A:A,'Compartments_Kawecki&amp;Nowack19'!B:B,_xlfn.XLOOKUP(L142,Compartments_Added!A:A,Compartments_Added!B:B))="Sink","OK, Sink","Missing"))</f>
        <v>OK stock</v>
      </c>
      <c r="N142" s="6"/>
      <c r="O142" s="6">
        <f>Lifetimes_pairs!A140</f>
        <v>0</v>
      </c>
      <c r="P142" s="6">
        <f>Lifetimes_pairs!B140</f>
        <v>0</v>
      </c>
      <c r="Q142">
        <f>Lifetimes!EQ1</f>
        <v>0</v>
      </c>
      <c r="R142" t="str">
        <f t="shared" si="6"/>
        <v>OK</v>
      </c>
      <c r="AA142" t="s">
        <v>1848</v>
      </c>
    </row>
    <row r="143" spans="10:27" ht="14.4" customHeight="1">
      <c r="J143" s="298" t="str">
        <v>Other consumer packaging</v>
      </c>
      <c r="K143" s="303" t="str">
        <f>IF(ISBLANK(J143),"",IF(COUNTIF(L:L,J143),IF(_xlfn.XLOOKUP(J143,'Compartments_Kawecki&amp;Nowack19'!A:A,'Compartments_Kawecki&amp;Nowack19'!B:B,_xlfn.XLOOKUP(J143,Compartments_Added!A:A,Compartments_Added!B:B))="Stock","OK stock","OK flow"),IF(COUNTIF($G$4:$G$18,J143),IF(COUNTIF($E$4:$E$18,J143),"OK input","Missing"),"Missing")))</f>
        <v>OK stock</v>
      </c>
      <c r="L143" s="298" t="str">
        <v>Lacquer (prof) outdoor (in use)</v>
      </c>
      <c r="M143" s="303" t="str">
        <f>IF(COUNTIF(J:J,L143),IF(_xlfn.XLOOKUP(L143,'Compartments_Kawecki&amp;Nowack19'!A:A,'Compartments_Kawecki&amp;Nowack19'!B:B,_xlfn.XLOOKUP(L143,Compartments_Added!A:A,Compartments_Added!B:B))="Stock","OK stock","OK flow"),IF(_xlfn.XLOOKUP(L143,'Compartments_Kawecki&amp;Nowack19'!A:A,'Compartments_Kawecki&amp;Nowack19'!B:B,_xlfn.XLOOKUP(L143,Compartments_Added!A:A,Compartments_Added!B:B))="Sink","OK, Sink","Missing"))</f>
        <v>OK stock</v>
      </c>
      <c r="N143" s="6"/>
      <c r="O143" s="6">
        <f>Lifetimes_pairs!A141</f>
        <v>0</v>
      </c>
      <c r="P143" s="6">
        <f>Lifetimes_pairs!B141</f>
        <v>0</v>
      </c>
      <c r="Q143">
        <f>Lifetimes!ER1</f>
        <v>0</v>
      </c>
      <c r="R143" t="str">
        <f t="shared" si="6"/>
        <v>OK</v>
      </c>
      <c r="AA143" t="s">
        <v>1849</v>
      </c>
    </row>
    <row r="144" spans="10:27">
      <c r="J144" s="298" t="str">
        <v>Other non-consumer films</v>
      </c>
      <c r="K144" s="303" t="str">
        <f>IF(ISBLANK(J144),"",IF(COUNTIF(L:L,J144),IF(_xlfn.XLOOKUP(J144,'Compartments_Kawecki&amp;Nowack19'!A:A,'Compartments_Kawecki&amp;Nowack19'!B:B,_xlfn.XLOOKUP(J144,Compartments_Added!A:A,Compartments_Added!B:B))="Stock","OK stock","OK flow"),IF(COUNTIF($G$4:$G$18,J144),IF(COUNTIF($E$4:$E$18,J144),"OK input","Missing"),"Missing")))</f>
        <v>OK stock</v>
      </c>
      <c r="L144" s="298" t="str">
        <v>Lacquer (prof) outdoor (discarded)</v>
      </c>
      <c r="M144" s="303" t="str">
        <f>IF(COUNTIF(J:J,L144),IF(_xlfn.XLOOKUP(L144,'Compartments_Kawecki&amp;Nowack19'!A:A,'Compartments_Kawecki&amp;Nowack19'!B:B,_xlfn.XLOOKUP(L144,Compartments_Added!A:A,Compartments_Added!B:B))="Stock","OK stock","OK flow"),IF(_xlfn.XLOOKUP(L144,'Compartments_Kawecki&amp;Nowack19'!A:A,'Compartments_Kawecki&amp;Nowack19'!B:B,_xlfn.XLOOKUP(L144,Compartments_Added!A:A,Compartments_Added!B:B))="Sink","OK, Sink","Missing"))</f>
        <v>OK stock</v>
      </c>
      <c r="N144" s="6"/>
      <c r="O144" s="6">
        <f>Lifetimes_pairs!A142</f>
        <v>0</v>
      </c>
      <c r="P144" s="6">
        <f>Lifetimes_pairs!B142</f>
        <v>0</v>
      </c>
      <c r="Q144">
        <f>Lifetimes!ES1</f>
        <v>0</v>
      </c>
      <c r="R144" t="str">
        <f t="shared" si="6"/>
        <v>OK</v>
      </c>
      <c r="AA144" t="s">
        <v>1850</v>
      </c>
    </row>
    <row r="145" spans="10:27">
      <c r="J145" s="298" t="str">
        <v>Other non-consumer packaging</v>
      </c>
      <c r="K145" s="303" t="str">
        <f>IF(ISBLANK(J145),"",IF(COUNTIF(L:L,J145),IF(_xlfn.XLOOKUP(J145,'Compartments_Kawecki&amp;Nowack19'!A:A,'Compartments_Kawecki&amp;Nowack19'!B:B,_xlfn.XLOOKUP(J145,Compartments_Added!A:A,Compartments_Added!B:B))="Stock","OK stock","OK flow"),IF(COUNTIF($G$4:$G$18,J145),IF(COUNTIF($E$4:$E$18,J145),"OK input","Missing"),"Missing")))</f>
        <v>OK stock</v>
      </c>
      <c r="L145" s="298" t="str">
        <v>Clean lint filter by hand</v>
      </c>
      <c r="M145" s="303" t="str">
        <f>IF(COUNTIF(J:J,L145),IF(_xlfn.XLOOKUP(L145,'Compartments_Kawecki&amp;Nowack19'!A:A,'Compartments_Kawecki&amp;Nowack19'!B:B,_xlfn.XLOOKUP(L145,Compartments_Added!A:A,Compartments_Added!B:B))="Stock","OK stock","OK flow"),IF(_xlfn.XLOOKUP(L145,'Compartments_Kawecki&amp;Nowack19'!A:A,'Compartments_Kawecki&amp;Nowack19'!B:B,_xlfn.XLOOKUP(L145,Compartments_Added!A:A,Compartments_Added!B:B))="Sink","OK, Sink","Missing"))</f>
        <v>OK flow</v>
      </c>
      <c r="N145" s="6"/>
      <c r="O145" s="6">
        <f>Lifetimes_pairs!A143</f>
        <v>0</v>
      </c>
      <c r="P145" s="6">
        <f>Lifetimes_pairs!B143</f>
        <v>0</v>
      </c>
      <c r="Q145">
        <f>Lifetimes!ET1</f>
        <v>0</v>
      </c>
      <c r="R145" t="str">
        <f t="shared" si="6"/>
        <v>OK</v>
      </c>
      <c r="AA145" t="s">
        <v>1851</v>
      </c>
    </row>
    <row r="146" spans="10:27" ht="15" customHeight="1">
      <c r="J146" s="298" t="str">
        <v>Other paint uses (DIY)</v>
      </c>
      <c r="K146" s="303" t="str">
        <f>IF(ISBLANK(J146),"",IF(COUNTIF(L:L,J146),IF(_xlfn.XLOOKUP(J146,'Compartments_Kawecki&amp;Nowack19'!A:A,'Compartments_Kawecki&amp;Nowack19'!B:B,_xlfn.XLOOKUP(J146,Compartments_Added!A:A,Compartments_Added!B:B))="Stock","OK stock","OK flow"),IF(COUNTIF($G$4:$G$18,J146),IF(COUNTIF($E$4:$E$18,J146),"OK input","Missing"),"Missing")))</f>
        <v>OK flow</v>
      </c>
      <c r="L146" s="298" t="str">
        <v>Clean lint filter under running water</v>
      </c>
      <c r="M146" s="303" t="str">
        <f>IF(COUNTIF(J:J,L146),IF(_xlfn.XLOOKUP(L146,'Compartments_Kawecki&amp;Nowack19'!A:A,'Compartments_Kawecki&amp;Nowack19'!B:B,_xlfn.XLOOKUP(L146,Compartments_Added!A:A,Compartments_Added!B:B))="Stock","OK stock","OK flow"),IF(_xlfn.XLOOKUP(L146,'Compartments_Kawecki&amp;Nowack19'!A:A,'Compartments_Kawecki&amp;Nowack19'!B:B,_xlfn.XLOOKUP(L146,Compartments_Added!A:A,Compartments_Added!B:B))="Sink","OK, Sink","Missing"))</f>
        <v>OK flow</v>
      </c>
      <c r="N146" s="6"/>
      <c r="O146" s="6">
        <f>Lifetimes_pairs!A144</f>
        <v>0</v>
      </c>
      <c r="P146" s="6">
        <f>Lifetimes_pairs!B144</f>
        <v>0</v>
      </c>
      <c r="Q146">
        <f>Lifetimes!EU1</f>
        <v>0</v>
      </c>
      <c r="R146" t="str">
        <f t="shared" si="6"/>
        <v>OK</v>
      </c>
      <c r="AA146" t="s">
        <v>1852</v>
      </c>
    </row>
    <row r="147" spans="10:27">
      <c r="J147" s="298" t="str">
        <v>Other paint uses (DIY) indoor</v>
      </c>
      <c r="K147" s="303" t="str">
        <f>IF(ISBLANK(J147),"",IF(COUNTIF(L:L,J147),IF(_xlfn.XLOOKUP(J147,'Compartments_Kawecki&amp;Nowack19'!A:A,'Compartments_Kawecki&amp;Nowack19'!B:B,_xlfn.XLOOKUP(J147,Compartments_Added!A:A,Compartments_Added!B:B))="Stock","OK stock","OK flow"),IF(COUNTIF($G$4:$G$18,J147),IF(COUNTIF($E$4:$E$18,J147),"OK input","Missing"),"Missing")))</f>
        <v>OK flow</v>
      </c>
      <c r="L147" s="298" t="str">
        <v>Natural soil (macro)</v>
      </c>
      <c r="M147" s="303" t="str">
        <f>IF(COUNTIF(J:J,L147),IF(_xlfn.XLOOKUP(L147,'Compartments_Kawecki&amp;Nowack19'!A:A,'Compartments_Kawecki&amp;Nowack19'!B:B,_xlfn.XLOOKUP(L147,Compartments_Added!A:A,Compartments_Added!B:B))="Stock","OK stock","OK flow"),IF(_xlfn.XLOOKUP(L147,'Compartments_Kawecki&amp;Nowack19'!A:A,'Compartments_Kawecki&amp;Nowack19'!B:B,_xlfn.XLOOKUP(L147,Compartments_Added!A:A,Compartments_Added!B:B))="Sink","OK, Sink","Missing"))</f>
        <v>OK, Sink</v>
      </c>
      <c r="N147" s="6"/>
      <c r="O147" s="6">
        <f>Lifetimes_pairs!A145</f>
        <v>0</v>
      </c>
      <c r="P147" s="6">
        <f>Lifetimes_pairs!B145</f>
        <v>0</v>
      </c>
      <c r="Q147">
        <f>Lifetimes!EV1</f>
        <v>0</v>
      </c>
      <c r="R147" t="str">
        <f t="shared" si="6"/>
        <v>OK</v>
      </c>
      <c r="AA147" t="s">
        <v>1853</v>
      </c>
    </row>
    <row r="148" spans="10:27">
      <c r="J148" s="298" t="str">
        <v>Other paint uses (DIY) indoor (discarded)</v>
      </c>
      <c r="K148" s="303" t="str">
        <f>IF(ISBLANK(J148),"",IF(COUNTIF(L:L,J148),IF(_xlfn.XLOOKUP(J148,'Compartments_Kawecki&amp;Nowack19'!A:A,'Compartments_Kawecki&amp;Nowack19'!B:B,_xlfn.XLOOKUP(J148,Compartments_Added!A:A,Compartments_Added!B:B))="Stock","OK stock","OK flow"),IF(COUNTIF($G$4:$G$18,J148),IF(COUNTIF($E$4:$E$18,J148),"OK input","Missing"),"Missing")))</f>
        <v>OK stock</v>
      </c>
      <c r="L148" s="298" t="str">
        <v>Stormwater (macro)</v>
      </c>
      <c r="M148" s="303" t="str">
        <f>IF(COUNTIF(J:J,L148),IF(_xlfn.XLOOKUP(L148,'Compartments_Kawecki&amp;Nowack19'!A:A,'Compartments_Kawecki&amp;Nowack19'!B:B,_xlfn.XLOOKUP(L148,Compartments_Added!A:A,Compartments_Added!B:B))="Stock","OK stock","OK flow"),IF(_xlfn.XLOOKUP(L148,'Compartments_Kawecki&amp;Nowack19'!A:A,'Compartments_Kawecki&amp;Nowack19'!B:B,_xlfn.XLOOKUP(L148,Compartments_Added!A:A,Compartments_Added!B:B))="Sink","OK, Sink","Missing"))</f>
        <v>OK flow</v>
      </c>
      <c r="N148" s="6"/>
      <c r="O148" s="6">
        <f>Lifetimes_pairs!A146</f>
        <v>0</v>
      </c>
      <c r="P148" s="6">
        <f>Lifetimes_pairs!B146</f>
        <v>0</v>
      </c>
      <c r="Q148">
        <f>Lifetimes!EW1</f>
        <v>0</v>
      </c>
      <c r="R148" t="str">
        <f t="shared" si="6"/>
        <v>OK</v>
      </c>
      <c r="AA148" t="s">
        <v>1854</v>
      </c>
    </row>
    <row r="149" spans="10:27">
      <c r="J149" s="298" t="str">
        <v>Other paint uses (DIY) indoor (in use)</v>
      </c>
      <c r="K149" s="303" t="str">
        <f>IF(ISBLANK(J149),"",IF(COUNTIF(L:L,J149),IF(_xlfn.XLOOKUP(J149,'Compartments_Kawecki&amp;Nowack19'!A:A,'Compartments_Kawecki&amp;Nowack19'!B:B,_xlfn.XLOOKUP(J149,Compartments_Added!A:A,Compartments_Added!B:B))="Stock","OK stock","OK flow"),IF(COUNTIF($G$4:$G$18,J149),IF(COUNTIF($E$4:$E$18,J149),"OK input","Missing"),"Missing")))</f>
        <v>OK stock</v>
      </c>
      <c r="L149" s="298" t="str">
        <v>Road side soil (macro)</v>
      </c>
      <c r="M149" s="303" t="str">
        <f>IF(COUNTIF(J:J,L149),IF(_xlfn.XLOOKUP(L149,'Compartments_Kawecki&amp;Nowack19'!A:A,'Compartments_Kawecki&amp;Nowack19'!B:B,_xlfn.XLOOKUP(L149,Compartments_Added!A:A,Compartments_Added!B:B))="Stock","OK stock","OK flow"),IF(_xlfn.XLOOKUP(L149,'Compartments_Kawecki&amp;Nowack19'!A:A,'Compartments_Kawecki&amp;Nowack19'!B:B,_xlfn.XLOOKUP(L149,Compartments_Added!A:A,Compartments_Added!B:B))="Sink","OK, Sink","Missing"))</f>
        <v>OK, Sink</v>
      </c>
      <c r="N149" s="6"/>
      <c r="O149" s="6">
        <f>Lifetimes_pairs!A147</f>
        <v>0</v>
      </c>
      <c r="P149" s="6">
        <f>Lifetimes_pairs!B147</f>
        <v>0</v>
      </c>
      <c r="Q149">
        <f>Lifetimes!EX1</f>
        <v>0</v>
      </c>
      <c r="R149" t="str">
        <f t="shared" si="6"/>
        <v>OK</v>
      </c>
      <c r="AA149" t="s">
        <v>1855</v>
      </c>
    </row>
    <row r="150" spans="10:27" ht="15" customHeight="1">
      <c r="J150" s="298" t="str">
        <v>Other paint uses (DIY) outdoor</v>
      </c>
      <c r="K150" s="303" t="str">
        <f>IF(ISBLANK(J150),"",IF(COUNTIF(L:L,J150),IF(_xlfn.XLOOKUP(J150,'Compartments_Kawecki&amp;Nowack19'!A:A,'Compartments_Kawecki&amp;Nowack19'!B:B,_xlfn.XLOOKUP(J150,Compartments_Added!A:A,Compartments_Added!B:B))="Stock","OK stock","OK flow"),IF(COUNTIF($G$4:$G$18,J150),IF(COUNTIF($E$4:$E$18,J150),"OK input","Missing"),"Missing")))</f>
        <v>OK flow</v>
      </c>
      <c r="L150" s="298" t="str">
        <v>ELV textiles collection</v>
      </c>
      <c r="M150" s="303" t="str">
        <f>IF(COUNTIF(J:J,L150),IF(_xlfn.XLOOKUP(L150,'Compartments_Kawecki&amp;Nowack19'!A:A,'Compartments_Kawecki&amp;Nowack19'!B:B,_xlfn.XLOOKUP(L150,Compartments_Added!A:A,Compartments_Added!B:B))="Stock","OK stock","OK flow"),IF(_xlfn.XLOOKUP(L150,'Compartments_Kawecki&amp;Nowack19'!A:A,'Compartments_Kawecki&amp;Nowack19'!B:B,_xlfn.XLOOKUP(L150,Compartments_Added!A:A,Compartments_Added!B:B))="Sink","OK, Sink","Missing"))</f>
        <v>OK flow</v>
      </c>
      <c r="N150" s="6"/>
      <c r="O150" s="6">
        <f>Lifetimes_pairs!A148</f>
        <v>0</v>
      </c>
      <c r="P150" s="6">
        <f>Lifetimes_pairs!B148</f>
        <v>0</v>
      </c>
      <c r="Q150">
        <f>Lifetimes!EY1</f>
        <v>0</v>
      </c>
      <c r="R150" t="str">
        <f t="shared" si="6"/>
        <v>OK</v>
      </c>
      <c r="AA150" t="s">
        <v>1856</v>
      </c>
    </row>
    <row r="151" spans="10:27">
      <c r="J151" s="298" t="str">
        <v>Other paint uses (DIY) outdoor (discarded)</v>
      </c>
      <c r="K151" s="303" t="str">
        <f>IF(ISBLANK(J151),"",IF(COUNTIF(L:L,J151),IF(_xlfn.XLOOKUP(J151,'Compartments_Kawecki&amp;Nowack19'!A:A,'Compartments_Kawecki&amp;Nowack19'!B:B,_xlfn.XLOOKUP(J151,Compartments_Added!A:A,Compartments_Added!B:B))="Stock","OK stock","OK flow"),IF(COUNTIF($G$4:$G$18,J151),IF(COUNTIF($E$4:$E$18,J151),"OK input","Missing"),"Missing")))</f>
        <v>OK stock</v>
      </c>
      <c r="L151" s="298" t="str">
        <v>Sludge (macro)</v>
      </c>
      <c r="M151" s="303" t="str">
        <f>IF(COUNTIF(J:J,L151),IF(_xlfn.XLOOKUP(L151,'Compartments_Kawecki&amp;Nowack19'!A:A,'Compartments_Kawecki&amp;Nowack19'!B:B,_xlfn.XLOOKUP(L151,Compartments_Added!A:A,Compartments_Added!B:B))="Stock","OK stock","OK flow"),IF(_xlfn.XLOOKUP(L151,'Compartments_Kawecki&amp;Nowack19'!A:A,'Compartments_Kawecki&amp;Nowack19'!B:B,_xlfn.XLOOKUP(L151,Compartments_Added!A:A,Compartments_Added!B:B))="Sink","OK, Sink","Missing"))</f>
        <v>OK flow</v>
      </c>
      <c r="N151" s="6"/>
      <c r="O151" s="6"/>
      <c r="P151" s="6"/>
      <c r="Q151">
        <f>Lifetimes!EZ1</f>
        <v>0</v>
      </c>
      <c r="R151" t="str">
        <f t="shared" si="6"/>
        <v>OK</v>
      </c>
      <c r="AA151" t="s">
        <v>1857</v>
      </c>
    </row>
    <row r="152" spans="10:27">
      <c r="J152" s="298" t="str">
        <v>Other paint uses (DIY) outdoor (in use)</v>
      </c>
      <c r="K152" s="303" t="str">
        <f>IF(ISBLANK(J152),"",IF(COUNTIF(L:L,J152),IF(_xlfn.XLOOKUP(J152,'Compartments_Kawecki&amp;Nowack19'!A:A,'Compartments_Kawecki&amp;Nowack19'!B:B,_xlfn.XLOOKUP(J152,Compartments_Added!A:A,Compartments_Added!B:B))="Stock","OK stock","OK flow"),IF(COUNTIF($G$4:$G$18,J152),IF(COUNTIF($E$4:$E$18,J152),"OK input","Missing"),"Missing")))</f>
        <v>OK stock</v>
      </c>
      <c r="L152" s="298" t="str">
        <v>Sludge (micro)</v>
      </c>
      <c r="M152" s="303" t="str">
        <f>IF(COUNTIF(J:J,L152),IF(_xlfn.XLOOKUP(L152,'Compartments_Kawecki&amp;Nowack19'!A:A,'Compartments_Kawecki&amp;Nowack19'!B:B,_xlfn.XLOOKUP(L152,Compartments_Added!A:A,Compartments_Added!B:B))="Stock","OK stock","OK flow"),IF(_xlfn.XLOOKUP(L152,'Compartments_Kawecki&amp;Nowack19'!A:A,'Compartments_Kawecki&amp;Nowack19'!B:B,_xlfn.XLOOKUP(L152,Compartments_Added!A:A,Compartments_Added!B:B))="Sink","OK, Sink","Missing"))</f>
        <v>OK flow</v>
      </c>
      <c r="N152" s="6"/>
      <c r="O152" s="6"/>
      <c r="P152" s="6"/>
      <c r="Q152">
        <f>Lifetimes!FA1</f>
        <v>0</v>
      </c>
      <c r="R152" t="str">
        <f t="shared" si="6"/>
        <v>OK</v>
      </c>
      <c r="AA152" t="s">
        <v>1858</v>
      </c>
    </row>
    <row r="153" spans="10:27">
      <c r="J153" s="298" t="str">
        <v>Other paint uses (prof)</v>
      </c>
      <c r="K153" s="303" t="str">
        <f>IF(ISBLANK(J153),"",IF(COUNTIF(L:L,J153),IF(_xlfn.XLOOKUP(J153,'Compartments_Kawecki&amp;Nowack19'!A:A,'Compartments_Kawecki&amp;Nowack19'!B:B,_xlfn.XLOOKUP(J153,Compartments_Added!A:A,Compartments_Added!B:B))="Stock","OK stock","OK flow"),IF(COUNTIF($G$4:$G$18,J153),IF(COUNTIF($E$4:$E$18,J153),"OK input","Missing"),"Missing")))</f>
        <v>OK flow</v>
      </c>
      <c r="L153" s="298" t="str">
        <v>On-the-go consumption (nature)</v>
      </c>
      <c r="M153" s="303" t="str">
        <f>IF(COUNTIF(J:J,L153),IF(_xlfn.XLOOKUP(L153,'Compartments_Kawecki&amp;Nowack19'!A:A,'Compartments_Kawecki&amp;Nowack19'!B:B,_xlfn.XLOOKUP(L153,Compartments_Added!A:A,Compartments_Added!B:B))="Stock","OK stock","OK flow"),IF(_xlfn.XLOOKUP(L153,'Compartments_Kawecki&amp;Nowack19'!A:A,'Compartments_Kawecki&amp;Nowack19'!B:B,_xlfn.XLOOKUP(L153,Compartments_Added!A:A,Compartments_Added!B:B))="Sink","OK, Sink","Missing"))</f>
        <v>OK flow</v>
      </c>
      <c r="N153" s="6"/>
      <c r="O153" s="6"/>
      <c r="P153" s="6"/>
      <c r="Q153">
        <f>Lifetimes!FB1</f>
        <v>0</v>
      </c>
      <c r="R153" t="str">
        <f t="shared" si="6"/>
        <v>OK</v>
      </c>
      <c r="AA153" t="s">
        <v>1859</v>
      </c>
    </row>
    <row r="154" spans="10:27">
      <c r="J154" s="298" t="str">
        <v>Other paint uses (prof) indoor</v>
      </c>
      <c r="K154" s="303" t="str">
        <f>IF(ISBLANK(J154),"",IF(COUNTIF(L:L,J154),IF(_xlfn.XLOOKUP(J154,'Compartments_Kawecki&amp;Nowack19'!A:A,'Compartments_Kawecki&amp;Nowack19'!B:B,_xlfn.XLOOKUP(J154,Compartments_Added!A:A,Compartments_Added!B:B))="Stock","OK stock","OK flow"),IF(COUNTIF($G$4:$G$18,J154),IF(COUNTIF($E$4:$E$18,J154),"OK input","Missing"),"Missing")))</f>
        <v>OK flow</v>
      </c>
      <c r="L154" s="298" t="str">
        <v>On-the-go consumption (residential)</v>
      </c>
      <c r="M154" s="303" t="str">
        <f>IF(COUNTIF(J:J,L154),IF(_xlfn.XLOOKUP(L154,'Compartments_Kawecki&amp;Nowack19'!A:A,'Compartments_Kawecki&amp;Nowack19'!B:B,_xlfn.XLOOKUP(L154,Compartments_Added!A:A,Compartments_Added!B:B))="Stock","OK stock","OK flow"),IF(_xlfn.XLOOKUP(L154,'Compartments_Kawecki&amp;Nowack19'!A:A,'Compartments_Kawecki&amp;Nowack19'!B:B,_xlfn.XLOOKUP(L154,Compartments_Added!A:A,Compartments_Added!B:B))="Sink","OK, Sink","Missing"))</f>
        <v>OK flow</v>
      </c>
      <c r="N154" s="6"/>
      <c r="O154" s="6"/>
      <c r="P154" s="6"/>
      <c r="Q154">
        <f>Lifetimes!FC1</f>
        <v>0</v>
      </c>
      <c r="R154" t="str">
        <f t="shared" si="6"/>
        <v>OK</v>
      </c>
      <c r="AA154" t="s">
        <v>1860</v>
      </c>
    </row>
    <row r="155" spans="10:27">
      <c r="J155" s="298" t="str">
        <v>Other paint uses (prof) indoor (discarded)</v>
      </c>
      <c r="K155" s="303" t="str">
        <f>IF(ISBLANK(J155),"",IF(COUNTIF(L:L,J155),IF(_xlfn.XLOOKUP(J155,'Compartments_Kawecki&amp;Nowack19'!A:A,'Compartments_Kawecki&amp;Nowack19'!B:B,_xlfn.XLOOKUP(J155,Compartments_Added!A:A,Compartments_Added!B:B))="Stock","OK stock","OK flow"),IF(COUNTIF($G$4:$G$18,J155),IF(COUNTIF($E$4:$E$18,J155),"OK input","Missing"),"Missing")))</f>
        <v>OK stock</v>
      </c>
      <c r="L155" s="298" t="str">
        <v>On-the-go consumption (transport)</v>
      </c>
      <c r="M155" s="303" t="str">
        <f>IF(COUNTIF(J:J,L155),IF(_xlfn.XLOOKUP(L155,'Compartments_Kawecki&amp;Nowack19'!A:A,'Compartments_Kawecki&amp;Nowack19'!B:B,_xlfn.XLOOKUP(L155,Compartments_Added!A:A,Compartments_Added!B:B))="Stock","OK stock","OK flow"),IF(_xlfn.XLOOKUP(L155,'Compartments_Kawecki&amp;Nowack19'!A:A,'Compartments_Kawecki&amp;Nowack19'!B:B,_xlfn.XLOOKUP(L155,Compartments_Added!A:A,Compartments_Added!B:B))="Sink","OK, Sink","Missing"))</f>
        <v>OK flow</v>
      </c>
      <c r="N155" s="6"/>
      <c r="O155" s="6"/>
      <c r="P155" s="6"/>
      <c r="Q155">
        <f>Lifetimes!FD1</f>
        <v>0</v>
      </c>
      <c r="R155" t="str">
        <f t="shared" si="6"/>
        <v>OK</v>
      </c>
      <c r="AA155" t="s">
        <v>1861</v>
      </c>
    </row>
    <row r="156" spans="10:27">
      <c r="J156" s="298" t="str">
        <v>Other paint uses (prof) indoor (in use)</v>
      </c>
      <c r="K156" s="303" t="str">
        <f>IF(ISBLANK(J156),"",IF(COUNTIF(L:L,J156),IF(_xlfn.XLOOKUP(J156,'Compartments_Kawecki&amp;Nowack19'!A:A,'Compartments_Kawecki&amp;Nowack19'!B:B,_xlfn.XLOOKUP(J156,Compartments_Added!A:A,Compartments_Added!B:B))="Stock","OK stock","OK flow"),IF(COUNTIF($G$4:$G$18,J156),IF(COUNTIF($E$4:$E$18,J156),"OK input","Missing"),"Missing")))</f>
        <v>OK stock</v>
      </c>
      <c r="L156" s="298" t="str">
        <v>Other paint uses (DIY) outdoor</v>
      </c>
      <c r="M156" s="303" t="str">
        <f>IF(COUNTIF(J:J,L156),IF(_xlfn.XLOOKUP(L156,'Compartments_Kawecki&amp;Nowack19'!A:A,'Compartments_Kawecki&amp;Nowack19'!B:B,_xlfn.XLOOKUP(L156,Compartments_Added!A:A,Compartments_Added!B:B))="Stock","OK stock","OK flow"),IF(_xlfn.XLOOKUP(L156,'Compartments_Kawecki&amp;Nowack19'!A:A,'Compartments_Kawecki&amp;Nowack19'!B:B,_xlfn.XLOOKUP(L156,Compartments_Added!A:A,Compartments_Added!B:B))="Sink","OK, Sink","Missing"))</f>
        <v>OK flow</v>
      </c>
      <c r="N156" s="6"/>
      <c r="O156" s="6"/>
      <c r="P156" s="6"/>
      <c r="Q156">
        <f>Lifetimes!FE1</f>
        <v>0</v>
      </c>
      <c r="R156" t="str">
        <f t="shared" si="6"/>
        <v>OK</v>
      </c>
      <c r="AA156" t="s">
        <v>1862</v>
      </c>
    </row>
    <row r="157" spans="10:27">
      <c r="J157" s="298" t="str">
        <v>Other paint uses (prof) outdoor</v>
      </c>
      <c r="K157" s="303" t="str">
        <f>IF(ISBLANK(J157),"",IF(COUNTIF(L:L,J157),IF(_xlfn.XLOOKUP(J157,'Compartments_Kawecki&amp;Nowack19'!A:A,'Compartments_Kawecki&amp;Nowack19'!B:B,_xlfn.XLOOKUP(J157,Compartments_Added!A:A,Compartments_Added!B:B))="Stock","OK stock","OK flow"),IF(COUNTIF($G$4:$G$18,J157),IF(COUNTIF($E$4:$E$18,J157),"OK input","Missing"),"Missing")))</f>
        <v>OK flow</v>
      </c>
      <c r="L157" s="298" t="str">
        <v>Other paint uses (DIY) indoor</v>
      </c>
      <c r="M157" s="303" t="str">
        <f>IF(COUNTIF(J:J,L157),IF(_xlfn.XLOOKUP(L157,'Compartments_Kawecki&amp;Nowack19'!A:A,'Compartments_Kawecki&amp;Nowack19'!B:B,_xlfn.XLOOKUP(L157,Compartments_Added!A:A,Compartments_Added!B:B))="Stock","OK stock","OK flow"),IF(_xlfn.XLOOKUP(L157,'Compartments_Kawecki&amp;Nowack19'!A:A,'Compartments_Kawecki&amp;Nowack19'!B:B,_xlfn.XLOOKUP(L157,Compartments_Added!A:A,Compartments_Added!B:B))="Sink","OK, Sink","Missing"))</f>
        <v>OK flow</v>
      </c>
      <c r="N157" s="6"/>
      <c r="O157" s="6"/>
      <c r="P157" s="6"/>
      <c r="Q157">
        <f>Lifetimes!FF1</f>
        <v>0</v>
      </c>
      <c r="R157" t="str">
        <f t="shared" si="6"/>
        <v>OK</v>
      </c>
      <c r="AA157" t="s">
        <v>1863</v>
      </c>
    </row>
    <row r="158" spans="10:27">
      <c r="J158" s="298" t="str">
        <v>Other paint uses (prof) outdoor (discarded)</v>
      </c>
      <c r="K158" s="303" t="str">
        <f>IF(ISBLANK(J158),"",IF(COUNTIF(L:L,J158),IF(_xlfn.XLOOKUP(J158,'Compartments_Kawecki&amp;Nowack19'!A:A,'Compartments_Kawecki&amp;Nowack19'!B:B,_xlfn.XLOOKUP(J158,Compartments_Added!A:A,Compartments_Added!B:B))="Stock","OK stock","OK flow"),IF(COUNTIF($G$4:$G$18,J158),IF(COUNTIF($E$4:$E$18,J158),"OK input","Missing"),"Missing")))</f>
        <v>OK stock</v>
      </c>
      <c r="L158" s="298" t="str">
        <v>Other paint uses (DIY) indoor (in use)</v>
      </c>
      <c r="M158" s="303" t="str">
        <f>IF(COUNTIF(J:J,L158),IF(_xlfn.XLOOKUP(L158,'Compartments_Kawecki&amp;Nowack19'!A:A,'Compartments_Kawecki&amp;Nowack19'!B:B,_xlfn.XLOOKUP(L158,Compartments_Added!A:A,Compartments_Added!B:B))="Stock","OK stock","OK flow"),IF(_xlfn.XLOOKUP(L158,'Compartments_Kawecki&amp;Nowack19'!A:A,'Compartments_Kawecki&amp;Nowack19'!B:B,_xlfn.XLOOKUP(L158,Compartments_Added!A:A,Compartments_Added!B:B))="Sink","OK, Sink","Missing"))</f>
        <v>OK stock</v>
      </c>
      <c r="N158" s="6"/>
      <c r="O158" s="6"/>
      <c r="P158" s="6"/>
      <c r="Q158">
        <f>Lifetimes!FG1</f>
        <v>0</v>
      </c>
      <c r="R158" t="str">
        <f t="shared" si="6"/>
        <v>OK</v>
      </c>
      <c r="AA158" t="s">
        <v>1864</v>
      </c>
    </row>
    <row r="159" spans="10:27">
      <c r="J159" s="298" t="str">
        <v>Other paint uses (prof) outdoor (in use)</v>
      </c>
      <c r="K159" s="303" t="str">
        <f>IF(ISBLANK(J159),"",IF(COUNTIF(L:L,J159),IF(_xlfn.XLOOKUP(J159,'Compartments_Kawecki&amp;Nowack19'!A:A,'Compartments_Kawecki&amp;Nowack19'!B:B,_xlfn.XLOOKUP(J159,Compartments_Added!A:A,Compartments_Added!B:B))="Stock","OK stock","OK flow"),IF(COUNTIF($G$4:$G$18,J159),IF(COUNTIF($E$4:$E$18,J159),"OK input","Missing"),"Missing")))</f>
        <v>OK stock</v>
      </c>
      <c r="L159" s="298" t="str">
        <v>Other paint uses (DIY) indoor (discarded)</v>
      </c>
      <c r="M159" s="303" t="str">
        <f>IF(COUNTIF(J:J,L159),IF(_xlfn.XLOOKUP(L159,'Compartments_Kawecki&amp;Nowack19'!A:A,'Compartments_Kawecki&amp;Nowack19'!B:B,_xlfn.XLOOKUP(L159,Compartments_Added!A:A,Compartments_Added!B:B))="Stock","OK stock","OK flow"),IF(_xlfn.XLOOKUP(L159,'Compartments_Kawecki&amp;Nowack19'!A:A,'Compartments_Kawecki&amp;Nowack19'!B:B,_xlfn.XLOOKUP(L159,Compartments_Added!A:A,Compartments_Added!B:B))="Sink","OK, Sink","Missing"))</f>
        <v>OK stock</v>
      </c>
      <c r="N159" s="6"/>
      <c r="O159" s="6"/>
      <c r="P159" s="6"/>
      <c r="Q159">
        <f>Lifetimes!FH1</f>
        <v>0</v>
      </c>
      <c r="R159" t="str">
        <f t="shared" si="6"/>
        <v>OK</v>
      </c>
      <c r="AA159" t="s">
        <v>1865</v>
      </c>
    </row>
    <row r="160" spans="10:27">
      <c r="J160" s="298" t="str">
        <v>Other technical textiles</v>
      </c>
      <c r="K160" s="303" t="str">
        <f>IF(ISBLANK(J160),"",IF(COUNTIF(L:L,J160),IF(_xlfn.XLOOKUP(J160,'Compartments_Kawecki&amp;Nowack19'!A:A,'Compartments_Kawecki&amp;Nowack19'!B:B,_xlfn.XLOOKUP(J160,Compartments_Added!A:A,Compartments_Added!B:B))="Stock","OK stock","OK flow"),IF(COUNTIF($G$4:$G$18,J160),IF(COUNTIF($E$4:$E$18,J160),"OK input","Missing"),"Missing")))</f>
        <v>OK stock</v>
      </c>
      <c r="L160" s="298" t="str">
        <v>Other paint uses (DIY) outdoor (in use)</v>
      </c>
      <c r="M160" s="303" t="str">
        <f>IF(COUNTIF(J:J,L160),IF(_xlfn.XLOOKUP(L160,'Compartments_Kawecki&amp;Nowack19'!A:A,'Compartments_Kawecki&amp;Nowack19'!B:B,_xlfn.XLOOKUP(L160,Compartments_Added!A:A,Compartments_Added!B:B))="Stock","OK stock","OK flow"),IF(_xlfn.XLOOKUP(L160,'Compartments_Kawecki&amp;Nowack19'!A:A,'Compartments_Kawecki&amp;Nowack19'!B:B,_xlfn.XLOOKUP(L160,Compartments_Added!A:A,Compartments_Added!B:B))="Sink","OK, Sink","Missing"))</f>
        <v>OK stock</v>
      </c>
      <c r="N160" s="6"/>
      <c r="O160" s="6"/>
      <c r="P160" s="6"/>
      <c r="Q160">
        <f>Lifetimes!FI1</f>
        <v>0</v>
      </c>
      <c r="R160" t="str">
        <f t="shared" si="6"/>
        <v>OK</v>
      </c>
      <c r="AA160" t="s">
        <v>1866</v>
      </c>
    </row>
    <row r="161" spans="10:27">
      <c r="J161" s="298" t="str">
        <v>Packaging</v>
      </c>
      <c r="K161" s="303" t="str">
        <f>IF(ISBLANK(J161),"",IF(COUNTIF(L:L,J161),IF(_xlfn.XLOOKUP(J161,'Compartments_Kawecki&amp;Nowack19'!A:A,'Compartments_Kawecki&amp;Nowack19'!B:B,_xlfn.XLOOKUP(J161,Compartments_Added!A:A,Compartments_Added!B:B))="Stock","OK stock","OK flow"),IF(COUNTIF($G$4:$G$18,J161),IF(COUNTIF($E$4:$E$18,J161),"OK input","Missing"),"Missing")))</f>
        <v>OK input</v>
      </c>
      <c r="L161" s="298" t="str">
        <v>Other paint uses (DIY) outdoor (discarded)</v>
      </c>
      <c r="M161" s="303" t="str">
        <f>IF(COUNTIF(J:J,L161),IF(_xlfn.XLOOKUP(L161,'Compartments_Kawecki&amp;Nowack19'!A:A,'Compartments_Kawecki&amp;Nowack19'!B:B,_xlfn.XLOOKUP(L161,Compartments_Added!A:A,Compartments_Added!B:B))="Stock","OK stock","OK flow"),IF(_xlfn.XLOOKUP(L161,'Compartments_Kawecki&amp;Nowack19'!A:A,'Compartments_Kawecki&amp;Nowack19'!B:B,_xlfn.XLOOKUP(L161,Compartments_Added!A:A,Compartments_Added!B:B))="Sink","OK, Sink","Missing"))</f>
        <v>OK stock</v>
      </c>
      <c r="N161" s="6"/>
      <c r="O161" s="6"/>
      <c r="P161" s="6"/>
      <c r="Q161">
        <f>Lifetimes!FJ1</f>
        <v>0</v>
      </c>
      <c r="R161" t="str">
        <f t="shared" si="6"/>
        <v>OK</v>
      </c>
      <c r="AA161" t="s">
        <v>1867</v>
      </c>
    </row>
    <row r="162" spans="10:27">
      <c r="J162" s="298" t="str">
        <v>Packaging collection</v>
      </c>
      <c r="K162" s="303" t="str">
        <f>IF(ISBLANK(J162),"",IF(COUNTIF(L:L,J162),IF(_xlfn.XLOOKUP(J162,'Compartments_Kawecki&amp;Nowack19'!A:A,'Compartments_Kawecki&amp;Nowack19'!B:B,_xlfn.XLOOKUP(J162,Compartments_Added!A:A,Compartments_Added!B:B))="Stock","OK stock","OK flow"),IF(COUNTIF($G$4:$G$18,J162),IF(COUNTIF($E$4:$E$18,J162),"OK input","Missing"),"Missing")))</f>
        <v>OK flow</v>
      </c>
      <c r="L162" s="298" t="str">
        <v>Other paint uses (prof) outdoor</v>
      </c>
      <c r="M162" s="303" t="str">
        <f>IF(COUNTIF(J:J,L162),IF(_xlfn.XLOOKUP(L162,'Compartments_Kawecki&amp;Nowack19'!A:A,'Compartments_Kawecki&amp;Nowack19'!B:B,_xlfn.XLOOKUP(L162,Compartments_Added!A:A,Compartments_Added!B:B))="Stock","OK stock","OK flow"),IF(_xlfn.XLOOKUP(L162,'Compartments_Kawecki&amp;Nowack19'!A:A,'Compartments_Kawecki&amp;Nowack19'!B:B,_xlfn.XLOOKUP(L162,Compartments_Added!A:A,Compartments_Added!B:B))="Sink","OK, Sink","Missing"))</f>
        <v>OK flow</v>
      </c>
      <c r="N162" s="6"/>
      <c r="O162" s="6"/>
      <c r="P162" s="6"/>
      <c r="Q162">
        <f>Lifetimes!FK1</f>
        <v>0</v>
      </c>
      <c r="R162" t="str">
        <f t="shared" si="6"/>
        <v>OK</v>
      </c>
      <c r="AA162" t="s">
        <v>1868</v>
      </c>
    </row>
    <row r="163" spans="10:27">
      <c r="J163" s="298" t="str">
        <v>Packaging recycling</v>
      </c>
      <c r="K163" s="303" t="str">
        <f>IF(ISBLANK(J163),"",IF(COUNTIF(L:L,J163),IF(_xlfn.XLOOKUP(J163,'Compartments_Kawecki&amp;Nowack19'!A:A,'Compartments_Kawecki&amp;Nowack19'!B:B,_xlfn.XLOOKUP(J163,Compartments_Added!A:A,Compartments_Added!B:B))="Stock","OK stock","OK flow"),IF(COUNTIF($G$4:$G$18,J163),IF(COUNTIF($E$4:$E$18,J163),"OK input","Missing"),"Missing")))</f>
        <v>OK flow</v>
      </c>
      <c r="L163" s="298" t="str">
        <v>Other paint uses (prof) indoor</v>
      </c>
      <c r="M163" s="303" t="str">
        <f>IF(COUNTIF(J:J,L163),IF(_xlfn.XLOOKUP(L163,'Compartments_Kawecki&amp;Nowack19'!A:A,'Compartments_Kawecki&amp;Nowack19'!B:B,_xlfn.XLOOKUP(L163,Compartments_Added!A:A,Compartments_Added!B:B))="Stock","OK stock","OK flow"),IF(_xlfn.XLOOKUP(L163,'Compartments_Kawecki&amp;Nowack19'!A:A,'Compartments_Kawecki&amp;Nowack19'!B:B,_xlfn.XLOOKUP(L163,Compartments_Added!A:A,Compartments_Added!B:B))="Sink","OK, Sink","Missing"))</f>
        <v>OK flow</v>
      </c>
      <c r="N163" s="6"/>
      <c r="O163" s="6"/>
      <c r="P163" s="6"/>
      <c r="Q163">
        <f>Lifetimes!FL1</f>
        <v>0</v>
      </c>
      <c r="R163" t="str">
        <f t="shared" si="6"/>
        <v>OK</v>
      </c>
      <c r="AA163" t="s">
        <v>1869</v>
      </c>
    </row>
    <row r="164" spans="10:27">
      <c r="J164" s="298" t="str">
        <v>Paint</v>
      </c>
      <c r="K164" s="303" t="str">
        <f>IF(ISBLANK(J164),"",IF(COUNTIF(L:L,J164),IF(_xlfn.XLOOKUP(J164,'Compartments_Kawecki&amp;Nowack19'!A:A,'Compartments_Kawecki&amp;Nowack19'!B:B,_xlfn.XLOOKUP(J164,Compartments_Added!A:A,Compartments_Added!B:B))="Stock","OK stock","OK flow"),IF(COUNTIF($G$4:$G$18,J164),IF(COUNTIF($E$4:$E$18,J164),"OK input","Missing"),"Missing")))</f>
        <v>OK input</v>
      </c>
      <c r="L164" s="298" t="str">
        <v>Other paint uses (prof) indoor (in use)</v>
      </c>
      <c r="M164" s="303" t="str">
        <f>IF(COUNTIF(J:J,L164),IF(_xlfn.XLOOKUP(L164,'Compartments_Kawecki&amp;Nowack19'!A:A,'Compartments_Kawecki&amp;Nowack19'!B:B,_xlfn.XLOOKUP(L164,Compartments_Added!A:A,Compartments_Added!B:B))="Stock","OK stock","OK flow"),IF(_xlfn.XLOOKUP(L164,'Compartments_Kawecki&amp;Nowack19'!A:A,'Compartments_Kawecki&amp;Nowack19'!B:B,_xlfn.XLOOKUP(L164,Compartments_Added!A:A,Compartments_Added!B:B))="Sink","OK, Sink","Missing"))</f>
        <v>OK stock</v>
      </c>
      <c r="N164" s="6"/>
      <c r="O164" s="6"/>
      <c r="P164" s="6"/>
      <c r="Q164">
        <f>Lifetimes!FM1</f>
        <v>0</v>
      </c>
      <c r="R164" t="str">
        <f t="shared" si="6"/>
        <v>OK</v>
      </c>
      <c r="AA164" t="s">
        <v>1870</v>
      </c>
    </row>
    <row r="165" spans="10:27">
      <c r="J165" s="298" t="str">
        <v>Paints used in pre-made wooden products</v>
      </c>
      <c r="K165" s="303" t="str">
        <f>IF(ISBLANK(J165),"",IF(COUNTIF(L:L,J165),IF(_xlfn.XLOOKUP(J165,'Compartments_Kawecki&amp;Nowack19'!A:A,'Compartments_Kawecki&amp;Nowack19'!B:B,_xlfn.XLOOKUP(J165,Compartments_Added!A:A,Compartments_Added!B:B))="Stock","OK stock","OK flow"),IF(COUNTIF($G$4:$G$18,J165),IF(COUNTIF($E$4:$E$18,J165),"OK input","Missing"),"Missing")))</f>
        <v>OK flow</v>
      </c>
      <c r="L165" s="298" t="str">
        <v>Other paint uses (prof) indoor (discarded)</v>
      </c>
      <c r="M165" s="303" t="str">
        <f>IF(COUNTIF(J:J,L165),IF(_xlfn.XLOOKUP(L165,'Compartments_Kawecki&amp;Nowack19'!A:A,'Compartments_Kawecki&amp;Nowack19'!B:B,_xlfn.XLOOKUP(L165,Compartments_Added!A:A,Compartments_Added!B:B))="Stock","OK stock","OK flow"),IF(_xlfn.XLOOKUP(L165,'Compartments_Kawecki&amp;Nowack19'!A:A,'Compartments_Kawecki&amp;Nowack19'!B:B,_xlfn.XLOOKUP(L165,Compartments_Added!A:A,Compartments_Added!B:B))="Sink","OK, Sink","Missing"))</f>
        <v>OK stock</v>
      </c>
      <c r="N165" s="6"/>
      <c r="O165" s="6"/>
      <c r="P165" s="6"/>
      <c r="Q165">
        <f>Lifetimes!FN1</f>
        <v>0</v>
      </c>
      <c r="R165" t="str">
        <f t="shared" si="6"/>
        <v>OK</v>
      </c>
      <c r="AA165" t="s">
        <v>1871</v>
      </c>
    </row>
    <row r="166" spans="10:27">
      <c r="J166" s="298" t="str">
        <v>Paints used in pre-made wooden products indoor</v>
      </c>
      <c r="K166" s="303" t="str">
        <f>IF(ISBLANK(J166),"",IF(COUNTIF(L:L,J166),IF(_xlfn.XLOOKUP(J166,'Compartments_Kawecki&amp;Nowack19'!A:A,'Compartments_Kawecki&amp;Nowack19'!B:B,_xlfn.XLOOKUP(J166,Compartments_Added!A:A,Compartments_Added!B:B))="Stock","OK stock","OK flow"),IF(COUNTIF($G$4:$G$18,J166),IF(COUNTIF($E$4:$E$18,J166),"OK input","Missing"),"Missing")))</f>
        <v>OK flow</v>
      </c>
      <c r="L166" s="298" t="str">
        <v>Other paint uses (prof) outdoor (in use)</v>
      </c>
      <c r="M166" s="303" t="str">
        <f>IF(COUNTIF(J:J,L166),IF(_xlfn.XLOOKUP(L166,'Compartments_Kawecki&amp;Nowack19'!A:A,'Compartments_Kawecki&amp;Nowack19'!B:B,_xlfn.XLOOKUP(L166,Compartments_Added!A:A,Compartments_Added!B:B))="Stock","OK stock","OK flow"),IF(_xlfn.XLOOKUP(L166,'Compartments_Kawecki&amp;Nowack19'!A:A,'Compartments_Kawecki&amp;Nowack19'!B:B,_xlfn.XLOOKUP(L166,Compartments_Added!A:A,Compartments_Added!B:B))="Sink","OK, Sink","Missing"))</f>
        <v>OK stock</v>
      </c>
      <c r="N166" s="6"/>
      <c r="O166" s="6"/>
      <c r="P166" s="6"/>
      <c r="Q166">
        <f>Lifetimes!FO1</f>
        <v>0</v>
      </c>
      <c r="R166" t="str">
        <f t="shared" si="6"/>
        <v>OK</v>
      </c>
      <c r="AA166" t="s">
        <v>1872</v>
      </c>
    </row>
    <row r="167" spans="10:27">
      <c r="J167" s="298" t="str">
        <v>Paints used in pre-made wooden products indoor (discarded)</v>
      </c>
      <c r="K167" s="303" t="str">
        <f>IF(ISBLANK(J167),"",IF(COUNTIF(L:L,J167),IF(_xlfn.XLOOKUP(J167,'Compartments_Kawecki&amp;Nowack19'!A:A,'Compartments_Kawecki&amp;Nowack19'!B:B,_xlfn.XLOOKUP(J167,Compartments_Added!A:A,Compartments_Added!B:B))="Stock","OK stock","OK flow"),IF(COUNTIF($G$4:$G$18,J167),IF(COUNTIF($E$4:$E$18,J167),"OK input","Missing"),"Missing")))</f>
        <v>OK stock</v>
      </c>
      <c r="L167" s="298" t="str">
        <v>Other paint uses (prof) outdoor (discarded)</v>
      </c>
      <c r="M167" s="303" t="str">
        <f>IF(COUNTIF(J:J,L167),IF(_xlfn.XLOOKUP(L167,'Compartments_Kawecki&amp;Nowack19'!A:A,'Compartments_Kawecki&amp;Nowack19'!B:B,_xlfn.XLOOKUP(L167,Compartments_Added!A:A,Compartments_Added!B:B))="Stock","OK stock","OK flow"),IF(_xlfn.XLOOKUP(L167,'Compartments_Kawecki&amp;Nowack19'!A:A,'Compartments_Kawecki&amp;Nowack19'!B:B,_xlfn.XLOOKUP(L167,Compartments_Added!A:A,Compartments_Added!B:B))="Sink","OK, Sink","Missing"))</f>
        <v>OK stock</v>
      </c>
      <c r="N167" s="6"/>
      <c r="O167" s="6"/>
      <c r="P167" s="6"/>
      <c r="Q167">
        <f>Lifetimes!FP1</f>
        <v>0</v>
      </c>
      <c r="R167" t="str">
        <f t="shared" si="6"/>
        <v>OK</v>
      </c>
      <c r="AA167" t="s">
        <v>1873</v>
      </c>
    </row>
    <row r="168" spans="10:27">
      <c r="J168" s="298" t="str">
        <v>Paints used in pre-made wooden products indoor (in use)</v>
      </c>
      <c r="K168" s="303" t="str">
        <f>IF(ISBLANK(J168),"",IF(COUNTIF(L:L,J168),IF(_xlfn.XLOOKUP(J168,'Compartments_Kawecki&amp;Nowack19'!A:A,'Compartments_Kawecki&amp;Nowack19'!B:B,_xlfn.XLOOKUP(J168,Compartments_Added!A:A,Compartments_Added!B:B))="Stock","OK stock","OK flow"),IF(COUNTIF($G$4:$G$18,J168),IF(COUNTIF($E$4:$E$18,J168),"OK input","Missing"),"Missing")))</f>
        <v>OK stock</v>
      </c>
      <c r="L168" s="298" t="str">
        <v>Agricultural packaging bottles</v>
      </c>
      <c r="M168" s="303" t="str">
        <f>IF(COUNTIF(J:J,L168),IF(_xlfn.XLOOKUP(L168,'Compartments_Kawecki&amp;Nowack19'!A:A,'Compartments_Kawecki&amp;Nowack19'!B:B,_xlfn.XLOOKUP(L168,Compartments_Added!A:A,Compartments_Added!B:B))="Stock","OK stock","OK flow"),IF(_xlfn.XLOOKUP(L168,'Compartments_Kawecki&amp;Nowack19'!A:A,'Compartments_Kawecki&amp;Nowack19'!B:B,_xlfn.XLOOKUP(L168,Compartments_Added!A:A,Compartments_Added!B:B))="Sink","OK, Sink","Missing"))</f>
        <v>OK stock</v>
      </c>
      <c r="N168" s="6"/>
      <c r="O168" s="6"/>
      <c r="P168" s="6"/>
      <c r="Q168">
        <f>Lifetimes!FQ1</f>
        <v>0</v>
      </c>
      <c r="R168" t="str">
        <f t="shared" si="6"/>
        <v>OK</v>
      </c>
      <c r="AA168" t="s">
        <v>1874</v>
      </c>
    </row>
    <row r="169" spans="10:27">
      <c r="J169" s="298" t="str">
        <v>Paints used in pre-made wooden products outdoor</v>
      </c>
      <c r="K169" s="303" t="str">
        <f>IF(ISBLANK(J169),"",IF(COUNTIF(L:L,J169),IF(_xlfn.XLOOKUP(J169,'Compartments_Kawecki&amp;Nowack19'!A:A,'Compartments_Kawecki&amp;Nowack19'!B:B,_xlfn.XLOOKUP(J169,Compartments_Added!A:A,Compartments_Added!B:B))="Stock","OK stock","OK flow"),IF(COUNTIF($G$4:$G$18,J169),IF(COUNTIF($E$4:$E$18,J169),"OK input","Missing"),"Missing")))</f>
        <v>OK flow</v>
      </c>
      <c r="L169" s="298" t="str">
        <v>Agricultural packaging films</v>
      </c>
      <c r="M169" s="303" t="str">
        <f>IF(COUNTIF(J:J,L169),IF(_xlfn.XLOOKUP(L169,'Compartments_Kawecki&amp;Nowack19'!A:A,'Compartments_Kawecki&amp;Nowack19'!B:B,_xlfn.XLOOKUP(L169,Compartments_Added!A:A,Compartments_Added!B:B))="Stock","OK stock","OK flow"),IF(_xlfn.XLOOKUP(L169,'Compartments_Kawecki&amp;Nowack19'!A:A,'Compartments_Kawecki&amp;Nowack19'!B:B,_xlfn.XLOOKUP(L169,Compartments_Added!A:A,Compartments_Added!B:B))="Sink","OK, Sink","Missing"))</f>
        <v>OK stock</v>
      </c>
      <c r="N169" s="7"/>
      <c r="O169" s="6"/>
      <c r="P169" s="6"/>
      <c r="Q169">
        <f>Lifetimes!FR1</f>
        <v>0</v>
      </c>
      <c r="R169" t="str">
        <f t="shared" si="6"/>
        <v>OK</v>
      </c>
      <c r="AA169" t="s">
        <v>1875</v>
      </c>
    </row>
    <row r="170" spans="10:27">
      <c r="J170" s="298" t="str">
        <v>Paints used in pre-made wooden products outdoor (discarded)</v>
      </c>
      <c r="K170" s="303" t="str">
        <f>IF(ISBLANK(J170),"",IF(COUNTIF(L:L,J170),IF(_xlfn.XLOOKUP(J170,'Compartments_Kawecki&amp;Nowack19'!A:A,'Compartments_Kawecki&amp;Nowack19'!B:B,_xlfn.XLOOKUP(J170,Compartments_Added!A:A,Compartments_Added!B:B))="Stock","OK stock","OK flow"),IF(COUNTIF($G$4:$G$18,J170),IF(COUNTIF($E$4:$E$18,J170),"OK input","Missing"),"Missing")))</f>
        <v>OK stock</v>
      </c>
      <c r="L170" s="298" t="str">
        <v>Building packaging films</v>
      </c>
      <c r="M170" s="303" t="str">
        <f>IF(COUNTIF(J:J,L170),IF(_xlfn.XLOOKUP(L170,'Compartments_Kawecki&amp;Nowack19'!A:A,'Compartments_Kawecki&amp;Nowack19'!B:B,_xlfn.XLOOKUP(L170,Compartments_Added!A:A,Compartments_Added!B:B))="Stock","OK stock","OK flow"),IF(_xlfn.XLOOKUP(L170,'Compartments_Kawecki&amp;Nowack19'!A:A,'Compartments_Kawecki&amp;Nowack19'!B:B,_xlfn.XLOOKUP(L170,Compartments_Added!A:A,Compartments_Added!B:B))="Sink","OK, Sink","Missing"))</f>
        <v>OK flow</v>
      </c>
      <c r="N170" s="7"/>
      <c r="O170" s="6"/>
      <c r="P170" s="6"/>
      <c r="Q170">
        <f>Lifetimes!FS1</f>
        <v>0</v>
      </c>
      <c r="R170" t="str">
        <f t="shared" si="6"/>
        <v>OK</v>
      </c>
      <c r="AA170" t="s">
        <v>1876</v>
      </c>
    </row>
    <row r="171" spans="10:27">
      <c r="J171" s="298" t="str">
        <v>Paints used in pre-made wooden products outdoor (in use)</v>
      </c>
      <c r="K171" s="303" t="str">
        <f>IF(ISBLANK(J171),"",IF(COUNTIF(L:L,J171),IF(_xlfn.XLOOKUP(J171,'Compartments_Kawecki&amp;Nowack19'!A:A,'Compartments_Kawecki&amp;Nowack19'!B:B,_xlfn.XLOOKUP(J171,Compartments_Added!A:A,Compartments_Added!B:B))="Stock","OK stock","OK flow"),IF(COUNTIF($G$4:$G$18,J171),IF(COUNTIF($E$4:$E$18,J171),"OK input","Missing"),"Missing")))</f>
        <v>OK stock</v>
      </c>
      <c r="L171" s="298" t="str">
        <v>Consumer bags</v>
      </c>
      <c r="M171" s="303" t="str">
        <f>IF(COUNTIF(J:J,L171),IF(_xlfn.XLOOKUP(L171,'Compartments_Kawecki&amp;Nowack19'!A:A,'Compartments_Kawecki&amp;Nowack19'!B:B,_xlfn.XLOOKUP(L171,Compartments_Added!A:A,Compartments_Added!B:B))="Stock","OK stock","OK flow"),IF(_xlfn.XLOOKUP(L171,'Compartments_Kawecki&amp;Nowack19'!A:A,'Compartments_Kawecki&amp;Nowack19'!B:B,_xlfn.XLOOKUP(L171,Compartments_Added!A:A,Compartments_Added!B:B))="Sink","OK, Sink","Missing"))</f>
        <v>OK stock</v>
      </c>
      <c r="N171" s="7"/>
      <c r="O171" s="6"/>
      <c r="P171" s="6"/>
      <c r="Q171">
        <f>Lifetimes!FT1</f>
        <v>0</v>
      </c>
      <c r="R171" t="str">
        <f t="shared" si="6"/>
        <v>OK</v>
      </c>
      <c r="AA171" t="s">
        <v>1877</v>
      </c>
    </row>
    <row r="172" spans="10:27">
      <c r="J172" s="298" t="str">
        <v>Pants and shorts</v>
      </c>
      <c r="K172" s="303" t="str">
        <f>IF(ISBLANK(J172),"",IF(COUNTIF(L:L,J172),IF(_xlfn.XLOOKUP(J172,'Compartments_Kawecki&amp;Nowack19'!A:A,'Compartments_Kawecki&amp;Nowack19'!B:B,_xlfn.XLOOKUP(J172,Compartments_Added!A:A,Compartments_Added!B:B))="Stock","OK stock","OK flow"),IF(COUNTIF($G$4:$G$18,J172),IF(COUNTIF($E$4:$E$18,J172),"OK input","Missing"),"Missing")))</f>
        <v>OK stock</v>
      </c>
      <c r="L172" s="298" t="str">
        <v>Consumer bottles</v>
      </c>
      <c r="M172" s="303" t="str">
        <f>IF(COUNTIF(J:J,L172),IF(_xlfn.XLOOKUP(L172,'Compartments_Kawecki&amp;Nowack19'!A:A,'Compartments_Kawecki&amp;Nowack19'!B:B,_xlfn.XLOOKUP(L172,Compartments_Added!A:A,Compartments_Added!B:B))="Stock","OK stock","OK flow"),IF(_xlfn.XLOOKUP(L172,'Compartments_Kawecki&amp;Nowack19'!A:A,'Compartments_Kawecki&amp;Nowack19'!B:B,_xlfn.XLOOKUP(L172,Compartments_Added!A:A,Compartments_Added!B:B))="Sink","OK, Sink","Missing"))</f>
        <v>OK stock</v>
      </c>
      <c r="N172" s="7"/>
      <c r="O172" s="6"/>
      <c r="P172" s="6"/>
      <c r="Q172">
        <f>Lifetimes!FU1</f>
        <v>0</v>
      </c>
      <c r="R172" t="str">
        <f t="shared" si="6"/>
        <v>OK</v>
      </c>
      <c r="AA172" t="s">
        <v>1878</v>
      </c>
    </row>
    <row r="173" spans="10:27">
      <c r="J173" s="298" t="str">
        <v>Panty liners</v>
      </c>
      <c r="K173" s="303" t="str">
        <f>IF(ISBLANK(J173),"",IF(COUNTIF(L:L,J173),IF(_xlfn.XLOOKUP(J173,'Compartments_Kawecki&amp;Nowack19'!A:A,'Compartments_Kawecki&amp;Nowack19'!B:B,_xlfn.XLOOKUP(J173,Compartments_Added!A:A,Compartments_Added!B:B))="Stock","OK stock","OK flow"),IF(COUNTIF($G$4:$G$18,J173),IF(COUNTIF($E$4:$E$18,J173),"OK input","Missing"),"Missing")))</f>
        <v>OK flow</v>
      </c>
      <c r="L173" s="298" t="str">
        <v>Consumer films</v>
      </c>
      <c r="M173" s="303" t="str">
        <f>IF(COUNTIF(J:J,L173),IF(_xlfn.XLOOKUP(L173,'Compartments_Kawecki&amp;Nowack19'!A:A,'Compartments_Kawecki&amp;Nowack19'!B:B,_xlfn.XLOOKUP(L173,Compartments_Added!A:A,Compartments_Added!B:B))="Stock","OK stock","OK flow"),IF(_xlfn.XLOOKUP(L173,'Compartments_Kawecki&amp;Nowack19'!A:A,'Compartments_Kawecki&amp;Nowack19'!B:B,_xlfn.XLOOKUP(L173,Compartments_Added!A:A,Compartments_Added!B:B))="Sink","OK, Sink","Missing"))</f>
        <v>OK stock</v>
      </c>
      <c r="N173" s="7"/>
      <c r="O173" s="6"/>
      <c r="P173" s="6"/>
      <c r="Q173">
        <f>Lifetimes!FV1</f>
        <v>0</v>
      </c>
      <c r="R173" t="str">
        <f t="shared" si="6"/>
        <v>OK</v>
      </c>
      <c r="AA173" t="s">
        <v>1879</v>
      </c>
    </row>
    <row r="174" spans="10:27">
      <c r="J174" s="298" t="str">
        <v>PCCP</v>
      </c>
      <c r="K174" s="303" t="str">
        <f>IF(ISBLANK(J174),"",IF(COUNTIF(L:L,J174),IF(_xlfn.XLOOKUP(J174,'Compartments_Kawecki&amp;Nowack19'!A:A,'Compartments_Kawecki&amp;Nowack19'!B:B,_xlfn.XLOOKUP(J174,Compartments_Added!A:A,Compartments_Added!B:B))="Stock","OK stock","OK flow"),IF(COUNTIF($G$4:$G$18,J174),IF(COUNTIF($E$4:$E$18,J174),"OK input","Missing"),"Missing")))</f>
        <v>OK flow</v>
      </c>
      <c r="L174" s="298" t="str">
        <v>Non-consumer bags</v>
      </c>
      <c r="M174" s="303" t="str">
        <f>IF(COUNTIF(J:J,L174),IF(_xlfn.XLOOKUP(L174,'Compartments_Kawecki&amp;Nowack19'!A:A,'Compartments_Kawecki&amp;Nowack19'!B:B,_xlfn.XLOOKUP(L174,Compartments_Added!A:A,Compartments_Added!B:B))="Stock","OK stock","OK flow"),IF(_xlfn.XLOOKUP(L174,'Compartments_Kawecki&amp;Nowack19'!A:A,'Compartments_Kawecki&amp;Nowack19'!B:B,_xlfn.XLOOKUP(L174,Compartments_Added!A:A,Compartments_Added!B:B))="Sink","OK, Sink","Missing"))</f>
        <v>OK stock</v>
      </c>
      <c r="N174" s="7"/>
      <c r="O174" s="6"/>
      <c r="P174" s="6"/>
      <c r="Q174">
        <f>Lifetimes!FW1</f>
        <v>0</v>
      </c>
      <c r="R174" t="str">
        <f t="shared" si="6"/>
        <v>OK</v>
      </c>
      <c r="AA174" t="s">
        <v>1880</v>
      </c>
    </row>
    <row r="175" spans="10:27">
      <c r="J175" s="298" t="str">
        <v>Pellet conversion</v>
      </c>
      <c r="K175" s="303" t="str">
        <f>IF(ISBLANK(J175),"",IF(COUNTIF(L:L,J175),IF(_xlfn.XLOOKUP(J175,'Compartments_Kawecki&amp;Nowack19'!A:A,'Compartments_Kawecki&amp;Nowack19'!B:B,_xlfn.XLOOKUP(J175,Compartments_Added!A:A,Compartments_Added!B:B))="Stock","OK stock","OK flow"),IF(COUNTIF($G$4:$G$18,J175),IF(COUNTIF($E$4:$E$18,J175),"OK input","Missing"),"Missing")))</f>
        <v>OK flow</v>
      </c>
      <c r="L175" s="298" t="str">
        <v>Other consumer packaging</v>
      </c>
      <c r="M175" s="303" t="str">
        <f>IF(COUNTIF(J:J,L175),IF(_xlfn.XLOOKUP(L175,'Compartments_Kawecki&amp;Nowack19'!A:A,'Compartments_Kawecki&amp;Nowack19'!B:B,_xlfn.XLOOKUP(L175,Compartments_Added!A:A,Compartments_Added!B:B))="Stock","OK stock","OK flow"),IF(_xlfn.XLOOKUP(L175,'Compartments_Kawecki&amp;Nowack19'!A:A,'Compartments_Kawecki&amp;Nowack19'!B:B,_xlfn.XLOOKUP(L175,Compartments_Added!A:A,Compartments_Added!B:B))="Sink","OK, Sink","Missing"))</f>
        <v>OK stock</v>
      </c>
      <c r="N175" s="7"/>
      <c r="O175" s="6"/>
      <c r="P175" s="6"/>
      <c r="Q175">
        <f>Lifetimes!FX1</f>
        <v>0</v>
      </c>
      <c r="R175" t="str">
        <f t="shared" si="6"/>
        <v>OK</v>
      </c>
      <c r="AA175" t="s">
        <v>1881</v>
      </c>
    </row>
    <row r="176" spans="10:27">
      <c r="J176" s="298" t="str">
        <v>Pellet losses industrial plants</v>
      </c>
      <c r="K176" s="303" t="str">
        <f>IF(ISBLANK(J176),"",IF(COUNTIF(L:L,J176),IF(_xlfn.XLOOKUP(J176,'Compartments_Kawecki&amp;Nowack19'!A:A,'Compartments_Kawecki&amp;Nowack19'!B:B,_xlfn.XLOOKUP(J176,Compartments_Added!A:A,Compartments_Added!B:B))="Stock","OK stock","OK flow"),IF(COUNTIF($G$4:$G$18,J176),IF(COUNTIF($E$4:$E$18,J176),"OK input","Missing"),"Missing")))</f>
        <v>OK flow</v>
      </c>
      <c r="L176" s="298" t="str">
        <v>Other non-consumer films</v>
      </c>
      <c r="M176" s="303" t="str">
        <f>IF(COUNTIF(J:J,L176),IF(_xlfn.XLOOKUP(L176,'Compartments_Kawecki&amp;Nowack19'!A:A,'Compartments_Kawecki&amp;Nowack19'!B:B,_xlfn.XLOOKUP(L176,Compartments_Added!A:A,Compartments_Added!B:B))="Stock","OK stock","OK flow"),IF(_xlfn.XLOOKUP(L176,'Compartments_Kawecki&amp;Nowack19'!A:A,'Compartments_Kawecki&amp;Nowack19'!B:B,_xlfn.XLOOKUP(L176,Compartments_Added!A:A,Compartments_Added!B:B))="Sink","OK, Sink","Missing"))</f>
        <v>OK stock</v>
      </c>
      <c r="N176" s="7"/>
      <c r="O176" s="6"/>
      <c r="P176" s="6"/>
      <c r="Q176">
        <f>Lifetimes!FY1</f>
        <v>0</v>
      </c>
      <c r="R176" t="str">
        <f t="shared" si="6"/>
        <v>OK</v>
      </c>
      <c r="AA176" t="s">
        <v>1882</v>
      </c>
    </row>
    <row r="177" spans="10:27">
      <c r="J177" s="298" t="str">
        <v>Pellet losses transport land</v>
      </c>
      <c r="K177" s="303" t="str">
        <f>IF(ISBLANK(J177),"",IF(COUNTIF(L:L,J177),IF(_xlfn.XLOOKUP(J177,'Compartments_Kawecki&amp;Nowack19'!A:A,'Compartments_Kawecki&amp;Nowack19'!B:B,_xlfn.XLOOKUP(J177,Compartments_Added!A:A,Compartments_Added!B:B))="Stock","OK stock","OK flow"),IF(COUNTIF($G$4:$G$18,J177),IF(COUNTIF($E$4:$E$18,J177),"OK input","Missing"),"Missing")))</f>
        <v>OK flow</v>
      </c>
      <c r="L177" s="298" t="str">
        <v>Other non-consumer packaging</v>
      </c>
      <c r="M177" s="303" t="str">
        <f>IF(COUNTIF(J:J,L177),IF(_xlfn.XLOOKUP(L177,'Compartments_Kawecki&amp;Nowack19'!A:A,'Compartments_Kawecki&amp;Nowack19'!B:B,_xlfn.XLOOKUP(L177,Compartments_Added!A:A,Compartments_Added!B:B))="Stock","OK stock","OK flow"),IF(_xlfn.XLOOKUP(L177,'Compartments_Kawecki&amp;Nowack19'!A:A,'Compartments_Kawecki&amp;Nowack19'!B:B,_xlfn.XLOOKUP(L177,Compartments_Added!A:A,Compartments_Added!B:B))="Sink","OK, Sink","Missing"))</f>
        <v>OK stock</v>
      </c>
      <c r="N177" s="7"/>
      <c r="O177" s="6"/>
      <c r="P177" s="6"/>
      <c r="Q177">
        <f>Lifetimes!FZ1</f>
        <v>0</v>
      </c>
      <c r="R177" t="str">
        <f t="shared" si="6"/>
        <v>OK</v>
      </c>
      <c r="AA177" t="s">
        <v>1883</v>
      </c>
    </row>
    <row r="178" spans="10:27">
      <c r="J178" s="298" t="str">
        <v>Plant protection products</v>
      </c>
      <c r="K178" s="303" t="str">
        <f>IF(ISBLANK(J178),"",IF(COUNTIF(L:L,J178),IF(_xlfn.XLOOKUP(J178,'Compartments_Kawecki&amp;Nowack19'!A:A,'Compartments_Kawecki&amp;Nowack19'!B:B,_xlfn.XLOOKUP(J178,Compartments_Added!A:A,Compartments_Added!B:B))="Stock","OK stock","OK flow"),IF(COUNTIF($G$4:$G$18,J178),IF(COUNTIF($E$4:$E$18,J178),"OK input","Missing"),"Missing")))</f>
        <v>OK flow</v>
      </c>
      <c r="L178" s="298" t="str">
        <v>Packaging recycling</v>
      </c>
      <c r="M178" s="303" t="str">
        <f>IF(COUNTIF(J:J,L178),IF(_xlfn.XLOOKUP(L178,'Compartments_Kawecki&amp;Nowack19'!A:A,'Compartments_Kawecki&amp;Nowack19'!B:B,_xlfn.XLOOKUP(L178,Compartments_Added!A:A,Compartments_Added!B:B))="Stock","OK stock","OK flow"),IF(_xlfn.XLOOKUP(L178,'Compartments_Kawecki&amp;Nowack19'!A:A,'Compartments_Kawecki&amp;Nowack19'!B:B,_xlfn.XLOOKUP(L178,Compartments_Added!A:A,Compartments_Added!B:B))="Sink","OK, Sink","Missing"))</f>
        <v>OK flow</v>
      </c>
      <c r="N178" s="7"/>
      <c r="O178" s="6"/>
      <c r="P178" s="6"/>
      <c r="Q178">
        <f>Lifetimes!GA1</f>
        <v>0</v>
      </c>
      <c r="R178" t="str">
        <f t="shared" si="6"/>
        <v>OK</v>
      </c>
      <c r="AA178" t="s">
        <v>1884</v>
      </c>
    </row>
    <row r="179" spans="10:27">
      <c r="J179" s="298" t="str">
        <v>Plaster (DIY)</v>
      </c>
      <c r="K179" s="303" t="str">
        <f>IF(ISBLANK(J179),"",IF(COUNTIF(L:L,J179),IF(_xlfn.XLOOKUP(J179,'Compartments_Kawecki&amp;Nowack19'!A:A,'Compartments_Kawecki&amp;Nowack19'!B:B,_xlfn.XLOOKUP(J179,Compartments_Added!A:A,Compartments_Added!B:B))="Stock","OK stock","OK flow"),IF(COUNTIF($G$4:$G$18,J179),IF(COUNTIF($E$4:$E$18,J179),"OK input","Missing"),"Missing")))</f>
        <v>OK flow</v>
      </c>
      <c r="L179" s="298" t="str">
        <v>Concrete paint (prof)</v>
      </c>
      <c r="M179" s="303" t="str">
        <f>IF(COUNTIF(J:J,L179),IF(_xlfn.XLOOKUP(L179,'Compartments_Kawecki&amp;Nowack19'!A:A,'Compartments_Kawecki&amp;Nowack19'!B:B,_xlfn.XLOOKUP(L179,Compartments_Added!A:A,Compartments_Added!B:B))="Stock","OK stock","OK flow"),IF(_xlfn.XLOOKUP(L179,'Compartments_Kawecki&amp;Nowack19'!A:A,'Compartments_Kawecki&amp;Nowack19'!B:B,_xlfn.XLOOKUP(L179,Compartments_Added!A:A,Compartments_Added!B:B))="Sink","OK, Sink","Missing"))</f>
        <v>OK flow</v>
      </c>
      <c r="N179" s="7"/>
      <c r="O179" s="6"/>
      <c r="P179" s="6"/>
      <c r="Q179">
        <f>Lifetimes!GB1</f>
        <v>0</v>
      </c>
      <c r="R179" t="str">
        <f t="shared" si="6"/>
        <v>OK</v>
      </c>
      <c r="AA179" t="s">
        <v>1885</v>
      </c>
    </row>
    <row r="180" spans="10:27">
      <c r="J180" s="298" t="str">
        <v>Plaster (DIY) indoor</v>
      </c>
      <c r="K180" s="303" t="str">
        <f>IF(ISBLANK(J180),"",IF(COUNTIF(L:L,J180),IF(_xlfn.XLOOKUP(J180,'Compartments_Kawecki&amp;Nowack19'!A:A,'Compartments_Kawecki&amp;Nowack19'!B:B,_xlfn.XLOOKUP(J180,Compartments_Added!A:A,Compartments_Added!B:B))="Stock","OK stock","OK flow"),IF(COUNTIF($G$4:$G$18,J180),IF(COUNTIF($E$4:$E$18,J180),"OK input","Missing"),"Missing")))</f>
        <v>OK flow</v>
      </c>
      <c r="L180" s="298" t="str">
        <v>Lacquer (prof)</v>
      </c>
      <c r="M180" s="303" t="str">
        <f>IF(COUNTIF(J:J,L180),IF(_xlfn.XLOOKUP(L180,'Compartments_Kawecki&amp;Nowack19'!A:A,'Compartments_Kawecki&amp;Nowack19'!B:B,_xlfn.XLOOKUP(L180,Compartments_Added!A:A,Compartments_Added!B:B))="Stock","OK stock","OK flow"),IF(_xlfn.XLOOKUP(L180,'Compartments_Kawecki&amp;Nowack19'!A:A,'Compartments_Kawecki&amp;Nowack19'!B:B,_xlfn.XLOOKUP(L180,Compartments_Added!A:A,Compartments_Added!B:B))="Sink","OK, Sink","Missing"))</f>
        <v>OK flow</v>
      </c>
      <c r="N180" s="7"/>
      <c r="O180" s="6"/>
      <c r="P180" s="6"/>
      <c r="Q180">
        <f>Lifetimes!GC1</f>
        <v>0</v>
      </c>
      <c r="R180" t="str">
        <f t="shared" si="6"/>
        <v>OK</v>
      </c>
      <c r="AA180" t="s">
        <v>1886</v>
      </c>
    </row>
    <row r="181" spans="10:27">
      <c r="J181" s="298" t="str">
        <v>Plaster (DIY) indoor (discarded)</v>
      </c>
      <c r="K181" s="303" t="str">
        <f>IF(ISBLANK(J181),"",IF(COUNTIF(L:L,J181),IF(_xlfn.XLOOKUP(J181,'Compartments_Kawecki&amp;Nowack19'!A:A,'Compartments_Kawecki&amp;Nowack19'!B:B,_xlfn.XLOOKUP(J181,Compartments_Added!A:A,Compartments_Added!B:B))="Stock","OK stock","OK flow"),IF(COUNTIF($G$4:$G$18,J181),IF(COUNTIF($E$4:$E$18,J181),"OK input","Missing"),"Missing")))</f>
        <v>OK stock</v>
      </c>
      <c r="L181" s="298" t="str">
        <v>Wood stain (prof)</v>
      </c>
      <c r="M181" s="303" t="str">
        <f>IF(COUNTIF(J:J,L181),IF(_xlfn.XLOOKUP(L181,'Compartments_Kawecki&amp;Nowack19'!A:A,'Compartments_Kawecki&amp;Nowack19'!B:B,_xlfn.XLOOKUP(L181,Compartments_Added!A:A,Compartments_Added!B:B))="Stock","OK stock","OK flow"),IF(_xlfn.XLOOKUP(L181,'Compartments_Kawecki&amp;Nowack19'!A:A,'Compartments_Kawecki&amp;Nowack19'!B:B,_xlfn.XLOOKUP(L181,Compartments_Added!A:A,Compartments_Added!B:B))="Sink","OK, Sink","Missing"))</f>
        <v>OK flow</v>
      </c>
      <c r="N181" s="7"/>
      <c r="O181" s="6"/>
      <c r="P181" s="6"/>
      <c r="Q181">
        <f>Lifetimes!GD1</f>
        <v>0</v>
      </c>
      <c r="R181" t="str">
        <f t="shared" si="6"/>
        <v>OK</v>
      </c>
      <c r="AA181" t="s">
        <v>1887</v>
      </c>
    </row>
    <row r="182" spans="10:27">
      <c r="J182" s="298" t="str">
        <v>Plaster (DIY) indoor (in use)</v>
      </c>
      <c r="K182" s="303" t="str">
        <f>IF(ISBLANK(J182),"",IF(COUNTIF(L:L,J182),IF(_xlfn.XLOOKUP(J182,'Compartments_Kawecki&amp;Nowack19'!A:A,'Compartments_Kawecki&amp;Nowack19'!B:B,_xlfn.XLOOKUP(J182,Compartments_Added!A:A,Compartments_Added!B:B))="Stock","OK stock","OK flow"),IF(COUNTIF($G$4:$G$18,J182),IF(COUNTIF($E$4:$E$18,J182),"OK input","Missing"),"Missing")))</f>
        <v>OK stock</v>
      </c>
      <c r="L182" s="298" t="str">
        <v>Wall paint (prof)</v>
      </c>
      <c r="M182" s="303" t="str">
        <f>IF(COUNTIF(J:J,L182),IF(_xlfn.XLOOKUP(L182,'Compartments_Kawecki&amp;Nowack19'!A:A,'Compartments_Kawecki&amp;Nowack19'!B:B,_xlfn.XLOOKUP(L182,Compartments_Added!A:A,Compartments_Added!B:B))="Stock","OK stock","OK flow"),IF(_xlfn.XLOOKUP(L182,'Compartments_Kawecki&amp;Nowack19'!A:A,'Compartments_Kawecki&amp;Nowack19'!B:B,_xlfn.XLOOKUP(L182,Compartments_Added!A:A,Compartments_Added!B:B))="Sink","OK, Sink","Missing"))</f>
        <v>OK flow</v>
      </c>
      <c r="N182" s="7"/>
      <c r="O182" s="6"/>
      <c r="P182" s="6"/>
      <c r="Q182">
        <f>Lifetimes!GE1</f>
        <v>0</v>
      </c>
      <c r="R182" t="str">
        <f t="shared" si="6"/>
        <v>OK</v>
      </c>
      <c r="AA182" t="s">
        <v>1888</v>
      </c>
    </row>
    <row r="183" spans="10:27">
      <c r="J183" s="298" t="str">
        <v>Plaster (DIY) outdoor</v>
      </c>
      <c r="K183" s="303" t="str">
        <f>IF(ISBLANK(J183),"",IF(COUNTIF(L:L,J183),IF(_xlfn.XLOOKUP(J183,'Compartments_Kawecki&amp;Nowack19'!A:A,'Compartments_Kawecki&amp;Nowack19'!B:B,_xlfn.XLOOKUP(J183,Compartments_Added!A:A,Compartments_Added!B:B))="Stock","OK stock","OK flow"),IF(COUNTIF($G$4:$G$18,J183),IF(COUNTIF($E$4:$E$18,J183),"OK input","Missing"),"Missing")))</f>
        <v>OK flow</v>
      </c>
      <c r="L183" s="298" t="str">
        <v>Plaster (prof)</v>
      </c>
      <c r="M183" s="303" t="str">
        <f>IF(COUNTIF(J:J,L183),IF(_xlfn.XLOOKUP(L183,'Compartments_Kawecki&amp;Nowack19'!A:A,'Compartments_Kawecki&amp;Nowack19'!B:B,_xlfn.XLOOKUP(L183,Compartments_Added!A:A,Compartments_Added!B:B))="Stock","OK stock","OK flow"),IF(_xlfn.XLOOKUP(L183,'Compartments_Kawecki&amp;Nowack19'!A:A,'Compartments_Kawecki&amp;Nowack19'!B:B,_xlfn.XLOOKUP(L183,Compartments_Added!A:A,Compartments_Added!B:B))="Sink","OK, Sink","Missing"))</f>
        <v>OK flow</v>
      </c>
      <c r="N183" s="7"/>
      <c r="O183" s="6"/>
      <c r="P183" s="6"/>
      <c r="Q183">
        <f>Lifetimes!GF1</f>
        <v>0</v>
      </c>
      <c r="R183" t="str">
        <f t="shared" si="6"/>
        <v>OK</v>
      </c>
      <c r="AA183" t="s">
        <v>1889</v>
      </c>
    </row>
    <row r="184" spans="10:27">
      <c r="J184" s="298" t="str">
        <v>Plaster (DIY) outdoor (discarded)</v>
      </c>
      <c r="K184" s="303" t="str">
        <f>IF(ISBLANK(J184),"",IF(COUNTIF(L:L,J184),IF(_xlfn.XLOOKUP(J184,'Compartments_Kawecki&amp;Nowack19'!A:A,'Compartments_Kawecki&amp;Nowack19'!B:B,_xlfn.XLOOKUP(J184,Compartments_Added!A:A,Compartments_Added!B:B))="Stock","OK stock","OK flow"),IF(COUNTIF($G$4:$G$18,J184),IF(COUNTIF($E$4:$E$18,J184),"OK input","Missing"),"Missing")))</f>
        <v>OK stock</v>
      </c>
      <c r="L184" s="298" t="str">
        <v>Other paint uses (prof)</v>
      </c>
      <c r="M184" s="303" t="str">
        <f>IF(COUNTIF(J:J,L184),IF(_xlfn.XLOOKUP(L184,'Compartments_Kawecki&amp;Nowack19'!A:A,'Compartments_Kawecki&amp;Nowack19'!B:B,_xlfn.XLOOKUP(L184,Compartments_Added!A:A,Compartments_Added!B:B))="Stock","OK stock","OK flow"),IF(_xlfn.XLOOKUP(L184,'Compartments_Kawecki&amp;Nowack19'!A:A,'Compartments_Kawecki&amp;Nowack19'!B:B,_xlfn.XLOOKUP(L184,Compartments_Added!A:A,Compartments_Added!B:B))="Sink","OK, Sink","Missing"))</f>
        <v>OK flow</v>
      </c>
      <c r="N184" s="7"/>
      <c r="O184" s="6"/>
      <c r="P184" s="6"/>
      <c r="Q184">
        <f>Lifetimes!GG1</f>
        <v>0</v>
      </c>
      <c r="R184" t="str">
        <f t="shared" si="6"/>
        <v>OK</v>
      </c>
      <c r="AA184" t="s">
        <v>1890</v>
      </c>
    </row>
    <row r="185" spans="10:27">
      <c r="J185" s="298" t="str">
        <v>Plaster (DIY) outdoor (in use)</v>
      </c>
      <c r="K185" s="303" t="str">
        <f>IF(ISBLANK(J185),"",IF(COUNTIF(L:L,J185),IF(_xlfn.XLOOKUP(J185,'Compartments_Kawecki&amp;Nowack19'!A:A,'Compartments_Kawecki&amp;Nowack19'!B:B,_xlfn.XLOOKUP(J185,Compartments_Added!A:A,Compartments_Added!B:B))="Stock","OK stock","OK flow"),IF(COUNTIF($G$4:$G$18,J185),IF(COUNTIF($E$4:$E$18,J185),"OK input","Missing"),"Missing")))</f>
        <v>OK stock</v>
      </c>
      <c r="L185" s="298" t="str">
        <v>Paints used in pre-made wooden products</v>
      </c>
      <c r="M185" s="303" t="str">
        <f>IF(COUNTIF(J:J,L185),IF(_xlfn.XLOOKUP(L185,'Compartments_Kawecki&amp;Nowack19'!A:A,'Compartments_Kawecki&amp;Nowack19'!B:B,_xlfn.XLOOKUP(L185,Compartments_Added!A:A,Compartments_Added!B:B))="Stock","OK stock","OK flow"),IF(_xlfn.XLOOKUP(L185,'Compartments_Kawecki&amp;Nowack19'!A:A,'Compartments_Kawecki&amp;Nowack19'!B:B,_xlfn.XLOOKUP(L185,Compartments_Added!A:A,Compartments_Added!B:B))="Sink","OK, Sink","Missing"))</f>
        <v>OK flow</v>
      </c>
      <c r="N185" s="7"/>
      <c r="O185" s="6"/>
      <c r="P185" s="6"/>
      <c r="Q185">
        <f>Lifetimes!GH1</f>
        <v>0</v>
      </c>
      <c r="R185" t="str">
        <f t="shared" si="6"/>
        <v>OK</v>
      </c>
      <c r="AA185" t="s">
        <v>1891</v>
      </c>
    </row>
    <row r="186" spans="10:27">
      <c r="J186" s="298" t="str">
        <v>Plaster (prof)</v>
      </c>
      <c r="K186" s="303" t="str">
        <f>IF(ISBLANK(J186),"",IF(COUNTIF(L:L,J186),IF(_xlfn.XLOOKUP(J186,'Compartments_Kawecki&amp;Nowack19'!A:A,'Compartments_Kawecki&amp;Nowack19'!B:B,_xlfn.XLOOKUP(J186,Compartments_Added!A:A,Compartments_Added!B:B))="Stock","OK stock","OK flow"),IF(COUNTIF($G$4:$G$18,J186),IF(COUNTIF($E$4:$E$18,J186),"OK input","Missing"),"Missing")))</f>
        <v>OK flow</v>
      </c>
      <c r="L186" s="298" t="str">
        <v>Lacquer (DIY)</v>
      </c>
      <c r="M186" s="303" t="str">
        <f>IF(COUNTIF(J:J,L186),IF(_xlfn.XLOOKUP(L186,'Compartments_Kawecki&amp;Nowack19'!A:A,'Compartments_Kawecki&amp;Nowack19'!B:B,_xlfn.XLOOKUP(L186,Compartments_Added!A:A,Compartments_Added!B:B))="Stock","OK stock","OK flow"),IF(_xlfn.XLOOKUP(L186,'Compartments_Kawecki&amp;Nowack19'!A:A,'Compartments_Kawecki&amp;Nowack19'!B:B,_xlfn.XLOOKUP(L186,Compartments_Added!A:A,Compartments_Added!B:B))="Sink","OK, Sink","Missing"))</f>
        <v>OK flow</v>
      </c>
      <c r="N186" s="7"/>
      <c r="O186" s="6"/>
      <c r="P186" s="6"/>
      <c r="Q186">
        <f>Lifetimes!GI1</f>
        <v>0</v>
      </c>
      <c r="R186" t="str">
        <f t="shared" si="6"/>
        <v>OK</v>
      </c>
      <c r="AA186" t="s">
        <v>1892</v>
      </c>
    </row>
    <row r="187" spans="10:27">
      <c r="J187" s="298" t="str">
        <v>Plaster (prof) indoor</v>
      </c>
      <c r="K187" s="303" t="str">
        <f>IF(ISBLANK(J187),"",IF(COUNTIF(L:L,J187),IF(_xlfn.XLOOKUP(J187,'Compartments_Kawecki&amp;Nowack19'!A:A,'Compartments_Kawecki&amp;Nowack19'!B:B,_xlfn.XLOOKUP(J187,Compartments_Added!A:A,Compartments_Added!B:B))="Stock","OK stock","OK flow"),IF(COUNTIF($G$4:$G$18,J187),IF(COUNTIF($E$4:$E$18,J187),"OK input","Missing"),"Missing")))</f>
        <v>OK flow</v>
      </c>
      <c r="L187" s="298" t="str">
        <v>Wood stain (DIY)</v>
      </c>
      <c r="M187" s="303" t="str">
        <f>IF(COUNTIF(J:J,L187),IF(_xlfn.XLOOKUP(L187,'Compartments_Kawecki&amp;Nowack19'!A:A,'Compartments_Kawecki&amp;Nowack19'!B:B,_xlfn.XLOOKUP(L187,Compartments_Added!A:A,Compartments_Added!B:B))="Stock","OK stock","OK flow"),IF(_xlfn.XLOOKUP(L187,'Compartments_Kawecki&amp;Nowack19'!A:A,'Compartments_Kawecki&amp;Nowack19'!B:B,_xlfn.XLOOKUP(L187,Compartments_Added!A:A,Compartments_Added!B:B))="Sink","OK, Sink","Missing"))</f>
        <v>OK flow</v>
      </c>
      <c r="N187" s="7"/>
      <c r="O187" s="6"/>
      <c r="P187" s="6"/>
      <c r="Q187">
        <f>Lifetimes!GJ1</f>
        <v>0</v>
      </c>
      <c r="R187" t="str">
        <f t="shared" si="6"/>
        <v>OK</v>
      </c>
      <c r="AA187" t="s">
        <v>1893</v>
      </c>
    </row>
    <row r="188" spans="10:27">
      <c r="J188" s="298" t="str">
        <v>Plaster (prof) indoor (discarded)</v>
      </c>
      <c r="K188" s="303" t="str">
        <f>IF(ISBLANK(J188),"",IF(COUNTIF(L:L,J188),IF(_xlfn.XLOOKUP(J188,'Compartments_Kawecki&amp;Nowack19'!A:A,'Compartments_Kawecki&amp;Nowack19'!B:B,_xlfn.XLOOKUP(J188,Compartments_Added!A:A,Compartments_Added!B:B))="Stock","OK stock","OK flow"),IF(COUNTIF($G$4:$G$18,J188),IF(COUNTIF($E$4:$E$18,J188),"OK input","Missing"),"Missing")))</f>
        <v>OK stock</v>
      </c>
      <c r="L188" s="298" t="str">
        <v>Wall paint (DIY)</v>
      </c>
      <c r="M188" s="303" t="str">
        <f>IF(COUNTIF(J:J,L188),IF(_xlfn.XLOOKUP(L188,'Compartments_Kawecki&amp;Nowack19'!A:A,'Compartments_Kawecki&amp;Nowack19'!B:B,_xlfn.XLOOKUP(L188,Compartments_Added!A:A,Compartments_Added!B:B))="Stock","OK stock","OK flow"),IF(_xlfn.XLOOKUP(L188,'Compartments_Kawecki&amp;Nowack19'!A:A,'Compartments_Kawecki&amp;Nowack19'!B:B,_xlfn.XLOOKUP(L188,Compartments_Added!A:A,Compartments_Added!B:B))="Sink","OK, Sink","Missing"))</f>
        <v>OK flow</v>
      </c>
      <c r="N188" s="7"/>
      <c r="O188" s="6"/>
      <c r="P188" s="6"/>
      <c r="Q188">
        <f>Lifetimes!GK1</f>
        <v>0</v>
      </c>
      <c r="R188" t="str">
        <f t="shared" si="6"/>
        <v>OK</v>
      </c>
      <c r="AA188" t="s">
        <v>1894</v>
      </c>
    </row>
    <row r="189" spans="10:27">
      <c r="J189" s="298" t="str">
        <v>Plaster (prof) indoor (in use)</v>
      </c>
      <c r="K189" s="303" t="str">
        <f>IF(ISBLANK(J189),"",IF(COUNTIF(L:L,J189),IF(_xlfn.XLOOKUP(J189,'Compartments_Kawecki&amp;Nowack19'!A:A,'Compartments_Kawecki&amp;Nowack19'!B:B,_xlfn.XLOOKUP(J189,Compartments_Added!A:A,Compartments_Added!B:B))="Stock","OK stock","OK flow"),IF(COUNTIF($G$4:$G$18,J189),IF(COUNTIF($E$4:$E$18,J189),"OK input","Missing"),"Missing")))</f>
        <v>OK stock</v>
      </c>
      <c r="L189" s="298" t="str">
        <v>Plaster (DIY)</v>
      </c>
      <c r="M189" s="303" t="str">
        <f>IF(COUNTIF(J:J,L189),IF(_xlfn.XLOOKUP(L189,'Compartments_Kawecki&amp;Nowack19'!A:A,'Compartments_Kawecki&amp;Nowack19'!B:B,_xlfn.XLOOKUP(L189,Compartments_Added!A:A,Compartments_Added!B:B))="Stock","OK stock","OK flow"),IF(_xlfn.XLOOKUP(L189,'Compartments_Kawecki&amp;Nowack19'!A:A,'Compartments_Kawecki&amp;Nowack19'!B:B,_xlfn.XLOOKUP(L189,Compartments_Added!A:A,Compartments_Added!B:B))="Sink","OK, Sink","Missing"))</f>
        <v>OK flow</v>
      </c>
      <c r="N189" s="7"/>
      <c r="O189" s="6"/>
      <c r="P189" s="6"/>
      <c r="Q189">
        <f>Lifetimes!GL1</f>
        <v>0</v>
      </c>
      <c r="R189" t="str">
        <f t="shared" si="6"/>
        <v>OK</v>
      </c>
      <c r="AA189" t="s">
        <v>1895</v>
      </c>
    </row>
    <row r="190" spans="10:27">
      <c r="J190" s="332" t="str">
        <v>Plaster (prof) outdoor</v>
      </c>
      <c r="K190" s="303" t="str">
        <f>IF(ISBLANK(J190),"",IF(COUNTIF(L:L,J190),IF(_xlfn.XLOOKUP(J190,'Compartments_Kawecki&amp;Nowack19'!A:A,'Compartments_Kawecki&amp;Nowack19'!B:B,_xlfn.XLOOKUP(J190,Compartments_Added!A:A,Compartments_Added!B:B))="Stock","OK stock","OK flow"),IF(COUNTIF($G$4:$G$18,J190),IF(COUNTIF($E$4:$E$18,J190),"OK input","Missing"),"Missing")))</f>
        <v>OK flow</v>
      </c>
      <c r="L190" s="97" t="str">
        <v>Other paint uses (DIY)</v>
      </c>
      <c r="M190" s="303" t="str">
        <f>IF(COUNTIF(J:J,L190),IF(_xlfn.XLOOKUP(L190,'Compartments_Kawecki&amp;Nowack19'!A:A,'Compartments_Kawecki&amp;Nowack19'!B:B,_xlfn.XLOOKUP(L190,Compartments_Added!A:A,Compartments_Added!B:B))="Stock","OK stock","OK flow"),IF(_xlfn.XLOOKUP(L190,'Compartments_Kawecki&amp;Nowack19'!A:A,'Compartments_Kawecki&amp;Nowack19'!B:B,_xlfn.XLOOKUP(L190,Compartments_Added!A:A,Compartments_Added!B:B))="Sink","OK, Sink","Missing"))</f>
        <v>OK flow</v>
      </c>
      <c r="N190" s="7"/>
      <c r="O190" s="6"/>
      <c r="P190" s="6"/>
      <c r="Q190">
        <f>Lifetimes!GM1</f>
        <v>0</v>
      </c>
      <c r="R190" t="str">
        <f t="shared" si="6"/>
        <v>OK</v>
      </c>
      <c r="AA190" t="s">
        <v>1896</v>
      </c>
    </row>
    <row r="191" spans="10:27">
      <c r="J191" s="332" t="str">
        <v>Plaster (prof) outdoor (discarded)</v>
      </c>
      <c r="K191" s="303" t="str">
        <f>IF(ISBLANK(J191),"",IF(COUNTIF(L:L,J191),IF(_xlfn.XLOOKUP(J191,'Compartments_Kawecki&amp;Nowack19'!A:A,'Compartments_Kawecki&amp;Nowack19'!B:B,_xlfn.XLOOKUP(J191,Compartments_Added!A:A,Compartments_Added!B:B))="Stock","OK stock","OK flow"),IF(COUNTIF($G$4:$G$18,J191),IF(COUNTIF($E$4:$E$18,J191),"OK input","Missing"),"Missing")))</f>
        <v>OK stock</v>
      </c>
      <c r="L191" s="97" t="str">
        <v>Ship paint (prof)</v>
      </c>
      <c r="M191" s="303" t="str">
        <f>IF(COUNTIF(J:J,L191),IF(_xlfn.XLOOKUP(L191,'Compartments_Kawecki&amp;Nowack19'!A:A,'Compartments_Kawecki&amp;Nowack19'!B:B,_xlfn.XLOOKUP(L191,Compartments_Added!A:A,Compartments_Added!B:B))="Stock","OK stock","OK flow"),IF(_xlfn.XLOOKUP(L191,'Compartments_Kawecki&amp;Nowack19'!A:A,'Compartments_Kawecki&amp;Nowack19'!B:B,_xlfn.XLOOKUP(L191,Compartments_Added!A:A,Compartments_Added!B:B))="Sink","OK, Sink","Missing"))</f>
        <v>OK flow</v>
      </c>
      <c r="N191" s="7"/>
      <c r="O191" s="6"/>
      <c r="P191" s="6"/>
      <c r="Q191">
        <f>Lifetimes!GN1</f>
        <v>0</v>
      </c>
      <c r="R191" t="str">
        <f t="shared" si="6"/>
        <v>OK</v>
      </c>
      <c r="AA191" t="s">
        <v>1897</v>
      </c>
    </row>
    <row r="192" spans="10:27">
      <c r="J192" s="333" t="str">
        <v>Plaster (prof) outdoor (in use)</v>
      </c>
      <c r="K192" s="303" t="str">
        <f>IF(ISBLANK(J192),"",IF(COUNTIF(L:L,J192),IF(_xlfn.XLOOKUP(J192,'Compartments_Kawecki&amp;Nowack19'!A:A,'Compartments_Kawecki&amp;Nowack19'!B:B,_xlfn.XLOOKUP(J192,Compartments_Added!A:A,Compartments_Added!B:B))="Stock","OK stock","OK flow"),IF(COUNTIF($G$4:$G$18,J192),IF(COUNTIF($E$4:$E$18,J192),"OK input","Missing"),"Missing")))</f>
        <v>OK stock</v>
      </c>
      <c r="L192" s="97" t="str">
        <v>Ship paint (recr)</v>
      </c>
      <c r="M192" s="303" t="str">
        <f>IF(COUNTIF(J:J,L192),IF(_xlfn.XLOOKUP(L192,'Compartments_Kawecki&amp;Nowack19'!A:A,'Compartments_Kawecki&amp;Nowack19'!B:B,_xlfn.XLOOKUP(L192,Compartments_Added!A:A,Compartments_Added!B:B))="Stock","OK stock","OK flow"),IF(_xlfn.XLOOKUP(L192,'Compartments_Kawecki&amp;Nowack19'!A:A,'Compartments_Kawecki&amp;Nowack19'!B:B,_xlfn.XLOOKUP(L192,Compartments_Added!A:A,Compartments_Added!B:B))="Sink","OK, Sink","Missing"))</f>
        <v>OK flow</v>
      </c>
      <c r="N192" s="7"/>
      <c r="O192" s="6"/>
      <c r="P192" s="6"/>
      <c r="Q192">
        <f>Lifetimes!GO1</f>
        <v>0</v>
      </c>
      <c r="R192" t="str">
        <f t="shared" si="6"/>
        <v>OK</v>
      </c>
      <c r="AA192" t="s">
        <v>1898</v>
      </c>
    </row>
    <row r="193" spans="10:27">
      <c r="J193" s="332" t="str">
        <v>Primary water treatment (macro)</v>
      </c>
      <c r="K193" s="303" t="str">
        <f>IF(ISBLANK(J193),"",IF(COUNTIF(L:L,J193),IF(_xlfn.XLOOKUP(J193,'Compartments_Kawecki&amp;Nowack19'!A:A,'Compartments_Kawecki&amp;Nowack19'!B:B,_xlfn.XLOOKUP(J193,Compartments_Added!A:A,Compartments_Added!B:B))="Stock","OK stock","OK flow"),IF(COUNTIF($G$4:$G$18,J193),IF(COUNTIF($E$4:$E$18,J193),"OK input","Missing"),"Missing")))</f>
        <v>OK flow</v>
      </c>
      <c r="L193" s="97" t="str">
        <v>Paints used in pre-made wooden products outdoor</v>
      </c>
      <c r="M193" s="303" t="str">
        <f>IF(COUNTIF(J:J,L193),IF(_xlfn.XLOOKUP(L193,'Compartments_Kawecki&amp;Nowack19'!A:A,'Compartments_Kawecki&amp;Nowack19'!B:B,_xlfn.XLOOKUP(L193,Compartments_Added!A:A,Compartments_Added!B:B))="Stock","OK stock","OK flow"),IF(_xlfn.XLOOKUP(L193,'Compartments_Kawecki&amp;Nowack19'!A:A,'Compartments_Kawecki&amp;Nowack19'!B:B,_xlfn.XLOOKUP(L193,Compartments_Added!A:A,Compartments_Added!B:B))="Sink","OK, Sink","Missing"))</f>
        <v>OK flow</v>
      </c>
      <c r="N193" s="7"/>
      <c r="O193" s="6"/>
      <c r="P193" s="6"/>
      <c r="Q193">
        <f>Lifetimes!GP1</f>
        <v>0</v>
      </c>
      <c r="R193" t="str">
        <f t="shared" si="6"/>
        <v>OK</v>
      </c>
      <c r="AA193" t="s">
        <v>1899</v>
      </c>
    </row>
    <row r="194" spans="10:27">
      <c r="J194" s="332" t="str">
        <v>Primary water treatment (micro)</v>
      </c>
      <c r="K194" s="303" t="str">
        <f>IF(ISBLANK(J194),"",IF(COUNTIF(L:L,J194),IF(_xlfn.XLOOKUP(J194,'Compartments_Kawecki&amp;Nowack19'!A:A,'Compartments_Kawecki&amp;Nowack19'!B:B,_xlfn.XLOOKUP(J194,Compartments_Added!A:A,Compartments_Added!B:B))="Stock","OK stock","OK flow"),IF(COUNTIF($G$4:$G$18,J194),IF(COUNTIF($E$4:$E$18,J194),"OK input","Missing"),"Missing")))</f>
        <v>OK flow</v>
      </c>
      <c r="L194" s="97" t="str">
        <v>Paints used in pre-made wooden products indoor</v>
      </c>
      <c r="M194" s="303" t="str">
        <f>IF(COUNTIF(J:J,L194),IF(_xlfn.XLOOKUP(L194,'Compartments_Kawecki&amp;Nowack19'!A:A,'Compartments_Kawecki&amp;Nowack19'!B:B,_xlfn.XLOOKUP(L194,Compartments_Added!A:A,Compartments_Added!B:B))="Stock","OK stock","OK flow"),IF(_xlfn.XLOOKUP(L194,'Compartments_Kawecki&amp;Nowack19'!A:A,'Compartments_Kawecki&amp;Nowack19'!B:B,_xlfn.XLOOKUP(L194,Compartments_Added!A:A,Compartments_Added!B:B))="Sink","OK, Sink","Missing"))</f>
        <v>OK flow</v>
      </c>
      <c r="N194" s="7"/>
      <c r="O194" s="6"/>
      <c r="P194" s="6"/>
      <c r="Q194">
        <f>Lifetimes!GQ1</f>
        <v>0</v>
      </c>
      <c r="R194" t="str">
        <f t="shared" si="6"/>
        <v>OK</v>
      </c>
      <c r="AA194" t="s">
        <v>1900</v>
      </c>
    </row>
    <row r="195" spans="10:27">
      <c r="J195" s="332" t="str">
        <v>Road cleaning</v>
      </c>
      <c r="K195" s="303" t="str">
        <f>IF(ISBLANK(J195),"",IF(COUNTIF(L:L,J195),IF(_xlfn.XLOOKUP(J195,'Compartments_Kawecki&amp;Nowack19'!A:A,'Compartments_Kawecki&amp;Nowack19'!B:B,_xlfn.XLOOKUP(J195,Compartments_Added!A:A,Compartments_Added!B:B))="Stock","OK stock","OK flow"),IF(COUNTIF($G$4:$G$18,J195),IF(COUNTIF($E$4:$E$18,J195),"OK input","Missing"),"Missing")))</f>
        <v>OK flow</v>
      </c>
      <c r="L195" s="97" t="str">
        <v>Paints used in pre-made wooden products indoor (in use)</v>
      </c>
      <c r="M195" s="303" t="str">
        <f>IF(COUNTIF(J:J,L195),IF(_xlfn.XLOOKUP(L195,'Compartments_Kawecki&amp;Nowack19'!A:A,'Compartments_Kawecki&amp;Nowack19'!B:B,_xlfn.XLOOKUP(L195,Compartments_Added!A:A,Compartments_Added!B:B))="Stock","OK stock","OK flow"),IF(_xlfn.XLOOKUP(L195,'Compartments_Kawecki&amp;Nowack19'!A:A,'Compartments_Kawecki&amp;Nowack19'!B:B,_xlfn.XLOOKUP(L195,Compartments_Added!A:A,Compartments_Added!B:B))="Sink","OK, Sink","Missing"))</f>
        <v>OK stock</v>
      </c>
      <c r="N195" s="7"/>
      <c r="O195" s="6"/>
      <c r="P195" s="6"/>
      <c r="Q195">
        <f>Lifetimes!GR1</f>
        <v>0</v>
      </c>
      <c r="R195" t="str">
        <f t="shared" si="6"/>
        <v>OK</v>
      </c>
      <c r="AA195" t="s">
        <v>1901</v>
      </c>
    </row>
    <row r="196" spans="10:27">
      <c r="J196" s="332" t="str">
        <v>Road runoff</v>
      </c>
      <c r="K196" s="303" t="str">
        <f>IF(ISBLANK(J196),"",IF(COUNTIF(L:L,J196),IF(_xlfn.XLOOKUP(J196,'Compartments_Kawecki&amp;Nowack19'!A:A,'Compartments_Kawecki&amp;Nowack19'!B:B,_xlfn.XLOOKUP(J196,Compartments_Added!A:A,Compartments_Added!B:B))="Stock","OK stock","OK flow"),IF(COUNTIF($G$4:$G$18,J196),IF(COUNTIF($E$4:$E$18,J196),"OK input","Missing"),"Missing")))</f>
        <v>OK flow</v>
      </c>
      <c r="L196" s="97" t="str">
        <v>Paints used in pre-made wooden products indoor (discarded)</v>
      </c>
      <c r="M196" s="303" t="str">
        <f>IF(COUNTIF(J:J,L196),IF(_xlfn.XLOOKUP(L196,'Compartments_Kawecki&amp;Nowack19'!A:A,'Compartments_Kawecki&amp;Nowack19'!B:B,_xlfn.XLOOKUP(L196,Compartments_Added!A:A,Compartments_Added!B:B))="Stock","OK stock","OK flow"),IF(_xlfn.XLOOKUP(L196,'Compartments_Kawecki&amp;Nowack19'!A:A,'Compartments_Kawecki&amp;Nowack19'!B:B,_xlfn.XLOOKUP(L196,Compartments_Added!A:A,Compartments_Added!B:B))="Sink","OK, Sink","Missing"))</f>
        <v>OK stock</v>
      </c>
      <c r="N196" s="7"/>
      <c r="O196" s="6"/>
      <c r="P196" s="6"/>
      <c r="Q196">
        <f>Lifetimes!GS1</f>
        <v>0</v>
      </c>
      <c r="R196" t="str">
        <f t="shared" si="6"/>
        <v>OK</v>
      </c>
      <c r="AA196" t="s">
        <v>1902</v>
      </c>
    </row>
    <row r="197" spans="10:27">
      <c r="J197" s="332" t="str">
        <v>Rural roads</v>
      </c>
      <c r="K197" s="303" t="str">
        <f>IF(ISBLANK(J197),"",IF(COUNTIF(L:L,J197),IF(_xlfn.XLOOKUP(J197,'Compartments_Kawecki&amp;Nowack19'!A:A,'Compartments_Kawecki&amp;Nowack19'!B:B,_xlfn.XLOOKUP(J197,Compartments_Added!A:A,Compartments_Added!B:B))="Stock","OK stock","OK flow"),IF(COUNTIF($G$4:$G$18,J197),IF(COUNTIF($E$4:$E$18,J197),"OK input","Missing"),"Missing")))</f>
        <v>OK flow</v>
      </c>
      <c r="L197" s="332" t="str">
        <v>Paints used in pre-made wooden products outdoor (in use)</v>
      </c>
      <c r="M197" s="303" t="str">
        <f>IF(COUNTIF(J:J,L197),IF(_xlfn.XLOOKUP(L197,'Compartments_Kawecki&amp;Nowack19'!A:A,'Compartments_Kawecki&amp;Nowack19'!B:B,_xlfn.XLOOKUP(L197,Compartments_Added!A:A,Compartments_Added!B:B))="Stock","OK stock","OK flow"),IF(_xlfn.XLOOKUP(L197,'Compartments_Kawecki&amp;Nowack19'!A:A,'Compartments_Kawecki&amp;Nowack19'!B:B,_xlfn.XLOOKUP(L197,Compartments_Added!A:A,Compartments_Added!B:B))="Sink","OK, Sink","Missing"))</f>
        <v>OK stock</v>
      </c>
      <c r="N197" s="7"/>
      <c r="O197" s="6"/>
      <c r="P197" s="6"/>
      <c r="Q197">
        <f>Lifetimes!GT1</f>
        <v>0</v>
      </c>
      <c r="R197" t="str">
        <f t="shared" ref="R197:R235" si="7">IF(COUNTIF(P:P,Q197), "OK", "Missing")</f>
        <v>OK</v>
      </c>
      <c r="AA197" t="s">
        <v>1903</v>
      </c>
    </row>
    <row r="198" spans="10:27">
      <c r="J198" s="332" t="str">
        <v>Sanitary pads</v>
      </c>
      <c r="K198" s="303" t="str">
        <f>IF(ISBLANK(J198),"",IF(COUNTIF(L:L,J198),IF(_xlfn.XLOOKUP(J198,'Compartments_Kawecki&amp;Nowack19'!A:A,'Compartments_Kawecki&amp;Nowack19'!B:B,_xlfn.XLOOKUP(J198,Compartments_Added!A:A,Compartments_Added!B:B))="Stock","OK stock","OK flow"),IF(COUNTIF($G$4:$G$18,J198),IF(COUNTIF($E$4:$E$18,J198),"OK input","Missing"),"Missing")))</f>
        <v>OK flow</v>
      </c>
      <c r="L198" s="333" t="str">
        <v>Paints used in pre-made wooden products outdoor (discarded)</v>
      </c>
      <c r="M198" s="303" t="str">
        <f>IF(COUNTIF(J:J,L198),IF(_xlfn.XLOOKUP(L198,'Compartments_Kawecki&amp;Nowack19'!A:A,'Compartments_Kawecki&amp;Nowack19'!B:B,_xlfn.XLOOKUP(L198,Compartments_Added!A:A,Compartments_Added!B:B))="Stock","OK stock","OK flow"),IF(_xlfn.XLOOKUP(L198,'Compartments_Kawecki&amp;Nowack19'!A:A,'Compartments_Kawecki&amp;Nowack19'!B:B,_xlfn.XLOOKUP(L198,Compartments_Added!A:A,Compartments_Added!B:B))="Sink","OK, Sink","Missing"))</f>
        <v>OK stock</v>
      </c>
      <c r="N198" s="7"/>
      <c r="O198" s="6"/>
      <c r="P198" s="6"/>
      <c r="Q198">
        <f>Lifetimes!GU1</f>
        <v>0</v>
      </c>
      <c r="R198" t="str">
        <f t="shared" si="7"/>
        <v>OK</v>
      </c>
      <c r="AA198" t="s">
        <v>1904</v>
      </c>
    </row>
    <row r="199" spans="10:27">
      <c r="J199" s="332" t="str">
        <v>Secondary water treatment (macro)</v>
      </c>
      <c r="K199" s="303" t="str">
        <f>IF(ISBLANK(J199),"",IF(COUNTIF(L:L,J199),IF(_xlfn.XLOOKUP(J199,'Compartments_Kawecki&amp;Nowack19'!A:A,'Compartments_Kawecki&amp;Nowack19'!B:B,_xlfn.XLOOKUP(J199,Compartments_Added!A:A,Compartments_Added!B:B))="Stock","OK stock","OK flow"),IF(COUNTIF($G$4:$G$18,J199),IF(COUNTIF($E$4:$E$18,J199),"OK input","Missing"),"Missing")))</f>
        <v>OK flow</v>
      </c>
      <c r="L199" s="97" t="str">
        <v>Wastewater (macro)</v>
      </c>
      <c r="M199" s="303" t="str">
        <f>IF(COUNTIF(J:J,L199),IF(_xlfn.XLOOKUP(L199,'Compartments_Kawecki&amp;Nowack19'!A:A,'Compartments_Kawecki&amp;Nowack19'!B:B,_xlfn.XLOOKUP(L199,Compartments_Added!A:A,Compartments_Added!B:B))="Stock","OK stock","OK flow"),IF(_xlfn.XLOOKUP(L199,'Compartments_Kawecki&amp;Nowack19'!A:A,'Compartments_Kawecki&amp;Nowack19'!B:B,_xlfn.XLOOKUP(L199,Compartments_Added!A:A,Compartments_Added!B:B))="Sink","OK, Sink","Missing"))</f>
        <v>OK flow</v>
      </c>
      <c r="N199" s="7"/>
      <c r="Q199">
        <f>Lifetimes!GV1</f>
        <v>0</v>
      </c>
      <c r="R199" t="str">
        <f t="shared" si="7"/>
        <v>OK</v>
      </c>
      <c r="AA199" t="s">
        <v>1905</v>
      </c>
    </row>
    <row r="200" spans="10:27">
      <c r="J200" s="332" t="str">
        <v>Secondary water treatment (micro)</v>
      </c>
      <c r="K200" s="303" t="str">
        <f>IF(ISBLANK(J200),"",IF(COUNTIF(L:L,J200),IF(_xlfn.XLOOKUP(J200,'Compartments_Kawecki&amp;Nowack19'!A:A,'Compartments_Kawecki&amp;Nowack19'!B:B,_xlfn.XLOOKUP(J200,Compartments_Added!A:A,Compartments_Added!B:B))="Stock","OK stock","OK flow"),IF(COUNTIF($G$4:$G$18,J200),IF(COUNTIF($E$4:$E$18,J200),"OK input","Missing"),"Missing")))</f>
        <v>OK flow</v>
      </c>
      <c r="L200" s="97" t="str">
        <v>Plastic products</v>
      </c>
      <c r="M200" s="303" t="str">
        <f>IF(COUNTIF(J:J,L200),IF(_xlfn.XLOOKUP(L200,'Compartments_Kawecki&amp;Nowack19'!A:A,'Compartments_Kawecki&amp;Nowack19'!B:B,_xlfn.XLOOKUP(L200,Compartments_Added!A:A,Compartments_Added!B:B))="Stock","OK stock","OK flow"),IF(_xlfn.XLOOKUP(L200,'Compartments_Kawecki&amp;Nowack19'!A:A,'Compartments_Kawecki&amp;Nowack19'!B:B,_xlfn.XLOOKUP(L200,Compartments_Added!A:A,Compartments_Added!B:B))="Sink","OK, Sink","Missing"))</f>
        <v>OK, Sink</v>
      </c>
      <c r="N200" s="7"/>
      <c r="Q200">
        <f>Lifetimes!GW1</f>
        <v>0</v>
      </c>
      <c r="R200" t="str">
        <f t="shared" si="7"/>
        <v>OK</v>
      </c>
      <c r="AA200" t="s">
        <v>1906</v>
      </c>
    </row>
    <row r="201" spans="10:27">
      <c r="J201" s="332" t="str">
        <v>Seed coating</v>
      </c>
      <c r="K201" s="303" t="str">
        <f>IF(ISBLANK(J201),"",IF(COUNTIF(L:L,J201),IF(_xlfn.XLOOKUP(J201,'Compartments_Kawecki&amp;Nowack19'!A:A,'Compartments_Kawecki&amp;Nowack19'!B:B,_xlfn.XLOOKUP(J201,Compartments_Added!A:A,Compartments_Added!B:B))="Stock","OK stock","OK flow"),IF(COUNTIF($G$4:$G$18,J201),IF(COUNTIF($E$4:$E$18,J201),"OK input","Missing"),"Missing")))</f>
        <v>OK flow</v>
      </c>
      <c r="L201" s="97" t="str">
        <v>Plaster (DIY) outdoor</v>
      </c>
      <c r="M201" s="303" t="str">
        <f>IF(COUNTIF(J:J,L201),IF(_xlfn.XLOOKUP(L201,'Compartments_Kawecki&amp;Nowack19'!A:A,'Compartments_Kawecki&amp;Nowack19'!B:B,_xlfn.XLOOKUP(L201,Compartments_Added!A:A,Compartments_Added!B:B))="Stock","OK stock","OK flow"),IF(_xlfn.XLOOKUP(L201,'Compartments_Kawecki&amp;Nowack19'!A:A,'Compartments_Kawecki&amp;Nowack19'!B:B,_xlfn.XLOOKUP(L201,Compartments_Added!A:A,Compartments_Added!B:B))="Sink","OK, Sink","Missing"))</f>
        <v>OK flow</v>
      </c>
      <c r="N201" s="7"/>
      <c r="Q201">
        <f>Lifetimes!GX1</f>
        <v>0</v>
      </c>
      <c r="R201" t="str">
        <f t="shared" si="7"/>
        <v>OK</v>
      </c>
      <c r="AA201" t="s">
        <v>1907</v>
      </c>
    </row>
    <row r="202" spans="10:27">
      <c r="J202" s="332" t="str">
        <v>Ship paint (prof)</v>
      </c>
      <c r="K202" s="303" t="str">
        <f>IF(ISBLANK(J202),"",IF(COUNTIF(L:L,J202),IF(_xlfn.XLOOKUP(J202,'Compartments_Kawecki&amp;Nowack19'!A:A,'Compartments_Kawecki&amp;Nowack19'!B:B,_xlfn.XLOOKUP(J202,Compartments_Added!A:A,Compartments_Added!B:B))="Stock","OK stock","OK flow"),IF(COUNTIF($G$4:$G$18,J202),IF(COUNTIF($E$4:$E$18,J202),"OK input","Missing"),"Missing")))</f>
        <v>OK flow</v>
      </c>
      <c r="L202" s="97" t="str">
        <v>Plaster (DIY) indoor</v>
      </c>
      <c r="M202" s="303" t="str">
        <f>IF(COUNTIF(J:J,L202),IF(_xlfn.XLOOKUP(L202,'Compartments_Kawecki&amp;Nowack19'!A:A,'Compartments_Kawecki&amp;Nowack19'!B:B,_xlfn.XLOOKUP(L202,Compartments_Added!A:A,Compartments_Added!B:B))="Stock","OK stock","OK flow"),IF(_xlfn.XLOOKUP(L202,'Compartments_Kawecki&amp;Nowack19'!A:A,'Compartments_Kawecki&amp;Nowack19'!B:B,_xlfn.XLOOKUP(L202,Compartments_Added!A:A,Compartments_Added!B:B))="Sink","OK, Sink","Missing"))</f>
        <v>OK flow</v>
      </c>
      <c r="N202" s="7"/>
      <c r="Q202">
        <f>Lifetimes!GY1</f>
        <v>0</v>
      </c>
      <c r="R202" t="str">
        <f t="shared" si="7"/>
        <v>OK</v>
      </c>
      <c r="AA202" t="s">
        <v>1908</v>
      </c>
    </row>
    <row r="203" spans="10:27">
      <c r="J203" s="332" t="str">
        <v>Ship paint (prof) (discarded)</v>
      </c>
      <c r="K203" s="303" t="str">
        <f>IF(ISBLANK(J203),"",IF(COUNTIF(L:L,J203),IF(_xlfn.XLOOKUP(J203,'Compartments_Kawecki&amp;Nowack19'!A:A,'Compartments_Kawecki&amp;Nowack19'!B:B,_xlfn.XLOOKUP(J203,Compartments_Added!A:A,Compartments_Added!B:B))="Stock","OK stock","OK flow"),IF(COUNTIF($G$4:$G$18,J203),IF(COUNTIF($E$4:$E$18,J203),"OK input","Missing"),"Missing")))</f>
        <v>OK stock</v>
      </c>
      <c r="L203" s="97" t="str">
        <v>Plaster (DIY) indoor (in use)</v>
      </c>
      <c r="M203" s="303" t="str">
        <f>IF(COUNTIF(J:J,L203),IF(_xlfn.XLOOKUP(L203,'Compartments_Kawecki&amp;Nowack19'!A:A,'Compartments_Kawecki&amp;Nowack19'!B:B,_xlfn.XLOOKUP(L203,Compartments_Added!A:A,Compartments_Added!B:B))="Stock","OK stock","OK flow"),IF(_xlfn.XLOOKUP(L203,'Compartments_Kawecki&amp;Nowack19'!A:A,'Compartments_Kawecki&amp;Nowack19'!B:B,_xlfn.XLOOKUP(L203,Compartments_Added!A:A,Compartments_Added!B:B))="Sink","OK, Sink","Missing"))</f>
        <v>OK stock</v>
      </c>
      <c r="N203" s="7"/>
      <c r="Q203">
        <f>Lifetimes!GZ1</f>
        <v>0</v>
      </c>
      <c r="R203" t="str">
        <f t="shared" si="7"/>
        <v>OK</v>
      </c>
      <c r="AA203" t="s">
        <v>1909</v>
      </c>
    </row>
    <row r="204" spans="10:27">
      <c r="J204" s="332" t="str">
        <v>Ship paint (prof) (in use)</v>
      </c>
      <c r="K204" s="303" t="str">
        <f>IF(ISBLANK(J204),"",IF(COUNTIF(L:L,J204),IF(_xlfn.XLOOKUP(J204,'Compartments_Kawecki&amp;Nowack19'!A:A,'Compartments_Kawecki&amp;Nowack19'!B:B,_xlfn.XLOOKUP(J204,Compartments_Added!A:A,Compartments_Added!B:B))="Stock","OK stock","OK flow"),IF(COUNTIF($G$4:$G$18,J204),IF(COUNTIF($E$4:$E$18,J204),"OK input","Missing"),"Missing")))</f>
        <v>OK stock</v>
      </c>
      <c r="L204" s="97" t="str">
        <v>Plaster (DIY) indoor (discarded)</v>
      </c>
      <c r="M204" s="303" t="str">
        <f>IF(COUNTIF(J:J,L204),IF(_xlfn.XLOOKUP(L204,'Compartments_Kawecki&amp;Nowack19'!A:A,'Compartments_Kawecki&amp;Nowack19'!B:B,_xlfn.XLOOKUP(L204,Compartments_Added!A:A,Compartments_Added!B:B))="Stock","OK stock","OK flow"),IF(_xlfn.XLOOKUP(L204,'Compartments_Kawecki&amp;Nowack19'!A:A,'Compartments_Kawecki&amp;Nowack19'!B:B,_xlfn.XLOOKUP(L204,Compartments_Added!A:A,Compartments_Added!B:B))="Sink","OK, Sink","Missing"))</f>
        <v>OK stock</v>
      </c>
      <c r="N204" s="7"/>
      <c r="Q204">
        <f>Lifetimes!HA1</f>
        <v>0</v>
      </c>
      <c r="R204" t="str">
        <f t="shared" si="7"/>
        <v>OK</v>
      </c>
      <c r="AA204" t="s">
        <v>1910</v>
      </c>
    </row>
    <row r="205" spans="10:27">
      <c r="J205" s="332" t="str">
        <v>Ship paint (recr)</v>
      </c>
      <c r="K205" s="303" t="str">
        <f>IF(ISBLANK(J205),"",IF(COUNTIF(L:L,J205),IF(_xlfn.XLOOKUP(J205,'Compartments_Kawecki&amp;Nowack19'!A:A,'Compartments_Kawecki&amp;Nowack19'!B:B,_xlfn.XLOOKUP(J205,Compartments_Added!A:A,Compartments_Added!B:B))="Stock","OK stock","OK flow"),IF(COUNTIF($G$4:$G$18,J205),IF(COUNTIF($E$4:$E$18,J205),"OK input","Missing"),"Missing")))</f>
        <v>OK flow</v>
      </c>
      <c r="L205" s="97" t="str">
        <v>Plaster (DIY) outdoor (in use)</v>
      </c>
      <c r="M205" s="303" t="str">
        <f>IF(COUNTIF(J:J,L205),IF(_xlfn.XLOOKUP(L205,'Compartments_Kawecki&amp;Nowack19'!A:A,'Compartments_Kawecki&amp;Nowack19'!B:B,_xlfn.XLOOKUP(L205,Compartments_Added!A:A,Compartments_Added!B:B))="Stock","OK stock","OK flow"),IF(_xlfn.XLOOKUP(L205,'Compartments_Kawecki&amp;Nowack19'!A:A,'Compartments_Kawecki&amp;Nowack19'!B:B,_xlfn.XLOOKUP(L205,Compartments_Added!A:A,Compartments_Added!B:B))="Sink","OK, Sink","Missing"))</f>
        <v>OK stock</v>
      </c>
      <c r="N205" s="7"/>
      <c r="Q205">
        <f>Lifetimes!HB1</f>
        <v>0</v>
      </c>
      <c r="R205" t="str">
        <f t="shared" si="7"/>
        <v>OK</v>
      </c>
      <c r="AA205" t="s">
        <v>1911</v>
      </c>
    </row>
    <row r="206" spans="10:27">
      <c r="J206" s="332" t="str">
        <v>Ship paint (recr) (discarded)</v>
      </c>
      <c r="K206" s="303" t="str">
        <f>IF(ISBLANK(J206),"",IF(COUNTIF(L:L,J206),IF(_xlfn.XLOOKUP(J206,'Compartments_Kawecki&amp;Nowack19'!A:A,'Compartments_Kawecki&amp;Nowack19'!B:B,_xlfn.XLOOKUP(J206,Compartments_Added!A:A,Compartments_Added!B:B))="Stock","OK stock","OK flow"),IF(COUNTIF($G$4:$G$18,J206),IF(COUNTIF($E$4:$E$18,J206),"OK input","Missing"),"Missing")))</f>
        <v>OK stock</v>
      </c>
      <c r="L206" s="97" t="str">
        <v>Plaster (DIY) outdoor (discarded)</v>
      </c>
      <c r="M206" s="303" t="str">
        <f>IF(COUNTIF(J:J,L206),IF(_xlfn.XLOOKUP(L206,'Compartments_Kawecki&amp;Nowack19'!A:A,'Compartments_Kawecki&amp;Nowack19'!B:B,_xlfn.XLOOKUP(L206,Compartments_Added!A:A,Compartments_Added!B:B))="Stock","OK stock","OK flow"),IF(_xlfn.XLOOKUP(L206,'Compartments_Kawecki&amp;Nowack19'!A:A,'Compartments_Kawecki&amp;Nowack19'!B:B,_xlfn.XLOOKUP(L206,Compartments_Added!A:A,Compartments_Added!B:B))="Sink","OK, Sink","Missing"))</f>
        <v>OK stock</v>
      </c>
      <c r="N206" s="7"/>
      <c r="Q206">
        <f>Lifetimes!HC1</f>
        <v>0</v>
      </c>
      <c r="R206" t="str">
        <f t="shared" si="7"/>
        <v>OK</v>
      </c>
      <c r="AA206" t="s">
        <v>1912</v>
      </c>
    </row>
    <row r="207" spans="10:27">
      <c r="J207" s="332" t="str">
        <v>Ship paint (recr) (in use)</v>
      </c>
      <c r="K207" s="303" t="str">
        <f>IF(ISBLANK(J207),"",IF(COUNTIF(L:L,J207),IF(_xlfn.XLOOKUP(J207,'Compartments_Kawecki&amp;Nowack19'!A:A,'Compartments_Kawecki&amp;Nowack19'!B:B,_xlfn.XLOOKUP(J207,Compartments_Added!A:A,Compartments_Added!B:B))="Stock","OK stock","OK flow"),IF(COUNTIF($G$4:$G$18,J207),IF(COUNTIF($E$4:$E$18,J207),"OK input","Missing"),"Missing")))</f>
        <v>OK stock</v>
      </c>
      <c r="L207" s="97" t="str">
        <v>Plaster (prof) outdoor</v>
      </c>
      <c r="M207" s="303" t="str">
        <f>IF(COUNTIF(J:J,L207),IF(_xlfn.XLOOKUP(L207,'Compartments_Kawecki&amp;Nowack19'!A:A,'Compartments_Kawecki&amp;Nowack19'!B:B,_xlfn.XLOOKUP(L207,Compartments_Added!A:A,Compartments_Added!B:B))="Stock","OK stock","OK flow"),IF(_xlfn.XLOOKUP(L207,'Compartments_Kawecki&amp;Nowack19'!A:A,'Compartments_Kawecki&amp;Nowack19'!B:B,_xlfn.XLOOKUP(L207,Compartments_Added!A:A,Compartments_Added!B:B))="Sink","OK, Sink","Missing"))</f>
        <v>OK flow</v>
      </c>
      <c r="N207" s="7"/>
      <c r="Q207">
        <f>Lifetimes!HD1</f>
        <v>0</v>
      </c>
      <c r="R207" t="str">
        <f t="shared" si="7"/>
        <v>OK</v>
      </c>
      <c r="AA207" t="s">
        <v>1913</v>
      </c>
    </row>
    <row r="208" spans="10:27">
      <c r="J208" s="332" t="str">
        <v>Shirts and blouses</v>
      </c>
      <c r="K208" s="303" t="str">
        <f>IF(ISBLANK(J208),"",IF(COUNTIF(L:L,J208),IF(_xlfn.XLOOKUP(J208,'Compartments_Kawecki&amp;Nowack19'!A:A,'Compartments_Kawecki&amp;Nowack19'!B:B,_xlfn.XLOOKUP(J208,Compartments_Added!A:A,Compartments_Added!B:B))="Stock","OK stock","OK flow"),IF(COUNTIF($G$4:$G$18,J208),IF(COUNTIF($E$4:$E$18,J208),"OK input","Missing"),"Missing")))</f>
        <v>OK stock</v>
      </c>
      <c r="L208" s="97" t="str">
        <v>Plaster (prof) indoor</v>
      </c>
      <c r="M208" s="303" t="str">
        <f>IF(COUNTIF(J:J,L208),IF(_xlfn.XLOOKUP(L208,'Compartments_Kawecki&amp;Nowack19'!A:A,'Compartments_Kawecki&amp;Nowack19'!B:B,_xlfn.XLOOKUP(L208,Compartments_Added!A:A,Compartments_Added!B:B))="Stock","OK stock","OK flow"),IF(_xlfn.XLOOKUP(L208,'Compartments_Kawecki&amp;Nowack19'!A:A,'Compartments_Kawecki&amp;Nowack19'!B:B,_xlfn.XLOOKUP(L208,Compartments_Added!A:A,Compartments_Added!B:B))="Sink","OK, Sink","Missing"))</f>
        <v>OK flow</v>
      </c>
      <c r="N208" s="7"/>
      <c r="Q208">
        <f>Lifetimes!HE1</f>
        <v>0</v>
      </c>
      <c r="R208" t="str">
        <f t="shared" si="7"/>
        <v>OK</v>
      </c>
      <c r="AA208" t="s">
        <v>1914</v>
      </c>
    </row>
    <row r="209" spans="10:27">
      <c r="J209" s="332" t="str">
        <v>Sludge (macro)</v>
      </c>
      <c r="K209" s="303" t="str">
        <f>IF(ISBLANK(J209),"",IF(COUNTIF(L:L,J209),IF(_xlfn.XLOOKUP(J209,'Compartments_Kawecki&amp;Nowack19'!A:A,'Compartments_Kawecki&amp;Nowack19'!B:B,_xlfn.XLOOKUP(J209,Compartments_Added!A:A,Compartments_Added!B:B))="Stock","OK stock","OK flow"),IF(COUNTIF($G$4:$G$18,J209),IF(COUNTIF($E$4:$E$18,J209),"OK input","Missing"),"Missing")))</f>
        <v>OK flow</v>
      </c>
      <c r="L209" s="332" t="str">
        <v>Plaster (prof) indoor (in use)</v>
      </c>
      <c r="M209" s="303" t="str">
        <f>IF(COUNTIF(J:J,L209),IF(_xlfn.XLOOKUP(L209,'Compartments_Kawecki&amp;Nowack19'!A:A,'Compartments_Kawecki&amp;Nowack19'!B:B,_xlfn.XLOOKUP(L209,Compartments_Added!A:A,Compartments_Added!B:B))="Stock","OK stock","OK flow"),IF(_xlfn.XLOOKUP(L209,'Compartments_Kawecki&amp;Nowack19'!A:A,'Compartments_Kawecki&amp;Nowack19'!B:B,_xlfn.XLOOKUP(L209,Compartments_Added!A:A,Compartments_Added!B:B))="Sink","OK, Sink","Missing"))</f>
        <v>OK stock</v>
      </c>
      <c r="N209" s="7"/>
      <c r="Q209">
        <f>Lifetimes!HF1</f>
        <v>0</v>
      </c>
      <c r="R209" t="str">
        <f t="shared" si="7"/>
        <v>OK</v>
      </c>
      <c r="AA209" t="s">
        <v>1915</v>
      </c>
    </row>
    <row r="210" spans="10:27">
      <c r="J210" s="332" t="str">
        <v>Sludge (micro)</v>
      </c>
      <c r="K210" s="303" t="str">
        <f>IF(ISBLANK(J210),"",IF(COUNTIF(L:L,J210),IF(_xlfn.XLOOKUP(J210,'Compartments_Kawecki&amp;Nowack19'!A:A,'Compartments_Kawecki&amp;Nowack19'!B:B,_xlfn.XLOOKUP(J210,Compartments_Added!A:A,Compartments_Added!B:B))="Stock","OK stock","OK flow"),IF(COUNTIF($G$4:$G$18,J210),IF(COUNTIF($E$4:$E$18,J210),"OK input","Missing"),"Missing")))</f>
        <v>OK flow</v>
      </c>
      <c r="L210" s="97" t="str">
        <v>Plaster (prof) indoor (discarded)</v>
      </c>
      <c r="M210" s="303" t="str">
        <f>IF(COUNTIF(J:J,L210),IF(_xlfn.XLOOKUP(L210,'Compartments_Kawecki&amp;Nowack19'!A:A,'Compartments_Kawecki&amp;Nowack19'!B:B,_xlfn.XLOOKUP(L210,Compartments_Added!A:A,Compartments_Added!B:B))="Stock","OK stock","OK flow"),IF(_xlfn.XLOOKUP(L210,'Compartments_Kawecki&amp;Nowack19'!A:A,'Compartments_Kawecki&amp;Nowack19'!B:B,_xlfn.XLOOKUP(L210,Compartments_Added!A:A,Compartments_Added!B:B))="Sink","OK, Sink","Missing"))</f>
        <v>OK stock</v>
      </c>
      <c r="N210" s="7"/>
      <c r="Q210">
        <f>Lifetimes!HG1</f>
        <v>0</v>
      </c>
      <c r="R210" t="str">
        <f t="shared" si="7"/>
        <v>OK</v>
      </c>
    </row>
    <row r="211" spans="10:27" ht="15" thickBot="1">
      <c r="J211" s="301" t="str">
        <v>Stormwater (macro)</v>
      </c>
      <c r="K211" s="303" t="str">
        <f>IF(ISBLANK(J211),"",IF(COUNTIF(L:L,J211),IF(_xlfn.XLOOKUP(J211,'Compartments_Kawecki&amp;Nowack19'!A:A,'Compartments_Kawecki&amp;Nowack19'!B:B,_xlfn.XLOOKUP(J211,Compartments_Added!A:A,Compartments_Added!B:B))="Stock","OK stock","OK flow"),IF(COUNTIF($G$4:$G$18,J211),IF(COUNTIF($E$4:$E$18,J211),"OK input","Missing"),"Missing")))</f>
        <v>OK flow</v>
      </c>
      <c r="L211" s="301" t="str">
        <v>Plaster (prof) outdoor (in use)</v>
      </c>
      <c r="M211" s="303" t="str">
        <f>IF(COUNTIF(J:J,L211),IF(_xlfn.XLOOKUP(L211,'Compartments_Kawecki&amp;Nowack19'!A:A,'Compartments_Kawecki&amp;Nowack19'!B:B,_xlfn.XLOOKUP(L211,Compartments_Added!A:A,Compartments_Added!B:B))="Stock","OK stock","OK flow"),IF(_xlfn.XLOOKUP(L211,'Compartments_Kawecki&amp;Nowack19'!A:A,'Compartments_Kawecki&amp;Nowack19'!B:B,_xlfn.XLOOKUP(L211,Compartments_Added!A:A,Compartments_Added!B:B))="Sink","OK, Sink","Missing"))</f>
        <v>OK stock</v>
      </c>
      <c r="N211" s="7"/>
      <c r="R211" t="str">
        <f t="shared" si="7"/>
        <v>OK</v>
      </c>
    </row>
    <row r="212" spans="10:27">
      <c r="J212" s="16" t="str">
        <v>Stormwater (micro)</v>
      </c>
      <c r="K212" s="303" t="str">
        <f>IF(ISBLANK(J212),"",IF(COUNTIF(L:L,J212),IF(_xlfn.XLOOKUP(J212,'Compartments_Kawecki&amp;Nowack19'!A:A,'Compartments_Kawecki&amp;Nowack19'!B:B,_xlfn.XLOOKUP(J212,Compartments_Added!A:A,Compartments_Added!B:B))="Stock","OK stock","OK flow"),IF(COUNTIF($G$4:$G$18,J212),IF(COUNTIF($E$4:$E$18,J212),"OK input","Missing"),"Missing")))</f>
        <v>OK flow</v>
      </c>
      <c r="L212" t="str">
        <v>Plaster (prof) outdoor (discarded)</v>
      </c>
      <c r="M212" s="303" t="str">
        <f>IF(COUNTIF(J:J,L212),IF(_xlfn.XLOOKUP(L212,'Compartments_Kawecki&amp;Nowack19'!A:A,'Compartments_Kawecki&amp;Nowack19'!B:B,_xlfn.XLOOKUP(L212,Compartments_Added!A:A,Compartments_Added!B:B))="Stock","OK stock","OK flow"),IF(_xlfn.XLOOKUP(L212,'Compartments_Kawecki&amp;Nowack19'!A:A,'Compartments_Kawecki&amp;Nowack19'!B:B,_xlfn.XLOOKUP(L212,Compartments_Added!A:A,Compartments_Added!B:B))="Sink","OK, Sink","Missing"))</f>
        <v>OK stock</v>
      </c>
      <c r="N212" s="7"/>
      <c r="R212" t="str">
        <f t="shared" si="7"/>
        <v>OK</v>
      </c>
    </row>
    <row r="213" spans="10:27">
      <c r="J213" s="16" t="str">
        <v>Sweaters and midlayers</v>
      </c>
      <c r="K213" s="303" t="str">
        <f>IF(ISBLANK(J213),"",IF(COUNTIF(L:L,J213),IF(_xlfn.XLOOKUP(J213,'Compartments_Kawecki&amp;Nowack19'!A:A,'Compartments_Kawecki&amp;Nowack19'!B:B,_xlfn.XLOOKUP(J213,Compartments_Added!A:A,Compartments_Added!B:B))="Stock","OK stock","OK flow"),IF(COUNTIF($G$4:$G$18,J213),IF(COUNTIF($E$4:$E$18,J213),"OK input","Missing"),"Missing")))</f>
        <v>OK stock</v>
      </c>
      <c r="L213" t="str">
        <v>Secondary water treatment (macro)</v>
      </c>
      <c r="M213" s="303" t="str">
        <f>IF(COUNTIF(J:J,L213),IF(_xlfn.XLOOKUP(L213,'Compartments_Kawecki&amp;Nowack19'!A:A,'Compartments_Kawecki&amp;Nowack19'!B:B,_xlfn.XLOOKUP(L213,Compartments_Added!A:A,Compartments_Added!B:B))="Stock","OK stock","OK flow"),IF(_xlfn.XLOOKUP(L213,'Compartments_Kawecki&amp;Nowack19'!A:A,'Compartments_Kawecki&amp;Nowack19'!B:B,_xlfn.XLOOKUP(L213,Compartments_Added!A:A,Compartments_Added!B:B))="Sink","OK, Sink","Missing"))</f>
        <v>OK flow</v>
      </c>
      <c r="N213" s="7"/>
      <c r="R213" t="str">
        <f t="shared" si="7"/>
        <v>OK</v>
      </c>
    </row>
    <row r="214" spans="10:27">
      <c r="J214" s="16" t="str">
        <v>Swimwear</v>
      </c>
      <c r="K214" s="303" t="str">
        <f>IF(ISBLANK(J214),"",IF(COUNTIF(L:L,J214),IF(_xlfn.XLOOKUP(J214,'Compartments_Kawecki&amp;Nowack19'!A:A,'Compartments_Kawecki&amp;Nowack19'!B:B,_xlfn.XLOOKUP(J214,Compartments_Added!A:A,Compartments_Added!B:B))="Stock","OK stock","OK flow"),IF(COUNTIF($G$4:$G$18,J214),IF(COUNTIF($E$4:$E$18,J214),"OK input","Missing"),"Missing")))</f>
        <v>OK stock</v>
      </c>
      <c r="L214" t="str">
        <v>Secondary water treatment (micro)</v>
      </c>
      <c r="M214" s="303" t="str">
        <f>IF(COUNTIF(J:J,L214),IF(_xlfn.XLOOKUP(L214,'Compartments_Kawecki&amp;Nowack19'!A:A,'Compartments_Kawecki&amp;Nowack19'!B:B,_xlfn.XLOOKUP(L214,Compartments_Added!A:A,Compartments_Added!B:B))="Stock","OK stock","OK flow"),IF(_xlfn.XLOOKUP(L214,'Compartments_Kawecki&amp;Nowack19'!A:A,'Compartments_Kawecki&amp;Nowack19'!B:B,_xlfn.XLOOKUP(L214,Compartments_Added!A:A,Compartments_Added!B:B))="Sink","OK, Sink","Missing"))</f>
        <v>OK flow</v>
      </c>
      <c r="N214" s="7"/>
      <c r="R214" t="str">
        <f t="shared" si="7"/>
        <v>OK</v>
      </c>
    </row>
    <row r="215" spans="10:27">
      <c r="J215" s="16" t="str">
        <v>Tampons</v>
      </c>
      <c r="K215" s="303" t="str">
        <f>IF(ISBLANK(J215),"",IF(COUNTIF(L:L,J215),IF(_xlfn.XLOOKUP(J215,'Compartments_Kawecki&amp;Nowack19'!A:A,'Compartments_Kawecki&amp;Nowack19'!B:B,_xlfn.XLOOKUP(J215,Compartments_Added!A:A,Compartments_Added!B:B))="Stock","OK stock","OK flow"),IF(COUNTIF($G$4:$G$18,J215),IF(COUNTIF($E$4:$E$18,J215),"OK input","Missing"),"Missing")))</f>
        <v>OK flow</v>
      </c>
      <c r="L215" t="str">
        <v>Stormwater (micro)</v>
      </c>
      <c r="M215" s="303" t="str">
        <f>IF(COUNTIF(J:J,L215),IF(_xlfn.XLOOKUP(L215,'Compartments_Kawecki&amp;Nowack19'!A:A,'Compartments_Kawecki&amp;Nowack19'!B:B,_xlfn.XLOOKUP(L215,Compartments_Added!A:A,Compartments_Added!B:B))="Stock","OK stock","OK flow"),IF(_xlfn.XLOOKUP(L215,'Compartments_Kawecki&amp;Nowack19'!A:A,'Compartments_Kawecki&amp;Nowack19'!B:B,_xlfn.XLOOKUP(L215,Compartments_Added!A:A,Compartments_Added!B:B))="Sink","OK, Sink","Missing"))</f>
        <v>OK flow</v>
      </c>
      <c r="N215" s="7"/>
      <c r="R215" t="str">
        <f t="shared" si="7"/>
        <v>OK</v>
      </c>
    </row>
    <row r="216" spans="10:27">
      <c r="J216" s="16" t="str">
        <v>Technical home textiles</v>
      </c>
      <c r="K216" s="303" t="str">
        <f>IF(ISBLANK(J216),"",IF(COUNTIF(L:L,J216),IF(_xlfn.XLOOKUP(J216,'Compartments_Kawecki&amp;Nowack19'!A:A,'Compartments_Kawecki&amp;Nowack19'!B:B,_xlfn.XLOOKUP(J216,Compartments_Added!A:A,Compartments_Added!B:B))="Stock","OK stock","OK flow"),IF(COUNTIF($G$4:$G$18,J216),IF(COUNTIF($E$4:$E$18,J216),"OK input","Missing"),"Missing")))</f>
        <v>OK flow</v>
      </c>
      <c r="L216" t="str">
        <v>Tertiary water treatment (macro)</v>
      </c>
      <c r="M216" s="303" t="str">
        <f>IF(COUNTIF(J:J,L216),IF(_xlfn.XLOOKUP(L216,'Compartments_Kawecki&amp;Nowack19'!A:A,'Compartments_Kawecki&amp;Nowack19'!B:B,_xlfn.XLOOKUP(L216,Compartments_Added!A:A,Compartments_Added!B:B))="Stock","OK stock","OK flow"),IF(_xlfn.XLOOKUP(L216,'Compartments_Kawecki&amp;Nowack19'!A:A,'Compartments_Kawecki&amp;Nowack19'!B:B,_xlfn.XLOOKUP(L216,Compartments_Added!A:A,Compartments_Added!B:B))="Sink","OK, Sink","Missing"))</f>
        <v>OK flow</v>
      </c>
      <c r="N216" s="7"/>
      <c r="R216" t="str">
        <f t="shared" si="7"/>
        <v>OK</v>
      </c>
    </row>
    <row r="217" spans="10:27">
      <c r="J217" s="16" t="str">
        <v>Technical home textiles (discarded)</v>
      </c>
      <c r="K217" s="303" t="str">
        <f>IF(ISBLANK(J217),"",IF(COUNTIF(L:L,J217),IF(_xlfn.XLOOKUP(J217,'Compartments_Kawecki&amp;Nowack19'!A:A,'Compartments_Kawecki&amp;Nowack19'!B:B,_xlfn.XLOOKUP(J217,Compartments_Added!A:A,Compartments_Added!B:B))="Stock","OK stock","OK flow"),IF(COUNTIF($G$4:$G$18,J217),IF(COUNTIF($E$4:$E$18,J217),"OK input","Missing"),"Missing")))</f>
        <v>OK stock</v>
      </c>
      <c r="L217" t="str">
        <v>Tertiary water treatment (micro)</v>
      </c>
      <c r="M217" s="303" t="str">
        <f>IF(COUNTIF(J:J,L217),IF(_xlfn.XLOOKUP(L217,'Compartments_Kawecki&amp;Nowack19'!A:A,'Compartments_Kawecki&amp;Nowack19'!B:B,_xlfn.XLOOKUP(L217,Compartments_Added!A:A,Compartments_Added!B:B))="Stock","OK stock","OK flow"),IF(_xlfn.XLOOKUP(L217,'Compartments_Kawecki&amp;Nowack19'!A:A,'Compartments_Kawecki&amp;Nowack19'!B:B,_xlfn.XLOOKUP(L217,Compartments_Added!A:A,Compartments_Added!B:B))="Sink","OK, Sink","Missing"))</f>
        <v>OK flow</v>
      </c>
      <c r="N217" s="7"/>
      <c r="R217" t="str">
        <f t="shared" si="7"/>
        <v>OK</v>
      </c>
    </row>
    <row r="218" spans="10:27">
      <c r="J218" s="16" t="str">
        <v>Technical home textiles (in use)</v>
      </c>
      <c r="K218" s="303" t="str">
        <f>IF(ISBLANK(J218),"",IF(COUNTIF(L:L,J218),IF(_xlfn.XLOOKUP(J218,'Compartments_Kawecki&amp;Nowack19'!A:A,'Compartments_Kawecki&amp;Nowack19'!B:B,_xlfn.XLOOKUP(J218,Compartments_Added!A:A,Compartments_Added!B:B))="Stock","OK stock","OK flow"),IF(COUNTIF($G$4:$G$18,J218),IF(COUNTIF($E$4:$E$18,J218),"OK input","Missing"),"Missing")))</f>
        <v>OK stock</v>
      </c>
      <c r="L218" t="str">
        <v>Ship paint (prof) (in use)</v>
      </c>
      <c r="M218" s="303" t="str">
        <f>IF(COUNTIF(J:J,L218),IF(_xlfn.XLOOKUP(L218,'Compartments_Kawecki&amp;Nowack19'!A:A,'Compartments_Kawecki&amp;Nowack19'!B:B,_xlfn.XLOOKUP(L218,Compartments_Added!A:A,Compartments_Added!B:B))="Stock","OK stock","OK flow"),IF(_xlfn.XLOOKUP(L218,'Compartments_Kawecki&amp;Nowack19'!A:A,'Compartments_Kawecki&amp;Nowack19'!B:B,_xlfn.XLOOKUP(L218,Compartments_Added!A:A,Compartments_Added!B:B))="Sink","OK, Sink","Missing"))</f>
        <v>OK stock</v>
      </c>
      <c r="N218" s="7"/>
      <c r="R218" t="str">
        <f t="shared" si="7"/>
        <v>OK</v>
      </c>
    </row>
    <row r="219" spans="10:27">
      <c r="J219" s="16" t="str">
        <v>Technical textile waste collection</v>
      </c>
      <c r="K219" s="303" t="str">
        <f>IF(ISBLANK(J219),"",IF(COUNTIF(L:L,J219),IF(_xlfn.XLOOKUP(J219,'Compartments_Kawecki&amp;Nowack19'!A:A,'Compartments_Kawecki&amp;Nowack19'!B:B,_xlfn.XLOOKUP(J219,Compartments_Added!A:A,Compartments_Added!B:B))="Stock","OK stock","OK flow"),IF(COUNTIF($G$4:$G$18,J219),IF(COUNTIF($E$4:$E$18,J219),"OK input","Missing"),"Missing")))</f>
        <v>OK flow</v>
      </c>
      <c r="L219" t="str">
        <v>Ship paint (prof) (discarded)</v>
      </c>
      <c r="M219" s="303" t="str">
        <f>IF(COUNTIF(J:J,L219),IF(_xlfn.XLOOKUP(L219,'Compartments_Kawecki&amp;Nowack19'!A:A,'Compartments_Kawecki&amp;Nowack19'!B:B,_xlfn.XLOOKUP(L219,Compartments_Added!A:A,Compartments_Added!B:B))="Stock","OK stock","OK flow"),IF(_xlfn.XLOOKUP(L219,'Compartments_Kawecki&amp;Nowack19'!A:A,'Compartments_Kawecki&amp;Nowack19'!B:B,_xlfn.XLOOKUP(L219,Compartments_Added!A:A,Compartments_Added!B:B))="Sink","OK, Sink","Missing"))</f>
        <v>OK stock</v>
      </c>
      <c r="N219" s="7"/>
      <c r="R219" t="str">
        <f t="shared" si="7"/>
        <v>OK</v>
      </c>
    </row>
    <row r="220" spans="10:27">
      <c r="J220" s="16" t="str">
        <v>Technical textiles</v>
      </c>
      <c r="K220" s="303" t="str">
        <f>IF(ISBLANK(J220),"",IF(COUNTIF(L:L,J220),IF(_xlfn.XLOOKUP(J220,'Compartments_Kawecki&amp;Nowack19'!A:A,'Compartments_Kawecki&amp;Nowack19'!B:B,_xlfn.XLOOKUP(J220,Compartments_Added!A:A,Compartments_Added!B:B))="Stock","OK stock","OK flow"),IF(COUNTIF($G$4:$G$18,J220),IF(COUNTIF($E$4:$E$18,J220),"OK input","Missing"),"Missing")))</f>
        <v>OK input</v>
      </c>
      <c r="L220" t="str">
        <v>Ship paint (recr) (in use)</v>
      </c>
      <c r="M220" s="303" t="str">
        <f>IF(COUNTIF(J:J,L220),IF(_xlfn.XLOOKUP(L220,'Compartments_Kawecki&amp;Nowack19'!A:A,'Compartments_Kawecki&amp;Nowack19'!B:B,_xlfn.XLOOKUP(L220,Compartments_Added!A:A,Compartments_Added!B:B))="Stock","OK stock","OK flow"),IF(_xlfn.XLOOKUP(L220,'Compartments_Kawecki&amp;Nowack19'!A:A,'Compartments_Kawecki&amp;Nowack19'!B:B,_xlfn.XLOOKUP(L220,Compartments_Added!A:A,Compartments_Added!B:B))="Sink","OK, Sink","Missing"))</f>
        <v>OK stock</v>
      </c>
      <c r="N220" s="7"/>
      <c r="R220" t="str">
        <f t="shared" si="7"/>
        <v>OK</v>
      </c>
    </row>
    <row r="221" spans="10:27">
      <c r="J221" s="16" t="str">
        <v>Tertiary water treatment (macro)</v>
      </c>
      <c r="K221" s="303" t="str">
        <f>IF(ISBLANK(J221),"",IF(COUNTIF(L:L,J221),IF(_xlfn.XLOOKUP(J221,'Compartments_Kawecki&amp;Nowack19'!A:A,'Compartments_Kawecki&amp;Nowack19'!B:B,_xlfn.XLOOKUP(J221,Compartments_Added!A:A,Compartments_Added!B:B))="Stock","OK stock","OK flow"),IF(COUNTIF($G$4:$G$18,J221),IF(COUNTIF($E$4:$E$18,J221),"OK input","Missing"),"Missing")))</f>
        <v>OK flow</v>
      </c>
      <c r="L221" t="str">
        <v>Ship paint (recr) (discarded)</v>
      </c>
      <c r="M221" s="303" t="str">
        <f>IF(COUNTIF(J:J,L221),IF(_xlfn.XLOOKUP(L221,'Compartments_Kawecki&amp;Nowack19'!A:A,'Compartments_Kawecki&amp;Nowack19'!B:B,_xlfn.XLOOKUP(L221,Compartments_Added!A:A,Compartments_Added!B:B))="Stock","OK stock","OK flow"),IF(_xlfn.XLOOKUP(L221,'Compartments_Kawecki&amp;Nowack19'!A:A,'Compartments_Kawecki&amp;Nowack19'!B:B,_xlfn.XLOOKUP(L221,Compartments_Added!A:A,Compartments_Added!B:B))="Sink","OK, Sink","Missing"))</f>
        <v>OK stock</v>
      </c>
      <c r="N221" s="7"/>
      <c r="R221" t="str">
        <f t="shared" si="7"/>
        <v>OK</v>
      </c>
    </row>
    <row r="222" spans="10:27">
      <c r="J222" s="16" t="str">
        <v>Tertiary water treatment (micro)</v>
      </c>
      <c r="K222" s="303" t="str">
        <f>IF(ISBLANK(J222),"",IF(COUNTIF(L:L,J222),IF(_xlfn.XLOOKUP(J222,'Compartments_Kawecki&amp;Nowack19'!A:A,'Compartments_Kawecki&amp;Nowack19'!B:B,_xlfn.XLOOKUP(J222,Compartments_Added!A:A,Compartments_Added!B:B))="Stock","OK stock","OK flow"),IF(COUNTIF($G$4:$G$18,J222),IF(COUNTIF($E$4:$E$18,J222),"OK input","Missing"),"Missing")))</f>
        <v>OK flow</v>
      </c>
      <c r="L222" t="str">
        <v>Wastewater treatment plant (macro)</v>
      </c>
      <c r="M222" s="303" t="str">
        <f>IF(COUNTIF(J:J,L222),IF(_xlfn.XLOOKUP(L222,'Compartments_Kawecki&amp;Nowack19'!A:A,'Compartments_Kawecki&amp;Nowack19'!B:B,_xlfn.XLOOKUP(L222,Compartments_Added!A:A,Compartments_Added!B:B))="Stock","OK stock","OK flow"),IF(_xlfn.XLOOKUP(L222,'Compartments_Kawecki&amp;Nowack19'!A:A,'Compartments_Kawecki&amp;Nowack19'!B:B,_xlfn.XLOOKUP(L222,Compartments_Added!A:A,Compartments_Added!B:B))="Sink","OK, Sink","Missing"))</f>
        <v>OK flow</v>
      </c>
      <c r="N222" s="7"/>
      <c r="R222" t="str">
        <f t="shared" si="7"/>
        <v>OK</v>
      </c>
    </row>
    <row r="223" spans="10:27">
      <c r="J223" s="16" t="str">
        <v>Textile coating</v>
      </c>
      <c r="K223" s="303" t="str">
        <f>IF(ISBLANK(J223),"",IF(COUNTIF(L:L,J223),IF(_xlfn.XLOOKUP(J223,'Compartments_Kawecki&amp;Nowack19'!A:A,'Compartments_Kawecki&amp;Nowack19'!B:B,_xlfn.XLOOKUP(J223,Compartments_Added!A:A,Compartments_Added!B:B))="Stock","OK stock","OK flow"),IF(COUNTIF($G$4:$G$18,J223),IF(COUNTIF($E$4:$E$18,J223),"OK input","Missing"),"Missing")))</f>
        <v>OK flow</v>
      </c>
      <c r="L223" t="str">
        <v>Technical home textiles (discarded)</v>
      </c>
      <c r="M223" s="303" t="str">
        <f>IF(COUNTIF(J:J,L223),IF(_xlfn.XLOOKUP(L223,'Compartments_Kawecki&amp;Nowack19'!A:A,'Compartments_Kawecki&amp;Nowack19'!B:B,_xlfn.XLOOKUP(L223,Compartments_Added!A:A,Compartments_Added!B:B))="Stock","OK stock","OK flow"),IF(_xlfn.XLOOKUP(L223,'Compartments_Kawecki&amp;Nowack19'!A:A,'Compartments_Kawecki&amp;Nowack19'!B:B,_xlfn.XLOOKUP(L223,Compartments_Added!A:A,Compartments_Added!B:B))="Sink","OK, Sink","Missing"))</f>
        <v>OK stock</v>
      </c>
      <c r="N223" s="7"/>
      <c r="R223" t="str">
        <f t="shared" si="7"/>
        <v>OK</v>
      </c>
    </row>
    <row r="224" spans="10:27">
      <c r="J224" s="16" t="str">
        <v>Textile coating (discarded)</v>
      </c>
      <c r="K224" s="303" t="str">
        <f>IF(ISBLANK(J224),"",IF(COUNTIF(L:L,J224),IF(_xlfn.XLOOKUP(J224,'Compartments_Kawecki&amp;Nowack19'!A:A,'Compartments_Kawecki&amp;Nowack19'!B:B,_xlfn.XLOOKUP(J224,Compartments_Added!A:A,Compartments_Added!B:B))="Stock","OK stock","OK flow"),IF(COUNTIF($G$4:$G$18,J224),IF(COUNTIF($E$4:$E$18,J224),"OK input","Missing"),"Missing")))</f>
        <v>OK stock</v>
      </c>
      <c r="L224" t="str">
        <v>Technical home textiles (in use)</v>
      </c>
      <c r="M224" s="303" t="str">
        <f>IF(COUNTIF(J:J,L224),IF(_xlfn.XLOOKUP(L224,'Compartments_Kawecki&amp;Nowack19'!A:A,'Compartments_Kawecki&amp;Nowack19'!B:B,_xlfn.XLOOKUP(L224,Compartments_Added!A:A,Compartments_Added!B:B))="Stock","OK stock","OK flow"),IF(_xlfn.XLOOKUP(L224,'Compartments_Kawecki&amp;Nowack19'!A:A,'Compartments_Kawecki&amp;Nowack19'!B:B,_xlfn.XLOOKUP(L224,Compartments_Added!A:A,Compartments_Added!B:B))="Sink","OK, Sink","Missing"))</f>
        <v>OK stock</v>
      </c>
      <c r="N224" s="7"/>
      <c r="R224" t="str">
        <f t="shared" si="7"/>
        <v>OK</v>
      </c>
    </row>
    <row r="225" spans="10:18">
      <c r="J225" s="16" t="str">
        <v>Textile coating (in use)</v>
      </c>
      <c r="K225" s="303" t="str">
        <f>IF(ISBLANK(J225),"",IF(COUNTIF(L:L,J225),IF(_xlfn.XLOOKUP(J225,'Compartments_Kawecki&amp;Nowack19'!A:A,'Compartments_Kawecki&amp;Nowack19'!B:B,_xlfn.XLOOKUP(J225,Compartments_Added!A:A,Compartments_Added!B:B))="Stock","OK stock","OK flow"),IF(COUNTIF($G$4:$G$18,J225),IF(COUNTIF($E$4:$E$18,J225),"OK input","Missing"),"Missing")))</f>
        <v>OK stock</v>
      </c>
      <c r="L225" t="str">
        <v>Technical textile waste collection</v>
      </c>
      <c r="M225" s="303" t="str">
        <f>IF(COUNTIF(J:J,L225),IF(_xlfn.XLOOKUP(L225,'Compartments_Kawecki&amp;Nowack19'!A:A,'Compartments_Kawecki&amp;Nowack19'!B:B,_xlfn.XLOOKUP(L225,Compartments_Added!A:A,Compartments_Added!B:B))="Stock","OK stock","OK flow"),IF(_xlfn.XLOOKUP(L225,'Compartments_Kawecki&amp;Nowack19'!A:A,'Compartments_Kawecki&amp;Nowack19'!B:B,_xlfn.XLOOKUP(L225,Compartments_Added!A:A,Compartments_Added!B:B))="Sink","OK, Sink","Missing"))</f>
        <v>OK flow</v>
      </c>
      <c r="N225" s="7"/>
      <c r="R225" t="str">
        <f t="shared" si="7"/>
        <v>OK</v>
      </c>
    </row>
    <row r="226" spans="10:18">
      <c r="J226" s="16" t="str">
        <v>Textile recycling</v>
      </c>
      <c r="K226" s="303" t="str">
        <f>IF(ISBLANK(J226),"",IF(COUNTIF(L:L,J226),IF(_xlfn.XLOOKUP(J226,'Compartments_Kawecki&amp;Nowack19'!A:A,'Compartments_Kawecki&amp;Nowack19'!B:B,_xlfn.XLOOKUP(J226,Compartments_Added!A:A,Compartments_Added!B:B))="Stock","OK stock","OK flow"),IF(COUNTIF($G$4:$G$18,J226),IF(COUNTIF($E$4:$E$18,J226),"OK input","Missing"),"Missing")))</f>
        <v>OK flow</v>
      </c>
      <c r="L226" t="str">
        <v>Agrotextiles</v>
      </c>
      <c r="M226" s="303" t="str">
        <f>IF(COUNTIF(J:J,L226),IF(_xlfn.XLOOKUP(L226,'Compartments_Kawecki&amp;Nowack19'!A:A,'Compartments_Kawecki&amp;Nowack19'!B:B,_xlfn.XLOOKUP(L226,Compartments_Added!A:A,Compartments_Added!B:B))="Stock","OK stock","OK flow"),IF(_xlfn.XLOOKUP(L226,'Compartments_Kawecki&amp;Nowack19'!A:A,'Compartments_Kawecki&amp;Nowack19'!B:B,_xlfn.XLOOKUP(L226,Compartments_Added!A:A,Compartments_Added!B:B))="Sink","OK, Sink","Missing"))</f>
        <v>OK flow</v>
      </c>
      <c r="N226" s="7"/>
      <c r="R226" t="str">
        <f t="shared" si="7"/>
        <v>OK</v>
      </c>
    </row>
    <row r="227" spans="10:18">
      <c r="J227" s="16" t="str">
        <v>Transport of primary plastics</v>
      </c>
      <c r="K227" s="303" t="str">
        <f>IF(ISBLANK(J227),"",IF(COUNTIF(L:L,J227),IF(_xlfn.XLOOKUP(J227,'Compartments_Kawecki&amp;Nowack19'!A:A,'Compartments_Kawecki&amp;Nowack19'!B:B,_xlfn.XLOOKUP(J227,Compartments_Added!A:A,Compartments_Added!B:B))="Stock","OK stock","OK flow"),IF(COUNTIF($G$4:$G$18,J227),IF(COUNTIF($E$4:$E$18,J227),"OK input","Missing"),"Missing")))</f>
        <v>OK flow</v>
      </c>
      <c r="L227" t="str">
        <v>Building textiles</v>
      </c>
      <c r="M227" s="303" t="str">
        <f>IF(COUNTIF(J:J,L227),IF(_xlfn.XLOOKUP(L227,'Compartments_Kawecki&amp;Nowack19'!A:A,'Compartments_Kawecki&amp;Nowack19'!B:B,_xlfn.XLOOKUP(L227,Compartments_Added!A:A,Compartments_Added!B:B))="Stock","OK stock","OK flow"),IF(_xlfn.XLOOKUP(L227,'Compartments_Kawecki&amp;Nowack19'!A:A,'Compartments_Kawecki&amp;Nowack19'!B:B,_xlfn.XLOOKUP(L227,Compartments_Added!A:A,Compartments_Added!B:B))="Sink","OK, Sink","Missing"))</f>
        <v>OK flow</v>
      </c>
      <c r="N227" s="7"/>
      <c r="R227" t="str">
        <f t="shared" si="7"/>
        <v>OK</v>
      </c>
    </row>
    <row r="228" spans="10:18">
      <c r="J228" s="16" t="str">
        <v>T-shirts</v>
      </c>
      <c r="K228" s="303" t="str">
        <f>IF(ISBLANK(J228),"",IF(COUNTIF(L:L,J228),IF(_xlfn.XLOOKUP(J228,'Compartments_Kawecki&amp;Nowack19'!A:A,'Compartments_Kawecki&amp;Nowack19'!B:B,_xlfn.XLOOKUP(J228,Compartments_Added!A:A,Compartments_Added!B:B))="Stock","OK stock","OK flow"),IF(COUNTIF($G$4:$G$18,J228),IF(COUNTIF($E$4:$E$18,J228),"OK input","Missing"),"Missing")))</f>
        <v>OK stock</v>
      </c>
      <c r="L228" t="str">
        <v>Geotextiles</v>
      </c>
      <c r="M228" s="303" t="str">
        <f>IF(COUNTIF(J:J,L228),IF(_xlfn.XLOOKUP(L228,'Compartments_Kawecki&amp;Nowack19'!A:A,'Compartments_Kawecki&amp;Nowack19'!B:B,_xlfn.XLOOKUP(L228,Compartments_Added!A:A,Compartments_Added!B:B))="Stock","OK stock","OK flow"),IF(_xlfn.XLOOKUP(L228,'Compartments_Kawecki&amp;Nowack19'!A:A,'Compartments_Kawecki&amp;Nowack19'!B:B,_xlfn.XLOOKUP(L228,Compartments_Added!A:A,Compartments_Added!B:B))="Sink","OK, Sink","Missing"))</f>
        <v>OK flow</v>
      </c>
      <c r="N228" s="7"/>
      <c r="R228" t="str">
        <f t="shared" si="7"/>
        <v>OK</v>
      </c>
    </row>
    <row r="229" spans="10:18">
      <c r="J229" s="16" t="str">
        <v>Tyre wear</v>
      </c>
      <c r="K229" s="303" t="str">
        <f>IF(ISBLANK(J229),"",IF(COUNTIF(L:L,J229),IF(_xlfn.XLOOKUP(J229,'Compartments_Kawecki&amp;Nowack19'!A:A,'Compartments_Kawecki&amp;Nowack19'!B:B,_xlfn.XLOOKUP(J229,Compartments_Added!A:A,Compartments_Added!B:B))="Stock","OK stock","OK flow"),IF(COUNTIF($G$4:$G$18,J229),IF(COUNTIF($E$4:$E$18,J229),"OK input","Missing"),"Missing")))</f>
        <v>OK input</v>
      </c>
      <c r="L229" t="str">
        <v>Medical textiles</v>
      </c>
      <c r="M229" s="303" t="str">
        <f>IF(COUNTIF(J:J,L229),IF(_xlfn.XLOOKUP(L229,'Compartments_Kawecki&amp;Nowack19'!A:A,'Compartments_Kawecki&amp;Nowack19'!B:B,_xlfn.XLOOKUP(L229,Compartments_Added!A:A,Compartments_Added!B:B))="Stock","OK stock","OK flow"),IF(_xlfn.XLOOKUP(L229,'Compartments_Kawecki&amp;Nowack19'!A:A,'Compartments_Kawecki&amp;Nowack19'!B:B,_xlfn.XLOOKUP(L229,Compartments_Added!A:A,Compartments_Added!B:B))="Sink","OK, Sink","Missing"))</f>
        <v>OK stock</v>
      </c>
      <c r="N229" s="7"/>
      <c r="R229" t="str">
        <f t="shared" si="7"/>
        <v>OK</v>
      </c>
    </row>
    <row r="230" spans="10:18">
      <c r="J230" s="16" t="str">
        <v>Underwear</v>
      </c>
      <c r="K230" s="303" t="str">
        <f>IF(ISBLANK(J230),"",IF(COUNTIF(L:L,J230),IF(_xlfn.XLOOKUP(J230,'Compartments_Kawecki&amp;Nowack19'!A:A,'Compartments_Kawecki&amp;Nowack19'!B:B,_xlfn.XLOOKUP(J230,Compartments_Added!A:A,Compartments_Added!B:B))="Stock","OK stock","OK flow"),IF(COUNTIF($G$4:$G$18,J230),IF(COUNTIF($E$4:$E$18,J230),"OK input","Missing"),"Missing")))</f>
        <v>OK stock</v>
      </c>
      <c r="L230" t="str">
        <v>Mobility textiles</v>
      </c>
      <c r="M230" s="303" t="str">
        <f>IF(COUNTIF(J:J,L230),IF(_xlfn.XLOOKUP(L230,'Compartments_Kawecki&amp;Nowack19'!A:A,'Compartments_Kawecki&amp;Nowack19'!B:B,_xlfn.XLOOKUP(L230,Compartments_Added!A:A,Compartments_Added!B:B))="Stock","OK stock","OK flow"),IF(_xlfn.XLOOKUP(L230,'Compartments_Kawecki&amp;Nowack19'!A:A,'Compartments_Kawecki&amp;Nowack19'!B:B,_xlfn.XLOOKUP(L230,Compartments_Added!A:A,Compartments_Added!B:B))="Sink","OK, Sink","Missing"))</f>
        <v>OK stock</v>
      </c>
      <c r="N230" s="7"/>
      <c r="R230" t="str">
        <f t="shared" si="7"/>
        <v>OK</v>
      </c>
    </row>
    <row r="231" spans="10:18">
      <c r="J231" s="16" t="str">
        <v>Urban roads</v>
      </c>
      <c r="K231" s="303" t="str">
        <f>IF(ISBLANK(J231),"",IF(COUNTIF(L:L,J231),IF(_xlfn.XLOOKUP(J231,'Compartments_Kawecki&amp;Nowack19'!A:A,'Compartments_Kawecki&amp;Nowack19'!B:B,_xlfn.XLOOKUP(J231,Compartments_Added!A:A,Compartments_Added!B:B))="Stock","OK stock","OK flow"),IF(COUNTIF($G$4:$G$18,J231),IF(COUNTIF($E$4:$E$18,J231),"OK input","Missing"),"Missing")))</f>
        <v>OK flow</v>
      </c>
      <c r="L231" t="str">
        <v>Other technical textiles</v>
      </c>
      <c r="M231" s="303" t="str">
        <f>IF(COUNTIF(J:J,L231),IF(_xlfn.XLOOKUP(L231,'Compartments_Kawecki&amp;Nowack19'!A:A,'Compartments_Kawecki&amp;Nowack19'!B:B,_xlfn.XLOOKUP(L231,Compartments_Added!A:A,Compartments_Added!B:B))="Stock","OK stock","OK flow"),IF(_xlfn.XLOOKUP(L231,'Compartments_Kawecki&amp;Nowack19'!A:A,'Compartments_Kawecki&amp;Nowack19'!B:B,_xlfn.XLOOKUP(L231,Compartments_Added!A:A,Compartments_Added!B:B))="Sink","OK, Sink","Missing"))</f>
        <v>OK stock</v>
      </c>
      <c r="N231" s="7"/>
      <c r="R231" t="str">
        <f t="shared" si="7"/>
        <v>OK</v>
      </c>
    </row>
    <row r="232" spans="10:18">
      <c r="J232" s="16" t="str">
        <v>Wall paint (DIY)</v>
      </c>
      <c r="K232" s="303" t="str">
        <f>IF(ISBLANK(J232),"",IF(COUNTIF(L:L,J232),IF(_xlfn.XLOOKUP(J232,'Compartments_Kawecki&amp;Nowack19'!A:A,'Compartments_Kawecki&amp;Nowack19'!B:B,_xlfn.XLOOKUP(J232,Compartments_Added!A:A,Compartments_Added!B:B))="Stock","OK stock","OK flow"),IF(COUNTIF($G$4:$G$18,J232),IF(COUNTIF($E$4:$E$18,J232),"OK input","Missing"),"Missing")))</f>
        <v>OK flow</v>
      </c>
      <c r="L232" t="str">
        <v>Technical home textiles</v>
      </c>
      <c r="M232" s="303" t="str">
        <f>IF(COUNTIF(J:J,L232),IF(_xlfn.XLOOKUP(L232,'Compartments_Kawecki&amp;Nowack19'!A:A,'Compartments_Kawecki&amp;Nowack19'!B:B,_xlfn.XLOOKUP(L232,Compartments_Added!A:A,Compartments_Added!B:B))="Stock","OK stock","OK flow"),IF(_xlfn.XLOOKUP(L232,'Compartments_Kawecki&amp;Nowack19'!A:A,'Compartments_Kawecki&amp;Nowack19'!B:B,_xlfn.XLOOKUP(L232,Compartments_Added!A:A,Compartments_Added!B:B))="Sink","OK, Sink","Missing"))</f>
        <v>OK flow</v>
      </c>
      <c r="N232" s="7"/>
      <c r="R232" t="str">
        <f t="shared" si="7"/>
        <v>OK</v>
      </c>
    </row>
    <row r="233" spans="10:18">
      <c r="J233" s="16" t="str">
        <v>Wall paint (DIY) indoor</v>
      </c>
      <c r="K233" s="303" t="str">
        <f>IF(ISBLANK(J233),"",IF(COUNTIF(L:L,J233),IF(_xlfn.XLOOKUP(J233,'Compartments_Kawecki&amp;Nowack19'!A:A,'Compartments_Kawecki&amp;Nowack19'!B:B,_xlfn.XLOOKUP(J233,Compartments_Added!A:A,Compartments_Added!B:B))="Stock","OK stock","OK flow"),IF(COUNTIF($G$4:$G$18,J233),IF(COUNTIF($E$4:$E$18,J233),"OK input","Missing"),"Missing")))</f>
        <v>OK flow</v>
      </c>
      <c r="L233" t="str">
        <v>Textile coating</v>
      </c>
      <c r="M233" s="303" t="str">
        <f>IF(COUNTIF(J:J,L233),IF(_xlfn.XLOOKUP(L233,'Compartments_Kawecki&amp;Nowack19'!A:A,'Compartments_Kawecki&amp;Nowack19'!B:B,_xlfn.XLOOKUP(L233,Compartments_Added!A:A,Compartments_Added!B:B))="Stock","OK stock","OK flow"),IF(_xlfn.XLOOKUP(L233,'Compartments_Kawecki&amp;Nowack19'!A:A,'Compartments_Kawecki&amp;Nowack19'!B:B,_xlfn.XLOOKUP(L233,Compartments_Added!A:A,Compartments_Added!B:B))="Sink","OK, Sink","Missing"))</f>
        <v>OK flow</v>
      </c>
      <c r="N233" s="7"/>
      <c r="R233" t="str">
        <f t="shared" si="7"/>
        <v>OK</v>
      </c>
    </row>
    <row r="234" spans="10:18">
      <c r="J234" s="16" t="str">
        <v>Wall paint (DIY) indoor applied</v>
      </c>
      <c r="K234" s="303" t="str">
        <f>IF(ISBLANK(J234),"",IF(COUNTIF(L:L,J234),IF(_xlfn.XLOOKUP(J234,'Compartments_Kawecki&amp;Nowack19'!A:A,'Compartments_Kawecki&amp;Nowack19'!B:B,_xlfn.XLOOKUP(J234,Compartments_Added!A:A,Compartments_Added!B:B))="Stock","OK stock","OK flow"),IF(COUNTIF($G$4:$G$18,J234),IF(COUNTIF($E$4:$E$18,J234),"OK input","Missing"),"Missing")))</f>
        <v>OK flow</v>
      </c>
      <c r="L234" t="str">
        <v>Textile coating (discarded)</v>
      </c>
      <c r="M234" s="303" t="str">
        <f>IF(COUNTIF(J:J,L234),IF(_xlfn.XLOOKUP(L234,'Compartments_Kawecki&amp;Nowack19'!A:A,'Compartments_Kawecki&amp;Nowack19'!B:B,_xlfn.XLOOKUP(L234,Compartments_Added!A:A,Compartments_Added!B:B))="Stock","OK stock","OK flow"),IF(_xlfn.XLOOKUP(L234,'Compartments_Kawecki&amp;Nowack19'!A:A,'Compartments_Kawecki&amp;Nowack19'!B:B,_xlfn.XLOOKUP(L234,Compartments_Added!A:A,Compartments_Added!B:B))="Sink","OK, Sink","Missing"))</f>
        <v>OK stock</v>
      </c>
      <c r="N234" s="7"/>
      <c r="R234" t="str">
        <f t="shared" si="7"/>
        <v>OK</v>
      </c>
    </row>
    <row r="235" spans="10:18">
      <c r="J235" s="16" t="str">
        <v>Wall paint (DIY) indoor applied (discarded)</v>
      </c>
      <c r="K235" s="303" t="str">
        <f>IF(ISBLANK(J235),"",IF(COUNTIF(L:L,J235),IF(_xlfn.XLOOKUP(J235,'Compartments_Kawecki&amp;Nowack19'!A:A,'Compartments_Kawecki&amp;Nowack19'!B:B,_xlfn.XLOOKUP(J235,Compartments_Added!A:A,Compartments_Added!B:B))="Stock","OK stock","OK flow"),IF(COUNTIF($G$4:$G$18,J235),IF(COUNTIF($E$4:$E$18,J235),"OK input","Missing"),"Missing")))</f>
        <v>OK stock</v>
      </c>
      <c r="L235" t="str">
        <v>Textile coating (in use)</v>
      </c>
      <c r="M235" s="303" t="str">
        <f>IF(COUNTIF(J:J,L235),IF(_xlfn.XLOOKUP(L235,'Compartments_Kawecki&amp;Nowack19'!A:A,'Compartments_Kawecki&amp;Nowack19'!B:B,_xlfn.XLOOKUP(L235,Compartments_Added!A:A,Compartments_Added!B:B))="Stock","OK stock","OK flow"),IF(_xlfn.XLOOKUP(L235,'Compartments_Kawecki&amp;Nowack19'!A:A,'Compartments_Kawecki&amp;Nowack19'!B:B,_xlfn.XLOOKUP(L235,Compartments_Added!A:A,Compartments_Added!B:B))="Sink","OK, Sink","Missing"))</f>
        <v>OK stock</v>
      </c>
      <c r="N235" s="7"/>
      <c r="R235" t="str">
        <f t="shared" si="7"/>
        <v>OK</v>
      </c>
    </row>
    <row r="236" spans="10:18">
      <c r="J236" s="16" t="str">
        <v>Wall paint (DIY) indoor applied (in use)</v>
      </c>
      <c r="K236" s="303" t="str">
        <f>IF(ISBLANK(J236),"",IF(COUNTIF(L:L,J236),IF(_xlfn.XLOOKUP(J236,'Compartments_Kawecki&amp;Nowack19'!A:A,'Compartments_Kawecki&amp;Nowack19'!B:B,_xlfn.XLOOKUP(J236,Compartments_Added!A:A,Compartments_Added!B:B))="Stock","OK stock","OK flow"),IF(COUNTIF($G$4:$G$18,J236),IF(COUNTIF($E$4:$E$18,J236),"OK input","Missing"),"Missing")))</f>
        <v>OK stock</v>
      </c>
      <c r="L236" t="str">
        <v>Export of primary plastics</v>
      </c>
      <c r="M236" s="303" t="str">
        <f>IF(COUNTIF(J:J,L236),IF(_xlfn.XLOOKUP(L236,'Compartments_Kawecki&amp;Nowack19'!A:A,'Compartments_Kawecki&amp;Nowack19'!B:B,_xlfn.XLOOKUP(L236,Compartments_Added!A:A,Compartments_Added!B:B))="Stock","OK stock","OK flow"),IF(_xlfn.XLOOKUP(L236,'Compartments_Kawecki&amp;Nowack19'!A:A,'Compartments_Kawecki&amp;Nowack19'!B:B,_xlfn.XLOOKUP(L236,Compartments_Added!A:A,Compartments_Added!B:B))="Sink","OK, Sink","Missing"))</f>
        <v>OK, Sink</v>
      </c>
    </row>
    <row r="237" spans="10:18">
      <c r="J237" s="16" t="str">
        <v>Wall paint (DIY) indoor on brush</v>
      </c>
      <c r="K237" s="303" t="str">
        <f>IF(ISBLANK(J237),"",IF(COUNTIF(L:L,J237),IF(_xlfn.XLOOKUP(J237,'Compartments_Kawecki&amp;Nowack19'!A:A,'Compartments_Kawecki&amp;Nowack19'!B:B,_xlfn.XLOOKUP(J237,Compartments_Added!A:A,Compartments_Added!B:B))="Stock","OK stock","OK flow"),IF(COUNTIF($G$4:$G$18,J237),IF(COUNTIF($E$4:$E$18,J237),"OK input","Missing"),"Missing")))</f>
        <v>OK flow</v>
      </c>
      <c r="L237" t="str">
        <v>Pellet conversion</v>
      </c>
      <c r="M237" s="303" t="str">
        <f>IF(COUNTIF(J:J,L237),IF(_xlfn.XLOOKUP(L237,'Compartments_Kawecki&amp;Nowack19'!A:A,'Compartments_Kawecki&amp;Nowack19'!B:B,_xlfn.XLOOKUP(L237,Compartments_Added!A:A,Compartments_Added!B:B))="Stock","OK stock","OK flow"),IF(_xlfn.XLOOKUP(L237,'Compartments_Kawecki&amp;Nowack19'!A:A,'Compartments_Kawecki&amp;Nowack19'!B:B,_xlfn.XLOOKUP(L237,Compartments_Added!A:A,Compartments_Added!B:B))="Sink","OK, Sink","Missing"))</f>
        <v>OK flow</v>
      </c>
    </row>
    <row r="238" spans="10:18">
      <c r="J238" s="16" t="str">
        <v>Wall paint (DIY) outdoor</v>
      </c>
      <c r="K238" s="303" t="str">
        <f>IF(ISBLANK(J238),"",IF(COUNTIF(L:L,J238),IF(_xlfn.XLOOKUP(J238,'Compartments_Kawecki&amp;Nowack19'!A:A,'Compartments_Kawecki&amp;Nowack19'!B:B,_xlfn.XLOOKUP(J238,Compartments_Added!A:A,Compartments_Added!B:B))="Stock","OK stock","OK flow"),IF(COUNTIF($G$4:$G$18,J238),IF(COUNTIF($E$4:$E$18,J238),"OK input","Missing"),"Missing")))</f>
        <v>OK flow</v>
      </c>
      <c r="L238" t="str">
        <v>Pellet losses transport land</v>
      </c>
      <c r="M238" s="303" t="str">
        <f>IF(COUNTIF(J:J,L238),IF(_xlfn.XLOOKUP(L238,'Compartments_Kawecki&amp;Nowack19'!A:A,'Compartments_Kawecki&amp;Nowack19'!B:B,_xlfn.XLOOKUP(L238,Compartments_Added!A:A,Compartments_Added!B:B))="Stock","OK stock","OK flow"),IF(_xlfn.XLOOKUP(L238,'Compartments_Kawecki&amp;Nowack19'!A:A,'Compartments_Kawecki&amp;Nowack19'!B:B,_xlfn.XLOOKUP(L238,Compartments_Added!A:A,Compartments_Added!B:B))="Sink","OK, Sink","Missing"))</f>
        <v>OK flow</v>
      </c>
    </row>
    <row r="239" spans="10:18">
      <c r="J239" s="16" t="str">
        <v>Wall paint (DIY) outdoor (discarded)</v>
      </c>
      <c r="K239" s="303" t="str">
        <f>IF(ISBLANK(J239),"",IF(COUNTIF(L:L,J239),IF(_xlfn.XLOOKUP(J239,'Compartments_Kawecki&amp;Nowack19'!A:A,'Compartments_Kawecki&amp;Nowack19'!B:B,_xlfn.XLOOKUP(J239,Compartments_Added!A:A,Compartments_Added!B:B))="Stock","OK stock","OK flow"),IF(COUNTIF($G$4:$G$18,J239),IF(COUNTIF($E$4:$E$18,J239),"OK input","Missing"),"Missing")))</f>
        <v>OK stock</v>
      </c>
      <c r="L239" t="str">
        <v>Sea water (micro)</v>
      </c>
      <c r="M239" s="303" t="str">
        <f>IF(COUNTIF(J:J,L239),IF(_xlfn.XLOOKUP(L239,'Compartments_Kawecki&amp;Nowack19'!A:A,'Compartments_Kawecki&amp;Nowack19'!B:B,_xlfn.XLOOKUP(L239,Compartments_Added!A:A,Compartments_Added!B:B))="Stock","OK stock","OK flow"),IF(_xlfn.XLOOKUP(L239,'Compartments_Kawecki&amp;Nowack19'!A:A,'Compartments_Kawecki&amp;Nowack19'!B:B,_xlfn.XLOOKUP(L239,Compartments_Added!A:A,Compartments_Added!B:B))="Sink","OK, Sink","Missing"))</f>
        <v>OK, Sink</v>
      </c>
    </row>
    <row r="240" spans="10:18">
      <c r="J240" s="16" t="str">
        <v>Wall paint (DIY) outdoor (in use)</v>
      </c>
      <c r="K240" s="303" t="str">
        <f>IF(ISBLANK(J240),"",IF(COUNTIF(L:L,J240),IF(_xlfn.XLOOKUP(J240,'Compartments_Kawecki&amp;Nowack19'!A:A,'Compartments_Kawecki&amp;Nowack19'!B:B,_xlfn.XLOOKUP(J240,Compartments_Added!A:A,Compartments_Added!B:B))="Stock","OK stock","OK flow"),IF(COUNTIF($G$4:$G$18,J240),IF(COUNTIF($E$4:$E$18,J240),"OK input","Missing"),"Missing")))</f>
        <v>OK stock</v>
      </c>
      <c r="L240" t="str">
        <v>Highway</v>
      </c>
      <c r="M240" s="303" t="str">
        <f>IF(COUNTIF(J:J,L240),IF(_xlfn.XLOOKUP(L240,'Compartments_Kawecki&amp;Nowack19'!A:A,'Compartments_Kawecki&amp;Nowack19'!B:B,_xlfn.XLOOKUP(L240,Compartments_Added!A:A,Compartments_Added!B:B))="Stock","OK stock","OK flow"),IF(_xlfn.XLOOKUP(L240,'Compartments_Kawecki&amp;Nowack19'!A:A,'Compartments_Kawecki&amp;Nowack19'!B:B,_xlfn.XLOOKUP(L240,Compartments_Added!A:A,Compartments_Added!B:B))="Sink","OK, Sink","Missing"))</f>
        <v>OK flow</v>
      </c>
    </row>
    <row r="241" spans="10:13">
      <c r="J241" s="16" t="str">
        <v>Wall paint (prof)</v>
      </c>
      <c r="K241" s="303" t="str">
        <f>IF(ISBLANK(J241),"",IF(COUNTIF(L:L,J241),IF(_xlfn.XLOOKUP(J241,'Compartments_Kawecki&amp;Nowack19'!A:A,'Compartments_Kawecki&amp;Nowack19'!B:B,_xlfn.XLOOKUP(J241,Compartments_Added!A:A,Compartments_Added!B:B))="Stock","OK stock","OK flow"),IF(COUNTIF($G$4:$G$18,J241),IF(COUNTIF($E$4:$E$18,J241),"OK input","Missing"),"Missing")))</f>
        <v>OK flow</v>
      </c>
      <c r="L241" t="str">
        <v>Rural roads</v>
      </c>
      <c r="M241" s="303" t="str">
        <f>IF(COUNTIF(J:J,L241),IF(_xlfn.XLOOKUP(L241,'Compartments_Kawecki&amp;Nowack19'!A:A,'Compartments_Kawecki&amp;Nowack19'!B:B,_xlfn.XLOOKUP(L241,Compartments_Added!A:A,Compartments_Added!B:B))="Stock","OK stock","OK flow"),IF(_xlfn.XLOOKUP(L241,'Compartments_Kawecki&amp;Nowack19'!A:A,'Compartments_Kawecki&amp;Nowack19'!B:B,_xlfn.XLOOKUP(L241,Compartments_Added!A:A,Compartments_Added!B:B))="Sink","OK, Sink","Missing"))</f>
        <v>OK flow</v>
      </c>
    </row>
    <row r="242" spans="10:13">
      <c r="J242" s="16" t="str">
        <v>Wall paint (prof) indoor</v>
      </c>
      <c r="K242" s="303" t="str">
        <f>IF(ISBLANK(J242),"",IF(COUNTIF(L:L,J242),IF(_xlfn.XLOOKUP(J242,'Compartments_Kawecki&amp;Nowack19'!A:A,'Compartments_Kawecki&amp;Nowack19'!B:B,_xlfn.XLOOKUP(J242,Compartments_Added!A:A,Compartments_Added!B:B))="Stock","OK stock","OK flow"),IF(COUNTIF($G$4:$G$18,J242),IF(COUNTIF($E$4:$E$18,J242),"OK input","Missing"),"Missing")))</f>
        <v>OK flow</v>
      </c>
      <c r="L242" t="str">
        <v>Road runoff</v>
      </c>
      <c r="M242" s="303" t="str">
        <f>IF(COUNTIF(J:J,L242),IF(_xlfn.XLOOKUP(L242,'Compartments_Kawecki&amp;Nowack19'!A:A,'Compartments_Kawecki&amp;Nowack19'!B:B,_xlfn.XLOOKUP(L242,Compartments_Added!A:A,Compartments_Added!B:B))="Stock","OK stock","OK flow"),IF(_xlfn.XLOOKUP(L242,'Compartments_Kawecki&amp;Nowack19'!A:A,'Compartments_Kawecki&amp;Nowack19'!B:B,_xlfn.XLOOKUP(L242,Compartments_Added!A:A,Compartments_Added!B:B))="Sink","OK, Sink","Missing"))</f>
        <v>OK flow</v>
      </c>
    </row>
    <row r="243" spans="10:13">
      <c r="J243" s="16" t="str">
        <v>Wall paint (prof) indoor (discarded)</v>
      </c>
      <c r="K243" s="303" t="str">
        <f>IF(ISBLANK(J243),"",IF(COUNTIF(L:L,J243),IF(_xlfn.XLOOKUP(J243,'Compartments_Kawecki&amp;Nowack19'!A:A,'Compartments_Kawecki&amp;Nowack19'!B:B,_xlfn.XLOOKUP(J243,Compartments_Added!A:A,Compartments_Added!B:B))="Stock","OK stock","OK flow"),IF(COUNTIF($G$4:$G$18,J243),IF(COUNTIF($E$4:$E$18,J243),"OK input","Missing"),"Missing")))</f>
        <v>OK stock</v>
      </c>
      <c r="L243" t="str">
        <v>Wall paint (DIY) outdoor</v>
      </c>
      <c r="M243" s="303" t="str">
        <f>IF(COUNTIF(J:J,L243),IF(_xlfn.XLOOKUP(L243,'Compartments_Kawecki&amp;Nowack19'!A:A,'Compartments_Kawecki&amp;Nowack19'!B:B,_xlfn.XLOOKUP(L243,Compartments_Added!A:A,Compartments_Added!B:B))="Stock","OK stock","OK flow"),IF(_xlfn.XLOOKUP(L243,'Compartments_Kawecki&amp;Nowack19'!A:A,'Compartments_Kawecki&amp;Nowack19'!B:B,_xlfn.XLOOKUP(L243,Compartments_Added!A:A,Compartments_Added!B:B))="Sink","OK, Sink","Missing"))</f>
        <v>OK flow</v>
      </c>
    </row>
    <row r="244" spans="10:13">
      <c r="J244" s="16" t="str">
        <v>Wall paint (prof) indoor (in use)</v>
      </c>
      <c r="K244" s="303" t="str">
        <f>IF(ISBLANK(J244),"",IF(COUNTIF(L:L,J244),IF(_xlfn.XLOOKUP(J244,'Compartments_Kawecki&amp;Nowack19'!A:A,'Compartments_Kawecki&amp;Nowack19'!B:B,_xlfn.XLOOKUP(J244,Compartments_Added!A:A,Compartments_Added!B:B))="Stock","OK stock","OK flow"),IF(COUNTIF($G$4:$G$18,J244),IF(COUNTIF($E$4:$E$18,J244),"OK input","Missing"),"Missing")))</f>
        <v>OK stock</v>
      </c>
      <c r="L244" t="str">
        <v>Wall paint (DIY) indoor</v>
      </c>
      <c r="M244" s="303" t="str">
        <f>IF(COUNTIF(J:J,L244),IF(_xlfn.XLOOKUP(L244,'Compartments_Kawecki&amp;Nowack19'!A:A,'Compartments_Kawecki&amp;Nowack19'!B:B,_xlfn.XLOOKUP(L244,Compartments_Added!A:A,Compartments_Added!B:B))="Stock","OK stock","OK flow"),IF(_xlfn.XLOOKUP(L244,'Compartments_Kawecki&amp;Nowack19'!A:A,'Compartments_Kawecki&amp;Nowack19'!B:B,_xlfn.XLOOKUP(L244,Compartments_Added!A:A,Compartments_Added!B:B))="Sink","OK, Sink","Missing"))</f>
        <v>OK flow</v>
      </c>
    </row>
    <row r="245" spans="10:13">
      <c r="J245" s="16" t="str">
        <v>Wall paint (prof) outdoor</v>
      </c>
      <c r="K245" s="303" t="str">
        <f>IF(ISBLANK(J245),"",IF(COUNTIF(L:L,J245),IF(_xlfn.XLOOKUP(J245,'Compartments_Kawecki&amp;Nowack19'!A:A,'Compartments_Kawecki&amp;Nowack19'!B:B,_xlfn.XLOOKUP(J245,Compartments_Added!A:A,Compartments_Added!B:B))="Stock","OK stock","OK flow"),IF(COUNTIF($G$4:$G$18,J245),IF(COUNTIF($E$4:$E$18,J245),"OK input","Missing"),"Missing")))</f>
        <v>OK flow</v>
      </c>
      <c r="L245" t="str">
        <v>Wall paint (DIY) indoor applied</v>
      </c>
      <c r="M245" s="303" t="str">
        <f>IF(COUNTIF(J:J,L245),IF(_xlfn.XLOOKUP(L245,'Compartments_Kawecki&amp;Nowack19'!A:A,'Compartments_Kawecki&amp;Nowack19'!B:B,_xlfn.XLOOKUP(L245,Compartments_Added!A:A,Compartments_Added!B:B))="Stock","OK stock","OK flow"),IF(_xlfn.XLOOKUP(L245,'Compartments_Kawecki&amp;Nowack19'!A:A,'Compartments_Kawecki&amp;Nowack19'!B:B,_xlfn.XLOOKUP(L245,Compartments_Added!A:A,Compartments_Added!B:B))="Sink","OK, Sink","Missing"))</f>
        <v>OK flow</v>
      </c>
    </row>
    <row r="246" spans="10:13">
      <c r="J246" s="16" t="str">
        <v>Wall paint (prof) outdoor (discarded)</v>
      </c>
      <c r="K246" s="303" t="str">
        <f>IF(ISBLANK(J246),"",IF(COUNTIF(L:L,J246),IF(_xlfn.XLOOKUP(J246,'Compartments_Kawecki&amp;Nowack19'!A:A,'Compartments_Kawecki&amp;Nowack19'!B:B,_xlfn.XLOOKUP(J246,Compartments_Added!A:A,Compartments_Added!B:B))="Stock","OK stock","OK flow"),IF(COUNTIF($G$4:$G$18,J246),IF(COUNTIF($E$4:$E$18,J246),"OK input","Missing"),"Missing")))</f>
        <v>OK stock</v>
      </c>
      <c r="L246" t="str">
        <v>Wall paint (DIY) indoor on brush</v>
      </c>
      <c r="M246" s="303" t="str">
        <f>IF(COUNTIF(J:J,L246),IF(_xlfn.XLOOKUP(L246,'Compartments_Kawecki&amp;Nowack19'!A:A,'Compartments_Kawecki&amp;Nowack19'!B:B,_xlfn.XLOOKUP(L246,Compartments_Added!A:A,Compartments_Added!B:B))="Stock","OK stock","OK flow"),IF(_xlfn.XLOOKUP(L246,'Compartments_Kawecki&amp;Nowack19'!A:A,'Compartments_Kawecki&amp;Nowack19'!B:B,_xlfn.XLOOKUP(L246,Compartments_Added!A:A,Compartments_Added!B:B))="Sink","OK, Sink","Missing"))</f>
        <v>OK flow</v>
      </c>
    </row>
    <row r="247" spans="10:13">
      <c r="J247" s="16" t="str">
        <v>Wall paint (prof) outdoor (in use)</v>
      </c>
      <c r="K247" s="303" t="str">
        <f>IF(ISBLANK(J247),"",IF(COUNTIF(L:L,J247),IF(_xlfn.XLOOKUP(J247,'Compartments_Kawecki&amp;Nowack19'!A:A,'Compartments_Kawecki&amp;Nowack19'!B:B,_xlfn.XLOOKUP(J247,Compartments_Added!A:A,Compartments_Added!B:B))="Stock","OK stock","OK flow"),IF(COUNTIF($G$4:$G$18,J247),IF(COUNTIF($E$4:$E$18,J247),"OK input","Missing"),"Missing")))</f>
        <v>OK stock</v>
      </c>
      <c r="L247" t="str">
        <v>Wall paint (DIY) indoor applied (in use)</v>
      </c>
      <c r="M247" s="303" t="str">
        <f>IF(COUNTIF(J:J,L247),IF(_xlfn.XLOOKUP(L247,'Compartments_Kawecki&amp;Nowack19'!A:A,'Compartments_Kawecki&amp;Nowack19'!B:B,_xlfn.XLOOKUP(L247,Compartments_Added!A:A,Compartments_Added!B:B))="Stock","OK stock","OK flow"),IF(_xlfn.XLOOKUP(L247,'Compartments_Kawecki&amp;Nowack19'!A:A,'Compartments_Kawecki&amp;Nowack19'!B:B,_xlfn.XLOOKUP(L247,Compartments_Added!A:A,Compartments_Added!B:B))="Sink","OK, Sink","Missing"))</f>
        <v>OK stock</v>
      </c>
    </row>
    <row r="248" spans="10:13">
      <c r="J248" s="16" t="str">
        <v>Wastewater (macro)</v>
      </c>
      <c r="K248" s="303" t="str">
        <f>IF(ISBLANK(J248),"",IF(COUNTIF(L:L,J248),IF(_xlfn.XLOOKUP(J248,'Compartments_Kawecki&amp;Nowack19'!A:A,'Compartments_Kawecki&amp;Nowack19'!B:B,_xlfn.XLOOKUP(J248,Compartments_Added!A:A,Compartments_Added!B:B))="Stock","OK stock","OK flow"),IF(COUNTIF($G$4:$G$18,J248),IF(COUNTIF($E$4:$E$18,J248),"OK input","Missing"),"Missing")))</f>
        <v>OK flow</v>
      </c>
      <c r="L248" t="str">
        <v>Wall paint (DIY) indoor applied (discarded)</v>
      </c>
      <c r="M248" s="303" t="str">
        <f>IF(COUNTIF(J:J,L248),IF(_xlfn.XLOOKUP(L248,'Compartments_Kawecki&amp;Nowack19'!A:A,'Compartments_Kawecki&amp;Nowack19'!B:B,_xlfn.XLOOKUP(L248,Compartments_Added!A:A,Compartments_Added!B:B))="Stock","OK stock","OK flow"),IF(_xlfn.XLOOKUP(L248,'Compartments_Kawecki&amp;Nowack19'!A:A,'Compartments_Kawecki&amp;Nowack19'!B:B,_xlfn.XLOOKUP(L248,Compartments_Added!A:A,Compartments_Added!B:B))="Sink","OK, Sink","Missing"))</f>
        <v>OK stock</v>
      </c>
    </row>
    <row r="249" spans="10:13">
      <c r="J249" s="16" t="str">
        <v>Wastewater (micro)</v>
      </c>
      <c r="K249" s="303" t="str">
        <f>IF(ISBLANK(J249),"",IF(COUNTIF(L:L,J249),IF(_xlfn.XLOOKUP(J249,'Compartments_Kawecki&amp;Nowack19'!A:A,'Compartments_Kawecki&amp;Nowack19'!B:B,_xlfn.XLOOKUP(J249,Compartments_Added!A:A,Compartments_Added!B:B))="Stock","OK stock","OK flow"),IF(COUNTIF($G$4:$G$18,J249),IF(COUNTIF($E$4:$E$18,J249),"OK input","Missing"),"Missing")))</f>
        <v>OK flow</v>
      </c>
      <c r="L249" t="str">
        <v>Wall paint (DIY) outdoor (in use)</v>
      </c>
      <c r="M249" s="303" t="str">
        <f>IF(COUNTIF(J:J,L249),IF(_xlfn.XLOOKUP(L249,'Compartments_Kawecki&amp;Nowack19'!A:A,'Compartments_Kawecki&amp;Nowack19'!B:B,_xlfn.XLOOKUP(L249,Compartments_Added!A:A,Compartments_Added!B:B))="Stock","OK stock","OK flow"),IF(_xlfn.XLOOKUP(L249,'Compartments_Kawecki&amp;Nowack19'!A:A,'Compartments_Kawecki&amp;Nowack19'!B:B,_xlfn.XLOOKUP(L249,Compartments_Added!A:A,Compartments_Added!B:B))="Sink","OK, Sink","Missing"))</f>
        <v>OK stock</v>
      </c>
    </row>
    <row r="250" spans="10:13">
      <c r="J250" s="16" t="str">
        <v>Wastewater treatment plant (macro)</v>
      </c>
      <c r="K250" s="303" t="str">
        <f>IF(ISBLANK(J250),"",IF(COUNTIF(L:L,J250),IF(_xlfn.XLOOKUP(J250,'Compartments_Kawecki&amp;Nowack19'!A:A,'Compartments_Kawecki&amp;Nowack19'!B:B,_xlfn.XLOOKUP(J250,Compartments_Added!A:A,Compartments_Added!B:B))="Stock","OK stock","OK flow"),IF(COUNTIF($G$4:$G$18,J250),IF(COUNTIF($E$4:$E$18,J250),"OK input","Missing"),"Missing")))</f>
        <v>OK flow</v>
      </c>
      <c r="L250" t="str">
        <v>Wall paint (DIY) outdoor (discarded)</v>
      </c>
      <c r="M250" s="303" t="str">
        <f>IF(COUNTIF(J:J,L250),IF(_xlfn.XLOOKUP(L250,'Compartments_Kawecki&amp;Nowack19'!A:A,'Compartments_Kawecki&amp;Nowack19'!B:B,_xlfn.XLOOKUP(L250,Compartments_Added!A:A,Compartments_Added!B:B))="Stock","OK stock","OK flow"),IF(_xlfn.XLOOKUP(L250,'Compartments_Kawecki&amp;Nowack19'!A:A,'Compartments_Kawecki&amp;Nowack19'!B:B,_xlfn.XLOOKUP(L250,Compartments_Added!A:A,Compartments_Added!B:B))="Sink","OK, Sink","Missing"))</f>
        <v>OK stock</v>
      </c>
    </row>
    <row r="251" spans="10:13">
      <c r="J251" s="16" t="str">
        <v>Wastewater treatment plant (micro)</v>
      </c>
      <c r="K251" s="303" t="str">
        <f>IF(ISBLANK(J251),"",IF(COUNTIF(L:L,J251),IF(_xlfn.XLOOKUP(J251,'Compartments_Kawecki&amp;Nowack19'!A:A,'Compartments_Kawecki&amp;Nowack19'!B:B,_xlfn.XLOOKUP(J251,Compartments_Added!A:A,Compartments_Added!B:B))="Stock","OK stock","OK flow"),IF(COUNTIF($G$4:$G$18,J251),IF(COUNTIF($E$4:$E$18,J251),"OK input","Missing"),"Missing")))</f>
        <v>OK flow</v>
      </c>
      <c r="L251" t="str">
        <v>Wall paint (prof) outdoor</v>
      </c>
      <c r="M251" s="303" t="str">
        <f>IF(COUNTIF(J:J,L251),IF(_xlfn.XLOOKUP(L251,'Compartments_Kawecki&amp;Nowack19'!A:A,'Compartments_Kawecki&amp;Nowack19'!B:B,_xlfn.XLOOKUP(L251,Compartments_Added!A:A,Compartments_Added!B:B))="Stock","OK stock","OK flow"),IF(_xlfn.XLOOKUP(L251,'Compartments_Kawecki&amp;Nowack19'!A:A,'Compartments_Kawecki&amp;Nowack19'!B:B,_xlfn.XLOOKUP(L251,Compartments_Added!A:A,Compartments_Added!B:B))="Sink","OK, Sink","Missing"))</f>
        <v>OK flow</v>
      </c>
    </row>
    <row r="252" spans="10:13">
      <c r="J252" s="16" t="str">
        <v>Wet wipes</v>
      </c>
      <c r="K252" s="303" t="str">
        <f>IF(ISBLANK(J252),"",IF(COUNTIF(L:L,J252),IF(_xlfn.XLOOKUP(J252,'Compartments_Kawecki&amp;Nowack19'!A:A,'Compartments_Kawecki&amp;Nowack19'!B:B,_xlfn.XLOOKUP(J252,Compartments_Added!A:A,Compartments_Added!B:B))="Stock","OK stock","OK flow"),IF(COUNTIF($G$4:$G$18,J252),IF(COUNTIF($E$4:$E$18,J252),"OK input","Missing"),"Missing")))</f>
        <v>OK flow</v>
      </c>
      <c r="L252" t="str">
        <v>Wall paint (prof) indoor</v>
      </c>
      <c r="M252" s="303" t="str">
        <f>IF(COUNTIF(J:J,L252),IF(_xlfn.XLOOKUP(L252,'Compartments_Kawecki&amp;Nowack19'!A:A,'Compartments_Kawecki&amp;Nowack19'!B:B,_xlfn.XLOOKUP(L252,Compartments_Added!A:A,Compartments_Added!B:B))="Stock","OK stock","OK flow"),IF(_xlfn.XLOOKUP(L252,'Compartments_Kawecki&amp;Nowack19'!A:A,'Compartments_Kawecki&amp;Nowack19'!B:B,_xlfn.XLOOKUP(L252,Compartments_Added!A:A,Compartments_Added!B:B))="Sink","OK, Sink","Missing"))</f>
        <v>OK flow</v>
      </c>
    </row>
    <row r="253" spans="10:13">
      <c r="J253" s="16" t="str">
        <v>Wood stain (DIY)</v>
      </c>
      <c r="K253" s="303" t="str">
        <f>IF(ISBLANK(J253),"",IF(COUNTIF(L:L,J253),IF(_xlfn.XLOOKUP(J253,'Compartments_Kawecki&amp;Nowack19'!A:A,'Compartments_Kawecki&amp;Nowack19'!B:B,_xlfn.XLOOKUP(J253,Compartments_Added!A:A,Compartments_Added!B:B))="Stock","OK stock","OK flow"),IF(COUNTIF($G$4:$G$18,J253),IF(COUNTIF($E$4:$E$18,J253),"OK input","Missing"),"Missing")))</f>
        <v>OK flow</v>
      </c>
      <c r="L253" t="str">
        <v>Wall paint (prof) indoor (in use)</v>
      </c>
      <c r="M253" s="303" t="str">
        <f>IF(COUNTIF(J:J,L253),IF(_xlfn.XLOOKUP(L253,'Compartments_Kawecki&amp;Nowack19'!A:A,'Compartments_Kawecki&amp;Nowack19'!B:B,_xlfn.XLOOKUP(L253,Compartments_Added!A:A,Compartments_Added!B:B))="Stock","OK stock","OK flow"),IF(_xlfn.XLOOKUP(L253,'Compartments_Kawecki&amp;Nowack19'!A:A,'Compartments_Kawecki&amp;Nowack19'!B:B,_xlfn.XLOOKUP(L253,Compartments_Added!A:A,Compartments_Added!B:B))="Sink","OK, Sink","Missing"))</f>
        <v>OK stock</v>
      </c>
    </row>
    <row r="254" spans="10:13">
      <c r="J254" s="16" t="str">
        <v>Wood stain (DIY) indoor</v>
      </c>
      <c r="K254" s="303" t="str">
        <f>IF(ISBLANK(J254),"",IF(COUNTIF(L:L,J254),IF(_xlfn.XLOOKUP(J254,'Compartments_Kawecki&amp;Nowack19'!A:A,'Compartments_Kawecki&amp;Nowack19'!B:B,_xlfn.XLOOKUP(J254,Compartments_Added!A:A,Compartments_Added!B:B))="Stock","OK stock","OK flow"),IF(COUNTIF($G$4:$G$18,J254),IF(COUNTIF($E$4:$E$18,J254),"OK input","Missing"),"Missing")))</f>
        <v>OK flow</v>
      </c>
      <c r="L254" t="str">
        <v>Wall paint (prof) indoor (discarded)</v>
      </c>
      <c r="M254" s="303" t="str">
        <f>IF(COUNTIF(J:J,L254),IF(_xlfn.XLOOKUP(L254,'Compartments_Kawecki&amp;Nowack19'!A:A,'Compartments_Kawecki&amp;Nowack19'!B:B,_xlfn.XLOOKUP(L254,Compartments_Added!A:A,Compartments_Added!B:B))="Stock","OK stock","OK flow"),IF(_xlfn.XLOOKUP(L254,'Compartments_Kawecki&amp;Nowack19'!A:A,'Compartments_Kawecki&amp;Nowack19'!B:B,_xlfn.XLOOKUP(L254,Compartments_Added!A:A,Compartments_Added!B:B))="Sink","OK, Sink","Missing"))</f>
        <v>OK stock</v>
      </c>
    </row>
    <row r="255" spans="10:13">
      <c r="J255" s="16" t="str">
        <v>Wood stain (DIY) indoor (discarded)</v>
      </c>
      <c r="K255" s="303" t="str">
        <f>IF(ISBLANK(J255),"",IF(COUNTIF(L:L,J255),IF(_xlfn.XLOOKUP(J255,'Compartments_Kawecki&amp;Nowack19'!A:A,'Compartments_Kawecki&amp;Nowack19'!B:B,_xlfn.XLOOKUP(J255,Compartments_Added!A:A,Compartments_Added!B:B))="Stock","OK stock","OK flow"),IF(COUNTIF($G$4:$G$18,J255),IF(COUNTIF($E$4:$E$18,J255),"OK input","Missing"),"Missing")))</f>
        <v>OK stock</v>
      </c>
      <c r="L255" t="str">
        <v>Wall paint (prof) outdoor (in use)</v>
      </c>
      <c r="M255" s="303" t="str">
        <f>IF(COUNTIF(J:J,L255),IF(_xlfn.XLOOKUP(L255,'Compartments_Kawecki&amp;Nowack19'!A:A,'Compartments_Kawecki&amp;Nowack19'!B:B,_xlfn.XLOOKUP(L255,Compartments_Added!A:A,Compartments_Added!B:B))="Stock","OK stock","OK flow"),IF(_xlfn.XLOOKUP(L255,'Compartments_Kawecki&amp;Nowack19'!A:A,'Compartments_Kawecki&amp;Nowack19'!B:B,_xlfn.XLOOKUP(L255,Compartments_Added!A:A,Compartments_Added!B:B))="Sink","OK, Sink","Missing"))</f>
        <v>OK stock</v>
      </c>
    </row>
    <row r="256" spans="10:13">
      <c r="J256" s="16" t="str">
        <v>Wood stain (DIY) indoor (in use)</v>
      </c>
      <c r="K256" s="303" t="str">
        <f>IF(ISBLANK(J256),"",IF(COUNTIF(L:L,J256),IF(_xlfn.XLOOKUP(J256,'Compartments_Kawecki&amp;Nowack19'!A:A,'Compartments_Kawecki&amp;Nowack19'!B:B,_xlfn.XLOOKUP(J256,Compartments_Added!A:A,Compartments_Added!B:B))="Stock","OK stock","OK flow"),IF(COUNTIF($G$4:$G$18,J256),IF(COUNTIF($E$4:$E$18,J256),"OK input","Missing"),"Missing")))</f>
        <v>OK stock</v>
      </c>
      <c r="L256" t="str">
        <v>Wall paint (prof) outdoor (discarded)</v>
      </c>
      <c r="M256" s="303" t="str">
        <f>IF(COUNTIF(J:J,L256),IF(_xlfn.XLOOKUP(L256,'Compartments_Kawecki&amp;Nowack19'!A:A,'Compartments_Kawecki&amp;Nowack19'!B:B,_xlfn.XLOOKUP(L256,Compartments_Added!A:A,Compartments_Added!B:B))="Stock","OK stock","OK flow"),IF(_xlfn.XLOOKUP(L256,'Compartments_Kawecki&amp;Nowack19'!A:A,'Compartments_Kawecki&amp;Nowack19'!B:B,_xlfn.XLOOKUP(L256,Compartments_Added!A:A,Compartments_Added!B:B))="Sink","OK, Sink","Missing"))</f>
        <v>OK stock</v>
      </c>
    </row>
    <row r="257" spans="10:13">
      <c r="J257" s="16" t="str">
        <v>Wood stain (DIY) outdoor</v>
      </c>
      <c r="K257" s="303" t="str">
        <f>IF(ISBLANK(J257),"",IF(COUNTIF(L:L,J257),IF(_xlfn.XLOOKUP(J257,'Compartments_Kawecki&amp;Nowack19'!A:A,'Compartments_Kawecki&amp;Nowack19'!B:B,_xlfn.XLOOKUP(J257,Compartments_Added!A:A,Compartments_Added!B:B))="Stock","OK stock","OK flow"),IF(COUNTIF($G$4:$G$18,J257),IF(COUNTIF($E$4:$E$18,J257),"OK input","Missing"),"Missing")))</f>
        <v>OK flow</v>
      </c>
      <c r="L257" t="str">
        <v>On-site sewage facility (macro)</v>
      </c>
      <c r="M257" s="303" t="str">
        <f>IF(COUNTIF(J:J,L257),IF(_xlfn.XLOOKUP(L257,'Compartments_Kawecki&amp;Nowack19'!A:A,'Compartments_Kawecki&amp;Nowack19'!B:B,_xlfn.XLOOKUP(L257,Compartments_Added!A:A,Compartments_Added!B:B))="Stock","OK stock","OK flow"),IF(_xlfn.XLOOKUP(L257,'Compartments_Kawecki&amp;Nowack19'!A:A,'Compartments_Kawecki&amp;Nowack19'!B:B,_xlfn.XLOOKUP(L257,Compartments_Added!A:A,Compartments_Added!B:B))="Sink","OK, Sink","Missing"))</f>
        <v>OK flow</v>
      </c>
    </row>
    <row r="258" spans="10:13">
      <c r="J258" s="16" t="str">
        <v>Wood stain (DIY) outdoor (discarded)</v>
      </c>
      <c r="K258" s="303" t="str">
        <f>IF(ISBLANK(J258),"",IF(COUNTIF(L:L,J258),IF(_xlfn.XLOOKUP(J258,'Compartments_Kawecki&amp;Nowack19'!A:A,'Compartments_Kawecki&amp;Nowack19'!B:B,_xlfn.XLOOKUP(J258,Compartments_Added!A:A,Compartments_Added!B:B))="Stock","OK stock","OK flow"),IF(COUNTIF($G$4:$G$18,J258),IF(COUNTIF($E$4:$E$18,J258),"OK input","Missing"),"Missing")))</f>
        <v>OK stock</v>
      </c>
      <c r="L258" t="str">
        <v>On-site sewage facility (micro)</v>
      </c>
      <c r="M258" s="303" t="str">
        <f>IF(COUNTIF(J:J,L258),IF(_xlfn.XLOOKUP(L258,'Compartments_Kawecki&amp;Nowack19'!A:A,'Compartments_Kawecki&amp;Nowack19'!B:B,_xlfn.XLOOKUP(L258,Compartments_Added!A:A,Compartments_Added!B:B))="Stock","OK stock","OK flow"),IF(_xlfn.XLOOKUP(L258,'Compartments_Kawecki&amp;Nowack19'!A:A,'Compartments_Kawecki&amp;Nowack19'!B:B,_xlfn.XLOOKUP(L258,Compartments_Added!A:A,Compartments_Added!B:B))="Sink","OK, Sink","Missing"))</f>
        <v>OK flow</v>
      </c>
    </row>
    <row r="259" spans="10:13">
      <c r="J259" s="16" t="str">
        <v>Wood stain (DIY) outdoor (in use)</v>
      </c>
      <c r="K259" s="303" t="str">
        <f>IF(ISBLANK(J259),"",IF(COUNTIF(L:L,J259),IF(_xlfn.XLOOKUP(J259,'Compartments_Kawecki&amp;Nowack19'!A:A,'Compartments_Kawecki&amp;Nowack19'!B:B,_xlfn.XLOOKUP(J259,Compartments_Added!A:A,Compartments_Added!B:B))="Stock","OK stock","OK flow"),IF(COUNTIF($G$4:$G$18,J259),IF(COUNTIF($E$4:$E$18,J259),"OK input","Missing"),"Missing")))</f>
        <v>OK stock</v>
      </c>
      <c r="L259" t="str">
        <v>Combined sewer overflow (macro)</v>
      </c>
      <c r="M259" s="303" t="str">
        <f>IF(COUNTIF(J:J,L259),IF(_xlfn.XLOOKUP(L259,'Compartments_Kawecki&amp;Nowack19'!A:A,'Compartments_Kawecki&amp;Nowack19'!B:B,_xlfn.XLOOKUP(L259,Compartments_Added!A:A,Compartments_Added!B:B))="Stock","OK stock","OK flow"),IF(_xlfn.XLOOKUP(L259,'Compartments_Kawecki&amp;Nowack19'!A:A,'Compartments_Kawecki&amp;Nowack19'!B:B,_xlfn.XLOOKUP(L259,Compartments_Added!A:A,Compartments_Added!B:B))="Sink","OK, Sink","Missing"))</f>
        <v>OK flow</v>
      </c>
    </row>
    <row r="260" spans="10:13">
      <c r="J260" s="16" t="str">
        <v>Wood stain (prof)</v>
      </c>
      <c r="K260" s="303" t="str">
        <f>IF(ISBLANK(J260),"",IF(COUNTIF(L:L,J260),IF(_xlfn.XLOOKUP(J260,'Compartments_Kawecki&amp;Nowack19'!A:A,'Compartments_Kawecki&amp;Nowack19'!B:B,_xlfn.XLOOKUP(J260,Compartments_Added!A:A,Compartments_Added!B:B))="Stock","OK stock","OK flow"),IF(COUNTIF($G$4:$G$18,J260),IF(COUNTIF($E$4:$E$18,J260),"OK input","Missing"),"Missing")))</f>
        <v>OK flow</v>
      </c>
      <c r="L260" t="str">
        <v>Primary water treatment (macro)</v>
      </c>
      <c r="M260" s="303" t="str">
        <f>IF(COUNTIF(J:J,L260),IF(_xlfn.XLOOKUP(L260,'Compartments_Kawecki&amp;Nowack19'!A:A,'Compartments_Kawecki&amp;Nowack19'!B:B,_xlfn.XLOOKUP(L260,Compartments_Added!A:A,Compartments_Added!B:B))="Stock","OK stock","OK flow"),IF(_xlfn.XLOOKUP(L260,'Compartments_Kawecki&amp;Nowack19'!A:A,'Compartments_Kawecki&amp;Nowack19'!B:B,_xlfn.XLOOKUP(L260,Compartments_Added!A:A,Compartments_Added!B:B))="Sink","OK, Sink","Missing"))</f>
        <v>OK flow</v>
      </c>
    </row>
    <row r="261" spans="10:13">
      <c r="J261" s="16" t="str">
        <v>Wood stain (prof) indoor</v>
      </c>
      <c r="K261" s="303" t="str">
        <f>IF(ISBLANK(J261),"",IF(COUNTIF(L:L,J261),IF(_xlfn.XLOOKUP(J261,'Compartments_Kawecki&amp;Nowack19'!A:A,'Compartments_Kawecki&amp;Nowack19'!B:B,_xlfn.XLOOKUP(J261,Compartments_Added!A:A,Compartments_Added!B:B))="Stock","OK stock","OK flow"),IF(COUNTIF($G$4:$G$18,J261),IF(COUNTIF($E$4:$E$18,J261),"OK input","Missing"),"Missing")))</f>
        <v>OK flow</v>
      </c>
      <c r="L261" t="str">
        <v>Combined sewer overflow (micro)</v>
      </c>
      <c r="M261" s="303" t="str">
        <f>IF(COUNTIF(J:J,L261),IF(_xlfn.XLOOKUP(L261,'Compartments_Kawecki&amp;Nowack19'!A:A,'Compartments_Kawecki&amp;Nowack19'!B:B,_xlfn.XLOOKUP(L261,Compartments_Added!A:A,Compartments_Added!B:B))="Stock","OK stock","OK flow"),IF(_xlfn.XLOOKUP(L261,'Compartments_Kawecki&amp;Nowack19'!A:A,'Compartments_Kawecki&amp;Nowack19'!B:B,_xlfn.XLOOKUP(L261,Compartments_Added!A:A,Compartments_Added!B:B))="Sink","OK, Sink","Missing"))</f>
        <v>OK flow</v>
      </c>
    </row>
    <row r="262" spans="10:13">
      <c r="J262" s="16" t="str">
        <v>Wood stain (prof) indoor (discarded)</v>
      </c>
      <c r="K262" s="303" t="str">
        <f>IF(ISBLANK(J262),"",IF(COUNTIF(L:L,J262),IF(_xlfn.XLOOKUP(J262,'Compartments_Kawecki&amp;Nowack19'!A:A,'Compartments_Kawecki&amp;Nowack19'!B:B,_xlfn.XLOOKUP(J262,Compartments_Added!A:A,Compartments_Added!B:B))="Stock","OK stock","OK flow"),IF(COUNTIF($G$4:$G$18,J262),IF(COUNTIF($E$4:$E$18,J262),"OK input","Missing"),"Missing")))</f>
        <v>OK stock</v>
      </c>
      <c r="L262" t="str">
        <v>Primary water treatment (micro)</v>
      </c>
      <c r="M262" s="303" t="str">
        <f>IF(COUNTIF(J:J,L262),IF(_xlfn.XLOOKUP(L262,'Compartments_Kawecki&amp;Nowack19'!A:A,'Compartments_Kawecki&amp;Nowack19'!B:B,_xlfn.XLOOKUP(L262,Compartments_Added!A:A,Compartments_Added!B:B))="Stock","OK stock","OK flow"),IF(_xlfn.XLOOKUP(L262,'Compartments_Kawecki&amp;Nowack19'!A:A,'Compartments_Kawecki&amp;Nowack19'!B:B,_xlfn.XLOOKUP(L262,Compartments_Added!A:A,Compartments_Added!B:B))="Sink","OK, Sink","Missing"))</f>
        <v>OK flow</v>
      </c>
    </row>
    <row r="263" spans="10:13">
      <c r="J263" s="16" t="str">
        <v>Wood stain (prof) indoor (in use)</v>
      </c>
      <c r="K263" s="303" t="str">
        <f>IF(ISBLANK(J263),"",IF(COUNTIF(L:L,J263),IF(_xlfn.XLOOKUP(J263,'Compartments_Kawecki&amp;Nowack19'!A:A,'Compartments_Kawecki&amp;Nowack19'!B:B,_xlfn.XLOOKUP(J263,Compartments_Added!A:A,Compartments_Added!B:B))="Stock","OK stock","OK flow"),IF(COUNTIF($G$4:$G$18,J263),IF(COUNTIF($E$4:$E$18,J263),"OK input","Missing"),"Missing")))</f>
        <v>OK stock</v>
      </c>
      <c r="L263" t="str">
        <v>Wood stain (DIY) outdoor</v>
      </c>
      <c r="M263" s="303" t="str">
        <f>IF(COUNTIF(J:J,L263),IF(_xlfn.XLOOKUP(L263,'Compartments_Kawecki&amp;Nowack19'!A:A,'Compartments_Kawecki&amp;Nowack19'!B:B,_xlfn.XLOOKUP(L263,Compartments_Added!A:A,Compartments_Added!B:B))="Stock","OK stock","OK flow"),IF(_xlfn.XLOOKUP(L263,'Compartments_Kawecki&amp;Nowack19'!A:A,'Compartments_Kawecki&amp;Nowack19'!B:B,_xlfn.XLOOKUP(L263,Compartments_Added!A:A,Compartments_Added!B:B))="Sink","OK, Sink","Missing"))</f>
        <v>OK flow</v>
      </c>
    </row>
    <row r="264" spans="10:13">
      <c r="J264" s="16" t="str">
        <v>Wood stain (prof) outdoor</v>
      </c>
      <c r="K264" s="303" t="str">
        <f>IF(ISBLANK(J264),"",IF(COUNTIF(L:L,J264),IF(_xlfn.XLOOKUP(J264,'Compartments_Kawecki&amp;Nowack19'!A:A,'Compartments_Kawecki&amp;Nowack19'!B:B,_xlfn.XLOOKUP(J264,Compartments_Added!A:A,Compartments_Added!B:B))="Stock","OK stock","OK flow"),IF(COUNTIF($G$4:$G$18,J264),IF(COUNTIF($E$4:$E$18,J264),"OK input","Missing"),"Missing")))</f>
        <v>OK flow</v>
      </c>
      <c r="L264" t="str">
        <v>Wood stain (DIY) indoor</v>
      </c>
      <c r="M264" s="303" t="str">
        <f>IF(COUNTIF(J:J,L264),IF(_xlfn.XLOOKUP(L264,'Compartments_Kawecki&amp;Nowack19'!A:A,'Compartments_Kawecki&amp;Nowack19'!B:B,_xlfn.XLOOKUP(L264,Compartments_Added!A:A,Compartments_Added!B:B))="Stock","OK stock","OK flow"),IF(_xlfn.XLOOKUP(L264,'Compartments_Kawecki&amp;Nowack19'!A:A,'Compartments_Kawecki&amp;Nowack19'!B:B,_xlfn.XLOOKUP(L264,Compartments_Added!A:A,Compartments_Added!B:B))="Sink","OK, Sink","Missing"))</f>
        <v>OK flow</v>
      </c>
    </row>
    <row r="265" spans="10:13">
      <c r="J265" s="16" t="str">
        <v>Wood stain (prof) outdoor (discarded)</v>
      </c>
      <c r="K265" s="303" t="str">
        <f>IF(ISBLANK(J265),"",IF(COUNTIF(L:L,J265),IF(_xlfn.XLOOKUP(J265,'Compartments_Kawecki&amp;Nowack19'!A:A,'Compartments_Kawecki&amp;Nowack19'!B:B,_xlfn.XLOOKUP(J265,Compartments_Added!A:A,Compartments_Added!B:B))="Stock","OK stock","OK flow"),IF(COUNTIF($G$4:$G$18,J265),IF(COUNTIF($E$4:$E$18,J265),"OK input","Missing"),"Missing")))</f>
        <v>OK stock</v>
      </c>
      <c r="L265" t="str">
        <v>Wood stain (DIY) indoor (in use)</v>
      </c>
      <c r="M265" s="303" t="str">
        <f>IF(COUNTIF(J:J,L265),IF(_xlfn.XLOOKUP(L265,'Compartments_Kawecki&amp;Nowack19'!A:A,'Compartments_Kawecki&amp;Nowack19'!B:B,_xlfn.XLOOKUP(L265,Compartments_Added!A:A,Compartments_Added!B:B))="Stock","OK stock","OK flow"),IF(_xlfn.XLOOKUP(L265,'Compartments_Kawecki&amp;Nowack19'!A:A,'Compartments_Kawecki&amp;Nowack19'!B:B,_xlfn.XLOOKUP(L265,Compartments_Added!A:A,Compartments_Added!B:B))="Sink","OK, Sink","Missing"))</f>
        <v>OK stock</v>
      </c>
    </row>
    <row r="266" spans="10:13">
      <c r="J266" s="16" t="str">
        <v>Wood stain (prof) outdoor (in use)</v>
      </c>
      <c r="K266" s="303" t="str">
        <f>IF(ISBLANK(J266),"",IF(COUNTIF(L:L,J266),IF(_xlfn.XLOOKUP(J266,'Compartments_Kawecki&amp;Nowack19'!A:A,'Compartments_Kawecki&amp;Nowack19'!B:B,_xlfn.XLOOKUP(J266,Compartments_Added!A:A,Compartments_Added!B:B))="Stock","OK stock","OK flow"),IF(COUNTIF($G$4:$G$18,J266),IF(COUNTIF($E$4:$E$18,J266),"OK input","Missing"),"Missing")))</f>
        <v>OK stock</v>
      </c>
      <c r="L266" t="str">
        <v>Wood stain (DIY) indoor (discarded)</v>
      </c>
      <c r="M266" s="303" t="str">
        <f>IF(COUNTIF(J:J,L266),IF(_xlfn.XLOOKUP(L266,'Compartments_Kawecki&amp;Nowack19'!A:A,'Compartments_Kawecki&amp;Nowack19'!B:B,_xlfn.XLOOKUP(L266,Compartments_Added!A:A,Compartments_Added!B:B))="Stock","OK stock","OK flow"),IF(_xlfn.XLOOKUP(L266,'Compartments_Kawecki&amp;Nowack19'!A:A,'Compartments_Kawecki&amp;Nowack19'!B:B,_xlfn.XLOOKUP(L266,Compartments_Added!A:A,Compartments_Added!B:B))="Sink","OK, Sink","Missing"))</f>
        <v>OK stock</v>
      </c>
    </row>
    <row r="267" spans="10:13">
      <c r="J267" s="16">
        <v>0</v>
      </c>
      <c r="K267" s="303" t="e">
        <f>IF(ISBLANK(J267),"",IF(COUNTIF(L:L,J267),IF(_xlfn.XLOOKUP(J267,'Compartments_Kawecki&amp;Nowack19'!A:A,'Compartments_Kawecki&amp;Nowack19'!B:B,_xlfn.XLOOKUP(J267,Compartments_Added!A:A,Compartments_Added!B:B))="Stock","OK stock","OK flow"),IF(COUNTIF($G$4:$G$18,J267),IF(COUNTIF($E$4:$E$18,J267),"OK input","Missing"),"Missing")))</f>
        <v>#N/A</v>
      </c>
      <c r="L267" t="str">
        <v>Wood stain (DIY) outdoor (in use)</v>
      </c>
      <c r="M267" s="303" t="str">
        <f>IF(COUNTIF(J:J,L267),IF(_xlfn.XLOOKUP(L267,'Compartments_Kawecki&amp;Nowack19'!A:A,'Compartments_Kawecki&amp;Nowack19'!B:B,_xlfn.XLOOKUP(L267,Compartments_Added!A:A,Compartments_Added!B:B))="Stock","OK stock","OK flow"),IF(_xlfn.XLOOKUP(L267,'Compartments_Kawecki&amp;Nowack19'!A:A,'Compartments_Kawecki&amp;Nowack19'!B:B,_xlfn.XLOOKUP(L267,Compartments_Added!A:A,Compartments_Added!B:B))="Sink","OK, Sink","Missing"))</f>
        <v>OK stock</v>
      </c>
    </row>
    <row r="268" spans="10:13">
      <c r="K268" s="303" t="str">
        <f>IF(ISBLANK(J268),"",IF(COUNTIF(L:L,J268),IF(_xlfn.XLOOKUP(J268,'Compartments_Kawecki&amp;Nowack19'!A:A,'Compartments_Kawecki&amp;Nowack19'!B:B,_xlfn.XLOOKUP(J268,Compartments_Added!A:A,Compartments_Added!B:B))="Stock","OK stock","OK flow"),IF(COUNTIF($G$4:$G$18,J268),IF(COUNTIF($E$4:$E$18,J268),"OK input","Missing"),"Missing")))</f>
        <v/>
      </c>
      <c r="L268" t="str">
        <v>Wood stain (DIY) outdoor (discarded)</v>
      </c>
      <c r="M268" s="303" t="str">
        <f>IF(COUNTIF(J:J,L268),IF(_xlfn.XLOOKUP(L268,'Compartments_Kawecki&amp;Nowack19'!A:A,'Compartments_Kawecki&amp;Nowack19'!B:B,_xlfn.XLOOKUP(L268,Compartments_Added!A:A,Compartments_Added!B:B))="Stock","OK stock","OK flow"),IF(_xlfn.XLOOKUP(L268,'Compartments_Kawecki&amp;Nowack19'!A:A,'Compartments_Kawecki&amp;Nowack19'!B:B,_xlfn.XLOOKUP(L268,Compartments_Added!A:A,Compartments_Added!B:B))="Sink","OK, Sink","Missing"))</f>
        <v>OK stock</v>
      </c>
    </row>
    <row r="269" spans="10:13">
      <c r="K269" s="303" t="str">
        <f>IF(ISBLANK(J269),"",IF(COUNTIF(L:L,J269),IF(_xlfn.XLOOKUP(J269,'Compartments_Kawecki&amp;Nowack19'!A:A,'Compartments_Kawecki&amp;Nowack19'!B:B,_xlfn.XLOOKUP(J269,Compartments_Added!A:A,Compartments_Added!B:B))="Stock","OK stock","OK flow"),IF(COUNTIF($G$4:$G$18,J269),IF(COUNTIF($E$4:$E$18,J269),"OK input","Missing"),"Missing")))</f>
        <v/>
      </c>
      <c r="L269" t="str">
        <v>Wood stain (prof) outdoor</v>
      </c>
      <c r="M269" s="303" t="str">
        <f>IF(COUNTIF(J:J,L269),IF(_xlfn.XLOOKUP(L269,'Compartments_Kawecki&amp;Nowack19'!A:A,'Compartments_Kawecki&amp;Nowack19'!B:B,_xlfn.XLOOKUP(L269,Compartments_Added!A:A,Compartments_Added!B:B))="Stock","OK stock","OK flow"),IF(_xlfn.XLOOKUP(L269,'Compartments_Kawecki&amp;Nowack19'!A:A,'Compartments_Kawecki&amp;Nowack19'!B:B,_xlfn.XLOOKUP(L269,Compartments_Added!A:A,Compartments_Added!B:B))="Sink","OK, Sink","Missing"))</f>
        <v>OK flow</v>
      </c>
    </row>
    <row r="270" spans="10:13">
      <c r="K270" s="303" t="str">
        <f>IF(ISBLANK(J270),"",IF(COUNTIF(L:L,J270),IF(_xlfn.XLOOKUP(J270,'Compartments_Kawecki&amp;Nowack19'!A:A,'Compartments_Kawecki&amp;Nowack19'!B:B,_xlfn.XLOOKUP(J270,Compartments_Added!A:A,Compartments_Added!B:B))="Stock","OK stock","OK flow"),IF(COUNTIF($G$4:$G$18,J270),IF(COUNTIF($E$4:$E$18,J270),"OK input","Missing"),"Missing")))</f>
        <v/>
      </c>
      <c r="L270" t="str">
        <v>Wood stain (prof) indoor</v>
      </c>
      <c r="M270" s="303" t="str">
        <f>IF(COUNTIF(J:J,L270),IF(_xlfn.XLOOKUP(L270,'Compartments_Kawecki&amp;Nowack19'!A:A,'Compartments_Kawecki&amp;Nowack19'!B:B,_xlfn.XLOOKUP(L270,Compartments_Added!A:A,Compartments_Added!B:B))="Stock","OK stock","OK flow"),IF(_xlfn.XLOOKUP(L270,'Compartments_Kawecki&amp;Nowack19'!A:A,'Compartments_Kawecki&amp;Nowack19'!B:B,_xlfn.XLOOKUP(L270,Compartments_Added!A:A,Compartments_Added!B:B))="Sink","OK, Sink","Missing"))</f>
        <v>OK flow</v>
      </c>
    </row>
    <row r="271" spans="10:13">
      <c r="K271" s="303" t="str">
        <f>IF(ISBLANK(J271),"",IF(COUNTIF(L:L,J271),IF(_xlfn.XLOOKUP(J271,'Compartments_Kawecki&amp;Nowack19'!A:A,'Compartments_Kawecki&amp;Nowack19'!B:B,_xlfn.XLOOKUP(J271,Compartments_Added!A:A,Compartments_Added!B:B))="Stock","OK stock","OK flow"),IF(COUNTIF($G$4:$G$18,J271),IF(COUNTIF($E$4:$E$18,J271),"OK input","Missing"),"Missing")))</f>
        <v/>
      </c>
      <c r="L271" t="str">
        <v>Wood stain (prof) indoor (in use)</v>
      </c>
      <c r="M271" s="303" t="str">
        <f>IF(COUNTIF(J:J,L271),IF(_xlfn.XLOOKUP(L271,'Compartments_Kawecki&amp;Nowack19'!A:A,'Compartments_Kawecki&amp;Nowack19'!B:B,_xlfn.XLOOKUP(L271,Compartments_Added!A:A,Compartments_Added!B:B))="Stock","OK stock","OK flow"),IF(_xlfn.XLOOKUP(L271,'Compartments_Kawecki&amp;Nowack19'!A:A,'Compartments_Kawecki&amp;Nowack19'!B:B,_xlfn.XLOOKUP(L271,Compartments_Added!A:A,Compartments_Added!B:B))="Sink","OK, Sink","Missing"))</f>
        <v>OK stock</v>
      </c>
    </row>
    <row r="272" spans="10:13">
      <c r="L272" t="str">
        <v>Wood stain (prof) indoor (discarded)</v>
      </c>
      <c r="M272" s="303" t="str">
        <f>IF(COUNTIF(J:J,L272),IF(_xlfn.XLOOKUP(L272,'Compartments_Kawecki&amp;Nowack19'!A:A,'Compartments_Kawecki&amp;Nowack19'!B:B,_xlfn.XLOOKUP(L272,Compartments_Added!A:A,Compartments_Added!B:B))="Stock","OK stock","OK flow"),IF(_xlfn.XLOOKUP(L272,'Compartments_Kawecki&amp;Nowack19'!A:A,'Compartments_Kawecki&amp;Nowack19'!B:B,_xlfn.XLOOKUP(L272,Compartments_Added!A:A,Compartments_Added!B:B))="Sink","OK, Sink","Missing"))</f>
        <v>OK stock</v>
      </c>
    </row>
    <row r="273" spans="12:13">
      <c r="L273" t="str">
        <v>Wood stain (prof) outdoor (in use)</v>
      </c>
      <c r="M273" s="303" t="str">
        <f>IF(COUNTIF(J:J,L273),IF(_xlfn.XLOOKUP(L273,'Compartments_Kawecki&amp;Nowack19'!A:A,'Compartments_Kawecki&amp;Nowack19'!B:B,_xlfn.XLOOKUP(L273,Compartments_Added!A:A,Compartments_Added!B:B))="Stock","OK stock","OK flow"),IF(_xlfn.XLOOKUP(L273,'Compartments_Kawecki&amp;Nowack19'!A:A,'Compartments_Kawecki&amp;Nowack19'!B:B,_xlfn.XLOOKUP(L273,Compartments_Added!A:A,Compartments_Added!B:B))="Sink","OK, Sink","Missing"))</f>
        <v>OK stock</v>
      </c>
    </row>
    <row r="274" spans="12:13">
      <c r="L274" t="str">
        <v>Wood stain (prof) outdoor (discarded)</v>
      </c>
      <c r="M274" s="303" t="str">
        <f>IF(COUNTIF(J:J,L274),IF(_xlfn.XLOOKUP(L274,'Compartments_Kawecki&amp;Nowack19'!A:A,'Compartments_Kawecki&amp;Nowack19'!B:B,_xlfn.XLOOKUP(L274,Compartments_Added!A:A,Compartments_Added!B:B))="Stock","OK stock","OK flow"),IF(_xlfn.XLOOKUP(L274,'Compartments_Kawecki&amp;Nowack19'!A:A,'Compartments_Kawecki&amp;Nowack19'!B:B,_xlfn.XLOOKUP(L274,Compartments_Added!A:A,Compartments_Added!B:B))="Sink","OK, Sink","Missing"))</f>
        <v>OK stock</v>
      </c>
    </row>
    <row r="275" spans="12:13">
      <c r="L275">
        <v>0</v>
      </c>
    </row>
  </sheetData>
  <mergeCells count="3">
    <mergeCell ref="A1:C1"/>
    <mergeCell ref="E1:H1"/>
    <mergeCell ref="J1:M1"/>
  </mergeCells>
  <conditionalFormatting sqref="K4:K271">
    <cfRule type="containsText" dxfId="18" priority="4" operator="containsText" text="Stock">
      <formula>NOT(ISERROR(SEARCH("Stock",K4)))</formula>
    </cfRule>
    <cfRule type="containsText" dxfId="17" priority="5" operator="containsText" text="Sink">
      <formula>NOT(ISERROR(SEARCH("Sink",K4)))</formula>
    </cfRule>
    <cfRule type="containsText" dxfId="16" priority="6" operator="containsText" text="flow">
      <formula>NOT(ISERROR(SEARCH("flow",K4)))</formula>
    </cfRule>
    <cfRule type="containsText" dxfId="15" priority="7" operator="containsText" text="missing">
      <formula>NOT(ISERROR(SEARCH("missing",K4)))</formula>
    </cfRule>
    <cfRule type="containsErrors" dxfId="14" priority="10">
      <formula>ISERROR(K4)</formula>
    </cfRule>
  </conditionalFormatting>
  <conditionalFormatting sqref="M1:M1048576">
    <cfRule type="containsText" dxfId="13" priority="8" operator="containsText" text="Stock">
      <formula>NOT(ISERROR(SEARCH("Stock",M1)))</formula>
    </cfRule>
    <cfRule type="containsText" dxfId="12" priority="9" operator="containsText" text="Sink">
      <formula>NOT(ISERROR(SEARCH("Sink",M1)))</formula>
    </cfRule>
    <cfRule type="containsText" dxfId="11" priority="11" operator="containsText" text="flow">
      <formula>NOT(ISERROR(SEARCH("flow",M1)))</formula>
    </cfRule>
    <cfRule type="containsText" dxfId="10" priority="11" operator="containsText" text="missing">
      <formula>NOT(ISERROR(SEARCH("missing",M1)))</formula>
    </cfRule>
    <cfRule type="containsErrors" dxfId="9" priority="11">
      <formula>ISERROR(M1)</formula>
    </cfRule>
  </conditionalFormatting>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68ABA-4B5B-435B-8A9D-746C59529CB9}">
  <sheetPr>
    <tabColor rgb="FFFFC000"/>
  </sheetPr>
  <dimension ref="A1:L85"/>
  <sheetViews>
    <sheetView workbookViewId="0">
      <selection activeCell="E2" sqref="E2"/>
    </sheetView>
  </sheetViews>
  <sheetFormatPr defaultRowHeight="14.4"/>
  <cols>
    <col min="1" max="1" width="21.88671875" bestFit="1" customWidth="1"/>
    <col min="2" max="2" width="11.109375" customWidth="1"/>
    <col min="12" max="12" width="10.5546875" bestFit="1" customWidth="1"/>
  </cols>
  <sheetData>
    <row r="1" spans="1:12">
      <c r="A1" s="65" t="s">
        <v>100</v>
      </c>
      <c r="B1" s="65" t="s">
        <v>101</v>
      </c>
      <c r="C1" s="108" t="s">
        <v>102</v>
      </c>
      <c r="D1" s="804" t="s">
        <v>103</v>
      </c>
      <c r="E1" s="108" t="s">
        <v>104</v>
      </c>
      <c r="F1" s="111" t="s">
        <v>105</v>
      </c>
      <c r="G1" s="112" t="s">
        <v>65</v>
      </c>
      <c r="H1" s="112" t="s">
        <v>67</v>
      </c>
      <c r="I1" s="112" t="s">
        <v>73</v>
      </c>
      <c r="J1" s="113" t="s">
        <v>79</v>
      </c>
      <c r="K1" s="419" t="s">
        <v>106</v>
      </c>
      <c r="L1" s="49" t="s">
        <v>123</v>
      </c>
    </row>
    <row r="2" spans="1:12">
      <c r="A2" t="s">
        <v>2200</v>
      </c>
      <c r="B2">
        <f>Clothing!B197</f>
        <v>2011</v>
      </c>
      <c r="C2" t="str">
        <f>Clothing!C197</f>
        <v>Acryl</v>
      </c>
      <c r="D2" s="217">
        <f>Clothing!F197</f>
        <v>178.95826989854004</v>
      </c>
    </row>
    <row r="3" spans="1:12">
      <c r="A3" t="s">
        <v>2200</v>
      </c>
      <c r="B3">
        <f>Clothing!B198</f>
        <v>2011</v>
      </c>
      <c r="C3" t="str">
        <f>Clothing!C198</f>
        <v>OTHER</v>
      </c>
      <c r="D3" s="217">
        <f>Clothing!F198</f>
        <v>328.79968810535007</v>
      </c>
    </row>
    <row r="4" spans="1:12">
      <c r="A4" t="s">
        <v>2200</v>
      </c>
      <c r="B4">
        <f>Clothing!B199</f>
        <v>2011</v>
      </c>
      <c r="C4" t="str">
        <f>Clothing!C199</f>
        <v>PA</v>
      </c>
      <c r="D4" s="217">
        <f>Clothing!F199</f>
        <v>398.04206471381008</v>
      </c>
    </row>
    <row r="5" spans="1:12">
      <c r="A5" t="s">
        <v>2200</v>
      </c>
      <c r="B5">
        <f>Clothing!B200</f>
        <v>2011</v>
      </c>
      <c r="C5" t="str">
        <f>Clothing!C200</f>
        <v>PET</v>
      </c>
      <c r="D5" s="217">
        <f>Clothing!F200</f>
        <v>1799.8796967041003</v>
      </c>
    </row>
    <row r="6" spans="1:12">
      <c r="A6" t="s">
        <v>2200</v>
      </c>
      <c r="B6">
        <f>Clothing!B201</f>
        <v>2011</v>
      </c>
      <c r="C6" t="str">
        <f>Clothing!C201</f>
        <v>PUR</v>
      </c>
      <c r="D6" s="217">
        <f>Clothing!F201</f>
        <v>223.88644531913005</v>
      </c>
    </row>
    <row r="7" spans="1:12">
      <c r="A7" t="s">
        <v>2200</v>
      </c>
      <c r="B7">
        <f>Clothing!B202</f>
        <v>2011</v>
      </c>
      <c r="C7" t="str">
        <f>Clothing!C202</f>
        <v>PVC</v>
      </c>
      <c r="D7" s="217">
        <f>Clothing!F202</f>
        <v>144.78697548150001</v>
      </c>
    </row>
    <row r="8" spans="1:12">
      <c r="A8" t="s">
        <v>2200</v>
      </c>
      <c r="B8">
        <f>Clothing!B203</f>
        <v>2011</v>
      </c>
      <c r="C8" t="str">
        <f>Clothing!C203</f>
        <v>RUBBER</v>
      </c>
      <c r="D8" s="217">
        <f>Clothing!F203</f>
        <v>306.43011359323003</v>
      </c>
    </row>
    <row r="9" spans="1:12">
      <c r="A9" t="s">
        <v>2200</v>
      </c>
      <c r="B9">
        <f>Clothing!B204</f>
        <v>2012</v>
      </c>
      <c r="C9" t="str">
        <f>Clothing!C204</f>
        <v>Acryl</v>
      </c>
      <c r="D9" s="217">
        <f>Clothing!F204</f>
        <v>136.49129634547</v>
      </c>
    </row>
    <row r="10" spans="1:12">
      <c r="A10" t="s">
        <v>2200</v>
      </c>
      <c r="B10">
        <f>Clothing!B205</f>
        <v>2012</v>
      </c>
      <c r="C10" t="str">
        <f>Clothing!C205</f>
        <v>OTHER</v>
      </c>
      <c r="D10" s="217">
        <f>Clothing!F205</f>
        <v>267.46883548198002</v>
      </c>
    </row>
    <row r="11" spans="1:12">
      <c r="A11" t="s">
        <v>2200</v>
      </c>
      <c r="B11">
        <f>Clothing!B206</f>
        <v>2012</v>
      </c>
      <c r="C11" t="str">
        <f>Clothing!C206</f>
        <v>PA</v>
      </c>
      <c r="D11" s="217">
        <f>Clothing!F206</f>
        <v>294.84091747033006</v>
      </c>
    </row>
    <row r="12" spans="1:12">
      <c r="A12" t="s">
        <v>2200</v>
      </c>
      <c r="B12">
        <f>Clothing!B207</f>
        <v>2012</v>
      </c>
      <c r="C12" t="str">
        <f>Clothing!C207</f>
        <v>PET</v>
      </c>
      <c r="D12" s="217">
        <f>Clothing!F207</f>
        <v>1567.7962414532001</v>
      </c>
    </row>
    <row r="13" spans="1:12">
      <c r="A13" t="s">
        <v>2200</v>
      </c>
      <c r="B13">
        <f>Clothing!B208</f>
        <v>2012</v>
      </c>
      <c r="C13" t="str">
        <f>Clothing!C208</f>
        <v>PUR</v>
      </c>
      <c r="D13" s="217">
        <f>Clothing!F208</f>
        <v>204.16214888190001</v>
      </c>
    </row>
    <row r="14" spans="1:12">
      <c r="A14" t="s">
        <v>2200</v>
      </c>
      <c r="B14">
        <f>Clothing!B209</f>
        <v>2012</v>
      </c>
      <c r="C14" t="str">
        <f>Clothing!C209</f>
        <v>PVC</v>
      </c>
      <c r="D14" s="217">
        <f>Clothing!F209</f>
        <v>131.30170402723002</v>
      </c>
    </row>
    <row r="15" spans="1:12">
      <c r="A15" t="s">
        <v>2200</v>
      </c>
      <c r="B15">
        <f>Clothing!B210</f>
        <v>2012</v>
      </c>
      <c r="C15" t="str">
        <f>Clothing!C210</f>
        <v>RUBBER</v>
      </c>
      <c r="D15" s="217">
        <f>Clothing!F210</f>
        <v>270.46611317362999</v>
      </c>
    </row>
    <row r="16" spans="1:12">
      <c r="A16" t="s">
        <v>2200</v>
      </c>
      <c r="B16">
        <f>Clothing!B211</f>
        <v>2013</v>
      </c>
      <c r="C16" t="str">
        <f>Clothing!C211</f>
        <v>Acryl</v>
      </c>
      <c r="D16" s="217">
        <f>Clothing!F211</f>
        <v>143.88991251921001</v>
      </c>
    </row>
    <row r="17" spans="1:4">
      <c r="A17" t="s">
        <v>2200</v>
      </c>
      <c r="B17">
        <f>Clothing!B212</f>
        <v>2013</v>
      </c>
      <c r="C17" t="str">
        <f>Clothing!C212</f>
        <v>OTHER</v>
      </c>
      <c r="D17" s="217">
        <f>Clothing!F212</f>
        <v>279.07902395307002</v>
      </c>
    </row>
    <row r="18" spans="1:4">
      <c r="A18" t="s">
        <v>2200</v>
      </c>
      <c r="B18">
        <f>Clothing!B213</f>
        <v>2013</v>
      </c>
      <c r="C18" t="str">
        <f>Clothing!C213</f>
        <v>PA</v>
      </c>
      <c r="D18" s="217">
        <f>Clothing!F213</f>
        <v>307.66171836862003</v>
      </c>
    </row>
    <row r="19" spans="1:4">
      <c r="A19" t="s">
        <v>2200</v>
      </c>
      <c r="B19">
        <f>Clothing!B214</f>
        <v>2013</v>
      </c>
      <c r="C19" t="str">
        <f>Clothing!C214</f>
        <v>PET</v>
      </c>
      <c r="D19" s="217">
        <f>Clothing!F214</f>
        <v>1649.6006392701001</v>
      </c>
    </row>
    <row r="20" spans="1:4">
      <c r="A20" t="s">
        <v>2200</v>
      </c>
      <c r="B20">
        <f>Clothing!B215</f>
        <v>2013</v>
      </c>
      <c r="C20" t="str">
        <f>Clothing!C215</f>
        <v>PUR</v>
      </c>
      <c r="D20" s="217">
        <f>Clothing!F215</f>
        <v>210.79604594719001</v>
      </c>
    </row>
    <row r="21" spans="1:4">
      <c r="A21" t="s">
        <v>2200</v>
      </c>
      <c r="B21">
        <f>Clothing!B216</f>
        <v>2013</v>
      </c>
      <c r="C21" t="str">
        <f>Clothing!C216</f>
        <v>PVC</v>
      </c>
      <c r="D21" s="217">
        <f>Clothing!F216</f>
        <v>135.62339461836001</v>
      </c>
    </row>
    <row r="22" spans="1:4">
      <c r="A22" t="s">
        <v>2200</v>
      </c>
      <c r="B22">
        <f>Clothing!B217</f>
        <v>2013</v>
      </c>
      <c r="C22" t="str">
        <f>Clothing!C217</f>
        <v>RUBBER</v>
      </c>
      <c r="D22" s="217">
        <f>Clothing!F217</f>
        <v>280.06817039597001</v>
      </c>
    </row>
    <row r="23" spans="1:4">
      <c r="A23" t="s">
        <v>2200</v>
      </c>
      <c r="B23">
        <f>Clothing!B218</f>
        <v>2014</v>
      </c>
      <c r="C23" t="str">
        <f>Clothing!C218</f>
        <v>Acryl</v>
      </c>
      <c r="D23" s="217">
        <f>Clothing!F218</f>
        <v>161.93428767670002</v>
      </c>
    </row>
    <row r="24" spans="1:4">
      <c r="A24" t="s">
        <v>2200</v>
      </c>
      <c r="B24">
        <f>Clothing!B219</f>
        <v>2014</v>
      </c>
      <c r="C24" t="str">
        <f>Clothing!C219</f>
        <v>OTHER</v>
      </c>
      <c r="D24" s="217">
        <f>Clothing!F219</f>
        <v>306.41922509660003</v>
      </c>
    </row>
    <row r="25" spans="1:4">
      <c r="A25" t="s">
        <v>2200</v>
      </c>
      <c r="B25">
        <f>Clothing!B220</f>
        <v>2014</v>
      </c>
      <c r="C25" t="str">
        <f>Clothing!C220</f>
        <v>PA</v>
      </c>
      <c r="D25" s="217">
        <f>Clothing!F220</f>
        <v>337.63912985880006</v>
      </c>
    </row>
    <row r="26" spans="1:4">
      <c r="A26" t="s">
        <v>2200</v>
      </c>
      <c r="B26">
        <f>Clothing!B221</f>
        <v>2014</v>
      </c>
      <c r="C26" t="str">
        <f>Clothing!C221</f>
        <v>PET</v>
      </c>
      <c r="D26" s="217">
        <f>Clothing!F221</f>
        <v>1805.1838996895001</v>
      </c>
    </row>
    <row r="27" spans="1:4">
      <c r="A27" t="s">
        <v>2200</v>
      </c>
      <c r="B27">
        <f>Clothing!B222</f>
        <v>2014</v>
      </c>
      <c r="C27" t="str">
        <f>Clothing!C222</f>
        <v>PUR</v>
      </c>
      <c r="D27" s="217">
        <f>Clothing!F222</f>
        <v>226.99137753985005</v>
      </c>
    </row>
    <row r="28" spans="1:4">
      <c r="A28" t="s">
        <v>2200</v>
      </c>
      <c r="B28">
        <f>Clothing!B223</f>
        <v>2014</v>
      </c>
      <c r="C28" t="str">
        <f>Clothing!C223</f>
        <v>PVC</v>
      </c>
      <c r="D28" s="217">
        <f>Clothing!F223</f>
        <v>146.17026346714002</v>
      </c>
    </row>
    <row r="29" spans="1:4">
      <c r="A29" t="s">
        <v>2200</v>
      </c>
      <c r="B29">
        <f>Clothing!B224</f>
        <v>2014</v>
      </c>
      <c r="C29" t="str">
        <f>Clothing!C224</f>
        <v>RUBBER</v>
      </c>
      <c r="D29" s="217">
        <f>Clothing!F224</f>
        <v>302.17118813354</v>
      </c>
    </row>
    <row r="30" spans="1:4">
      <c r="A30" t="s">
        <v>2200</v>
      </c>
      <c r="B30">
        <f>Clothing!B225</f>
        <v>2015</v>
      </c>
      <c r="C30" t="str">
        <f>Clothing!C225</f>
        <v>Acryl</v>
      </c>
      <c r="D30" s="217">
        <f>Clothing!F225</f>
        <v>152.38336591346001</v>
      </c>
    </row>
    <row r="31" spans="1:4">
      <c r="A31" t="s">
        <v>2200</v>
      </c>
      <c r="B31">
        <f>Clothing!B226</f>
        <v>2015</v>
      </c>
      <c r="C31" t="str">
        <f>Clothing!C226</f>
        <v>OTHER</v>
      </c>
      <c r="D31" s="217">
        <f>Clothing!F226</f>
        <v>281.90838725291002</v>
      </c>
    </row>
    <row r="32" spans="1:4">
      <c r="A32" t="s">
        <v>2200</v>
      </c>
      <c r="B32">
        <f>Clothing!B227</f>
        <v>2015</v>
      </c>
      <c r="C32" t="str">
        <f>Clothing!C227</f>
        <v>PA</v>
      </c>
      <c r="D32" s="217">
        <f>Clothing!F227</f>
        <v>321.11673954151001</v>
      </c>
    </row>
    <row r="33" spans="1:4">
      <c r="A33" t="s">
        <v>2200</v>
      </c>
      <c r="B33">
        <f>Clothing!B228</f>
        <v>2015</v>
      </c>
      <c r="C33" t="str">
        <f>Clothing!C228</f>
        <v>PET</v>
      </c>
      <c r="D33" s="217">
        <f>Clothing!F228</f>
        <v>1727.9883326739002</v>
      </c>
    </row>
    <row r="34" spans="1:4">
      <c r="A34" t="s">
        <v>2200</v>
      </c>
      <c r="B34">
        <f>Clothing!B229</f>
        <v>2015</v>
      </c>
      <c r="C34" t="str">
        <f>Clothing!C229</f>
        <v>PUR</v>
      </c>
      <c r="D34" s="217">
        <f>Clothing!F229</f>
        <v>215.90675247559003</v>
      </c>
    </row>
    <row r="35" spans="1:4">
      <c r="A35" t="s">
        <v>2200</v>
      </c>
      <c r="B35">
        <f>Clothing!B230</f>
        <v>2015</v>
      </c>
      <c r="C35" t="str">
        <f>Clothing!C230</f>
        <v>PVC</v>
      </c>
      <c r="D35" s="217">
        <f>Clothing!F230</f>
        <v>138.42083903769003</v>
      </c>
    </row>
    <row r="36" spans="1:4">
      <c r="A36" t="s">
        <v>2200</v>
      </c>
      <c r="B36">
        <f>Clothing!B231</f>
        <v>2015</v>
      </c>
      <c r="C36" t="str">
        <f>Clothing!C231</f>
        <v>RUBBER</v>
      </c>
      <c r="D36" s="217">
        <f>Clothing!F231</f>
        <v>279.47549272511003</v>
      </c>
    </row>
    <row r="37" spans="1:4">
      <c r="A37" t="s">
        <v>2200</v>
      </c>
      <c r="B37">
        <f>Clothing!B232</f>
        <v>2016</v>
      </c>
      <c r="C37" t="str">
        <f>Clothing!C232</f>
        <v>Acryl</v>
      </c>
      <c r="D37" s="217">
        <f>Clothing!F232</f>
        <v>159.06467198072002</v>
      </c>
    </row>
    <row r="38" spans="1:4">
      <c r="A38" t="s">
        <v>2200</v>
      </c>
      <c r="B38">
        <f>Clothing!B233</f>
        <v>2016</v>
      </c>
      <c r="C38" t="str">
        <f>Clothing!C233</f>
        <v>OTHER</v>
      </c>
      <c r="D38" s="217">
        <f>Clothing!F233</f>
        <v>284.71284838997002</v>
      </c>
    </row>
    <row r="39" spans="1:4">
      <c r="A39" t="s">
        <v>2200</v>
      </c>
      <c r="B39">
        <f>Clothing!B234</f>
        <v>2016</v>
      </c>
      <c r="C39" t="str">
        <f>Clothing!C234</f>
        <v>PA</v>
      </c>
      <c r="D39" s="217">
        <f>Clothing!F234</f>
        <v>334.75236411298005</v>
      </c>
    </row>
    <row r="40" spans="1:4">
      <c r="A40" t="s">
        <v>2200</v>
      </c>
      <c r="B40">
        <f>Clothing!B235</f>
        <v>2016</v>
      </c>
      <c r="C40" t="str">
        <f>Clothing!C235</f>
        <v>PET</v>
      </c>
      <c r="D40" s="217">
        <f>Clothing!F235</f>
        <v>1791.0565565387001</v>
      </c>
    </row>
    <row r="41" spans="1:4">
      <c r="A41" t="s">
        <v>2200</v>
      </c>
      <c r="B41">
        <f>Clothing!B236</f>
        <v>2016</v>
      </c>
      <c r="C41" t="str">
        <f>Clothing!C236</f>
        <v>PUR</v>
      </c>
      <c r="D41" s="217">
        <f>Clothing!F236</f>
        <v>212.98091760198</v>
      </c>
    </row>
    <row r="42" spans="1:4">
      <c r="A42" t="s">
        <v>2200</v>
      </c>
      <c r="B42">
        <f>Clothing!B237</f>
        <v>2016</v>
      </c>
      <c r="C42" t="str">
        <f>Clothing!C237</f>
        <v>PVC</v>
      </c>
      <c r="D42" s="217">
        <f>Clothing!F237</f>
        <v>136.57152263326</v>
      </c>
    </row>
    <row r="43" spans="1:4">
      <c r="A43" t="s">
        <v>2200</v>
      </c>
      <c r="B43">
        <f>Clothing!B238</f>
        <v>2016</v>
      </c>
      <c r="C43" t="str">
        <f>Clothing!C238</f>
        <v>RUBBER</v>
      </c>
      <c r="D43" s="217">
        <f>Clothing!F238</f>
        <v>276.36549065906001</v>
      </c>
    </row>
    <row r="44" spans="1:4">
      <c r="A44" t="s">
        <v>2200</v>
      </c>
      <c r="B44">
        <f>Clothing!B239</f>
        <v>2017</v>
      </c>
      <c r="C44" t="str">
        <f>Clothing!C239</f>
        <v>Acryl</v>
      </c>
      <c r="D44" s="217">
        <f>Clothing!F239</f>
        <v>169.42086167259004</v>
      </c>
    </row>
    <row r="45" spans="1:4">
      <c r="A45" t="s">
        <v>2200</v>
      </c>
      <c r="B45">
        <f>Clothing!B240</f>
        <v>2017</v>
      </c>
      <c r="C45" t="str">
        <f>Clothing!C240</f>
        <v>OTHER</v>
      </c>
      <c r="D45" s="217">
        <f>Clothing!F240</f>
        <v>300.85920562126006</v>
      </c>
    </row>
    <row r="46" spans="1:4">
      <c r="A46" t="s">
        <v>2200</v>
      </c>
      <c r="B46">
        <f>Clothing!B241</f>
        <v>2017</v>
      </c>
      <c r="C46" t="str">
        <f>Clothing!C241</f>
        <v>PA</v>
      </c>
      <c r="D46" s="217">
        <f>Clothing!F241</f>
        <v>354.50137172527002</v>
      </c>
    </row>
    <row r="47" spans="1:4">
      <c r="A47" t="s">
        <v>2200</v>
      </c>
      <c r="B47">
        <f>Clothing!B242</f>
        <v>2017</v>
      </c>
      <c r="C47" t="str">
        <f>Clothing!C242</f>
        <v>PET</v>
      </c>
      <c r="D47" s="217">
        <f>Clothing!F242</f>
        <v>1875.4771184798001</v>
      </c>
    </row>
    <row r="48" spans="1:4">
      <c r="A48" t="s">
        <v>2200</v>
      </c>
      <c r="B48">
        <f>Clothing!B243</f>
        <v>2017</v>
      </c>
      <c r="C48" t="str">
        <f>Clothing!C243</f>
        <v>PUR</v>
      </c>
      <c r="D48" s="217">
        <f>Clothing!F243</f>
        <v>223.04008716869004</v>
      </c>
    </row>
    <row r="49" spans="1:4">
      <c r="A49" t="s">
        <v>2200</v>
      </c>
      <c r="B49">
        <f>Clothing!B244</f>
        <v>2017</v>
      </c>
      <c r="C49" t="str">
        <f>Clothing!C244</f>
        <v>PVC</v>
      </c>
      <c r="D49" s="217">
        <f>Clothing!F244</f>
        <v>143.14805852534002</v>
      </c>
    </row>
    <row r="50" spans="1:4">
      <c r="A50" t="s">
        <v>2200</v>
      </c>
      <c r="B50">
        <f>Clothing!B245</f>
        <v>2017</v>
      </c>
      <c r="C50" t="str">
        <f>Clothing!C245</f>
        <v>RUBBER</v>
      </c>
      <c r="D50" s="217">
        <f>Clothing!F245</f>
        <v>291.14012263886002</v>
      </c>
    </row>
    <row r="51" spans="1:4">
      <c r="A51" t="s">
        <v>2200</v>
      </c>
      <c r="B51">
        <f>Clothing!B246</f>
        <v>2018</v>
      </c>
      <c r="C51" t="str">
        <f>Clothing!C246</f>
        <v>Acryl</v>
      </c>
      <c r="D51" s="217">
        <f>Clothing!F246</f>
        <v>186.16067266467002</v>
      </c>
    </row>
    <row r="52" spans="1:4">
      <c r="A52" t="s">
        <v>2200</v>
      </c>
      <c r="B52">
        <f>Clothing!B247</f>
        <v>2018</v>
      </c>
      <c r="C52" t="str">
        <f>Clothing!C247</f>
        <v>OTHER</v>
      </c>
      <c r="D52" s="217">
        <f>Clothing!F247</f>
        <v>339.29194198086003</v>
      </c>
    </row>
    <row r="53" spans="1:4">
      <c r="A53" t="s">
        <v>2200</v>
      </c>
      <c r="B53">
        <f>Clothing!B248</f>
        <v>2018</v>
      </c>
      <c r="C53" t="str">
        <f>Clothing!C248</f>
        <v>PA</v>
      </c>
      <c r="D53" s="217">
        <f>Clothing!F248</f>
        <v>396.51420642317004</v>
      </c>
    </row>
    <row r="54" spans="1:4">
      <c r="A54" t="s">
        <v>2200</v>
      </c>
      <c r="B54">
        <f>Clothing!B249</f>
        <v>2018</v>
      </c>
      <c r="C54" t="str">
        <f>Clothing!C249</f>
        <v>PET</v>
      </c>
      <c r="D54" s="217">
        <f>Clothing!F249</f>
        <v>2061.3555308324003</v>
      </c>
    </row>
    <row r="55" spans="1:4">
      <c r="A55" t="s">
        <v>2200</v>
      </c>
      <c r="B55">
        <f>Clothing!B250</f>
        <v>2018</v>
      </c>
      <c r="C55" t="str">
        <f>Clothing!C250</f>
        <v>PUR</v>
      </c>
      <c r="D55" s="217">
        <f>Clothing!F250</f>
        <v>235.25733970343001</v>
      </c>
    </row>
    <row r="56" spans="1:4">
      <c r="A56" t="s">
        <v>2200</v>
      </c>
      <c r="B56">
        <f>Clothing!B251</f>
        <v>2018</v>
      </c>
      <c r="C56" t="str">
        <f>Clothing!C251</f>
        <v>PVC</v>
      </c>
      <c r="D56" s="217">
        <f>Clothing!F251</f>
        <v>151.74779473601001</v>
      </c>
    </row>
    <row r="57" spans="1:4">
      <c r="A57" t="s">
        <v>2200</v>
      </c>
      <c r="B57">
        <f>Clothing!B252</f>
        <v>2018</v>
      </c>
      <c r="C57" t="str">
        <f>Clothing!C252</f>
        <v>RUBBER</v>
      </c>
      <c r="D57" s="217">
        <f>Clothing!F252</f>
        <v>317.04740095545009</v>
      </c>
    </row>
    <row r="58" spans="1:4">
      <c r="A58" t="s">
        <v>2200</v>
      </c>
      <c r="B58">
        <f>Clothing!B253</f>
        <v>2019</v>
      </c>
      <c r="C58" t="str">
        <f>Clothing!C253</f>
        <v>Acryl</v>
      </c>
      <c r="D58" s="217">
        <f>Clothing!F253</f>
        <v>180.20840788181002</v>
      </c>
    </row>
    <row r="59" spans="1:4">
      <c r="A59" t="s">
        <v>2200</v>
      </c>
      <c r="B59">
        <f>Clothing!B254</f>
        <v>2019</v>
      </c>
      <c r="C59" t="str">
        <f>Clothing!C254</f>
        <v>OTHER</v>
      </c>
      <c r="D59" s="217">
        <f>Clothing!F254</f>
        <v>334.04118283943006</v>
      </c>
    </row>
    <row r="60" spans="1:4">
      <c r="A60" t="s">
        <v>2200</v>
      </c>
      <c r="B60">
        <f>Clothing!B255</f>
        <v>2019</v>
      </c>
      <c r="C60" t="str">
        <f>Clothing!C255</f>
        <v>PA</v>
      </c>
      <c r="D60" s="217">
        <f>Clothing!F255</f>
        <v>388.07741730505001</v>
      </c>
    </row>
    <row r="61" spans="1:4">
      <c r="A61" t="s">
        <v>2200</v>
      </c>
      <c r="B61">
        <f>Clothing!B256</f>
        <v>2019</v>
      </c>
      <c r="C61" t="str">
        <f>Clothing!C256</f>
        <v>PET</v>
      </c>
      <c r="D61" s="217">
        <f>Clothing!F256</f>
        <v>2021.6919838225003</v>
      </c>
    </row>
    <row r="62" spans="1:4">
      <c r="A62" t="s">
        <v>2200</v>
      </c>
      <c r="B62">
        <f>Clothing!B257</f>
        <v>2019</v>
      </c>
      <c r="C62" t="str">
        <f>Clothing!C257</f>
        <v>PUR</v>
      </c>
      <c r="D62" s="217">
        <f>Clothing!F257</f>
        <v>232.85122403554001</v>
      </c>
    </row>
    <row r="63" spans="1:4">
      <c r="A63" t="s">
        <v>2200</v>
      </c>
      <c r="B63">
        <f>Clothing!B258</f>
        <v>2019</v>
      </c>
      <c r="C63" t="str">
        <f>Clothing!C258</f>
        <v>PVC</v>
      </c>
      <c r="D63" s="217">
        <f>Clothing!F258</f>
        <v>149.99565986636</v>
      </c>
    </row>
    <row r="64" spans="1:4">
      <c r="A64" t="s">
        <v>2200</v>
      </c>
      <c r="B64">
        <f>Clothing!B259</f>
        <v>2019</v>
      </c>
      <c r="C64" t="str">
        <f>Clothing!C259</f>
        <v>RUBBER</v>
      </c>
      <c r="D64" s="217">
        <f>Clothing!F259</f>
        <v>310.25023216472999</v>
      </c>
    </row>
    <row r="65" spans="1:4">
      <c r="A65" t="s">
        <v>2200</v>
      </c>
      <c r="B65">
        <f>Clothing!B260</f>
        <v>2020</v>
      </c>
      <c r="C65" t="str">
        <f>Clothing!C260</f>
        <v>Acryl</v>
      </c>
      <c r="D65" s="217">
        <f>Clothing!F260</f>
        <v>149.37983568618</v>
      </c>
    </row>
    <row r="66" spans="1:4">
      <c r="A66" t="s">
        <v>2200</v>
      </c>
      <c r="B66">
        <f>Clothing!B261</f>
        <v>2020</v>
      </c>
      <c r="C66" t="str">
        <f>Clothing!C261</f>
        <v>OTHER</v>
      </c>
      <c r="D66" s="217">
        <f>Clothing!F261</f>
        <v>265.42946513952</v>
      </c>
    </row>
    <row r="67" spans="1:4">
      <c r="A67" t="s">
        <v>2200</v>
      </c>
      <c r="B67">
        <f>Clothing!B262</f>
        <v>2020</v>
      </c>
      <c r="C67" t="str">
        <f>Clothing!C262</f>
        <v>PA</v>
      </c>
      <c r="D67" s="217">
        <f>Clothing!F262</f>
        <v>314.78226451474001</v>
      </c>
    </row>
    <row r="68" spans="1:4">
      <c r="A68" t="s">
        <v>2200</v>
      </c>
      <c r="B68">
        <f>Clothing!B263</f>
        <v>2020</v>
      </c>
      <c r="C68" t="str">
        <f>Clothing!C263</f>
        <v>PET</v>
      </c>
      <c r="D68" s="217">
        <f>Clothing!F263</f>
        <v>1614.0823512396003</v>
      </c>
    </row>
    <row r="69" spans="1:4">
      <c r="A69" t="s">
        <v>2200</v>
      </c>
      <c r="B69">
        <f>Clothing!B264</f>
        <v>2020</v>
      </c>
      <c r="C69" t="str">
        <f>Clothing!C264</f>
        <v>PUR</v>
      </c>
      <c r="D69" s="217">
        <f>Clothing!F264</f>
        <v>187.31320436202003</v>
      </c>
    </row>
    <row r="70" spans="1:4">
      <c r="A70" t="s">
        <v>2200</v>
      </c>
      <c r="B70">
        <f>Clothing!B265</f>
        <v>2020</v>
      </c>
      <c r="C70" t="str">
        <f>Clothing!C265</f>
        <v>PVC</v>
      </c>
      <c r="D70" s="217">
        <f>Clothing!F265</f>
        <v>120.26545307722002</v>
      </c>
    </row>
    <row r="71" spans="1:4">
      <c r="A71" t="s">
        <v>2200</v>
      </c>
      <c r="B71">
        <f>Clothing!B266</f>
        <v>2020</v>
      </c>
      <c r="C71" t="str">
        <f>Clothing!C266</f>
        <v>RUBBER</v>
      </c>
      <c r="D71" s="217">
        <f>Clothing!F266</f>
        <v>243.62107705914002</v>
      </c>
    </row>
    <row r="72" spans="1:4">
      <c r="A72" t="s">
        <v>2200</v>
      </c>
      <c r="B72">
        <f>Clothing!B267</f>
        <v>2021</v>
      </c>
      <c r="C72" t="str">
        <f>Clothing!C267</f>
        <v>Acryl</v>
      </c>
      <c r="D72" s="217">
        <f>Clothing!F267</f>
        <v>163.73876855776001</v>
      </c>
    </row>
    <row r="73" spans="1:4">
      <c r="A73" t="s">
        <v>2200</v>
      </c>
      <c r="B73">
        <f>Clothing!B268</f>
        <v>2021</v>
      </c>
      <c r="C73" t="str">
        <f>Clothing!C268</f>
        <v>OTHER</v>
      </c>
      <c r="D73" s="217">
        <f>Clothing!F268</f>
        <v>279.41777743847001</v>
      </c>
    </row>
    <row r="74" spans="1:4">
      <c r="A74" t="s">
        <v>2200</v>
      </c>
      <c r="B74">
        <f>Clothing!B269</f>
        <v>2021</v>
      </c>
      <c r="C74" t="str">
        <f>Clothing!C269</f>
        <v>PA</v>
      </c>
      <c r="D74" s="217">
        <f>Clothing!F269</f>
        <v>343.97781678909007</v>
      </c>
    </row>
    <row r="75" spans="1:4">
      <c r="A75" t="s">
        <v>2200</v>
      </c>
      <c r="B75">
        <f>Clothing!B270</f>
        <v>2021</v>
      </c>
      <c r="C75" t="str">
        <f>Clothing!C270</f>
        <v>PET</v>
      </c>
      <c r="D75" s="217">
        <f>Clothing!F270</f>
        <v>1728.9410504058003</v>
      </c>
    </row>
    <row r="76" spans="1:4">
      <c r="A76" t="s">
        <v>2200</v>
      </c>
      <c r="B76">
        <f>Clothing!B271</f>
        <v>2021</v>
      </c>
      <c r="C76" t="str">
        <f>Clothing!C271</f>
        <v>PUR</v>
      </c>
      <c r="D76" s="217">
        <f>Clothing!F271</f>
        <v>179.93181003193001</v>
      </c>
    </row>
    <row r="77" spans="1:4">
      <c r="A77" t="s">
        <v>2200</v>
      </c>
      <c r="B77">
        <f>Clothing!B272</f>
        <v>2021</v>
      </c>
      <c r="C77" t="str">
        <f>Clothing!C272</f>
        <v>PVC</v>
      </c>
      <c r="D77" s="217">
        <f>Clothing!F272</f>
        <v>115.93559325227001</v>
      </c>
    </row>
    <row r="78" spans="1:4">
      <c r="A78" t="s">
        <v>2200</v>
      </c>
      <c r="B78">
        <f>Clothing!B273</f>
        <v>2021</v>
      </c>
      <c r="C78" t="str">
        <f>Clothing!C273</f>
        <v>RUBBER</v>
      </c>
      <c r="D78" s="217">
        <f>Clothing!F273</f>
        <v>239.33684514850003</v>
      </c>
    </row>
    <row r="79" spans="1:4">
      <c r="A79" t="s">
        <v>2200</v>
      </c>
      <c r="B79">
        <f>Clothing!B274</f>
        <v>2022</v>
      </c>
      <c r="C79" t="str">
        <f>Clothing!C274</f>
        <v>Acryl</v>
      </c>
      <c r="D79" s="217">
        <f>Clothing!F274</f>
        <v>201.67297066609004</v>
      </c>
    </row>
    <row r="80" spans="1:4">
      <c r="A80" t="s">
        <v>2200</v>
      </c>
      <c r="B80">
        <f>Clothing!B275</f>
        <v>2022</v>
      </c>
      <c r="C80" t="str">
        <f>Clothing!C275</f>
        <v>OTHER</v>
      </c>
      <c r="D80" s="217">
        <f>Clothing!F275</f>
        <v>349.23428105280004</v>
      </c>
    </row>
    <row r="81" spans="1:4">
      <c r="A81" t="s">
        <v>2200</v>
      </c>
      <c r="B81">
        <f>Clothing!B276</f>
        <v>2022</v>
      </c>
      <c r="C81" t="str">
        <f>Clothing!C276</f>
        <v>PA</v>
      </c>
      <c r="D81" s="217">
        <f>Clothing!F276</f>
        <v>423.0564806418501</v>
      </c>
    </row>
    <row r="82" spans="1:4">
      <c r="A82" t="s">
        <v>2200</v>
      </c>
      <c r="B82">
        <f>Clothing!B277</f>
        <v>2022</v>
      </c>
      <c r="C82" t="str">
        <f>Clothing!C277</f>
        <v>PET</v>
      </c>
      <c r="D82" s="217">
        <f>Clothing!F277</f>
        <v>2122.2145481779003</v>
      </c>
    </row>
    <row r="83" spans="1:4">
      <c r="A83" t="s">
        <v>2200</v>
      </c>
      <c r="B83">
        <f>Clothing!B278</f>
        <v>2022</v>
      </c>
      <c r="C83" t="str">
        <f>Clothing!C278</f>
        <v>PUR</v>
      </c>
      <c r="D83" s="217">
        <f>Clothing!F278</f>
        <v>233.00514071538004</v>
      </c>
    </row>
    <row r="84" spans="1:4">
      <c r="A84" t="s">
        <v>2200</v>
      </c>
      <c r="B84">
        <f>Clothing!B279</f>
        <v>2022</v>
      </c>
      <c r="C84" t="str">
        <f>Clothing!C279</f>
        <v>PVC</v>
      </c>
      <c r="D84" s="217">
        <f>Clothing!F279</f>
        <v>150.15713639971003</v>
      </c>
    </row>
    <row r="85" spans="1:4">
      <c r="A85" t="s">
        <v>2200</v>
      </c>
      <c r="B85">
        <f>Clothing!B280</f>
        <v>2022</v>
      </c>
      <c r="C85" t="str">
        <f>Clothing!C280</f>
        <v>RUBBER</v>
      </c>
      <c r="D85" s="217">
        <f>Clothing!F280</f>
        <v>310.53656079270007</v>
      </c>
    </row>
  </sheetData>
  <conditionalFormatting sqref="D1">
    <cfRule type="cellIs" dxfId="8" priority="1" operator="greaterThan">
      <formula>0</formula>
    </cfRule>
    <cfRule type="cellIs" dxfId="7" priority="2" operator="equal">
      <formula>0</formula>
    </cfRule>
  </conditionalFormatting>
  <conditionalFormatting sqref="K1">
    <cfRule type="containsBlanks" dxfId="6" priority="3">
      <formula>LEN(TRIM(K1))=0</formula>
    </cfRule>
    <cfRule type="dataBar" priority="4">
      <dataBar>
        <cfvo type="min"/>
        <cfvo type="max"/>
        <color rgb="FF3FCDFF"/>
      </dataBar>
      <extLst>
        <ext xmlns:x14="http://schemas.microsoft.com/office/spreadsheetml/2009/9/main" uri="{B025F937-C7B1-47D3-B67F-A62EFF666E3E}">
          <x14:id>{7A87F77B-6FB9-4F51-9934-F273BE632D72}</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7A87F77B-6FB9-4F51-9934-F273BE632D72}">
            <x14:dataBar minLength="0" maxLength="100" gradient="0">
              <x14:cfvo type="autoMin"/>
              <x14:cfvo type="autoMax"/>
              <x14:negativeFillColor rgb="FFFF0000"/>
              <x14:axisColor rgb="FF000000"/>
            </x14:dataBar>
          </x14:cfRule>
          <xm:sqref>K1</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lcf76f155ced4ddcb4097134ff3c332f xmlns="0577e6a0-5f74-4659-a81a-c7bdc984432d">
      <Terms xmlns="http://schemas.microsoft.com/office/infopath/2007/PartnerControls"/>
    </lcf76f155ced4ddcb4097134ff3c332f>
    <TaxCatchAll xmlns="f5c8fe0e-f8db-4fac-9fd3-e69469f9c90b" xsi:nil="true"/>
    <_ip_UnifiedCompliancePolicyProperties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F634CA3F5682C418397C6E4414BCDE3" ma:contentTypeVersion="19" ma:contentTypeDescription="Een nieuw document maken." ma:contentTypeScope="" ma:versionID="cd864e38cd6bbc6c7e0427721adcc1d0">
  <xsd:schema xmlns:xsd="http://www.w3.org/2001/XMLSchema" xmlns:xs="http://www.w3.org/2001/XMLSchema" xmlns:p="http://schemas.microsoft.com/office/2006/metadata/properties" xmlns:ns1="http://schemas.microsoft.com/sharepoint/v3" xmlns:ns2="0577e6a0-5f74-4659-a81a-c7bdc984432d" xmlns:ns3="f5c8fe0e-f8db-4fac-9fd3-e69469f9c90b" targetNamespace="http://schemas.microsoft.com/office/2006/metadata/properties" ma:root="true" ma:fieldsID="fa37df3857ed3652683061e5b337c961" ns1:_="" ns2:_="" ns3:_="">
    <xsd:import namespace="http://schemas.microsoft.com/sharepoint/v3"/>
    <xsd:import namespace="0577e6a0-5f74-4659-a81a-c7bdc984432d"/>
    <xsd:import namespace="f5c8fe0e-f8db-4fac-9fd3-e69469f9c90b"/>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1:_ip_UnifiedCompliancePolicyProperties" minOccurs="0"/>
                <xsd:element ref="ns1:_ip_UnifiedCompliancePolicyUIAction"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Eigenschappen van het geïntegreerd beleid voor naleving" ma:hidden="true" ma:internalName="_ip_UnifiedCompliancePolicyProperties">
      <xsd:simpleType>
        <xsd:restriction base="dms:Note"/>
      </xsd:simpleType>
    </xsd:element>
    <xsd:element name="_ip_UnifiedCompliancePolicyUIAction" ma:index="21" nillable="true" ma:displayName="Actie van de gebruikersinterface van het geïntegreerd beleid voor naleving"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577e6a0-5f74-4659-a81a-c7bdc984432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3" nillable="true" ma:taxonomy="true" ma:internalName="lcf76f155ced4ddcb4097134ff3c332f" ma:taxonomyFieldName="MediaServiceImageTags" ma:displayName="Afbeeldingtags" ma:readOnly="false" ma:fieldId="{5cf76f15-5ced-4ddc-b409-7134ff3c332f}" ma:taxonomyMulti="true" ma:sspId="9f1f8003-3544-4801-a0bb-558fc8ffc21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f5c8fe0e-f8db-4fac-9fd3-e69469f9c90b" elementFormDefault="qualified">
    <xsd:import namespace="http://schemas.microsoft.com/office/2006/documentManagement/types"/>
    <xsd:import namespace="http://schemas.microsoft.com/office/infopath/2007/PartnerControls"/>
    <xsd:element name="SharedWithUsers" ma:index="12" nillable="true" ma:displayName="Gedeeld met"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Gedeeld met details" ma:internalName="SharedWithDetails" ma:readOnly="true">
      <xsd:simpleType>
        <xsd:restriction base="dms:Note">
          <xsd:maxLength value="255"/>
        </xsd:restriction>
      </xsd:simpleType>
    </xsd:element>
    <xsd:element name="TaxCatchAll" ma:index="24" nillable="true" ma:displayName="Taxonomy Catch All Column" ma:hidden="true" ma:list="{706ad47a-586d-4bb3-9d51-fb8cf7aa47ff}" ma:internalName="TaxCatchAll" ma:showField="CatchAllData" ma:web="f5c8fe0e-f8db-4fac-9fd3-e69469f9c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711B296-E2B3-4EB8-832A-36716F7B0382}">
  <ds:schemaRefs>
    <ds:schemaRef ds:uri="http://schemas.microsoft.com/sharepoint/v3"/>
    <ds:schemaRef ds:uri="http://schemas.microsoft.com/office/2006/metadata/properties"/>
    <ds:schemaRef ds:uri="0577e6a0-5f74-4659-a81a-c7bdc984432d"/>
    <ds:schemaRef ds:uri="http://purl.org/dc/elements/1.1/"/>
    <ds:schemaRef ds:uri="f5c8fe0e-f8db-4fac-9fd3-e69469f9c90b"/>
    <ds:schemaRef ds:uri="http://schemas.microsoft.com/office/2006/documentManagement/types"/>
    <ds:schemaRef ds:uri="http://schemas.microsoft.com/office/infopath/2007/PartnerControls"/>
    <ds:schemaRef ds:uri="http://schemas.openxmlformats.org/package/2006/metadata/core-properties"/>
    <ds:schemaRef ds:uri="http://www.w3.org/XML/1998/namespace"/>
    <ds:schemaRef ds:uri="http://purl.org/dc/dcmitype/"/>
    <ds:schemaRef ds:uri="http://purl.org/dc/terms/"/>
  </ds:schemaRefs>
</ds:datastoreItem>
</file>

<file path=customXml/itemProps2.xml><?xml version="1.0" encoding="utf-8"?>
<ds:datastoreItem xmlns:ds="http://schemas.openxmlformats.org/officeDocument/2006/customXml" ds:itemID="{9AC97711-124B-4000-9C81-94DBC44EA96A}">
  <ds:schemaRefs>
    <ds:schemaRef ds:uri="http://schemas.microsoft.com/sharepoint/v3/contenttype/forms"/>
  </ds:schemaRefs>
</ds:datastoreItem>
</file>

<file path=customXml/itemProps3.xml><?xml version="1.0" encoding="utf-8"?>
<ds:datastoreItem xmlns:ds="http://schemas.openxmlformats.org/officeDocument/2006/customXml" ds:itemID="{C81C7BF1-D71D-44A6-A2B9-941376DE302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0577e6a0-5f74-4659-a81a-c7bdc984432d"/>
    <ds:schemaRef ds:uri="f5c8fe0e-f8db-4fac-9fd3-e69469f9c9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cd8466c6-d7ce-410a-be13-33e40185fdab}" enabled="0" method="" siteId="{cd8466c6-d7ce-410a-be13-33e40185fda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13</vt:i4>
      </vt:variant>
    </vt:vector>
  </HeadingPairs>
  <TitlesOfParts>
    <vt:vector size="42" baseType="lpstr">
      <vt:lpstr>README</vt:lpstr>
      <vt:lpstr>Data Quality Indicators</vt:lpstr>
      <vt:lpstr>Materials</vt:lpstr>
      <vt:lpstr>Input_NL</vt:lpstr>
      <vt:lpstr>Input_EU</vt:lpstr>
      <vt:lpstr>Transfer coefficients</vt:lpstr>
      <vt:lpstr>Clothing</vt:lpstr>
      <vt:lpstr>Clothing calculations</vt:lpstr>
      <vt:lpstr>WWTP TCs</vt:lpstr>
      <vt:lpstr>Textiles</vt:lpstr>
      <vt:lpstr>Textile waste collection</vt:lpstr>
      <vt:lpstr>Pellets</vt:lpstr>
      <vt:lpstr>Tyre wear</vt:lpstr>
      <vt:lpstr>Paints and Coatings</vt:lpstr>
      <vt:lpstr>Agriculture</vt:lpstr>
      <vt:lpstr>Intentionally_produced_MPs</vt:lpstr>
      <vt:lpstr>Packaging</vt:lpstr>
      <vt:lpstr>Recycling TCs</vt:lpstr>
      <vt:lpstr>Compost TCs</vt:lpstr>
      <vt:lpstr>Scaling tables</vt:lpstr>
      <vt:lpstr>Input projections</vt:lpstr>
      <vt:lpstr>Lifetimes</vt:lpstr>
      <vt:lpstr>Lifetimes_pairs</vt:lpstr>
      <vt:lpstr>Lifetimes_references</vt:lpstr>
      <vt:lpstr>Compartments</vt:lpstr>
      <vt:lpstr>Compartments_Kawecki&amp;Nowack19</vt:lpstr>
      <vt:lpstr>Compartments_Added</vt:lpstr>
      <vt:lpstr>Check_Compartments</vt:lpstr>
      <vt:lpstr>Input_Global</vt:lpstr>
      <vt:lpstr>Aggr_2021</vt:lpstr>
      <vt:lpstr>In_EU_2018</vt:lpstr>
      <vt:lpstr>In_EU_2019</vt:lpstr>
      <vt:lpstr>IN_NL_2018_high</vt:lpstr>
      <vt:lpstr>In_NL_2018_low</vt:lpstr>
      <vt:lpstr>IN_NL_2019_high</vt:lpstr>
      <vt:lpstr>IN_NL_2019_low</vt:lpstr>
      <vt:lpstr>Intentional_Agr_EU_2020</vt:lpstr>
      <vt:lpstr>Intentional_Agr_NL_2020</vt:lpstr>
      <vt:lpstr>OECD_ref_2018</vt:lpstr>
      <vt:lpstr>OECD_ref_2019</vt:lpstr>
      <vt:lpstr>OIL_GAS_2020</vt:lpstr>
      <vt:lpstr>POP_coef_2020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2024-06-27T12:04:47Z</dcterms:created>
  <dcterms:modified xsi:type="dcterms:W3CDTF">2025-10-23T11:22:04Z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0x010100FF634CA3F5682C418397C6E4414BCDE3</vt:lpwstr>
  </property>
  <property fmtid="{D5CDD505-2E9C-101B-9397-08002B2CF9AE}" pid="3" name="MediaServiceImageTags">
    <vt:lpwstr/>
  </property>
</Properties>
</file>